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defaultThemeVersion="124226"/>
  <bookViews>
    <workbookView xWindow="0" yWindow="0" windowWidth="23304" windowHeight="14664" activeTab="1" xr2:uid="{00000000-000D-0000-FFFF-FFFF00000000}"/>
  </bookViews>
  <sheets>
    <sheet name="Front Page" sheetId="7" r:id="rId1"/>
    <sheet name="Model" sheetId="1" r:id="rId2"/>
    <sheet name="Exec Comp" sheetId="13" r:id="rId3"/>
    <sheet name="Guidance" sheetId="10" r:id="rId4"/>
    <sheet name="Summary Page" sheetId="9" r:id="rId5"/>
    <sheet name="Company1719" sheetId="11" r:id="rId6"/>
    <sheet name="Update Log" sheetId="8" r:id="rId7"/>
  </sheets>
  <definedNames>
    <definedName name="_xlnm._FilterDatabase" localSheetId="3" hidden="1">Guidance!$A$5:$U$5</definedName>
    <definedName name="AA.AlternatePriceSourceStartPeriod">"Q1-2019"</definedName>
    <definedName name="AA.CIK">"1045810"</definedName>
    <definedName name="AA.ColorizerVersion">"2.0.4.0"</definedName>
    <definedName name="AA.CompareQuarters.LatestMRQ">"Q2-2025"</definedName>
    <definedName name="AA.CSIN">"A7FLSL0150"</definedName>
    <definedName name="AA.CurationVersion">"2023.11.1.0"</definedName>
    <definedName name="AA.DBMacroVersion">"1.0.13.0"</definedName>
    <definedName name="AA.FreeCashFlow">"TRUE"</definedName>
    <definedName name="AA.GuidanceAnalysisNonGaapGrossProfitVersion">"1.0.0.0"</definedName>
    <definedName name="AA.GuidanceAnalysisRevenueVersion">"1.0.0.0"</definedName>
    <definedName name="AA.HardcodeChecker.LatestMRQ">"Q3-2020"</definedName>
    <definedName name="AA.ModelChecks.LatestMRQ">"Q3-2022"</definedName>
    <definedName name="AA.ModelChecks.LatestVersionNumber">"2.38.25.0"</definedName>
    <definedName name="AA.ModelColorScheme">"Classic"</definedName>
    <definedName name="AA.ModelVersion">"Q1-2027.23"</definedName>
    <definedName name="AA.NonLibraryWideCurationVersion">"4"</definedName>
    <definedName name="AA.PartialUpdate.BsAvailable">"TRUE"</definedName>
    <definedName name="AA.PartialUpdate.CfsAvailable">"TRUE"</definedName>
    <definedName name="AA.PartialUpdate.IsAvailable">"TRUE"</definedName>
    <definedName name="AA.PeriodLayout">"QFY"</definedName>
    <definedName name="AA.PersonalMacro.VersionNumber">""</definedName>
    <definedName name="AA.RowNameEnforcerVersion">"2023.11.1.0"</definedName>
    <definedName name="AA.SessionToUploadId">""</definedName>
    <definedName name="AA.StartWorkModelVersion">"Q1-2027.22"</definedName>
    <definedName name="AA.StartWorkType">""</definedName>
    <definedName name="AA.SubyearType">"Q"</definedName>
    <definedName name="AA.TemplateUpgradeAttempted">"TRUE"</definedName>
    <definedName name="AA.TemplateVersion">"7.5.4.0"</definedName>
    <definedName name="AA.UpdateType">"Regular"</definedName>
    <definedName name="AA.VerifyUnitsAtModelVersion">"Q2-2019.21"</definedName>
    <definedName name="AS_KPI_1_Rpos">Model!$224:$224</definedName>
    <definedName name="AS_KPI_2_TotalFutureUnconditionalPurchaseCommitments">Model!$268:$268</definedName>
    <definedName name="AS_KPI_3_SalesToLargestCustomerAsAPercentOfTotalSales">Model!$271:$271</definedName>
    <definedName name="AS_KPI_4_SalesToSecondLargestCustomerAsAPercentOfTotalSales">Model!$272:$272</definedName>
    <definedName name="AS_KPI_5_SalesToThirdLargestCustomerAsAPercentOfTotalSales">Model!$273:$273</definedName>
    <definedName name="EC_CEO_BasePay">'Exec Comp'!$7:$7</definedName>
    <definedName name="EC_CEO_EquityComp_Percent">'Exec Comp'!$12:$12</definedName>
    <definedName name="EC_CEO_SharesOwned">'Exec Comp'!$38:$38</definedName>
    <definedName name="EC_CEO_TotalComp">'Exec Comp'!$11:$11</definedName>
    <definedName name="EC_CFO_BasePay">'Exec Comp'!$40:$40</definedName>
    <definedName name="EC_CFO_EquityComp_Percent">'Exec Comp'!$45:$45</definedName>
    <definedName name="EC_CFO_SharesOwned">'Exec Comp'!$49:$49</definedName>
    <definedName name="EC_CFO_TotalComp">'Exec Comp'!$44:$44</definedName>
    <definedName name="EC_Director_Compensation_Cash">'Exec Comp'!$75:$75</definedName>
    <definedName name="EC_Director_Compensation_Total">'Exec Comp'!$106:$106</definedName>
    <definedName name="EC_Directors_Current">'Exec Comp'!$52:$52</definedName>
    <definedName name="EC_Directors_Current_Diverse">'Exec Comp'!$55:$55</definedName>
    <definedName name="EC_Directors_Current_Female">'Exec Comp'!$54:$54</definedName>
    <definedName name="EC_Directors_Current_Independent">'Exec Comp'!$53:$53</definedName>
    <definedName name="EC_Directors_Nominees">'Exec Comp'!$57:$57</definedName>
    <definedName name="EC_Directors_Nominees_Independent">'Exec Comp'!$58:$58</definedName>
    <definedName name="EC_OperatingIncome_Target_NONGAAP">'Exec Comp'!$121:$121</definedName>
    <definedName name="EC_Revenue_Target">'Exec Comp'!$116:$116</definedName>
    <definedName name="FP.DataSource">'Front Page'!$H$16</definedName>
    <definedName name="FP.DataSourceName" localSheetId="5">'Front Page'!$H$15</definedName>
    <definedName name="FP.DataSourceName">'Front Page'!$H$15</definedName>
    <definedName name="FP.Disclaimer">'Front Page'!$C$22</definedName>
    <definedName name="FP.LastPrice" localSheetId="5">'Front Page'!$H$20</definedName>
    <definedName name="FP.LastPrice">'Front Page'!$H$20</definedName>
    <definedName name="FP.LastPriceDate" localSheetId="5">'Front Page'!$F$20</definedName>
    <definedName name="FP.LastPriceDate">'Front Page'!$F$20</definedName>
    <definedName name="FP.RealTimeToggle" localSheetId="5">'Front Page'!$H$18</definedName>
    <definedName name="FP.RealTimeToggle">'Front Page'!$H$18</definedName>
    <definedName name="FP.UpdateDate">'Front Page'!$H$11</definedName>
    <definedName name="FP.UpdateEvent">'Front Page'!$H$13</definedName>
    <definedName name="FP_Comment">'Front Page'!$M$13:$P$20</definedName>
    <definedName name="FP_StockPriceOverride">'Front Page'!$C$20:$H$20</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 localSheetId="5">Company1719!$B$488</definedName>
    <definedName name="HP.MRFX">Model!$B$1184</definedName>
    <definedName name="HP.ReportCurrency" localSheetId="5">Company1719!$B$487</definedName>
    <definedName name="HP.ReportCurrency">Model!$B$1183</definedName>
    <definedName name="HP.Ticker" localSheetId="5">Company1719!$A$2</definedName>
    <definedName name="HP.Ticker">Model!$A$2</definedName>
    <definedName name="HP.TradeCurrency" localSheetId="5">Company1719!$B$485</definedName>
    <definedName name="HP.TradeCurrency">Model!$B$1181</definedName>
    <definedName name="HP.TradeCurrency.HardCoded" localSheetId="5">Company1719!$B$486</definedName>
    <definedName name="HP.TradeCurrency.HardCoded">Model!$B$1182</definedName>
    <definedName name="MO.ApplyTradeCurrencyScaling">Model!$B$1180</definedName>
    <definedName name="MO.CFY" localSheetId="5">Company1719!$B$492</definedName>
    <definedName name="MO.CFY">Model!$B$1188</definedName>
    <definedName name="MO.CompanyName" localSheetId="5">Company1719!$A$1</definedName>
    <definedName name="MO.CompanyName">Model!$A$1</definedName>
    <definedName name="MO.DataSourceIndex" localSheetId="5">Company1719!$B$493</definedName>
    <definedName name="MO.DataSourceIndex">Model!$B$1191</definedName>
    <definedName name="MO.DataSourceName" localSheetId="5">Company1719!$A$4</definedName>
    <definedName name="MO.DataSourceName">Model!$A$4</definedName>
    <definedName name="MO.FirstForecastedFiscalYear">Model!$B$1189</definedName>
    <definedName name="MO.KPI.1">Model!$A$1069</definedName>
    <definedName name="MO.KPI.10">Model!$A$1078</definedName>
    <definedName name="MO.KPI.11">Model!$A$1079</definedName>
    <definedName name="MO.KPI.12">Model!$A$1080</definedName>
    <definedName name="MO.KPI.13">Model!$A$1081</definedName>
    <definedName name="MO.KPI.14">Model!$A$1082</definedName>
    <definedName name="MO.KPI.15">Model!$A$1083</definedName>
    <definedName name="MO.KPI.16">Model!$A$1084</definedName>
    <definedName name="MO.KPI.17">Model!$A$1085</definedName>
    <definedName name="MO.KPI.18">Model!$A$1086</definedName>
    <definedName name="MO.KPI.19">Model!$A$1087</definedName>
    <definedName name="MO.KPI.2">Model!$A$1070</definedName>
    <definedName name="MO.KPI.20">Model!$A$1088</definedName>
    <definedName name="MO.KPI.21">Model!$A$1089</definedName>
    <definedName name="MO.KPI.3">Model!$A$1071</definedName>
    <definedName name="MO.KPI.4">Model!$A$1072</definedName>
    <definedName name="MO.KPI.5">Model!$A$1073</definedName>
    <definedName name="MO.KPI.6">Model!$A$1074</definedName>
    <definedName name="MO.KPI.7">Model!$A$1075</definedName>
    <definedName name="MO.KPI.8">Model!$A$1076</definedName>
    <definedName name="MO.KPI.9">Model!$A$1077</definedName>
    <definedName name="MO.KPI.Count">Model!$B$1190</definedName>
    <definedName name="MO.LastPrice" localSheetId="5">Company1719!$B$3</definedName>
    <definedName name="MO.LastPrice">Model!$B$3</definedName>
    <definedName name="MO.LastPriceDate" localSheetId="5">Company1719!$B$482</definedName>
    <definedName name="MO.LastPriceDate">Model!$B$1177</definedName>
    <definedName name="MO.LastPriceFormula" localSheetId="5">Company1719!$B$484</definedName>
    <definedName name="MO.LastPriceFormula">Model!$B$1179</definedName>
    <definedName name="MO.LastPriceHardcoded" localSheetId="5">Company1719!$B$481</definedName>
    <definedName name="MO.LastPriceHardcoded">Model!$B$1176</definedName>
    <definedName name="MO.MRFP" localSheetId="5">Company1719!$B$491</definedName>
    <definedName name="MO.MRFP">Model!$B$1187</definedName>
    <definedName name="MO.MRFPColumnNumber" localSheetId="5">Company1719!$B$490</definedName>
    <definedName name="MO.MRFPColumnNumber">Model!$B$1186</definedName>
    <definedName name="MO.MRFX.Hardcoded" localSheetId="5">Company1719!$B$489</definedName>
    <definedName name="MO.MRFX.Hardcoded">Model!$B$1185</definedName>
    <definedName name="MO.RealTime" localSheetId="5">Company1719!$B$4</definedName>
    <definedName name="MO.RealTime">Model!$B$4</definedName>
    <definedName name="MO.RealTimeStockPriceToggle" localSheetId="5">Company1719!$B$483</definedName>
    <definedName name="MO.RealTimeStockPriceToggle">Model!$B$1178</definedName>
    <definedName name="MO.ReportCurrency" localSheetId="5">Company1719!$B$487</definedName>
    <definedName name="MO.ReportCurrency">Model!$B$1183</definedName>
    <definedName name="MO.ReportFX" localSheetId="5">Company1719!$A$5</definedName>
    <definedName name="MO.ReportFX">Model!$A$5</definedName>
    <definedName name="MO.Ticker" localSheetId="5">Company1719!$A$2</definedName>
    <definedName name="MO.Ticker">Model!$A$2</definedName>
    <definedName name="MO.Ticker.Bloomberg" localSheetId="5">Company1719!$A$426</definedName>
    <definedName name="MO.Ticker.Bloomberg">Model!$A$1049</definedName>
    <definedName name="MO.Ticker.Source">Model!$A$1048</definedName>
    <definedName name="MO.Ticker.CapIQ" localSheetId="5">Company1719!$A$427</definedName>
    <definedName name="MO.Ticker.CapIQ">Model!$A$1050</definedName>
    <definedName name="MO.Ticker.FactSet" localSheetId="5">Company1719!$A$428</definedName>
    <definedName name="MO.Ticker.FactSet">Model!$A$1051</definedName>
    <definedName name="MO.Ticker.Thomson" localSheetId="5">Company1719!$A$429</definedName>
    <definedName name="MO.Ticker.Thomson">Model!$A$1052</definedName>
    <definedName name="MO.TradingCurrency" localSheetId="5">Company1719!$A$3</definedName>
    <definedName name="MO.TradingCurrency">Model!$A$3</definedName>
    <definedName name="MO.ValuationToggle" localSheetId="5">Company1719!$B$215</definedName>
    <definedName name="MO.ValuationToggle">Model!$B$753</definedName>
    <definedName name="MO_AN_DA">Model!$119:$119</definedName>
    <definedName name="MO_AN_EBIT_Adj">Model!$362:$362</definedName>
    <definedName name="MO_AN_GP_Adj">Model!$339:$339</definedName>
    <definedName name="MO_AN_NI_NONGAAP_Diluted">Model!$327:$327</definedName>
    <definedName name="MO_AN_OPEX_Adj">Model!$352:$352</definedName>
    <definedName name="MO_AN_SBC">Model!$129:$129</definedName>
    <definedName name="MO_BS_AEandOther">Model!$995:$995</definedName>
    <definedName name="MO_BS_AP" localSheetId="5">Company1719!$372:$372</definedName>
    <definedName name="MO_BS_AP">Model!$993:$993</definedName>
    <definedName name="MO_BS_AR" localSheetId="5">Company1719!$354:$354</definedName>
    <definedName name="MO_BS_AR">Model!$962:$962</definedName>
    <definedName name="MO_BS_CA" localSheetId="5">Company1719!$358:$358</definedName>
    <definedName name="MO_BS_CA">Model!$970:$970</definedName>
    <definedName name="MO_BS_Cash">Model!$960:$960</definedName>
    <definedName name="MO_BS_CL" localSheetId="5">Company1719!$378:$378</definedName>
    <definedName name="MO_BS_CL">Model!$997:$997</definedName>
    <definedName name="MO_BS_CommonStock">Model!$1010:$1010</definedName>
    <definedName name="MO_BS_ContributedSurplus">Model!$1011:$1011</definedName>
    <definedName name="MO_BS_DefRev">Model!$218:$218</definedName>
    <definedName name="MO_BS_FL_NonCurrent">Model!$1003:$1003</definedName>
    <definedName name="MO_BS_Goodwill" localSheetId="5">Company1719!$365:$365</definedName>
    <definedName name="MO_BS_Goodwill">Model!$975:$975</definedName>
    <definedName name="MO_BS_Intangibles" localSheetId="5">Company1719!$363:$363</definedName>
    <definedName name="MO_BS_Intangibles">Model!$978:$978</definedName>
    <definedName name="MO_BS_INV" localSheetId="5">Company1719!$355:$355</definedName>
    <definedName name="MO_BS_INV">Model!$966:$966</definedName>
    <definedName name="MO_BS_INV_FG">Model!$965:$965</definedName>
    <definedName name="MO_BS_INV_RM">Model!$963:$963</definedName>
    <definedName name="MO_BS_INV_WIP">Model!$964:$964</definedName>
    <definedName name="MO_BS_LTInvestments">Model!$982:$982</definedName>
    <definedName name="MO_BS_NCA" localSheetId="5">Company1719!$368:$368</definedName>
    <definedName name="MO_BS_NCA">Model!$989:$989</definedName>
    <definedName name="MO_BS_NCI" localSheetId="5">Company1719!$396:$396</definedName>
    <definedName name="MO_BS_NCI">Model!$1016:$1016</definedName>
    <definedName name="MO_BS_NCL" localSheetId="5">Company1719!$387:$387</definedName>
    <definedName name="MO_BS_NCL">Model!$1005:$1005</definedName>
    <definedName name="MO_BS_OCI">Model!$1013:$1013</definedName>
    <definedName name="MO_BS_OL_Current">Model!$994:$994</definedName>
    <definedName name="MO_BS_OL_NonCurrent">Model!$1001:$1001</definedName>
    <definedName name="MO_BS_PPE" localSheetId="5">Company1719!$361:$361</definedName>
    <definedName name="MO_BS_PPE">Model!$973:$973</definedName>
    <definedName name="MO_BS_PreferredStock">Model!$1009:$1009</definedName>
    <definedName name="MO_BS_PrepaidExpensesAndOther">Model!$968:$968</definedName>
    <definedName name="MO_BS_RetainedEarnings">Model!$1014:$1014</definedName>
    <definedName name="MO_BS_ROU">Model!$974:$974</definedName>
    <definedName name="MO_BS_SE" localSheetId="5">Company1719!$395:$395</definedName>
    <definedName name="MO_BS_SE">Model!$1015:$1015</definedName>
    <definedName name="MO_BS_STInvestments">Model!$961:$961</definedName>
    <definedName name="MO_BS_TA" localSheetId="5">Company1719!$369:$369</definedName>
    <definedName name="MO_BS_TA">Model!$990:$990</definedName>
    <definedName name="MO_BS_TaxAssets_Deferred_Current">Model!$969:$969</definedName>
    <definedName name="MO_BS_TaxAssets_Deferred_NonCurrent">Model!$979:$979</definedName>
    <definedName name="MO_BS_TL" localSheetId="5">Company1719!$388:$388</definedName>
    <definedName name="MO_BS_TL">Model!$1006:$1006</definedName>
    <definedName name="MO_BS_TLSE" localSheetId="5">Company1719!$397:$397</definedName>
    <definedName name="MO_BS_TLSE">Model!$1017:$1017</definedName>
    <definedName name="MO_BS_TreasuryStock">Model!$1012:$1012</definedName>
    <definedName name="MO_BSS_Cash" localSheetId="5">Company1719!$208:$208</definedName>
    <definedName name="MO_BSS_Cash">Model!$734:$734</definedName>
    <definedName name="MO_BSS_Debt" localSheetId="5">Company1719!$209:$209</definedName>
    <definedName name="MO_BSS_Debt">Model!$737:$737</definedName>
    <definedName name="MO_BSS_Debt_LT">Model!$736:$736</definedName>
    <definedName name="MO_BSS_Debt_Net" localSheetId="5">Company1719!$210:$210</definedName>
    <definedName name="MO_BSS_Debt_Net">Model!$739:$739</definedName>
    <definedName name="MO_BSS_Debt_ST">Model!$735:$735</definedName>
    <definedName name="MO_BSS_Debt_ToCF" localSheetId="5">Company1719!$212:$212</definedName>
    <definedName name="MO_BSS_Debt_ToCF">Model!$750:$750</definedName>
    <definedName name="MO_BSS_Debt_ToEBITDA" localSheetId="5">Company1719!$211:$211</definedName>
    <definedName name="MO_BSS_Debt_ToEBITDA">Model!$749:$749</definedName>
    <definedName name="MO_BSS_IE">Model!$741:$741</definedName>
    <definedName name="MO_BSS_IE_Net">Model!$745:$745</definedName>
    <definedName name="MO_BSS_II">Model!$743:$743</definedName>
    <definedName name="MO_BSS_InterestRate_Cash">Model!$744:$744</definedName>
    <definedName name="MO_BSS_InterestRate_Debt">Model!$742:$742</definedName>
    <definedName name="MO_BSS_NetInterestCoverage">Model!$748:$748</definedName>
    <definedName name="MO_BSS_NetInterestRate_Debt">Model!$746:$746</definedName>
    <definedName name="MO_BSS_OL">Model!$738:$738</definedName>
    <definedName name="MO_CCFS_Balance_Begin" localSheetId="5">Company1719!$283:$283</definedName>
    <definedName name="MO_CCFS_Balance_Begin">Model!$843:$843</definedName>
    <definedName name="MO_CCFS_Balance_End" localSheetId="5">Company1719!$284:$284</definedName>
    <definedName name="MO_CCFS_Balance_End">Model!$844:$844</definedName>
    <definedName name="MO_CCFS_CFF" localSheetId="5">Company1719!$278:$278</definedName>
    <definedName name="MO_CCFS_CFF">Model!$838:$838</definedName>
    <definedName name="MO_CCFS_CFI" localSheetId="5">Company1719!$267:$267</definedName>
    <definedName name="MO_CCFS_CFI">Model!$818:$818</definedName>
    <definedName name="MO_CCFS_CFO" localSheetId="5">Company1719!$253:$253</definedName>
    <definedName name="MO_CCFS_CFO">Model!$805:$805</definedName>
    <definedName name="MO_CCFS_CFO_BeforeWC" localSheetId="5">Company1719!$247:$247</definedName>
    <definedName name="MO_CCFS_CFO_BeforeWC">Model!$796:$796</definedName>
    <definedName name="MO_CCFS_FX" localSheetId="5">Company1719!$280:$280</definedName>
    <definedName name="MO_CCFS_FX">Model!$840:$840</definedName>
    <definedName name="MO_CCFS_NetChange" localSheetId="5">Company1719!$281:$281</definedName>
    <definedName name="MO_CCFS_NetChange">Model!$841:$841</definedName>
    <definedName name="MO_CCFS_Sup_CashInterest">Model!$846:$846</definedName>
    <definedName name="MO_CCFS_Sup_CashTax">Model!$847:$847</definedName>
    <definedName name="MO_CFS_Balance_Begin" localSheetId="5">Company1719!$333:$333</definedName>
    <definedName name="MO_CFS_Balance_Begin">Model!$915:$915</definedName>
    <definedName name="MO_CFS_Balance_End" localSheetId="5">Company1719!$334:$334</definedName>
    <definedName name="MO_CFS_Balance_End">Model!$916:$916</definedName>
    <definedName name="MO_CFS_Buyback">Model!$900:$900</definedName>
    <definedName name="MO_CFS_Buyback_1">Model!$903:$903</definedName>
    <definedName name="MO_CFS_Capex">Model!$884:$884</definedName>
    <definedName name="MO_CFS_CFF" localSheetId="5">Company1719!$328:$328</definedName>
    <definedName name="MO_CFS_CFF">Model!$910:$910</definedName>
    <definedName name="MO_CFS_CFI" localSheetId="5">Company1719!$317:$317</definedName>
    <definedName name="MO_CFS_CFI">Model!$890:$890</definedName>
    <definedName name="MO_CFS_CFO" localSheetId="5">Company1719!$303:$303</definedName>
    <definedName name="MO_CFS_CFO">Model!$877:$877</definedName>
    <definedName name="MO_CFS_CFO_BeforeWC" localSheetId="5">Company1719!$297:$297</definedName>
    <definedName name="MO_CFS_CFO_BeforeWC">Model!$868:$868</definedName>
    <definedName name="MO_CFS_DA">Model!$854:$854</definedName>
    <definedName name="MO_CFS_DeferredTax">Model!$860:$860</definedName>
    <definedName name="MO_CFS_Dividend">Model!$902:$902</definedName>
    <definedName name="MO_CFS_FX" localSheetId="5">Company1719!$330:$330</definedName>
    <definedName name="MO_CFS_FX">Model!$912:$912</definedName>
    <definedName name="MO_CFS_Impairment">Model!$867:$867</definedName>
    <definedName name="MO_CFS_NetChange" localSheetId="5">Company1719!$331:$331</definedName>
    <definedName name="MO_CFS_NetChange">Model!$913:$913</definedName>
    <definedName name="MO_CFS_NewEquityIssued">Model!$898:$898</definedName>
    <definedName name="MO_CFS_NI">Model!$851:$851</definedName>
    <definedName name="MO_CFS_SBC">Model!$855:$855</definedName>
    <definedName name="MO_CFS_Sup_CashInterest">Model!$918:$918</definedName>
    <definedName name="MO_CFS_Sup_CashTax">Model!$919:$919</definedName>
    <definedName name="MO_CFS_WC_AEandOther">Model!$875:$875</definedName>
    <definedName name="MO_CFS_WC_AP">Model!$874:$874</definedName>
    <definedName name="MO_CFS_WC_AR">Model!$869:$869</definedName>
    <definedName name="MO_CFS_WC_DefRev">Model!$220:$220</definedName>
    <definedName name="MO_CFS_WC_INV">Model!$870:$870</definedName>
    <definedName name="MO_CFS_WC_PrepaidExpensesAndOther">Model!$871:$871</definedName>
    <definedName name="MO_CFSum_Acquisition" localSheetId="5">Company1719!$198:$198</definedName>
    <definedName name="MO_CFSum_Acquisition">Model!$712:$712</definedName>
    <definedName name="MO_CFSum_Capex" localSheetId="5">Company1719!$196:$196</definedName>
    <definedName name="MO_CFSum_Capex">Model!$709:$709</definedName>
    <definedName name="MO_CFSum_CFO">Model!$705:$705</definedName>
    <definedName name="MO_CFSum_CFO_BeforeWC" localSheetId="5">Company1719!$193:$193</definedName>
    <definedName name="MO_CFSum_CFO_BeforeWC">Model!$703:$703</definedName>
    <definedName name="MO_CFSum_CFOPS">Model!$707:$707</definedName>
    <definedName name="MO_CFSum_CFOPS_BeforeWC">Model!$706:$706</definedName>
    <definedName name="MO_CFSum_CFPS" localSheetId="5">Company1719!$194:$194</definedName>
    <definedName name="MO_CFSum_CFPS">Model!$707:$707</definedName>
    <definedName name="MO_CFSum_ChangeInWC">Model!$704:$704</definedName>
    <definedName name="MO_CFSum_Divestiture" localSheetId="5">Company1719!$199:$199</definedName>
    <definedName name="MO_CFSum_Divestiture">Model!$713:$713</definedName>
    <definedName name="MO_CFSum_Dividend" localSheetId="5">Company1719!$200:$200</definedName>
    <definedName name="MO_CFSum_Dividend">Model!$714:$714</definedName>
    <definedName name="MO_CFSum_DPS" localSheetId="5">Company1719!$201:$201</definedName>
    <definedName name="MO_CFSum_DPS">Model!$715:$715</definedName>
    <definedName name="MO_CFSum_FCF_PostDivPostAD" localSheetId="5">Company1719!$205:$205</definedName>
    <definedName name="MO_CFSum_FCF_PostDivPostAD">Model!$726:$726</definedName>
    <definedName name="MO_CFSum_FCF_PostDivPostADPostDebtPostBuyback">Model!$727:$727</definedName>
    <definedName name="MO_CFSum_FCF_PostDivPreAD" localSheetId="5">Company1719!$204:$204</definedName>
    <definedName name="MO_CFSum_FCF_PostDivPreAD">Model!$725:$725</definedName>
    <definedName name="MO_CFSum_FCF_PostWCPostDivPostAD">Model!$730:$730</definedName>
    <definedName name="MO_CFSum_FCF_PostWCPostDivPostADPostDebtPostBuyback">Model!$731:$731</definedName>
    <definedName name="MO_CFSum_FCF_PostWCPostDivPreAD">Model!$729:$729</definedName>
    <definedName name="MO_CFSum_FCF_PostWCPreDiv">Model!$728:$728</definedName>
    <definedName name="MO_CFSum_FCF_PreDiv" localSheetId="5">Company1719!$203:$203</definedName>
    <definedName name="MO_CFSum_FCF_PreDiv">Model!$724:$724</definedName>
    <definedName name="MO_CFSum_NetDebtIssuance">Model!$717:$717</definedName>
    <definedName name="MO_CFSum_NetShares">Model!$718:$718</definedName>
    <definedName name="MO_CFSum_NetShares_Price">Model!$719:$719</definedName>
    <definedName name="MO_CFSum_SBC">Model!$721:$721</definedName>
    <definedName name="MO_CFSum_SBC_Margin">Model!$722:$722</definedName>
    <definedName name="MO_Checks_Bottom" localSheetId="5">Company1719!$C$402:$XFD$421</definedName>
    <definedName name="MO_Checks_Bottom">Model!$C$1022:$XFD$1043</definedName>
    <definedName name="MO_Checks_BS" localSheetId="5">Company1719!$399:$399</definedName>
    <definedName name="MO_Checks_BS">Model!$1019:$1019</definedName>
    <definedName name="MO_Checks_CF" localSheetId="5">Company1719!$336:$336</definedName>
    <definedName name="MO_Checks_CF">Model!$921:$921</definedName>
    <definedName name="MO_Checks_IS" localSheetId="5">Company1719!$72:$72</definedName>
    <definedName name="MO_Checks_IS">Model!$317:$317</definedName>
    <definedName name="MO_Common_Column_A" localSheetId="5">Company1719!$A:$A</definedName>
    <definedName name="MO_Common_Column_A">Model!$A:$A</definedName>
    <definedName name="MO_Common_Column_B" localSheetId="5">Company1719!$B:$B</definedName>
    <definedName name="MO_Common_Column_B">Model!$B:$B</definedName>
    <definedName name="MO_Common_ColumnHeader" localSheetId="5">Company1719!$5:$5</definedName>
    <definedName name="MO_Common_ColumnHeader">Model!$5:$5</definedName>
    <definedName name="MO_Common_CompanySubtitle" localSheetId="5">Company1719!$2:$2</definedName>
    <definedName name="MO_Common_CompanySubtitle">Model!$2:$2</definedName>
    <definedName name="MO_Common_CompanyTitle" localSheetId="5">Company1719!$1:$1</definedName>
    <definedName name="MO_Common_CompanyTitle">Model!$1:$1</definedName>
    <definedName name="MO_Common_FPDays" localSheetId="5">Company1719!$3:$3</definedName>
    <definedName name="MO_Common_FPDays">Model!$3:$3</definedName>
    <definedName name="MO_Common_QEndDate" localSheetId="5">Company1719!$4:$4</definedName>
    <definedName name="MO_Common_QEndDate">Model!$4:$4</definedName>
    <definedName name="MO_Common_QEndDate_LWD">Model!$1170:$1170</definedName>
    <definedName name="MO_DAF_A">Model!$931:$931</definedName>
    <definedName name="MO_DAF_A_Percentage">Model!$937:$937</definedName>
    <definedName name="MO_DAF_Acquisition">Model!$944:$944</definedName>
    <definedName name="MO_DAF_Capex">Model!$942:$942</definedName>
    <definedName name="MO_DAF_D">Model!$925:$925</definedName>
    <definedName name="MO_DAF_D_Percentage">Model!$936:$936</definedName>
    <definedName name="MO_DAF_DA">Model!$941:$941</definedName>
    <definedName name="MO_DAF_Intangibles_Acquisition_Percent">Model!$945:$945</definedName>
    <definedName name="MO_DAF_Intangibles_BoP">Model!$930:$930</definedName>
    <definedName name="MO_DAF_Intangibles_Capex">Model!$932:$932</definedName>
    <definedName name="MO_DAF_Intangibles_Capex_Percent">Model!$943:$943</definedName>
    <definedName name="MO_DAF_Intangibles_EoP">Model!$934:$934</definedName>
    <definedName name="MO_DAF_Intangibles_Life">Model!$939:$939</definedName>
    <definedName name="MO_DAF_Intangibles_Other">Model!$933:$933</definedName>
    <definedName name="MO_DAF_PPE_BoP">Model!$924:$924</definedName>
    <definedName name="MO_DAF_PPE_Capex">Model!$926:$926</definedName>
    <definedName name="MO_DAF_PPE_EoP">Model!$928:$928</definedName>
    <definedName name="MO_DAF_PPE_Life">Model!$938:$938</definedName>
    <definedName name="MO_DAF_PPE_Other">Model!$927:$927</definedName>
    <definedName name="MO_GA_REV_SEMI">Model!$38:$38</definedName>
    <definedName name="MO_GA_REV_SEMI_Auto">Model!$28:$28</definedName>
    <definedName name="MO_GA_REV_SEMI_Comp">Model!$13:$13</definedName>
    <definedName name="MO_GA_REV_SEMI_Cons">Model!$9:$9</definedName>
    <definedName name="MO_GA_REV_SEMI_Data">Model!$24:$24</definedName>
    <definedName name="MO_GA_TotalRevenue" localSheetId="5">Company1719!$11:$11</definedName>
    <definedName name="MO_GA_TotalRevenue">Model!$38:$38</definedName>
    <definedName name="MO_GuidanceAnalysis_NonGaapGrossProfit_FY">Model!$686:$686</definedName>
    <definedName name="MO_GuidanceAnalysis_NonGaapGrossProfit_MostRecentMidpoint">Model!$634:$634</definedName>
    <definedName name="MO_GuidanceAnalysis_NonGaapGrossProfit_Q">Model!$658:$658</definedName>
    <definedName name="MO_GuidanceAnalysis_NonGaapGrossProfitMargin_MostRecentMidpoint">Model!$650:$650</definedName>
    <definedName name="MO_GuidanceAnalysis_Revenue_FY">Model!$613:$613</definedName>
    <definedName name="MO_GuidanceAnalysis_Revenue_MostRecentMidpoint">Model!$580:$580</definedName>
    <definedName name="MO_GuidanceAnalysis_Revenue_Q">Model!$596:$596</definedName>
    <definedName name="MO_IS_COGS">Model!$301:$301</definedName>
    <definedName name="MO_IS_EBIT">Model!$309:$309</definedName>
    <definedName name="MO_IS_EBT">Model!$313:$313</definedName>
    <definedName name="MO_IS_FirstRow" localSheetId="5">Company1719!$56:$56</definedName>
    <definedName name="MO_IS_FirstRow">Model!$300:$300</definedName>
    <definedName name="MO_IS_GP">Model!$302:$302</definedName>
    <definedName name="MO_IS_IE">Model!$311:$311</definedName>
    <definedName name="MO_IS_II">Model!$310:$310</definedName>
    <definedName name="MO_IS_NI_ContinOp">Model!$315:$315</definedName>
    <definedName name="MO_IS_OPEX">Model!$308:$308</definedName>
    <definedName name="MO_IS_RD">Model!$303:$303</definedName>
    <definedName name="MO_IS_Restructuring">Model!$305:$305</definedName>
    <definedName name="MO_IS_REV">Model!$300:$300</definedName>
    <definedName name="MO_IS_SGA">Model!$304:$304</definedName>
    <definedName name="MO_IS_Tax">Model!$314:$314</definedName>
    <definedName name="MO_KPI_EmployeeCount">Model!$244:$244</definedName>
    <definedName name="MO_KPI_EmployeeCount_RD">Model!$242:$242</definedName>
    <definedName name="MO_KPI_REV_ADAS">Model!$26:$26</definedName>
    <definedName name="MO_KPI_REV_Geo_China">Model!$194:$194</definedName>
    <definedName name="MO_KPI_REV_Geo_Taiwan">Model!$193:$193</definedName>
    <definedName name="MO_KPI_REV_Geo_US">Model!$195:$195</definedName>
    <definedName name="MO_KPI_REV_SEMI">Model!$34:$34</definedName>
    <definedName name="MO_KPI_REV_SEMI_Auto">Model!$26:$26</definedName>
    <definedName name="MO_KPI_REV_SEMI_Auto_Growth">Model!$28:$28</definedName>
    <definedName name="MO_KPI_REV_SEMI_Comp">Model!$11:$11</definedName>
    <definedName name="MO_KPI_REV_SEMI_Comp_Growth">Model!$13:$13</definedName>
    <definedName name="MO_KPI_REV_SEMI_Cons">Model!$7:$7</definedName>
    <definedName name="MO_KPI_REV_SEMI_Cons_Growth">Model!$9:$9</definedName>
    <definedName name="MO_KPI_REV_SEMI_Data">Model!$22:$22</definedName>
    <definedName name="MO_KPI_REV_SEMI_Data_Growth">Model!$24:$24</definedName>
    <definedName name="MO_KPI_REV_SEMI_Growth">Model!$38:$38</definedName>
    <definedName name="MO_KPI_RevenueContribution_LargestClient">Model!$271:$271</definedName>
    <definedName name="MO_KPI_RevenueContribution_SecondLargestClient">Model!$272:$272</definedName>
    <definedName name="MO_KPI_RPO">Model!$224:$224</definedName>
    <definedName name="MO_KPI_RPO_Current">Model!$222:$222</definedName>
    <definedName name="MO_KPI_RPO_NonCurrent">Model!$223:$223</definedName>
    <definedName name="MO_MA_COGS" localSheetId="5">Company1719!$39:$39</definedName>
    <definedName name="MO_MA_COGS">Model!$277:$277</definedName>
    <definedName name="MO_MA_COGS_NONGAAP" localSheetId="5">Company1719!$40:$40</definedName>
    <definedName name="MO_MA_COGS_NONGAAP">Model!$285:$285</definedName>
    <definedName name="MO_MA_EBIT">Model!$283:$283</definedName>
    <definedName name="MO_MA_EBITDA_Adj">Model!$297:$297</definedName>
    <definedName name="MO_MA_GA" localSheetId="5">Company1719!$45:$45</definedName>
    <definedName name="MO_MA_GA_NONGAAP" localSheetId="5">Company1719!$46:$46</definedName>
    <definedName name="MO_MA_GM" localSheetId="5">Company1719!$41:$41</definedName>
    <definedName name="MO_MA_GM">Model!$278:$278</definedName>
    <definedName name="MO_MA_GM_NONGAAP" localSheetId="5">Company1719!$42:$42</definedName>
    <definedName name="MO_MA_GM_NONGAAP">Model!$286:$286</definedName>
    <definedName name="MO_MA_OperatingIncome" localSheetId="5">Company1719!$52:$52</definedName>
    <definedName name="MO_MA_OperatingIncome">Model!$294:$294</definedName>
    <definedName name="MO_MA_OperatingIncome_NONGAAP" localSheetId="5">Company1719!$51:$51</definedName>
    <definedName name="MO_MA_OperatingIncome_NONGAAP">Model!$293:$293</definedName>
    <definedName name="MO_MA_OPEX">Model!$282:$282</definedName>
    <definedName name="MO_MA_OPEX_NONGAAP">Model!$292:$292</definedName>
    <definedName name="MO_MA_RD" localSheetId="5">Company1719!$49:$49</definedName>
    <definedName name="MO_MA_RD">Model!$281:$281</definedName>
    <definedName name="MO_MA_RD_NONGAAP" localSheetId="5">Company1719!$50:$50</definedName>
    <definedName name="MO_MA_RD_NONGAAP">Model!$291:$291</definedName>
    <definedName name="MO_MA_Reported_OperatingIncome_NONGAAP">Model!$294:$294</definedName>
    <definedName name="MO_MA_RIS_EBIT_NONGAAP">Model!$411:$411</definedName>
    <definedName name="MO_MA_SGA">Model!$280:$280</definedName>
    <definedName name="MO_MA_SGA_NONGAAP">Model!$290:$290</definedName>
    <definedName name="MO_MA_SM" localSheetId="5">Company1719!$47:$47</definedName>
    <definedName name="MO_MA_SM_NONGAAP" localSheetId="5">Company1719!$48:$48</definedName>
    <definedName name="MO_OS_EmployeeCount">Model!$244:$244</definedName>
    <definedName name="MO_OS_EmployeeCount_RD">Model!$242:$242</definedName>
    <definedName name="MO_OS_OPEX">Model!$113:$113</definedName>
    <definedName name="MO_OS_REV_ADAS">Model!$26:$26</definedName>
    <definedName name="MO_OS_REV_SEMI">Model!$34:$34</definedName>
    <definedName name="MO_OS_RevenueContribution_LargestClient">Model!$271:$271</definedName>
    <definedName name="MO_OS_RevenueContribution_SecondLargestClient">Model!$272:$272</definedName>
    <definedName name="MO_OS_RPO">Model!$224:$224</definedName>
    <definedName name="MO_OS_RPO_Current">Model!$222:$222</definedName>
    <definedName name="MO_OS_RPO_NonCurrent">Model!$223:$223</definedName>
    <definedName name="MO_RIS_Acquisition_COGS">Model!$376:$376</definedName>
    <definedName name="MO_RIS_Acquisition_RD">Model!$383:$383</definedName>
    <definedName name="MO_RIS_Acquisition_SGA">Model!$388:$388</definedName>
    <definedName name="MO_RIS_AcquisitionCharges_COGS" localSheetId="5">Company1719!$139:$139</definedName>
    <definedName name="MO_RIS_Adjustments_Dilution_GAAP">Model!$423:$423</definedName>
    <definedName name="MO_RIS_Adjustments_NONGAAP_Other">Model!$420:$420</definedName>
    <definedName name="MO_RIS_COGS" localSheetId="5">Company1719!$136:$136</definedName>
    <definedName name="MO_RIS_COGS">Model!$374:$374</definedName>
    <definedName name="MO_RIS_COGS_Adjustments" localSheetId="5">Company1719!$140:$140</definedName>
    <definedName name="MO_RIS_COGS_Adjustments">Model!$377:$377</definedName>
    <definedName name="MO_RIS_DA" localSheetId="5">Company1719!$163:$163</definedName>
    <definedName name="MO_RIS_DA">Model!$399:$399</definedName>
    <definedName name="MO_RIS_DAintangibles" localSheetId="5">Company1719!$174:$174</definedName>
    <definedName name="MO_RIS_DAintangibles">Model!$417:$417</definedName>
    <definedName name="MO_RIS_DAintangibles_COGS" localSheetId="5">Company1719!$138:$138</definedName>
    <definedName name="MO_RIS_DeferredTax_To_TotalNonGAAPTax">Model!$429:$429</definedName>
    <definedName name="MO_RIS_EBIT_NONGAAP">Model!$394:$394</definedName>
    <definedName name="MO_RIS_EBITDA_Adj" localSheetId="5">Company1719!$164:$164</definedName>
    <definedName name="MO_RIS_EBITDA_Adj">Model!$400:$400</definedName>
    <definedName name="MO_RIS_EBITDA_NONGAAP">Model!$400:$400</definedName>
    <definedName name="MO_RIS_EBT_NONGAAP">Model!$411:$411</definedName>
    <definedName name="MO_RIS_EPS_Company2917" localSheetId="5">Company1719!$183:$183</definedName>
    <definedName name="MO_RIS_EPS_Company2917">Model!$431:$431</definedName>
    <definedName name="MO_RIS_EPS_WAD" localSheetId="5">Company1719!$184:$184</definedName>
    <definedName name="MO_RIS_EPS_WAD">Model!$432:$432</definedName>
    <definedName name="MO_RIS_EPS_WAD_Adj" localSheetId="5">Company1719!$185:$185</definedName>
    <definedName name="MO_RIS_EPS_WAD_Adj">Model!$433:$433</definedName>
    <definedName name="MO_RIS_GA" localSheetId="5">Company1719!$148:$148</definedName>
    <definedName name="MO_RIS_GA_NONGAAP" localSheetId="5">Company1719!$152:$152</definedName>
    <definedName name="MO_RIS_GAAP_Adjustments" localSheetId="5">Company1719!$175:$175</definedName>
    <definedName name="MO_RIS_GAAP_Adjustments">Model!$420:$420</definedName>
    <definedName name="MO_RIS_GP_NONGAAP" localSheetId="5">Company1719!$141:$141</definedName>
    <definedName name="MO_RIS_GP_NONGAAP">Model!$378:$378</definedName>
    <definedName name="MO_RIS_IE">Model!$403:$403</definedName>
    <definedName name="MO_RIS_IE_Adjustments">Model!$419:$419</definedName>
    <definedName name="MO_RIS_IE_Net">Model!$405:$405</definedName>
    <definedName name="MO_RIS_IE_Net_NONGAAP">Model!$407:$407</definedName>
    <definedName name="MO_RIS_IE_NONGAAP" localSheetId="5">Company1719!$167:$167</definedName>
    <definedName name="MO_RIS_IE_NONGAAP_Adjustments">Model!$406:$406</definedName>
    <definedName name="MO_RIS_II">Model!$404:$404</definedName>
    <definedName name="MO_RIS_NI_GAAP_Basic" localSheetId="5">Company1719!$176:$176</definedName>
    <definedName name="MO_RIS_NI_GAAP_Basic">Model!$422:$422</definedName>
    <definedName name="MO_RIS_NI_GAAP_Diluted" localSheetId="5">Company1719!$178:$178</definedName>
    <definedName name="MO_RIS_NI_GAAP_Diluted">Model!$424:$424</definedName>
    <definedName name="MO_RIS_NI_NONGAAP_Diluted" localSheetId="5">Company1719!$172:$172</definedName>
    <definedName name="MO_RIS_NI_NONGAAP_Diluted">Model!$415:$415</definedName>
    <definedName name="MO_RIS_OI">Model!$408:$408</definedName>
    <definedName name="MO_RIS_OI_NONGAAP" localSheetId="5">Company1719!$168:$168</definedName>
    <definedName name="MO_RIS_OI_NONGAAP">Model!$410:$410</definedName>
    <definedName name="MO_RIS_OI_NONGAAP_Adjustments">Model!$409:$409</definedName>
    <definedName name="MO_RIS_OO_Adjustments">Model!$418:$418</definedName>
    <definedName name="MO_RIS_OPEX">Model!$391:$391</definedName>
    <definedName name="MO_RIS_OPEX_Adjustments">Model!$392:$392</definedName>
    <definedName name="MO_RIS_OPEX_NONGAAP">Model!$393:$393</definedName>
    <definedName name="MO_RIS_OtherOperating_NONGAAP" localSheetId="5">Company1719!$159:$159</definedName>
    <definedName name="MO_RIS_OtherOperating_NONGAAP">Model!$395:$395</definedName>
    <definedName name="MO_RIS_RD" localSheetId="5">Company1719!$143:$143</definedName>
    <definedName name="MO_RIS_RD">Model!$381:$381</definedName>
    <definedName name="MO_RIS_RD_Adjustments">Model!$384:$384</definedName>
    <definedName name="MO_RIS_RD_NONGAAP" localSheetId="5">Company1719!$147:$147</definedName>
    <definedName name="MO_RIS_RD_NONGAAP">Model!$385:$385</definedName>
    <definedName name="MO_RIS_Reported_OperatingIncome_NONGAAP" localSheetId="5">Company1719!$160:$160</definedName>
    <definedName name="MO_RIS_Reported_OperatingIncome_NONGAAP">Model!$396:$396</definedName>
    <definedName name="MO_RIS_REV" localSheetId="5">Company1719!$133:$133</definedName>
    <definedName name="MO_RIS_REV">Model!$370:$370</definedName>
    <definedName name="MO_RIS_SBC" localSheetId="5">Company1719!$173:$173</definedName>
    <definedName name="MO_RIS_SBC">Model!$416:$416</definedName>
    <definedName name="MO_RIS_SBC_COGS" localSheetId="5">Company1719!$137:$137</definedName>
    <definedName name="MO_RIS_SBC_COGS">Model!$375:$375</definedName>
    <definedName name="MO_RIS_SBC_RD">Model!$382:$382</definedName>
    <definedName name="MO_RIS_SBC_SGA">Model!$387:$387</definedName>
    <definedName name="MO_RIS_SGA">Model!$386:$386</definedName>
    <definedName name="MO_RIS_SGA_Adjustments">Model!$389:$389</definedName>
    <definedName name="MO_RIS_SGA_NONGAAP">Model!$390:$390</definedName>
    <definedName name="MO_RIS_ShareCount_Company2917" localSheetId="5">Company1719!$188:$188</definedName>
    <definedName name="MO_RIS_ShareCount_Company2917">Model!$436:$436</definedName>
    <definedName name="MO_RIS_ShareCount_WAD" localSheetId="5">Company1719!$189:$189</definedName>
    <definedName name="MO_RIS_ShareCount_WAD">Model!$437:$437</definedName>
    <definedName name="MO_RIS_ShareCount_WAD_Adj" localSheetId="5">Company1719!$190:$190</definedName>
    <definedName name="MO_RIS_ShareCount_WAD_Adj">Model!$438:$438</definedName>
    <definedName name="MO_RIS_SM" localSheetId="5">Company1719!$153:$153</definedName>
    <definedName name="MO_RIS_SM_NONGAAP" localSheetId="5">Company1719!$157:$157</definedName>
    <definedName name="MO_RIS_Tax">Model!$412:$412</definedName>
    <definedName name="MO_RIS_Tax_NONGAAP" localSheetId="5">Company1719!$171:$171</definedName>
    <definedName name="MO_RIS_Tax_NONGAAP">Model!$414:$414</definedName>
    <definedName name="MO_RIS_Tax_NONGAAP_Adjustments">Model!$413:$413</definedName>
    <definedName name="MO_RIS_TaxImpact_Adjustments">Model!$421:$421</definedName>
    <definedName name="MO_RIS_TaxRate">Model!$428:$428</definedName>
    <definedName name="MO_RIS_TaxRate_NONGAAP" localSheetId="5">Company1719!$180:$180</definedName>
    <definedName name="MO_RIS_TaxRate_NONGAAP">Model!$426:$426</definedName>
    <definedName name="MO_RIS_TaxRate_OnAdjustments">Model!$427:$427</definedName>
    <definedName name="MO_SCA_Date_CoverPage">Model!$495:$495</definedName>
    <definedName name="MO_SCA_Date_LastWorkingDay">Model!$441:$441</definedName>
    <definedName name="MO_SCA_ESPPObligations_EoP">Model!$488:$488</definedName>
    <definedName name="MO_SCA_Ratio_DilutedOverBasic">Model!$453:$453</definedName>
    <definedName name="MO_SCA_Repurchase_DollarValue">Model!$512:$512</definedName>
    <definedName name="MO_SCA_Repurchase_Program_Addition">Model!$517:$517</definedName>
    <definedName name="MO_SCA_Repurchase_Program_Remaining">Model!$522:$522</definedName>
    <definedName name="MO_SCA_Repurchase_Reported_Price">Model!$507:$507</definedName>
    <definedName name="MO_SCA_Repurchase_Reported_Shares_Total">Model!$502:$502</definedName>
    <definedName name="MO_SCA_ShareCount_CoverPage">Model!$494:$494</definedName>
    <definedName name="MO_SCA_ShareCount_CoverPage_Class1">Model!$494:$494</definedName>
    <definedName name="MO_SCA_ShareCount_CoverPage_Dilutive">Model!$497:$497</definedName>
    <definedName name="MO_SCA_ShareCount_CoverPage_Ticker1">Model!$494:$494</definedName>
    <definedName name="MO_SCA_ShareCount_DilutiveShares">Model!$452:$452</definedName>
    <definedName name="MO_SCA_ShareCount_EoP">Model!$444:$444</definedName>
    <definedName name="MO_SCA_ShareCount_EoP_Class1">Model!$444:$444</definedName>
    <definedName name="MO_SCA_ShareCount_EoP_Diluted">Model!$455:$455</definedName>
    <definedName name="MO_SCA_ShareCount_EoP_Growth_Dilutive_QoQ">Model!$445:$445</definedName>
    <definedName name="MO_SCA_ShareCount_EoP_Growth_Dilutive_YoY">Model!$446:$446</definedName>
    <definedName name="MO_SCA_ShareCount_EoP_Growth_NetIssuance_QoQ">Model!$447:$447</definedName>
    <definedName name="MO_SCA_ShareCount_EoP_Growth_NetIssuance_YoY">Model!$448:$448</definedName>
    <definedName name="MO_SCA_ShareCount_EoP_Growth_QoQ">Model!$449:$449</definedName>
    <definedName name="MO_SCA_ShareCount_EoP_Growth_YoY">Model!$450:$450</definedName>
    <definedName name="MO_SCA_ShareCount_EoP_Ticker1">Model!$444:$444</definedName>
    <definedName name="MO_SCA_ShareCount_FullyDiluted">Model!$492:$492</definedName>
    <definedName name="MO_SCA_ShareCount_PotentialDilution">Model!$490:$490</definedName>
    <definedName name="MO_SCA_StockOptions_BoP">Model!$463:$463</definedName>
    <definedName name="MO_SCA_StockOptions_Canceled">Model!$466:$466</definedName>
    <definedName name="MO_SCA_StockOptions_Cumulative_BoP">Model!$457:$457</definedName>
    <definedName name="MO_SCA_StockOptions_Cumulative_Canceled">Model!$460:$460</definedName>
    <definedName name="MO_SCA_StockOptions_Cumulative_EoP">Model!$461:$461</definedName>
    <definedName name="MO_SCA_StockOptions_Cumulative_Exercised">Model!$459:$459</definedName>
    <definedName name="MO_SCA_StockOptions_Cumulative_Granted">Model!$458:$458</definedName>
    <definedName name="MO_SCA_StockOptions_Dilution">Model!$480:$480</definedName>
    <definedName name="MO_SCA_StockOptions_EoP">Model!$467:$467</definedName>
    <definedName name="MO_SCA_StockOptions_Exercisable">Model!$482:$482</definedName>
    <definedName name="MO_SCA_StockOptions_Exercised">Model!$465:$465</definedName>
    <definedName name="MO_SCA_StockOptions_Granted">Model!$464:$464</definedName>
    <definedName name="MO_SCA_StockOptions_Price_BoP">Model!$475:$475</definedName>
    <definedName name="MO_SCA_StockOptions_Price_Canceled">Model!$478:$478</definedName>
    <definedName name="MO_SCA_StockOptions_Price_Cumulative_BoP">Model!$469:$469</definedName>
    <definedName name="MO_SCA_StockOptions_Price_Cumulative_Canceled">Model!$472:$472</definedName>
    <definedName name="MO_SCA_StockOptions_Price_Cumulative_EoP">Model!$473:$473</definedName>
    <definedName name="MO_SCA_StockOptions_Price_Cumulative_Exercised">Model!$471:$471</definedName>
    <definedName name="MO_SCA_StockOptions_Price_Cumulative_Granted">Model!$470:$470</definedName>
    <definedName name="MO_SCA_StockOptions_Price_EoP">Model!$479:$479</definedName>
    <definedName name="MO_SCA_StockOptions_Price_Exercisable">Model!$483:$483</definedName>
    <definedName name="MO_SCA_StockOptions_Price_Exercised">Model!$477:$477</definedName>
    <definedName name="MO_SCA_StockOptions_Price_Granted">Model!$476:$476</definedName>
    <definedName name="MO_SCA_StockPrice_EoP">Model!$442:$442</definedName>
    <definedName name="MO_SCA_UnvestedRSU_EoP">Model!$485:$485</definedName>
    <definedName name="MO_SCA_UnvestedRSU_Price_EoP">Model!$486:$486</definedName>
    <definedName name="MO_Section_AdjustedNumbers" localSheetId="5">Company1719!$74:$74</definedName>
    <definedName name="MO_Section_AdjustedNumbers">Model!$319:$319</definedName>
    <definedName name="MO_Section_BalanceSheet" localSheetId="5">Company1719!$349:$349</definedName>
    <definedName name="MO_Section_BalanceSheet">Model!$958:$958</definedName>
    <definedName name="MO_Section_BalanceSheetSummary" localSheetId="5">Company1719!$207:$207</definedName>
    <definedName name="MO_Section_BalanceSheetSummary">Model!$733:$733</definedName>
    <definedName name="MO_Section_BoardDiversity">'Exec Comp'!$51:$51</definedName>
    <definedName name="MO_Section_Source">'Exec Comp'!$132:$132</definedName>
    <definedName name="MO_Section_CapexGuidanceAnalysis">Model!$550:$550</definedName>
    <definedName name="MO_Section_CashFlowStatement" localSheetId="5">Company1719!$286:$286</definedName>
    <definedName name="MO_Section_CashFlowStatement">Model!$849:$849</definedName>
    <definedName name="MO_Section_CashFlowSummary" localSheetId="5">Company1719!$192:$192</definedName>
    <definedName name="MO_Section_CashFlowSummary">Model!$702:$702</definedName>
    <definedName name="MO_Section_CompanyFinancialGoals">'Exec Comp'!$114:$114</definedName>
    <definedName name="MO_Section_Copyright" localSheetId="5">Company1719!$495:$495</definedName>
    <definedName name="MO_Section_CumulativeCashFlowStatement" localSheetId="5">Company1719!$236:$236</definedName>
    <definedName name="MO_Section_CumulativeCashFlowStatement">Model!$777:$777</definedName>
    <definedName name="MO_Section_DAForecasting">Model!$923:$923</definedName>
    <definedName name="MO_Section_DirectorCompensation">'Exec Comp'!$60:$60</definedName>
    <definedName name="MO_Section_ExecutiveCompensation">'Exec Comp'!$6:$6</definedName>
    <definedName name="MO_Section_GrowthAnalysis" localSheetId="5">Company1719!$6:$6</definedName>
    <definedName name="MO_Section_GuidanceAnalysis">Model!$524:$524</definedName>
    <definedName name="MO_Section_IncomeStatement" localSheetId="5">Company1719!$55:$55</definedName>
    <definedName name="MO_Section_IncomeStatement">Model!$299:$299</definedName>
    <definedName name="MO_Section_KeyMetricsCustomerConcentrationFS">Model!$270:$270</definedName>
    <definedName name="MO_Section_KeyMetricsDaysSalesOutstandingCFOCommentary">Model!$228:$228</definedName>
    <definedName name="MO_Section_KeyMetricsDeferredRevenuesandRPOsFS">Model!$213:$213</definedName>
    <definedName name="MO_Section_KeyMetricsEmployeesFS">Model!$241:$241</definedName>
    <definedName name="MO_Section_KeyMetricsInventoryProvisionsFS">Model!$246:$246</definedName>
    <definedName name="MO_Section_KeyMetricsInventoryPurchaseandLongtermSupplyObligationsFS">Model!$253:$253</definedName>
    <definedName name="MO_Section_KeyMetricsMajorCustomerswithRevenues10FS" localSheetId="5">Company1719!$33:$33</definedName>
    <definedName name="MO_Section_KeyMetricsTotalAddressableMarketIP">Model!$233:$233</definedName>
    <definedName name="MO_Section_LastRow" localSheetId="5">Company1719!$495:$495</definedName>
    <definedName name="MO_Section_LastRow">Model!$1193:$1193</definedName>
    <definedName name="MO_Section_MarginAnalysis" localSheetId="5">Company1719!$38:$38</definedName>
    <definedName name="MO_Section_MarginAnalysis">Model!$276:$276</definedName>
    <definedName name="MO_Section_ModelChecks" localSheetId="5">Company1719!$401:$401</definedName>
    <definedName name="MO_Section_ModelChecks">Model!$1021:$1021</definedName>
    <definedName name="MO_Section_NonGaapGrossProfitGuidanceAnalysis">Model!$629:$629</definedName>
    <definedName name="MO_Section_NonGAAPOperatingExpensesGuidanceAnalysis">Model!$525:$525</definedName>
    <definedName name="MO_Section_OperatingExpenseForecasting">Model!$43:$43</definedName>
    <definedName name="MO_Section_OtherAlignmentDataPoints">'Exec Comp'!$109:$109</definedName>
    <definedName name="MO_Section_RevenueBuildFSPR">Model!$6:$6</definedName>
    <definedName name="MO_Section_RevenueGuidanceAnalysis">Model!$575:$575</definedName>
    <definedName name="MO_Section_RevisedIncomeStatement" localSheetId="5">Company1719!$132:$132</definedName>
    <definedName name="MO_Section_RevisedIncomeStatement">Model!$369:$369</definedName>
    <definedName name="MO_Section_SBCDAAcquisitionrelatedCostsBreakdownFS">Model!$116:$116</definedName>
    <definedName name="MO_Section_SegmentedResultsGeographicBreakdownFS">Model!$192:$192</definedName>
    <definedName name="MO_Section_SegmentedResultsOperatingIncomeBreakdownFS">Model!$148:$148</definedName>
    <definedName name="MO_Section_SegmentedResultsRevenueBreakdownFS">Model!$132:$132</definedName>
    <definedName name="MO_Section_SegmentedResultsRevenueBreakdownInterconnectProtocolandDataRateFS" localSheetId="5">Company1719!$20:$20</definedName>
    <definedName name="MO_Section_SegmentedResultsRevenueBreakdownProductCategoryFS" localSheetId="5">Company1719!$13:$13</definedName>
    <definedName name="MO_Section_ShareCountAnalysis">Model!$440:$440</definedName>
    <definedName name="MO_Section_SupplementalData">Model!$131:$131</definedName>
    <definedName name="MO_Section_Tables" localSheetId="5">Company1719!$423:$423</definedName>
    <definedName name="MO_Section_Tables">Model!$1045:$1045</definedName>
    <definedName name="MO_Section_Valuation" localSheetId="5">Company1719!$214:$214</definedName>
    <definedName name="MO_Section_Valuation">Model!$752:$752</definedName>
    <definedName name="MO_Section_WorkingCapitalForecasting" localSheetId="5">Company1719!$338:$338</definedName>
    <definedName name="MO_Section_WorkingCapitalForecasting">Model!$947:$947</definedName>
    <definedName name="MO_SNA_ConsensusEstimatePeriodNumber">Model!$1129:$1129</definedName>
    <definedName name="MO_SNA_ConsensusEstimatePeriodType">Model!$1128:$1128</definedName>
    <definedName name="MO_SNA_FPStartDate" localSheetId="5">Company1719!$449:$449</definedName>
    <definedName name="MO_SNA_FPStartDate">Model!$1140:$1140</definedName>
    <definedName name="MO_SNA_Guidance_ApplicablePeriod_FY">Model!$1112:$1112</definedName>
    <definedName name="MO_SNA_Guidance_ApplicablePeriod_Q">Model!$1094:$1094</definedName>
    <definedName name="MO_SNA_Guidance_IsLatest_FY">Model!$1111:$1111</definedName>
    <definedName name="MO_SNA_Guidance_ReportDate_FY">Model!$1110:$1110</definedName>
    <definedName name="MO_SNA_Guidance_ReportDate_Q">Model!$1093:$1093</definedName>
    <definedName name="MO_SNA_IsHistoricalPeriod" localSheetId="5">Company1719!$450:$450</definedName>
    <definedName name="MO_SNA_IsHistoricalPeriod">Model!$1141:$1141</definedName>
    <definedName name="MO_SNA_LastDataRow" localSheetId="5">Company1719!$397:$397</definedName>
    <definedName name="MO_SNA_LastDataRow">Model!$1017:$1017</definedName>
    <definedName name="MO_SPT_FXAverage" localSheetId="5">Company1719!$472:$472</definedName>
    <definedName name="MO_SPT_FXAverage">Model!$1163:$1163</definedName>
    <definedName name="MO_SPT_FXAverage_Sources" localSheetId="5">Company1719!$473:$477</definedName>
    <definedName name="MO_SPT_FXAverage_Sources">Model!$1164:$1168</definedName>
    <definedName name="MO_SPT_FXAverage_Sources_Bloomberg">Model!$1165:$1165</definedName>
    <definedName name="MO_SPT_FXAverage_Sources_CapIQ">Model!$1166:$1166</definedName>
    <definedName name="MO_SPT_FXAverage_Sources_FactSet">Model!$1167:$1167</definedName>
    <definedName name="MO_SPT_FXAverage_Sources_RealTimeOff">Model!$1164:$1164</definedName>
    <definedName name="MO_SPT_FXAverage_Sources_Thomson">Model!$1168:$1168</definedName>
    <definedName name="MO_SPT_FXEoP">Model!$1172:$1172</definedName>
    <definedName name="MO_SPT_StockAverage" localSheetId="5">Company1719!$465:$465</definedName>
    <definedName name="MO_SPT_StockAverage">Model!$1156:$1156</definedName>
    <definedName name="MO_SPT_StockAverage_Sources" localSheetId="5">Company1719!$466:$470</definedName>
    <definedName name="MO_SPT_StockAverage_Sources">Model!$1157:$1161</definedName>
    <definedName name="MO_SPT_StockAverage_Sources_Bloomberg">Model!$1158:$1158</definedName>
    <definedName name="MO_SPT_StockAverage_Sources_CapIQ">Model!$1159:$1159</definedName>
    <definedName name="MO_SPT_StockAverage_Sources_FactSet">Model!$1160:$1160</definedName>
    <definedName name="MO_SPT_StockAverage_Sources_RealTimeOff">Model!$1157:$1157</definedName>
    <definedName name="MO_SPT_StockAverage_Sources_Thomson">Model!$1161:$1161</definedName>
    <definedName name="MO_SPT_StockEoP">Model!$1171:$1171</definedName>
    <definedName name="MO_SPT_StockHigh" localSheetId="5">Company1719!$451:$451</definedName>
    <definedName name="MO_SPT_StockHigh">Model!$1142:$1142</definedName>
    <definedName name="MO_SPT_StockHigh_Sources" localSheetId="5">Company1719!$452:$456</definedName>
    <definedName name="MO_SPT_StockHigh_Sources">Model!$1143:$1147</definedName>
    <definedName name="MO_SPT_StockHigh_Sources_Bloomberg">Model!$1144:$1144</definedName>
    <definedName name="MO_SPT_StockHigh_Sources_CapIQ">Model!$1145:$1145</definedName>
    <definedName name="MO_SPT_StockHigh_Sources_FactSet">Model!$1146:$1146</definedName>
    <definedName name="MO_SPT_StockHigh_Sources_RealTimeOff">Model!$1143:$1143</definedName>
    <definedName name="MO_SPT_StockHigh_Sources_Thomson">Model!$1147:$1147</definedName>
    <definedName name="MO_SPT_StockLow" localSheetId="5">Company1719!$458:$458</definedName>
    <definedName name="MO_SPT_StockLow">Model!$1149:$1149</definedName>
    <definedName name="MO_SPT_StockLow_Sources" localSheetId="5">Company1719!$459:$463</definedName>
    <definedName name="MO_SPT_StockLow_Sources">Model!$1150:$1154</definedName>
    <definedName name="MO_SPT_StockLow_Sources_Bloomberg">Model!$1151:$1151</definedName>
    <definedName name="MO_SPT_StockLow_Sources_CapIQ">Model!$1152:$1152</definedName>
    <definedName name="MO_SPT_StockLow_Sources_FactSet">Model!$1153:$1153</definedName>
    <definedName name="MO_SPT_StockLow_Sources_RealTimeOff">Model!$1150:$1150</definedName>
    <definedName name="MO_SPT_StockLow_Sources_Thomson">Model!$1154:$1154</definedName>
    <definedName name="MO_SR_Geo_China">Model!$194:$194</definedName>
    <definedName name="MO_SR_Geo_Taiwan">Model!$193:$193</definedName>
    <definedName name="MO_SR_Geo_US">Model!$195:$195</definedName>
    <definedName name="MO_SR_SEMI_Auto">Model!$26:$26</definedName>
    <definedName name="MO_SR_SEMI_Comp">Model!$11:$11</definedName>
    <definedName name="MO_SR_SEMI_Cons">Model!$7:$7</definedName>
    <definedName name="MO_SR_SEMI_Data">Model!$22:$22</definedName>
    <definedName name="MO_SubSection_BS_CA" localSheetId="5">Company1719!$350:$350</definedName>
    <definedName name="MO_SubSection_BS_CA">Model!$959:$959</definedName>
    <definedName name="MO_SubSection_BS_CL" localSheetId="5">Company1719!$371:$371</definedName>
    <definedName name="MO_SubSection_BS_CL">Model!$992:$992</definedName>
    <definedName name="MO_SubSection_BS_NCA" localSheetId="5">Company1719!$360:$360</definedName>
    <definedName name="MO_SubSection_BS_NCA">Model!$972:$972</definedName>
    <definedName name="MO_SubSection_BS_NCL" localSheetId="5">Company1719!$380:$380</definedName>
    <definedName name="MO_SubSection_BS_NCL">Model!$999:$999</definedName>
    <definedName name="MO_SubSection_BS_SE" localSheetId="5">Company1719!$390:$390</definedName>
    <definedName name="MO_SubSection_BS_SE">Model!$1008:$1008</definedName>
    <definedName name="MO_SubSection_CCFS_CFF" localSheetId="5">Company1719!$269:$269</definedName>
    <definedName name="MO_SubSection_CCFS_CFF">Model!$820:$820</definedName>
    <definedName name="MO_SubSection_CCFS_CFI" localSheetId="5">Company1719!$255:$255</definedName>
    <definedName name="MO_SubSection_CCFS_CFI">Model!$807:$807</definedName>
    <definedName name="MO_SubSection_CCFS_CFO" localSheetId="5">Company1719!$237:$237</definedName>
    <definedName name="MO_SubSection_CCFS_CFO">Model!$778:$778</definedName>
    <definedName name="MO_SubSection_CFS_CFF" localSheetId="5">Company1719!$319:$319</definedName>
    <definedName name="MO_SubSection_CFS_CFF">Model!$892:$892</definedName>
    <definedName name="MO_SubSection_CFS_CFI" localSheetId="5">Company1719!$305:$305</definedName>
    <definedName name="MO_SubSection_CFS_CFI">Model!$879:$879</definedName>
    <definedName name="MO_SubSection_CFS_CFO" localSheetId="5">Company1719!$287:$287</definedName>
    <definedName name="MO_SubSection_CFS_CFO">Model!$850:$850</definedName>
    <definedName name="MO_VA_EV" localSheetId="5">Company1719!$217:$217</definedName>
    <definedName name="MO_VA_EV">Model!$755:$755</definedName>
    <definedName name="MO_VA_EV_ToEBITDA" localSheetId="5">Company1719!$220:$220</definedName>
    <definedName name="MO_VA_EV_ToEBITDA">Model!$759:$759</definedName>
    <definedName name="MO_VA_EV_ToSales">Model!$758:$758</definedName>
    <definedName name="MO_VA_EVCalc_NCI" localSheetId="5">Company1719!$232:$232</definedName>
    <definedName name="MO_VA_EVCalc_NCI">Model!$773:$773</definedName>
    <definedName name="MO_VA_EVCalc_Other" localSheetId="5">Company1719!$234:$234</definedName>
    <definedName name="MO_VA_EVCalc_Other">Model!$775:$775</definedName>
    <definedName name="MO_VA_EVCalc_Prefs" localSheetId="5">Company1719!$233:$233</definedName>
    <definedName name="MO_VA_EVCalc_Prefs">Model!$774:$774</definedName>
    <definedName name="MO_VA_FCFYield_ToEV" localSheetId="5">Company1719!$223:$223</definedName>
    <definedName name="MO_VA_FCFYield_ToEV">Model!$762:$762</definedName>
    <definedName name="MO_VA_FCFYield_ToMktCap" localSheetId="5">Company1719!$222:$222</definedName>
    <definedName name="MO_VA_FCFYield_ToMktCap">Model!$761:$761</definedName>
    <definedName name="MO_VA_FX_Average" localSheetId="5">Company1719!$228:$228</definedName>
    <definedName name="MO_VA_FX_Average">Model!$768:$768</definedName>
    <definedName name="MO_VA_FX_EoP">Model!$769:$769</definedName>
    <definedName name="MO_VA_MarketCap" localSheetId="5">Company1719!$216:$216</definedName>
    <definedName name="MO_VA_MarketCap">Model!$754:$754</definedName>
    <definedName name="MO_VA_P_ToCF" localSheetId="5">Company1719!$221:$221</definedName>
    <definedName name="MO_VA_P_ToCF">Model!$760:$760</definedName>
    <definedName name="MO_VA_P_ToE" localSheetId="5">Company1719!$219:$219</definedName>
    <definedName name="MO_VA_P_ToE">Model!$757:$757</definedName>
    <definedName name="MO_VA_StockPrice" localSheetId="5">Company1719!$215:$215</definedName>
    <definedName name="MO_VA_StockPrice">Model!$753:$753</definedName>
    <definedName name="MO_VA_StockPrice_Avg" localSheetId="5">Company1719!$227:$227</definedName>
    <definedName name="MO_VA_StockPrice_Avg">Model!$766:$766</definedName>
    <definedName name="MO_VA_StockPrice_EoP">Model!$767:$767</definedName>
    <definedName name="MO_VA_StockPrice_High" localSheetId="5">Company1719!$225:$225</definedName>
    <definedName name="MO_VA_StockPrice_High">Model!$764:$764</definedName>
    <definedName name="MO_VA_StockPrice_Low" localSheetId="5">Company1719!$226:$226</definedName>
    <definedName name="MO_VA_StockPrice_Low">Model!$765:$765</definedName>
    <definedName name="MO_VA_StockPrice_TradingCurrency" localSheetId="5">Company1719!$229:$229</definedName>
    <definedName name="MO_VA_StockPrice_TradingCurrency">Model!$770:$770</definedName>
    <definedName name="MO_WCF_AP_Margin" localSheetId="5">Company1719!$341:$341</definedName>
    <definedName name="MO_WCF_AP_Margin">Model!$950:$950</definedName>
    <definedName name="MO_WCF_AP_Margin_Change" localSheetId="5">Company1719!$346:$346</definedName>
    <definedName name="MO_WCF_AP_Margin_Change">Model!$955:$955</definedName>
    <definedName name="MO_WCF_AR_Margin" localSheetId="5">Company1719!$339:$339</definedName>
    <definedName name="MO_WCF_AR_Margin">Model!$948:$948</definedName>
    <definedName name="MO_WCF_AR_Margin_Change" localSheetId="5">Company1719!$344:$344</definedName>
    <definedName name="MO_WCF_AR_Margin_Change">Model!$953:$953</definedName>
    <definedName name="MO_WCF_INV_Margin" localSheetId="5">Company1719!$340:$340</definedName>
    <definedName name="MO_WCF_INV_Margin">Model!$949:$949</definedName>
    <definedName name="MO_WCF_INV_Margin_Change" localSheetId="5">Company1719!$345:$345</definedName>
    <definedName name="MO_WCF_INV_Margin_Change">Model!$954:$954</definedName>
    <definedName name="_xlnm.Print_Area" localSheetId="1">Model!$A$1:$CK$1017</definedName>
    <definedName name="_xlnm.Print_Area" localSheetId="4">'Summary Page'!$A$1:$CK$126</definedName>
    <definedName name="_xlnm.Print_Titles" localSheetId="1">Model!$5:$5</definedName>
    <definedName name="SP.ReportFX">'Summary Page'!$B$2</definedName>
    <definedName name="SP.ValuationToggle">'Summary Page'!$B$4</definedName>
    <definedName name="SP_BSR_Capital">'Summary Page'!$87:$87</definedName>
    <definedName name="SP_BSR_CashFlow">'Summary Page'!$86:$86</definedName>
    <definedName name="SP_BSR_CashFlow_LTM">'Summary Page'!$89:$89</definedName>
    <definedName name="SP_BSR_CL">'Summary Page'!$108:$108</definedName>
    <definedName name="SP_BSR_CL_Avg">'Summary Page'!$109:$109</definedName>
    <definedName name="SP_BSR_Debt">'Summary Page'!$102:$102</definedName>
    <definedName name="SP_BSR_Debt_Avg">'Summary Page'!$103:$103</definedName>
    <definedName name="SP_BSR_EBITDA">'Summary Page'!$85:$85</definedName>
    <definedName name="SP_BSR_EBITDA_LTM">'Summary Page'!$88:$88</definedName>
    <definedName name="SP_BSR_SE">'Summary Page'!$94:$94</definedName>
    <definedName name="SP_BSR_SE_Avg">'Summary Page'!$95:$95</definedName>
    <definedName name="SP_BSR_TA">'Summary Page'!$99:$99</definedName>
    <definedName name="SP_BSR_TA_Avg">'Summary Page'!$100:$100</definedName>
    <definedName name="SP_CFA_Acquisition">'Summary Page'!$71:$71</definedName>
    <definedName name="SP_CFA_Capex">'Summary Page'!$67:$67</definedName>
    <definedName name="SP_CFA_CFO">'Summary Page'!$66:$66</definedName>
    <definedName name="SP_CFA_CFO_BeforeWC">'Summary Page'!$64:$64</definedName>
    <definedName name="SP_CFA_CFO_PerShare">'Summary Page'!$78:$78</definedName>
    <definedName name="SP_CFA_Debt">'Summary Page'!$74:$74</definedName>
    <definedName name="SP_CFA_Div">'Summary Page'!$69:$69</definedName>
    <definedName name="SP_CFA_Div_PerShare">'Summary Page'!$80:$80</definedName>
    <definedName name="SP_CFA_Divestiture">'Summary Page'!$72:$72</definedName>
    <definedName name="SP_CFA_Equity">'Summary Page'!$73:$73</definedName>
    <definedName name="SP_CFA_FCF_PerShare">'Summary Page'!$79:$79</definedName>
    <definedName name="SP_CFA_FCF_PostDiv">'Summary Page'!$70:$70</definedName>
    <definedName name="SP_CFA_FCF_PreDiv">'Summary Page'!$68:$68</definedName>
    <definedName name="SP_CFA_NetChange">'Summary Page'!$76:$76</definedName>
    <definedName name="SP_CFA_Other">'Summary Page'!$75:$75</definedName>
    <definedName name="SP_CFA_Payout_vsEPS">'Summary Page'!$82:$82</definedName>
    <definedName name="SP_CFA_Payout_vsFCF">'Summary Page'!$81:$81</definedName>
    <definedName name="SP_CFA_WC">'Summary Page'!$65:$65</definedName>
    <definedName name="SP_Checks_SummaryPage">'Summary Page'!$C$129:$XFD$132</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'Summary Page'!$5:$5</definedName>
    <definedName name="SP_CS_ShareCount_EoP_Diluted">'Summary Page'!$5:$5</definedName>
    <definedName name="SP_CS_StockPrice">'Summary Page'!$4:$4</definedName>
    <definedName name="SP_GF_COGS">'Summary Page'!$30:$30</definedName>
    <definedName name="SP_GF_EBITDA">'Summary Page'!$38:$38</definedName>
    <definedName name="SP_GF_EBT">'Summary Page'!$41:$41</definedName>
    <definedName name="SP_GF_EPS_WAD">'Summary Page'!$47:$47</definedName>
    <definedName name="SP_GF_IE">'Summary Page'!$39:$39</definedName>
    <definedName name="SP_GF_IE_Net">'Summary Page'!$39:$39</definedName>
    <definedName name="SP_GF_NI">'Summary Page'!$43:$43</definedName>
    <definedName name="SP_GF_OI">'Summary Page'!$40:$40</definedName>
    <definedName name="SP_GF_RD">'Summary Page'!$35:$35</definedName>
    <definedName name="SP_GF_Rev">'Summary Page'!$29:$29</definedName>
    <definedName name="SP_GF_SGA">'Summary Page'!$35:$35</definedName>
    <definedName name="SP_GF_ShareCount">'Summary Page'!$48:$48</definedName>
    <definedName name="SP_GF_SM">'Summary Page'!$35:$35</definedName>
    <definedName name="SP_GF_Tax">'Summary Page'!$42:$42</definedName>
    <definedName name="SP_MA_EBITDA">'Summary Page'!$60:$60</definedName>
    <definedName name="SP_MA_EBITDA_Adj">'Summary Page'!$61:$61</definedName>
    <definedName name="SP_MA_GA">'Summary Page'!$58:$58</definedName>
    <definedName name="SP_MA_SM">'Summary Page'!$57:$57</definedName>
    <definedName name="SP_Company1876_EBITDA">'Summary Page'!$51:$51</definedName>
    <definedName name="SP_Company1876_EPS">'Summary Page'!$53:$53</definedName>
    <definedName name="SP_Company1876_NI">'Summary Page'!$52:$52</definedName>
    <definedName name="SP_PR_ROA">'Summary Page'!$101:$101</definedName>
    <definedName name="SP_PR_ROCE">'Summary Page'!$111:$111</definedName>
    <definedName name="SP_PR_ROE">'Summary Page'!$96:$96</definedName>
    <definedName name="SP_PR_ROIC">'Summary Page'!$105:$105</definedName>
    <definedName name="SP_Company2123_CFO">'Summary Page'!$117:$117</definedName>
    <definedName name="SP_Section_BalanceSheetRatios">'Summary Page'!$84:$84</definedName>
    <definedName name="SP_Section_CapitalizationSummary">'Summary Page'!$3:$3</definedName>
    <definedName name="SP_Section_CashFlowAnalysis">'Summary Page'!$63:$63</definedName>
    <definedName name="SP_Section_Checks">'Summary Page'!$128:$128</definedName>
    <definedName name="SP_Section_GAAPFinancials">'Summary Page'!$28:$28</definedName>
    <definedName name="SP_Section_LastRow">'Summary Page'!$134:$134</definedName>
    <definedName name="SP_Section_PerShareGrowthMetrics">'Summary Page'!$113:$113</definedName>
    <definedName name="SP_Section_ProfitabilityRatios">'Summary Page'!$91:$91</definedName>
    <definedName name="SP_VM_EV_toSales">'Summary Page'!$122:$122</definedName>
    <definedName name="tb_ConsensusEstimate" localSheetId="5">Company1719!$A$436:$AW$446</definedName>
    <definedName name="tb_ConsensusEstimate">Model!$A$1127:$CK$1137</definedName>
    <definedName name="tb_EntireModel" localSheetId="5">Company1719!$A$1:$AW$399</definedName>
    <definedName name="tb_EntireModel">Model!$A$1:$CK$1019</definedName>
    <definedName name="tb_Guidance_FY">Model!$A$1109:$CK$1125</definedName>
    <definedName name="tb_Guidance_Q">Model!$A$1092:$CK$1107</definedName>
    <definedName name="tb_KeyOutputs">Model!$A$1060:$A$1066</definedName>
    <definedName name="tb_KPIs">Model!$A$1068:$A$1090</definedName>
    <definedName name="tb_StockPrice" localSheetId="5">Company1719!$A$448:$AW$478</definedName>
    <definedName name="tb_StockPrice">Model!$A$1139:$CK$1169</definedName>
    <definedName name="tb_Tickers" localSheetId="5">Company1719!$A$425:$A$429</definedName>
    <definedName name="tb_Tickers">Model!$A$1047:$A$1052</definedName>
    <definedName name="tb_UpdateLog">'Update Log'!$C$10:$H$74</definedName>
    <definedName name="tb_ValuationToggle" localSheetId="5">Company1719!$A$431:$B$434</definedName>
    <definedName name="tb_ValuationToggle">Model!$A$1054:$B$1058</definedName>
    <definedName name="Company2747_functions_Workbook_ID">"680aa494-0471-4ebc-82bf-ac8923f12792"</definedName>
    <definedName name="UL.CSIN">'Update Log'!$H$7</definedName>
    <definedName name="UL.ModelVersion">'Update Log'!$H$8</definedName>
    <definedName name="UL.MRQ">'Update Log'!$F$7</definedName>
    <definedName name="UL.MRQColNum">'Update Log'!$E$7</definedName>
    <definedName name="WS.SourceName" localSheetId="2">"Exec Comp"</definedName>
    <definedName name="WS.SourceName" localSheetId="0">"Front Page"</definedName>
    <definedName name="WS.SourceName" localSheetId="1">"Model"</definedName>
    <definedName name="WS.SourceName" localSheetId="4">"Summary Page"</definedName>
    <definedName name="WS.SourceName" localSheetId="6">"Update Log"</definedName>
    <definedName name="WS.HasWorkingRange" localSheetId="2">"TRUE"</definedName>
    <definedName name="WS.WorkingRangeType" localSheetId="2">"Standard"</definedName>
    <definedName name="WS.WorksheetType" localSheetId="2">"Supplemental"</definedName>
    <definedName name="WS_ColumnHeader" localSheetId="2">'Exec Comp'!$5:$5</definedName>
    <definedName name="WS_LastRow" localSheetId="2">'Exec Comp'!$132:$132</definedName>
    <definedName name="WS_PeriodMetadata_FPDays" localSheetId="2">'Exec Comp'!$3:$3</definedName>
    <definedName name="WS_PeriodMetadata_PAnnotation" localSheetId="2">'Exec Comp'!$2:$2</definedName>
    <definedName name="WS_PeriodMetadata_PEndDate" localSheetId="2">'Exec Comp'!$4:$4</definedName>
    <definedName name="WS_RowTitle" localSheetId="2">'Exec Comp'!$A:$A</definedName>
    <definedName name="WS_WorkingRange_FirstColumn" localSheetId="2">'Exec Comp'!$C:$C</definedName>
    <definedName name="WS_WorkingRange_FirstRow" localSheetId="2">'Exec Comp'!$6:$6</definedName>
    <definedName name="WS_WorkingRange_LastColumn" localSheetId="2">'Exec Comp'!$CK:$CK</definedName>
    <definedName name="WS_WorkingRange_LastRow" localSheetId="2">'Exec Comp'!$132:$132</definedName>
    <definedName name="z_A7FLSL0150_MO_AN_Acquisitionrelatedandothercosts">Model!$330:$330</definedName>
    <definedName name="z_A7FLSL0150_MO_AN_Acquisitionrelatedcosts">Model!$343:$343</definedName>
    <definedName name="z_A7FLSL0150_MO_AN_AcquisitionrelatedcostsinDirectCosts">Model!$121:$121</definedName>
    <definedName name="z_A7FLSL0150_MO_AN_AcquisitionrelatedcostsinGA">Model!$123:$123</definedName>
    <definedName name="z_A7FLSL0150_MO_AN_AcquisitionrelatedcostsinRD">Model!$122:$122</definedName>
    <definedName name="z_A7FLSL0150_MO_AN_Acquisitionterminationcost">Model!$345:$345</definedName>
    <definedName name="z_A7FLSL0150_MO_AN_Amortization_1">Model!$118:$118</definedName>
    <definedName name="z_A7FLSL0150_MO_AN_Amortizationofacquisitionrelatedintangibleassets">Model!$348:$348</definedName>
    <definedName name="z_A7FLSL0150_MO_AN_contributions">Model!$347:$347</definedName>
    <definedName name="z_A7FLSL0150_MO_AN_creditfromaweakdiepackagingmaterialset">Model!$334:$334</definedName>
    <definedName name="z_A7FLSL0150_MO_AN_creditfromaweakdiepackagingmaterialset_1">Model!$349:$349</definedName>
    <definedName name="z_A7FLSL0150_MO_AN_Debtrelatedcosts">Model!$357:$357</definedName>
    <definedName name="z_A7FLSL0150_MO_AN_Depreciation">Model!$117:$117</definedName>
    <definedName name="z_A7FLSL0150_MO_AN_DepreciationAmortization">Model!$119:$119</definedName>
    <definedName name="z_A7FLSL0150_MO_AN_Domesticationtaxbenefit">Model!$324:$324</definedName>
    <definedName name="z_A7FLSL0150_MO_AN_Foreigntaxbenefit">Model!$325:$325</definedName>
    <definedName name="z_A7FLSL0150_MO_AN_Freecashflow">Model!$367:$367</definedName>
    <definedName name="z_A7FLSL0150_MO_AN_gaapgrossprofit">Model!$329:$329</definedName>
    <definedName name="z_A7FLSL0150_MO_AN_gaapincomefromoperations">Model!$360:$360</definedName>
    <definedName name="z_A7FLSL0150_MO_AN_GAAPnetcashprovidedbyoperatingactivities">Model!$364:$364</definedName>
    <definedName name="z_A7FLSL0150_MO_AN_gaapnetincome">Model!$320:$320</definedName>
    <definedName name="z_A7FLSL0150_MO_AN_gaapoperatingexpenses">Model!$341:$341</definedName>
    <definedName name="z_A7FLSL0150_MO_AN_gaapotherincomeexpense">"Deleted"</definedName>
    <definedName name="z_A7FLSL0150_MO_AN_GAAPotherincomeexpense_1">Model!$354:$354</definedName>
    <definedName name="z_A7FLSL0150_MO_AN_gainsfromnonaffiliatedinvestments">"Deleted"</definedName>
    <definedName name="z_A7FLSL0150_MO_AN_Gainslossesfromnonaffiliatedinvestments">Model!$355:$355</definedName>
    <definedName name="z_A7FLSL0150_MO_AN_incometaximpactofnongaapadjustments">Model!$322:$322</definedName>
    <definedName name="z_A7FLSL0150_MO_AN_interestexpenserelatedtoamortizationofdebtdiscount">"Deleted"</definedName>
    <definedName name="z_A7FLSL0150_MO_AN_Interestexpenserelatedtoamortizationofdebtdiscount_1">Model!$356:$356</definedName>
    <definedName name="z_A7FLSL0150_MO_AN_IPrelatedcostsandassetsheldforsalerelatedadjustments">Model!$333:$333</definedName>
    <definedName name="z_A7FLSL0150_MO_AN_legalsettlementcosts">Model!$332:$332</definedName>
    <definedName name="z_A7FLSL0150_MO_AN_legalsettlementcosts_1">Model!$346:$346</definedName>
    <definedName name="z_A7FLSL0150_MO_AN_lossonearlydebtconversions">"Deleted"</definedName>
    <definedName name="z_A7FLSL0150_MO_AN_nongaapgrossprofit">Model!$339:$339</definedName>
    <definedName name="z_A7FLSL0150_MO_AN_nongaapincomefromoperations">Model!$362:$362</definedName>
    <definedName name="z_A7FLSL0150_MO_AN_nongaapnetincome">Model!$327:$327</definedName>
    <definedName name="z_A7FLSL0150_MO_AN_nongaapoperatingexpenses">Model!$352:$352</definedName>
    <definedName name="z_A7FLSL0150_MO_AN_nongaapotherincomeexpense">"Deleted"</definedName>
    <definedName name="z_A7FLSL0150_MO_AN_NonGAAPotherincomeexpense_1">Model!$358:$358</definedName>
    <definedName name="z_A7FLSL0150_MO_AN_nonrecurringchargerelatedtoroyaltydispute">Model!$335:$335</definedName>
    <definedName name="z_A7FLSL0150_MO_AN_Other">Model!$338:$338</definedName>
    <definedName name="z_A7FLSL0150_MO_AN_Other_1">Model!$351:$351</definedName>
    <definedName name="z_A7FLSL0150_MO_AN_Principalpaymentsonpropertyandequipmentandintangibleassets">Model!$366:$366</definedName>
    <definedName name="z_A7FLSL0150_MO_AN_productwarrantychange">Model!$337:$337</definedName>
    <definedName name="z_A7FLSL0150_MO_AN_Provisionaltaxbenefitfromincometaxreform">Model!$326:$326</definedName>
    <definedName name="z_A7FLSL0150_MO_AN_Purchasesrelatedtopropertyandequipmentandintangibleassets">Model!$365:$365</definedName>
    <definedName name="z_A7FLSL0150_MO_AN_Restructuringandothercharges">Model!$344:$344</definedName>
    <definedName name="z_A7FLSL0150_MO_AN_sbcindirectcosts">Model!$126:$126</definedName>
    <definedName name="z_A7FLSL0150_MO_AN_sbcinga">Model!$128:$128</definedName>
    <definedName name="z_A7FLSL0150_MO_AN_sbcinrd">Model!$127:$127</definedName>
    <definedName name="z_A7FLSL0150_MO_AN_stockbasedcompensationexpense">Model!$331:$331</definedName>
    <definedName name="z_A7FLSL0150_MO_AN_stockbasedcompensationexpense_1">Model!$342:$342</definedName>
    <definedName name="z_A7FLSL0150_MO_AN_stockoptionpurchasechargerelatedtocostofrevenue">Model!$336:$336</definedName>
    <definedName name="z_A7FLSL0150_MO_AN_stockoptionpurchasechargerelatedtooperatingexpenses">Model!$350:$350</definedName>
    <definedName name="z_A7FLSL0150_MO_AN_TaxexpensefromOBBBA">Model!$323:$323</definedName>
    <definedName name="z_A7FLSL0150_MO_AN_TotalAcquisitionrelatedcosts">Model!$124:$124</definedName>
    <definedName name="z_A7FLSL0150_MO_AN_totalimpactofnongaapadjustmentstoincomefromoperations">Model!$361:$361</definedName>
    <definedName name="z_A7FLSL0150_MO_AN_totalpretaximpactofnongaapadjustments">Model!$321:$321</definedName>
    <definedName name="z_A7FLSL0150_MO_AN_totalsbc">Model!$129:$129</definedName>
    <definedName name="z_A7FLSL0150_MO_BlankRow_AN">Model!$328:$328</definedName>
    <definedName name="z_A7FLSL0150_MO_BlankRow_AN_1">Model!$340:$340</definedName>
    <definedName name="z_A7FLSL0150_MO_BlankRow_AN_2">Model!$353:$353</definedName>
    <definedName name="z_A7FLSL0150_MO_BlankRow_AN_4">Model!$368:$368</definedName>
    <definedName name="z_A7FLSL0150_MO_BlankRow_AN_5">Model!$125:$125</definedName>
    <definedName name="z_A7FLSL0150_MO_BlankRow_AN_6">Model!$120:$120</definedName>
    <definedName name="z_A7FLSL0150_MO_BlankRow_AN_7">Model!$359:$359</definedName>
    <definedName name="z_A7FLSL0150_MO_BlankRow_AN_8">"Deleted"</definedName>
    <definedName name="z_A7FLSL0150_MO_BlankRow_AN_9">Model!$363:$363</definedName>
    <definedName name="z_A7FLSL0150_MO_BlankRow_BS_1">Model!$971:$971</definedName>
    <definedName name="z_A7FLSL0150_MO_BlankRow_BS_2">Model!$991:$991</definedName>
    <definedName name="z_A7FLSL0150_MO_BlankRow_BS_3">Model!$998:$998</definedName>
    <definedName name="z_A7FLSL0150_MO_BlankRow_BS_4">Model!$1007:$1007</definedName>
    <definedName name="z_A7FLSL0150_MO_BlankRow_BS_5">Model!$1018:$1018</definedName>
    <definedName name="z_A7FLSL0150_MO_BlankRow_BS_6">Model!$1020:$1020</definedName>
    <definedName name="z_A7FLSL0150_MO_BlankRow_BSS">Model!$751:$751</definedName>
    <definedName name="z_A7FLSL0150_MO_BlankRow_BSS_1">Model!$740:$740</definedName>
    <definedName name="z_A7FLSL0150_MO_BlankRow_BSS_2">Model!$747:$747</definedName>
    <definedName name="z_A7FLSL0150_MO_BlankRow_CCFS">Model!$806:$806</definedName>
    <definedName name="z_A7FLSL0150_MO_BlankRow_CCFS_1">Model!$819:$819</definedName>
    <definedName name="z_A7FLSL0150_MO_BlankRow_CCFS_2">Model!$839:$839</definedName>
    <definedName name="z_A7FLSL0150_MO_BlankRow_CCFS_3">Model!$842:$842</definedName>
    <definedName name="z_A7FLSL0150_MO_BlankRow_CCFS_4">Model!$848:$848</definedName>
    <definedName name="z_A7FLSL0150_MO_BlankRow_CCFS_5">Model!$845:$845</definedName>
    <definedName name="z_A7FLSL0150_MO_BlankRow_CFS_10">Model!$917:$917</definedName>
    <definedName name="z_A7FLSL0150_MO_BlankRow_CFS_2">Model!$878:$878</definedName>
    <definedName name="z_A7FLSL0150_MO_BlankRow_CFS_3">Model!$891:$891</definedName>
    <definedName name="z_A7FLSL0150_MO_BlankRow_CFS_4">Model!$911:$911</definedName>
    <definedName name="z_A7FLSL0150_MO_BlankRow_CFS_5">Model!$914:$914</definedName>
    <definedName name="z_A7FLSL0150_MO_BlankRow_CFS_6">Model!$920:$920</definedName>
    <definedName name="z_A7FLSL0150_MO_BlankRow_CFS_7">Model!$922:$922</definedName>
    <definedName name="z_A7FLSL0150_MO_BlankRow_CFSum">Model!$720:$720</definedName>
    <definedName name="z_A7FLSL0150_MO_BlankRow_CFSum_1">Model!$732:$732</definedName>
    <definedName name="z_A7FLSL0150_MO_BlankRow_CFSum_2">Model!$716:$716</definedName>
    <definedName name="z_A7FLSL0150_MO_BlankRow_CFSum_3">Model!$723:$723</definedName>
    <definedName name="z_A7FLSL0150_MO_BlankRow_DAF">Model!$929:$929</definedName>
    <definedName name="z_A7FLSL0150_MO_BlankRow_DAF_1">"Deleted"</definedName>
    <definedName name="z_A7FLSL0150_MO_BlankRow_DAF_2">Model!$935:$935</definedName>
    <definedName name="z_A7FLSL0150_MO_BlankRow_DAF_3">Model!$940:$940</definedName>
    <definedName name="z_A7FLSL0150_MO_BlankRow_DAF_4">Model!$946:$946</definedName>
    <definedName name="z_A7FLSL0150_MO_BlankRow_IS">Model!$316:$316</definedName>
    <definedName name="z_A7FLSL0150_MO_BlankRow_IS_1">Model!$318:$318</definedName>
    <definedName name="z_A7FLSL0150_MO_BlankRow_MA_10">Model!$296:$296</definedName>
    <definedName name="z_A7FLSL0150_MO_BlankRow_MA_2">Model!$756:$756</definedName>
    <definedName name="z_A7FLSL0150_MO_BlankRow_MA_3">Model!$771:$771</definedName>
    <definedName name="z_A7FLSL0150_MO_BlankRow_MA_4">Model!$776:$776</definedName>
    <definedName name="z_A7FLSL0150_MO_BlankRow_MA_5">Model!$763:$763</definedName>
    <definedName name="z_A7FLSL0150_MO_BlankRow_MA_6">Model!$279:$279</definedName>
    <definedName name="z_A7FLSL0150_MO_BlankRow_MA_7">Model!$284:$284</definedName>
    <definedName name="z_A7FLSL0150_MO_BlankRow_MA_8">Model!$289:$289</definedName>
    <definedName name="z_A7FLSL0150_MO_BlankRow_MA_9">Model!$298:$298</definedName>
    <definedName name="z_A7FLSL0150_MO_BlankRow_OS">Model!$39:$39</definedName>
    <definedName name="z_A7FLSL0150_MO_BlankRow_OS_1">Model!$149:$149</definedName>
    <definedName name="z_A7FLSL0150_MO_BlankRow_OS_10">Model!$172:$172</definedName>
    <definedName name="z_A7FLSL0150_MO_BlankRow_OS_100">'Exec Comp'!$113:$113</definedName>
    <definedName name="z_A7FLSL0150_MO_BlankRow_OS_101">'Exec Comp'!$119:$119</definedName>
    <definedName name="z_A7FLSL0150_MO_BlankRow_OS_102">'Exec Comp'!$126:$126</definedName>
    <definedName name="z_A7FLSL0150_MO_BlankRow_OS_103">'Exec Comp'!$131:$131</definedName>
    <definedName name="z_A7FLSL0150_MO_BlankRow_OS_104">Model!$498:$498</definedName>
    <definedName name="z_A7FLSL0150_MO_BlankRow_OS_105">Model!$503:$503</definedName>
    <definedName name="z_A7FLSL0150_MO_BlankRow_OS_106">Model!$508:$508</definedName>
    <definedName name="z_A7FLSL0150_MO_BlankRow_OS_107">Model!$513:$513</definedName>
    <definedName name="z_A7FLSL0150_MO_BlankRow_OS_108">Model!$518:$518</definedName>
    <definedName name="z_A7FLSL0150_MO_BlankRow_OS_109">Model!$18:$18</definedName>
    <definedName name="z_A7FLSL0150_MO_BlankRow_OS_11">Model!$191:$191</definedName>
    <definedName name="z_A7FLSL0150_MO_BlankRow_OS_110">"Deleted"</definedName>
    <definedName name="z_A7FLSL0150_MO_BlankRow_OS_111">Model!$250:$250</definedName>
    <definedName name="z_A7FLSL0150_MO_BlankRow_OS_112">Model!$252:$252</definedName>
    <definedName name="z_A7FLSL0150_MO_BlankRow_OS_113">Model!$221:$221</definedName>
    <definedName name="z_A7FLSL0150_MO_BlankRow_OS_114">Model!$142:$142</definedName>
    <definedName name="z_A7FLSL0150_MO_BlankRow_OS_12">Model!$219:$219</definedName>
    <definedName name="z_A7FLSL0150_MO_BlankRow_OS_13">Model!$225:$225</definedName>
    <definedName name="z_A7FLSL0150_MO_BlankRow_OS_14">Model!$227:$227</definedName>
    <definedName name="z_A7FLSL0150_MO_BlankRow_OS_15">Model!$245:$245</definedName>
    <definedName name="z_A7FLSL0150_MO_BlankRow_OS_17">Model!$257:$257</definedName>
    <definedName name="z_A7FLSL0150_MO_BlankRow_OS_18">Model!$275:$275</definedName>
    <definedName name="z_A7FLSL0150_MO_BlankRow_OS_19">Model!$493:$493</definedName>
    <definedName name="z_A7FLSL0150_MO_BlankRow_OS_2">Model!$212:$212</definedName>
    <definedName name="z_A7FLSL0150_MO_BlankRow_OS_20">Model!$496:$496</definedName>
    <definedName name="z_A7FLSL0150_MO_BlankRow_OS_21">Model!$10:$10</definedName>
    <definedName name="z_A7FLSL0150_MO_BlankRow_OS_22">Model!$14:$14</definedName>
    <definedName name="z_A7FLSL0150_MO_BlankRow_OS_23">Model!$25:$25</definedName>
    <definedName name="z_A7FLSL0150_MO_BlankRow_OS_24">Model!$29:$29</definedName>
    <definedName name="z_A7FLSL0150_MO_BlankRow_OS_25">Model!$33:$33</definedName>
    <definedName name="z_A7FLSL0150_MO_BlankRow_OS_26">Model!$42:$42</definedName>
    <definedName name="z_A7FLSL0150_MO_BlankRow_OS_27">Model!$50:$50</definedName>
    <definedName name="z_A7FLSL0150_MO_BlankRow_OS_28">Model!$63:$63</definedName>
    <definedName name="z_A7FLSL0150_MO_BlankRow_OS_29">Model!$68:$68</definedName>
    <definedName name="z_A7FLSL0150_MO_BlankRow_OS_3">Model!$952:$952</definedName>
    <definedName name="z_A7FLSL0150_MO_BlankRow_OS_30">Model!$78:$78</definedName>
    <definedName name="z_A7FLSL0150_MO_BlankRow_OS_31">Model!$83:$83</definedName>
    <definedName name="z_A7FLSL0150_MO_BlankRow_OS_32">Model!$104:$104</definedName>
    <definedName name="z_A7FLSL0150_MO_BlankRow_OS_33">Model!$115:$115</definedName>
    <definedName name="z_A7FLSL0150_MO_BlankRow_OS_34">Model!$130:$130</definedName>
    <definedName name="z_A7FLSL0150_MO_BlankRow_OS_35">Model!$260:$260</definedName>
    <definedName name="z_A7FLSL0150_MO_BlankRow_OS_36">Model!$93:$93</definedName>
    <definedName name="z_A7FLSL0150_MO_BlankRow_OS_37">Model!$98:$98</definedName>
    <definedName name="z_A7FLSL0150_MO_BlankRow_OS_38">Model!$163:$163</definedName>
    <definedName name="z_A7FLSL0150_MO_BlankRow_OS_39">Model!$186:$186</definedName>
    <definedName name="z_A7FLSL0150_MO_BlankRow_OS_4">Model!$957:$957</definedName>
    <definedName name="z_A7FLSL0150_MO_BlankRow_OS_40">Model!$202:$202</definedName>
    <definedName name="z_A7FLSL0150_MO_BlankRow_OS_41">"Deleted"</definedName>
    <definedName name="z_A7FLSL0150_MO_BlankRow_OS_42">"Deleted"</definedName>
    <definedName name="z_A7FLSL0150_MO_BlankRow_OS_43">"Deleted"</definedName>
    <definedName name="z_A7FLSL0150_MO_BlankRow_OS_44">Model!$451:$451</definedName>
    <definedName name="z_A7FLSL0150_MO_BlankRow_OS_45">Model!$454:$454</definedName>
    <definedName name="z_A7FLSL0150_MO_BlankRow_OS_46">Model!$456:$456</definedName>
    <definedName name="z_A7FLSL0150_MO_BlankRow_OS_47">Model!$468:$468</definedName>
    <definedName name="z_A7FLSL0150_MO_BlankRow_OS_48">Model!$481:$481</definedName>
    <definedName name="z_A7FLSL0150_MO_BlankRow_OS_49">Model!$484:$484</definedName>
    <definedName name="z_A7FLSL0150_MO_BlankRow_OS_5">"Deleted"</definedName>
    <definedName name="z_A7FLSL0150_MO_BlankRow_OS_50">Model!$489:$489</definedName>
    <definedName name="z_A7FLSL0150_MO_BlankRow_OS_51">Model!$491:$491</definedName>
    <definedName name="z_A7FLSL0150_MO_BlankRow_OS_52">"Deleted"</definedName>
    <definedName name="z_A7FLSL0150_MO_BlankRow_OS_53">Model!$523:$523</definedName>
    <definedName name="z_A7FLSL0150_MO_BlankRow_OS_54">Model!$443:$443</definedName>
    <definedName name="z_A7FLSL0150_MO_BlankRow_OS_55">Model!$462:$462</definedName>
    <definedName name="z_A7FLSL0150_MO_BlankRow_OS_56">Model!$474:$474</definedName>
    <definedName name="z_A7FLSL0150_MO_BlankRow_OS_57">Model!$487:$487</definedName>
    <definedName name="z_A7FLSL0150_MO_BlankRow_OS_58">Model!$112:$112</definedName>
    <definedName name="z_A7FLSL0150_MO_BlankRow_OS_59">Model!$534:$534</definedName>
    <definedName name="z_A7FLSL0150_MO_BlankRow_OS_6">"Deleted"</definedName>
    <definedName name="z_A7FLSL0150_MO_BlankRow_OS_60">Model!$542:$542</definedName>
    <definedName name="z_A7FLSL0150_MO_BlankRow_OS_61">Model!$549:$549</definedName>
    <definedName name="z_A7FLSL0150_MO_BlankRow_OS_62">Model!$559:$559</definedName>
    <definedName name="z_A7FLSL0150_MO_BlankRow_OS_63">Model!$567:$567</definedName>
    <definedName name="z_A7FLSL0150_MO_BlankRow_OS_64">Model!$574:$574</definedName>
    <definedName name="z_A7FLSL0150_MO_BlankRow_OS_65">Model!$584:$584</definedName>
    <definedName name="z_A7FLSL0150_MO_BlankRow_OS_66">Model!$591:$591</definedName>
    <definedName name="z_A7FLSL0150_MO_BlankRow_OS_67">Model!$605:$605</definedName>
    <definedName name="z_A7FLSL0150_MO_BlankRow_OS_68">Model!$609:$609</definedName>
    <definedName name="z_A7FLSL0150_MO_BlankRow_OS_69">Model!$619:$619</definedName>
    <definedName name="z_A7FLSL0150_MO_BlankRow_OS_7">Model!$136:$136</definedName>
    <definedName name="z_A7FLSL0150_MO_BlankRow_OS_70">Model!$624:$624</definedName>
    <definedName name="z_A7FLSL0150_MO_BlankRow_OS_71">Model!$628:$628</definedName>
    <definedName name="z_A7FLSL0150_MO_BlankRow_OS_72">Model!$638:$638</definedName>
    <definedName name="z_A7FLSL0150_MO_BlankRow_OS_73">Model!$645:$645</definedName>
    <definedName name="z_A7FLSL0150_MO_BlankRow_OS_74">Model!$653:$653</definedName>
    <definedName name="z_A7FLSL0150_MO_BlankRow_OS_75">Model!$667:$667</definedName>
    <definedName name="z_A7FLSL0150_MO_BlankRow_OS_76">Model!$678:$678</definedName>
    <definedName name="z_A7FLSL0150_MO_BlankRow_OS_77">Model!$682:$682</definedName>
    <definedName name="z_A7FLSL0150_MO_BlankRow_OS_78">Model!$692:$692</definedName>
    <definedName name="z_A7FLSL0150_MO_BlankRow_OS_79">Model!$700:$700</definedName>
    <definedName name="z_A7FLSL0150_MO_BlankRow_OS_8">Model!$147:$147</definedName>
    <definedName name="z_A7FLSL0150_MO_BlankRow_OS_80">Model!$701:$701</definedName>
    <definedName name="z_A7FLSL0150_MO_BlankRow_OS_81">Model!$230:$230</definedName>
    <definedName name="z_A7FLSL0150_MO_BlankRow_OS_82">Model!$232:$232</definedName>
    <definedName name="z_A7FLSL0150_MO_BlankRow_OS_83">Model!$269:$269</definedName>
    <definedName name="z_A7FLSL0150_MO_BlankRow_OS_84">"Deleted"</definedName>
    <definedName name="z_A7FLSL0150_MO_BlankRow_OS_85">Model!$240:$240</definedName>
    <definedName name="z_A7FLSL0150_MO_BlankRow_OS_86">'Exec Comp'!$14:$14</definedName>
    <definedName name="z_A7FLSL0150_MO_BlankRow_OS_87">'Exec Comp'!$17:$17</definedName>
    <definedName name="z_A7FLSL0150_MO_BlankRow_OS_88">'Exec Comp'!$20:$20</definedName>
    <definedName name="z_A7FLSL0150_MO_BlankRow_OS_89">'Exec Comp'!$23:$23</definedName>
    <definedName name="z_A7FLSL0150_MO_BlankRow_OS_9">Model!$167:$167</definedName>
    <definedName name="z_A7FLSL0150_MO_BlankRow_OS_90">'Exec Comp'!$26:$26</definedName>
    <definedName name="z_A7FLSL0150_MO_BlankRow_OS_91">'Exec Comp'!$29:$29</definedName>
    <definedName name="z_A7FLSL0150_MO_BlankRow_OS_92">'Exec Comp'!$32:$32</definedName>
    <definedName name="z_A7FLSL0150_MO_BlankRow_OS_93">'Exec Comp'!$35:$35</definedName>
    <definedName name="z_A7FLSL0150_MO_BlankRow_OS_94">'Exec Comp'!$39:$39</definedName>
    <definedName name="z_A7FLSL0150_MO_BlankRow_OS_95">'Exec Comp'!$46:$46</definedName>
    <definedName name="z_A7FLSL0150_MO_BlankRow_OS_96">'Exec Comp'!$50:$50</definedName>
    <definedName name="z_A7FLSL0150_MO_BlankRow_OS_97">'Exec Comp'!$56:$56</definedName>
    <definedName name="z_A7FLSL0150_MO_BlankRow_OS_98">'Exec Comp'!$59:$59</definedName>
    <definedName name="z_A7FLSL0150_MO_BlankRow_OS_99">'Exec Comp'!$108:$108</definedName>
    <definedName name="z_A7FLSL0150_MO_BlankRow_RIS">Model!$373:$373</definedName>
    <definedName name="z_A7FLSL0150_MO_BlankRow_RIS_1">Model!$380:$380</definedName>
    <definedName name="z_A7FLSL0150_MO_BlankRow_RIS_2">Model!$398:$398</definedName>
    <definedName name="z_A7FLSL0150_MO_BlankRow_RIS_3">Model!$402:$402</definedName>
    <definedName name="z_A7FLSL0150_MO_BlankRow_RIS_4">"Deleted"</definedName>
    <definedName name="z_A7FLSL0150_MO_BlankRow_RIS_5">Model!$425:$425</definedName>
    <definedName name="z_A7FLSL0150_MO_BlankRow_RIS_6">Model!$430:$430</definedName>
    <definedName name="z_A7FLSL0150_MO_BlankRow_RIS_7">Model!$435:$435</definedName>
    <definedName name="z_A7FLSL0150_MO_BlankRow_RIS_8">Model!$439:$439</definedName>
    <definedName name="z_A7FLSL0150_MO_BlankRow_SNA">Model!$1044:$1044</definedName>
    <definedName name="z_A7FLSL0150_MO_BlankRow_SNA_1">Model!$1046:$1046</definedName>
    <definedName name="z_A7FLSL0150_MO_BlankRow_SNA_10">Model!$1162:$1162</definedName>
    <definedName name="z_A7FLSL0150_MO_BlankRow_SNA_11">Model!$1169:$1169</definedName>
    <definedName name="z_A7FLSL0150_MO_BlankRow_SNA_12">Model!$1174:$1174</definedName>
    <definedName name="z_A7FLSL0150_MO_BlankRow_SNA_13">Model!$1192:$1192</definedName>
    <definedName name="z_A7FLSL0150_MO_BlankRow_SNA_14">Model!$1173:$1173</definedName>
    <definedName name="z_A7FLSL0150_MO_BlankRow_SNA_15">Model!$1090:$1090</definedName>
    <definedName name="z_A7FLSL0150_MO_BlankRow_SNA_16">Model!$1091:$1091</definedName>
    <definedName name="z_A7FLSL0150_MO_BlankRow_SNA_17">Model!$1107:$1107</definedName>
    <definedName name="z_A7FLSL0150_MO_BlankRow_SNA_18">Model!$1108:$1108</definedName>
    <definedName name="z_A7FLSL0150_MO_BlankRow_SNA_19">Model!$1125:$1125</definedName>
    <definedName name="z_A7FLSL0150_MO_BlankRow_SNA_2">Model!$1053:$1053</definedName>
    <definedName name="z_A7FLSL0150_MO_BlankRow_SNA_20">Model!$1126:$1126</definedName>
    <definedName name="z_A7FLSL0150_MO_BlankRow_SNA_3">Model!$1059:$1059</definedName>
    <definedName name="z_A7FLSL0150_MO_BlankRow_SNA_4">Model!$1066:$1066</definedName>
    <definedName name="z_A7FLSL0150_MO_BlankRow_SNA_5">Model!$1067:$1067</definedName>
    <definedName name="z_A7FLSL0150_MO_BlankRow_SNA_6">Model!$1137:$1137</definedName>
    <definedName name="z_A7FLSL0150_MO_BlankRow_SNA_7">Model!$1138:$1138</definedName>
    <definedName name="z_A7FLSL0150_MO_BlankRow_SNA_8">Model!$1148:$1148</definedName>
    <definedName name="z_A7FLSL0150_MO_BlankRow_SNA_9">Model!$1155:$1155</definedName>
    <definedName name="z_A7FLSL0150_MO_BS_Accountspayable">Model!$993:$993</definedName>
    <definedName name="z_A7FLSL0150_MO_BS_Accountsreceivable">Model!$962:$962</definedName>
    <definedName name="z_A7FLSL0150_MO_BS_Accruedandothercurrentliabilities">Model!$995:$995</definedName>
    <definedName name="z_A7FLSL0150_MO_BS_Accumulatedothercomprehensiveincomeloss">Model!$1013:$1013</definedName>
    <definedName name="z_A7FLSL0150_MO_BS_Acquisitionrelatedintangibleassets">Model!$976:$976</definedName>
    <definedName name="z_A7FLSL0150_MO_BS_Additionalpaidincapital">Model!$1011:$1011</definedName>
    <definedName name="z_A7FLSL0150_MO_BS_Advancedconsiderationforacquisition">Model!$985:$985</definedName>
    <definedName name="z_A7FLSL0150_MO_BS_BSCheck">Model!$1019:$1019</definedName>
    <definedName name="z_A7FLSL0150_MO_BS_capitalleaseobligations">Model!$1003:$1003</definedName>
    <definedName name="z_A7FLSL0150_MO_BS_cashandcashequivalents">Model!$960:$960</definedName>
    <definedName name="z_A7FLSL0150_MO_BS_commonstock">Model!$1010:$1010</definedName>
    <definedName name="z_A7FLSL0150_MO_BS_Convertibledebtconversionobligation">Model!$1004:$1004</definedName>
    <definedName name="z_A7FLSL0150_MO_BS_Convertiblelongtermdebt">Model!$1000:$1000</definedName>
    <definedName name="z_A7FLSL0150_MO_BS_Convertibleshorttermdebt">Model!$996:$996</definedName>
    <definedName name="z_A7FLSL0150_MO_BS_CurrentAssets">Model!$959:$959</definedName>
    <definedName name="z_A7FLSL0150_MO_BS_CurrentLiabilities">Model!$992:$992</definedName>
    <definedName name="z_A7FLSL0150_MO_BS_Deferredincometaxassets">Model!$979:$979</definedName>
    <definedName name="z_A7FLSL0150_MO_BS_deferredincometaxes">Model!$969:$969</definedName>
    <definedName name="z_A7FLSL0150_MO_BS_Deposits">Model!$986:$986</definedName>
    <definedName name="z_A7FLSL0150_MO_BS_Finishedgoods">Model!$965:$965</definedName>
    <definedName name="z_A7FLSL0150_MO_BS_Goodwill">Model!$975:$975</definedName>
    <definedName name="z_A7FLSL0150_MO_BS_Incometaxreceivable">Model!$983:$983</definedName>
    <definedName name="z_A7FLSL0150_MO_BS_Intangibleassets">Model!$978:$978</definedName>
    <definedName name="z_A7FLSL0150_MO_BS_Inventories">Model!$966:$966</definedName>
    <definedName name="z_A7FLSL0150_MO_BS_Investmentinnonaffiliatedentities">Model!$982:$982</definedName>
    <definedName name="z_A7FLSL0150_MO_BS_Longtermoperatingleaseliabilities">Model!$1001:$1001</definedName>
    <definedName name="z_A7FLSL0150_MO_BS_marketablesecurities">Model!$961:$961</definedName>
    <definedName name="z_A7FLSL0150_MO_BS_NCI">Model!$1016:$1016</definedName>
    <definedName name="z_A7FLSL0150_MO_BS_NetIncomeonReportedISNIonRevised">Model!$1023:$1023</definedName>
    <definedName name="z_A7FLSL0150_MO_BS_NetIncomeonRevisedISNIonCFstatement">Model!$1022:$1022</definedName>
    <definedName name="z_A7FLSL0150_MO_BS_NonCurrentAssets">Model!$972:$972</definedName>
    <definedName name="z_A7FLSL0150_MO_BS_NonCurrentLiabilities">Model!$999:$999</definedName>
    <definedName name="z_A7FLSL0150_MO_BS_Operatingleaseassets">Model!$974:$974</definedName>
    <definedName name="z_A7FLSL0150_MO_BS_Otherassets">Model!$988:$988</definedName>
    <definedName name="z_A7FLSL0150_MO_BS_Otherassets_1">Model!$987:$987</definedName>
    <definedName name="z_A7FLSL0150_MO_BS_Otherlongtermliabilities">Model!$1002:$1002</definedName>
    <definedName name="z_A7FLSL0150_MO_BS_Patentsandlicensedtechnology">Model!$977:$977</definedName>
    <definedName name="z_A7FLSL0150_MO_BS_preferredstock">Model!$1009:$1009</definedName>
    <definedName name="z_A7FLSL0150_MO_BS_Prepaidcloudservices">Model!$984:$984</definedName>
    <definedName name="z_A7FLSL0150_MO_BS_Prepaidexpensesandothercurrentassets">Model!$968:$968</definedName>
    <definedName name="z_A7FLSL0150_MO_BS_Prepaidroyalties">Model!$981:$981</definedName>
    <definedName name="z_A7FLSL0150_MO_BS_Prepaidsupplyagreements">Model!$980:$980</definedName>
    <definedName name="z_A7FLSL0150_MO_BS_Propertyandequipment">Model!$973:$973</definedName>
    <definedName name="z_A7FLSL0150_MO_BS_Rawmaterials">Model!$963:$963</definedName>
    <definedName name="z_A7FLSL0150_MO_BS_Restrictedcash">Model!$967:$967</definedName>
    <definedName name="z_A7FLSL0150_MO_BS_retainedearnings">Model!$1014:$1014</definedName>
    <definedName name="z_A7FLSL0150_MO_BS_ShareholdersEquity">Model!$1008:$1008</definedName>
    <definedName name="z_A7FLSL0150_MO_BS_Shorttermoperatingleaseliabilities">Model!$994:$994</definedName>
    <definedName name="z_A7FLSL0150_MO_BS_TotalAssets">Model!$990:$990</definedName>
    <definedName name="z_A7FLSL0150_MO_BS_TotalCurrentAssets">Model!$970:$970</definedName>
    <definedName name="z_A7FLSL0150_MO_BS_TotalCurrentLiabilities">Model!$997:$997</definedName>
    <definedName name="z_A7FLSL0150_MO_BS_TotalLiabilities">Model!$1006:$1006</definedName>
    <definedName name="z_A7FLSL0150_MO_BS_TotalLiabilitiesSE">Model!$1017:$1017</definedName>
    <definedName name="z_A7FLSL0150_MO_BS_TotalNonCurrentAssets">Model!$989:$989</definedName>
    <definedName name="z_A7FLSL0150_MO_BS_TotalNonCurrentliabilities">Model!$1005:$1005</definedName>
    <definedName name="z_A7FLSL0150_MO_BS_TotalSE">Model!$1015:$1015</definedName>
    <definedName name="z_A7FLSL0150_MO_BS_treasurystock">Model!$1012:$1012</definedName>
    <definedName name="z_A7FLSL0150_MO_BS_Workinprocess">Model!$964:$964</definedName>
    <definedName name="z_A7FLSL0150_MO_BSS_Cash">Model!$734:$734</definedName>
    <definedName name="z_A7FLSL0150_MO_BSS_Debt">Model!$737:$737</definedName>
    <definedName name="z_A7FLSL0150_MO_BSS_DebtCashFlow">Model!$750:$750</definedName>
    <definedName name="z_A7FLSL0150_MO_BSS_DebtEBITDA">Model!$749:$749</definedName>
    <definedName name="z_A7FLSL0150_MO_BSS_EBITDANetInterestExpense">Model!$748:$748</definedName>
    <definedName name="z_A7FLSL0150_MO_BSS_EffectiveInterestRateonCash">Model!$744:$744</definedName>
    <definedName name="z_A7FLSL0150_MO_BSS_EffectiveInterestRateonDebt">Model!$742:$742</definedName>
    <definedName name="z_A7FLSL0150_MO_BSS_EffectiveNetInterestRateonDebt">Model!$746:$746</definedName>
    <definedName name="z_A7FLSL0150_MO_BSS_InterestExpense">Model!$741:$741</definedName>
    <definedName name="z_A7FLSL0150_MO_BSS_InterestIncome">Model!$743:$743</definedName>
    <definedName name="z_A7FLSL0150_MO_BSS_LTDebt">Model!$736:$736</definedName>
    <definedName name="z_A7FLSL0150_MO_BSS_NetDebt">Model!$739:$739</definedName>
    <definedName name="z_A7FLSL0150_MO_BSS_NetInterestExpenseIncome">Model!$745:$745</definedName>
    <definedName name="z_A7FLSL0150_MO_BSS_OperatingLeaseLiabilities">Model!$738:$738</definedName>
    <definedName name="z_A7FLSL0150_MO_BSS_STDebt">Model!$735:$735</definedName>
    <definedName name="z_A7FLSL0150_MO_CCFS_accountspayable">Model!$802:$802</definedName>
    <definedName name="z_A7FLSL0150_MO_CCFS_accountsreceivable">Model!$797:$797</definedName>
    <definedName name="z_A7FLSL0150_MO_CCFS_Accruedandothercurrentliabilities">Model!$803:$803</definedName>
    <definedName name="z_A7FLSL0150_MO_CCFS_Acquisitionofbusinesses">Model!$814:$814</definedName>
    <definedName name="z_A7FLSL0150_MO_CCFS_Acquisitionterminationcost">Model!$781:$781</definedName>
    <definedName name="z_A7FLSL0150_MO_CCFS_Amortizationofdebtdiscount">Model!$785:$785</definedName>
    <definedName name="z_A7FLSL0150_MO_CCFS_BeginningCashBalance">Model!$843:$843</definedName>
    <definedName name="z_A7FLSL0150_MO_CCFS_Cashpaidforinterest">Model!$846:$846</definedName>
    <definedName name="z_A7FLSL0150_MO_CCFS_Cashreceivedpaidforincometaxes">Model!$847:$847</definedName>
    <definedName name="z_A7FLSL0150_MO_CCFS_CFF">Model!$820:$820</definedName>
    <definedName name="z_A7FLSL0150_MO_CCFS_CFI">Model!$807:$807</definedName>
    <definedName name="z_A7FLSL0150_MO_CCFS_CFO">Model!$778:$778</definedName>
    <definedName name="z_A7FLSL0150_MO_CCFS_CFObeforeWC">Model!$796:$796</definedName>
    <definedName name="z_A7FLSL0150_MO_CCFS_deferredincometaxes">Model!$788:$788</definedName>
    <definedName name="z_A7FLSL0150_MO_CCFS_Depositsandotherassets">Model!$800:$800</definedName>
    <definedName name="z_A7FLSL0150_MO_CCFS_depreciationandamortization">Model!$782:$782</definedName>
    <definedName name="z_A7FLSL0150_MO_CCFS_Dividendspaid">Model!$830:$830</definedName>
    <definedName name="z_A7FLSL0150_MO_CCFS_EndingCashBalance">Model!$844:$844</definedName>
    <definedName name="z_A7FLSL0150_MO_CCFS_FX">Model!$840:$840</definedName>
    <definedName name="z_A7FLSL0150_MO_CCFS_Gainslossesoninvestmentsinnonaffiliates">Model!$793:$793</definedName>
    <definedName name="z_A7FLSL0150_MO_CCFS_impairmentchargeoninvestments">Model!$795:$795</definedName>
    <definedName name="z_A7FLSL0150_MO_CCFS_inprocessresearchanddevelopmentexpenses">Model!$790:$790</definedName>
    <definedName name="z_A7FLSL0150_MO_CCFS_inventories">Model!$798:$798</definedName>
    <definedName name="z_A7FLSL0150_MO_CCFS_Investmentinnonaffiliates">Model!$816:$816</definedName>
    <definedName name="z_A7FLSL0150_MO_CCFS_Issuanceofdebtnetofissuancecosts">Model!$823:$823</definedName>
    <definedName name="z_A7FLSL0150_MO_CCFS_Lossonearlydebtconversion">Model!$787:$787</definedName>
    <definedName name="z_A7FLSL0150_MO_CCFS_NetCFF">Model!$838:$838</definedName>
    <definedName name="z_A7FLSL0150_MO_CCFS_NetCFI">Model!$818:$818</definedName>
    <definedName name="z_A7FLSL0150_MO_CCFS_NetCFO">Model!$805:$805</definedName>
    <definedName name="z_A7FLSL0150_MO_CCFS_NetChangeinCashBalance">Model!$841:$841</definedName>
    <definedName name="z_A7FLSL0150_MO_CCFS_netgainonsaleanddisposaloflonglivedassetsandinvestments">Model!$786:$786</definedName>
    <definedName name="z_A7FLSL0150_MO_CCFS_netincome">Model!$779:$779</definedName>
    <definedName name="z_A7FLSL0150_MO_CCFS_Other">Model!$794:$794</definedName>
    <definedName name="z_A7FLSL0150_MO_CCFS_Other_1">Model!$817:$817</definedName>
    <definedName name="z_A7FLSL0150_MO_CCFS_Other_2">Model!$837:$837</definedName>
    <definedName name="z_A7FLSL0150_MO_CCFS_Otherlongtermliabilities">Model!$804:$804</definedName>
    <definedName name="z_A7FLSL0150_MO_CCFS_Paymentofnotespayablefromacquisition">Model!$833:$833</definedName>
    <definedName name="z_A7FLSL0150_MO_CCFS_Paymentsfordebtissuancecosts">Model!$835:$835</definedName>
    <definedName name="z_A7FLSL0150_MO_CCFS_Paymentsofconvertibledebt">"Deleted"</definedName>
    <definedName name="z_A7FLSL0150_MO_CCFS_paymentsrelatedtorepurchasesofcommonstock">Model!$828:$828</definedName>
    <definedName name="z_A7FLSL0150_MO_CCFS_paymentsrelatedtostockoptionpurchase">Model!$821:$821</definedName>
    <definedName name="z_A7FLSL0150_MO_CCFS_paymentsrelatedtotaxonrestrictedstockunits">Model!$831:$831</definedName>
    <definedName name="z_A7FLSL0150_MO_CCFS_paymentsundercapitalleaseobligations">Model!$834:$834</definedName>
    <definedName name="z_A7FLSL0150_MO_CCFS_paymentsunderpatentlicensingarrangement">Model!$789:$789</definedName>
    <definedName name="z_A7FLSL0150_MO_CCFS_Prepaidexpensesandotherassets">Model!$801:$801</definedName>
    <definedName name="z_A7FLSL0150_MO_CCFS_Prepaidexpensesandothercurrentassets">Model!$799:$799</definedName>
    <definedName name="z_A7FLSL0150_MO_CCFS_Principalpaymentsonpropertyandequipment">Model!$836:$836</definedName>
    <definedName name="z_A7FLSL0150_MO_CCFS_proceedsfromissuanceofcommonstockunderemployeestockplans">Model!$826:$826</definedName>
    <definedName name="z_A7FLSL0150_MO_CCFS_proceedsfromissuanceofconvertiblenotes">Model!$822:$822</definedName>
    <definedName name="z_A7FLSL0150_MO_CCFS_proceedsfrommaturitiesofmarketablesecurities">Model!$810:$810</definedName>
    <definedName name="z_A7FLSL0150_MO_CCFS_proceedsfromsaleoflonglivedassetsandinvestments">Model!$813:$813</definedName>
    <definedName name="z_A7FLSL0150_MO_CCFS_proceedsfromsalesofmarketablesecurities">Model!$809:$809</definedName>
    <definedName name="z_A7FLSL0150_MO_CCFS_Proceedsfromsalesofnonmarketableequitysecurities">Model!$811:$811</definedName>
    <definedName name="z_A7FLSL0150_MO_CCFS_proceedsfromthesaleofcommonstockwarrants">Model!$825:$825</definedName>
    <definedName name="z_A7FLSL0150_MO_CCFS_purchaseofconvertiblenotehedges">Model!$824:$824</definedName>
    <definedName name="z_A7FLSL0150_MO_CCFS_purchasesofmarketablesecurities">Model!$808:$808</definedName>
    <definedName name="z_A7FLSL0150_MO_CCFS_purchasesofpropertyandequipmentandintangibleassets">Model!$812:$812</definedName>
    <definedName name="z_A7FLSL0150_MO_CCFS_reimbursementofheadquartersbuildingdevelopmentcostsfrombanks">Model!$815:$815</definedName>
    <definedName name="z_A7FLSL0150_MO_CCFS_repaymentofconvertiblenotes">Model!$829:$829</definedName>
    <definedName name="z_A7FLSL0150_MO_CCFS_Repaymentofdebt">Model!$827:$827</definedName>
    <definedName name="z_A7FLSL0150_MO_CCFS_Restructuringandothercharges">Model!$784:$784</definedName>
    <definedName name="z_A7FLSL0150_MO_CCFS_stockbasedcompensationexpense">Model!$783:$783</definedName>
    <definedName name="z_A7FLSL0150_MO_CCFS_stockbasedcompensationexpenserelatedtostockoptionpurchase">Model!$780:$780</definedName>
    <definedName name="z_A7FLSL0150_MO_CCFS_taxbenefitfromstockbasedcompensation">Model!$792:$792</definedName>
    <definedName name="z_A7FLSL0150_MO_CCFS_taxbenefitfromstockbasedcompensation_1">Model!$832:$832</definedName>
    <definedName name="z_A7FLSL0150_MO_CCFS_taxbenefitfromstockoptions">Model!$791:$791</definedName>
    <definedName name="z_A7FLSL0150_MO_CFS_accountspayable">Model!$874:$874</definedName>
    <definedName name="z_A7FLSL0150_MO_CFS_accountsreceivable">Model!$869:$869</definedName>
    <definedName name="z_A7FLSL0150_MO_CFS_Accruedandothercurrentliabilities">Model!$875:$875</definedName>
    <definedName name="z_A7FLSL0150_MO_CFS_Acquisitionofbusinesses">Model!$886:$886</definedName>
    <definedName name="z_A7FLSL0150_MO_CFS_Acquisitionterminationcost">Model!$853:$853</definedName>
    <definedName name="z_A7FLSL0150_MO_CFS_Amortizationofdebtdiscount">Model!$857:$857</definedName>
    <definedName name="z_A7FLSL0150_MO_CFS_BeginningCashBalance">Model!$915:$915</definedName>
    <definedName name="z_A7FLSL0150_MO_CFS_Cashpaidforinterest">Model!$918:$918</definedName>
    <definedName name="z_A7FLSL0150_MO_CFS_Cashreceivedpaidforincometaxes">Model!$919:$919</definedName>
    <definedName name="z_A7FLSL0150_MO_CFS_CFCheck">Model!$921:$921</definedName>
    <definedName name="z_A7FLSL0150_MO_CFS_CFF">Model!$892:$892</definedName>
    <definedName name="z_A7FLSL0150_MO_CFS_CFI">Model!$879:$879</definedName>
    <definedName name="z_A7FLSL0150_MO_CFS_CFO">Model!$850:$850</definedName>
    <definedName name="z_A7FLSL0150_MO_CFS_CFObeforeWC">Model!$868:$868</definedName>
    <definedName name="z_A7FLSL0150_MO_CFS_deferredincometaxes">Model!$860:$860</definedName>
    <definedName name="z_A7FLSL0150_MO_CFS_Depositsandotherassets">Model!$872:$872</definedName>
    <definedName name="z_A7FLSL0150_MO_CFS_depreciationandamortization">Model!$854:$854</definedName>
    <definedName name="z_A7FLSL0150_MO_CFS_Dividendspaid">Model!$902:$902</definedName>
    <definedName name="z_A7FLSL0150_MO_CFS_EndingCashBalance">Model!$916:$916</definedName>
    <definedName name="z_A7FLSL0150_MO_CFS_FX">Model!$912:$912</definedName>
    <definedName name="z_A7FLSL0150_MO_CFS_Gainslossesoninvestmentsinnonaffiliates">Model!$865:$865</definedName>
    <definedName name="z_A7FLSL0150_MO_CFS_impairmentchargeoninvestments">Model!$867:$867</definedName>
    <definedName name="z_A7FLSL0150_MO_CFS_inprocessresearchanddevelopmentexpenses">Model!$862:$862</definedName>
    <definedName name="z_A7FLSL0150_MO_CFS_inventories">Model!$870:$870</definedName>
    <definedName name="z_A7FLSL0150_MO_CFS_Investmentinnonaffiliates">Model!$888:$888</definedName>
    <definedName name="z_A7FLSL0150_MO_CFS_Issuanceofdebtnetofissuancecosts">Model!$895:$895</definedName>
    <definedName name="z_A7FLSL0150_MO_CFS_Lossonearlydebtconversion">Model!$859:$859</definedName>
    <definedName name="z_A7FLSL0150_MO_CFS_NetCFF">Model!$910:$910</definedName>
    <definedName name="z_A7FLSL0150_MO_CFS_NetCFI">Model!$890:$890</definedName>
    <definedName name="z_A7FLSL0150_MO_CFS_NetCFO">Model!$877:$877</definedName>
    <definedName name="z_A7FLSL0150_MO_CFS_NetChangeinCashBalance">Model!$913:$913</definedName>
    <definedName name="z_A7FLSL0150_MO_CFS_netgainonsaleanddisposaloflonglivedassetsandinvestments">Model!$858:$858</definedName>
    <definedName name="z_A7FLSL0150_MO_CFS_netincome">Model!$851:$851</definedName>
    <definedName name="z_A7FLSL0150_MO_CFS_Other">Model!$866:$866</definedName>
    <definedName name="z_A7FLSL0150_MO_CFS_Other_1">Model!$889:$889</definedName>
    <definedName name="z_A7FLSL0150_MO_CFS_Other_2">Model!$909:$909</definedName>
    <definedName name="z_A7FLSL0150_MO_CFS_Otherlongtermliabilities">Model!$876:$876</definedName>
    <definedName name="z_A7FLSL0150_MO_CFS_Paymentofnotespayablefromacquisition">Model!$905:$905</definedName>
    <definedName name="z_A7FLSL0150_MO_CFS_Paymentsfordebtissuancecosts">Model!$907:$907</definedName>
    <definedName name="z_A7FLSL0150_MO_CFS_Paymentsofconvertibledebt">"Deleted"</definedName>
    <definedName name="z_A7FLSL0150_MO_CFS_Paymentsrelatedtorepurchasesofcommonstock">Model!$900:$900</definedName>
    <definedName name="z_A7FLSL0150_MO_CFS_paymentsrelatedtostockoptionpurchase">Model!$893:$893</definedName>
    <definedName name="z_A7FLSL0150_MO_CFS_paymentsrelatedtotaxonrestrictedstockunits">Model!$903:$903</definedName>
    <definedName name="z_A7FLSL0150_MO_CFS_paymentsundercapitalleaseobligations">Model!$906:$906</definedName>
    <definedName name="z_A7FLSL0150_MO_CFS_paymentsunderpatentlicensingarrangement">Model!$861:$861</definedName>
    <definedName name="z_A7FLSL0150_MO_CFS_Prepaidexpensesandotherassets">Model!$873:$873</definedName>
    <definedName name="z_A7FLSL0150_MO_CFS_Prepaidexpensesandothercurrentassets">Model!$871:$871</definedName>
    <definedName name="z_A7FLSL0150_MO_CFS_Principalpaymentsonpropertyandequipment">Model!$908:$908</definedName>
    <definedName name="z_A7FLSL0150_MO_CFS_proceedsfromissuanceofcommonstockunderemployeestockplans">Model!$898:$898</definedName>
    <definedName name="z_A7FLSL0150_MO_CFS_proceedsfromissuanceofconvertiblenotes">Model!$894:$894</definedName>
    <definedName name="z_A7FLSL0150_MO_CFS_proceedsfrommaturitiesofmarketablesecurities">Model!$882:$882</definedName>
    <definedName name="z_A7FLSL0150_MO_CFS_proceedsfromsaleoflonglivedassetsandinvestments">Model!$885:$885</definedName>
    <definedName name="z_A7FLSL0150_MO_CFS_proceedsfromsalesofmarketablesecurities">Model!$881:$881</definedName>
    <definedName name="z_A7FLSL0150_MO_CFS_Proceedsfromsalesofnonmarketableequitysecurities">Model!$883:$883</definedName>
    <definedName name="z_A7FLSL0150_MO_CFS_proceedsfromthesaleofcommonstockwarrants">Model!$897:$897</definedName>
    <definedName name="z_A7FLSL0150_MO_CFS_purchaseofconvertiblenotehedges">Model!$896:$896</definedName>
    <definedName name="z_A7FLSL0150_MO_CFS_purchasesofmarketablesecurities">Model!$880:$880</definedName>
    <definedName name="z_A7FLSL0150_MO_CFS_purchasesofpropertyandequipmentandintangibleassets">Model!$884:$884</definedName>
    <definedName name="z_A7FLSL0150_MO_CFS_reimbursementofheadquartersbuildingdevelopmentcostsfrombanks">Model!$887:$887</definedName>
    <definedName name="z_A7FLSL0150_MO_CFS_repaymentofconvertiblenotes">Model!$901:$901</definedName>
    <definedName name="z_A7FLSL0150_MO_CFS_Repaymentofdebt">Model!$899:$899</definedName>
    <definedName name="z_A7FLSL0150_MO_CFS_Restructuringandothercharges">Model!$856:$856</definedName>
    <definedName name="z_A7FLSL0150_MO_CFS_stockbasedcompensationexpense">Model!$855:$855</definedName>
    <definedName name="z_A7FLSL0150_MO_CFS_stockbasedcompensationexpenserelatedtostockoptionpurchase">Model!$852:$852</definedName>
    <definedName name="z_A7FLSL0150_MO_CFS_taxbenefitfromstockbasedcompensation">Model!$864:$864</definedName>
    <definedName name="z_A7FLSL0150_MO_CFS_taxbenefitfromstockbasedcompensation_1">Model!$904:$904</definedName>
    <definedName name="z_A7FLSL0150_MO_CFS_taxbenefitfromstockoptions">Model!$863:$863</definedName>
    <definedName name="z_A7FLSL0150_MO_CFSum_Acquisitions">Model!$712:$712</definedName>
    <definedName name="z_A7FLSL0150_MO_CFSum_Capex">Model!$709:$709</definedName>
    <definedName name="z_A7FLSL0150_MO_CFSum_CashFlowPerDilutedShare">Model!$706:$706</definedName>
    <definedName name="z_A7FLSL0150_MO_CFSum_CashFlowPerDilutedShare_1">Model!$707:$707</definedName>
    <definedName name="z_A7FLSL0150_MO_CFSum_ChangeinWorkingCapital">Model!$704:$704</definedName>
    <definedName name="z_A7FLSL0150_MO_CFSum_ConsensusEstimatesCapex">Model!$710:$710</definedName>
    <definedName name="z_A7FLSL0150_MO_CFSum_consensusestimatescashflowperdilutedshare">Model!$708:$708</definedName>
    <definedName name="z_A7FLSL0150_MO_CFSum_Divestiture">Model!$713:$713</definedName>
    <definedName name="z_A7FLSL0150_MO_CFSum_DividendPaid">Model!$714:$714</definedName>
    <definedName name="z_A7FLSL0150_MO_CFSum_DividendPerShare">Model!$715:$715</definedName>
    <definedName name="z_A7FLSL0150_MO_CFSum_EstimatedSharePriceforIssuanceBuybacks">Model!$719:$719</definedName>
    <definedName name="z_A7FLSL0150_MO_CFSum_FCF">Model!$724:$724</definedName>
    <definedName name="z_A7FLSL0150_MO_CFSum_FCF_1">Model!$725:$725</definedName>
    <definedName name="z_A7FLSL0150_MO_CFSum_FCF_2">Model!$726:$726</definedName>
    <definedName name="z_A7FLSL0150_MO_CFSum_FCF_4">Model!$728:$728</definedName>
    <definedName name="z_A7FLSL0150_MO_CFSum_FCFPostDiv_1">Model!$729:$729</definedName>
    <definedName name="z_A7FLSL0150_MO_CFSum_FCFPostDiv_2">Model!$730:$730</definedName>
    <definedName name="z_A7FLSL0150_MO_CFSum_FCFPostDivDebtBuyback">Model!$727:$727</definedName>
    <definedName name="z_A7FLSL0150_MO_CFSum_FCFPostDivDebtBuyback_1">Model!$731:$731</definedName>
    <definedName name="z_A7FLSL0150_MO_CFSum_GuidanceCapex">Model!$711:$711</definedName>
    <definedName name="z_A7FLSL0150_MO_CFSum_NetDebtIssuanceRepayment">Model!$717:$717</definedName>
    <definedName name="z_A7FLSL0150_MO_CFSum_NetShareIssuanceBuybacks">Model!$718:$718</definedName>
    <definedName name="z_A7FLSL0150_MO_CFSum_OperatingCashFlowafterWC">Model!$705:$705</definedName>
    <definedName name="z_A7FLSL0150_MO_CFSum_OperatingCashFlowbeforeWC">Model!$703:$703</definedName>
    <definedName name="z_A7FLSL0150_MO_CFSum_SBCexpense">Model!$721:$721</definedName>
    <definedName name="z_A7FLSL0150_MO_CFSum_SBCexpenseasofrevenue">Model!$722:$722</definedName>
    <definedName name="z_A7FLSL0150_MO_Checks_SNA_AdjustedNumbersFYSumofQs">Model!$1034:$1034</definedName>
    <definedName name="z_A7FLSL0150_MO_Checks_SNA_BalanceSheetisnotRepeated">Model!$1030:$1030</definedName>
    <definedName name="z_A7FLSL0150_MO_Checks_SNA_CapexisUpdated">Model!$1032:$1032</definedName>
    <definedName name="z_A7FLSL0150_MO_Checks_SNA_CashFlowisnotRepeated">Model!$1028:$1028</definedName>
    <definedName name="z_A7FLSL0150_MO_Checks_SNA_CashFlowSummarySignsareCorrect">Model!$1036:$1036</definedName>
    <definedName name="z_A7FLSL0150_MO_Checks_SNA_CashisPositive">Model!$1024:$1024</definedName>
    <definedName name="z_A7FLSL0150_MO_Checks_SNA_CFFsubtotalFYSumofQs">Model!$1042:$1042</definedName>
    <definedName name="z_A7FLSL0150_MO_Checks_SNA_CFIsubtotalFYSumofQs">Model!$1041:$1041</definedName>
    <definedName name="z_A7FLSL0150_MO_Checks_SNA_CFOBeforeWCsubtotalFYSumofQs">Model!$1039:$1039</definedName>
    <definedName name="z_A7FLSL0150_MO_Checks_SNA_CFOsubtotalFYSumofQs">Model!$1040:$1040</definedName>
    <definedName name="z_A7FLSL0150_MO_Checks_SNA_CFSummaryFYSumofQs">Model!$1043:$1043</definedName>
    <definedName name="z_A7FLSL0150_MO_Checks_SNA_DebtisPositive">Model!$1025:$1025</definedName>
    <definedName name="z_A7FLSL0150_MO_Checks_SNA_EndingCFEndingCumulativeCF">Model!$1031:$1031</definedName>
    <definedName name="z_A7FLSL0150_MO_Checks_SNA_IncomeStatementisnotRepeated">Model!$1029:$1029</definedName>
    <definedName name="z_A7FLSL0150_MO_Checks_SNA_Marginaddsupto100">Model!$1035:$1035</definedName>
    <definedName name="z_A7FLSL0150_MO_Checks_SNA_MarginisUpdated">Model!$1033:$1033</definedName>
    <definedName name="z_A7FLSL0150_MO_Checks_SNA_RISAdjustedEBITAdjustedEBIT">Model!$1027:$1027</definedName>
    <definedName name="z_A7FLSL0150_MO_Checks_SNA_RISAdjustedNIFYSumofQs">Model!$1038:$1038</definedName>
    <definedName name="z_A7FLSL0150_MO_Checks_SNA_RISNIFYSumofQs">Model!$1037:$1037</definedName>
    <definedName name="z_A7FLSL0150_MO_Checks_SNA_SegmentedRevenueRevenue">Model!$1026:$1026</definedName>
    <definedName name="z_A7FLSL0150_MO_DAF_Additionstoacquiredintangibles">Model!$932:$932</definedName>
    <definedName name="z_A7FLSL0150_MO_DAF_AmortizationaspercentageofIntangiblesBoP">Model!$937:$937</definedName>
    <definedName name="z_A7FLSL0150_MO_DAF_Amortizationofintangibles">Model!$931:$931</definedName>
    <definedName name="z_A7FLSL0150_MO_DAF_CapexofPPE">Model!$926:$926</definedName>
    <definedName name="z_A7FLSL0150_MO_DAF_CapexofPPEandIntangibles">Model!$942:$942</definedName>
    <definedName name="z_A7FLSL0150_MO_DAF_DAofPPEandIntangibles">Model!$941:$941</definedName>
    <definedName name="z_A7FLSL0150_MO_DAF_DepreciationaspercentageofPPEBoP">Model!$936:$936</definedName>
    <definedName name="z_A7FLSL0150_MO_DAF_Depreciationoffixedassets">Model!$925:$925</definedName>
    <definedName name="z_A7FLSL0150_MO_DAF_Impliedlifeoffixedassets">Model!$938:$938</definedName>
    <definedName name="z_A7FLSL0150_MO_DAF_Impliedlifeofintangibles">Model!$939:$939</definedName>
    <definedName name="z_A7FLSL0150_MO_DAF_IntangiblesBoP">Model!$930:$930</definedName>
    <definedName name="z_A7FLSL0150_MO_DAF_IntangiblesEoP">Model!$934:$934</definedName>
    <definedName name="z_A7FLSL0150_MO_DAF_Othernetadditionstointangibles">Model!$933:$933</definedName>
    <definedName name="z_A7FLSL0150_MO_DAF_OthernetadditionstoPPE">Model!$927:$927</definedName>
    <definedName name="z_A7FLSL0150_MO_DAF_Percentageofacquisitionexpenditureallocatedtointangibleassets">Model!$945:$945</definedName>
    <definedName name="z_A7FLSL0150_MO_DAF_Percentageofcapexallocatedtointangibleassets">Model!$943:$943</definedName>
    <definedName name="z_A7FLSL0150_MO_DAF_PPEBoP">Model!$924:$924</definedName>
    <definedName name="z_A7FLSL0150_MO_DAF_PPEEoP">Model!$928:$928</definedName>
    <definedName name="z_A7FLSL0150_MO_DAF_TotalAcquisitions">Model!$944:$944</definedName>
    <definedName name="z_A7FLSL0150_MO_Header_ColumnHeader">Model!$5:$5</definedName>
    <definedName name="z_A7FLSL0150_MO_Header_CompanySubTitle">Model!$2:$2</definedName>
    <definedName name="z_A7FLSL0150_MO_Header_CompanyTitle">Model!$1:$1</definedName>
    <definedName name="z_A7FLSL0150_MO_Header_FPDays">Model!$3:$3</definedName>
    <definedName name="z_A7FLSL0150_MO_Header_HeaderRow">'Exec Comp'!$1:$1</definedName>
    <definedName name="z_A7FLSL0150_MO_Header_HeaderRow_1">'Exec Comp'!$2:$2</definedName>
    <definedName name="z_A7FLSL0150_MO_Header_HeaderRow_2">'Exec Comp'!$3:$3</definedName>
    <definedName name="z_A7FLSL0150_MO_Header_HeaderRow_3">'Exec Comp'!$4:$4</definedName>
    <definedName name="z_A7FLSL0150_MO_Header_HeaderRow_4">'Exec Comp'!$5:$5</definedName>
    <definedName name="z_A7FLSL0150_MO_Header_QEndDate">Model!$4:$4</definedName>
    <definedName name="z_A7FLSL0150_MO_IS_costofrevenue">Model!$301:$301</definedName>
    <definedName name="z_A7FLSL0150_MO_IS_grossprofit">Model!$302:$302</definedName>
    <definedName name="z_A7FLSL0150_MO_IS_incomebeforeincometaxexpense">Model!$313:$313</definedName>
    <definedName name="z_A7FLSL0150_MO_IS_incomefromoperations">Model!$309:$309</definedName>
    <definedName name="z_A7FLSL0150_MO_IS_incometaxexpense">Model!$314:$314</definedName>
    <definedName name="z_A7FLSL0150_MO_IS_interestexpense">Model!$311:$311</definedName>
    <definedName name="z_A7FLSL0150_MO_IS_interestincome">Model!$310:$310</definedName>
    <definedName name="z_A7FLSL0150_MO_IS_ISCheck">Model!$317:$317</definedName>
    <definedName name="z_A7FLSL0150_MO_IS_legalsettlement">Model!$306:$306</definedName>
    <definedName name="z_A7FLSL0150_MO_IS_netincome">Model!$315:$315</definedName>
    <definedName name="z_A7FLSL0150_MO_IS_Otherincome">Model!$312:$312</definedName>
    <definedName name="z_A7FLSL0150_MO_IS_researchanddevelopment">Model!$303:$303</definedName>
    <definedName name="z_A7FLSL0150_MO_IS_Restructuringandothercharges">Model!$307:$307</definedName>
    <definedName name="z_A7FLSL0150_MO_IS_RestructuringChargesandOther">Model!$305:$305</definedName>
    <definedName name="z_A7FLSL0150_MO_IS_revenue">Model!$300:$300</definedName>
    <definedName name="z_A7FLSL0150_MO_IS_sales">Model!$304:$304</definedName>
    <definedName name="z_A7FLSL0150_MO_IS_totaloperatingexpenses">Model!$308:$308</definedName>
    <definedName name="z_A7FLSL0150_MO_MA_AverageFXRate">Model!$768:$768</definedName>
    <definedName name="z_A7FLSL0150_MO_MA_CompanyReportedNonGAAPOperatingIncomeMargin">Model!$294:$294</definedName>
    <definedName name="z_A7FLSL0150_MO_MA_ConsensusEstimatesCompanyReportedNonGAAPOperatingIncomeMargin">Model!$295:$295</definedName>
    <definedName name="z_A7FLSL0150_MO_MA_ConsensusEstimatesGrossMargin">Model!$287:$287</definedName>
    <definedName name="z_A7FLSL0150_MO_MA_EoPFXRate">Model!$769:$769</definedName>
    <definedName name="z_A7FLSL0150_MO_MA_EVSalesAvg">Model!$758:$758</definedName>
    <definedName name="z_A7FLSL0150_MO_MA_GAAPCOGSMargin">Model!$277:$277</definedName>
    <definedName name="z_A7FLSL0150_MO_MA_GAAPGrossMargin">Model!$278:$278</definedName>
    <definedName name="z_A7FLSL0150_MO_MA_GAAPOperatingIncomeMargin">Model!$283:$283</definedName>
    <definedName name="z_A7FLSL0150_MO_MA_GAAPOPEXMargin">Model!$282:$282</definedName>
    <definedName name="z_A7FLSL0150_MO_MA_GAAPRDMargin">Model!$281:$281</definedName>
    <definedName name="z_A7FLSL0150_MO_MA_GAAPSGAMargin">Model!$280:$280</definedName>
    <definedName name="z_A7FLSL0150_MO_MA_GuidanceNonGAAPGrossMargin">Model!$288:$288</definedName>
    <definedName name="z_A7FLSL0150_MO_MA_NonGAAPCOGSMargin">Model!$285:$285</definedName>
    <definedName name="z_A7FLSL0150_MO_MA_NonGAAPEBITDAMargin">Model!$297:$297</definedName>
    <definedName name="z_A7FLSL0150_MO_MA_NonGAAPGrossMargin">Model!$286:$286</definedName>
    <definedName name="z_A7FLSL0150_MO_MA_NonGAAPOperatingIncomeMargin">Model!$293:$293</definedName>
    <definedName name="z_A7FLSL0150_MO_MA_NonGAAPOPEXMargin">Model!$292:$292</definedName>
    <definedName name="z_A7FLSL0150_MO_MA_NonGAAPRDMargin">Model!$291:$291</definedName>
    <definedName name="z_A7FLSL0150_MO_MA_NonGAAPSGAMargin">Model!$290:$290</definedName>
    <definedName name="z_A7FLSL0150_MO_MA_StockEoP">Model!$767:$767</definedName>
    <definedName name="z_A7FLSL0150_MO_MA_StockPriceTradingCurAvg">Model!$770:$770</definedName>
    <definedName name="z_A7FLSL0150_MO_OS_Accountspayable">"Deleted"</definedName>
    <definedName name="z_A7FLSL0150_MO_OS_Accountspayable_2">Model!$950:$950</definedName>
    <definedName name="z_A7FLSL0150_MO_OS_AccountspayableYYChange">Model!$955:$955</definedName>
    <definedName name="z_A7FLSL0150_MO_OS_Accountsreceivablenet">Model!$948:$948</definedName>
    <definedName name="z_A7FLSL0150_MO_OS_AccountsreceivablenetYYChange">Model!$953:$953</definedName>
    <definedName name="z_A7FLSL0150_MO_OS_Accruedandothercurrentliabilities">Model!$951:$951</definedName>
    <definedName name="z_A7FLSL0150_MO_OS_AccruedandothercurrentliabilitiesYYChange">Model!$956:$956</definedName>
    <definedName name="z_A7FLSL0150_MO_OS_Acquisitionrelatedandothercosts">Model!$153:$153</definedName>
    <definedName name="z_A7FLSL0150_MO_OS_Acquisitionrelatedandothercosts_1">Model!$178:$178</definedName>
    <definedName name="z_A7FLSL0150_MO_OS_AcquisitionrelatedcostsCOGS">Model!$53:$53</definedName>
    <definedName name="z_A7FLSL0150_MO_OS_AcquisitionrelatedcostsCOGSasofrevenue">Model!$54:$54</definedName>
    <definedName name="z_A7FLSL0150_MO_OS_AcquisitionrelatedcostsRD">Model!$71:$71</definedName>
    <definedName name="z_A7FLSL0150_MO_OS_AcquisitionrelatedcostsRDasofrevenue">Model!$72:$72</definedName>
    <definedName name="z_A7FLSL0150_MO_OS_AcquisitionrelatedcostsSGA">Model!$86:$86</definedName>
    <definedName name="z_A7FLSL0150_MO_OS_AcquisitionrelatedcostsSGAasofrevenue">Model!$87:$87</definedName>
    <definedName name="z_A7FLSL0150_MO_OS_Acquisitionrelatedintangibleassets">"Deleted"</definedName>
    <definedName name="z_A7FLSL0150_MO_OS_Acquisitionterminationcost">Model!$151:$151</definedName>
    <definedName name="z_A7FLSL0150_MO_OS_Additionduetobusinesscombinations">Model!$216:$216</definedName>
    <definedName name="z_A7FLSL0150_MO_OS_Additionofrepurchaseauthorized_3">Model!$517:$517</definedName>
    <definedName name="z_A7FLSL0150_MO_OS_Additionofrepurchaseauthorizedmonth1">Model!$514:$514</definedName>
    <definedName name="z_A7FLSL0150_MO_OS_Additionofrepurchaseauthorizedmonth2">Model!$515:$515</definedName>
    <definedName name="z_A7FLSL0150_MO_OS_Additionofrepurchaseauthorizedmonth3">Model!$516:$516</definedName>
    <definedName name="z_A7FLSL0150_MO_OS_AICloudsIndustrialEnterpriserevenue">Model!$138:$138</definedName>
    <definedName name="z_A7FLSL0150_MO_OS_AllOtherDepreciationandamortization">Model!$170:$170</definedName>
    <definedName name="z_A7FLSL0150_MO_OS_AllOtherOperatingIncomeloss">Model!$161:$161</definedName>
    <definedName name="z_A7FLSL0150_MO_OS_AllOtherOperatingIncomeloss_1">Model!$184:$184</definedName>
    <definedName name="z_A7FLSL0150_MO_OS_AllOtherOperatingIncomeMargin">Model!$189:$189</definedName>
    <definedName name="z_A7FLSL0150_MO_OS_AllOtherRevenue">Model!$145:$145</definedName>
    <definedName name="z_A7FLSL0150_MO_OS_AllOtherRevenue_1">Model!$175:$175</definedName>
    <definedName name="z_A7FLSL0150_MO_OS_automotiverevenue">Model!$26:$26</definedName>
    <definedName name="z_A7FLSL0150_MO_OS_AutomotiveRevenueGrowth">Model!$28:$28</definedName>
    <definedName name="z_A7FLSL0150_MO_OS_AutonomousmachinesTAM">Model!$235:$235</definedName>
    <definedName name="z_A7FLSL0150_MO_OS_Averagepriceofsharerepurchasedcalculated">Model!$507:$507</definedName>
    <definedName name="z_A7FLSL0150_MO_OS_Averagepriceofsharerepurchasedmonth1">Model!$504:$504</definedName>
    <definedName name="z_A7FLSL0150_MO_OS_Averagepriceofsharerepurchasedmonth2">Model!$505:$505</definedName>
    <definedName name="z_A7FLSL0150_MO_OS_Averagepriceofsharerepurchasedmonth3">Model!$506:$506</definedName>
    <definedName name="z_A7FLSL0150_MO_OS_Product0076">Model!$40:$40</definedName>
    <definedName name="z_A7FLSL0150_MO_OS_BoPtotalstockoptionsoutstanding">Model!$463:$463</definedName>
    <definedName name="z_A7FLSL0150_MO_OS_BoPweightedaverageexerciseprice">Model!$475:$475</definedName>
    <definedName name="z_A7FLSL0150_MO_OS_Sourcefullydilutedsharesoutstanding">Model!$492:$492</definedName>
    <definedName name="z_A7FLSL0150_MO_OS_Sourcepotentiallydilutivecoverpagesharesoutstanding">Model!$497:$497</definedName>
    <definedName name="z_A7FLSL0150_MO_OS_Capexbeatmissvsmostrecentguidancemidpoint">Model!$557:$557</definedName>
    <definedName name="z_A7FLSL0150_MO_OS_Capexguidanceinitialmidpoint">Model!$551:$551</definedName>
    <definedName name="z_A7FLSL0150_MO_OS_Capexguidancemostrecentmidpoint">Model!$555:$555</definedName>
    <definedName name="z_A7FLSL0150_MO_OS_Capexguidanceupdate1midpoint">Model!$552:$552</definedName>
    <definedName name="z_A7FLSL0150_MO_OS_Capexguidanceupdate2midpoint">Model!$553:$553</definedName>
    <definedName name="z_A7FLSL0150_MO_OS_Capexguidanceupdate3midpoint">Model!$554:$554</definedName>
    <definedName name="z_A7FLSL0150_MO_OS_Capexreportedmodelestimate">Model!$556:$556</definedName>
    <definedName name="z_A7FLSL0150_MO_OS_CEOAllothercompensation">'Exec Comp'!$10:$10</definedName>
    <definedName name="z_A7FLSL0150_MO_OS_CEOBasePay">'Exec Comp'!$7:$7</definedName>
    <definedName name="z_A7FLSL0150_MO_OS_CEOcomptiedtoequity">'Exec Comp'!$12:$12</definedName>
    <definedName name="z_A7FLSL0150_MO_OS_CEOEoPsharesbeneficiallyowned">'Exec Comp'!$38:$38</definedName>
    <definedName name="z_A7FLSL0150_MO_OS_CEOEoPSharesIssuableWithin60days">'Exec Comp'!$37:$37</definedName>
    <definedName name="z_A7FLSL0150_MO_OS_CEOEoPsharesowned">'Exec Comp'!$36:$36</definedName>
    <definedName name="z_A7FLSL0150_MO_OS_CEONonequityincentiveplans">'Exec Comp'!$9:$9</definedName>
    <definedName name="z_A7FLSL0150_MO_OS_CEOOptions03172021exerciseprice">'Exec Comp'!$19:$19</definedName>
    <definedName name="z_A7FLSL0150_MO_OS_CEOOptions03172021ofunexercisedexercisableoptions">'Exec Comp'!$18:$18</definedName>
    <definedName name="z_A7FLSL0150_MO_OS_CEOOptions03192023exerciseprice">'Exec Comp'!$31:$31</definedName>
    <definedName name="z_A7FLSL0150_MO_OS_CEOOptions03192023ofunexercisedexercisableoptions">'Exec Comp'!$30:$30</definedName>
    <definedName name="z_A7FLSL0150_MO_OS_CEOOptions03202022exerciseprice">'Exec Comp'!$25:$25</definedName>
    <definedName name="z_A7FLSL0150_MO_OS_CEOOptions03202022ofunexercisedexercisableoptions">'Exec Comp'!$24:$24</definedName>
    <definedName name="z_A7FLSL0150_MO_OS_CEOOptions09142020exerciseprice">'Exec Comp'!$16:$16</definedName>
    <definedName name="z_A7FLSL0150_MO_OS_CEOOptions09142020ofunexercisedexercisableoptions">'Exec Comp'!$15:$15</definedName>
    <definedName name="z_A7FLSL0150_MO_OS_CEOOptions09172023exerciseprice">'Exec Comp'!$34:$34</definedName>
    <definedName name="z_A7FLSL0150_MO_OS_CEOOptions09172023ofunexercisedexcercisableoptions">'Exec Comp'!$33:$33</definedName>
    <definedName name="z_A7FLSL0150_MO_OS_CEOOptions09182022exerciseprice">'Exec Comp'!$28:$28</definedName>
    <definedName name="z_A7FLSL0150_MO_OS_CEOOptions09182022ofunexercisedexercisableoptions">'Exec Comp'!$27:$27</definedName>
    <definedName name="z_A7FLSL0150_MO_OS_CEOOptions09202021exerciseprice">'Exec Comp'!$22:$22</definedName>
    <definedName name="z_A7FLSL0150_MO_OS_CEOOptions09202021ofunexercisedexercisableoptions">'Exec Comp'!$21:$21</definedName>
    <definedName name="z_A7FLSL0150_MO_OS_CEOStockAwards">'Exec Comp'!$8:$8</definedName>
    <definedName name="z_A7FLSL0150_MO_OS_CEOStockOwnershipGuidelinestimesbasesalary">'Exec Comp'!$110:$110</definedName>
    <definedName name="z_A7FLSL0150_MO_OS_CEOTotalComp">'Exec Comp'!$11:$11</definedName>
    <definedName name="z_A7FLSL0150_MO_OS_CFOAllothercompensation">'Exec Comp'!$43:$43</definedName>
    <definedName name="z_A7FLSL0150_MO_OS_CFOBasePay">'Exec Comp'!$40:$40</definedName>
    <definedName name="z_A7FLSL0150_MO_OS_CFOcomptiedtoequity">'Exec Comp'!$45:$45</definedName>
    <definedName name="z_A7FLSL0150_MO_OS_CFOEoPsharesbeneficiallyowned">'Exec Comp'!$49:$49</definedName>
    <definedName name="z_A7FLSL0150_MO_OS_CFOEoPSharesIssuableWithin60days">'Exec Comp'!$48:$48</definedName>
    <definedName name="z_A7FLSL0150_MO_OS_CFOEoPsharesowned">'Exec Comp'!$47:$47</definedName>
    <definedName name="z_A7FLSL0150_MO_OS_CFONonequityincentiveplans">'Exec Comp'!$42:$42</definedName>
    <definedName name="z_A7FLSL0150_MO_OS_CFOStockAwards">'Exec Comp'!$41:$41</definedName>
    <definedName name="z_A7FLSL0150_MO_OS_CFOTotalComp">'Exec Comp'!$44:$44</definedName>
    <definedName name="z_A7FLSL0150_MO_OS_ChangeinDeferredRevenueBalance">Model!$220:$220</definedName>
    <definedName name="z_A7FLSL0150_MO_OS_ChangeinimpliedROYrevenue">Model!$627:$627</definedName>
    <definedName name="z_A7FLSL0150_MO_OS_chinarevenue">Model!$194:$194</definedName>
    <definedName name="z_A7FLSL0150_MO_OS_ChinaRevenue_1">Model!$204:$204</definedName>
    <definedName name="z_A7FLSL0150_MO_OS_CMPRevenue">Model!$41:$41</definedName>
    <definedName name="z_A7FLSL0150_MO_OS_CommonstockoutstandingEoP">Model!$444:$444</definedName>
    <definedName name="z_A7FLSL0150_MO_OS_ComputeNetworkingOperatingIncomeloss">Model!$150:$150</definedName>
    <definedName name="z_A7FLSL0150_MO_OS_ComputeNetworkingOperatingIncomeMargin">Model!$165:$165</definedName>
    <definedName name="z_A7FLSL0150_MO_OS_ComputeNetworkingrevenuemm">Model!$134:$134</definedName>
    <definedName name="z_A7FLSL0150_MO_OS_Computerevenue">Model!$15:$15</definedName>
    <definedName name="z_A7FLSL0150_MO_OS_ConsensusEstimatesNonGAAPGrossMargin">Model!$60:$60</definedName>
    <definedName name="z_A7FLSL0150_MO_OS_ConsensusEstimatesNonGAAPOperatingIncome">Model!$107:$107</definedName>
    <definedName name="z_A7FLSL0150_MO_OS_ConsensusEstimatesNonGAAPOperatingIncomeMargin">Model!$110:$110</definedName>
    <definedName name="z_A7FLSL0150_MO_OS_ConsensusEstimatesTotalRevenue">Model!$35:$35</definedName>
    <definedName name="z_A7FLSL0150_MO_OS_Contributions">Model!$179:$179</definedName>
    <definedName name="z_A7FLSL0150_MO_OS_Contributions_1">Model!$156:$156</definedName>
    <definedName name="z_A7FLSL0150_MO_OS_Costofrevenue">Model!$45:$45</definedName>
    <definedName name="z_A7FLSL0150_MO_OS_Coverpagecommonstockoutstanding">Model!$494:$494</definedName>
    <definedName name="z_A7FLSL0150_MO_OS_CumulativeBoPTotalStockOptionsOutstanding">Model!$457:$457</definedName>
    <definedName name="z_A7FLSL0150_MO_OS_CumulativeBoPWeightedAverageExercisePrice">Model!$469:$469</definedName>
    <definedName name="z_A7FLSL0150_MO_OS_CumulativeEoPTotalStockOptionsOutstanding">Model!$461:$461</definedName>
    <definedName name="z_A7FLSL0150_MO_OS_CumulativeEoPWeightedAverageExercisePrice">Model!$473:$473</definedName>
    <definedName name="z_A7FLSL0150_MO_OS_CumulativeExercisedAverageExercisePrice">Model!$471:$471</definedName>
    <definedName name="z_A7FLSL0150_MO_OS_CumulativeExercisedStockOptions">Model!$459:$459</definedName>
    <definedName name="z_A7FLSL0150_MO_OS_CumulativeForfeitedandCanceledAverageExercisePrice">Model!$472:$472</definedName>
    <definedName name="z_A7FLSL0150_MO_OS_CumulativeForfeitedandCanceledStockOptions">Model!$460:$460</definedName>
    <definedName name="z_A7FLSL0150_MO_OS_CumulativeGrantedAverageExercisePrice">Model!$470:$470</definedName>
    <definedName name="z_A7FLSL0150_MO_OS_CumulativeGrantedStockOptions">Model!$458:$458</definedName>
    <definedName name="z_A7FLSL0150_MO_OS_Currentinventorypurchaseandlongtermsupplyobligations">Model!$254:$254</definedName>
    <definedName name="z_A7FLSL0150_MO_OS_CurrentRPOs">Model!$222:$222</definedName>
    <definedName name="z_A7FLSL0150_MO_OS_CurrentRPOs_1">Model!$226:$226</definedName>
    <definedName name="z_A7FLSL0150_MO_OS_datacenterrevenue">Model!$22:$22</definedName>
    <definedName name="z_A7FLSL0150_MO_OS_DataCenterrevenue_2">Model!$139:$139</definedName>
    <definedName name="z_A7FLSL0150_MO_OS_DatacenterRevenueGrowth">Model!$24:$24</definedName>
    <definedName name="z_A7FLSL0150_MO_OS_DatacentersystemsTAM">Model!$237:$237</definedName>
    <definedName name="z_A7FLSL0150_MO_OS_Dateofcoverpagesharecount">Model!$495:$495</definedName>
    <definedName name="z_A7FLSL0150_MO_OS_DayssalesininventoryDSI">Model!$231:$231</definedName>
    <definedName name="z_A7FLSL0150_MO_OS_DayssalesoutstandingDSO">Model!$229:$229</definedName>
    <definedName name="z_A7FLSL0150_MO_OS_DeferredRevenueaddedduringtheperiod">Model!$215:$215</definedName>
    <definedName name="z_A7FLSL0150_MO_OS_DeferredRevenueBalanceatbeginningofperiod">Model!$214:$214</definedName>
    <definedName name="z_A7FLSL0150_MO_OS_DeferredRevenueBalanceatEndofperiod">Model!$218:$218</definedName>
    <definedName name="z_A7FLSL0150_MO_OS_Dilutedsharecounttobasicsharecountratio">Model!$453:$453</definedName>
    <definedName name="z_A7FLSL0150_MO_OS_Dilutiveshares">Model!$452:$452</definedName>
    <definedName name="z_A7FLSL0150_MO_OS_Dilutivesharesfromexercisedoptionstreasurymethod">Model!$480:$480</definedName>
    <definedName name="z_A7FLSL0150_MO_OS_Director10allothercomp">'Exec Comp'!$100:$100</definedName>
    <definedName name="z_A7FLSL0150_MO_OS_Director10cashcomp">'Exec Comp'!$70:$70</definedName>
    <definedName name="z_A7FLSL0150_MO_OS_Director10stockawardcomp">'Exec Comp'!$85:$85</definedName>
    <definedName name="z_A7FLSL0150_MO_OS_Director11allothercomp">'Exec Comp'!$101:$101</definedName>
    <definedName name="z_A7FLSL0150_MO_OS_Director11cashcomp">'Exec Comp'!$71:$71</definedName>
    <definedName name="z_A7FLSL0150_MO_OS_Director11stockawardcomp">'Exec Comp'!$86:$86</definedName>
    <definedName name="z_A7FLSL0150_MO_OS_Director12allothercomp">'Exec Comp'!$102:$102</definedName>
    <definedName name="z_A7FLSL0150_MO_OS_Director12cashcomp">'Exec Comp'!$72:$72</definedName>
    <definedName name="z_A7FLSL0150_MO_OS_Director12stockawardcomp">'Exec Comp'!$87:$87</definedName>
    <definedName name="z_A7FLSL0150_MO_OS_Director13allothercomp">'Exec Comp'!$104:$104</definedName>
    <definedName name="z_A7FLSL0150_MO_OS_Director13allothercomp_1">'Exec Comp'!$103:$103</definedName>
    <definedName name="z_A7FLSL0150_MO_OS_Director13cashcomp">'Exec Comp'!$73:$73</definedName>
    <definedName name="z_A7FLSL0150_MO_OS_Director13stockawardcomp">'Exec Comp'!$88:$88</definedName>
    <definedName name="z_A7FLSL0150_MO_OS_Director14cashcomp">'Exec Comp'!$74:$74</definedName>
    <definedName name="z_A7FLSL0150_MO_OS_Director14stockawardcomp">'Exec Comp'!$89:$89</definedName>
    <definedName name="z_A7FLSL0150_MO_OS_Director1allothercomp">'Exec Comp'!$91:$91</definedName>
    <definedName name="z_A7FLSL0150_MO_OS_Director1cashcomp">'Exec Comp'!$61:$61</definedName>
    <definedName name="z_A7FLSL0150_MO_OS_Director1stockawardcomp">'Exec Comp'!$76:$76</definedName>
    <definedName name="z_A7FLSL0150_MO_OS_Director2allothercomp">'Exec Comp'!$92:$92</definedName>
    <definedName name="z_A7FLSL0150_MO_OS_Director2cashcomp">'Exec Comp'!$62:$62</definedName>
    <definedName name="z_A7FLSL0150_MO_OS_Director2stockawardcomp">'Exec Comp'!$77:$77</definedName>
    <definedName name="z_A7FLSL0150_MO_OS_Director3allothercomp">'Exec Comp'!$93:$93</definedName>
    <definedName name="z_A7FLSL0150_MO_OS_Director3cashcomp">'Exec Comp'!$63:$63</definedName>
    <definedName name="z_A7FLSL0150_MO_OS_Director3stockawardcomp">'Exec Comp'!$78:$78</definedName>
    <definedName name="z_A7FLSL0150_MO_OS_Director4allothercomp">'Exec Comp'!$94:$94</definedName>
    <definedName name="z_A7FLSL0150_MO_OS_Director4cashcomp">'Exec Comp'!$64:$64</definedName>
    <definedName name="z_A7FLSL0150_MO_OS_Director4stockawardcomp">'Exec Comp'!$79:$79</definedName>
    <definedName name="z_A7FLSL0150_MO_OS_Director5allothercomp">'Exec Comp'!$95:$95</definedName>
    <definedName name="z_A7FLSL0150_MO_OS_Director5cashcomp">'Exec Comp'!$65:$65</definedName>
    <definedName name="z_A7FLSL0150_MO_OS_Director5stockawardcomp">'Exec Comp'!$80:$80</definedName>
    <definedName name="z_A7FLSL0150_MO_OS_Director6allothercomp">'Exec Comp'!$96:$96</definedName>
    <definedName name="z_A7FLSL0150_MO_OS_Director6cashcomp">'Exec Comp'!$66:$66</definedName>
    <definedName name="z_A7FLSL0150_MO_OS_Director6stockawardcomp">'Exec Comp'!$81:$81</definedName>
    <definedName name="z_A7FLSL0150_MO_OS_Director7allothercomp">'Exec Comp'!$97:$97</definedName>
    <definedName name="z_A7FLSL0150_MO_OS_Director7cashcomp">'Exec Comp'!$67:$67</definedName>
    <definedName name="z_A7FLSL0150_MO_OS_Director7stockawardcomp">'Exec Comp'!$82:$82</definedName>
    <definedName name="z_A7FLSL0150_MO_OS_Director8allothercomp">'Exec Comp'!$98:$98</definedName>
    <definedName name="z_A7FLSL0150_MO_OS_Director8cashcomp">'Exec Comp'!$68:$68</definedName>
    <definedName name="z_A7FLSL0150_MO_OS_Director8stockawardcomp">'Exec Comp'!$83:$83</definedName>
    <definedName name="z_A7FLSL0150_MO_OS_Director9allothercomp">'Exec Comp'!$99:$99</definedName>
    <definedName name="z_A7FLSL0150_MO_OS_Director9cashcomp">'Exec Comp'!$69:$69</definedName>
    <definedName name="z_A7FLSL0150_MO_OS_Director9stockawardcomp">'Exec Comp'!$84:$84</definedName>
    <definedName name="z_A7FLSL0150_MO_OS_DirectorsStockOwneshershipGuidelinesbasesalary">'Exec Comp'!$112:$112</definedName>
    <definedName name="z_A7FLSL0150_MO_OS_EdgeComputing">Model!$140:$140</definedName>
    <definedName name="z_A7FLSL0150_MO_OS_Employeecount">Model!$244:$244</definedName>
    <definedName name="z_A7FLSL0150_MO_OS_Endofperiodstockprice">Model!$442:$442</definedName>
    <definedName name="z_A7FLSL0150_MO_OS_EoPESPPObligations">Model!$488:$488</definedName>
    <definedName name="z_A7FLSL0150_MO_OS_EoPRSUs_1">Model!$486:$486</definedName>
    <definedName name="z_A7FLSL0150_MO_OS_EoPRSUsPSUsandmarketbasedPSUs">Model!$485:$485</definedName>
    <definedName name="z_A7FLSL0150_MO_OS_EoPtotalstockoptionsexercisable">Model!$482:$482</definedName>
    <definedName name="z_A7FLSL0150_MO_OS_EoPtotalstockoptionsoutstanding">Model!$467:$467</definedName>
    <definedName name="z_A7FLSL0150_MO_OS_EoPweightedaverageexercisableoptionexerciseprice">Model!$483:$483</definedName>
    <definedName name="z_A7FLSL0150_MO_OS_EoPweightedaverageexerciseprice">Model!$479:$479</definedName>
    <definedName name="z_A7FLSL0150_MO_OS_europerevenue">Model!$198:$198</definedName>
    <definedName name="z_A7FLSL0150_MO_OS_EuropeRevenue_1">Model!$208:$208</definedName>
    <definedName name="z_A7FLSL0150_MO_OS_ExcessinventorypurchaseobligationsrelatedtoCOGS">Model!$248:$248</definedName>
    <definedName name="z_A7FLSL0150_MO_OS_Exercisedaverageexerciseprice">Model!$477:$477</definedName>
    <definedName name="z_A7FLSL0150_MO_OS_Exercisedstockoptions">Model!$465:$465</definedName>
    <definedName name="z_A7FLSL0150_MO_OS_Finishedgoods">"Deleted"</definedName>
    <definedName name="z_A7FLSL0150_MO_OS_Forfeitedandcanceledaverageexerciseprice">Model!$478:$478</definedName>
    <definedName name="z_A7FLSL0150_MO_OS_Forfeitedandcanceledstockoptions">Model!$466:$466</definedName>
    <definedName name="z_A7FLSL0150_MO_OS_ForwardannualCapexguidancehigh">Model!$570:$570</definedName>
    <definedName name="z_A7FLSL0150_MO_OS_ForwardannualCapexguidancelow">Model!$569:$569</definedName>
    <definedName name="z_A7FLSL0150_MO_OS_ForwardannualCapexguidancemidpoint">Model!$571:$571</definedName>
    <definedName name="z_A7FLSL0150_MO_OS_ForwardannualCapexguidancevariance">Model!$572:$572</definedName>
    <definedName name="z_A7FLSL0150_MO_OS_ForwardannualCapexguidancevariance_1">Model!$573:$573</definedName>
    <definedName name="z_A7FLSL0150_MO_OS_Forwardannualguidanceapplicableperiod">Model!$543:$543</definedName>
    <definedName name="z_A7FLSL0150_MO_OS_Forwardannualguidanceapplicableperiod_1">Model!$568:$568</definedName>
    <definedName name="z_A7FLSL0150_MO_OS_Forwardannualguidanceapplicableperiod_2">Model!$610:$610</definedName>
    <definedName name="z_A7FLSL0150_MO_OS_Forwardannualguidanceapplicableperiod_3">Model!$683:$683</definedName>
    <definedName name="z_A7FLSL0150_MO_OS_ForwardannualguidedYYnonGAAPgrossprofitgrowthhigh">Model!$690:$690</definedName>
    <definedName name="z_A7FLSL0150_MO_OS_ForwardannualguidedYYnonGAAPgrossprofitgrowthlow">Model!$689:$689</definedName>
    <definedName name="z_A7FLSL0150_MO_OS_ForwardannualguidedYYnonGAAPgrossprofitgrowthmidpoint">Model!$691:$691</definedName>
    <definedName name="z_A7FLSL0150_MO_OS_ForwardannualguidedYYnonGAAPgrossprofitmarginimprovementhigh">Model!$698:$698</definedName>
    <definedName name="z_A7FLSL0150_MO_OS_ForwardannualguidedYYnonGAAPgrossprofitmarginimprovementlow">Model!$697:$697</definedName>
    <definedName name="z_A7FLSL0150_MO_OS_ForwardannualguidedYYnonGAAPgrossprofitmarginimprovementmidpoint">Model!$699:$699</definedName>
    <definedName name="z_A7FLSL0150_MO_OS_ForwardannualguidedYYrevenuegrowthhigh">Model!$617:$617</definedName>
    <definedName name="z_A7FLSL0150_MO_OS_ForwardannualguidedYYrevenuegrowthlow">Model!$616:$616</definedName>
    <definedName name="z_A7FLSL0150_MO_OS_ForwardannualguidedYYrevenuegrowthmidpoint">Model!$618:$618</definedName>
    <definedName name="z_A7FLSL0150_MO_OS_ForwardannualnonGAAPgrossprofitguidancehigh">Model!$685:$685</definedName>
    <definedName name="z_A7FLSL0150_MO_OS_ForwardannualnonGAAPgrossprofitguidancelow">Model!$684:$684</definedName>
    <definedName name="z_A7FLSL0150_MO_OS_ForwardannualnonGAAPgrossprofitguidancemidpoint">Model!$686:$686</definedName>
    <definedName name="z_A7FLSL0150_MO_OS_ForwardannualnonGAAPgrossprofitguidancevariance">Model!$687:$687</definedName>
    <definedName name="z_A7FLSL0150_MO_OS_ForwardannualnonGAAPgrossprofitguidancevariance_1">Model!$688:$688</definedName>
    <definedName name="z_A7FLSL0150_MO_OS_ForwardannualnonGAAPgrossprofitmarginguidancehigh">Model!$694:$694</definedName>
    <definedName name="z_A7FLSL0150_MO_OS_ForwardannualnonGAAPgrossprofitmarginguidancelow">Model!$693:$693</definedName>
    <definedName name="z_A7FLSL0150_MO_OS_ForwardannualnonGAAPgrossprofitmarginguidancemidpoint">Model!$695:$695</definedName>
    <definedName name="z_A7FLSL0150_MO_OS_ForwardannualnonGAAPgrossprofitmarginguidancevariance">Model!$696:$696</definedName>
    <definedName name="z_A7FLSL0150_MO_OS_ForwardannualNonGAAPOperatingExpensesguidancehigh">Model!$545:$545</definedName>
    <definedName name="z_A7FLSL0150_MO_OS_ForwardannualNonGAAPOperatingExpensesguidancelow">Model!$544:$544</definedName>
    <definedName name="z_A7FLSL0150_MO_OS_ForwardannualNonGAAPOperatingExpensesguidancemidpoint">Model!$546:$546</definedName>
    <definedName name="z_A7FLSL0150_MO_OS_ForwardannualNonGAAPOperatingExpensesguidancevariance">Model!$547:$547</definedName>
    <definedName name="z_A7FLSL0150_MO_OS_ForwardannualNonGAAPOperatingExpensesguidancevariance_1">Model!$548:$548</definedName>
    <definedName name="z_A7FLSL0150_MO_OS_Forwardannualrevenueguidancehigh">Model!$612:$612</definedName>
    <definedName name="z_A7FLSL0150_MO_OS_Forwardannualrevenueguidancelow">Model!$611:$611</definedName>
    <definedName name="z_A7FLSL0150_MO_OS_Forwardannualrevenueguidancemidpoint">Model!$613:$613</definedName>
    <definedName name="z_A7FLSL0150_MO_OS_Forwardannualrevenueguidancevariance">Model!$614:$614</definedName>
    <definedName name="z_A7FLSL0150_MO_OS_Forwardannualrevenueguidancevariance_1">Model!$615:$615</definedName>
    <definedName name="z_A7FLSL0150_MO_OS_Forwardguidancereportdate">Model!$535:$535</definedName>
    <definedName name="z_A7FLSL0150_MO_OS_Forwardguidancereportdate_1">Model!$560:$560</definedName>
    <definedName name="z_A7FLSL0150_MO_OS_Forwardguidancereportdate_2">Model!$592:$592</definedName>
    <definedName name="z_A7FLSL0150_MO_OS_Forwardguidancereportdate_3">Model!$654:$654</definedName>
    <definedName name="z_A7FLSL0150_MO_OS_ForwardquarterlyCapexguidancehigh">Model!$563:$563</definedName>
    <definedName name="z_A7FLSL0150_MO_OS_ForwardquarterlyCapexguidancelow">Model!$562:$562</definedName>
    <definedName name="z_A7FLSL0150_MO_OS_ForwardquarterlyCapexguidancemidpoint">Model!$564:$564</definedName>
    <definedName name="z_A7FLSL0150_MO_OS_ForwardquarterlyCapexguidancevariance">Model!$565:$565</definedName>
    <definedName name="z_A7FLSL0150_MO_OS_ForwardquarterlyCapexguidancevariance_1">Model!$566:$566</definedName>
    <definedName name="z_A7FLSL0150_MO_OS_Forwardquarterlyguidanceapplicableperiod">Model!$536:$536</definedName>
    <definedName name="z_A7FLSL0150_MO_OS_Forwardquarterlyguidanceapplicableperiod_1">Model!$561:$561</definedName>
    <definedName name="z_A7FLSL0150_MO_OS_Forwardquarterlyguidanceapplicableperiod_2">Model!$593:$593</definedName>
    <definedName name="z_A7FLSL0150_MO_OS_Forwardquarterlyguidanceapplicableperiod_3">Model!$655:$655</definedName>
    <definedName name="z_A7FLSL0150_MO_OS_ForwardquarterlyguidedQQnonGAAPgrossprofitgrowthhigh">Model!$662:$662</definedName>
    <definedName name="z_A7FLSL0150_MO_OS_ForwardquarterlyguidedQQnonGAAPgrossprofitgrowthlow">Model!$661:$661</definedName>
    <definedName name="z_A7FLSL0150_MO_OS_ForwardquarterlyguidedQQnonGAAPgrossprofitgrowthmidpoint">Model!$663:$663</definedName>
    <definedName name="z_A7FLSL0150_MO_OS_ForwardquarterlyguidedQQnonGAAPgrossprofitmarginimprovementhigh">Model!$673:$673</definedName>
    <definedName name="z_A7FLSL0150_MO_OS_ForwardquarterlyguidedQQnonGAAPgrossprofitmarginimprovementlow">Model!$672:$672</definedName>
    <definedName name="z_A7FLSL0150_MO_OS_ForwardquarterlyguidedQQnonGAAPgrossprofitmarginimprovementmidpoint">Model!$674:$674</definedName>
    <definedName name="z_A7FLSL0150_MO_OS_ForwardquarterlyguidedQQrevenuegrowthhigh">Model!$600:$600</definedName>
    <definedName name="z_A7FLSL0150_MO_OS_ForwardquarterlyguidedQQrevenuegrowthlow">Model!$599:$599</definedName>
    <definedName name="z_A7FLSL0150_MO_OS_ForwardquarterlyguidedQQrevenuegrowthmidpoint">Model!$601:$601</definedName>
    <definedName name="z_A7FLSL0150_MO_OS_ForwardquarterlyguidedYYnonGAAPgrossprofitgrowthhigh">Model!$665:$665</definedName>
    <definedName name="z_A7FLSL0150_MO_OS_ForwardquarterlyguidedYYnonGAAPgrossprofitgrowthlow">Model!$664:$664</definedName>
    <definedName name="z_A7FLSL0150_MO_OS_ForwardquarterlyguidedYYnonGAAPgrossprofitgrowthmidpoint">Model!$666:$666</definedName>
    <definedName name="z_A7FLSL0150_MO_OS_ForwardquarterlyguidedYYnonGAAPgrossprofitmarginimprovementhigh">Model!$676:$676</definedName>
    <definedName name="z_A7FLSL0150_MO_OS_ForwardquarterlyguidedYYnonGAAPgrossprofitmarginimprovementlow">Model!$675:$675</definedName>
    <definedName name="z_A7FLSL0150_MO_OS_ForwardquarterlyguidedYYnonGAAPgrossprofitmarginimprovementmidpoint">Model!$677:$677</definedName>
    <definedName name="z_A7FLSL0150_MO_OS_ForwardquarterlyguidedYYrevenuegrowthhigh">Model!$603:$603</definedName>
    <definedName name="z_A7FLSL0150_MO_OS_ForwardquarterlyguidedYYrevenuegrowthlow">Model!$602:$602</definedName>
    <definedName name="z_A7FLSL0150_MO_OS_ForwardquarterlyguidedYYrevenuegrowthmidpoint">Model!$604:$604</definedName>
    <definedName name="z_A7FLSL0150_MO_OS_ForwardquarterlynonGAAPgrossprofitguidancehigh">Model!$657:$657</definedName>
    <definedName name="z_A7FLSL0150_MO_OS_ForwardquarterlynonGAAPgrossprofitguidancelow">Model!$656:$656</definedName>
    <definedName name="z_A7FLSL0150_MO_OS_ForwardquarterlynonGAAPgrossprofitguidancemidpoint">Model!$658:$658</definedName>
    <definedName name="z_A7FLSL0150_MO_OS_ForwardquarterlynonGAAPgrossprofitguidancevariance">Model!$659:$659</definedName>
    <definedName name="z_A7FLSL0150_MO_OS_ForwardquarterlynonGAAPgrossprofitguidancevariance_1">Model!$660:$660</definedName>
    <definedName name="z_A7FLSL0150_MO_OS_ForwardquarterlynonGAAPgrossprofitmarginguidancehigh">Model!$669:$669</definedName>
    <definedName name="z_A7FLSL0150_MO_OS_ForwardquarterlynonGAAPgrossprofitmarginguidancelow">Model!$668:$668</definedName>
    <definedName name="z_A7FLSL0150_MO_OS_ForwardquarterlynonGAAPgrossprofitmarginguidancemidpoint">Model!$670:$670</definedName>
    <definedName name="z_A7FLSL0150_MO_OS_ForwardquarterlynonGAAPgrossprofitmarginguidancevariance">Model!$671:$671</definedName>
    <definedName name="z_A7FLSL0150_MO_OS_ForwardquarterlyNonGAAPOperatingExpensesguidancehigh">Model!$538:$538</definedName>
    <definedName name="z_A7FLSL0150_MO_OS_ForwardquarterlyNonGAAPOperatingExpensesguidancelow">Model!$537:$537</definedName>
    <definedName name="z_A7FLSL0150_MO_OS_ForwardquarterlyNonGAAPOperatingExpensesguidancemidpoint">Model!$539:$539</definedName>
    <definedName name="z_A7FLSL0150_MO_OS_ForwardquarterlyNonGAAPOperatingExpensesguidancevariance">Model!$540:$540</definedName>
    <definedName name="z_A7FLSL0150_MO_OS_ForwardquarterlyNonGAAPOperatingExpensesguidancevariance_1">Model!$541:$541</definedName>
    <definedName name="z_A7FLSL0150_MO_OS_Forwardquarterlyrevenueguidancehigh">Model!$595:$595</definedName>
    <definedName name="z_A7FLSL0150_MO_OS_Forwardquarterlyrevenueguidancelow">Model!$594:$594</definedName>
    <definedName name="z_A7FLSL0150_MO_OS_Forwardquarterlyrevenueguidancemidpoint">Model!$596:$596</definedName>
    <definedName name="z_A7FLSL0150_MO_OS_Forwardquarterlyrevenueguidancevariance">Model!$597:$597</definedName>
    <definedName name="z_A7FLSL0150_MO_OS_Forwardquarterlyrevenueguidancevariance_1">Model!$598:$598</definedName>
    <definedName name="z_A7FLSL0150_MO_OS_Futureunconditionalpurchasecommitmentsduein1year">Model!$262:$262</definedName>
    <definedName name="z_A7FLSL0150_MO_OS_Futureunconditionalpurchasecommitmentsduein2years">Model!$263:$263</definedName>
    <definedName name="z_A7FLSL0150_MO_OS_Futureunconditionalpurchasecommitmentsduein3years">Model!$264:$264</definedName>
    <definedName name="z_A7FLSL0150_MO_OS_Futureunconditionalpurchasecommitmentsduein4year">Model!$265:$265</definedName>
    <definedName name="z_A7FLSL0150_MO_OS_Futureunconditionalpurchasecommitmentsduein5years">Model!$266:$266</definedName>
    <definedName name="z_A7FLSL0150_MO_OS_Futureunconditionalpurchasecommitmentsduein6years">Model!$267:$267</definedName>
    <definedName name="z_A7FLSL0150_MO_OS_GAAPGrossMargin">Model!$48:$48</definedName>
    <definedName name="z_A7FLSL0150_MO_OS_GAAPGrossProfit">Model!$46:$46</definedName>
    <definedName name="z_A7FLSL0150_MO_OS_GAAPOPEXExpense">Model!$94:$94</definedName>
    <definedName name="z_A7FLSL0150_MO_OS_GAAPOPEXMargin">Model!$96:$96</definedName>
    <definedName name="z_A7FLSL0150_MO_OS_GAAPRDExpense">Model!$64:$64</definedName>
    <definedName name="z_A7FLSL0150_MO_OS_GAAPRDMargin">Model!$66:$66</definedName>
    <definedName name="z_A7FLSL0150_MO_OS_GAAPSGAExpense">Model!$79:$79</definedName>
    <definedName name="z_A7FLSL0150_MO_OS_GAAPSGAMargin">Model!$81:$81</definedName>
    <definedName name="z_A7FLSL0150_MO_OS_gamingrevenue">Model!$7:$7</definedName>
    <definedName name="z_A7FLSL0150_MO_OS_GamingTAM">Model!$238:$238</definedName>
    <definedName name="z_A7FLSL0150_MO_OS_GPUDepreciationandamortization">Model!$168:$168</definedName>
    <definedName name="z_A7FLSL0150_MO_OS_GPUOperatingIncomeloss">Model!$173:$173</definedName>
    <definedName name="z_A7FLSL0150_MO_OS_GPUOperatingIncomeMargin">Model!$187:$187</definedName>
    <definedName name="z_A7FLSL0150_MO_OS_gpurevenue">Model!$143:$143</definedName>
    <definedName name="z_A7FLSL0150_MO_OS_gpurevenuegrowth">Model!$9:$9</definedName>
    <definedName name="z_A7FLSL0150_MO_OS_Grantedaverageexerciseprice">Model!$476:$476</definedName>
    <definedName name="z_A7FLSL0150_MO_OS_Grantedstockoptions">Model!$464:$464</definedName>
    <definedName name="z_A7FLSL0150_MO_OS_GraphicsOperatingIncomeMargin">Model!$164:$164</definedName>
    <definedName name="z_A7FLSL0150_MO_OS_Graphicsrevenuemm">Model!$133:$133</definedName>
    <definedName name="z_A7FLSL0150_MO_OS_GuidanceNonGAAPGrossMargin">Model!$61:$61</definedName>
    <definedName name="z_A7FLSL0150_MO_OS_GuidanceTotalNonGAAPOperatingExpenses">Model!$114:$114</definedName>
    <definedName name="z_A7FLSL0150_MO_OS_GuidanceTotalRevenue">Model!$36:$36</definedName>
    <definedName name="z_A7FLSL0150_MO_OS_Hyperscalerevenue">Model!$137:$137</definedName>
    <definedName name="z_A7FLSL0150_MO_OS_ImpliedrestofyearrevenueatBoP">Model!$625:$625</definedName>
    <definedName name="z_A7FLSL0150_MO_OS_ImpliedrestofyearrevenueatEoP">Model!$626:$626</definedName>
    <definedName name="z_A7FLSL0150_MO_OS_IncreasedecreaseinrevenueoutlookforROY">Model!$621:$621</definedName>
    <definedName name="z_A7FLSL0150_MO_OS_Interestexpense">Model!$159:$159</definedName>
    <definedName name="z_A7FLSL0150_MO_OS_Interestincome">Model!$158:$158</definedName>
    <definedName name="z_A7FLSL0150_MO_OS_Inventories">"Deleted"</definedName>
    <definedName name="z_A7FLSL0150_MO_OS_Inventories_2">Model!$949:$949</definedName>
    <definedName name="z_A7FLSL0150_MO_OS_InventoriesYYChange">Model!$954:$954</definedName>
    <definedName name="z_A7FLSL0150_MO_OS_Inventorypurchaseandlongtermsupplyobligations">Model!$256:$256</definedName>
    <definedName name="z_A7FLSL0150_MO_OS_IPrelatedandlegalsettlementcosts">Model!$157:$157</definedName>
    <definedName name="z_A7FLSL0150_MO_OS_Lastworkingday">Model!$441:$441</definedName>
    <definedName name="z_A7FLSL0150_MO_OS_Legalsettlementcosts">Model!$180:$180</definedName>
    <definedName name="z_A7FLSL0150_MO_OS_Longtermsupplyagreementsunpaidobligations">Model!$259:$259</definedName>
    <definedName name="z_A7FLSL0150_MO_OS_MarketCapEoP">'Exec Comp'!$13:$13</definedName>
    <definedName name="z_A7FLSL0150_MO_OS_MarketCapEoP_1">'Exec Comp'!$107:$107</definedName>
    <definedName name="z_A7FLSL0150_MO_OS_NEOreportingtoCEOStockOwnershipGuidelinesbasesalary">'Exec Comp'!$111:$111</definedName>
    <definedName name="z_A7FLSL0150_MO_OS_Networkingrevenue">Model!$19:$19</definedName>
    <definedName name="z_A7FLSL0150_MO_OS_Noncurrentinventorypurchaseandlongtermsupplyobligations">Model!$255:$255</definedName>
    <definedName name="z_A7FLSL0150_MO_OS_NonCurrentRPOs">Model!$223:$223</definedName>
    <definedName name="z_A7FLSL0150_MO_OS_NonGAAPCOGS">Model!$56:$56</definedName>
    <definedName name="z_A7FLSL0150_MO_OS_NonGAAPGrossMargin">Model!$59:$59</definedName>
    <definedName name="z_A7FLSL0150_MO_OS_NonGAAPGrossProfit">Model!$57:$57</definedName>
    <definedName name="z_A7FLSL0150_MO_OS_NonGAAPGrossProfitbeatmissvsmostrecentguidancemidpoint">Model!$636:$636</definedName>
    <definedName name="z_A7FLSL0150_MO_OS_NonGAAPGrossProfitguidanceinitialmidpoint">Model!$630:$630</definedName>
    <definedName name="z_A7FLSL0150_MO_OS_NonGAAPGrossProfitguidancemostrecentmidpoint">Model!$634:$634</definedName>
    <definedName name="z_A7FLSL0150_MO_OS_NonGAAPGrossProfitguidanceupdate1midpoint">Model!$631:$631</definedName>
    <definedName name="z_A7FLSL0150_MO_OS_NonGAAPGrossProfitguidanceupdate2midpoint">Model!$632:$632</definedName>
    <definedName name="z_A7FLSL0150_MO_OS_NonGAAPGrossProfitguidanceupdate3midpoint">Model!$633:$633</definedName>
    <definedName name="z_A7FLSL0150_MO_OS_NonGAAPGrossProfitMarginguidanceinitialmidpoint">Model!$646:$646</definedName>
    <definedName name="z_A7FLSL0150_MO_OS_NonGAAPGrossProfitMarginguidancemostrecentmidpoint">Model!$650:$650</definedName>
    <definedName name="z_A7FLSL0150_MO_OS_NonGAAPGrossProfitMarginguidanceupdate1midpoint">Model!$647:$647</definedName>
    <definedName name="z_A7FLSL0150_MO_OS_NonGAAPGrossProfitMarginguidanceupdate2midpoint">Model!$648:$648</definedName>
    <definedName name="z_A7FLSL0150_MO_OS_NonGAAPGrossProfitMarginguidanceupdate3midpoint">Model!$649:$649</definedName>
    <definedName name="z_A7FLSL0150_MO_OS_NonGAAPGrossProfitMarginreportedmodelestimate">Model!$651:$651</definedName>
    <definedName name="z_A7FLSL0150_MO_OS_NonGAAPGrossProfitreportedmodelestimate">Model!$635:$635</definedName>
    <definedName name="z_A7FLSL0150_MO_OS_NonGAAPOperatingExpensesbeatmissvsmostrecentguidancemidpoint">Model!$532:$532</definedName>
    <definedName name="z_A7FLSL0150_MO_OS_NonGAAPOperatingExpensesguidanceinitialmidpoint">Model!$526:$526</definedName>
    <definedName name="z_A7FLSL0150_MO_OS_NonGAAPOperatingExpensesguidancemostrecentmidpoint">Model!$530:$530</definedName>
    <definedName name="z_A7FLSL0150_MO_OS_NonGAAPOperatingExpensesguidanceupdate1midpoint">Model!$527:$527</definedName>
    <definedName name="z_A7FLSL0150_MO_OS_NonGAAPOperatingExpensesguidanceupdate2midpoint">Model!$528:$528</definedName>
    <definedName name="z_A7FLSL0150_MO_OS_NonGAAPOperatingExpensesguidanceupdate3midpoint">Model!$529:$529</definedName>
    <definedName name="z_A7FLSL0150_MO_OS_NonGAAPOperatingExpensesreportedmodelestimate">Model!$531:$531</definedName>
    <definedName name="z_A7FLSL0150_MO_OS_NonGAAPOperatingIncome">Model!$106:$106</definedName>
    <definedName name="z_A7FLSL0150_MO_OS_NongaapOperatingincomeactual">'Exec Comp'!$122:$122</definedName>
    <definedName name="z_A7FLSL0150_MO_OS_NongaapoperatingincomeBaseOperatingPlangoal">'Exec Comp'!$120:$120</definedName>
    <definedName name="z_A7FLSL0150_MO_OS_NongaapoperatingincomeBaseOperatingPlangoal_1">'Exec Comp'!$121:$121</definedName>
    <definedName name="z_A7FLSL0150_MO_OS_NonGAAPOperatingIncomemargin">Model!$109:$109</definedName>
    <definedName name="z_A7FLSL0150_MO_OS_NonGAAPOPEXExpense">Model!$100:$100</definedName>
    <definedName name="z_A7FLSL0150_MO_OS_NonGAAPOPEXMargin">Model!$102:$102</definedName>
    <definedName name="z_A7FLSL0150_MO_OS_NonGAAPRDExpense">Model!$74:$74</definedName>
    <definedName name="z_A7FLSL0150_MO_OS_NonGAAPRDMargin">Model!$76:$76</definedName>
    <definedName name="z_A7FLSL0150_MO_OS_NonGAAPSGAExpense">Model!$89:$89</definedName>
    <definedName name="z_A7FLSL0150_MO_OS_NonGAAPSGAMargin">Model!$91:$91</definedName>
    <definedName name="z_A7FLSL0150_MO_OS_Numberofsharerepurchased_3">Model!$502:$502</definedName>
    <definedName name="z_A7FLSL0150_MO_OS_Numberofsharerepurchasedmonth1">Model!$499:$499</definedName>
    <definedName name="z_A7FLSL0150_MO_OS_Numberofsharerepurchasedmonth2">Model!$500:$500</definedName>
    <definedName name="z_A7FLSL0150_MO_OS_Numberofsharerepurchasedmonth3">Model!$501:$501</definedName>
    <definedName name="z_A7FLSL0150_MO_OS_Product0268">Model!$236:$236</definedName>
    <definedName name="z_A7FLSL0150_MO_OS_oemiprevenue">Model!$30:$30</definedName>
    <definedName name="z_A7FLSL0150_MO_OS_Product0275">Model!$234:$234</definedName>
    <definedName name="z_A7FLSL0150_MO_OS_Operatingincomepayout_2">'Exec Comp'!$125:$125</definedName>
    <definedName name="z_A7FLSL0150_MO_OS_OperatingincomepayoutofCEO">'Exec Comp'!$123:$123</definedName>
    <definedName name="z_A7FLSL0150_MO_OS_OperatingincomepayoutotherNEOs">'Exec Comp'!$124:$124</definedName>
    <definedName name="z_A7FLSL0150_MO_OS_Other_14">Model!$160:$160</definedName>
    <definedName name="z_A7FLSL0150_MO_OS_OtherAmericasRevenue">Model!$199:$199</definedName>
    <definedName name="z_A7FLSL0150_MO_OS_OtherAmericasRevenue_1">Model!$209:$209</definedName>
    <definedName name="z_A7FLSL0150_MO_OS_OtherAsiaPacificRevenue">Model!$197:$197</definedName>
    <definedName name="z_A7FLSL0150_MO_OS_OtherAsiaPacificRevenue_1">Model!$207:$207</definedName>
    <definedName name="z_A7FLSL0150_MO_OS_OtherCOGSAdjustments">Model!$55:$55</definedName>
    <definedName name="z_A7FLSL0150_MO_OS_OthercountriesRevenue">Model!$200:$200</definedName>
    <definedName name="z_A7FLSL0150_MO_OS_OtherCountriesRevenue_1">Model!$210:$210</definedName>
    <definedName name="z_A7FLSL0150_MO_OS_OtherNonGAAPOperatingItems">Model!$105:$105</definedName>
    <definedName name="z_A7FLSL0150_MO_OS_Othernonrecurringexpensesandbenefits">Model!$183:$183</definedName>
    <definedName name="z_A7FLSL0150_MO_OS_OtherOPEXAdjustments">Model!$99:$99</definedName>
    <definedName name="z_A7FLSL0150_MO_OS_Otherpurchaseobligations">Model!$258:$258</definedName>
    <definedName name="z_A7FLSL0150_MO_OS_OtherRD">Model!$73:$73</definedName>
    <definedName name="z_A7FLSL0150_MO_OS_OtherRevenueGrowth">Model!$32:$32</definedName>
    <definedName name="z_A7FLSL0150_MO_OS_OtherSGA">Model!$88:$88</definedName>
    <definedName name="z_A7FLSL0150_MO_OS_Patentsandlicensedtechnology">"Deleted"</definedName>
    <definedName name="z_A7FLSL0150_MO_OS_Potentiallydilutivesecurities">Model!$490:$490</definedName>
    <definedName name="z_A7FLSL0150_MO_OS_Productwarrantycharges">Model!$182:$182</definedName>
    <definedName name="z_A7FLSL0150_MO_OS_professionalvisualizationrevenue">Model!$11:$11</definedName>
    <definedName name="z_A7FLSL0150_MO_OS_ProvisionsforinventoryandotherrelatedchargesCOGS">Model!$249:$249</definedName>
    <definedName name="z_A7FLSL0150_MO_OS_ProvisionsforinventoryrelatedtoCOGS">Model!$247:$247</definedName>
    <definedName name="z_A7FLSL0150_MO_OS_QQAutomotiveRevenuegrowth">Model!$27:$27</definedName>
    <definedName name="z_A7FLSL0150_MO_OS_QQbasicshareexpansionEoP">Model!$449:$449</definedName>
    <definedName name="z_A7FLSL0150_MO_OS_QQbasicshareexpansionfromdilutivesecurities">Model!$445:$445</definedName>
    <definedName name="z_A7FLSL0150_MO_OS_QQbasicshareexpansionfromshareissuancebuyback">Model!$447:$447</definedName>
    <definedName name="z_A7FLSL0150_MO_OS_QQbeatmissnonGAAPgrossprofitgrowth">Model!$640:$640</definedName>
    <definedName name="z_A7FLSL0150_MO_OS_QQbeatmissrevenuegrowth">Model!$586:$586</definedName>
    <definedName name="z_A7FLSL0150_MO_OS_QQComputeRevenuegrowth">Model!$16:$16</definedName>
    <definedName name="z_A7FLSL0150_MO_OS_QQDatacenterRevenuegrowth">Model!$23:$23</definedName>
    <definedName name="z_A7FLSL0150_MO_OS_QQGamingRevenuegrowth">Model!$8:$8</definedName>
    <definedName name="z_A7FLSL0150_MO_OS_QQguidednonGAAPgrossprofitgrowth">Model!$639:$639</definedName>
    <definedName name="z_A7FLSL0150_MO_OS_QQguidedrevenuegrowth">Model!$585:$585</definedName>
    <definedName name="z_A7FLSL0150_MO_OS_QQNetworkingRevenuegrowth">Model!$20:$20</definedName>
    <definedName name="z_A7FLSL0150_MO_OS_QQnonGAAPgrossprofitgrowth">Model!$641:$641</definedName>
    <definedName name="z_A7FLSL0150_MO_OS_QQOEMIPRevenuegrowth">Model!$31:$31</definedName>
    <definedName name="z_A7FLSL0150_MO_OS_QQProfessionalVisualizationRevenuegrowth">Model!$12:$12</definedName>
    <definedName name="z_A7FLSL0150_MO_OS_QQrevenuegrowth">Model!$587:$587</definedName>
    <definedName name="z_A7FLSL0150_MO_OS_QQTotalRevenuegrowth">Model!$37:$37</definedName>
    <definedName name="z_A7FLSL0150_MO_OS_Quarterlyrevenueguidancebeatmiss">Model!$620:$620</definedName>
    <definedName name="z_A7FLSL0150_MO_OS_Rawmaterials">"Deleted"</definedName>
    <definedName name="z_A7FLSL0150_MO_OS_RD">Model!$242:$242</definedName>
    <definedName name="z_A7FLSL0150_MO_OS_RelativeCapexbeatmissvsmostrecentguidancemidpoint">Model!$558:$558</definedName>
    <definedName name="z_A7FLSL0150_MO_OS_RelativenonGAAPgrossprofitbeatmissvsmostrecentguidancemidpoint">Model!$637:$637</definedName>
    <definedName name="z_A7FLSL0150_MO_OS_RelativenonGAAPgrossprofitmarginbeatmissvsmostrecentguidancemidpoint">Model!$652:$652</definedName>
    <definedName name="z_A7FLSL0150_MO_OS_RelativeNonGAAPOperatingExpensesbeatmissvsmostrecentguidancemidpoint">Model!$533:$533</definedName>
    <definedName name="z_A7FLSL0150_MO_OS_Relativerevenuebeatmissvsmostrecentguidancemidpoint">Model!$583:$583</definedName>
    <definedName name="z_A7FLSL0150_MO_OS_RelativeTSRPerformanceBaseOperatingPlangoal">'Exec Comp'!$127:$127</definedName>
    <definedName name="z_A7FLSL0150_MO_OS_RelativeTSRPerformancepayoutofCEO">'Exec Comp'!$129:$129</definedName>
    <definedName name="z_A7FLSL0150_MO_OS_RelativeTSRPerformancepayoutofNEO">'Exec Comp'!$130:$130</definedName>
    <definedName name="z_A7FLSL0150_MO_OS_RelativeTSRPerformancepercentileofSP500actual">'Exec Comp'!$128:$128</definedName>
    <definedName name="z_A7FLSL0150_MO_OS_Remainingdollarvalueunderrepurchaseprogram_3">Model!$522:$522</definedName>
    <definedName name="z_A7FLSL0150_MO_OS_Remainingdollarvalueunderrepurchaseprogrammonth1">Model!$519:$519</definedName>
    <definedName name="z_A7FLSL0150_MO_OS_Remainingdollarvalueunderrepurchaseprogrammonth2">Model!$520:$520</definedName>
    <definedName name="z_A7FLSL0150_MO_OS_Remainingdollarvalueunderrepurchaseprogrammonth3">Model!$521:$521</definedName>
    <definedName name="z_A7FLSL0150_MO_OS_RemainingFutureunconditionalpurchasecommitmentsdueincurrentyear">Model!$261:$261</definedName>
    <definedName name="z_A7FLSL0150_MO_OS_Repurchasedollarvalue_3">Model!$512:$512</definedName>
    <definedName name="z_A7FLSL0150_MO_OS_Repurchasedollarvaluemonth1">Model!$509:$509</definedName>
    <definedName name="z_A7FLSL0150_MO_OS_Repurchasedollarvaluemonth2">Model!$510:$510</definedName>
    <definedName name="z_A7FLSL0150_MO_OS_Repurchasedollarvaluemonth3">Model!$511:$511</definedName>
    <definedName name="z_A7FLSL0150_MO_OS_Restructuringandother">Model!$181:$181</definedName>
    <definedName name="z_A7FLSL0150_MO_OS_Restructuringcosts">Model!$155:$155</definedName>
    <definedName name="z_A7FLSL0150_MO_OS_Revenue_1">Model!$44:$44</definedName>
    <definedName name="z_A7FLSL0150_MO_OS_Revenueactual">'Exec Comp'!$117:$117</definedName>
    <definedName name="z_A7FLSL0150_MO_OS_RevenueBaseOperatingPlangoal">'Exec Comp'!$115:$115</definedName>
    <definedName name="z_A7FLSL0150_MO_OS_RevenueBaseOperatingPlangoal_1">'Exec Comp'!$116:$116</definedName>
    <definedName name="z_A7FLSL0150_MO_OS_Revenuebeatmissvsmostrecentguidancemidpoint">Model!$582:$582</definedName>
    <definedName name="z_A7FLSL0150_MO_OS_Revenueguidanceinitialmidpoint">Model!$576:$576</definedName>
    <definedName name="z_A7FLSL0150_MO_OS_Revenueguidancemostrecentmidpoint">Model!$580:$580</definedName>
    <definedName name="z_A7FLSL0150_MO_OS_Revenueguidanceupdate1midpoint">Model!$577:$577</definedName>
    <definedName name="z_A7FLSL0150_MO_OS_Revenueguidanceupdate2midpoint">Model!$578:$578</definedName>
    <definedName name="z_A7FLSL0150_MO_OS_Revenueguidanceupdate3midpoint">Model!$579:$579</definedName>
    <definedName name="z_A7FLSL0150_MO_OS_Revenuepayout">'Exec Comp'!$118:$118</definedName>
    <definedName name="z_A7FLSL0150_MO_OS_Revenuerecognizedduringtheperiod">Model!$217:$217</definedName>
    <definedName name="z_A7FLSL0150_MO_OS_Revenuereportedmodelestimate">Model!$581:$581</definedName>
    <definedName name="z_A7FLSL0150_MO_OS_RPOs">Model!$224:$224</definedName>
    <definedName name="z_A7FLSL0150_MO_OS_Salesmarketingoperationsadmin">Model!$243:$243</definedName>
    <definedName name="z_A7FLSL0150_MO_OS_Salesofinventorythatwaspreviouslywrittenoffordownandsettlementsofexcessinventorypurchaseobligations">Model!$251:$251</definedName>
    <definedName name="z_A7FLSL0150_MO_OS_Salestofourthlargestcustomerasaoftotalsales">Model!$274:$274</definedName>
    <definedName name="z_A7FLSL0150_MO_OS_Salestolargestcustomerasaoftotalsales">Model!$271:$271</definedName>
    <definedName name="z_A7FLSL0150_MO_OS_Salestosecondlargestcustomerasaoftotalsales">Model!$272:$272</definedName>
    <definedName name="z_A7FLSL0150_MO_OS_Salestothirdlargestcustomerasaoftotalsales">Model!$273:$273</definedName>
    <definedName name="z_A7FLSL0150_MO_OS_SBCCOGS">Model!$51:$51</definedName>
    <definedName name="z_A7FLSL0150_MO_OS_SBCCOGSasofrevenue">Model!$52:$52</definedName>
    <definedName name="z_A7FLSL0150_MO_OS_SBCRD">Model!$69:$69</definedName>
    <definedName name="z_A7FLSL0150_MO_OS_SBCRDasofrevenue">Model!$70:$70</definedName>
    <definedName name="z_A7FLSL0150_MO_OS_SBCSGA">Model!$84:$84</definedName>
    <definedName name="z_A7FLSL0150_MO_OS_SBCSGAasofrevenue">Model!$85:$85</definedName>
    <definedName name="z_A7FLSL0150_MO_OS_SequentialincreasedecreaseinforwardFYrevenueguidance">Model!$623:$623</definedName>
    <definedName name="z_A7FLSL0150_MO_OS_SingaporeRevenue">Model!$196:$196</definedName>
    <definedName name="z_A7FLSL0150_MO_OS_SingaporeRevenue_1">Model!$206:$206</definedName>
    <definedName name="z_A7FLSL0150_MO_OS_Stockbasedcompensationexpense">Model!$152:$152</definedName>
    <definedName name="z_A7FLSL0150_MO_OS_Stockbasedcompensationexpense_1">Model!$176:$176</definedName>
    <definedName name="z_A7FLSL0150_MO_OS_taiwanrevenue">Model!$193:$193</definedName>
    <definedName name="z_A7FLSL0150_MO_OS_TaiwanRevenue_1">Model!$203:$203</definedName>
    <definedName name="z_A7FLSL0150_MO_OS_Product0410">Model!$188:$188</definedName>
    <definedName name="z_A7FLSL0150_MO_OS_Product0411">Model!$169:$169</definedName>
    <definedName name="z_A7FLSL0150_MO_OS_Product0412">Model!$174:$174</definedName>
    <definedName name="z_A7FLSL0150_MO_OS_tegraprocessorrevenue">Model!$144:$144</definedName>
    <definedName name="z_A7FLSL0150_MO_OS_tegraprocessorrevenuegrowth">Model!$13:$13</definedName>
    <definedName name="z_A7FLSL0150_MO_OS_TotalDepreciationandamortization">Model!$171:$171</definedName>
    <definedName name="z_A7FLSL0150_MO_OS_TotaldilutedcommonstockoutstandingEoP">Model!$455:$455</definedName>
    <definedName name="z_A7FLSL0150_MO_OS_Totaldirectorallothercomp">'Exec Comp'!$105:$105</definedName>
    <definedName name="z_A7FLSL0150_MO_OS_Totaldirectorcashcomp">'Exec Comp'!$75:$75</definedName>
    <definedName name="z_A7FLSL0150_MO_OS_Totaldirectorcompensation">'Exec Comp'!$106:$106</definedName>
    <definedName name="z_A7FLSL0150_MO_OS_Totaldirectorstockawardcomp">'Exec Comp'!$90:$90</definedName>
    <definedName name="z_A7FLSL0150_MO_OS_Totalfutureunconditionalpurchasecommitments">Model!$268:$268</definedName>
    <definedName name="z_A7FLSL0150_MO_OS_TotalFYrevenueguidanceraiselower">Model!$622:$622</definedName>
    <definedName name="z_A7FLSL0150_MO_OS_Totalintangibleassets">"Deleted"</definedName>
    <definedName name="z_A7FLSL0150_MO_OS_TotalInventoryreported">"Deleted"</definedName>
    <definedName name="z_A7FLSL0150_MO_OS_TotallongtermTAM">Model!$239:$239</definedName>
    <definedName name="z_A7FLSL0150_MO_OS_TotalNonGAAPOperatingExpenses">Model!$113:$113</definedName>
    <definedName name="z_A7FLSL0150_MO_OS_Totalofcurrentdirectors">'Exec Comp'!$52:$52</definedName>
    <definedName name="z_A7FLSL0150_MO_OS_Totalofdirectornominees">'Exec Comp'!$57:$57</definedName>
    <definedName name="z_A7FLSL0150_MO_OS_Totaloffemalecurrentdirectors">'Exec Comp'!$54:$54</definedName>
    <definedName name="z_A7FLSL0150_MO_OS_Totalofindependentcurrentdirectors">'Exec Comp'!$53:$53</definedName>
    <definedName name="z_A7FLSL0150_MO_OS_Totalofindependentdirectornominees">'Exec Comp'!$58:$58</definedName>
    <definedName name="z_A7FLSL0150_MO_OS_Totalofraciallyethnicallydiversecurrentdirectors">'Exec Comp'!$55:$55</definedName>
    <definedName name="z_A7FLSL0150_MO_OS_TotalOperatingIncomeloss">Model!$162:$162</definedName>
    <definedName name="z_A7FLSL0150_MO_OS_TotalOperatingIncomeloss_1">Model!$185:$185</definedName>
    <definedName name="z_A7FLSL0150_MO_OS_TotalOperatingIncomeMargin">Model!$166:$166</definedName>
    <definedName name="z_A7FLSL0150_MO_OS_TotalOperatingIncomeMargin_1">Model!$190:$190</definedName>
    <definedName name="z_A7FLSL0150_MO_OS_totalrevenue">Model!$146:$146</definedName>
    <definedName name="z_A7FLSL0150_MO_OS_totalrevenue_1">Model!$34:$34</definedName>
    <definedName name="z_A7FLSL0150_MO_OS_totalrevenue_2">Model!$201:$201</definedName>
    <definedName name="z_A7FLSL0150_MO_OS_TotalRevenue_5">Model!$211:$211</definedName>
    <definedName name="z_A7FLSL0150_MO_OS_TotalRevenue_6">Model!$141:$141</definedName>
    <definedName name="z_A7FLSL0150_MO_OS_TotalRevenueGrowth">Model!$38:$38</definedName>
    <definedName name="z_A7FLSL0150_MO_OS_TotalRevenuemm">Model!$135:$135</definedName>
    <definedName name="z_A7FLSL0150_MO_OS_Unallocatedcostofrevenueandoperatingexpenses">Model!$154:$154</definedName>
    <definedName name="z_A7FLSL0150_MO_OS_Unallocatedcostofrevenueandoperatingexpenses_1">Model!$177:$177</definedName>
    <definedName name="z_A7FLSL0150_MO_OS_unitedstatesrevenue">Model!$195:$195</definedName>
    <definedName name="z_A7FLSL0150_MO_OS_UnitedStatesRevenue_1">Model!$205:$205</definedName>
    <definedName name="z_A7FLSL0150_MO_OS_Workinprocess">"Deleted"</definedName>
    <definedName name="z_A7FLSL0150_MO_OS_YYannualguidancebeatmissnonGAAPgrossprofitgrowth">Model!$680:$680</definedName>
    <definedName name="z_A7FLSL0150_MO_OS_YYannualguidancebeatmissrevenuegrowth">Model!$607:$607</definedName>
    <definedName name="z_A7FLSL0150_MO_OS_YYannualnonGAAPgrossprofitgrowth">Model!$681:$681</definedName>
    <definedName name="z_A7FLSL0150_MO_OS_YYannualrevenuegrowth">Model!$608:$608</definedName>
    <definedName name="z_A7FLSL0150_MO_OS_YYbasicshareexpansionEoP">Model!$450:$450</definedName>
    <definedName name="z_A7FLSL0150_MO_OS_YYbasicshareexpansionfromdilutivesecurities">Model!$446:$446</definedName>
    <definedName name="z_A7FLSL0150_MO_OS_YYbasicshareexpansionfromshareissuancebuyback">Model!$448:$448</definedName>
    <definedName name="z_A7FLSL0150_MO_OS_YYbeatmissnonGAAPgrossprofitgrowth">Model!$643:$643</definedName>
    <definedName name="z_A7FLSL0150_MO_OS_YYbeatmissrevenuegrowth">Model!$589:$589</definedName>
    <definedName name="z_A7FLSL0150_MO_OS_YYComputeRevenueGrowth">Model!$17:$17</definedName>
    <definedName name="z_A7FLSL0150_MO_OS_YYgrowthinGAAPOPEX">Model!$95:$95</definedName>
    <definedName name="z_A7FLSL0150_MO_OS_YYgrowthinGAAPRD">Model!$65:$65</definedName>
    <definedName name="z_A7FLSL0150_MO_OS_YYgrowthinGAAPSGA">Model!$80:$80</definedName>
    <definedName name="z_A7FLSL0150_MO_OS_YYgrowthinGrossProfit">Model!$47:$47</definedName>
    <definedName name="z_A7FLSL0150_MO_OS_YYGrowthinNonGAAPOperatingIncome">Model!$108:$108</definedName>
    <definedName name="z_A7FLSL0150_MO_OS_YYGrowthinnonGAAPOPEXExpense">Model!$101:$101</definedName>
    <definedName name="z_A7FLSL0150_MO_OS_YYGrowthinnonGAAPRDExpense">Model!$75:$75</definedName>
    <definedName name="z_A7FLSL0150_MO_OS_YYGrowthinnonGAAPSGAExpense">Model!$90:$90</definedName>
    <definedName name="z_A7FLSL0150_MO_OS_YYguidednonGAAPgrossprofitgrowth">Model!$642:$642</definedName>
    <definedName name="z_A7FLSL0150_MO_OS_YYguidedrevenuegrowth">Model!$588:$588</definedName>
    <definedName name="z_A7FLSL0150_MO_OS_YYImpliedannualguidancenonGAAPgrossprofitgrowth">Model!$679:$679</definedName>
    <definedName name="z_A7FLSL0150_MO_OS_YYImpliedannualguidancerevenuegrowth">Model!$606:$606</definedName>
    <definedName name="z_A7FLSL0150_MO_OS_YYimprovementinGAAPGrossMargin">Model!$49:$49</definedName>
    <definedName name="z_A7FLSL0150_MO_OS_YYImprovementinGAAPOPEXMargin">Model!$97:$97</definedName>
    <definedName name="z_A7FLSL0150_MO_OS_YYImprovementinGAAPRDMargin">Model!$67:$67</definedName>
    <definedName name="z_A7FLSL0150_MO_OS_YYImprovementinGAAPSGAMargin">Model!$82:$82</definedName>
    <definedName name="z_A7FLSL0150_MO_OS_YYImprovementinnonGAAPgrossmargin">Model!$62:$62</definedName>
    <definedName name="z_A7FLSL0150_MO_OS_YYImprovementinNonGAAPOperatingIncomemargin">Model!$111:$111</definedName>
    <definedName name="z_A7FLSL0150_MO_OS_YYImprovementinNonGAAPOPEXMargin">Model!$103:$103</definedName>
    <definedName name="z_A7FLSL0150_MO_OS_YYImprovementinNonGAAPRDMargin">Model!$77:$77</definedName>
    <definedName name="z_A7FLSL0150_MO_OS_YYImprovementinNonGAAPSGAMargin">Model!$92:$92</definedName>
    <definedName name="z_A7FLSL0150_MO_OS_YYNetworkingRevenueGrowth">Model!$21:$21</definedName>
    <definedName name="z_A7FLSL0150_MO_OS_YYNonGAAPgrossprofitgrowth">Model!$58:$58</definedName>
    <definedName name="z_A7FLSL0150_MO_OS_YYnonGAAPgrossprofitgrowth_1">Model!$644:$644</definedName>
    <definedName name="z_A7FLSL0150_MO_OS_YYrevenuegrowth">Model!$590:$590</definedName>
    <definedName name="z_A7FLSL0150_MO_RIS_AcquisitionrelatedcostsCOGS">Model!$376:$376</definedName>
    <definedName name="z_A7FLSL0150_MO_RIS_AcquisitionrelatedcostsRD">Model!$383:$383</definedName>
    <definedName name="z_A7FLSL0150_MO_RIS_AcquisitionrelatedcostsSGA">Model!$388:$388</definedName>
    <definedName name="z_A7FLSL0150_MO_RIS_AdjustedSharesOutstandingWAD">Model!$438:$438</definedName>
    <definedName name="z_A7FLSL0150_MO_RIS_AdjustmentsforConvertibleSecurities">Model!$423:$423</definedName>
    <definedName name="z_A7FLSL0150_MO_RIS_CompanyReportedNonGAAPOperatingIncome">Model!$396:$396</definedName>
    <definedName name="z_A7FLSL0150_MO_RIS_consensusestimatescompanyreportednongaapoperatingincome">Model!$397:$397</definedName>
    <definedName name="z_A7FLSL0150_MO_RIS_consensusestimatesnetrevenue">Model!$371:$371</definedName>
    <definedName name="z_A7FLSL0150_MO_RIS_consensusestimatesnongaapadjustedearningspersharewad">Model!$434:$434</definedName>
    <definedName name="z_A7FLSL0150_MO_RIS_consensusestimatesnongaapebitda">Model!$401:$401</definedName>
    <definedName name="z_A7FLSL0150_MO_RIS_deferredincometaxasofnongaaptaxes">Model!$429:$429</definedName>
    <definedName name="z_A7FLSL0150_MO_RIS_GAAPCOGS">Model!$374:$374</definedName>
    <definedName name="z_A7FLSL0150_MO_RIS_GAAPEarningsPerShareWAB">Model!$431:$431</definedName>
    <definedName name="z_A7FLSL0150_MO_RIS_GAAPEarningsPerShareWAD">Model!$432:$432</definedName>
    <definedName name="z_A7FLSL0150_MO_RIS_GAAPNetIncome">Model!$424:$424</definedName>
    <definedName name="z_A7FLSL0150_MO_RIS_GAAPNetIncomeBasic">Model!$422:$422</definedName>
    <definedName name="z_A7FLSL0150_MO_RIS_GAAPNetInterestExpense">Model!$405:$405</definedName>
    <definedName name="z_A7FLSL0150_MO_RIS_GAAPOPEX">Model!$391:$391</definedName>
    <definedName name="z_A7FLSL0150_MO_RIS_GAAPOtherItems">Model!$408:$408</definedName>
    <definedName name="z_A7FLSL0150_MO_RIS_GAAPProvisionforTaxes">Model!$412:$412</definedName>
    <definedName name="z_A7FLSL0150_MO_RIS_GAAPRD">Model!$381:$381</definedName>
    <definedName name="z_A7FLSL0150_MO_RIS_GAAPSGA">Model!$386:$386</definedName>
    <definedName name="z_A7FLSL0150_MO_RIS_GAAPTaxRate">Model!$428:$428</definedName>
    <definedName name="z_A7FLSL0150_MO_RIS_GuidanceNetRevenue">Model!$372:$372</definedName>
    <definedName name="z_A7FLSL0150_MO_RIS_GuidanceNonGAAPGrossProfit">Model!$379:$379</definedName>
    <definedName name="z_A7FLSL0150_MO_RIS_IntangibleAmortizationAcquisitionAdj">Model!$417:$417</definedName>
    <definedName name="z_A7FLSL0150_MO_RIS_InterestExpenseAdjustments">Model!$419:$419</definedName>
    <definedName name="z_A7FLSL0150_MO_RIS_MarginalTaxRateonAdjustments">Model!$427:$427</definedName>
    <definedName name="z_A7FLSL0150_MO_RIS_NetRevenue">Model!$370:$370</definedName>
    <definedName name="z_A7FLSL0150_MO_RIS_NonGAAPAdjustedEarningsPerShareWAD">Model!$433:$433</definedName>
    <definedName name="z_A7FLSL0150_MO_RIS_NonGAAPAdjustmentstoIncomeTaxes">Model!$413:$413</definedName>
    <definedName name="z_A7FLSL0150_MO_RIS_NonGAAPAdjustmentstoNetInterestExpense">Model!$406:$406</definedName>
    <definedName name="z_A7FLSL0150_MO_RIS_NonGAAPAdjustmentstoOtherItems">Model!$409:$409</definedName>
    <definedName name="z_A7FLSL0150_MO_RIS_NonGAAPEarningsbeforeTaxes">Model!$411:$411</definedName>
    <definedName name="z_A7FLSL0150_MO_RIS_NonGAAPEBITDA">Model!$400:$400</definedName>
    <definedName name="z_A7FLSL0150_MO_RIS_NonGAAPGrossProfit">Model!$378:$378</definedName>
    <definedName name="z_A7FLSL0150_MO_RIS_NonGAAPInterestExpense">Model!$403:$403</definedName>
    <definedName name="z_A7FLSL0150_MO_RIS_NonGAAPInterestExpense_1">Model!$407:$407</definedName>
    <definedName name="z_A7FLSL0150_MO_RIS_NonGAAPInterestIncome">Model!$404:$404</definedName>
    <definedName name="z_A7FLSL0150_MO_RIS_NonGAAPNetIncome">Model!$415:$415</definedName>
    <definedName name="z_A7FLSL0150_MO_RIS_NonGAAPOperatingIncomeBeforeOther">Model!$394:$394</definedName>
    <definedName name="z_A7FLSL0150_MO_RIS_NonGAAPOPEX">Model!$393:$393</definedName>
    <definedName name="z_A7FLSL0150_MO_RIS_NonGAAPOtherItems">Model!$410:$410</definedName>
    <definedName name="z_A7FLSL0150_MO_RIS_NonGAAPProvisionfortaxes">Model!$414:$414</definedName>
    <definedName name="z_A7FLSL0150_MO_RIS_NonGAAPRD">Model!$385:$385</definedName>
    <definedName name="z_A7FLSL0150_MO_RIS_NonGAAPSGA">Model!$390:$390</definedName>
    <definedName name="z_A7FLSL0150_MO_RIS_nongaaptaxrate">Model!$426:$426</definedName>
    <definedName name="z_A7FLSL0150_MO_RIS_OtherAdjustments">Model!$420:$420</definedName>
    <definedName name="z_A7FLSL0150_MO_RIS_OtherAdjustmentsOPEX">Model!$392:$392</definedName>
    <definedName name="z_A7FLSL0150_MO_RIS_OtherAdjustmentsRD">Model!$384:$384</definedName>
    <definedName name="z_A7FLSL0150_MO_RIS_OtherAdjustmentsSGA">Model!$389:$389</definedName>
    <definedName name="z_A7FLSL0150_MO_RIS_OtherCOGSadjustments">Model!$377:$377</definedName>
    <definedName name="z_A7FLSL0150_MO_RIS_OtherNonGAAPOperatingItems">Model!$395:$395</definedName>
    <definedName name="z_A7FLSL0150_MO_RIS_OtherOperatingAdjustments">Model!$418:$418</definedName>
    <definedName name="z_A7FLSL0150_MO_RIS_ReportedDepreciation">Model!$399:$399</definedName>
    <definedName name="z_A7FLSL0150_MO_RIS_SBC">Model!$416:$416</definedName>
    <definedName name="z_A7FLSL0150_MO_RIS_sbc_1">Model!$387:$387</definedName>
    <definedName name="z_A7FLSL0150_MO_RIS_SBC_2">Model!$382:$382</definedName>
    <definedName name="z_A7FLSL0150_MO_RIS_SBCinCOGS">Model!$375:$375</definedName>
    <definedName name="z_A7FLSL0150_MO_RIS_SharesOutstandingWAB">Model!$436:$436</definedName>
    <definedName name="z_A7FLSL0150_MO_RIS_SharesOutstandingWAD">Model!$437:$437</definedName>
    <definedName name="z_A7FLSL0150_MO_RIS_TaxImpactonnonGAAPAdjustments">Model!$421:$421</definedName>
    <definedName name="z_A7FLSL0150_MO_Section_AN_AdjustedNumbers">Model!$319:$319</definedName>
    <definedName name="z_A7FLSL0150_MO_Section_BS_BalanceSheet">Model!$958:$958</definedName>
    <definedName name="z_A7FLSL0150_MO_Section_BS_ModelChecks">Model!$1021:$1021</definedName>
    <definedName name="z_A7FLSL0150_MO_Section_BSS_BalanceSheetSummary">Model!$733:$733</definedName>
    <definedName name="z_A7FLSL0150_MO_Section_CCFS_CumulativeCashFlowStatement">Model!$777:$777</definedName>
    <definedName name="z_A7FLSL0150_MO_Section_CFS_CashFlowStatement">Model!$849:$849</definedName>
    <definedName name="z_A7FLSL0150_MO_Section_CFSum_CashFlowSummary">Model!$702:$702</definedName>
    <definedName name="z_A7FLSL0150_MO_Section_DAF_DAForecasting">Model!$923:$923</definedName>
    <definedName name="z_A7FLSL0150_MO_Section_IS_IncomeStatement">Model!$299:$299</definedName>
    <definedName name="z_A7FLSL0150_MO_Section_MA_MarginAnalysis">Model!$276:$276</definedName>
    <definedName name="z_A7FLSL0150_MO_Section_OS_BoardDiversity">'Exec Comp'!$51:$51</definedName>
    <definedName name="z_A7FLSL0150_MO_Section_OS_Source">'Exec Comp'!$132:$132</definedName>
    <definedName name="z_A7FLSL0150_MO_Section_OS_CapexGuidanceAnalysis">Model!$550:$550</definedName>
    <definedName name="z_A7FLSL0150_MO_Section_OS_CompanyFinancialGoals">'Exec Comp'!$114:$114</definedName>
    <definedName name="z_A7FLSL0150_MO_Section_OS_DirectorCompensation">'Exec Comp'!$60:$60</definedName>
    <definedName name="z_A7FLSL0150_MO_Section_OS_ExecutiveCompensation">'Exec Comp'!$6:$6</definedName>
    <definedName name="z_A7FLSL0150_MO_Section_OS_GuidanceAnalysisSection">Model!$524:$524</definedName>
    <definedName name="z_A7FLSL0150_MO_Section_OS_KeyMetricsCustomerConcentrationFS">Model!$270:$270</definedName>
    <definedName name="z_A7FLSL0150_MO_Section_OS_KeyMetricsDaysSalesOutstandingCFOCommentary">Model!$228:$228</definedName>
    <definedName name="z_A7FLSL0150_MO_Section_OS_KeyMetricsDeferredRevenuesandRPOsFS">Model!$213:$213</definedName>
    <definedName name="z_A7FLSL0150_MO_Section_OS_KeyMetricsEmployeesFS">Model!$241:$241</definedName>
    <definedName name="z_A7FLSL0150_MO_Section_OS_KeyMetricsIntangibleAssetsBreakoutFS">"Deleted"</definedName>
    <definedName name="z_A7FLSL0150_MO_Section_OS_KeyMetricsInventoryBreakoutFS">"Deleted"</definedName>
    <definedName name="z_A7FLSL0150_MO_Section_OS_KeyMetricsInventoryProvisionsFS">Model!$246:$246</definedName>
    <definedName name="z_A7FLSL0150_MO_Section_OS_KeyMetricsInventoryPurchaseandLongtermSupplyObligationsFS">Model!$253:$253</definedName>
    <definedName name="z_A7FLSL0150_MO_Section_OS_KeyMetricsTotalAddressableMarketIP">Model!$233:$233</definedName>
    <definedName name="z_A7FLSL0150_MO_Section_OS_NonGAAPGrossProfitGuidanceAnalysis">Model!$629:$629</definedName>
    <definedName name="z_A7FLSL0150_MO_Section_OS_NonGAAPOperatingExpensesGuidanceAnalysis">Model!$525:$525</definedName>
    <definedName name="z_A7FLSL0150_MO_Section_OS_OperatingExpenseForecasting">Model!$43:$43</definedName>
    <definedName name="z_A7FLSL0150_MO_Section_OS_OtherAlignmentDataPoints">'Exec Comp'!$109:$109</definedName>
    <definedName name="z_A7FLSL0150_MO_Section_OS_RevenueBuildFSPR">Model!$6:$6</definedName>
    <definedName name="z_A7FLSL0150_MO_Section_OS_RevenueGuidanceAnalysis">Model!$575:$575</definedName>
    <definedName name="z_A7FLSL0150_MO_Section_OS_SBCDAAcquisitionrelatedCostsBreakdownFS">Model!$116:$116</definedName>
    <definedName name="z_A7FLSL0150_MO_Section_OS_SegmentedResultsGeographicBreakdownFS">Model!$192:$192</definedName>
    <definedName name="z_A7FLSL0150_MO_Section_OS_SegmentedResultsOperatingIncomeBreakdownFS">Model!$148:$148</definedName>
    <definedName name="z_A7FLSL0150_MO_Section_OS_SegmentedResultsRevenueBreakdownFS">Model!$132:$132</definedName>
    <definedName name="z_A7FLSL0150_MO_Section_OS_ShareCountAnalysis">Model!$440:$440</definedName>
    <definedName name="z_A7FLSL0150_MO_Section_OS_SupplementalData">Model!$131:$131</definedName>
    <definedName name="z_A7FLSL0150_MO_Section_OS_WorkingCapitalForecasting">Model!$947:$947</definedName>
    <definedName name="z_A7FLSL0150_MO_Section_RIS_RevisedIncomeStatement">Model!$369:$369</definedName>
    <definedName name="z_A7FLSL0150_MO_Section_SNA_Source">Model!$1193:$1193</definedName>
    <definedName name="z_A7FLSL0150_MO_Section_TB_Tables">Model!$1045:$1045</definedName>
    <definedName name="z_A7FLSL0150_MO_Section_VA_Valuation">Model!$752:$752</definedName>
    <definedName name="z_A7FLSL0150_MO_Unstructured_SNA_AnnualGuidanceTable">Model!$1109:$1109</definedName>
    <definedName name="z_A7FLSL0150_MO_Unstructured_SNA_ApplicablePeriod">Model!$1094:$1094</definedName>
    <definedName name="z_A7FLSL0150_MO_Unstructured_SNA_ApplicablePeriod_1">Model!$1112:$1112</definedName>
    <definedName name="z_A7FLSL0150_MO_Unstructured_SNA_ApplyTradeCurrencyScaling">Model!$1180:$1180</definedName>
    <definedName name="z_A7FLSL0150_MO_Unstructured_SNA_Avg">Model!$1057:$1057</definedName>
    <definedName name="z_A7FLSL0150_MO_Unstructured_SNA_Bloomberg">Model!$1144:$1144</definedName>
    <definedName name="z_A7FLSL0150_MO_Unstructured_SNA_Bloomberg_1">Model!$1151:$1151</definedName>
    <definedName name="z_A7FLSL0150_MO_Unstructured_SNA_Bloomberg_2">Model!$1158:$1158</definedName>
    <definedName name="z_A7FLSL0150_MO_Unstructured_SNA_Bloomberg_3">Model!$1165:$1165</definedName>
    <definedName name="z_A7FLSL0150_MO_Unstructured_SNA_CapitalIQ">Model!$1145:$1145</definedName>
    <definedName name="z_A7FLSL0150_MO_Unstructured_SNA_CapitalIQ_1">Model!$1152:$1152</definedName>
    <definedName name="z_A7FLSL0150_MO_Unstructured_SNA_CapitalIQ_2">Model!$1159:$1159</definedName>
    <definedName name="z_A7FLSL0150_MO_Unstructured_SNA_CapitalIQ_3">Model!$1166:$1166</definedName>
    <definedName name="z_A7FLSL0150_MO_Unstructured_SNA_ConsensusEstimatesCapex">Model!$1136:$1136</definedName>
    <definedName name="z_A7FLSL0150_MO_Unstructured_SNA_ConsensusEstimatesCashFlowPerDilutedShare">Model!$1135:$1135</definedName>
    <definedName name="z_A7FLSL0150_MO_Unstructured_SNA_ConsensusEstimatesCompanyReportedNonGAAPOperatingIncome">Model!$1133:$1133</definedName>
    <definedName name="z_A7FLSL0150_MO_Unstructured_SNA_ConsensusEstimatesGrossMargin">Model!$1130:$1130</definedName>
    <definedName name="z_A7FLSL0150_MO_Unstructured_SNA_ConsensusEstimatesNetRevenue">Model!$1131:$1131</definedName>
    <definedName name="z_A7FLSL0150_MO_Unstructured_SNA_ConsensusEstimatesNonGAAPAdjustedEarningsPerShareWAD">Model!$1134:$1134</definedName>
    <definedName name="z_A7FLSL0150_MO_Unstructured_SNA_ConsensusEstimatesNonGAAPEBITDA">Model!$1132:$1132</definedName>
    <definedName name="z_A7FLSL0150_MO_Unstructured_SNA_ConsensusEstimateTable">Model!$1127:$1127</definedName>
    <definedName name="z_A7FLSL0150_MO_Unstructured_SNA_CurrentFiscalYear">Model!$1188:$1188</definedName>
    <definedName name="z_A7FLSL0150_MO_Unstructured_SNA_DataSourceIndex">Model!$1191:$1191</definedName>
    <definedName name="z_A7FLSL0150_MO_Unstructured_SNA_EoP">Model!$1058:$1058</definedName>
    <definedName name="z_A7FLSL0150_MO_Unstructured_SNA_EVEBITDAAvg">Model!$1064:$1064</definedName>
    <definedName name="z_A7FLSL0150_MO_Unstructured_SNA_FactSet">Model!$1146:$1146</definedName>
    <definedName name="z_A7FLSL0150_MO_Unstructured_SNA_FactSet_1">Model!$1153:$1153</definedName>
    <definedName name="z_A7FLSL0150_MO_Unstructured_SNA_FactSet_2">Model!$1160:$1160</definedName>
    <definedName name="z_A7FLSL0150_MO_Unstructured_SNA_FactSet_3">Model!$1167:$1167</definedName>
    <definedName name="z_A7FLSL0150_MO_Unstructured_SNA_FirstForecastFiscalYear">Model!$1189:$1189</definedName>
    <definedName name="z_A7FLSL0150_MO_Unstructured_SNA_FiscalPeriodStartDate">Model!$1140:$1140</definedName>
    <definedName name="z_A7FLSL0150_MO_Unstructured_SNA_FXAverageRealTimeOffSource">Model!$1163:$1163</definedName>
    <definedName name="z_A7FLSL0150_MO_Unstructured_SNA_FXEoP">Model!$1172:$1172</definedName>
    <definedName name="z_A7FLSL0150_MO_Unstructured_SNA_FYorFQ">Model!$1128:$1128</definedName>
    <definedName name="z_A7FLSL0150_MO_Unstructured_SNA_GeneralTable">Model!$1175:$1175</definedName>
    <definedName name="z_A7FLSL0150_MO_Unstructured_SNA_High">Model!$1055:$1055</definedName>
    <definedName name="z_A7FLSL0150_MO_Unstructured_SNA_HighCapex">Model!$1105:$1105</definedName>
    <definedName name="z_A7FLSL0150_MO_Unstructured_SNA_HighCapex_1">Model!$1123:$1123</definedName>
    <definedName name="z_A7FLSL0150_MO_Unstructured_SNA_HighNetRevenue">Model!$1096:$1096</definedName>
    <definedName name="z_A7FLSL0150_MO_Unstructured_SNA_HighNetRevenue_1">Model!$1114:$1114</definedName>
    <definedName name="z_A7FLSL0150_MO_Unstructured_SNA_HighNonGAAPGrossMargin">Model!$1099:$1099</definedName>
    <definedName name="z_A7FLSL0150_MO_Unstructured_SNA_HighNonGAAPGrossMargin_1">Model!$1117:$1117</definedName>
    <definedName name="z_A7FLSL0150_MO_Unstructured_SNA_HighTotalNonGAAPOperatingExpenses">Model!$1102:$1102</definedName>
    <definedName name="z_A7FLSL0150_MO_Unstructured_SNA_HighTotalNonGAAPOperatingExpenses_1">Model!$1120:$1120</definedName>
    <definedName name="z_A7FLSL0150_MO_Unstructured_SNA_IsHistoricalPeriod">Model!$1141:$1141</definedName>
    <definedName name="z_A7FLSL0150_MO_Unstructured_SNA_IsLatest">Model!$1111:$1111</definedName>
    <definedName name="z_A7FLSL0150_MO_Unstructured_SNA_KeyOutputs">Model!$1060:$1060</definedName>
    <definedName name="z_A7FLSL0150_MO_Unstructured_SNA_KPICount">Model!$1190:$1190</definedName>
    <definedName name="z_A7FLSL0150_MO_Unstructured_SNA_KPIData">Model!$1068:$1068</definedName>
    <definedName name="z_A7FLSL0150_MO_Unstructured_SNA_LastPrice">Model!$1176:$1176</definedName>
    <definedName name="z_A7FLSL0150_MO_Unstructured_SNA_LastPriceDate">Model!$1177:$1177</definedName>
    <definedName name="z_A7FLSL0150_MO_Unstructured_SNA_LastPriceFormula">Model!$1179:$1179</definedName>
    <definedName name="z_A7FLSL0150_MO_Unstructured_SNA_LastWorkingDayInPeriod">Model!$1170:$1170</definedName>
    <definedName name="z_A7FLSL0150_MO_Unstructured_SNA_Low">Model!$1056:$1056</definedName>
    <definedName name="z_A7FLSL0150_MO_Unstructured_SNA_LowCapex">Model!$1104:$1104</definedName>
    <definedName name="z_A7FLSL0150_MO_Unstructured_SNA_LowCapex_1">Model!$1122:$1122</definedName>
    <definedName name="z_A7FLSL0150_MO_Unstructured_SNA_LowNetRevenue">Model!$1095:$1095</definedName>
    <definedName name="z_A7FLSL0150_MO_Unstructured_SNA_LowNetRevenue_1">Model!$1113:$1113</definedName>
    <definedName name="z_A7FLSL0150_MO_Unstructured_SNA_LowNonGAAPGrossMargin">Model!$1098:$1098</definedName>
    <definedName name="z_A7FLSL0150_MO_Unstructured_SNA_LowNonGAAPGrossMargin_1">Model!$1116:$1116</definedName>
    <definedName name="z_A7FLSL0150_MO_Unstructured_SNA_LowTotalNonGAAPOperatingExpenses">Model!$1101:$1101</definedName>
    <definedName name="z_A7FLSL0150_MO_Unstructured_SNA_LowTotalNonGAAPOperatingExpenses_1">Model!$1119:$1119</definedName>
    <definedName name="z_A7FLSL0150_MO_Unstructured_SNA_MidCapex">Model!$1106:$1106</definedName>
    <definedName name="z_A7FLSL0150_MO_Unstructured_SNA_MidCapex_1">Model!$1124:$1124</definedName>
    <definedName name="z_A7FLSL0150_MO_Unstructured_SNA_MidNetRevenue">Model!$1097:$1097</definedName>
    <definedName name="z_A7FLSL0150_MO_Unstructured_SNA_MidNetRevenue_1">Model!$1115:$1115</definedName>
    <definedName name="z_A7FLSL0150_MO_Unstructured_SNA_MidNonGAAPGrossMargin">Model!$1100:$1100</definedName>
    <definedName name="z_A7FLSL0150_MO_Unstructured_SNA_MidNonGAAPGrossMargin_1">Model!$1118:$1118</definedName>
    <definedName name="z_A7FLSL0150_MO_Unstructured_SNA_MidTotalNonGAAPOperatingExpenses">Model!$1103:$1103</definedName>
    <definedName name="z_A7FLSL0150_MO_Unstructured_SNA_MidTotalNonGAAPOperatingExpenses_1">Model!$1121:$1121</definedName>
    <definedName name="z_A7FLSL0150_MO_Unstructured_SNA_MOCFSumCapex">Model!$1085:$1085</definedName>
    <definedName name="z_A7FLSL0150_MO_Unstructured_SNA_ModelSheetCurrencyHardcoded">Model!$1183:$1183</definedName>
    <definedName name="z_A7FLSL0150_MO_Unstructured_SNA_MOKPIREVADAS">"Deleted"</definedName>
    <definedName name="z_A7FLSL0150_MO_Unstructured_SNA_MOKPIREVGeoChina">Model!$1089:$1089</definedName>
    <definedName name="z_A7FLSL0150_MO_Unstructured_SNA_MOKPIREVGeoTaiwan">Model!$1087:$1087</definedName>
    <definedName name="z_A7FLSL0150_MO_Unstructured_SNA_MOKPIREVGeoUS">Model!$1088:$1088</definedName>
    <definedName name="z_A7FLSL0150_MO_Unstructured_SNA_MOKPIREVSEMI">Model!$1074:$1074</definedName>
    <definedName name="z_A7FLSL0150_MO_Unstructured_SNA_MOKPIREVSEMIAuto">Model!$1076:$1076</definedName>
    <definedName name="z_A7FLSL0150_MO_Unstructured_SNA_MOKPIREVSEMIAutoGrowth">Model!$1077:$1077</definedName>
    <definedName name="z_A7FLSL0150_MO_Unstructured_SNA_MOKPIREVSEMIComp">Model!$1078:$1078</definedName>
    <definedName name="z_A7FLSL0150_MO_Unstructured_SNA_MOKPIREVSEMICompGrowth">Model!$1079:$1079</definedName>
    <definedName name="z_A7FLSL0150_MO_Unstructured_SNA_MOKPIREVSEMICons">Model!$1082:$1082</definedName>
    <definedName name="z_A7FLSL0150_MO_Unstructured_SNA_MOKPIREVSEMIConsGrowth">Model!$1083:$1083</definedName>
    <definedName name="z_A7FLSL0150_MO_Unstructured_SNA_MOKPIREVSEMIData">Model!$1080:$1080</definedName>
    <definedName name="z_A7FLSL0150_MO_Unstructured_SNA_MOKPIREVSEMIDataGrowth">Model!$1081:$1081</definedName>
    <definedName name="z_A7FLSL0150_MO_Unstructured_SNA_MOKPIREVSEMIGrowth">Model!$1075:$1075</definedName>
    <definedName name="z_A7FLSL0150_MO_Unstructured_SNA_MOMAGM">Model!$1086:$1086</definedName>
    <definedName name="z_A7FLSL0150_MO_Unstructured_SNA_MOMARD">"Deleted"</definedName>
    <definedName name="z_A7FLSL0150_MO_Unstructured_SNA_MOMARDNONGAAP">Model!$1084:$1084</definedName>
    <definedName name="z_A7FLSL0150_MO_Unstructured_SNA_MOOSEmployeeCount">Model!$1073:$1073</definedName>
    <definedName name="z_A7FLSL0150_MO_Unstructured_SNA_MORISEBITDAAdj">Model!$1072:$1072</definedName>
    <definedName name="z_A7FLSL0150_MO_Unstructured_SNA_MORISEPSWADAdj">Model!$1071:$1071</definedName>
    <definedName name="z_A7FLSL0150_MO_Unstructured_SNA_MORISNINONGAAPDiluted">Model!$1070:$1070</definedName>
    <definedName name="z_A7FLSL0150_MO_Unstructured_SNA_MORISREV">Model!$1069:$1069</definedName>
    <definedName name="z_A7FLSL0150_MO_Unstructured_SNA_MostRecentFiscalPeriodMRFP">Model!$1187:$1187</definedName>
    <definedName name="z_A7FLSL0150_MO_Unstructured_SNA_MostRecentFX">Model!$1184:$1184</definedName>
    <definedName name="z_A7FLSL0150_MO_Unstructured_SNA_MostRecentFXHardcoded">Model!$1185:$1185</definedName>
    <definedName name="z_A7FLSL0150_MO_Unstructured_SNA_MRFPColumnNumber">Model!$1186:$1186</definedName>
    <definedName name="z_A7FLSL0150_MO_Unstructured_SNA_Company1847">Model!$1050:$1050</definedName>
    <definedName name="z_A7FLSL0150_MO_Unstructured_SNA_NetRevenue">Model!$1061:$1061</definedName>
    <definedName name="z_A7FLSL0150_MO_Unstructured_SNA_NonGAAPAdjustedEarningsPerShareWAD">Model!$1063:$1063</definedName>
    <definedName name="z_A7FLSL0150_MO_Unstructured_SNA_NonGAAPEBITDA">Model!$1062:$1062</definedName>
    <definedName name="z_A7FLSL0150_MO_Unstructured_SNA_Company1913">Model!$1052:$1052</definedName>
    <definedName name="z_A7FLSL0150_MO_Unstructured_SNA_Company1914">Model!$1049:$1049</definedName>
    <definedName name="z_A7FLSL0150_MO_Unstructured_SNA_Company1914_1">Model!$1051:$1051</definedName>
    <definedName name="z_A7FLSL0150_MO_Unstructured_SNA_Company1914_2">Model!$1048:$1048</definedName>
    <definedName name="z_A7FLSL0150_MO_Unstructured_SNA_PEAvg">Model!$1065:$1065</definedName>
    <definedName name="z_A7FLSL0150_MO_Unstructured_SNA_Period">Model!$1129:$1129</definedName>
    <definedName name="z_A7FLSL0150_MO_Unstructured_SNA_QuarterlyGuidanceTable">Model!$1092:$1092</definedName>
    <definedName name="z_A7FLSL0150_MO_Unstructured_SNA_RealTimeOffSource">Model!$1143:$1143</definedName>
    <definedName name="z_A7FLSL0150_MO_Unstructured_SNA_RealTimeOffSource_1">Model!$1150:$1150</definedName>
    <definedName name="z_A7FLSL0150_MO_Unstructured_SNA_RealTimeOffSource_2">Model!$1157:$1157</definedName>
    <definedName name="z_A7FLSL0150_MO_Unstructured_SNA_RealTimeOffSource_3">Model!$1164:$1164</definedName>
    <definedName name="z_A7FLSL0150_MO_Unstructured_SNA_RealTimeStockPrice">Model!$1178:$1178</definedName>
    <definedName name="z_A7FLSL0150_MO_Unstructured_SNA_Refinitiv">Model!$1147:$1147</definedName>
    <definedName name="z_A7FLSL0150_MO_Unstructured_SNA_Refinitiv_1">Model!$1154:$1154</definedName>
    <definedName name="z_A7FLSL0150_MO_Unstructured_SNA_Refinitiv_2">Model!$1161:$1161</definedName>
    <definedName name="z_A7FLSL0150_MO_Unstructured_SNA_Refinitiv_3">Model!$1168:$1168</definedName>
    <definedName name="z_A7FLSL0150_MO_Unstructured_SNA_ReportingDate">Model!$1093:$1093</definedName>
    <definedName name="z_A7FLSL0150_MO_Unstructured_SNA_ReportingDate_1">Model!$1110:$1110</definedName>
    <definedName name="z_A7FLSL0150_MO_Unstructured_SNA_StockAverageRealTimeOffSource">Model!$1156:$1156</definedName>
    <definedName name="z_A7FLSL0150_MO_Unstructured_SNA_StockHighRealTimeOffSource">Model!$1142:$1142</definedName>
    <definedName name="z_A7FLSL0150_MO_Unstructured_SNA_StockLowRealTimeOffSource">Model!$1149:$1149</definedName>
    <definedName name="z_A7FLSL0150_MO_Unstructured_SNA_StockPriceEoP">Model!$1171:$1171</definedName>
    <definedName name="z_A7FLSL0150_MO_Unstructured_SNA_StockPriceTable">Model!$1139:$1139</definedName>
    <definedName name="z_A7FLSL0150_MO_Unstructured_SNA_TickerSymbol">Model!$1047:$1047</definedName>
    <definedName name="z_A7FLSL0150_MO_Unstructured_SNA_TradeCurrency">Model!$1181:$1181</definedName>
    <definedName name="z_A7FLSL0150_MO_Unstructured_SNA_TradeCurrencyHardcoded">Model!$1182:$1182</definedName>
    <definedName name="z_A7FLSL0150_MO_Unstructured_SNA_ValuationToggleTable">Model!$1054:$1054</definedName>
    <definedName name="z_A7FLSL0150_MO_VA_EnterpriseValueAverage">Model!$755:$755</definedName>
    <definedName name="z_A7FLSL0150_MO_VA_EnterpriseValueAvg">"Deleted"</definedName>
    <definedName name="z_A7FLSL0150_MO_VA_enterprisevaluecomponents">Model!$772:$772</definedName>
    <definedName name="z_A7FLSL0150_MO_VA_EnterpriseValueHigh">"Deleted"</definedName>
    <definedName name="z_A7FLSL0150_MO_VA_EnterpriseValueLow">"Deleted"</definedName>
    <definedName name="z_A7FLSL0150_MO_VA_EVEBITDAAverage">Model!$759:$759</definedName>
    <definedName name="z_A7FLSL0150_MO_VA_FCFYieldtoAverageEnterpriseValue">Model!$762:$762</definedName>
    <definedName name="z_A7FLSL0150_MO_VA_FCFYieldtoAverageMarketCap">Model!$761:$761</definedName>
    <definedName name="z_A7FLSL0150_MO_VA_MarketCapAverage">Model!$754:$754</definedName>
    <definedName name="z_A7FLSL0150_MO_VA_MarketCapAvg">"Deleted"</definedName>
    <definedName name="z_A7FLSL0150_MO_VA_MarketCapHigh">"Deleted"</definedName>
    <definedName name="z_A7FLSL0150_MO_VA_MarketCapLow">"Deleted"</definedName>
    <definedName name="z_A7FLSL0150_MO_VA_NoncontrollingInterest">Model!$773:$773</definedName>
    <definedName name="z_A7FLSL0150_MO_VA_OtherEVComponents">Model!$775:$775</definedName>
    <definedName name="z_A7FLSL0150_MO_VA_PCFAverage">Model!$760:$760</definedName>
    <definedName name="z_A7FLSL0150_MO_VA_PEAverage">Model!$757:$757</definedName>
    <definedName name="z_A7FLSL0150_MO_VA_PreferredShares">Model!$774:$774</definedName>
    <definedName name="z_A7FLSL0150_MO_VA_StockAvg">Model!$766:$766</definedName>
    <definedName name="z_A7FLSL0150_MO_VA_StockHigh">Model!$764:$764</definedName>
    <definedName name="z_A7FLSL0150_MO_VA_StockLow">Model!$765:$765</definedName>
    <definedName name="z_A7FLSL0150_MO_VA_StockPriceAverage">Model!$753:$753</definedName>
    <definedName name="z_T31NOW0153_MO_AN_Acquisitionrelatedcharges" localSheetId="5">"Deleted"</definedName>
    <definedName name="z_T31NOW0153_MO_AN_Acquisitionrelatedcharges_1" localSheetId="5">"Deleted"</definedName>
    <definedName name="z_T31NOW0153_MO_AN_Acquisitionrelatedcharges_2" localSheetId="5">"Deleted"</definedName>
    <definedName name="z_T31NOW0153_MO_AN_Acquisitionrelatedcharges_3" localSheetId="5">"Deleted"</definedName>
    <definedName name="z_T31NOW0153_MO_AN_amortizationofacquiredintangibleassets" localSheetId="5">"Deleted"</definedName>
    <definedName name="z_T31NOW0153_MO_AN_amortizationofacquiredintangibleassets_1" localSheetId="5">"Deleted"</definedName>
    <definedName name="z_T31NOW0153_MO_AN_amortizationofacquiredintangibles" localSheetId="5">"Deleted"</definedName>
    <definedName name="z_T31NOW0153_MO_AN_amortizationofacquiredintangibles_1" localSheetId="5">"Deleted"</definedName>
    <definedName name="z_T31NOW0153_MO_AN_benefitfromprovisionforincometaxesvaluationallowanceadjustment" localSheetId="5">"Deleted"</definedName>
    <definedName name="z_T31NOW0153_MO_AN_costofgoodssold" localSheetId="5">"Deleted"</definedName>
    <definedName name="z_T31NOW0153_MO_AN_Costofgoodssoldacquisitionrelatedcharges" localSheetId="5">"Deleted"</definedName>
    <definedName name="z_T31NOW0153_MO_AN_CostofgoodssoldSettlementCosts" localSheetId="5">"Deleted"</definedName>
    <definedName name="z_T31NOW0153_MO_AN_Costofrevenuesintangibleamortization" localSheetId="5">"Deleted"</definedName>
    <definedName name="z_T31NOW0153_MO_AN_deferredtaxesonnolisrael" localSheetId="5">"Deleted"</definedName>
    <definedName name="z_T31NOW0153_MO_AN_gaapgrossprofit" localSheetId="5">"Deleted"</definedName>
    <definedName name="z_T31NOW0153_MO_AN_gaapincomelossfromoperations" localSheetId="5">"Deleted"</definedName>
    <definedName name="z_T31NOW0153_MO_AN_gaaplossnetincome" localSheetId="5">"Deleted"</definedName>
    <definedName name="z_T31NOW0153_MO_AN_gaapoperatingexpenses" localSheetId="5">"Deleted"</definedName>
    <definedName name="z_T31NOW0153_MO_AN_generalandadministrative" localSheetId="5">"Deleted"</definedName>
    <definedName name="z_T31NOW0153_MO_AN_Generalandadministrativeacquisitionrelatedcharges" localSheetId="5">"Deleted"</definedName>
    <definedName name="z_T31NOW0153_MO_AN_GeneralandadministrativeSettlementCosts" localSheetId="5">"Deleted"</definedName>
    <definedName name="z_T31NOW0153_MO_AN_Impairmentlossonequityinvestmentinaprivatecompany" localSheetId="5">"Deleted"</definedName>
    <definedName name="z_T31NOW0153_MO_AN_nongaapgrossprofit" localSheetId="5">"Deleted"</definedName>
    <definedName name="z_T31NOW0153_MO_AN_nongaapincomefromoperations" localSheetId="5">"Deleted"</definedName>
    <definedName name="z_T31NOW0153_MO_AN_nongaapnetincome" localSheetId="5">"Deleted"</definedName>
    <definedName name="z_T31NOW0153_MO_AN_nongaapoperatingexpenses" localSheetId="5">"Deleted"</definedName>
    <definedName name="z_T31NOW0153_MO_AN_Nonoperatingforeignexchangeloss" localSheetId="5">"Deleted"</definedName>
    <definedName name="z_T31NOW0153_MO_AN_Otherincome" localSheetId="5">"Deleted"</definedName>
    <definedName name="z_T31NOW0153_MO_AN_researchanddevelopment" localSheetId="5">"Deleted"</definedName>
    <definedName name="z_T31NOW0153_MO_AN_Researchanddevelopmentacquisitionrelatedcharges" localSheetId="5">"Deleted"</definedName>
    <definedName name="z_T31NOW0153_MO_AN_Researchanddevelopmentintangibleamortization" localSheetId="5">"Deleted"</definedName>
    <definedName name="z_T31NOW0153_MO_AN_Restructuringandrelatedcharges" localSheetId="5">"Deleted"</definedName>
    <definedName name="z_T31NOW0153_MO_AN_Restructuringandrelatedcharges_1" localSheetId="5">"Deleted"</definedName>
    <definedName name="z_T31NOW0153_MO_AN_Restructuringandrelatedcharges_2" localSheetId="5">"Deleted"</definedName>
    <definedName name="z_T31NOW0153_MO_AN_salesandmarketing" localSheetId="5">"Deleted"</definedName>
    <definedName name="z_T31NOW0153_MO_AN_Salesandmarketingacquisitionrelatedcharges" localSheetId="5">"Deleted"</definedName>
    <definedName name="z_T31NOW0153_MO_AN_Salesandmarketingintangibleamortization" localSheetId="5">"Deleted"</definedName>
    <definedName name="z_T31NOW0153_MO_AN_sbcexpense" localSheetId="5">"Deleted"</definedName>
    <definedName name="z_T31NOW0153_MO_AN_sbcexpense_1" localSheetId="5">"Deleted"</definedName>
    <definedName name="z_T31NOW0153_MO_AN_sbcexpense_2" localSheetId="5">"Deleted"</definedName>
    <definedName name="z_T31NOW0153_MO_AN_sbcexpense_3" localSheetId="5">"Deleted"</definedName>
    <definedName name="z_T31NOW0153_MO_AN_settlementcosts" localSheetId="5">"Deleted"</definedName>
    <definedName name="z_T31NOW0153_MO_AN_settlementcosts_1" localSheetId="5">"Deleted"</definedName>
    <definedName name="z_T31NOW0153_MO_AN_settlementcosts_2" localSheetId="5">"Deleted"</definedName>
    <definedName name="z_T31NOW0153_MO_AN_settlementcosts_3" localSheetId="5">"Deleted"</definedName>
    <definedName name="z_T31NOW0153_MO_AN_TotalAcquisitionRelatedCharges" localSheetId="5">"Deleted"</definedName>
    <definedName name="z_T31NOW0153_MO_AN_TotalAmortizationofAcquiredIntangibles" localSheetId="5">"Deleted"</definedName>
    <definedName name="z_T31NOW0153_MO_AN_TotalSettlementCosts" localSheetId="5">"Deleted"</definedName>
    <definedName name="z_T31NOW0153_MO_AN_totalsharebasedcompensationexpense" localSheetId="5">"Deleted"</definedName>
    <definedName name="z_T31NOW0153_MO_BlankRow_AN" localSheetId="5">"Deleted"</definedName>
    <definedName name="z_T31NOW0153_MO_BlankRow_AN_1" localSheetId="5">"Deleted"</definedName>
    <definedName name="z_T31NOW0153_MO_BlankRow_AN_2" localSheetId="5">"Deleted"</definedName>
    <definedName name="z_T31NOW0153_MO_BlankRow_AN_3" localSheetId="5">"Deleted"</definedName>
    <definedName name="z_T31NOW0153_MO_BlankRow_AN_4" localSheetId="5">"Deleted"</definedName>
    <definedName name="z_T31NOW0153_MO_BlankRow_AN_5" localSheetId="5">"Deleted"</definedName>
    <definedName name="z_T31NOW0153_MO_BlankRow_AN_6" localSheetId="5">"Deleted"</definedName>
    <definedName name="z_T31NOW0153_MO_BlankRow_AN_7" localSheetId="5">"Deleted"</definedName>
    <definedName name="z_T31NOW0153_MO_BlankRow_BS_1" localSheetId="5">"Deleted"</definedName>
    <definedName name="z_T31NOW0153_MO_BlankRow_BS_2" localSheetId="5">"Deleted"</definedName>
    <definedName name="z_T31NOW0153_MO_BlankRow_BS_3" localSheetId="5">"Deleted"</definedName>
    <definedName name="z_T31NOW0153_MO_BlankRow_BS_4" localSheetId="5">"Deleted"</definedName>
    <definedName name="z_T31NOW0153_MO_BlankRow_BS_5" localSheetId="5">"Deleted"</definedName>
    <definedName name="z_T31NOW0153_MO_BlankRow_BS_6" localSheetId="5">"Deleted"</definedName>
    <definedName name="z_T31NOW0153_MO_BlankRow_BSS" localSheetId="5">"Deleted"</definedName>
    <definedName name="z_T31NOW0153_MO_BlankRow_CCFS" localSheetId="5">"Deleted"</definedName>
    <definedName name="z_T31NOW0153_MO_BlankRow_CCFS_1" localSheetId="5">"Deleted"</definedName>
    <definedName name="z_T31NOW0153_MO_BlankRow_CCFS_2" localSheetId="5">"Deleted"</definedName>
    <definedName name="z_T31NOW0153_MO_BlankRow_CCFS_3" localSheetId="5">"Deleted"</definedName>
    <definedName name="z_T31NOW0153_MO_BlankRow_CCFS_4" localSheetId="5">"Deleted"</definedName>
    <definedName name="z_T31NOW0153_MO_BlankRow_CFS_2" localSheetId="5">"Deleted"</definedName>
    <definedName name="z_T31NOW0153_MO_BlankRow_CFS_3" localSheetId="5">"Deleted"</definedName>
    <definedName name="z_T31NOW0153_MO_BlankRow_CFS_4" localSheetId="5">"Deleted"</definedName>
    <definedName name="z_T31NOW0153_MO_BlankRow_CFS_5" localSheetId="5">"Deleted"</definedName>
    <definedName name="z_T31NOW0153_MO_BlankRow_CFS_6" localSheetId="5">"Deleted"</definedName>
    <definedName name="z_T31NOW0153_MO_BlankRow_CFS_7" localSheetId="5">"Deleted"</definedName>
    <definedName name="z_T31NOW0153_MO_BlankRow_CFSum" localSheetId="5">"Deleted"</definedName>
    <definedName name="z_T31NOW0153_MO_BlankRow_CFSum_1" localSheetId="5">"Deleted"</definedName>
    <definedName name="z_T31NOW0153_MO_BlankRow_GA" localSheetId="5">"Deleted"</definedName>
    <definedName name="z_T31NOW0153_MO_BlankRow_IS" localSheetId="5">"Deleted"</definedName>
    <definedName name="z_T31NOW0153_MO_BlankRow_IS_1" localSheetId="5">"Deleted"</definedName>
    <definedName name="z_T31NOW0153_MO_BlankRow_MA" localSheetId="5">"Deleted"</definedName>
    <definedName name="z_T31NOW0153_MO_BlankRow_MA_1" localSheetId="5">"Deleted"</definedName>
    <definedName name="z_T31NOW0153_MO_BlankRow_MA_2" localSheetId="5">"Deleted"</definedName>
    <definedName name="z_T31NOW0153_MO_BlankRow_MA_3" localSheetId="5">"Deleted"</definedName>
    <definedName name="z_T31NOW0153_MO_BlankRow_MA_4" localSheetId="5">"Deleted"</definedName>
    <definedName name="z_T31NOW0153_MO_BlankRow_MA_5" localSheetId="5">"Deleted"</definedName>
    <definedName name="z_T31NOW0153_MO_BlankRow_OS" localSheetId="5">"Deleted"</definedName>
    <definedName name="z_T31NOW0153_MO_BlankRow_OS_1" localSheetId="5">"Deleted"</definedName>
    <definedName name="z_T31NOW0153_MO_BlankRow_OS_2" localSheetId="5">"Deleted"</definedName>
    <definedName name="z_T31NOW0153_MO_BlankRow_OS_3" localSheetId="5">"Deleted"</definedName>
    <definedName name="z_T31NOW0153_MO_BlankRow_OS_4" localSheetId="5">"Deleted"</definedName>
    <definedName name="z_T31NOW0153_MO_BlankRow_RIS" localSheetId="5">"Deleted"</definedName>
    <definedName name="z_T31NOW0153_MO_BlankRow_RIS_1" localSheetId="5">"Deleted"</definedName>
    <definedName name="z_T31NOW0153_MO_BlankRow_RIS_2" localSheetId="5">"Deleted"</definedName>
    <definedName name="z_T31NOW0153_MO_BlankRow_RIS_3" localSheetId="5">"Deleted"</definedName>
    <definedName name="z_T31NOW0153_MO_BS_Accountspayable" localSheetId="5">"Deleted"</definedName>
    <definedName name="z_T31NOW0153_MO_BS_Accountsreceivable" localSheetId="5">"Deleted"</definedName>
    <definedName name="z_T31NOW0153_MO_BS_accruedliabilities" localSheetId="5">"Deleted"</definedName>
    <definedName name="z_T31NOW0153_MO_BS_accruedseverance" localSheetId="5">"Deleted"</definedName>
    <definedName name="z_T31NOW0153_MO_BS_Accumulatedothercomprehensiveincomeloss" localSheetId="5">"Deleted"</definedName>
    <definedName name="z_T31NOW0153_MO_BS_additionalpaidincapital" localSheetId="5">"Deleted"</definedName>
    <definedName name="z_T31NOW0153_MO_BS_BSCheck" localSheetId="5">"Deleted"</definedName>
    <definedName name="z_T31NOW0153_MO_BS_capitalleaseliabilities" localSheetId="5">"Deleted"</definedName>
    <definedName name="z_T31NOW0153_MO_BS_capitalleaseliabilities_1" localSheetId="5">"Deleted"</definedName>
    <definedName name="z_T31NOW0153_MO_BS_cashandcashequivalents" localSheetId="5">"Deleted"</definedName>
    <definedName name="z_T31NOW0153_MO_BS_CurrentAssets" localSheetId="5">"Deleted"</definedName>
    <definedName name="z_T31NOW0153_MO_BS_CurrentLiabilities" localSheetId="5">"Deleted"</definedName>
    <definedName name="z_T31NOW0153_MO_BS_Currentportionoftermdebt" localSheetId="5">"Deleted"</definedName>
    <definedName name="z_T31NOW0153_MO_BS_deferredrevenue" localSheetId="5">"Deleted"</definedName>
    <definedName name="z_T31NOW0153_MO_BS_deferredrevenue_1" localSheetId="5">"Deleted"</definedName>
    <definedName name="z_T31NOW0153_MO_BS_deferredtaxes" localSheetId="5">"Deleted"</definedName>
    <definedName name="z_T31NOW0153_MO_BS_Deferredtaxesandotherlongtermassets" localSheetId="5">"Deleted"</definedName>
    <definedName name="z_T31NOW0153_MO_BS_Goodwill" localSheetId="5">"Deleted"</definedName>
    <definedName name="z_T31NOW0153_MO_BS_Intangibleassets" localSheetId="5">"Deleted"</definedName>
    <definedName name="z_T31NOW0153_MO_BS_Inventories" localSheetId="5">"Deleted"</definedName>
    <definedName name="z_T31NOW0153_MO_BS_Leaseliabilities" localSheetId="5">"Deleted"</definedName>
    <definedName name="z_T31NOW0153_MO_BS_Leaseliabilities_1" localSheetId="5">"Deleted"</definedName>
    <definedName name="z_T31NOW0153_MO_BS_NCI" localSheetId="5">"Deleted"</definedName>
    <definedName name="z_T31NOW0153_MO_BS_NetIncomeonReportedISNIonRevised" localSheetId="5">"Deleted"</definedName>
    <definedName name="z_T31NOW0153_MO_BS_NetIncomeonRevisedISNIonCFstatement" localSheetId="5">"Deleted"</definedName>
    <definedName name="z_T31NOW0153_MO_BS_NonCurrentAssets" localSheetId="5">"Deleted"</definedName>
    <definedName name="z_T31NOW0153_MO_BS_NonCurrentLiabilities" localSheetId="5">"Deleted"</definedName>
    <definedName name="z_T31NOW0153_MO_BS_ordinaryshares" localSheetId="5">"Deleted"</definedName>
    <definedName name="z_T31NOW0153_MO_BS_Othercurrentassets" localSheetId="5">"Deleted"</definedName>
    <definedName name="z_T31NOW0153_MO_BS_Otherlongtermliabilities" localSheetId="5">"Deleted"</definedName>
    <definedName name="z_T31NOW0153_MO_BS_Propertyandequipment" localSheetId="5">"Deleted"</definedName>
    <definedName name="z_T31NOW0153_MO_BS_restrictedcash" localSheetId="5">"Deleted"</definedName>
    <definedName name="z_T31NOW0153_MO_BS_Restrictedcash_1" localSheetId="5">"Deleted"</definedName>
    <definedName name="z_T31NOW0153_MO_BS_retainedearnings" localSheetId="5">"Deleted"</definedName>
    <definedName name="z_T31NOW0153_MO_BS_Rightofuseassets" localSheetId="5">"Deleted"</definedName>
    <definedName name="z_T31NOW0153_MO_BS_severanceassets" localSheetId="5">"Deleted"</definedName>
    <definedName name="z_T31NOW0153_MO_BS_ShareholdersEquity" localSheetId="5">"Deleted"</definedName>
    <definedName name="z_T31NOW0153_MO_BS_shortterminvestments" localSheetId="5">"Deleted"</definedName>
    <definedName name="z_T31NOW0153_MO_BS_Termdebt" localSheetId="5">"Deleted"</definedName>
    <definedName name="z_T31NOW0153_MO_BS_TotalAssets" localSheetId="5">"Deleted"</definedName>
    <definedName name="z_T31NOW0153_MO_BS_TotalCurrentAssets" localSheetId="5">"Deleted"</definedName>
    <definedName name="z_T31NOW0153_MO_BS_TotalCurrentLiabilities" localSheetId="5">"Deleted"</definedName>
    <definedName name="z_T31NOW0153_MO_BS_TotalLiabilities" localSheetId="5">"Deleted"</definedName>
    <definedName name="z_T31NOW0153_MO_BS_TotalLiabilitiesSE" localSheetId="5">"Deleted"</definedName>
    <definedName name="z_T31NOW0153_MO_BS_TotalNonCurrentAssets" localSheetId="5">"Deleted"</definedName>
    <definedName name="z_T31NOW0153_MO_BS_TotalNonCurrentliabilities" localSheetId="5">"Deleted"</definedName>
    <definedName name="z_T31NOW0153_MO_BS_TotalSE" localSheetId="5">"Deleted"</definedName>
    <definedName name="z_T31NOW0153_MO_BSS_Cash" localSheetId="5">"Deleted"</definedName>
    <definedName name="z_T31NOW0153_MO_BSS_Debt" localSheetId="5">"Deleted"</definedName>
    <definedName name="z_T31NOW0153_MO_BSS_DebtCashFlow" localSheetId="5">"Deleted"</definedName>
    <definedName name="z_T31NOW0153_MO_BSS_DebtEBITDA" localSheetId="5">"Deleted"</definedName>
    <definedName name="z_T31NOW0153_MO_BSS_NetDebt" localSheetId="5">"Deleted"</definedName>
    <definedName name="z_T31NOW0153_MO_CCFS_accountspayable" localSheetId="5">"Deleted"</definedName>
    <definedName name="z_T31NOW0153_MO_CCFS_accountsreceivable" localSheetId="5">"Deleted"</definedName>
    <definedName name="z_T31NOW0153_MO_CCFS_Accruedliabilitiesandotherliabilities" localSheetId="5">"Deleted"</definedName>
    <definedName name="z_T31NOW0153_MO_CCFS_Acquisitionnetofcashacquired" localSheetId="5">"Deleted"</definedName>
    <definedName name="z_T31NOW0153_MO_CCFS_BeginningCashBalance" localSheetId="5">"Deleted"</definedName>
    <definedName name="z_T31NOW0153_MO_CCFS_CFF" localSheetId="5">"Deleted"</definedName>
    <definedName name="z_T31NOW0153_MO_CCFS_CFI" localSheetId="5">"Deleted"</definedName>
    <definedName name="z_T31NOW0153_MO_CCFS_CFO" localSheetId="5">"Deleted"</definedName>
    <definedName name="z_T31NOW0153_MO_CCFS_CFObeforeWC" localSheetId="5">"Deleted"</definedName>
    <definedName name="z_T31NOW0153_MO_CCFS_Debtissuancecosts" localSheetId="5">"Deleted"</definedName>
    <definedName name="z_T31NOW0153_MO_CCFS_deferredincometaxes" localSheetId="5">"Deleted"</definedName>
    <definedName name="z_T31NOW0153_MO_CCFS_depreciationandamortization" localSheetId="5">"Deleted"</definedName>
    <definedName name="z_T31NOW0153_MO_CCFS_Divestiture" localSheetId="5">"Deleted"</definedName>
    <definedName name="z_T31NOW0153_MO_CCFS_Dividendpaid" localSheetId="5">"Deleted"</definedName>
    <definedName name="z_T31NOW0153_MO_CCFS_EndingCashBalance" localSheetId="5">"Deleted"</definedName>
    <definedName name="z_T31NOW0153_MO_CCFS_excesstaxbenefitfromsbc" localSheetId="5">"Deleted"</definedName>
    <definedName name="z_T31NOW0153_MO_CCFS_excesstaxbenefitfromsharebasedcompensation" localSheetId="5">"Deleted"</definedName>
    <definedName name="z_T31NOW0153_MO_CCFS_FX" localSheetId="5">"Deleted"</definedName>
    <definedName name="z_T31NOW0153_MO_CCFS_Gainonsaleofaninvestmentinaprivatelyheldcompany" localSheetId="5">"Deleted"</definedName>
    <definedName name="z_T31NOW0153_MO_CCFS_Impairmentcharges" localSheetId="5">"Deleted"</definedName>
    <definedName name="z_T31NOW0153_MO_CCFS_inventories" localSheetId="5">"Deleted"</definedName>
    <definedName name="z_T31NOW0153_MO_CCFS_lossgainoninvestments" localSheetId="5">"Deleted"</definedName>
    <definedName name="z_T31NOW0153_MO_CCFS_Lossondisposalofpropertyandequipment" localSheetId="5">"Deleted"</definedName>
    <definedName name="z_T31NOW0153_MO_CCFS_NetCFF" localSheetId="5">"Deleted"</definedName>
    <definedName name="z_T31NOW0153_MO_CCFS_NetCFI" localSheetId="5">"Deleted"</definedName>
    <definedName name="z_T31NOW0153_MO_CCFS_NetCFO" localSheetId="5">"Deleted"</definedName>
    <definedName name="z_T31NOW0153_MO_CCFS_NetChangeinCashBalance" localSheetId="5">"Deleted"</definedName>
    <definedName name="z_T31NOW0153_MO_CCFS_netlossincome" localSheetId="5">"Deleted"</definedName>
    <definedName name="z_T31NOW0153_MO_CCFS_Prepaidexpensesandotherassets" localSheetId="5">"Deleted"</definedName>
    <definedName name="z_T31NOW0153_MO_CCFS_principalpaymentsoncapitalleaseobligations" localSheetId="5">"Deleted"</definedName>
    <definedName name="z_T31NOW0153_MO_CCFS_Principalpaymentsontermdebt" localSheetId="5">"Deleted"</definedName>
    <definedName name="z_T31NOW0153_MO_CCFS_Proceedsfrombanktermdebt" localSheetId="5">"Deleted"</definedName>
    <definedName name="z_T31NOW0153_MO_CCFS_proceedsfromexerciseofshareawards" localSheetId="5">"Deleted"</definedName>
    <definedName name="z_T31NOW0153_MO_CCFS_proceedsfrommaturitiesofshortterminvestments" localSheetId="5">"Deleted"</definedName>
    <definedName name="z_T31NOW0153_MO_CCFS_proceedsfrompublicoffering" localSheetId="5">"Deleted"</definedName>
    <definedName name="z_T31NOW0153_MO_CCFS_Proceedsfromsaleofaninvestmentinprivatelyheldcompanies" localSheetId="5">"Deleted"</definedName>
    <definedName name="z_T31NOW0153_MO_CCFS_proceedsfromsalesofshortterminvestments" localSheetId="5">"Deleted"</definedName>
    <definedName name="z_T31NOW0153_MO_CCFS_Purchaseofequityinvestmentsinprivatecompanies" localSheetId="5">"Deleted"</definedName>
    <definedName name="z_T31NOW0153_MO_CCFS_purchaseofintangibleassets" localSheetId="5">"Deleted"</definedName>
    <definedName name="z_T31NOW0153_MO_CCFS_purchaseofpropertyandequipment" localSheetId="5">"Deleted"</definedName>
    <definedName name="z_T31NOW0153_MO_CCFS_purchaseofseverancerelatedinsurancepolicies" localSheetId="5">"Deleted"</definedName>
    <definedName name="z_T31NOW0153_MO_CCFS_purchaseofshortterminvestments" localSheetId="5">"Deleted"</definedName>
    <definedName name="z_T31NOW0153_MO_CCFS_restrictedcash" localSheetId="5">"Deleted"</definedName>
    <definedName name="z_T31NOW0153_MO_CCFS_sharebasedcompensation" localSheetId="5">"Deleted"</definedName>
    <definedName name="z_T31NOW0153_MO_CFS_accountspayable" localSheetId="5">"Deleted"</definedName>
    <definedName name="z_T31NOW0153_MO_CFS_accountsreceivable" localSheetId="5">"Deleted"</definedName>
    <definedName name="z_T31NOW0153_MO_CFS_Accruedliabilitiesandotherliabilities" localSheetId="5">"Deleted"</definedName>
    <definedName name="z_T31NOW0153_MO_CFS_Acquisitionnetofcashacquired" localSheetId="5">"Deleted"</definedName>
    <definedName name="z_T31NOW0153_MO_CFS_BeginningCashBalance" localSheetId="5">"Deleted"</definedName>
    <definedName name="z_T31NOW0153_MO_CFS_CFCheck" localSheetId="5">"Deleted"</definedName>
    <definedName name="z_T31NOW0153_MO_CFS_CFF" localSheetId="5">"Deleted"</definedName>
    <definedName name="z_T31NOW0153_MO_CFS_CFI" localSheetId="5">"Deleted"</definedName>
    <definedName name="z_T31NOW0153_MO_CFS_CFO" localSheetId="5">"Deleted"</definedName>
    <definedName name="z_T31NOW0153_MO_CFS_CFObeforeWC" localSheetId="5">"Deleted"</definedName>
    <definedName name="z_T31NOW0153_MO_CFS_Debtissuancecosts" localSheetId="5">"Deleted"</definedName>
    <definedName name="z_T31NOW0153_MO_CFS_deferredincometaxes" localSheetId="5">"Deleted"</definedName>
    <definedName name="z_T31NOW0153_MO_CFS_depreciationandamortization" localSheetId="5">"Deleted"</definedName>
    <definedName name="z_T31NOW0153_MO_CFS_Divestiture" localSheetId="5">"Deleted"</definedName>
    <definedName name="z_T31NOW0153_MO_CFS_Dividendpaid" localSheetId="5">"Deleted"</definedName>
    <definedName name="z_T31NOW0153_MO_CFS_EndingCashBalance" localSheetId="5">"Deleted"</definedName>
    <definedName name="z_T31NOW0153_MO_CFS_excesstaxbenefitfromsbc" localSheetId="5">"Deleted"</definedName>
    <definedName name="z_T31NOW0153_MO_CFS_excesstaxbenefitfromsharebasedcompensation" localSheetId="5">"Deleted"</definedName>
    <definedName name="z_T31NOW0153_MO_CFS_FX" localSheetId="5">"Deleted"</definedName>
    <definedName name="z_T31NOW0153_MO_CFS_Gainonsaleofaninvestmentinaprivatelyheldcompany" localSheetId="5">"Deleted"</definedName>
    <definedName name="z_T31NOW0153_MO_CFS_Impairmentcharges" localSheetId="5">"Deleted"</definedName>
    <definedName name="z_T31NOW0153_MO_CFS_inventories" localSheetId="5">"Deleted"</definedName>
    <definedName name="z_T31NOW0153_MO_CFS_lossgainoninvestments" localSheetId="5">"Deleted"</definedName>
    <definedName name="z_T31NOW0153_MO_CFS_Lossondisposalofpropertyandequipment" localSheetId="5">"Deleted"</definedName>
    <definedName name="z_T31NOW0153_MO_CFS_NetCFF" localSheetId="5">"Deleted"</definedName>
    <definedName name="z_T31NOW0153_MO_CFS_NetCFI" localSheetId="5">"Deleted"</definedName>
    <definedName name="z_T31NOW0153_MO_CFS_NetCFO" localSheetId="5">"Deleted"</definedName>
    <definedName name="z_T31NOW0153_MO_CFS_NetChangeinCashBalance" localSheetId="5">"Deleted"</definedName>
    <definedName name="z_T31NOW0153_MO_CFS_netlossincome" localSheetId="5">"Deleted"</definedName>
    <definedName name="z_T31NOW0153_MO_CFS_Prepaidexpensesandotherassets" localSheetId="5">"Deleted"</definedName>
    <definedName name="z_T31NOW0153_MO_CFS_principalpaymentsoncapitalleaseobligations" localSheetId="5">"Deleted"</definedName>
    <definedName name="z_T31NOW0153_MO_CFS_Principalpaymentsontermdebt" localSheetId="5">"Deleted"</definedName>
    <definedName name="z_T31NOW0153_MO_CFS_Proceedsfrombanktermdebt" localSheetId="5">"Deleted"</definedName>
    <definedName name="z_T31NOW0153_MO_CFS_proceedsfromexerciseofshareawards" localSheetId="5">"Deleted"</definedName>
    <definedName name="z_T31NOW0153_MO_CFS_proceedsfrommaturitiesofshortterminvestments" localSheetId="5">"Deleted"</definedName>
    <definedName name="z_T31NOW0153_MO_CFS_proceedsfrompublicoffering" localSheetId="5">"Deleted"</definedName>
    <definedName name="z_T31NOW0153_MO_CFS_Proceedsfromsaleofaninvestmentinprivatelyheldcompanies" localSheetId="5">"Deleted"</definedName>
    <definedName name="z_T31NOW0153_MO_CFS_proceedsfromsalesofshortterminvestments" localSheetId="5">"Deleted"</definedName>
    <definedName name="z_T31NOW0153_MO_CFS_Purchaseofequityinvestmentsinprivatecompanies" localSheetId="5">"Deleted"</definedName>
    <definedName name="z_T31NOW0153_MO_CFS_purchaseofintangibleassets" localSheetId="5">"Deleted"</definedName>
    <definedName name="z_T31NOW0153_MO_CFS_purchaseofpropertyandequipment" localSheetId="5">"Deleted"</definedName>
    <definedName name="z_T31NOW0153_MO_CFS_purchaseofseverancerelatedinsurancepolicies" localSheetId="5">"Deleted"</definedName>
    <definedName name="z_T31NOW0153_MO_CFS_purchaseofshortterminvestments" localSheetId="5">"Deleted"</definedName>
    <definedName name="z_T31NOW0153_MO_CFS_restrictedcash" localSheetId="5">"Deleted"</definedName>
    <definedName name="z_T31NOW0153_MO_CFS_sharebasedcompensation" localSheetId="5">"Deleted"</definedName>
    <definedName name="z_T31NOW0153_MO_CFSum_Acquisitions" localSheetId="5">"Deleted"</definedName>
    <definedName name="z_T31NOW0153_MO_CFSum_Capex" localSheetId="5">"Deleted"</definedName>
    <definedName name="z_T31NOW0153_MO_CFSum_CashFlowPerDilutedShare" localSheetId="5">"Deleted"</definedName>
    <definedName name="z_T31NOW0153_MO_CFSum_ConsensusEstimatesCapex" localSheetId="5">"Deleted"</definedName>
    <definedName name="z_T31NOW0153_MO_CFSum_consensusestimatescashflowperdilutedshare" localSheetId="5">"Deleted"</definedName>
    <definedName name="z_T31NOW0153_MO_CFSum_Divestiture" localSheetId="5">"Deleted"</definedName>
    <definedName name="z_T31NOW0153_MO_CFSum_DividendPaid" localSheetId="5">"Deleted"</definedName>
    <definedName name="z_T31NOW0153_MO_CFSum_DividendPerShare" localSheetId="5">"Deleted"</definedName>
    <definedName name="z_T31NOW0153_MO_CFSum_FCF" localSheetId="5">"Deleted"</definedName>
    <definedName name="z_T31NOW0153_MO_CFSum_FCF_1" localSheetId="5">"Deleted"</definedName>
    <definedName name="z_T31NOW0153_MO_CFSum_FCF_2" localSheetId="5">"Deleted"</definedName>
    <definedName name="z_T31NOW0153_MO_CFSum_OperatingCashFlowbeforeWC" localSheetId="5">"Deleted"</definedName>
    <definedName name="z_T31NOW0153_MO_Header_ColumnHeader" localSheetId="5">"Deleted"</definedName>
    <definedName name="z_T31NOW0153_MO_Header_CompanySubTitle" localSheetId="5">"Deleted"</definedName>
    <definedName name="z_T31NOW0153_MO_Header_CompanyTitle" localSheetId="5">"Deleted"</definedName>
    <definedName name="z_T31NOW0153_MO_Header_FPDays" localSheetId="5">"Deleted"</definedName>
    <definedName name="z_T31NOW0153_MO_Header_QEndDate" localSheetId="5">"Deleted"</definedName>
    <definedName name="z_T31NOW0153_MO_IS_costofrevenues" localSheetId="5">"Deleted"</definedName>
    <definedName name="z_T31NOW0153_MO_IS_generalandadministrative" localSheetId="5">"Deleted"</definedName>
    <definedName name="z_T31NOW0153_MO_IS_grossprofit" localSheetId="5">"Deleted"</definedName>
    <definedName name="z_T31NOW0153_MO_IS_Impairmentoflonglivedassets" localSheetId="5">"Deleted"</definedName>
    <definedName name="z_T31NOW0153_MO_IS_interestexpense" localSheetId="5">"Deleted"</definedName>
    <definedName name="z_T31NOW0153_MO_IS_ISCheck" localSheetId="5">"Deleted"</definedName>
    <definedName name="z_T31NOW0153_MO_IS_lossincomebeforetaxesonincome" localSheetId="5">"Deleted"</definedName>
    <definedName name="z_T31NOW0153_MO_IS_lossincomefromoperations" localSheetId="5">"Deleted"</definedName>
    <definedName name="z_T31NOW0153_MO_IS_netlossincome" localSheetId="5">"Deleted"</definedName>
    <definedName name="z_T31NOW0153_MO_IS_Otherloss" localSheetId="5">"Deleted"</definedName>
    <definedName name="z_T31NOW0153_MO_IS_provisionfortaxesonincome" localSheetId="5">"Deleted"</definedName>
    <definedName name="z_T31NOW0153_MO_IS_researchanddevelopment" localSheetId="5">"Deleted"</definedName>
    <definedName name="z_T31NOW0153_MO_IS_Restructuringcharges" localSheetId="5">"Deleted"</definedName>
    <definedName name="z_T31NOW0153_MO_IS_salesandmarketing" localSheetId="5">"Deleted"</definedName>
    <definedName name="z_T31NOW0153_MO_IS_totaloperatingexpenses" localSheetId="5">"Deleted"</definedName>
    <definedName name="z_T31NOW0153_MO_IS_totalrevenues" localSheetId="5">"Deleted"</definedName>
    <definedName name="z_T31NOW0153_MO_MA_AdjustedEBITDAMargin" localSheetId="5">"Deleted"</definedName>
    <definedName name="z_T31NOW0153_MO_MA_AverageFXRate" localSheetId="5">"Deleted"</definedName>
    <definedName name="z_T31NOW0153_MO_MA_COGSMarginExcludingDAandSBC" localSheetId="5">"Deleted"</definedName>
    <definedName name="z_T31NOW0153_MO_MA_COGSMarginIncludingDAandSBC" localSheetId="5">"Deleted"</definedName>
    <definedName name="z_T31NOW0153_MO_MA_consensusestimatesadjustedebitdamargin" localSheetId="5">"Deleted"</definedName>
    <definedName name="z_T31NOW0153_MO_MA_consensusestimatesgrossmargin" localSheetId="5">"Deleted"</definedName>
    <definedName name="z_T31NOW0153_MO_MA_EBITDAMargin" localSheetId="5">"Deleted"</definedName>
    <definedName name="z_T31NOW0153_MO_MA_GAAPRDMargin" localSheetId="5">"Deleted"</definedName>
    <definedName name="z_T31NOW0153_MO_MA_GAAPSMMargin" localSheetId="5">"Deleted"</definedName>
    <definedName name="z_T31NOW0153_MO_MA_GAMarginadjforSBC" localSheetId="5">"Deleted"</definedName>
    <definedName name="z_T31NOW0153_MO_MA_GrossMarginExcludingDAandSBC" localSheetId="5">"Deleted"</definedName>
    <definedName name="z_T31NOW0153_MO_MA_GrossMarginIncludingDAandSBC" localSheetId="5">"Deleted"</definedName>
    <definedName name="z_T31NOW0153_MO_MA_NonGAAPSMMargin" localSheetId="5">"Deleted"</definedName>
    <definedName name="z_T31NOW0153_MO_MA_RDMarginadjforSBC" localSheetId="5">"Deleted"</definedName>
    <definedName name="z_T31NOW0153_MO_MA_SMMarginadjforSBC" localSheetId="5">"Deleted"</definedName>
    <definedName name="z_T31NOW0153_MO_MA_StockPriceTradingCurAvg" localSheetId="5">"Deleted"</definedName>
    <definedName name="z_T31NOW0153_MO_OS_Accountspayable" localSheetId="5">"Deleted"</definedName>
    <definedName name="z_T31NOW0153_MO_OS_AccountspayableYYChange" localSheetId="5">"Deleted"</definedName>
    <definedName name="z_T31NOW0153_MO_OS_Accountsreceivablenet" localSheetId="5">"Deleted"</definedName>
    <definedName name="z_T31NOW0153_MO_OS_AccountsreceivablenetYYChange" localSheetId="5">"Deleted"</definedName>
    <definedName name="z_T31NOW0153_MO_OS_Accruedliabilities" localSheetId="5">"Deleted"</definedName>
    <definedName name="z_T31NOW0153_MO_OS_AccruedliabilitiesYYChange" localSheetId="5">"Deleted"</definedName>
    <definedName name="z_T31NOW0153_MO_OS_boardsrevenue" localSheetId="5">"Deleted"</definedName>
    <definedName name="z_T31NOW0153_MO_OS_boardsrevenuegrowth" localSheetId="5">"Deleted"</definedName>
    <definedName name="z_T31NOW0153_MO_OS_CablesAccessoriesandOtherRevenue" localSheetId="5">"Deleted"</definedName>
    <definedName name="z_T31NOW0153_MO_OS_CablesAccessoriesandOtherRevenueGrowth" localSheetId="5">"Deleted"</definedName>
    <definedName name="z_T31NOW0153_MO_OS_ddrrevenue" localSheetId="5">"Deleted"</definedName>
    <definedName name="z_T31NOW0153_MO_OS_ddrsdrrevenue" localSheetId="5">"Deleted"</definedName>
    <definedName name="z_T31NOW0153_MO_OS_dell" localSheetId="5">"Deleted"</definedName>
    <definedName name="z_T31NOW0153_MO_OS_edrrevenue" localSheetId="5">"Deleted"</definedName>
    <definedName name="z_T31NOW0153_MO_OS_ethernetrevenue" localSheetId="5">"Deleted"</definedName>
    <definedName name="z_T31NOW0153_MO_OS_fdrrevenue" localSheetId="5">"Deleted"</definedName>
    <definedName name="z_T31NOW0153_MO_OS_HDRRevenue" localSheetId="5">"Deleted"</definedName>
    <definedName name="z_T31NOW0153_MO_OS_hewlettpackard" localSheetId="5">"Deleted"</definedName>
    <definedName name="z_T31NOW0153_MO_OS_ibm" localSheetId="5">"Deleted"</definedName>
    <definedName name="z_T31NOW0153_MO_OS_icsrevenue" localSheetId="5">"Deleted"</definedName>
    <definedName name="z_T31NOW0153_MO_OS_icsrevenuegrowth" localSheetId="5">"Deleted"</definedName>
    <definedName name="z_T31NOW0153_MO_OS_Inventories" localSheetId="5">"Deleted"</definedName>
    <definedName name="z_T31NOW0153_MO_OS_InventoriesYYChange" localSheetId="5">"Deleted"</definedName>
    <definedName name="z_T31NOW0153_MO_OS_OtherRevenue" localSheetId="5">"Deleted"</definedName>
    <definedName name="z_T31NOW0153_MO_OS_qdrrevenue" localSheetId="5">"Deleted"</definedName>
    <definedName name="z_T31NOW0153_MO_OS_sdrrevenue" localSheetId="5">"Deleted"</definedName>
    <definedName name="z_T31NOW0153_MO_OS_switchandgatewaysystemsrevenue" localSheetId="5">"Deleted"</definedName>
    <definedName name="z_T31NOW0153_MO_OS_switchandgatewaysystemsrevenuegrowth" localSheetId="5">"Deleted"</definedName>
    <definedName name="z_T31NOW0153_MO_OS_totalinfinibandrevenue" localSheetId="5">"Deleted"</definedName>
    <definedName name="z_T31NOW0153_MO_OS_totalrevenue" localSheetId="5">"Deleted"</definedName>
    <definedName name="z_T31NOW0153_MO_OS_totalrevenue_1" localSheetId="5">"Deleted"</definedName>
    <definedName name="z_T31NOW0153_MO_OS_TotalRevenueGrowth" localSheetId="5">"Deleted"</definedName>
    <definedName name="z_T31NOW0153_MO_RIS_AcquisitionrelatedchargesCOGS" localSheetId="5">"Deleted"</definedName>
    <definedName name="z_T31NOW0153_MO_RIS_AcquisitionrelatedchargesGA" localSheetId="5">"Deleted"</definedName>
    <definedName name="z_T31NOW0153_MO_RIS_AcquisitionrelatedchargesRD" localSheetId="5">"Deleted"</definedName>
    <definedName name="z_T31NOW0153_MO_RIS_AcquisitionrelatedchargesSM" localSheetId="5">"Deleted"</definedName>
    <definedName name="z_T31NOW0153_MO_RIS_AdjustedEarningsPerShareWAD" localSheetId="5">"Deleted"</definedName>
    <definedName name="z_T31NOW0153_MO_RIS_AdjustedEBITDANoAdjustments" localSheetId="5">"Deleted"</definedName>
    <definedName name="z_T31NOW0153_MO_RIS_AdjustedNetIncome" localSheetId="5">"Deleted"</definedName>
    <definedName name="z_T31NOW0153_MO_RIS_AdjustedSharesOutstandingWAD" localSheetId="5">"Deleted"</definedName>
    <definedName name="z_T31NOW0153_MO_RIS_AdjustmentsforConvertibleSecurities" localSheetId="5">"Deleted"</definedName>
    <definedName name="z_T31NOW0153_MO_RIS_AmortizationofIntangiblesCOGS" localSheetId="5">"Deleted"</definedName>
    <definedName name="z_T31NOW0153_MO_RIS_AmortizationofIntangiblesRD" localSheetId="5">"Deleted"</definedName>
    <definedName name="z_T31NOW0153_MO_RIS_AmortizationofIntangiblesSM" localSheetId="5">"Deleted"</definedName>
    <definedName name="z_T31NOW0153_MO_RIS_COGSadjforDAandSBC" localSheetId="5">"Deleted"</definedName>
    <definedName name="z_T31NOW0153_MO_RIS_CompanyReportedNonGAAPOperatingIncome" localSheetId="5">"Deleted"</definedName>
    <definedName name="z_T31NOW0153_MO_RIS_consensusestimatesadjustedearningspersharewad" localSheetId="5">"Deleted"</definedName>
    <definedName name="z_T31NOW0153_MO_RIS_consensusestimatesadjustedebitda" localSheetId="5">"Deleted"</definedName>
    <definedName name="z_T31NOW0153_MO_RIS_consensusestimatesnetrevenue" localSheetId="5">"Deleted"</definedName>
    <definedName name="z_T31NOW0153_MO_RIS_ConsensusEstimatesNonGAAPAdjustedEarningsPerShareWAD" localSheetId="5">"Deleted"</definedName>
    <definedName name="z_T31NOW0153_MO_RIS_ConsensusEstimatesNonGAAPEBITDA" localSheetId="5">"Deleted"</definedName>
    <definedName name="z_T31NOW0153_MO_RIS_Currenttax" localSheetId="5">"Deleted"</definedName>
    <definedName name="z_T31NOW0153_MO_RIS_Currenttaxrate" localSheetId="5">"Deleted"</definedName>
    <definedName name="z_T31NOW0153_MO_RIS_DA" localSheetId="5">"Deleted"</definedName>
    <definedName name="z_T31NOW0153_MO_RIS_DeferredIncomeTaxasofNonGAAPTaxes" localSheetId="5">"Deleted"</definedName>
    <definedName name="z_T31NOW0153_MO_RIS_Deferredtax" localSheetId="5">"Deleted"</definedName>
    <definedName name="z_T31NOW0153_MO_RIS_Deferredtaxrate" localSheetId="5">"Deleted"</definedName>
    <definedName name="z_T31NOW0153_MO_RIS_DilutedNetIncometoCommonShareholders" localSheetId="5">"Deleted"</definedName>
    <definedName name="z_T31NOW0153_MO_RIS_DiscontinuedOperations">"Deleted"</definedName>
    <definedName name="z_T31NOW0153_MO_RIS_EarningsPerShareWAB" localSheetId="5">"Deleted"</definedName>
    <definedName name="z_T31NOW0153_MO_RIS_EarningsPerShareWAD" localSheetId="5">"Deleted"</definedName>
    <definedName name="z_T31NOW0153_MO_RIS_EBIT" localSheetId="5">"Deleted"</definedName>
    <definedName name="z_T31NOW0153_MO_RIS_EBITDA" localSheetId="5">"Deleted"</definedName>
    <definedName name="z_T31NOW0153_MO_RIS_EBT" localSheetId="5">"Deleted"</definedName>
    <definedName name="z_T31NOW0153_MO_RIS_GAadjforSBC" localSheetId="5">"Deleted"</definedName>
    <definedName name="z_T31NOW0153_MO_RIS_GAAPEarningsPerShareWAB" localSheetId="5">"Deleted"</definedName>
    <definedName name="z_T31NOW0153_MO_RIS_GAAPEarningsPerShareWAD" localSheetId="5">"Deleted"</definedName>
    <definedName name="z_T31NOW0153_MO_RIS_GAAPGA" localSheetId="5">"Deleted"</definedName>
    <definedName name="z_T31NOW0153_MO_RIS_GAAPSM" localSheetId="5">"Deleted"</definedName>
    <definedName name="z_T31NOW0153_MO_RIS_GrossProfit" localSheetId="5">"Deleted"</definedName>
    <definedName name="z_T31NOW0153_MO_RIS_Interestexpense" localSheetId="5">"Deleted"</definedName>
    <definedName name="z_T31NOW0153_MO_RIS_NetIncomefromContinuedOperation" localSheetId="5">"Deleted"</definedName>
    <definedName name="z_T31NOW0153_MO_RIS_NetIncometoCommonShareholders" localSheetId="5">"Deleted"</definedName>
    <definedName name="z_T31NOW0153_MO_RIS_NetIncometoNCI" localSheetId="5">"Deleted"</definedName>
    <definedName name="z_T31NOW0153_MO_RIS_NetRevenue" localSheetId="5">"Deleted"</definedName>
    <definedName name="z_T31NOW0153_MO_RIS_NonGAAPAdjustedEarningsPerShareWAD" localSheetId="5">"Deleted"</definedName>
    <definedName name="z_T31NOW0153_MO_RIS_NonGAAPAdjustments" localSheetId="5">"Deleted"</definedName>
    <definedName name="z_T31NOW0153_MO_RIS_NonGAAPAdjustmentsforDilutiveSecurities" localSheetId="5">"Deleted"</definedName>
    <definedName name="z_T31NOW0153_MO_RIS_NonGAAPNetIncometocommonshareholders" localSheetId="5">"Deleted"</definedName>
    <definedName name="z_T31NOW0153_MO_RIS_NonGAAPTaxRate" localSheetId="5">"Deleted"</definedName>
    <definedName name="z_T31NOW0153_MO_RIS_Onetimeitem" localSheetId="5">"Deleted"</definedName>
    <definedName name="z_T31NOW0153_MO_RIS_OtherAdjustments" localSheetId="5">"Deleted"</definedName>
    <definedName name="z_T31NOW0153_MO_RIS_Otheritems" localSheetId="5">"Deleted"</definedName>
    <definedName name="z_T31NOW0153_MO_RIS_Others" localSheetId="5">"Deleted"</definedName>
    <definedName name="z_T31NOW0153_MO_RIS_RDadjforSBC" localSheetId="5">"Deleted"</definedName>
    <definedName name="z_T31NOW0153_MO_RIS_SBC">"Deleted"</definedName>
    <definedName name="z_T31NOW0153_MO_RIS_SharesOutstandingWAB" localSheetId="5">"Deleted"</definedName>
    <definedName name="z_T31NOW0153_MO_RIS_SharesOutstandingWAD" localSheetId="5">"Deleted"</definedName>
    <definedName name="z_T31NOW0153_MO_RIS_SMadjforSBC" localSheetId="5">"Deleted"</definedName>
    <definedName name="z_T31NOW0153_MO_Section_AN_AdjustedNumbers" localSheetId="5">"Deleted"</definedName>
    <definedName name="z_T31NOW0153_MO_Section_BS_BalanceSheet" localSheetId="5">"Deleted"</definedName>
    <definedName name="z_T31NOW0153_MO_Section_BS_ModelChecks" localSheetId="5">"Deleted"</definedName>
    <definedName name="z_T31NOW0153_MO_Section_BSS_BalanceSheetSummary" localSheetId="5">"Deleted"</definedName>
    <definedName name="z_T31NOW0153_MO_Section_CCFS_CumulativeCashFlowStatement" localSheetId="5">"Deleted"</definedName>
    <definedName name="z_T31NOW0153_MO_Section_CFS_CashFlowStatement" localSheetId="5">"Deleted"</definedName>
    <definedName name="z_T31NOW0153_MO_Section_CFSum_CashFlowSummary" localSheetId="5">"Deleted"</definedName>
    <definedName name="z_T31NOW0153_MO_Section_GA_GrowthAnalysis" localSheetId="5">"Deleted"</definedName>
    <definedName name="z_T31NOW0153_MO_Section_IS_IncomeStatement" localSheetId="5">"Deleted"</definedName>
    <definedName name="z_T31NOW0153_MO_Section_MA_MarginAnalysis" localSheetId="5">"Deleted"</definedName>
    <definedName name="z_T31NOW0153_MO_Section_OS_KeyMetricsMajorCustomerswithRevenues10FS" localSheetId="5">"Deleted"</definedName>
    <definedName name="z_T31NOW0153_MO_Section_OS_SegmentedResultsRevenueBreakdownInterconnectProtocolandDataRateFS" localSheetId="5">"Deleted"</definedName>
    <definedName name="z_T31NOW0153_MO_Section_OS_SegmentedResultsRevenueBreakdownProductCategoryFS" localSheetId="5">"Deleted"</definedName>
    <definedName name="z_T31NOW0153_MO_Section_OS_WorkingCapitalForecasting" localSheetId="5">"Deleted"</definedName>
    <definedName name="z_T31NOW0153_MO_Section_RIS_RevisedIncomeStatement" localSheetId="5">"Deleted"</definedName>
    <definedName name="z_T31NOW0153_MO_Section_TB_Tables" localSheetId="5">"Deleted"</definedName>
    <definedName name="z_T31NOW0153_MO_Section_VA_Valuation" localSheetId="5">"Deleted"</definedName>
    <definedName name="z_T31NOW0153_MO_VA_EnterpriseValueAverage" localSheetId="5">"Deleted"</definedName>
    <definedName name="z_T31NOW0153_MO_VA_EnterpriseValueAvg">"Deleted"</definedName>
    <definedName name="z_T31NOW0153_MO_VA_enterprisevaluecomponents" localSheetId="5">"Deleted"</definedName>
    <definedName name="z_T31NOW0153_MO_VA_EnterpriseValueHigh">"Deleted"</definedName>
    <definedName name="z_T31NOW0153_MO_VA_EnterpriseValueLow">"Deleted"</definedName>
    <definedName name="z_T31NOW0153_MO_VA_EVEBITDAAverage" localSheetId="5">"Deleted"</definedName>
    <definedName name="z_T31NOW0153_MO_VA_FCFYieldtoAverageEnterpriseValue" localSheetId="5">"Deleted"</definedName>
    <definedName name="z_T31NOW0153_MO_VA_FCFYieldtoAverageMarketCap" localSheetId="5">"Deleted"</definedName>
    <definedName name="z_T31NOW0153_MO_VA_MarketCapAverage" localSheetId="5">"Deleted"</definedName>
    <definedName name="z_T31NOW0153_MO_VA_MarketCapAvg">"Deleted"</definedName>
    <definedName name="z_T31NOW0153_MO_VA_MarketCapHigh">"Deleted"</definedName>
    <definedName name="z_T31NOW0153_MO_VA_MarketCapLow">"Deleted"</definedName>
    <definedName name="z_T31NOW0153_MO_VA_NoncontrollingInterest" localSheetId="5">"Deleted"</definedName>
    <definedName name="z_T31NOW0153_MO_VA_OtherEVComponents" localSheetId="5">"Deleted"</definedName>
    <definedName name="z_T31NOW0153_MO_VA_PCFAverage" localSheetId="5">"Deleted"</definedName>
    <definedName name="z_T31NOW0153_MO_VA_PEAverage" localSheetId="5">"Deleted"</definedName>
    <definedName name="z_T31NOW0153_MO_VA_PreferredShares" localSheetId="5">"Deleted"</definedName>
    <definedName name="z_T31NOW0153_MO_VA_StockAvg" localSheetId="5">"Deleted"</definedName>
    <definedName name="z_T31NOW0153_MO_VA_StockHigh" localSheetId="5">"Deleted"</definedName>
    <definedName name="z_T31NOW0153_MO_VA_StockLow" localSheetId="5">"Deleted"</definedName>
    <definedName name="z_T31NOW0153_MO_VA_StockPriceAverage" localSheetId="5">"Deleted"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9" i="11" l="1"/>
  <c r="A441" i="11"/>
  <c r="A442" i="11"/>
  <c r="C450" i="11"/>
  <c r="D450" i="11"/>
  <c r="E450" i="11"/>
  <c r="F450" i="11"/>
  <c r="G450" i="11"/>
  <c r="H450" i="11"/>
  <c r="I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I450" i="11"/>
  <c r="AJ450" i="11"/>
  <c r="AK450" i="11"/>
  <c r="AL450" i="11"/>
  <c r="AM450" i="11"/>
  <c r="AN450" i="11"/>
  <c r="AO450" i="11"/>
  <c r="AP450" i="11"/>
  <c r="AQ450" i="11"/>
  <c r="AR450" i="11"/>
  <c r="AS450" i="11"/>
  <c r="AT450" i="11"/>
  <c r="AU450" i="11"/>
  <c r="AV450" i="11"/>
  <c r="AW450" i="11"/>
  <c r="AM473" i="11"/>
  <c r="AN473" i="11"/>
  <c r="AO473" i="11"/>
  <c r="AP473" i="11"/>
  <c r="AQ473" i="11"/>
  <c r="AR473" i="11"/>
  <c r="AS473" i="11"/>
  <c r="AT473" i="11"/>
  <c r="AU473" i="11"/>
  <c r="AV473" i="11"/>
  <c r="AW473" i="11"/>
  <c r="C477" i="11"/>
  <c r="D477" i="11"/>
  <c r="E477" i="11"/>
  <c r="F477" i="11"/>
  <c r="G477" i="11"/>
  <c r="H477" i="11"/>
  <c r="I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I477" i="11"/>
  <c r="AJ477" i="11"/>
  <c r="AK477" i="11"/>
  <c r="AL477" i="11"/>
  <c r="AM477" i="11"/>
  <c r="AN477" i="11"/>
  <c r="AO477" i="11"/>
  <c r="AP477" i="11"/>
  <c r="AQ477" i="11"/>
  <c r="AR477" i="11"/>
  <c r="AS477" i="11"/>
  <c r="AT477" i="11"/>
  <c r="AU477" i="11"/>
  <c r="AV477" i="11"/>
  <c r="AW477" i="11"/>
  <c r="B481" i="11"/>
  <c r="B482" i="11"/>
  <c r="B483" i="11"/>
  <c r="B488" i="11"/>
  <c r="B490" i="11"/>
  <c r="A1061" i="1"/>
  <c r="A1062" i="1"/>
  <c r="A1063" i="1"/>
  <c r="BZ1095" i="1"/>
  <c r="CA1095" i="1"/>
  <c r="CB1095" i="1"/>
  <c r="CC1095" i="1"/>
  <c r="CD1095" i="1"/>
  <c r="CE1095" i="1"/>
  <c r="CF1095" i="1"/>
  <c r="CG1095" i="1"/>
  <c r="CH1095" i="1"/>
  <c r="CI1095" i="1"/>
  <c r="CJ1095" i="1"/>
  <c r="CK1095" i="1"/>
  <c r="BZ1096" i="1"/>
  <c r="CA1096" i="1"/>
  <c r="CB1096" i="1"/>
  <c r="CC1096" i="1"/>
  <c r="CD1096" i="1"/>
  <c r="CE1096" i="1"/>
  <c r="CF1096" i="1"/>
  <c r="CG1096" i="1"/>
  <c r="CH1096" i="1"/>
  <c r="CI1096" i="1"/>
  <c r="CJ1096" i="1"/>
  <c r="CK1096" i="1"/>
  <c r="BZ1097" i="1"/>
  <c r="CA1097" i="1"/>
  <c r="CB1097" i="1"/>
  <c r="CC1097" i="1"/>
  <c r="CD1097" i="1"/>
  <c r="CE1097" i="1"/>
  <c r="CF1097" i="1"/>
  <c r="CG1097" i="1"/>
  <c r="CH1097" i="1"/>
  <c r="CI1097" i="1"/>
  <c r="CJ1097" i="1"/>
  <c r="CK1097" i="1"/>
  <c r="BZ1098" i="1"/>
  <c r="CA1098" i="1"/>
  <c r="CB1098" i="1"/>
  <c r="CC1098" i="1"/>
  <c r="CD1098" i="1"/>
  <c r="CE1098" i="1"/>
  <c r="CF1098" i="1"/>
  <c r="CG1098" i="1"/>
  <c r="CH1098" i="1"/>
  <c r="CI1098" i="1"/>
  <c r="CJ1098" i="1"/>
  <c r="CK1098" i="1"/>
  <c r="BZ1099" i="1"/>
  <c r="CA1099" i="1"/>
  <c r="CB1099" i="1"/>
  <c r="CC1099" i="1"/>
  <c r="CD1099" i="1"/>
  <c r="CE1099" i="1"/>
  <c r="CF1099" i="1"/>
  <c r="CG1099" i="1"/>
  <c r="CH1099" i="1"/>
  <c r="CI1099" i="1"/>
  <c r="CJ1099" i="1"/>
  <c r="CK1099" i="1"/>
  <c r="BZ1100" i="1"/>
  <c r="CA1100" i="1"/>
  <c r="CB1100" i="1"/>
  <c r="CC1100" i="1"/>
  <c r="CD1100" i="1"/>
  <c r="CE1100" i="1"/>
  <c r="CF1100" i="1"/>
  <c r="CG1100" i="1"/>
  <c r="CH1100" i="1"/>
  <c r="CI1100" i="1"/>
  <c r="CJ1100" i="1"/>
  <c r="CK1100" i="1"/>
  <c r="BZ1101" i="1"/>
  <c r="CA1101" i="1"/>
  <c r="CB1101" i="1"/>
  <c r="CC1101" i="1"/>
  <c r="CD1101" i="1"/>
  <c r="CE1101" i="1"/>
  <c r="CF1101" i="1"/>
  <c r="CG1101" i="1"/>
  <c r="CH1101" i="1"/>
  <c r="CI1101" i="1"/>
  <c r="CJ1101" i="1"/>
  <c r="CK1101" i="1"/>
  <c r="BZ1102" i="1"/>
  <c r="CA1102" i="1"/>
  <c r="CB1102" i="1"/>
  <c r="CC1102" i="1"/>
  <c r="CD1102" i="1"/>
  <c r="CE1102" i="1"/>
  <c r="CF1102" i="1"/>
  <c r="CG1102" i="1"/>
  <c r="CH1102" i="1"/>
  <c r="CI1102" i="1"/>
  <c r="CJ1102" i="1"/>
  <c r="CK1102" i="1"/>
  <c r="BZ1103" i="1"/>
  <c r="CA1103" i="1"/>
  <c r="CB1103" i="1"/>
  <c r="CC1103" i="1"/>
  <c r="CD1103" i="1"/>
  <c r="CE1103" i="1"/>
  <c r="CF1103" i="1"/>
  <c r="CG1103" i="1"/>
  <c r="CH1103" i="1"/>
  <c r="CI1103" i="1"/>
  <c r="CJ1103" i="1"/>
  <c r="CK1103" i="1"/>
  <c r="BZ1104" i="1"/>
  <c r="CA1104" i="1"/>
  <c r="CB1104" i="1"/>
  <c r="CC1104" i="1"/>
  <c r="CD1104" i="1"/>
  <c r="CE1104" i="1"/>
  <c r="CF1104" i="1"/>
  <c r="CG1104" i="1"/>
  <c r="CH1104" i="1"/>
  <c r="CI1104" i="1"/>
  <c r="CJ1104" i="1"/>
  <c r="CK1104" i="1"/>
  <c r="BZ1105" i="1"/>
  <c r="CA1105" i="1"/>
  <c r="CB1105" i="1"/>
  <c r="CC1105" i="1"/>
  <c r="CD1105" i="1"/>
  <c r="CE1105" i="1"/>
  <c r="CF1105" i="1"/>
  <c r="CG1105" i="1"/>
  <c r="CH1105" i="1"/>
  <c r="CI1105" i="1"/>
  <c r="CJ1105" i="1"/>
  <c r="CK1105" i="1"/>
  <c r="BZ1106" i="1"/>
  <c r="CA1106" i="1"/>
  <c r="CB1106" i="1"/>
  <c r="CC1106" i="1"/>
  <c r="CD1106" i="1"/>
  <c r="CE1106" i="1"/>
  <c r="CF1106" i="1"/>
  <c r="CG1106" i="1"/>
  <c r="CH1106" i="1"/>
  <c r="CI1106" i="1"/>
  <c r="CJ1106" i="1"/>
  <c r="CK1106" i="1"/>
  <c r="AH1110" i="1"/>
  <c r="AI1110" i="1"/>
  <c r="AJ1110" i="1"/>
  <c r="AK1110" i="1"/>
  <c r="AL1110" i="1"/>
  <c r="AM1110" i="1"/>
  <c r="AN1110" i="1"/>
  <c r="AO1110" i="1"/>
  <c r="AP1110" i="1"/>
  <c r="AQ1110" i="1"/>
  <c r="AR1110" i="1"/>
  <c r="AS1110" i="1"/>
  <c r="AT1110" i="1"/>
  <c r="AU1110" i="1"/>
  <c r="AV1110" i="1"/>
  <c r="AW1110" i="1"/>
  <c r="AX1110" i="1"/>
  <c r="AY1110" i="1"/>
  <c r="AZ1110" i="1"/>
  <c r="BA1110" i="1"/>
  <c r="BB1110" i="1"/>
  <c r="BC1110" i="1"/>
  <c r="BD1110" i="1"/>
  <c r="BE1110" i="1"/>
  <c r="BF1110" i="1"/>
  <c r="BG1110" i="1"/>
  <c r="BH1110" i="1"/>
  <c r="BI1110" i="1"/>
  <c r="BJ1110" i="1"/>
  <c r="BK1110" i="1"/>
  <c r="BL1110" i="1"/>
  <c r="BM1110" i="1"/>
  <c r="BN1110" i="1"/>
  <c r="BO1110" i="1"/>
  <c r="BP1110" i="1"/>
  <c r="BQ1110" i="1"/>
  <c r="BR1110" i="1"/>
  <c r="BS1110" i="1"/>
  <c r="BT1110" i="1"/>
  <c r="BU1110" i="1"/>
  <c r="BV1110" i="1"/>
  <c r="BW1110" i="1"/>
  <c r="BX1110" i="1"/>
  <c r="BY1110" i="1"/>
  <c r="BZ1113" i="1"/>
  <c r="CA1113" i="1"/>
  <c r="CB1113" i="1"/>
  <c r="CC1113" i="1"/>
  <c r="CD1113" i="1"/>
  <c r="CE1113" i="1"/>
  <c r="CF1113" i="1"/>
  <c r="CG1113" i="1"/>
  <c r="CH1113" i="1"/>
  <c r="CI1113" i="1"/>
  <c r="CJ1113" i="1"/>
  <c r="CK1113" i="1"/>
  <c r="BZ1114" i="1"/>
  <c r="CA1114" i="1"/>
  <c r="CB1114" i="1"/>
  <c r="CC1114" i="1"/>
  <c r="CD1114" i="1"/>
  <c r="CE1114" i="1"/>
  <c r="CF1114" i="1"/>
  <c r="CG1114" i="1"/>
  <c r="CH1114" i="1"/>
  <c r="CI1114" i="1"/>
  <c r="CJ1114" i="1"/>
  <c r="CK1114" i="1"/>
  <c r="BZ1115" i="1"/>
  <c r="CA1115" i="1"/>
  <c r="CB1115" i="1"/>
  <c r="CC1115" i="1"/>
  <c r="CD1115" i="1"/>
  <c r="CE1115" i="1"/>
  <c r="CF1115" i="1"/>
  <c r="CG1115" i="1"/>
  <c r="CH1115" i="1"/>
  <c r="CI1115" i="1"/>
  <c r="CJ1115" i="1"/>
  <c r="CK1115" i="1"/>
  <c r="BZ1116" i="1"/>
  <c r="CA1116" i="1"/>
  <c r="CB1116" i="1"/>
  <c r="CC1116" i="1"/>
  <c r="CD1116" i="1"/>
  <c r="CE1116" i="1"/>
  <c r="CF1116" i="1"/>
  <c r="CG1116" i="1"/>
  <c r="CH1116" i="1"/>
  <c r="CI1116" i="1"/>
  <c r="CJ1116" i="1"/>
  <c r="CK1116" i="1"/>
  <c r="BZ1117" i="1"/>
  <c r="CA1117" i="1"/>
  <c r="CB1117" i="1"/>
  <c r="CC1117" i="1"/>
  <c r="CD1117" i="1"/>
  <c r="CE1117" i="1"/>
  <c r="CF1117" i="1"/>
  <c r="CG1117" i="1"/>
  <c r="CH1117" i="1"/>
  <c r="CI1117" i="1"/>
  <c r="CJ1117" i="1"/>
  <c r="CK1117" i="1"/>
  <c r="BZ1118" i="1"/>
  <c r="CA1118" i="1"/>
  <c r="CB1118" i="1"/>
  <c r="CC1118" i="1"/>
  <c r="CD1118" i="1"/>
  <c r="CE1118" i="1"/>
  <c r="CF1118" i="1"/>
  <c r="CG1118" i="1"/>
  <c r="CH1118" i="1"/>
  <c r="CI1118" i="1"/>
  <c r="CJ1118" i="1"/>
  <c r="CK1118" i="1"/>
  <c r="BZ1119" i="1"/>
  <c r="CA1119" i="1"/>
  <c r="CB1119" i="1"/>
  <c r="CC1119" i="1"/>
  <c r="CD1119" i="1"/>
  <c r="CE1119" i="1"/>
  <c r="CF1119" i="1"/>
  <c r="CG1119" i="1"/>
  <c r="CH1119" i="1"/>
  <c r="CI1119" i="1"/>
  <c r="CJ1119" i="1"/>
  <c r="CK1119" i="1"/>
  <c r="BZ1120" i="1"/>
  <c r="CA1120" i="1"/>
  <c r="CB1120" i="1"/>
  <c r="CC1120" i="1"/>
  <c r="CD1120" i="1"/>
  <c r="CE1120" i="1"/>
  <c r="CF1120" i="1"/>
  <c r="CG1120" i="1"/>
  <c r="CH1120" i="1"/>
  <c r="CI1120" i="1"/>
  <c r="CJ1120" i="1"/>
  <c r="CK1120" i="1"/>
  <c r="BZ1121" i="1"/>
  <c r="CA1121" i="1"/>
  <c r="CB1121" i="1"/>
  <c r="CC1121" i="1"/>
  <c r="CD1121" i="1"/>
  <c r="CE1121" i="1"/>
  <c r="CF1121" i="1"/>
  <c r="CG1121" i="1"/>
  <c r="CH1121" i="1"/>
  <c r="CI1121" i="1"/>
  <c r="CJ1121" i="1"/>
  <c r="CK1121" i="1"/>
  <c r="BZ1122" i="1"/>
  <c r="CA1122" i="1"/>
  <c r="CB1122" i="1"/>
  <c r="CC1122" i="1"/>
  <c r="CD1122" i="1"/>
  <c r="CE1122" i="1"/>
  <c r="CF1122" i="1"/>
  <c r="CG1122" i="1"/>
  <c r="CH1122" i="1"/>
  <c r="CI1122" i="1"/>
  <c r="CJ1122" i="1"/>
  <c r="CK1122" i="1"/>
  <c r="BZ1123" i="1"/>
  <c r="CA1123" i="1"/>
  <c r="CB1123" i="1"/>
  <c r="CC1123" i="1"/>
  <c r="CD1123" i="1"/>
  <c r="CE1123" i="1"/>
  <c r="CF1123" i="1"/>
  <c r="CG1123" i="1"/>
  <c r="CH1123" i="1"/>
  <c r="CI1123" i="1"/>
  <c r="CJ1123" i="1"/>
  <c r="CK1123" i="1"/>
  <c r="BZ1124" i="1"/>
  <c r="CA1124" i="1"/>
  <c r="CB1124" i="1"/>
  <c r="CC1124" i="1"/>
  <c r="CD1124" i="1"/>
  <c r="CE1124" i="1"/>
  <c r="CF1124" i="1"/>
  <c r="CG1124" i="1"/>
  <c r="CH1124" i="1"/>
  <c r="CI1124" i="1"/>
  <c r="CJ1124" i="1"/>
  <c r="CK1124" i="1"/>
  <c r="A1130" i="1"/>
  <c r="A1135" i="1"/>
  <c r="C1141" i="1"/>
  <c r="D1141" i="1"/>
  <c r="E1141" i="1"/>
  <c r="F1141" i="1"/>
  <c r="G1141" i="1"/>
  <c r="H1141" i="1"/>
  <c r="I1141" i="1"/>
  <c r="J1141" i="1"/>
  <c r="K1141" i="1"/>
  <c r="L1141" i="1"/>
  <c r="M1141" i="1"/>
  <c r="N1141" i="1"/>
  <c r="O1141" i="1"/>
  <c r="P1141" i="1"/>
  <c r="Q1141" i="1"/>
  <c r="R1141" i="1"/>
  <c r="S1141" i="1"/>
  <c r="T1141" i="1"/>
  <c r="U1141" i="1"/>
  <c r="V1141" i="1"/>
  <c r="W1141" i="1"/>
  <c r="X1141" i="1"/>
  <c r="Y1141" i="1"/>
  <c r="Z1141" i="1"/>
  <c r="AA1141" i="1"/>
  <c r="AB1141" i="1"/>
  <c r="AC1141" i="1"/>
  <c r="AD1141" i="1"/>
  <c r="AE1141" i="1"/>
  <c r="AF1141" i="1"/>
  <c r="AG1141" i="1"/>
  <c r="AH1141" i="1"/>
  <c r="AI1141" i="1"/>
  <c r="AJ1141" i="1"/>
  <c r="AK1141" i="1"/>
  <c r="AL1141" i="1"/>
  <c r="AM1141" i="1"/>
  <c r="AN1141" i="1"/>
  <c r="AO1141" i="1"/>
  <c r="AP1141" i="1"/>
  <c r="AQ1141" i="1"/>
  <c r="AR1141" i="1"/>
  <c r="AS1141" i="1"/>
  <c r="AT1141" i="1"/>
  <c r="AU1141" i="1"/>
  <c r="AV1141" i="1"/>
  <c r="AW1141" i="1"/>
  <c r="AX1141" i="1"/>
  <c r="AY1141" i="1"/>
  <c r="AZ1141" i="1"/>
  <c r="BA1141" i="1"/>
  <c r="BB1141" i="1"/>
  <c r="BC1141" i="1"/>
  <c r="BD1141" i="1"/>
  <c r="BE1141" i="1"/>
  <c r="BF1141" i="1"/>
  <c r="BG1141" i="1"/>
  <c r="BH1141" i="1"/>
  <c r="BI1141" i="1"/>
  <c r="BJ1141" i="1"/>
  <c r="BK1141" i="1"/>
  <c r="BL1141" i="1"/>
  <c r="BM1141" i="1"/>
  <c r="BN1141" i="1"/>
  <c r="BO1141" i="1"/>
  <c r="BP1141" i="1"/>
  <c r="BQ1141" i="1"/>
  <c r="BR1141" i="1"/>
  <c r="BS1141" i="1"/>
  <c r="BT1141" i="1"/>
  <c r="BU1141" i="1"/>
  <c r="BV1141" i="1"/>
  <c r="BW1141" i="1"/>
  <c r="BX1141" i="1"/>
  <c r="BY1141" i="1"/>
  <c r="BZ1141" i="1"/>
  <c r="CA1141" i="1"/>
  <c r="CB1141" i="1"/>
  <c r="CC1141" i="1"/>
  <c r="CD1141" i="1"/>
  <c r="CE1141" i="1"/>
  <c r="CF1141" i="1"/>
  <c r="CG1141" i="1"/>
  <c r="CH1141" i="1"/>
  <c r="CI1141" i="1"/>
  <c r="CJ1141" i="1"/>
  <c r="CK1141" i="1"/>
  <c r="C1143" i="1"/>
  <c r="D1143" i="1"/>
  <c r="E1143" i="1"/>
  <c r="F1143" i="1"/>
  <c r="G1143" i="1"/>
  <c r="H1143" i="1"/>
  <c r="I1143" i="1"/>
  <c r="J1143" i="1"/>
  <c r="K1143" i="1"/>
  <c r="L1143" i="1"/>
  <c r="M1143" i="1"/>
  <c r="N1143" i="1"/>
  <c r="O1143" i="1"/>
  <c r="P1143" i="1"/>
  <c r="Q1143" i="1"/>
  <c r="R1143" i="1"/>
  <c r="S1143" i="1"/>
  <c r="T1143" i="1"/>
  <c r="U1143" i="1"/>
  <c r="V1143" i="1"/>
  <c r="W1143" i="1"/>
  <c r="X1143" i="1"/>
  <c r="Y1143" i="1"/>
  <c r="Z1143" i="1"/>
  <c r="AA1143" i="1"/>
  <c r="AB1143" i="1"/>
  <c r="AC1143" i="1"/>
  <c r="AD1143" i="1"/>
  <c r="AE1143" i="1"/>
  <c r="AF1143" i="1"/>
  <c r="AG1143" i="1"/>
  <c r="AH1143" i="1"/>
  <c r="AI1143" i="1"/>
  <c r="AJ1143" i="1"/>
  <c r="AK1143" i="1"/>
  <c r="AL1143" i="1"/>
  <c r="AM1143" i="1"/>
  <c r="AN1143" i="1"/>
  <c r="AO1143" i="1"/>
  <c r="AP1143" i="1"/>
  <c r="AQ1143" i="1"/>
  <c r="AR1143" i="1"/>
  <c r="AS1143" i="1"/>
  <c r="AT1143" i="1"/>
  <c r="AU1143" i="1"/>
  <c r="AV1143" i="1"/>
  <c r="AW1143" i="1"/>
  <c r="AX1143" i="1"/>
  <c r="AY1143" i="1"/>
  <c r="AZ1143" i="1"/>
  <c r="BA1143" i="1"/>
  <c r="BB1143" i="1"/>
  <c r="BC1143" i="1"/>
  <c r="BD1143" i="1"/>
  <c r="BE1143" i="1"/>
  <c r="BF1143" i="1"/>
  <c r="BG1143" i="1"/>
  <c r="BH1143" i="1"/>
  <c r="BI1143" i="1"/>
  <c r="BJ1143" i="1"/>
  <c r="BK1143" i="1"/>
  <c r="BL1143" i="1"/>
  <c r="BM1143" i="1"/>
  <c r="BN1143" i="1"/>
  <c r="BO1143" i="1"/>
  <c r="BT1143" i="1"/>
  <c r="C1150" i="1"/>
  <c r="D1150" i="1"/>
  <c r="E1150" i="1"/>
  <c r="F1150" i="1"/>
  <c r="G1150" i="1"/>
  <c r="H1150" i="1"/>
  <c r="I1150" i="1"/>
  <c r="J1150" i="1"/>
  <c r="K1150" i="1"/>
  <c r="L1150" i="1"/>
  <c r="M1150" i="1"/>
  <c r="N1150" i="1"/>
  <c r="O1150" i="1"/>
  <c r="P1150" i="1"/>
  <c r="Q1150" i="1"/>
  <c r="R1150" i="1"/>
  <c r="S1150" i="1"/>
  <c r="T1150" i="1"/>
  <c r="U1150" i="1"/>
  <c r="V1150" i="1"/>
  <c r="W1150" i="1"/>
  <c r="X1150" i="1"/>
  <c r="Y1150" i="1"/>
  <c r="Z1150" i="1"/>
  <c r="AA1150" i="1"/>
  <c r="AB1150" i="1"/>
  <c r="AC1150" i="1"/>
  <c r="AD1150" i="1"/>
  <c r="AE1150" i="1"/>
  <c r="AF1150" i="1"/>
  <c r="AG1150" i="1"/>
  <c r="AH1150" i="1"/>
  <c r="AI1150" i="1"/>
  <c r="AJ1150" i="1"/>
  <c r="AK1150" i="1"/>
  <c r="AL1150" i="1"/>
  <c r="AM1150" i="1"/>
  <c r="AN1150" i="1"/>
  <c r="AO1150" i="1"/>
  <c r="AP1150" i="1"/>
  <c r="AQ1150" i="1"/>
  <c r="AR1150" i="1"/>
  <c r="AS1150" i="1"/>
  <c r="AT1150" i="1"/>
  <c r="AU1150" i="1"/>
  <c r="AV1150" i="1"/>
  <c r="AW1150" i="1"/>
  <c r="AX1150" i="1"/>
  <c r="AY1150" i="1"/>
  <c r="AZ1150" i="1"/>
  <c r="BA1150" i="1"/>
  <c r="BB1150" i="1"/>
  <c r="BC1150" i="1"/>
  <c r="BD1150" i="1"/>
  <c r="BE1150" i="1"/>
  <c r="BF1150" i="1"/>
  <c r="BG1150" i="1"/>
  <c r="BH1150" i="1"/>
  <c r="BI1150" i="1"/>
  <c r="BJ1150" i="1"/>
  <c r="BK1150" i="1"/>
  <c r="BL1150" i="1"/>
  <c r="BM1150" i="1"/>
  <c r="BN1150" i="1"/>
  <c r="BO1150" i="1"/>
  <c r="BT1150" i="1"/>
  <c r="C1157" i="1"/>
  <c r="D1157" i="1"/>
  <c r="E1157" i="1"/>
  <c r="F1157" i="1"/>
  <c r="G1157" i="1"/>
  <c r="H1157" i="1"/>
  <c r="I1157" i="1"/>
  <c r="J1157" i="1"/>
  <c r="K1157" i="1"/>
  <c r="L1157" i="1"/>
  <c r="M1157" i="1"/>
  <c r="N1157" i="1"/>
  <c r="O1157" i="1"/>
  <c r="P1157" i="1"/>
  <c r="Q1157" i="1"/>
  <c r="R1157" i="1"/>
  <c r="S1157" i="1"/>
  <c r="T1157" i="1"/>
  <c r="U1157" i="1"/>
  <c r="V1157" i="1"/>
  <c r="W1157" i="1"/>
  <c r="X1157" i="1"/>
  <c r="Y1157" i="1"/>
  <c r="Z1157" i="1"/>
  <c r="AA1157" i="1"/>
  <c r="AB1157" i="1"/>
  <c r="AC1157" i="1"/>
  <c r="AD1157" i="1"/>
  <c r="AE1157" i="1"/>
  <c r="AF1157" i="1"/>
  <c r="AG1157" i="1"/>
  <c r="AH1157" i="1"/>
  <c r="AI1157" i="1"/>
  <c r="AJ1157" i="1"/>
  <c r="AK1157" i="1"/>
  <c r="AL1157" i="1"/>
  <c r="AM1157" i="1"/>
  <c r="AN1157" i="1"/>
  <c r="AO1157" i="1"/>
  <c r="AP1157" i="1"/>
  <c r="AQ1157" i="1"/>
  <c r="AR1157" i="1"/>
  <c r="AS1157" i="1"/>
  <c r="AT1157" i="1"/>
  <c r="AU1157" i="1"/>
  <c r="AV1157" i="1"/>
  <c r="AW1157" i="1"/>
  <c r="AX1157" i="1"/>
  <c r="AY1157" i="1"/>
  <c r="AZ1157" i="1"/>
  <c r="BA1157" i="1"/>
  <c r="BB1157" i="1"/>
  <c r="BC1157" i="1"/>
  <c r="BD1157" i="1"/>
  <c r="BE1157" i="1"/>
  <c r="BF1157" i="1"/>
  <c r="BG1157" i="1"/>
  <c r="BH1157" i="1"/>
  <c r="BI1157" i="1"/>
  <c r="BJ1157" i="1"/>
  <c r="BK1157" i="1"/>
  <c r="BL1157" i="1"/>
  <c r="BM1157" i="1"/>
  <c r="BN1157" i="1"/>
  <c r="BO1157" i="1"/>
  <c r="BT1157" i="1"/>
  <c r="BZ1164" i="1"/>
  <c r="CA1164" i="1"/>
  <c r="CB1164" i="1"/>
  <c r="CC1164" i="1"/>
  <c r="CD1164" i="1"/>
  <c r="CE1164" i="1"/>
  <c r="CF1164" i="1"/>
  <c r="CG1164" i="1"/>
  <c r="CH1164" i="1"/>
  <c r="CI1164" i="1"/>
  <c r="CJ1164" i="1"/>
  <c r="CK1164" i="1"/>
  <c r="C1168" i="1"/>
  <c r="D1168" i="1"/>
  <c r="E1168" i="1"/>
  <c r="F1168" i="1"/>
  <c r="G1168" i="1"/>
  <c r="H1168" i="1"/>
  <c r="I1168" i="1"/>
  <c r="J1168" i="1"/>
  <c r="K1168" i="1"/>
  <c r="L1168" i="1"/>
  <c r="M1168" i="1"/>
  <c r="N1168" i="1"/>
  <c r="O1168" i="1"/>
  <c r="P1168" i="1"/>
  <c r="Q1168" i="1"/>
  <c r="R1168" i="1"/>
  <c r="S1168" i="1"/>
  <c r="T1168" i="1"/>
  <c r="U1168" i="1"/>
  <c r="V1168" i="1"/>
  <c r="W1168" i="1"/>
  <c r="X1168" i="1"/>
  <c r="Y1168" i="1"/>
  <c r="Z1168" i="1"/>
  <c r="AA1168" i="1"/>
  <c r="AB1168" i="1"/>
  <c r="AC1168" i="1"/>
  <c r="AD1168" i="1"/>
  <c r="AE1168" i="1"/>
  <c r="AF1168" i="1"/>
  <c r="AG1168" i="1"/>
  <c r="AH1168" i="1"/>
  <c r="AI1168" i="1"/>
  <c r="AJ1168" i="1"/>
  <c r="AK1168" i="1"/>
  <c r="AL1168" i="1"/>
  <c r="AM1168" i="1"/>
  <c r="AN1168" i="1"/>
  <c r="AO1168" i="1"/>
  <c r="AP1168" i="1"/>
  <c r="AQ1168" i="1"/>
  <c r="AR1168" i="1"/>
  <c r="AS1168" i="1"/>
  <c r="AT1168" i="1"/>
  <c r="AU1168" i="1"/>
  <c r="AV1168" i="1"/>
  <c r="AW1168" i="1"/>
  <c r="AX1168" i="1"/>
  <c r="AY1168" i="1"/>
  <c r="AZ1168" i="1"/>
  <c r="BA1168" i="1"/>
  <c r="BB1168" i="1"/>
  <c r="BC1168" i="1"/>
  <c r="BD1168" i="1"/>
  <c r="BE1168" i="1"/>
  <c r="BF1168" i="1"/>
  <c r="BG1168" i="1"/>
  <c r="BH1168" i="1"/>
  <c r="BI1168" i="1"/>
  <c r="BJ1168" i="1"/>
  <c r="BK1168" i="1"/>
  <c r="BL1168" i="1"/>
  <c r="BM1168" i="1"/>
  <c r="BN1168" i="1"/>
  <c r="BO1168" i="1"/>
  <c r="BP1168" i="1"/>
  <c r="BQ1168" i="1"/>
  <c r="BR1168" i="1"/>
  <c r="BS1168" i="1"/>
  <c r="BT1168" i="1"/>
  <c r="BU1168" i="1"/>
  <c r="BV1168" i="1"/>
  <c r="BW1168" i="1"/>
  <c r="BX1168" i="1"/>
  <c r="BY1168" i="1"/>
  <c r="BZ1168" i="1"/>
  <c r="CA1168" i="1"/>
  <c r="CB1168" i="1"/>
  <c r="CC1168" i="1"/>
  <c r="CD1168" i="1"/>
  <c r="CE1168" i="1"/>
  <c r="CF1168" i="1"/>
  <c r="CG1168" i="1"/>
  <c r="CH1168" i="1"/>
  <c r="CI1168" i="1"/>
  <c r="CJ1168" i="1"/>
  <c r="CK1168" i="1"/>
  <c r="C1170" i="1"/>
  <c r="D1170" i="1"/>
  <c r="E1170" i="1"/>
  <c r="F1170" i="1"/>
  <c r="G1170" i="1"/>
  <c r="H1170" i="1"/>
  <c r="I1170" i="1"/>
  <c r="K1170" i="1"/>
  <c r="L1170" i="1"/>
  <c r="M1170" i="1"/>
  <c r="N1170" i="1"/>
  <c r="P1170" i="1"/>
  <c r="Q1170" i="1"/>
  <c r="R1170" i="1"/>
  <c r="S1170" i="1"/>
  <c r="U1170" i="1"/>
  <c r="V1170" i="1"/>
  <c r="W1170" i="1"/>
  <c r="X1170" i="1"/>
  <c r="Z1170" i="1"/>
  <c r="AA1170" i="1"/>
  <c r="AB1170" i="1"/>
  <c r="AC1170" i="1"/>
  <c r="AE1170" i="1"/>
  <c r="AF1170" i="1"/>
  <c r="AG1170" i="1"/>
  <c r="AH1170" i="1"/>
  <c r="AJ1170" i="1"/>
  <c r="AK1170" i="1"/>
  <c r="AL1170" i="1"/>
  <c r="AM1170" i="1"/>
  <c r="AO1170" i="1"/>
  <c r="AP1170" i="1"/>
  <c r="AQ1170" i="1"/>
  <c r="AR1170" i="1"/>
  <c r="AT1170" i="1"/>
  <c r="AU1170" i="1"/>
  <c r="AV1170" i="1"/>
  <c r="AW1170" i="1"/>
  <c r="AY1170" i="1"/>
  <c r="AZ1170" i="1"/>
  <c r="BA1170" i="1"/>
  <c r="BB1170" i="1"/>
  <c r="BD1170" i="1"/>
  <c r="BE1170" i="1"/>
  <c r="BF1170" i="1"/>
  <c r="BG1170" i="1"/>
  <c r="BI1170" i="1"/>
  <c r="BJ1170" i="1"/>
  <c r="BK1170" i="1"/>
  <c r="BL1170" i="1"/>
  <c r="BN1170" i="1"/>
  <c r="BO1170" i="1"/>
  <c r="BP1170" i="1"/>
  <c r="BQ1170" i="1"/>
  <c r="BS1170" i="1"/>
  <c r="BT1170" i="1"/>
  <c r="BU1170" i="1"/>
  <c r="BV1170" i="1"/>
  <c r="BX1170" i="1"/>
  <c r="BY1170" i="1"/>
  <c r="C1171" i="1"/>
  <c r="D1171" i="1"/>
  <c r="E1171" i="1"/>
  <c r="F1171" i="1"/>
  <c r="G1171" i="1"/>
  <c r="H1171" i="1"/>
  <c r="I1171" i="1"/>
  <c r="J1171" i="1"/>
  <c r="K1171" i="1"/>
  <c r="L1171" i="1"/>
  <c r="M1171" i="1"/>
  <c r="N1171" i="1"/>
  <c r="O1171" i="1"/>
  <c r="P1171" i="1"/>
  <c r="Q1171" i="1"/>
  <c r="R1171" i="1"/>
  <c r="S1171" i="1"/>
  <c r="T1171" i="1"/>
  <c r="U1171" i="1"/>
  <c r="V1171" i="1"/>
  <c r="W1171" i="1"/>
  <c r="X1171" i="1"/>
  <c r="Y1171" i="1"/>
  <c r="Z1171" i="1"/>
  <c r="AA1171" i="1"/>
  <c r="AB1171" i="1"/>
  <c r="AC1171" i="1"/>
  <c r="AD1171" i="1"/>
  <c r="AE1171" i="1"/>
  <c r="AF1171" i="1"/>
  <c r="AG1171" i="1"/>
  <c r="AH1171" i="1"/>
  <c r="AI1171" i="1"/>
  <c r="AJ1171" i="1"/>
  <c r="AK1171" i="1"/>
  <c r="AL1171" i="1"/>
  <c r="AM1171" i="1"/>
  <c r="AN1171" i="1"/>
  <c r="AO1171" i="1"/>
  <c r="AP1171" i="1"/>
  <c r="AQ1171" i="1"/>
  <c r="AR1171" i="1"/>
  <c r="AS1171" i="1"/>
  <c r="AT1171" i="1"/>
  <c r="AU1171" i="1"/>
  <c r="AV1171" i="1"/>
  <c r="AW1171" i="1"/>
  <c r="AX1171" i="1"/>
  <c r="AY1171" i="1"/>
  <c r="AZ1171" i="1"/>
  <c r="BA1171" i="1"/>
  <c r="BB1171" i="1"/>
  <c r="BC1171" i="1"/>
  <c r="BD1171" i="1"/>
  <c r="BE1171" i="1"/>
  <c r="BF1171" i="1"/>
  <c r="BG1171" i="1"/>
  <c r="BH1171" i="1"/>
  <c r="BI1171" i="1"/>
  <c r="BJ1171" i="1"/>
  <c r="BK1171" i="1"/>
  <c r="BL1171" i="1"/>
  <c r="BM1171" i="1"/>
  <c r="BN1171" i="1"/>
  <c r="BO1171" i="1"/>
  <c r="BT1171" i="1"/>
  <c r="B1176" i="1"/>
  <c r="B1177" i="1"/>
  <c r="B1178" i="1"/>
  <c r="B1180" i="1"/>
  <c r="B1188" i="1"/>
  <c r="B1189" i="1"/>
  <c r="B1190" i="1"/>
  <c r="D4" i="9" l="1"/>
  <c r="I4" i="9"/>
  <c r="S4" i="9"/>
  <c r="AI4" i="9"/>
  <c r="AO4" i="9"/>
  <c r="AR4" i="9"/>
  <c r="AY4" i="9"/>
  <c r="BH4" i="9"/>
  <c r="BM4" i="9"/>
  <c r="BN4" i="9"/>
  <c r="BO4" i="9"/>
  <c r="BT767" i="1"/>
  <c r="BT442" i="1" s="1"/>
  <c r="A1" i="9"/>
  <c r="H8" i="8"/>
  <c r="H7" i="8"/>
  <c r="F7" i="8"/>
  <c r="F2" i="10" s="1"/>
  <c r="AL413" i="11"/>
  <c r="AK413" i="11"/>
  <c r="AJ413" i="11"/>
  <c r="AI413" i="11"/>
  <c r="AH413" i="11"/>
  <c r="AG413" i="11"/>
  <c r="AF413" i="11"/>
  <c r="AE413" i="11"/>
  <c r="AC413" i="11"/>
  <c r="AB413" i="11"/>
  <c r="AA413" i="11"/>
  <c r="Z413" i="11"/>
  <c r="X413" i="11"/>
  <c r="W413" i="11"/>
  <c r="V413" i="11"/>
  <c r="U413" i="11"/>
  <c r="S413" i="11"/>
  <c r="R413" i="11"/>
  <c r="Q413" i="11"/>
  <c r="P413" i="11"/>
  <c r="N413" i="11"/>
  <c r="M413" i="11"/>
  <c r="L413" i="11"/>
  <c r="K413" i="11"/>
  <c r="I413" i="11"/>
  <c r="H413" i="11"/>
  <c r="G413" i="11"/>
  <c r="F413" i="11"/>
  <c r="E413" i="11"/>
  <c r="D413" i="11"/>
  <c r="C413" i="11"/>
  <c r="AL395" i="11"/>
  <c r="AK395" i="11"/>
  <c r="AJ395" i="11"/>
  <c r="AH395" i="11"/>
  <c r="AG395" i="11"/>
  <c r="AG397" i="11" s="1"/>
  <c r="AF395" i="11"/>
  <c r="AE395" i="11"/>
  <c r="AC395" i="11"/>
  <c r="AB395" i="11"/>
  <c r="AA395" i="11"/>
  <c r="Z395" i="11"/>
  <c r="X395" i="11"/>
  <c r="W395" i="11"/>
  <c r="V395" i="11"/>
  <c r="U395" i="11"/>
  <c r="S395" i="11"/>
  <c r="R395" i="11"/>
  <c r="Q395" i="11"/>
  <c r="P395" i="11"/>
  <c r="N395" i="11"/>
  <c r="M395" i="11"/>
  <c r="L395" i="11"/>
  <c r="K395" i="11"/>
  <c r="I395" i="11"/>
  <c r="H395" i="11"/>
  <c r="G395" i="11"/>
  <c r="F395" i="11"/>
  <c r="E395" i="11"/>
  <c r="D395" i="11"/>
  <c r="C395" i="11"/>
  <c r="AI394" i="11"/>
  <c r="AD394" i="11"/>
  <c r="Y394" i="11"/>
  <c r="T394" i="11"/>
  <c r="T395" i="11" s="1"/>
  <c r="O394" i="11"/>
  <c r="J394" i="11"/>
  <c r="AI393" i="11"/>
  <c r="AD393" i="11"/>
  <c r="Y393" i="11"/>
  <c r="T393" i="11"/>
  <c r="O393" i="11"/>
  <c r="J393" i="11"/>
  <c r="J395" i="11" s="1"/>
  <c r="AI392" i="11"/>
  <c r="AD392" i="11"/>
  <c r="Y392" i="11"/>
  <c r="T392" i="11"/>
  <c r="O392" i="11"/>
  <c r="J392" i="11"/>
  <c r="AI391" i="11"/>
  <c r="AD391" i="11"/>
  <c r="AD395" i="11" s="1"/>
  <c r="Y391" i="11"/>
  <c r="T391" i="11"/>
  <c r="O391" i="11"/>
  <c r="J391" i="11"/>
  <c r="AG388" i="11"/>
  <c r="F388" i="11"/>
  <c r="AL387" i="11"/>
  <c r="AK387" i="11"/>
  <c r="AJ387" i="11"/>
  <c r="AH387" i="11"/>
  <c r="AG387" i="11"/>
  <c r="AF387" i="11"/>
  <c r="AF388" i="11" s="1"/>
  <c r="AF397" i="11" s="1"/>
  <c r="AE387" i="11"/>
  <c r="AC387" i="11"/>
  <c r="AB387" i="11"/>
  <c r="AA387" i="11"/>
  <c r="Z387" i="11"/>
  <c r="X387" i="11"/>
  <c r="W387" i="11"/>
  <c r="V387" i="11"/>
  <c r="V388" i="11" s="1"/>
  <c r="U387" i="11"/>
  <c r="S387" i="11"/>
  <c r="R387" i="11"/>
  <c r="Q387" i="11"/>
  <c r="P387" i="11"/>
  <c r="N387" i="11"/>
  <c r="M387" i="11"/>
  <c r="L387" i="11"/>
  <c r="K387" i="11"/>
  <c r="I387" i="11"/>
  <c r="H387" i="11"/>
  <c r="G387" i="11"/>
  <c r="F387" i="11"/>
  <c r="E387" i="11"/>
  <c r="D387" i="11"/>
  <c r="C387" i="11"/>
  <c r="C388" i="11" s="1"/>
  <c r="C397" i="11" s="1"/>
  <c r="AI386" i="11"/>
  <c r="AD386" i="11"/>
  <c r="Y386" i="11"/>
  <c r="T386" i="11"/>
  <c r="O386" i="11"/>
  <c r="J386" i="11"/>
  <c r="AI385" i="11"/>
  <c r="AI209" i="11" s="1"/>
  <c r="AD385" i="11"/>
  <c r="Y385" i="11"/>
  <c r="T385" i="11"/>
  <c r="O385" i="11"/>
  <c r="J385" i="11"/>
  <c r="AI383" i="11"/>
  <c r="AD383" i="11"/>
  <c r="Y383" i="11"/>
  <c r="T383" i="11"/>
  <c r="T387" i="11" s="1"/>
  <c r="O383" i="11"/>
  <c r="J383" i="11"/>
  <c r="AI382" i="11"/>
  <c r="AD382" i="11"/>
  <c r="Y382" i="11"/>
  <c r="T382" i="11"/>
  <c r="O382" i="11"/>
  <c r="J382" i="11"/>
  <c r="AI381" i="11"/>
  <c r="AI234" i="11" s="1"/>
  <c r="AD381" i="11"/>
  <c r="AD234" i="11" s="1"/>
  <c r="Y381" i="11"/>
  <c r="T381" i="11"/>
  <c r="O381" i="11"/>
  <c r="J381" i="11"/>
  <c r="AL378" i="11"/>
  <c r="AL388" i="11" s="1"/>
  <c r="AK378" i="11"/>
  <c r="AK388" i="11" s="1"/>
  <c r="AJ378" i="11"/>
  <c r="AJ388" i="11" s="1"/>
  <c r="AH378" i="11"/>
  <c r="AG378" i="11"/>
  <c r="AF378" i="11"/>
  <c r="AE378" i="11"/>
  <c r="AC378" i="11"/>
  <c r="AB378" i="11"/>
  <c r="AB388" i="11" s="1"/>
  <c r="AA378" i="11"/>
  <c r="Z378" i="11"/>
  <c r="X378" i="11"/>
  <c r="X388" i="11" s="1"/>
  <c r="X397" i="11" s="1"/>
  <c r="W378" i="11"/>
  <c r="V378" i="11"/>
  <c r="U378" i="11"/>
  <c r="S378" i="11"/>
  <c r="S388" i="11" s="1"/>
  <c r="S397" i="11" s="1"/>
  <c r="R378" i="11"/>
  <c r="R388" i="11" s="1"/>
  <c r="Q378" i="11"/>
  <c r="Q388" i="11" s="1"/>
  <c r="Q397" i="11" s="1"/>
  <c r="P378" i="11"/>
  <c r="P388" i="11" s="1"/>
  <c r="P397" i="11" s="1"/>
  <c r="N378" i="11"/>
  <c r="N388" i="11" s="1"/>
  <c r="M378" i="11"/>
  <c r="L378" i="11"/>
  <c r="K378" i="11"/>
  <c r="I378" i="11"/>
  <c r="I388" i="11" s="1"/>
  <c r="H378" i="11"/>
  <c r="H388" i="11" s="1"/>
  <c r="H397" i="11" s="1"/>
  <c r="G378" i="11"/>
  <c r="F378" i="11"/>
  <c r="E378" i="11"/>
  <c r="E388" i="11" s="1"/>
  <c r="D378" i="11"/>
  <c r="C378" i="11"/>
  <c r="AI377" i="11"/>
  <c r="AD377" i="11"/>
  <c r="Y377" i="11"/>
  <c r="Y209" i="11" s="1"/>
  <c r="T377" i="11"/>
  <c r="T209" i="11" s="1"/>
  <c r="O377" i="11"/>
  <c r="J377" i="11"/>
  <c r="AI375" i="11"/>
  <c r="AD375" i="11"/>
  <c r="Y375" i="11"/>
  <c r="T375" i="11"/>
  <c r="O375" i="11"/>
  <c r="J375" i="11"/>
  <c r="AI374" i="11"/>
  <c r="AD374" i="11"/>
  <c r="Y374" i="11"/>
  <c r="T374" i="11"/>
  <c r="O374" i="11"/>
  <c r="J374" i="11"/>
  <c r="AI373" i="11"/>
  <c r="AD373" i="11"/>
  <c r="Y373" i="11"/>
  <c r="T373" i="11"/>
  <c r="O373" i="11"/>
  <c r="J373" i="11"/>
  <c r="AI372" i="11"/>
  <c r="AD372" i="11"/>
  <c r="Y372" i="11"/>
  <c r="T372" i="11"/>
  <c r="T378" i="11" s="1"/>
  <c r="O372" i="11"/>
  <c r="J372" i="11"/>
  <c r="W369" i="11"/>
  <c r="P369" i="11"/>
  <c r="AH368" i="11"/>
  <c r="AE368" i="11"/>
  <c r="AC368" i="11"/>
  <c r="AB368" i="11"/>
  <c r="AA368" i="11"/>
  <c r="Z368" i="11"/>
  <c r="X368" i="11"/>
  <c r="W368" i="11"/>
  <c r="V368" i="11"/>
  <c r="U368" i="11"/>
  <c r="S368" i="11"/>
  <c r="R368" i="11"/>
  <c r="Q368" i="11"/>
  <c r="P368" i="11"/>
  <c r="N368" i="11"/>
  <c r="M368" i="11"/>
  <c r="L368" i="11"/>
  <c r="K368" i="11"/>
  <c r="I368" i="11"/>
  <c r="H368" i="11"/>
  <c r="G368" i="11"/>
  <c r="F368" i="11"/>
  <c r="E368" i="11"/>
  <c r="AI367" i="11"/>
  <c r="AD367" i="11"/>
  <c r="AL366" i="11"/>
  <c r="AL368" i="11" s="1"/>
  <c r="AK366" i="11"/>
  <c r="AK368" i="11" s="1"/>
  <c r="AJ366" i="11"/>
  <c r="AI366" i="11" s="1"/>
  <c r="AH366" i="11"/>
  <c r="AG366" i="11"/>
  <c r="AG368" i="11" s="1"/>
  <c r="AF366" i="11"/>
  <c r="AF368" i="11" s="1"/>
  <c r="AE366" i="11"/>
  <c r="AD366" i="11"/>
  <c r="Y366" i="11"/>
  <c r="T366" i="11"/>
  <c r="O366" i="11"/>
  <c r="J366" i="11"/>
  <c r="D366" i="11"/>
  <c r="D368" i="11" s="1"/>
  <c r="C366" i="11"/>
  <c r="C368" i="11" s="1"/>
  <c r="AI365" i="11"/>
  <c r="AD365" i="11"/>
  <c r="Y365" i="11"/>
  <c r="T365" i="11"/>
  <c r="O365" i="11"/>
  <c r="J365" i="11"/>
  <c r="AI363" i="11"/>
  <c r="AD363" i="11"/>
  <c r="Y363" i="11"/>
  <c r="T363" i="11"/>
  <c r="O363" i="11"/>
  <c r="O368" i="11" s="1"/>
  <c r="J363" i="11"/>
  <c r="AI362" i="11"/>
  <c r="AD362" i="11"/>
  <c r="Y362" i="11"/>
  <c r="T362" i="11"/>
  <c r="O362" i="11"/>
  <c r="J362" i="11"/>
  <c r="AI361" i="11"/>
  <c r="AI368" i="11" s="1"/>
  <c r="AD361" i="11"/>
  <c r="Y361" i="11"/>
  <c r="T361" i="11"/>
  <c r="O361" i="11"/>
  <c r="J361" i="11"/>
  <c r="AL358" i="11"/>
  <c r="AK358" i="11"/>
  <c r="AK369" i="11" s="1"/>
  <c r="AJ358" i="11"/>
  <c r="AH358" i="11"/>
  <c r="AG358" i="11"/>
  <c r="AG369" i="11" s="1"/>
  <c r="AF358" i="11"/>
  <c r="AE358" i="11"/>
  <c r="AC358" i="11"/>
  <c r="AB358" i="11"/>
  <c r="AB369" i="11" s="1"/>
  <c r="AA358" i="11"/>
  <c r="AA369" i="11" s="1"/>
  <c r="Z358" i="11"/>
  <c r="Z369" i="11" s="1"/>
  <c r="X358" i="11"/>
  <c r="W358" i="11"/>
  <c r="V358" i="11"/>
  <c r="U358" i="11"/>
  <c r="S358" i="11"/>
  <c r="S369" i="11" s="1"/>
  <c r="R358" i="11"/>
  <c r="R369" i="11" s="1"/>
  <c r="Q358" i="11"/>
  <c r="Q369" i="11" s="1"/>
  <c r="P358" i="11"/>
  <c r="N358" i="11"/>
  <c r="M358" i="11"/>
  <c r="L358" i="11"/>
  <c r="K358" i="11"/>
  <c r="I358" i="11"/>
  <c r="I369" i="11" s="1"/>
  <c r="H358" i="11"/>
  <c r="H369" i="11" s="1"/>
  <c r="G358" i="11"/>
  <c r="F358" i="11"/>
  <c r="F369" i="11" s="1"/>
  <c r="E358" i="11"/>
  <c r="D358" i="11"/>
  <c r="C358" i="11"/>
  <c r="AI357" i="11"/>
  <c r="AD357" i="11"/>
  <c r="Y357" i="11"/>
  <c r="T357" i="11"/>
  <c r="O357" i="11"/>
  <c r="J357" i="11"/>
  <c r="AI356" i="11"/>
  <c r="AD356" i="11"/>
  <c r="Y356" i="11"/>
  <c r="AI355" i="11"/>
  <c r="AD355" i="11"/>
  <c r="Y355" i="11"/>
  <c r="T355" i="11"/>
  <c r="O355" i="11"/>
  <c r="J355" i="11"/>
  <c r="AI354" i="11"/>
  <c r="AD354" i="11"/>
  <c r="Y354" i="11"/>
  <c r="T354" i="11"/>
  <c r="O354" i="11"/>
  <c r="J354" i="11"/>
  <c r="AI353" i="11"/>
  <c r="AD353" i="11"/>
  <c r="Y353" i="11"/>
  <c r="T353" i="11"/>
  <c r="T208" i="11" s="1"/>
  <c r="O353" i="11"/>
  <c r="O208" i="11" s="1"/>
  <c r="J353" i="11"/>
  <c r="J208" i="11" s="1"/>
  <c r="AI352" i="11"/>
  <c r="AD352" i="11"/>
  <c r="Y352" i="11"/>
  <c r="T352" i="11"/>
  <c r="O352" i="11"/>
  <c r="J352" i="11"/>
  <c r="AI351" i="11"/>
  <c r="AD351" i="11"/>
  <c r="Y351" i="11"/>
  <c r="T351" i="11"/>
  <c r="O351" i="11"/>
  <c r="J351" i="11"/>
  <c r="A334" i="11"/>
  <c r="C333" i="11"/>
  <c r="A333" i="11"/>
  <c r="A331" i="11"/>
  <c r="AL330" i="11"/>
  <c r="AK330" i="11"/>
  <c r="AJ330" i="11"/>
  <c r="AH330" i="11"/>
  <c r="AG330" i="11"/>
  <c r="AF330" i="11"/>
  <c r="AE330" i="11"/>
  <c r="AC330" i="11"/>
  <c r="AB330" i="11"/>
  <c r="AA330" i="11"/>
  <c r="Z330" i="11"/>
  <c r="X330" i="11"/>
  <c r="W330" i="11"/>
  <c r="V330" i="11"/>
  <c r="U330" i="11"/>
  <c r="S330" i="11"/>
  <c r="R330" i="11"/>
  <c r="Q330" i="11"/>
  <c r="P330" i="11"/>
  <c r="N330" i="11"/>
  <c r="M330" i="11"/>
  <c r="L330" i="11"/>
  <c r="K330" i="11"/>
  <c r="I330" i="11"/>
  <c r="H330" i="11"/>
  <c r="G330" i="11"/>
  <c r="F330" i="11"/>
  <c r="E330" i="11"/>
  <c r="D330" i="11"/>
  <c r="C330" i="11"/>
  <c r="A330" i="11"/>
  <c r="A328" i="11"/>
  <c r="AL327" i="11"/>
  <c r="AK327" i="11"/>
  <c r="AJ327" i="11"/>
  <c r="AH327" i="11"/>
  <c r="AG327" i="11"/>
  <c r="AF327" i="11"/>
  <c r="AE327" i="11"/>
  <c r="AC327" i="11"/>
  <c r="AB327" i="11"/>
  <c r="AA327" i="11"/>
  <c r="Z327" i="11"/>
  <c r="X327" i="11"/>
  <c r="W327" i="11"/>
  <c r="V327" i="11"/>
  <c r="U327" i="11"/>
  <c r="T327" i="11"/>
  <c r="S327" i="11"/>
  <c r="R327" i="11"/>
  <c r="Q327" i="11"/>
  <c r="P327" i="11"/>
  <c r="O327" i="11"/>
  <c r="N327" i="11"/>
  <c r="M327" i="11"/>
  <c r="L327" i="11"/>
  <c r="K327" i="11"/>
  <c r="J327" i="11"/>
  <c r="I327" i="11"/>
  <c r="H327" i="11"/>
  <c r="G327" i="11"/>
  <c r="F327" i="11"/>
  <c r="E327" i="11"/>
  <c r="D327" i="11"/>
  <c r="C327" i="11"/>
  <c r="A327" i="11"/>
  <c r="AL326" i="11"/>
  <c r="AK326" i="11"/>
  <c r="AJ326" i="11"/>
  <c r="AH326" i="11"/>
  <c r="AG326" i="11"/>
  <c r="AG328" i="11" s="1"/>
  <c r="AF326" i="11"/>
  <c r="AF200" i="11" s="1"/>
  <c r="AE326" i="11"/>
  <c r="AC326" i="11"/>
  <c r="AB326" i="11"/>
  <c r="AA326" i="11"/>
  <c r="Z326" i="11"/>
  <c r="Y326" i="11"/>
  <c r="X326" i="11"/>
  <c r="W326" i="11"/>
  <c r="V326" i="11"/>
  <c r="U326" i="11"/>
  <c r="T326" i="11"/>
  <c r="S326" i="11"/>
  <c r="R326" i="11"/>
  <c r="Q326" i="11"/>
  <c r="P326" i="11"/>
  <c r="O326" i="11"/>
  <c r="N326" i="11"/>
  <c r="M326" i="11"/>
  <c r="L326" i="11"/>
  <c r="K326" i="11"/>
  <c r="J326" i="11"/>
  <c r="I326" i="11"/>
  <c r="H326" i="11"/>
  <c r="G326" i="11"/>
  <c r="F326" i="11"/>
  <c r="E326" i="11"/>
  <c r="D326" i="11"/>
  <c r="C326" i="11"/>
  <c r="A326" i="11"/>
  <c r="AL325" i="11"/>
  <c r="AK325" i="11"/>
  <c r="AJ325" i="11"/>
  <c r="AH325" i="11"/>
  <c r="AG325" i="11"/>
  <c r="AF325" i="11"/>
  <c r="AE325" i="11"/>
  <c r="AC325" i="11"/>
  <c r="AB325" i="11"/>
  <c r="AA325" i="11"/>
  <c r="Z325" i="11"/>
  <c r="X325" i="11"/>
  <c r="W325" i="11"/>
  <c r="V325" i="11"/>
  <c r="U325" i="11"/>
  <c r="S325" i="11"/>
  <c r="R325" i="11"/>
  <c r="Q325" i="11"/>
  <c r="P325" i="11"/>
  <c r="N325" i="11"/>
  <c r="M325" i="11"/>
  <c r="L325" i="11"/>
  <c r="K325" i="11"/>
  <c r="I325" i="11"/>
  <c r="H325" i="11"/>
  <c r="G325" i="11"/>
  <c r="F325" i="11"/>
  <c r="E325" i="11"/>
  <c r="D325" i="11"/>
  <c r="C325" i="11"/>
  <c r="A325" i="11"/>
  <c r="AL324" i="11"/>
  <c r="AK324" i="11"/>
  <c r="AJ324" i="11"/>
  <c r="AH324" i="11"/>
  <c r="AG324" i="11"/>
  <c r="AF324" i="11"/>
  <c r="AE324" i="11"/>
  <c r="AD324" i="11"/>
  <c r="AC324" i="11"/>
  <c r="AB324" i="11"/>
  <c r="AA324" i="11"/>
  <c r="Z324" i="11"/>
  <c r="X324" i="11"/>
  <c r="W324" i="11"/>
  <c r="V324" i="11"/>
  <c r="U324" i="11"/>
  <c r="S324" i="11"/>
  <c r="R324" i="11"/>
  <c r="Q324" i="11"/>
  <c r="P324" i="11"/>
  <c r="N324" i="11"/>
  <c r="M324" i="11"/>
  <c r="L324" i="11"/>
  <c r="K324" i="11"/>
  <c r="I324" i="11"/>
  <c r="H324" i="11"/>
  <c r="G324" i="11"/>
  <c r="F324" i="11"/>
  <c r="E324" i="11"/>
  <c r="D324" i="11"/>
  <c r="C324" i="11"/>
  <c r="A324" i="11"/>
  <c r="AL323" i="11"/>
  <c r="AK323" i="11"/>
  <c r="AJ323" i="11"/>
  <c r="AH323" i="11"/>
  <c r="AG323" i="11"/>
  <c r="AF323" i="11"/>
  <c r="AE323" i="11"/>
  <c r="AC323" i="11"/>
  <c r="AB323" i="11"/>
  <c r="AA323" i="11"/>
  <c r="Z323" i="11"/>
  <c r="X323" i="11"/>
  <c r="W323" i="11"/>
  <c r="V323" i="11"/>
  <c r="U323" i="11"/>
  <c r="S323" i="11"/>
  <c r="R323" i="11"/>
  <c r="Q323" i="11"/>
  <c r="P323" i="11"/>
  <c r="N323" i="11"/>
  <c r="M323" i="11"/>
  <c r="L323" i="11"/>
  <c r="K323" i="11"/>
  <c r="I323" i="11"/>
  <c r="H323" i="11"/>
  <c r="G323" i="11"/>
  <c r="F323" i="11"/>
  <c r="E323" i="11"/>
  <c r="D323" i="11"/>
  <c r="C323" i="11"/>
  <c r="A323" i="11"/>
  <c r="AL322" i="11"/>
  <c r="AK322" i="11"/>
  <c r="AJ322" i="11"/>
  <c r="AH322" i="11"/>
  <c r="AG322" i="11"/>
  <c r="AF322" i="11"/>
  <c r="AE322" i="11"/>
  <c r="AC322" i="11"/>
  <c r="AB322" i="11"/>
  <c r="AA322" i="11"/>
  <c r="Z322" i="11"/>
  <c r="X322" i="11"/>
  <c r="W322" i="11"/>
  <c r="V322" i="11"/>
  <c r="U322" i="11"/>
  <c r="T322" i="11"/>
  <c r="S322" i="11"/>
  <c r="S328" i="11" s="1"/>
  <c r="R322" i="11"/>
  <c r="Q322" i="11"/>
  <c r="P322" i="11"/>
  <c r="O322" i="11"/>
  <c r="N322" i="11"/>
  <c r="M322" i="11"/>
  <c r="L322" i="11"/>
  <c r="K322" i="11"/>
  <c r="J322" i="11"/>
  <c r="I322" i="11"/>
  <c r="H322" i="11"/>
  <c r="G322" i="11"/>
  <c r="F322" i="11"/>
  <c r="E322" i="11"/>
  <c r="D322" i="11"/>
  <c r="C322" i="11"/>
  <c r="A322" i="11"/>
  <c r="AL321" i="11"/>
  <c r="AK321" i="11"/>
  <c r="AJ321" i="11"/>
  <c r="AH321" i="11"/>
  <c r="AG321" i="11"/>
  <c r="AF321" i="11"/>
  <c r="AE321" i="11"/>
  <c r="AD321" i="11"/>
  <c r="AC321" i="11"/>
  <c r="AB321" i="11"/>
  <c r="AA321" i="11"/>
  <c r="Z321" i="11"/>
  <c r="X321" i="11"/>
  <c r="W321" i="11"/>
  <c r="V321" i="11"/>
  <c r="U321" i="11"/>
  <c r="S321" i="11"/>
  <c r="R321" i="11"/>
  <c r="Q321" i="11"/>
  <c r="P321" i="11"/>
  <c r="N321" i="11"/>
  <c r="M321" i="11"/>
  <c r="L321" i="11"/>
  <c r="K321" i="11"/>
  <c r="I321" i="11"/>
  <c r="H321" i="11"/>
  <c r="G321" i="11"/>
  <c r="F321" i="11"/>
  <c r="E321" i="11"/>
  <c r="D321" i="11"/>
  <c r="C321" i="11"/>
  <c r="A321" i="11"/>
  <c r="AL320" i="11"/>
  <c r="AK320" i="11"/>
  <c r="AJ320" i="11"/>
  <c r="AH320" i="11"/>
  <c r="AG320" i="11"/>
  <c r="AF320" i="11"/>
  <c r="AE320" i="11"/>
  <c r="AC320" i="11"/>
  <c r="AB320" i="11"/>
  <c r="AA320" i="11"/>
  <c r="Z320" i="11"/>
  <c r="X320" i="11"/>
  <c r="W320" i="11"/>
  <c r="V320" i="11"/>
  <c r="U320" i="11"/>
  <c r="S320" i="11"/>
  <c r="R320" i="11"/>
  <c r="Q320" i="11"/>
  <c r="P320" i="11"/>
  <c r="N320" i="11"/>
  <c r="M320" i="11"/>
  <c r="L320" i="11"/>
  <c r="K320" i="11"/>
  <c r="I320" i="11"/>
  <c r="H320" i="11"/>
  <c r="G320" i="11"/>
  <c r="F320" i="11"/>
  <c r="E320" i="11"/>
  <c r="D320" i="11"/>
  <c r="C320" i="11"/>
  <c r="A320" i="11"/>
  <c r="A319" i="11"/>
  <c r="A317" i="11"/>
  <c r="AL316" i="11"/>
  <c r="AK316" i="11"/>
  <c r="AK198" i="11" s="1"/>
  <c r="AJ316" i="11"/>
  <c r="AJ198" i="11" s="1"/>
  <c r="AH316" i="11"/>
  <c r="AH198" i="11" s="1"/>
  <c r="AG316" i="11"/>
  <c r="AG198" i="11" s="1"/>
  <c r="AF316" i="11"/>
  <c r="AF198" i="11" s="1"/>
  <c r="AE316" i="11"/>
  <c r="AC316" i="11"/>
  <c r="AB316" i="11"/>
  <c r="AA316" i="11"/>
  <c r="Z316" i="11"/>
  <c r="Z198" i="11" s="1"/>
  <c r="X316" i="11"/>
  <c r="X198" i="11" s="1"/>
  <c r="W316" i="11"/>
  <c r="V316" i="11"/>
  <c r="U316" i="11"/>
  <c r="S316" i="11"/>
  <c r="R316" i="11"/>
  <c r="Q316" i="11"/>
  <c r="P316" i="11"/>
  <c r="P198" i="11" s="1"/>
  <c r="N316" i="11"/>
  <c r="N198" i="11" s="1"/>
  <c r="M316" i="11"/>
  <c r="L316" i="11"/>
  <c r="H316" i="11"/>
  <c r="H198" i="11" s="1"/>
  <c r="G316" i="11"/>
  <c r="F316" i="11"/>
  <c r="E316" i="11"/>
  <c r="D316" i="11"/>
  <c r="D198" i="11" s="1"/>
  <c r="C316" i="11"/>
  <c r="C198" i="11" s="1"/>
  <c r="A316" i="11"/>
  <c r="AL315" i="11"/>
  <c r="AK315" i="11"/>
  <c r="AJ315" i="11"/>
  <c r="AH315" i="11"/>
  <c r="AG315" i="11"/>
  <c r="AF315" i="11"/>
  <c r="AF199" i="11" s="1"/>
  <c r="AE315" i="11"/>
  <c r="AE199" i="11" s="1"/>
  <c r="AC315" i="11"/>
  <c r="AC199" i="11" s="1"/>
  <c r="AB315" i="11"/>
  <c r="AA315" i="11"/>
  <c r="Z315" i="11"/>
  <c r="Y315" i="11"/>
  <c r="X315" i="11"/>
  <c r="W315" i="11"/>
  <c r="W199" i="11" s="1"/>
  <c r="V315" i="11"/>
  <c r="U315" i="11"/>
  <c r="T315" i="11"/>
  <c r="S315" i="11"/>
  <c r="R315" i="11"/>
  <c r="Q315" i="11"/>
  <c r="P315" i="11"/>
  <c r="O315" i="11"/>
  <c r="O199" i="11" s="1"/>
  <c r="N315" i="11"/>
  <c r="M315" i="11"/>
  <c r="L315" i="11"/>
  <c r="K315" i="11"/>
  <c r="J315" i="11"/>
  <c r="I315" i="11"/>
  <c r="H315" i="11"/>
  <c r="G315" i="11"/>
  <c r="G199" i="11" s="1"/>
  <c r="F315" i="11"/>
  <c r="E315" i="11"/>
  <c r="D315" i="11"/>
  <c r="C315" i="11"/>
  <c r="A315" i="11"/>
  <c r="AL314" i="11"/>
  <c r="AK314" i="11"/>
  <c r="AJ314" i="11"/>
  <c r="AH314" i="11"/>
  <c r="AG314" i="11"/>
  <c r="AF314" i="11"/>
  <c r="AE314" i="11"/>
  <c r="AC314" i="11"/>
  <c r="AB314" i="11"/>
  <c r="AA314" i="11"/>
  <c r="Z314" i="11"/>
  <c r="X314" i="11"/>
  <c r="W314" i="11"/>
  <c r="V314" i="11"/>
  <c r="U314" i="11"/>
  <c r="S314" i="11"/>
  <c r="R314" i="11"/>
  <c r="Q314" i="11"/>
  <c r="P314" i="11"/>
  <c r="N314" i="11"/>
  <c r="M314" i="11"/>
  <c r="L314" i="11"/>
  <c r="K314" i="11"/>
  <c r="I314" i="11"/>
  <c r="H314" i="11"/>
  <c r="G314" i="11"/>
  <c r="F314" i="11"/>
  <c r="E314" i="11"/>
  <c r="D314" i="11"/>
  <c r="C314" i="11"/>
  <c r="A314" i="11"/>
  <c r="AL313" i="11"/>
  <c r="AK313" i="11"/>
  <c r="AJ313" i="11"/>
  <c r="AH313" i="11"/>
  <c r="AH196" i="11" s="1"/>
  <c r="AH409" i="11" s="1"/>
  <c r="AG313" i="11"/>
  <c r="AF313" i="11"/>
  <c r="AE313" i="11"/>
  <c r="AC313" i="11"/>
  <c r="AC196" i="11" s="1"/>
  <c r="AC409" i="11" s="1"/>
  <c r="AB313" i="11"/>
  <c r="AA313" i="11"/>
  <c r="Z313" i="11"/>
  <c r="X313" i="11"/>
  <c r="W313" i="11"/>
  <c r="V313" i="11"/>
  <c r="U313" i="11"/>
  <c r="S313" i="11"/>
  <c r="R313" i="11"/>
  <c r="Q313" i="11"/>
  <c r="P313" i="11"/>
  <c r="N313" i="11"/>
  <c r="M313" i="11"/>
  <c r="L313" i="11"/>
  <c r="K313" i="11"/>
  <c r="I313" i="11"/>
  <c r="H313" i="11"/>
  <c r="G313" i="11"/>
  <c r="F313" i="11"/>
  <c r="E313" i="11"/>
  <c r="D313" i="11"/>
  <c r="C313" i="11"/>
  <c r="A313" i="11"/>
  <c r="AL312" i="11"/>
  <c r="AK312" i="11"/>
  <c r="AJ312" i="11"/>
  <c r="AH312" i="11"/>
  <c r="AG312" i="11"/>
  <c r="AF312" i="11"/>
  <c r="AE312" i="11"/>
  <c r="AC312" i="11"/>
  <c r="AB312" i="11"/>
  <c r="AA312" i="11"/>
  <c r="Z312" i="11"/>
  <c r="X312" i="11"/>
  <c r="W312" i="11"/>
  <c r="V312" i="11"/>
  <c r="U312" i="11"/>
  <c r="S312" i="11"/>
  <c r="R312" i="11"/>
  <c r="Q312" i="11"/>
  <c r="P312" i="11"/>
  <c r="O312" i="11"/>
  <c r="N312" i="11"/>
  <c r="M312" i="11"/>
  <c r="L312" i="11"/>
  <c r="K312" i="11"/>
  <c r="I312" i="11"/>
  <c r="H312" i="11"/>
  <c r="G312" i="11"/>
  <c r="F312" i="11"/>
  <c r="E312" i="11"/>
  <c r="D312" i="11"/>
  <c r="C312" i="11"/>
  <c r="A312" i="11"/>
  <c r="AL311" i="11"/>
  <c r="AK311" i="11"/>
  <c r="AJ311" i="11"/>
  <c r="AH311" i="11"/>
  <c r="AG311" i="11"/>
  <c r="AG196" i="11" s="1"/>
  <c r="AG409" i="11" s="1"/>
  <c r="AF311" i="11"/>
  <c r="AE311" i="11"/>
  <c r="AE196" i="11" s="1"/>
  <c r="AE409" i="11" s="1"/>
  <c r="AC311" i="11"/>
  <c r="AB311" i="11"/>
  <c r="AA311" i="11"/>
  <c r="Z311" i="11"/>
  <c r="X311" i="11"/>
  <c r="W311" i="11"/>
  <c r="W196" i="11" s="1"/>
  <c r="W409" i="11" s="1"/>
  <c r="V311" i="11"/>
  <c r="U311" i="11"/>
  <c r="S311" i="11"/>
  <c r="R311" i="11"/>
  <c r="Q311" i="11"/>
  <c r="P311" i="11"/>
  <c r="P196" i="11" s="1"/>
  <c r="P409" i="11" s="1"/>
  <c r="O311" i="11"/>
  <c r="N311" i="11"/>
  <c r="N196" i="11" s="1"/>
  <c r="N409" i="11" s="1"/>
  <c r="M311" i="11"/>
  <c r="L311" i="11"/>
  <c r="K311" i="11"/>
  <c r="I311" i="11"/>
  <c r="H311" i="11"/>
  <c r="G311" i="11"/>
  <c r="F311" i="11"/>
  <c r="F196" i="11" s="1"/>
  <c r="F409" i="11" s="1"/>
  <c r="E311" i="11"/>
  <c r="D311" i="11"/>
  <c r="D196" i="11" s="1"/>
  <c r="D409" i="11" s="1"/>
  <c r="C311" i="11"/>
  <c r="A311" i="11"/>
  <c r="AL310" i="11"/>
  <c r="AK310" i="11"/>
  <c r="AJ310" i="11"/>
  <c r="AI310" i="11"/>
  <c r="AH310" i="11"/>
  <c r="AG310" i="11"/>
  <c r="AF310" i="11"/>
  <c r="AE310" i="11"/>
  <c r="AC310" i="11"/>
  <c r="AB310" i="11"/>
  <c r="AA310" i="11"/>
  <c r="Z310" i="11"/>
  <c r="X310" i="11"/>
  <c r="W310" i="11"/>
  <c r="V310" i="11"/>
  <c r="U310" i="11"/>
  <c r="S310" i="11"/>
  <c r="R310" i="11"/>
  <c r="Q310" i="11"/>
  <c r="P310" i="11"/>
  <c r="N310" i="11"/>
  <c r="M310" i="11"/>
  <c r="L310" i="11"/>
  <c r="K310" i="11"/>
  <c r="I310" i="11"/>
  <c r="H310" i="11"/>
  <c r="G310" i="11"/>
  <c r="F310" i="11"/>
  <c r="E310" i="11"/>
  <c r="D310" i="11"/>
  <c r="C310" i="11"/>
  <c r="A310" i="11"/>
  <c r="AL309" i="11"/>
  <c r="AK309" i="11"/>
  <c r="AJ309" i="11"/>
  <c r="AI309" i="11"/>
  <c r="AI199" i="11" s="1"/>
  <c r="AH309" i="11"/>
  <c r="AH199" i="11" s="1"/>
  <c r="AG309" i="11"/>
  <c r="AG199" i="11" s="1"/>
  <c r="AF309" i="11"/>
  <c r="AE309" i="11"/>
  <c r="AD309" i="11"/>
  <c r="AC309" i="11"/>
  <c r="AB309" i="11"/>
  <c r="AA309" i="11"/>
  <c r="Z309" i="11"/>
  <c r="Y309" i="11"/>
  <c r="X309" i="11"/>
  <c r="X199" i="11" s="1"/>
  <c r="W309" i="11"/>
  <c r="V309" i="11"/>
  <c r="U309" i="11"/>
  <c r="T309" i="11"/>
  <c r="S309" i="11"/>
  <c r="R309" i="11"/>
  <c r="R199" i="11" s="1"/>
  <c r="Q309" i="11"/>
  <c r="P309" i="11"/>
  <c r="O309" i="11"/>
  <c r="N309" i="11"/>
  <c r="M309" i="11"/>
  <c r="L309" i="11"/>
  <c r="K309" i="11"/>
  <c r="K199" i="11" s="1"/>
  <c r="J309" i="11"/>
  <c r="J199" i="11" s="1"/>
  <c r="I309" i="11"/>
  <c r="I199" i="11" s="1"/>
  <c r="H309" i="11"/>
  <c r="H199" i="11" s="1"/>
  <c r="G309" i="11"/>
  <c r="F309" i="11"/>
  <c r="E309" i="11"/>
  <c r="D309" i="11"/>
  <c r="C309" i="11"/>
  <c r="A309" i="11"/>
  <c r="AL308" i="11"/>
  <c r="AK308" i="11"/>
  <c r="AJ308" i="11"/>
  <c r="AH308" i="11"/>
  <c r="AG308" i="11"/>
  <c r="AF308" i="11"/>
  <c r="AE308" i="11"/>
  <c r="AC308" i="11"/>
  <c r="AB308" i="11"/>
  <c r="AA308" i="11"/>
  <c r="Z308" i="11"/>
  <c r="X308" i="11"/>
  <c r="W308" i="11"/>
  <c r="V308" i="11"/>
  <c r="U308" i="11"/>
  <c r="S308" i="11"/>
  <c r="R308" i="11"/>
  <c r="Q308" i="11"/>
  <c r="P308" i="11"/>
  <c r="N308" i="11"/>
  <c r="M308" i="11"/>
  <c r="L308" i="11"/>
  <c r="K308" i="11"/>
  <c r="I308" i="11"/>
  <c r="H308" i="11"/>
  <c r="G308" i="11"/>
  <c r="F308" i="11"/>
  <c r="E308" i="11"/>
  <c r="D308" i="11"/>
  <c r="C308" i="11"/>
  <c r="A308" i="11"/>
  <c r="AL307" i="11"/>
  <c r="AK307" i="11"/>
  <c r="AJ307" i="11"/>
  <c r="AH307" i="11"/>
  <c r="AG307" i="11"/>
  <c r="AF307" i="11"/>
  <c r="AE307" i="11"/>
  <c r="AC307" i="11"/>
  <c r="AB307" i="11"/>
  <c r="AA307" i="11"/>
  <c r="Z307" i="11"/>
  <c r="X307" i="11"/>
  <c r="W307" i="11"/>
  <c r="V307" i="11"/>
  <c r="U307" i="11"/>
  <c r="T307" i="11"/>
  <c r="S307" i="11"/>
  <c r="R307" i="11"/>
  <c r="Q307" i="11"/>
  <c r="P307" i="11"/>
  <c r="O307" i="11"/>
  <c r="N307" i="11"/>
  <c r="M307" i="11"/>
  <c r="L307" i="11"/>
  <c r="K307" i="11"/>
  <c r="I307" i="11"/>
  <c r="H307" i="11"/>
  <c r="G307" i="11"/>
  <c r="F307" i="11"/>
  <c r="E307" i="11"/>
  <c r="D307" i="11"/>
  <c r="C307" i="11"/>
  <c r="A307" i="11"/>
  <c r="AL306" i="11"/>
  <c r="AK306" i="11"/>
  <c r="AJ306" i="11"/>
  <c r="AH306" i="11"/>
  <c r="AG306" i="11"/>
  <c r="AF306" i="11"/>
  <c r="AE306" i="11"/>
  <c r="AE317" i="11" s="1"/>
  <c r="AC306" i="11"/>
  <c r="AC317" i="11" s="1"/>
  <c r="AB306" i="11"/>
  <c r="AA306" i="11"/>
  <c r="Z306" i="11"/>
  <c r="X306" i="11"/>
  <c r="W306" i="11"/>
  <c r="V306" i="11"/>
  <c r="U306" i="11"/>
  <c r="T306" i="11"/>
  <c r="S306" i="11"/>
  <c r="R306" i="11"/>
  <c r="Q306" i="11"/>
  <c r="P306" i="11"/>
  <c r="O306" i="11"/>
  <c r="N306" i="11"/>
  <c r="M306" i="11"/>
  <c r="L306" i="11"/>
  <c r="L317" i="11" s="1"/>
  <c r="K306" i="11"/>
  <c r="I306" i="11"/>
  <c r="H306" i="11"/>
  <c r="G306" i="11"/>
  <c r="F306" i="11"/>
  <c r="E306" i="11"/>
  <c r="D306" i="11"/>
  <c r="C306" i="11"/>
  <c r="A306" i="11"/>
  <c r="A305" i="11"/>
  <c r="A303" i="11"/>
  <c r="AL302" i="11"/>
  <c r="AK302" i="11"/>
  <c r="AJ302" i="11"/>
  <c r="AH302" i="11"/>
  <c r="AG302" i="11"/>
  <c r="AF302" i="11"/>
  <c r="AE302" i="11"/>
  <c r="AC302" i="11"/>
  <c r="AB302" i="11"/>
  <c r="AA302" i="11"/>
  <c r="Z302" i="11"/>
  <c r="X302" i="11"/>
  <c r="W302" i="11"/>
  <c r="V302" i="11"/>
  <c r="U302" i="11"/>
  <c r="S302" i="11"/>
  <c r="R302" i="11"/>
  <c r="Q302" i="11"/>
  <c r="P302" i="11"/>
  <c r="N302" i="11"/>
  <c r="M302" i="11"/>
  <c r="L302" i="11"/>
  <c r="K302" i="11"/>
  <c r="I302" i="11"/>
  <c r="H302" i="11"/>
  <c r="G302" i="11"/>
  <c r="F302" i="11"/>
  <c r="E302" i="11"/>
  <c r="D302" i="11"/>
  <c r="C302" i="11"/>
  <c r="A302" i="11"/>
  <c r="AL301" i="11"/>
  <c r="AK301" i="11"/>
  <c r="AJ301" i="11"/>
  <c r="AH301" i="11"/>
  <c r="AG301" i="11"/>
  <c r="AF301" i="11"/>
  <c r="AE301" i="11"/>
  <c r="AC301" i="11"/>
  <c r="AB301" i="11"/>
  <c r="AA301" i="11"/>
  <c r="Z301" i="11"/>
  <c r="Y301" i="11"/>
  <c r="X301" i="11"/>
  <c r="W301" i="11"/>
  <c r="V301" i="11"/>
  <c r="U301" i="11"/>
  <c r="S301" i="11"/>
  <c r="R301" i="11"/>
  <c r="Q301" i="11"/>
  <c r="P301" i="11"/>
  <c r="N301" i="11"/>
  <c r="M301" i="11"/>
  <c r="L301" i="11"/>
  <c r="K301" i="11"/>
  <c r="I301" i="11"/>
  <c r="H301" i="11"/>
  <c r="G301" i="11"/>
  <c r="F301" i="11"/>
  <c r="E301" i="11"/>
  <c r="D301" i="11"/>
  <c r="C301" i="11"/>
  <c r="A301" i="11"/>
  <c r="AL300" i="11"/>
  <c r="AK300" i="11"/>
  <c r="AJ300" i="11"/>
  <c r="AH300" i="11"/>
  <c r="AG300" i="11"/>
  <c r="AF300" i="11"/>
  <c r="AE300" i="11"/>
  <c r="AC300" i="11"/>
  <c r="AB300" i="11"/>
  <c r="AA300" i="11"/>
  <c r="Z300" i="11"/>
  <c r="X300" i="11"/>
  <c r="W300" i="11"/>
  <c r="V300" i="11"/>
  <c r="U300" i="11"/>
  <c r="S300" i="11"/>
  <c r="R300" i="11"/>
  <c r="Q300" i="11"/>
  <c r="P300" i="11"/>
  <c r="N300" i="11"/>
  <c r="M300" i="11"/>
  <c r="L300" i="11"/>
  <c r="K300" i="11"/>
  <c r="I300" i="11"/>
  <c r="H300" i="11"/>
  <c r="G300" i="11"/>
  <c r="F300" i="11"/>
  <c r="E300" i="11"/>
  <c r="D300" i="11"/>
  <c r="C300" i="11"/>
  <c r="A300" i="11"/>
  <c r="AL299" i="11"/>
  <c r="AK299" i="11"/>
  <c r="AJ299" i="11"/>
  <c r="AH299" i="11"/>
  <c r="AG299" i="11"/>
  <c r="AF299" i="11"/>
  <c r="AE299" i="11"/>
  <c r="AC299" i="11"/>
  <c r="AB299" i="11"/>
  <c r="AA299" i="11"/>
  <c r="Z299" i="11"/>
  <c r="X299" i="11"/>
  <c r="W299" i="11"/>
  <c r="V299" i="11"/>
  <c r="U299" i="11"/>
  <c r="S299" i="11"/>
  <c r="R299" i="11"/>
  <c r="Q299" i="11"/>
  <c r="P299" i="11"/>
  <c r="N299" i="11"/>
  <c r="M299" i="11"/>
  <c r="L299" i="11"/>
  <c r="K299" i="11"/>
  <c r="I299" i="11"/>
  <c r="H299" i="11"/>
  <c r="G299" i="11"/>
  <c r="F299" i="11"/>
  <c r="E299" i="11"/>
  <c r="D299" i="11"/>
  <c r="C299" i="11"/>
  <c r="A299" i="11"/>
  <c r="AL298" i="11"/>
  <c r="AK298" i="11"/>
  <c r="AJ298" i="11"/>
  <c r="AH298" i="11"/>
  <c r="AG298" i="11"/>
  <c r="AF298" i="11"/>
  <c r="AE298" i="11"/>
  <c r="AD298" i="11"/>
  <c r="AC298" i="11"/>
  <c r="AB298" i="11"/>
  <c r="AA298" i="11"/>
  <c r="Z298" i="11"/>
  <c r="X298" i="11"/>
  <c r="W298" i="11"/>
  <c r="V298" i="11"/>
  <c r="U298" i="11"/>
  <c r="S298" i="11"/>
  <c r="R298" i="11"/>
  <c r="Q298" i="11"/>
  <c r="P298" i="11"/>
  <c r="N298" i="11"/>
  <c r="M298" i="11"/>
  <c r="L298" i="11"/>
  <c r="K298" i="11"/>
  <c r="I298" i="11"/>
  <c r="H298" i="11"/>
  <c r="G298" i="11"/>
  <c r="F298" i="11"/>
  <c r="E298" i="11"/>
  <c r="D298" i="11"/>
  <c r="C298" i="11"/>
  <c r="A298" i="11"/>
  <c r="A297" i="11"/>
  <c r="AL296" i="11"/>
  <c r="AK296" i="11"/>
  <c r="AJ296" i="11"/>
  <c r="AH296" i="11"/>
  <c r="AG296" i="11"/>
  <c r="AF296" i="11"/>
  <c r="AE296" i="11"/>
  <c r="AD296" i="11"/>
  <c r="AC296" i="11"/>
  <c r="AB296" i="11"/>
  <c r="AA296" i="11"/>
  <c r="Z296" i="11"/>
  <c r="X296" i="11"/>
  <c r="W296" i="11"/>
  <c r="V296" i="11"/>
  <c r="U296" i="11"/>
  <c r="S296" i="11"/>
  <c r="R296" i="11"/>
  <c r="Q296" i="11"/>
  <c r="P296" i="11"/>
  <c r="N296" i="11"/>
  <c r="M296" i="11"/>
  <c r="L296" i="11"/>
  <c r="K296" i="11"/>
  <c r="I296" i="11"/>
  <c r="H296" i="11"/>
  <c r="G296" i="11"/>
  <c r="F296" i="11"/>
  <c r="E296" i="11"/>
  <c r="D296" i="11"/>
  <c r="C296" i="11"/>
  <c r="A296" i="11"/>
  <c r="AL295" i="11"/>
  <c r="AK295" i="11"/>
  <c r="AJ295" i="11"/>
  <c r="AH295" i="11"/>
  <c r="AG295" i="11"/>
  <c r="AF295" i="11"/>
  <c r="AE295" i="11"/>
  <c r="AC295" i="11"/>
  <c r="AB295" i="11"/>
  <c r="AA295" i="11"/>
  <c r="Z295" i="11"/>
  <c r="X295" i="11"/>
  <c r="W295" i="11"/>
  <c r="V295" i="11"/>
  <c r="U295" i="11"/>
  <c r="S295" i="11"/>
  <c r="R295" i="11"/>
  <c r="Q295" i="11"/>
  <c r="P295" i="11"/>
  <c r="N295" i="11"/>
  <c r="M295" i="11"/>
  <c r="L295" i="11"/>
  <c r="K295" i="11"/>
  <c r="J295" i="11"/>
  <c r="I295" i="11"/>
  <c r="H295" i="11"/>
  <c r="G295" i="11"/>
  <c r="F295" i="11"/>
  <c r="E295" i="11"/>
  <c r="D295" i="11"/>
  <c r="C295" i="11"/>
  <c r="A295" i="11"/>
  <c r="AL294" i="11"/>
  <c r="AK294" i="11"/>
  <c r="AJ294" i="11"/>
  <c r="AI294" i="11"/>
  <c r="AH294" i="11"/>
  <c r="AG294" i="11"/>
  <c r="AF294" i="11"/>
  <c r="AE294" i="11"/>
  <c r="AD294" i="11"/>
  <c r="AC294" i="11"/>
  <c r="AB294" i="11"/>
  <c r="AA294" i="11"/>
  <c r="Z294" i="11"/>
  <c r="Y294" i="11"/>
  <c r="X294" i="11"/>
  <c r="W294" i="11"/>
  <c r="V294" i="11"/>
  <c r="U294" i="11"/>
  <c r="T294" i="11"/>
  <c r="S294" i="11"/>
  <c r="R294" i="11"/>
  <c r="Q294" i="11"/>
  <c r="P294" i="11"/>
  <c r="O294" i="11"/>
  <c r="N294" i="11"/>
  <c r="M294" i="11"/>
  <c r="L294" i="11"/>
  <c r="K294" i="11"/>
  <c r="J294" i="11"/>
  <c r="I294" i="11"/>
  <c r="H294" i="11"/>
  <c r="G294" i="11"/>
  <c r="F294" i="11"/>
  <c r="E294" i="11"/>
  <c r="D294" i="11"/>
  <c r="C294" i="11"/>
  <c r="A294" i="11"/>
  <c r="AL293" i="11"/>
  <c r="AK293" i="11"/>
  <c r="AJ293" i="11"/>
  <c r="AI293" i="11"/>
  <c r="AH293" i="11"/>
  <c r="AG293" i="11"/>
  <c r="AF293" i="11"/>
  <c r="AE293" i="11"/>
  <c r="AD293" i="11"/>
  <c r="AC293" i="11"/>
  <c r="AB293" i="11"/>
  <c r="AA293" i="11"/>
  <c r="Z293" i="11"/>
  <c r="Y293" i="11"/>
  <c r="X293" i="11"/>
  <c r="W293" i="11"/>
  <c r="V293" i="11"/>
  <c r="U293" i="11"/>
  <c r="T293" i="11"/>
  <c r="S293" i="11"/>
  <c r="R293" i="11"/>
  <c r="Q293" i="11"/>
  <c r="P293" i="11"/>
  <c r="O293" i="11"/>
  <c r="N293" i="11"/>
  <c r="M293" i="11"/>
  <c r="L293" i="11"/>
  <c r="K293" i="11"/>
  <c r="J293" i="11"/>
  <c r="I293" i="11"/>
  <c r="H293" i="11"/>
  <c r="G293" i="11"/>
  <c r="F293" i="11"/>
  <c r="E293" i="11"/>
  <c r="D293" i="11"/>
  <c r="C293" i="11"/>
  <c r="A293" i="11"/>
  <c r="AL292" i="11"/>
  <c r="AK292" i="11"/>
  <c r="AJ292" i="11"/>
  <c r="AH292" i="11"/>
  <c r="AG292" i="11"/>
  <c r="AF292" i="11"/>
  <c r="AE292" i="11"/>
  <c r="AC292" i="11"/>
  <c r="AB292" i="11"/>
  <c r="AA292" i="11"/>
  <c r="Z292" i="11"/>
  <c r="X292" i="11"/>
  <c r="W292" i="11"/>
  <c r="V292" i="11"/>
  <c r="U292" i="11"/>
  <c r="S292" i="11"/>
  <c r="R292" i="11"/>
  <c r="Q292" i="11"/>
  <c r="P292" i="11"/>
  <c r="O292" i="11"/>
  <c r="N292" i="11"/>
  <c r="M292" i="11"/>
  <c r="L292" i="11"/>
  <c r="K292" i="11"/>
  <c r="I292" i="11"/>
  <c r="H292" i="11"/>
  <c r="G292" i="11"/>
  <c r="F292" i="11"/>
  <c r="E292" i="11"/>
  <c r="D292" i="11"/>
  <c r="C292" i="11"/>
  <c r="A292" i="11"/>
  <c r="AL291" i="11"/>
  <c r="AK291" i="11"/>
  <c r="AJ291" i="11"/>
  <c r="AI291" i="11"/>
  <c r="AH291" i="11"/>
  <c r="AG291" i="11"/>
  <c r="AF291" i="11"/>
  <c r="AE291" i="11"/>
  <c r="AC291" i="11"/>
  <c r="AB291" i="11"/>
  <c r="AA291" i="11"/>
  <c r="Z291" i="11"/>
  <c r="X291" i="11"/>
  <c r="W291" i="11"/>
  <c r="V291" i="11"/>
  <c r="U291" i="11"/>
  <c r="T291" i="11"/>
  <c r="S291" i="11"/>
  <c r="R291" i="11"/>
  <c r="Q291" i="11"/>
  <c r="P291" i="11"/>
  <c r="N291" i="11"/>
  <c r="M291" i="11"/>
  <c r="L291" i="11"/>
  <c r="K291" i="11"/>
  <c r="I291" i="11"/>
  <c r="H291" i="11"/>
  <c r="G291" i="11"/>
  <c r="F291" i="11"/>
  <c r="E291" i="11"/>
  <c r="D291" i="11"/>
  <c r="C291" i="11"/>
  <c r="A291" i="11"/>
  <c r="AL290" i="11"/>
  <c r="AK290" i="11"/>
  <c r="AJ290" i="11"/>
  <c r="AH290" i="11"/>
  <c r="AG290" i="11"/>
  <c r="AF290" i="11"/>
  <c r="AE290" i="11"/>
  <c r="AC290" i="11"/>
  <c r="AB290" i="11"/>
  <c r="AA290" i="11"/>
  <c r="Z290" i="11"/>
  <c r="X290" i="11"/>
  <c r="W290" i="11"/>
  <c r="V290" i="11"/>
  <c r="U290" i="11"/>
  <c r="S290" i="11"/>
  <c r="R290" i="11"/>
  <c r="Q290" i="11"/>
  <c r="P290" i="11"/>
  <c r="N290" i="11"/>
  <c r="M290" i="11"/>
  <c r="L290" i="11"/>
  <c r="K290" i="11"/>
  <c r="I290" i="11"/>
  <c r="H290" i="11"/>
  <c r="G290" i="11"/>
  <c r="F290" i="11"/>
  <c r="E290" i="11"/>
  <c r="D290" i="11"/>
  <c r="D181" i="11" s="1"/>
  <c r="C290" i="11"/>
  <c r="A290" i="11"/>
  <c r="AL289" i="11"/>
  <c r="AK289" i="11"/>
  <c r="AJ289" i="11"/>
  <c r="AH289" i="11"/>
  <c r="AG289" i="11"/>
  <c r="AF289" i="11"/>
  <c r="AE289" i="11"/>
  <c r="AC289" i="11"/>
  <c r="AB289" i="11"/>
  <c r="AA289" i="11"/>
  <c r="Z289" i="11"/>
  <c r="Y289" i="11"/>
  <c r="Y163" i="11" s="1"/>
  <c r="X289" i="11"/>
  <c r="X163" i="11" s="1"/>
  <c r="W289" i="11"/>
  <c r="V289" i="11"/>
  <c r="U289" i="11"/>
  <c r="S289" i="11"/>
  <c r="R289" i="11"/>
  <c r="Q289" i="11"/>
  <c r="P289" i="11"/>
  <c r="O289" i="11"/>
  <c r="N289" i="11"/>
  <c r="M289" i="11"/>
  <c r="L289" i="11"/>
  <c r="K289" i="11"/>
  <c r="I289" i="11"/>
  <c r="H289" i="11"/>
  <c r="G289" i="11"/>
  <c r="F289" i="11"/>
  <c r="E289" i="11"/>
  <c r="D289" i="11"/>
  <c r="C289" i="11"/>
  <c r="A289" i="11"/>
  <c r="AL288" i="11"/>
  <c r="AK288" i="11"/>
  <c r="AJ288" i="11"/>
  <c r="AH288" i="11"/>
  <c r="AG288" i="11"/>
  <c r="AF288" i="11"/>
  <c r="AE288" i="11"/>
  <c r="AC288" i="11"/>
  <c r="AB288" i="11"/>
  <c r="AA288" i="11"/>
  <c r="Z288" i="11"/>
  <c r="X288" i="11"/>
  <c r="X297" i="11" s="1"/>
  <c r="W288" i="11"/>
  <c r="V288" i="11"/>
  <c r="U288" i="11"/>
  <c r="S288" i="11"/>
  <c r="R288" i="11"/>
  <c r="Q288" i="11"/>
  <c r="P288" i="11"/>
  <c r="N288" i="11"/>
  <c r="N297" i="11" s="1"/>
  <c r="M288" i="11"/>
  <c r="L288" i="11"/>
  <c r="K288" i="11"/>
  <c r="I288" i="11"/>
  <c r="H288" i="11"/>
  <c r="G288" i="11"/>
  <c r="F288" i="11"/>
  <c r="E288" i="11"/>
  <c r="D288" i="11"/>
  <c r="C288" i="11"/>
  <c r="A288" i="11"/>
  <c r="A287" i="11"/>
  <c r="AI280" i="11"/>
  <c r="AI330" i="11" s="1"/>
  <c r="AD280" i="11"/>
  <c r="AD330" i="11" s="1"/>
  <c r="Y280" i="11"/>
  <c r="Y330" i="11" s="1"/>
  <c r="T280" i="11"/>
  <c r="T330" i="11" s="1"/>
  <c r="O280" i="11"/>
  <c r="O330" i="11" s="1"/>
  <c r="J280" i="11"/>
  <c r="J330" i="11" s="1"/>
  <c r="AL278" i="11"/>
  <c r="AK278" i="11"/>
  <c r="AJ278" i="11"/>
  <c r="AH278" i="11"/>
  <c r="AG278" i="11"/>
  <c r="AF278" i="11"/>
  <c r="AF281" i="11" s="1"/>
  <c r="AE278" i="11"/>
  <c r="AC278" i="11"/>
  <c r="AB278" i="11"/>
  <c r="AA278" i="11"/>
  <c r="Z278" i="11"/>
  <c r="X278" i="11"/>
  <c r="W278" i="11"/>
  <c r="V278" i="11"/>
  <c r="U278" i="11"/>
  <c r="S278" i="11"/>
  <c r="S281" i="11" s="1"/>
  <c r="R278" i="11"/>
  <c r="Q278" i="11"/>
  <c r="P278" i="11"/>
  <c r="N278" i="11"/>
  <c r="M278" i="11"/>
  <c r="L278" i="11"/>
  <c r="K278" i="11"/>
  <c r="I278" i="11"/>
  <c r="H278" i="11"/>
  <c r="H281" i="11" s="1"/>
  <c r="G278" i="11"/>
  <c r="F278" i="11"/>
  <c r="E278" i="11"/>
  <c r="D278" i="11"/>
  <c r="C278" i="11"/>
  <c r="C281" i="11" s="1"/>
  <c r="C284" i="11" s="1"/>
  <c r="D283" i="11" s="1"/>
  <c r="AI277" i="11"/>
  <c r="AI327" i="11" s="1"/>
  <c r="AD277" i="11"/>
  <c r="AD327" i="11" s="1"/>
  <c r="Y277" i="11"/>
  <c r="Y327" i="11" s="1"/>
  <c r="AI276" i="11"/>
  <c r="AI326" i="11" s="1"/>
  <c r="AD276" i="11"/>
  <c r="AD326" i="11" s="1"/>
  <c r="AD200" i="11" s="1"/>
  <c r="AI275" i="11"/>
  <c r="AI325" i="11" s="1"/>
  <c r="AD275" i="11"/>
  <c r="AD325" i="11" s="1"/>
  <c r="Y275" i="11"/>
  <c r="Y325" i="11" s="1"/>
  <c r="T275" i="11"/>
  <c r="T325" i="11" s="1"/>
  <c r="O275" i="11"/>
  <c r="O325" i="11" s="1"/>
  <c r="J275" i="11"/>
  <c r="J325" i="11" s="1"/>
  <c r="AI274" i="11"/>
  <c r="AI324" i="11" s="1"/>
  <c r="AD274" i="11"/>
  <c r="Y274" i="11"/>
  <c r="Y324" i="11" s="1"/>
  <c r="T274" i="11"/>
  <c r="T324" i="11" s="1"/>
  <c r="O274" i="11"/>
  <c r="O324" i="11" s="1"/>
  <c r="J274" i="11"/>
  <c r="J324" i="11" s="1"/>
  <c r="AI273" i="11"/>
  <c r="AI323" i="11" s="1"/>
  <c r="AD273" i="11"/>
  <c r="AD323" i="11" s="1"/>
  <c r="Y273" i="11"/>
  <c r="Y323" i="11" s="1"/>
  <c r="T273" i="11"/>
  <c r="T323" i="11" s="1"/>
  <c r="O273" i="11"/>
  <c r="O323" i="11" s="1"/>
  <c r="J273" i="11"/>
  <c r="J323" i="11" s="1"/>
  <c r="AI272" i="11"/>
  <c r="AI322" i="11" s="1"/>
  <c r="AD272" i="11"/>
  <c r="AD322" i="11" s="1"/>
  <c r="Y272" i="11"/>
  <c r="Y322" i="11" s="1"/>
  <c r="AI271" i="11"/>
  <c r="AI321" i="11" s="1"/>
  <c r="AD271" i="11"/>
  <c r="Y271" i="11"/>
  <c r="Y321" i="11" s="1"/>
  <c r="T271" i="11"/>
  <c r="O271" i="11"/>
  <c r="J271" i="11"/>
  <c r="J321" i="11" s="1"/>
  <c r="AI270" i="11"/>
  <c r="AI320" i="11" s="1"/>
  <c r="AD270" i="11"/>
  <c r="AD320" i="11" s="1"/>
  <c r="Y270" i="11"/>
  <c r="Y320" i="11" s="1"/>
  <c r="T270" i="11"/>
  <c r="T320" i="11" s="1"/>
  <c r="O270" i="11"/>
  <c r="O320" i="11" s="1"/>
  <c r="J270" i="11"/>
  <c r="J320" i="11" s="1"/>
  <c r="AL267" i="11"/>
  <c r="AK267" i="11"/>
  <c r="AJ267" i="11"/>
  <c r="AH267" i="11"/>
  <c r="AG267" i="11"/>
  <c r="AF267" i="11"/>
  <c r="AE267" i="11"/>
  <c r="AC267" i="11"/>
  <c r="AB267" i="11"/>
  <c r="AA267" i="11"/>
  <c r="Z267" i="11"/>
  <c r="X267" i="11"/>
  <c r="X281" i="11" s="1"/>
  <c r="W267" i="11"/>
  <c r="V267" i="11"/>
  <c r="U267" i="11"/>
  <c r="S267" i="11"/>
  <c r="R267" i="11"/>
  <c r="Q267" i="11"/>
  <c r="P267" i="11"/>
  <c r="P281" i="11" s="1"/>
  <c r="N267" i="11"/>
  <c r="M267" i="11"/>
  <c r="L267" i="11"/>
  <c r="H267" i="11"/>
  <c r="G267" i="11"/>
  <c r="F267" i="11"/>
  <c r="F281" i="11" s="1"/>
  <c r="E267" i="11"/>
  <c r="D267" i="11"/>
  <c r="C267" i="11"/>
  <c r="AI266" i="11"/>
  <c r="AI316" i="11" s="1"/>
  <c r="AD266" i="11"/>
  <c r="AD316" i="11" s="1"/>
  <c r="Y266" i="11"/>
  <c r="Y316" i="11" s="1"/>
  <c r="T266" i="11"/>
  <c r="T316" i="11" s="1"/>
  <c r="T198" i="11" s="1"/>
  <c r="O266" i="11"/>
  <c r="O316" i="11" s="1"/>
  <c r="O198" i="11" s="1"/>
  <c r="K266" i="11"/>
  <c r="I266" i="11"/>
  <c r="AI265" i="11"/>
  <c r="AI315" i="11" s="1"/>
  <c r="AD265" i="11"/>
  <c r="AD315" i="11" s="1"/>
  <c r="AI264" i="11"/>
  <c r="AI314" i="11" s="1"/>
  <c r="AD264" i="11"/>
  <c r="AD314" i="11" s="1"/>
  <c r="Y264" i="11"/>
  <c r="Y314" i="11" s="1"/>
  <c r="T264" i="11"/>
  <c r="T314" i="11" s="1"/>
  <c r="O264" i="11"/>
  <c r="O314" i="11" s="1"/>
  <c r="J264" i="11"/>
  <c r="J314" i="11" s="1"/>
  <c r="AI263" i="11"/>
  <c r="AI313" i="11" s="1"/>
  <c r="AD263" i="11"/>
  <c r="AD313" i="11" s="1"/>
  <c r="Y263" i="11"/>
  <c r="Y313" i="11" s="1"/>
  <c r="T263" i="11"/>
  <c r="T313" i="11" s="1"/>
  <c r="O263" i="11"/>
  <c r="O313" i="11" s="1"/>
  <c r="J263" i="11"/>
  <c r="J313" i="11" s="1"/>
  <c r="J196" i="11" s="1"/>
  <c r="J409" i="11" s="1"/>
  <c r="AI262" i="11"/>
  <c r="AI312" i="11" s="1"/>
  <c r="AD262" i="11"/>
  <c r="AD312" i="11" s="1"/>
  <c r="Y262" i="11"/>
  <c r="Y312" i="11" s="1"/>
  <c r="T262" i="11"/>
  <c r="T312" i="11" s="1"/>
  <c r="O262" i="11"/>
  <c r="J262" i="11"/>
  <c r="J312" i="11" s="1"/>
  <c r="AI261" i="11"/>
  <c r="AI311" i="11" s="1"/>
  <c r="AD261" i="11"/>
  <c r="AD311" i="11" s="1"/>
  <c r="AD196" i="11" s="1"/>
  <c r="AD409" i="11" s="1"/>
  <c r="Y261" i="11"/>
  <c r="Y311" i="11" s="1"/>
  <c r="Y196" i="11" s="1"/>
  <c r="Y409" i="11" s="1"/>
  <c r="T261" i="11"/>
  <c r="T311" i="11" s="1"/>
  <c r="T196" i="11" s="1"/>
  <c r="T409" i="11" s="1"/>
  <c r="O261" i="11"/>
  <c r="J261" i="11"/>
  <c r="J311" i="11" s="1"/>
  <c r="AI260" i="11"/>
  <c r="AD260" i="11"/>
  <c r="AD310" i="11" s="1"/>
  <c r="Y260" i="11"/>
  <c r="Y310" i="11" s="1"/>
  <c r="T260" i="11"/>
  <c r="T310" i="11" s="1"/>
  <c r="O260" i="11"/>
  <c r="O310" i="11" s="1"/>
  <c r="J260" i="11"/>
  <c r="J310" i="11" s="1"/>
  <c r="AI258" i="11"/>
  <c r="AI308" i="11" s="1"/>
  <c r="AD258" i="11"/>
  <c r="AD308" i="11" s="1"/>
  <c r="Y258" i="11"/>
  <c r="Y308" i="11" s="1"/>
  <c r="T258" i="11"/>
  <c r="O258" i="11"/>
  <c r="J258" i="11"/>
  <c r="J308" i="11" s="1"/>
  <c r="AI257" i="11"/>
  <c r="AI307" i="11" s="1"/>
  <c r="AD257" i="11"/>
  <c r="AD307" i="11" s="1"/>
  <c r="Y257" i="11"/>
  <c r="Y307" i="11" s="1"/>
  <c r="T257" i="11"/>
  <c r="O257" i="11"/>
  <c r="J257" i="11"/>
  <c r="AI256" i="11"/>
  <c r="AD256" i="11"/>
  <c r="Y256" i="11"/>
  <c r="T256" i="11"/>
  <c r="O256" i="11"/>
  <c r="J256" i="11"/>
  <c r="J306" i="11" s="1"/>
  <c r="AJ253" i="11"/>
  <c r="Z253" i="11"/>
  <c r="X253" i="11"/>
  <c r="M253" i="11"/>
  <c r="K253" i="11"/>
  <c r="H253" i="11"/>
  <c r="AI252" i="11"/>
  <c r="AI302" i="11" s="1"/>
  <c r="AD252" i="11"/>
  <c r="AD302" i="11" s="1"/>
  <c r="Y252" i="11"/>
  <c r="Y302" i="11" s="1"/>
  <c r="T252" i="11"/>
  <c r="T302" i="11" s="1"/>
  <c r="O252" i="11"/>
  <c r="O302" i="11" s="1"/>
  <c r="J252" i="11"/>
  <c r="J302" i="11" s="1"/>
  <c r="AI251" i="11"/>
  <c r="AI301" i="11" s="1"/>
  <c r="AD251" i="11"/>
  <c r="AD301" i="11" s="1"/>
  <c r="Y251" i="11"/>
  <c r="T251" i="11"/>
  <c r="T301" i="11" s="1"/>
  <c r="O251" i="11"/>
  <c r="O301" i="11" s="1"/>
  <c r="J251" i="11"/>
  <c r="J301" i="11" s="1"/>
  <c r="AI250" i="11"/>
  <c r="AI300" i="11" s="1"/>
  <c r="AD250" i="11"/>
  <c r="AD300" i="11" s="1"/>
  <c r="Y250" i="11"/>
  <c r="Y300" i="11" s="1"/>
  <c r="T250" i="11"/>
  <c r="T300" i="11" s="1"/>
  <c r="O250" i="11"/>
  <c r="O300" i="11" s="1"/>
  <c r="J250" i="11"/>
  <c r="J300" i="11" s="1"/>
  <c r="AI249" i="11"/>
  <c r="AI299" i="11" s="1"/>
  <c r="AD249" i="11"/>
  <c r="AD299" i="11" s="1"/>
  <c r="Y249" i="11"/>
  <c r="Y299" i="11" s="1"/>
  <c r="T249" i="11"/>
  <c r="T299" i="11" s="1"/>
  <c r="O249" i="11"/>
  <c r="O299" i="11" s="1"/>
  <c r="J249" i="11"/>
  <c r="J299" i="11" s="1"/>
  <c r="AI248" i="11"/>
  <c r="AI298" i="11" s="1"/>
  <c r="AD248" i="11"/>
  <c r="Y248" i="11"/>
  <c r="Y298" i="11" s="1"/>
  <c r="T248" i="11"/>
  <c r="T298" i="11" s="1"/>
  <c r="O248" i="11"/>
  <c r="O298" i="11" s="1"/>
  <c r="J248" i="11"/>
  <c r="J298" i="11" s="1"/>
  <c r="AL247" i="11"/>
  <c r="AL253" i="11" s="1"/>
  <c r="AK247" i="11"/>
  <c r="AK253" i="11" s="1"/>
  <c r="AJ247" i="11"/>
  <c r="AH247" i="11"/>
  <c r="AH253" i="11" s="1"/>
  <c r="AH281" i="11" s="1"/>
  <c r="AG247" i="11"/>
  <c r="AG253" i="11" s="1"/>
  <c r="AF247" i="11"/>
  <c r="AF253" i="11" s="1"/>
  <c r="AE247" i="11"/>
  <c r="AE253" i="11" s="1"/>
  <c r="AC247" i="11"/>
  <c r="AC253" i="11" s="1"/>
  <c r="AB247" i="11"/>
  <c r="AB253" i="11" s="1"/>
  <c r="AA247" i="11"/>
  <c r="AA253" i="11" s="1"/>
  <c r="Z247" i="11"/>
  <c r="X247" i="11"/>
  <c r="W247" i="11"/>
  <c r="W253" i="11" s="1"/>
  <c r="V247" i="11"/>
  <c r="V253" i="11" s="1"/>
  <c r="U247" i="11"/>
  <c r="U253" i="11" s="1"/>
  <c r="S247" i="11"/>
  <c r="S253" i="11" s="1"/>
  <c r="R247" i="11"/>
  <c r="R253" i="11" s="1"/>
  <c r="Q247" i="11"/>
  <c r="Q253" i="11" s="1"/>
  <c r="P247" i="11"/>
  <c r="P253" i="11" s="1"/>
  <c r="N247" i="11"/>
  <c r="N253" i="11" s="1"/>
  <c r="M247" i="11"/>
  <c r="L247" i="11"/>
  <c r="L253" i="11" s="1"/>
  <c r="K247" i="11"/>
  <c r="I247" i="11"/>
  <c r="I253" i="11" s="1"/>
  <c r="H247" i="11"/>
  <c r="G247" i="11"/>
  <c r="G253" i="11" s="1"/>
  <c r="F247" i="11"/>
  <c r="F253" i="11" s="1"/>
  <c r="E247" i="11"/>
  <c r="E253" i="11" s="1"/>
  <c r="D247" i="11"/>
  <c r="D253" i="11" s="1"/>
  <c r="C247" i="11"/>
  <c r="C253" i="11" s="1"/>
  <c r="AI246" i="11"/>
  <c r="AI296" i="11" s="1"/>
  <c r="AD246" i="11"/>
  <c r="Y246" i="11"/>
  <c r="Y296" i="11" s="1"/>
  <c r="T246" i="11"/>
  <c r="T296" i="11" s="1"/>
  <c r="O246" i="11"/>
  <c r="O296" i="11" s="1"/>
  <c r="J246" i="11"/>
  <c r="J296" i="11" s="1"/>
  <c r="AI245" i="11"/>
  <c r="AI295" i="11" s="1"/>
  <c r="AD245" i="11"/>
  <c r="AD295" i="11" s="1"/>
  <c r="Y245" i="11"/>
  <c r="Y295" i="11" s="1"/>
  <c r="T245" i="11"/>
  <c r="T295" i="11" s="1"/>
  <c r="O245" i="11"/>
  <c r="O295" i="11" s="1"/>
  <c r="J245" i="11"/>
  <c r="AI242" i="11"/>
  <c r="AI292" i="11" s="1"/>
  <c r="AD242" i="11"/>
  <c r="AD292" i="11" s="1"/>
  <c r="Y242" i="11"/>
  <c r="Y292" i="11" s="1"/>
  <c r="T242" i="11"/>
  <c r="T292" i="11" s="1"/>
  <c r="O242" i="11"/>
  <c r="J242" i="11"/>
  <c r="J292" i="11" s="1"/>
  <c r="AI241" i="11"/>
  <c r="AD241" i="11"/>
  <c r="AD291" i="11" s="1"/>
  <c r="Y241" i="11"/>
  <c r="Y291" i="11" s="1"/>
  <c r="T241" i="11"/>
  <c r="O241" i="11"/>
  <c r="O291" i="11" s="1"/>
  <c r="J241" i="11"/>
  <c r="J291" i="11" s="1"/>
  <c r="AI240" i="11"/>
  <c r="AI290" i="11" s="1"/>
  <c r="AD240" i="11"/>
  <c r="AD290" i="11" s="1"/>
  <c r="Y240" i="11"/>
  <c r="Y290" i="11" s="1"/>
  <c r="T240" i="11"/>
  <c r="T290" i="11" s="1"/>
  <c r="O240" i="11"/>
  <c r="O290" i="11" s="1"/>
  <c r="J240" i="11"/>
  <c r="J290" i="11" s="1"/>
  <c r="AI239" i="11"/>
  <c r="AI289" i="11" s="1"/>
  <c r="AD239" i="11"/>
  <c r="AD289" i="11" s="1"/>
  <c r="Y239" i="11"/>
  <c r="T239" i="11"/>
  <c r="T289" i="11" s="1"/>
  <c r="O239" i="11"/>
  <c r="J239" i="11"/>
  <c r="AI238" i="11"/>
  <c r="AD238" i="11"/>
  <c r="Y238" i="11"/>
  <c r="T238" i="11"/>
  <c r="O238" i="11"/>
  <c r="O288" i="11" s="1"/>
  <c r="J238" i="11"/>
  <c r="J288" i="11" s="1"/>
  <c r="AL234" i="11"/>
  <c r="AK234" i="11"/>
  <c r="AJ234" i="11"/>
  <c r="AH234" i="11"/>
  <c r="AG234" i="11"/>
  <c r="AF234" i="11"/>
  <c r="AE234" i="11"/>
  <c r="AC234" i="11"/>
  <c r="AB234" i="11"/>
  <c r="AA234" i="11"/>
  <c r="Z234" i="11"/>
  <c r="Y234" i="11"/>
  <c r="X234" i="11"/>
  <c r="W234" i="11"/>
  <c r="V234" i="11"/>
  <c r="U234" i="11"/>
  <c r="T234" i="11"/>
  <c r="S234" i="11"/>
  <c r="R234" i="11"/>
  <c r="Q234" i="11"/>
  <c r="P234" i="11"/>
  <c r="O234" i="11"/>
  <c r="N234" i="11"/>
  <c r="M234" i="11"/>
  <c r="L234" i="11"/>
  <c r="K234" i="11"/>
  <c r="J234" i="11"/>
  <c r="I234" i="11"/>
  <c r="H234" i="11"/>
  <c r="G234" i="11"/>
  <c r="F234" i="11"/>
  <c r="E234" i="11"/>
  <c r="D234" i="11"/>
  <c r="C234" i="11"/>
  <c r="AL232" i="11"/>
  <c r="AK232" i="11"/>
  <c r="AJ232" i="11"/>
  <c r="AI232" i="11"/>
  <c r="AH232" i="11"/>
  <c r="AG232" i="11"/>
  <c r="AF232" i="11"/>
  <c r="AE232" i="11"/>
  <c r="AD232" i="11"/>
  <c r="AC232" i="11"/>
  <c r="AB232" i="11"/>
  <c r="AA232" i="11"/>
  <c r="Z232" i="11"/>
  <c r="Y232" i="11"/>
  <c r="X232" i="11"/>
  <c r="W232" i="11"/>
  <c r="V232" i="11"/>
  <c r="U232" i="11"/>
  <c r="T232" i="11"/>
  <c r="S232" i="11"/>
  <c r="R232" i="11"/>
  <c r="Q232" i="11"/>
  <c r="P232" i="11"/>
  <c r="O232" i="11"/>
  <c r="N232" i="11"/>
  <c r="M232" i="11"/>
  <c r="L232" i="11"/>
  <c r="K232" i="11"/>
  <c r="J232" i="11"/>
  <c r="I232" i="11"/>
  <c r="H232" i="11"/>
  <c r="G232" i="11"/>
  <c r="F232" i="11"/>
  <c r="E232" i="11"/>
  <c r="D232" i="11"/>
  <c r="C232" i="11"/>
  <c r="A223" i="11"/>
  <c r="A222" i="11"/>
  <c r="A221" i="11"/>
  <c r="A220" i="11"/>
  <c r="A219" i="11"/>
  <c r="A217" i="11"/>
  <c r="A216" i="11"/>
  <c r="AB210" i="11"/>
  <c r="R210" i="11"/>
  <c r="Q210" i="11"/>
  <c r="D210" i="11"/>
  <c r="AL209" i="11"/>
  <c r="AK209" i="11"/>
  <c r="AK210" i="11" s="1"/>
  <c r="AJ209" i="11"/>
  <c r="AH209" i="11"/>
  <c r="AG209" i="11"/>
  <c r="AF209" i="11"/>
  <c r="AE209" i="11"/>
  <c r="AE210" i="11" s="1"/>
  <c r="AC209" i="11"/>
  <c r="AC210" i="11" s="1"/>
  <c r="AB209" i="11"/>
  <c r="AA209" i="11"/>
  <c r="Z209" i="11"/>
  <c r="X209" i="11"/>
  <c r="W209" i="11"/>
  <c r="V209" i="11"/>
  <c r="U209" i="11"/>
  <c r="U210" i="11" s="1"/>
  <c r="S209" i="11"/>
  <c r="R209" i="11"/>
  <c r="Q209" i="11"/>
  <c r="P209" i="11"/>
  <c r="O209" i="11"/>
  <c r="N209" i="11"/>
  <c r="M209" i="11"/>
  <c r="L209" i="11"/>
  <c r="L210" i="11" s="1"/>
  <c r="K209" i="11"/>
  <c r="I209" i="11"/>
  <c r="H209" i="11"/>
  <c r="G209" i="11"/>
  <c r="F209" i="11"/>
  <c r="E209" i="11"/>
  <c r="D209" i="11"/>
  <c r="C209" i="11"/>
  <c r="AL208" i="11"/>
  <c r="AK208" i="11"/>
  <c r="AJ208" i="11"/>
  <c r="AI208" i="11"/>
  <c r="AH208" i="11"/>
  <c r="AG208" i="11"/>
  <c r="AG210" i="11" s="1"/>
  <c r="AF208" i="11"/>
  <c r="AE208" i="11"/>
  <c r="AC208" i="11"/>
  <c r="AB208" i="11"/>
  <c r="AA208" i="11"/>
  <c r="Z208" i="11"/>
  <c r="Y208" i="11"/>
  <c r="Y210" i="11" s="1"/>
  <c r="X208" i="11"/>
  <c r="W208" i="11"/>
  <c r="V208" i="11"/>
  <c r="U208" i="11"/>
  <c r="S208" i="11"/>
  <c r="R208" i="11"/>
  <c r="Q208" i="11"/>
  <c r="P208" i="11"/>
  <c r="N208" i="11"/>
  <c r="M208" i="11"/>
  <c r="L208" i="11"/>
  <c r="K208" i="11"/>
  <c r="I208" i="11"/>
  <c r="H208" i="11"/>
  <c r="G208" i="11"/>
  <c r="F208" i="11"/>
  <c r="F210" i="11" s="1"/>
  <c r="E208" i="11"/>
  <c r="D208" i="11"/>
  <c r="C208" i="11"/>
  <c r="AL200" i="11"/>
  <c r="AK200" i="11"/>
  <c r="AJ200" i="11"/>
  <c r="AI200" i="11"/>
  <c r="AH200" i="11"/>
  <c r="AG200" i="11"/>
  <c r="AE200" i="11"/>
  <c r="AC200" i="11"/>
  <c r="AB200" i="11"/>
  <c r="AA200" i="11"/>
  <c r="Z200" i="11"/>
  <c r="Y200" i="11"/>
  <c r="X200" i="11"/>
  <c r="W200" i="11"/>
  <c r="V200" i="11"/>
  <c r="U200" i="11"/>
  <c r="T200" i="11"/>
  <c r="S200" i="11"/>
  <c r="R200" i="11"/>
  <c r="Q200" i="11"/>
  <c r="P200" i="11"/>
  <c r="O200" i="11"/>
  <c r="N200" i="11"/>
  <c r="M200" i="11"/>
  <c r="L200" i="11"/>
  <c r="K200" i="11"/>
  <c r="J200" i="11"/>
  <c r="I200" i="11"/>
  <c r="H200" i="11"/>
  <c r="G200" i="11"/>
  <c r="F200" i="11"/>
  <c r="E200" i="11"/>
  <c r="D200" i="11"/>
  <c r="C200" i="11"/>
  <c r="AL199" i="11"/>
  <c r="AD199" i="11"/>
  <c r="Y199" i="11"/>
  <c r="Q199" i="11"/>
  <c r="P199" i="11"/>
  <c r="F199" i="11"/>
  <c r="AL198" i="11"/>
  <c r="AI198" i="11"/>
  <c r="AE198" i="11"/>
  <c r="AD198" i="11"/>
  <c r="AC198" i="11"/>
  <c r="AB198" i="11"/>
  <c r="AA198" i="11"/>
  <c r="Y198" i="11"/>
  <c r="W198" i="11"/>
  <c r="V198" i="11"/>
  <c r="U198" i="11"/>
  <c r="S198" i="11"/>
  <c r="R198" i="11"/>
  <c r="Q198" i="11"/>
  <c r="M198" i="11"/>
  <c r="L198" i="11"/>
  <c r="G198" i="11"/>
  <c r="F198" i="11"/>
  <c r="E198" i="11"/>
  <c r="A197" i="11"/>
  <c r="A445" i="11" s="1"/>
  <c r="AL196" i="11"/>
  <c r="AL409" i="11" s="1"/>
  <c r="AJ196" i="11"/>
  <c r="AJ409" i="11" s="1"/>
  <c r="AB196" i="11"/>
  <c r="AB409" i="11" s="1"/>
  <c r="AA196" i="11"/>
  <c r="AA409" i="11" s="1"/>
  <c r="Z196" i="11"/>
  <c r="Z409" i="11" s="1"/>
  <c r="V196" i="11"/>
  <c r="V409" i="11" s="1"/>
  <c r="S196" i="11"/>
  <c r="S409" i="11" s="1"/>
  <c r="R196" i="11"/>
  <c r="R409" i="11" s="1"/>
  <c r="Q196" i="11"/>
  <c r="Q409" i="11" s="1"/>
  <c r="K196" i="11"/>
  <c r="K409" i="11" s="1"/>
  <c r="I196" i="11"/>
  <c r="I409" i="11" s="1"/>
  <c r="H196" i="11"/>
  <c r="H409" i="11" s="1"/>
  <c r="G196" i="11"/>
  <c r="G409" i="11" s="1"/>
  <c r="A195" i="11"/>
  <c r="A444" i="11" s="1"/>
  <c r="A186" i="11"/>
  <c r="A443" i="11" s="1"/>
  <c r="AK181" i="11"/>
  <c r="AB181" i="11"/>
  <c r="K181" i="11"/>
  <c r="I181" i="11"/>
  <c r="H181" i="11"/>
  <c r="S175" i="11"/>
  <c r="Q175" i="11"/>
  <c r="I175" i="11"/>
  <c r="AL174" i="11"/>
  <c r="AL163" i="11" s="1"/>
  <c r="AK174" i="11"/>
  <c r="AJ174" i="11"/>
  <c r="AJ163" i="11" s="1"/>
  <c r="AI174" i="11"/>
  <c r="AH174" i="11"/>
  <c r="AG174" i="11"/>
  <c r="AF174" i="11"/>
  <c r="AE174" i="11"/>
  <c r="AE163" i="11" s="1"/>
  <c r="AD174" i="11"/>
  <c r="AC174" i="11"/>
  <c r="AB174" i="11"/>
  <c r="AB163" i="11" s="1"/>
  <c r="AA174" i="11"/>
  <c r="Z174" i="11"/>
  <c r="Z163" i="11" s="1"/>
  <c r="Y174" i="11"/>
  <c r="X174" i="11"/>
  <c r="W174" i="11"/>
  <c r="W163" i="11" s="1"/>
  <c r="V174" i="11"/>
  <c r="V163" i="11" s="1"/>
  <c r="U174" i="11"/>
  <c r="U163" i="11" s="1"/>
  <c r="S174" i="11"/>
  <c r="R174" i="11"/>
  <c r="Q174" i="11"/>
  <c r="P174" i="11"/>
  <c r="N174" i="11"/>
  <c r="N163" i="11" s="1"/>
  <c r="M174" i="11"/>
  <c r="M163" i="11" s="1"/>
  <c r="L174" i="11"/>
  <c r="L163" i="11" s="1"/>
  <c r="K174" i="11"/>
  <c r="I174" i="11"/>
  <c r="H174" i="11"/>
  <c r="H163" i="11" s="1"/>
  <c r="G174" i="11"/>
  <c r="F174" i="11"/>
  <c r="E174" i="11"/>
  <c r="D174" i="11"/>
  <c r="C174" i="11"/>
  <c r="C163" i="11" s="1"/>
  <c r="AL173" i="11"/>
  <c r="AK173" i="11"/>
  <c r="AJ173" i="11"/>
  <c r="AJ175" i="11" s="1"/>
  <c r="AI173" i="11"/>
  <c r="AI175" i="11" s="1"/>
  <c r="AH173" i="11"/>
  <c r="AH175" i="11" s="1"/>
  <c r="AG173" i="11"/>
  <c r="AG175" i="11" s="1"/>
  <c r="AF173" i="11"/>
  <c r="AF175" i="11" s="1"/>
  <c r="AE173" i="11"/>
  <c r="AE175" i="11" s="1"/>
  <c r="AD173" i="11"/>
  <c r="AC173" i="11"/>
  <c r="AB173" i="11"/>
  <c r="AA173" i="11"/>
  <c r="AA175" i="11" s="1"/>
  <c r="Z173" i="11"/>
  <c r="Z175" i="11" s="1"/>
  <c r="Y173" i="11"/>
  <c r="Y175" i="11" s="1"/>
  <c r="X173" i="11"/>
  <c r="X175" i="11" s="1"/>
  <c r="W173" i="11"/>
  <c r="W175" i="11" s="1"/>
  <c r="V173" i="11"/>
  <c r="U173" i="11"/>
  <c r="S173" i="11"/>
  <c r="R173" i="11"/>
  <c r="R175" i="11" s="1"/>
  <c r="Q173" i="11"/>
  <c r="P173" i="11"/>
  <c r="P175" i="11" s="1"/>
  <c r="N173" i="11"/>
  <c r="N175" i="11" s="1"/>
  <c r="M173" i="11"/>
  <c r="M175" i="11" s="1"/>
  <c r="L173" i="11"/>
  <c r="K173" i="11"/>
  <c r="K175" i="11" s="1"/>
  <c r="I173" i="11"/>
  <c r="H173" i="11"/>
  <c r="H175" i="11" s="1"/>
  <c r="G173" i="11"/>
  <c r="G175" i="11" s="1"/>
  <c r="F173" i="11"/>
  <c r="F175" i="11" s="1"/>
  <c r="E173" i="11"/>
  <c r="E175" i="11" s="1"/>
  <c r="D173" i="11"/>
  <c r="D175" i="11" s="1"/>
  <c r="C173" i="11"/>
  <c r="AL171" i="11"/>
  <c r="AK171" i="11"/>
  <c r="AJ171" i="11"/>
  <c r="AI171" i="11"/>
  <c r="AI181" i="11" s="1"/>
  <c r="AH171" i="11"/>
  <c r="AH181" i="11" s="1"/>
  <c r="AG171" i="11"/>
  <c r="AF171" i="11"/>
  <c r="AE171" i="11"/>
  <c r="AE181" i="11" s="1"/>
  <c r="AC171" i="11"/>
  <c r="AC181" i="11" s="1"/>
  <c r="AB171" i="11"/>
  <c r="AA171" i="11"/>
  <c r="Z171" i="11"/>
  <c r="X171" i="11"/>
  <c r="W171" i="11"/>
  <c r="W181" i="11" s="1"/>
  <c r="V171" i="11"/>
  <c r="V181" i="11" s="1"/>
  <c r="U171" i="11"/>
  <c r="U181" i="11" s="1"/>
  <c r="S171" i="11"/>
  <c r="R171" i="11"/>
  <c r="R181" i="11" s="1"/>
  <c r="Q171" i="11"/>
  <c r="Q181" i="11" s="1"/>
  <c r="P171" i="11"/>
  <c r="N171" i="11"/>
  <c r="N181" i="11" s="1"/>
  <c r="M171" i="11"/>
  <c r="M181" i="11" s="1"/>
  <c r="L171" i="11"/>
  <c r="K171" i="11"/>
  <c r="I171" i="11"/>
  <c r="H171" i="11"/>
  <c r="G171" i="11"/>
  <c r="G181" i="11" s="1"/>
  <c r="F171" i="11"/>
  <c r="F181" i="11" s="1"/>
  <c r="E171" i="11"/>
  <c r="E181" i="11" s="1"/>
  <c r="D171" i="11"/>
  <c r="C171" i="11"/>
  <c r="C181" i="11" s="1"/>
  <c r="AL167" i="11"/>
  <c r="AK167" i="11"/>
  <c r="AJ167" i="11"/>
  <c r="AI167" i="11"/>
  <c r="AH167" i="11"/>
  <c r="AG167" i="11"/>
  <c r="AF167" i="11"/>
  <c r="AE167" i="11"/>
  <c r="AC167" i="11"/>
  <c r="AB167" i="11"/>
  <c r="AA167" i="11"/>
  <c r="Z167" i="11"/>
  <c r="X167" i="11"/>
  <c r="W167" i="11"/>
  <c r="V167" i="11"/>
  <c r="U167" i="11"/>
  <c r="T167" i="11"/>
  <c r="S167" i="11"/>
  <c r="R167" i="11"/>
  <c r="Q167" i="11"/>
  <c r="P167" i="11"/>
  <c r="O167" i="11"/>
  <c r="N167" i="11"/>
  <c r="M167" i="11"/>
  <c r="L167" i="11"/>
  <c r="K167" i="11"/>
  <c r="J167" i="11"/>
  <c r="I167" i="11"/>
  <c r="H167" i="11"/>
  <c r="G167" i="11"/>
  <c r="F167" i="11"/>
  <c r="E167" i="11"/>
  <c r="D167" i="11"/>
  <c r="C167" i="11"/>
  <c r="AK163" i="11"/>
  <c r="AI163" i="11"/>
  <c r="AH163" i="11"/>
  <c r="AF163" i="11"/>
  <c r="AC163" i="11"/>
  <c r="AA163" i="11"/>
  <c r="S163" i="11"/>
  <c r="R163" i="11"/>
  <c r="Q163" i="11"/>
  <c r="K163" i="11"/>
  <c r="I163" i="11"/>
  <c r="F163" i="11"/>
  <c r="E163" i="11"/>
  <c r="D163" i="11"/>
  <c r="AL156" i="11"/>
  <c r="AK156" i="11"/>
  <c r="AJ156" i="11"/>
  <c r="AI156" i="11"/>
  <c r="AH156" i="11"/>
  <c r="AG156" i="11"/>
  <c r="AF156" i="11"/>
  <c r="AE156" i="11"/>
  <c r="AD156" i="11"/>
  <c r="AC156" i="11"/>
  <c r="AB156" i="11"/>
  <c r="AA156" i="11"/>
  <c r="Z156" i="11"/>
  <c r="Y156" i="11"/>
  <c r="X156" i="11"/>
  <c r="W156" i="11"/>
  <c r="V156" i="11"/>
  <c r="U156" i="11"/>
  <c r="T156" i="11"/>
  <c r="S156" i="11"/>
  <c r="R156" i="11"/>
  <c r="Q156" i="11"/>
  <c r="P156" i="11"/>
  <c r="O156" i="11"/>
  <c r="N156" i="11"/>
  <c r="M156" i="11"/>
  <c r="L156" i="11"/>
  <c r="K156" i="11"/>
  <c r="J156" i="11"/>
  <c r="I156" i="11"/>
  <c r="H156" i="11"/>
  <c r="G156" i="11"/>
  <c r="G157" i="11" s="1"/>
  <c r="G48" i="11" s="1"/>
  <c r="F156" i="11"/>
  <c r="E156" i="11"/>
  <c r="D156" i="11"/>
  <c r="C156" i="11"/>
  <c r="AL155" i="11"/>
  <c r="AK155" i="11"/>
  <c r="AJ155" i="11"/>
  <c r="AI155" i="11"/>
  <c r="AH155" i="11"/>
  <c r="AG155" i="11"/>
  <c r="AF155" i="11"/>
  <c r="AE155" i="11"/>
  <c r="AD155" i="11"/>
  <c r="AC155" i="11"/>
  <c r="AB155" i="11"/>
  <c r="AA155" i="11"/>
  <c r="Z155" i="11"/>
  <c r="Y155" i="11"/>
  <c r="X155" i="11"/>
  <c r="W155" i="11"/>
  <c r="V155" i="11"/>
  <c r="U155" i="11"/>
  <c r="T155" i="11"/>
  <c r="S155" i="11"/>
  <c r="R155" i="11"/>
  <c r="Q155" i="11"/>
  <c r="P155" i="11"/>
  <c r="O155" i="11"/>
  <c r="N155" i="11"/>
  <c r="M155" i="11"/>
  <c r="L155" i="11"/>
  <c r="K155" i="11"/>
  <c r="J155" i="11"/>
  <c r="I155" i="11"/>
  <c r="H155" i="11"/>
  <c r="G155" i="11"/>
  <c r="F155" i="11"/>
  <c r="E155" i="11"/>
  <c r="D155" i="11"/>
  <c r="C155" i="11"/>
  <c r="AL154" i="11"/>
  <c r="AK154" i="11"/>
  <c r="AJ154" i="11"/>
  <c r="AI154" i="11"/>
  <c r="AH154" i="11"/>
  <c r="AG154" i="11"/>
  <c r="AF154" i="11"/>
  <c r="AE154" i="11"/>
  <c r="AD154" i="11"/>
  <c r="AC154" i="11"/>
  <c r="AB154" i="11"/>
  <c r="AA154" i="11"/>
  <c r="Z154" i="11"/>
  <c r="X154" i="11"/>
  <c r="W154" i="11"/>
  <c r="V154" i="11"/>
  <c r="U154" i="11"/>
  <c r="T154" i="11"/>
  <c r="S154" i="11"/>
  <c r="R154" i="11"/>
  <c r="Q154" i="11"/>
  <c r="P154" i="11"/>
  <c r="N154" i="11"/>
  <c r="M154" i="11"/>
  <c r="L154" i="11"/>
  <c r="K154" i="11"/>
  <c r="I154" i="11"/>
  <c r="H154" i="11"/>
  <c r="G154" i="11"/>
  <c r="F154" i="11"/>
  <c r="E154" i="11"/>
  <c r="D154" i="11"/>
  <c r="C154" i="11"/>
  <c r="AL153" i="11"/>
  <c r="AK153" i="11"/>
  <c r="AJ153" i="11"/>
  <c r="AI153" i="11"/>
  <c r="AH153" i="11"/>
  <c r="AG153" i="11"/>
  <c r="AF153" i="11"/>
  <c r="AF47" i="11" s="1"/>
  <c r="AE153" i="11"/>
  <c r="AC153" i="11"/>
  <c r="AB153" i="11"/>
  <c r="AA153" i="11"/>
  <c r="Z153" i="11"/>
  <c r="X153" i="11"/>
  <c r="W153" i="11"/>
  <c r="V153" i="11"/>
  <c r="V47" i="11" s="1"/>
  <c r="U153" i="11"/>
  <c r="S153" i="11"/>
  <c r="R153" i="11"/>
  <c r="Q153" i="11"/>
  <c r="P153" i="11"/>
  <c r="N153" i="11"/>
  <c r="M153" i="11"/>
  <c r="L153" i="11"/>
  <c r="K153" i="11"/>
  <c r="I153" i="11"/>
  <c r="I47" i="11" s="1"/>
  <c r="H153" i="11"/>
  <c r="G153" i="11"/>
  <c r="F153" i="11"/>
  <c r="E153" i="11"/>
  <c r="D153" i="11"/>
  <c r="C153" i="11"/>
  <c r="AL151" i="11"/>
  <c r="AK151" i="11"/>
  <c r="AJ151" i="11"/>
  <c r="AI151" i="11"/>
  <c r="AH151" i="11"/>
  <c r="AG151" i="11"/>
  <c r="AF151" i="11"/>
  <c r="AE151" i="11"/>
  <c r="AD151" i="11"/>
  <c r="AC151" i="11"/>
  <c r="AB151" i="11"/>
  <c r="AA151" i="11"/>
  <c r="Z151" i="11"/>
  <c r="Y151" i="11"/>
  <c r="X151" i="11"/>
  <c r="W151" i="11"/>
  <c r="V151" i="11"/>
  <c r="U151" i="11"/>
  <c r="T151" i="11"/>
  <c r="S151" i="11"/>
  <c r="R151" i="11"/>
  <c r="Q151" i="11"/>
  <c r="P151" i="11"/>
  <c r="O151" i="11"/>
  <c r="N151" i="11"/>
  <c r="M151" i="11"/>
  <c r="L151" i="11"/>
  <c r="K151" i="11"/>
  <c r="J151" i="11"/>
  <c r="I151" i="11"/>
  <c r="H151" i="11"/>
  <c r="G151" i="11"/>
  <c r="F151" i="11"/>
  <c r="E151" i="11"/>
  <c r="D151" i="11"/>
  <c r="C151" i="11"/>
  <c r="AL150" i="11"/>
  <c r="AK150" i="11"/>
  <c r="AJ150" i="11"/>
  <c r="AI150" i="11"/>
  <c r="AH150" i="11"/>
  <c r="AH152" i="11" s="1"/>
  <c r="AH46" i="11" s="1"/>
  <c r="AG150" i="11"/>
  <c r="AF150" i="11"/>
  <c r="AE150" i="11"/>
  <c r="AD150" i="11"/>
  <c r="AC150" i="11"/>
  <c r="AB150" i="11"/>
  <c r="AA150" i="11"/>
  <c r="AA152" i="11" s="1"/>
  <c r="Z150" i="11"/>
  <c r="Z152" i="11" s="1"/>
  <c r="Z46" i="11" s="1"/>
  <c r="Y150" i="11"/>
  <c r="X150" i="11"/>
  <c r="W150" i="11"/>
  <c r="V150" i="11"/>
  <c r="U150" i="11"/>
  <c r="T150" i="11"/>
  <c r="S150" i="11"/>
  <c r="R150" i="11"/>
  <c r="Q150" i="11"/>
  <c r="Q152" i="11" s="1"/>
  <c r="Q46" i="11" s="1"/>
  <c r="P150" i="11"/>
  <c r="O150" i="11"/>
  <c r="N150" i="11"/>
  <c r="M150" i="11"/>
  <c r="L150" i="11"/>
  <c r="K150" i="11"/>
  <c r="J150" i="11"/>
  <c r="I150" i="11"/>
  <c r="I152" i="11" s="1"/>
  <c r="I46" i="11" s="1"/>
  <c r="H150" i="11"/>
  <c r="G150" i="11"/>
  <c r="F150" i="11"/>
  <c r="E150" i="11"/>
  <c r="D150" i="11"/>
  <c r="C150" i="11"/>
  <c r="AL149" i="11"/>
  <c r="AK149" i="11"/>
  <c r="AJ149" i="11"/>
  <c r="AI149" i="11"/>
  <c r="AH149" i="11"/>
  <c r="AG149" i="11"/>
  <c r="AF149" i="11"/>
  <c r="AE149" i="11"/>
  <c r="AD149" i="11"/>
  <c r="AC149" i="11"/>
  <c r="AB149" i="11"/>
  <c r="AA149" i="11"/>
  <c r="Z149" i="11"/>
  <c r="X149" i="11"/>
  <c r="W149" i="11"/>
  <c r="V149" i="11"/>
  <c r="U149" i="11"/>
  <c r="T149" i="11"/>
  <c r="S149" i="11"/>
  <c r="R149" i="11"/>
  <c r="Q149" i="11"/>
  <c r="P149" i="11"/>
  <c r="N149" i="11"/>
  <c r="M149" i="11"/>
  <c r="L149" i="11"/>
  <c r="K149" i="11"/>
  <c r="I149" i="11"/>
  <c r="H149" i="11"/>
  <c r="G149" i="11"/>
  <c r="F149" i="11"/>
  <c r="E149" i="11"/>
  <c r="D149" i="11"/>
  <c r="C149" i="11"/>
  <c r="AL148" i="11"/>
  <c r="AK148" i="11"/>
  <c r="AJ148" i="11"/>
  <c r="AI148" i="11"/>
  <c r="AH148" i="11"/>
  <c r="AG148" i="11"/>
  <c r="AF148" i="11"/>
  <c r="AE148" i="11"/>
  <c r="AC148" i="11"/>
  <c r="AB148" i="11"/>
  <c r="AA148" i="11"/>
  <c r="Z148" i="11"/>
  <c r="X148" i="11"/>
  <c r="W148" i="11"/>
  <c r="W152" i="11" s="1"/>
  <c r="W46" i="11" s="1"/>
  <c r="V148" i="11"/>
  <c r="V152" i="11" s="1"/>
  <c r="V46" i="11" s="1"/>
  <c r="U148" i="11"/>
  <c r="S148" i="11"/>
  <c r="R148" i="11"/>
  <c r="Q148" i="11"/>
  <c r="P148" i="11"/>
  <c r="P45" i="11" s="1"/>
  <c r="P411" i="11" s="1"/>
  <c r="N148" i="11"/>
  <c r="M148" i="11"/>
  <c r="L148" i="11"/>
  <c r="K148" i="11"/>
  <c r="I148" i="11"/>
  <c r="H148" i="11"/>
  <c r="G148" i="11"/>
  <c r="F148" i="11"/>
  <c r="E148" i="11"/>
  <c r="D148" i="11"/>
  <c r="D45" i="11" s="1"/>
  <c r="D411" i="11" s="1"/>
  <c r="C148" i="11"/>
  <c r="AE147" i="11"/>
  <c r="AL146" i="11"/>
  <c r="AK146" i="11"/>
  <c r="AJ146" i="11"/>
  <c r="AI146" i="11"/>
  <c r="AH146" i="11"/>
  <c r="AG146" i="11"/>
  <c r="AF146" i="11"/>
  <c r="AE146" i="11"/>
  <c r="AD146" i="11"/>
  <c r="AC146" i="11"/>
  <c r="AB146" i="11"/>
  <c r="AA146" i="11"/>
  <c r="Z146" i="11"/>
  <c r="Y146" i="11"/>
  <c r="X146" i="11"/>
  <c r="W146" i="11"/>
  <c r="V146" i="11"/>
  <c r="U146" i="11"/>
  <c r="T146" i="11"/>
  <c r="S146" i="11"/>
  <c r="R146" i="11"/>
  <c r="Q146" i="11"/>
  <c r="P146" i="11"/>
  <c r="O146" i="11"/>
  <c r="N146" i="11"/>
  <c r="M146" i="11"/>
  <c r="L146" i="11"/>
  <c r="K146" i="11"/>
  <c r="J146" i="11"/>
  <c r="I146" i="11"/>
  <c r="H146" i="11"/>
  <c r="G146" i="11"/>
  <c r="F146" i="11"/>
  <c r="F147" i="11" s="1"/>
  <c r="F50" i="11" s="1"/>
  <c r="E146" i="11"/>
  <c r="D146" i="11"/>
  <c r="C146" i="11"/>
  <c r="AL145" i="11"/>
  <c r="AK145" i="11"/>
  <c r="AJ145" i="11"/>
  <c r="AI145" i="11"/>
  <c r="AH145" i="11"/>
  <c r="AG145" i="11"/>
  <c r="AF145" i="11"/>
  <c r="AE145" i="11"/>
  <c r="AD145" i="11"/>
  <c r="AC145" i="11"/>
  <c r="AB145" i="11"/>
  <c r="AA145" i="11"/>
  <c r="Z145" i="11"/>
  <c r="Y145" i="11"/>
  <c r="X145" i="11"/>
  <c r="W145" i="11"/>
  <c r="V145" i="11"/>
  <c r="U145" i="11"/>
  <c r="T145" i="11"/>
  <c r="S145" i="11"/>
  <c r="R145" i="11"/>
  <c r="Q145" i="11"/>
  <c r="P145" i="11"/>
  <c r="O145" i="11"/>
  <c r="N145" i="11"/>
  <c r="M145" i="11"/>
  <c r="L145" i="11"/>
  <c r="K145" i="11"/>
  <c r="J145" i="11"/>
  <c r="I145" i="11"/>
  <c r="H145" i="11"/>
  <c r="G145" i="11"/>
  <c r="F145" i="11"/>
  <c r="E145" i="11"/>
  <c r="D145" i="11"/>
  <c r="C145" i="11"/>
  <c r="AL144" i="11"/>
  <c r="AK144" i="11"/>
  <c r="AJ144" i="11"/>
  <c r="AI144" i="11"/>
  <c r="AH144" i="11"/>
  <c r="AG144" i="11"/>
  <c r="AF144" i="11"/>
  <c r="AE144" i="11"/>
  <c r="AD144" i="11"/>
  <c r="AC144" i="11"/>
  <c r="AB144" i="11"/>
  <c r="AA144" i="11"/>
  <c r="Z144" i="11"/>
  <c r="X144" i="11"/>
  <c r="X147" i="11" s="1"/>
  <c r="X50" i="11" s="1"/>
  <c r="W144" i="11"/>
  <c r="V144" i="11"/>
  <c r="U144" i="11"/>
  <c r="S144" i="11"/>
  <c r="R144" i="11"/>
  <c r="Q144" i="11"/>
  <c r="P144" i="11"/>
  <c r="N144" i="11"/>
  <c r="M144" i="11"/>
  <c r="L144" i="11"/>
  <c r="K144" i="11"/>
  <c r="I144" i="11"/>
  <c r="H144" i="11"/>
  <c r="G144" i="11"/>
  <c r="F144" i="11"/>
  <c r="E144" i="11"/>
  <c r="D144" i="11"/>
  <c r="C144" i="11"/>
  <c r="AL143" i="11"/>
  <c r="AK143" i="11"/>
  <c r="AJ143" i="11"/>
  <c r="AI143" i="11"/>
  <c r="AH143" i="11"/>
  <c r="AG143" i="11"/>
  <c r="AF143" i="11"/>
  <c r="AE143" i="11"/>
  <c r="AC143" i="11"/>
  <c r="AB143" i="11"/>
  <c r="AA143" i="11"/>
  <c r="Z143" i="11"/>
  <c r="X143" i="11"/>
  <c r="W143" i="11"/>
  <c r="V143" i="11"/>
  <c r="U143" i="11"/>
  <c r="T143" i="11"/>
  <c r="S143" i="11"/>
  <c r="R143" i="11"/>
  <c r="R147" i="11" s="1"/>
  <c r="Q143" i="11"/>
  <c r="P143" i="11"/>
  <c r="N143" i="11"/>
  <c r="M143" i="11"/>
  <c r="L143" i="11"/>
  <c r="K143" i="11"/>
  <c r="I143" i="11"/>
  <c r="H143" i="11"/>
  <c r="G143" i="11"/>
  <c r="G147" i="11" s="1"/>
  <c r="G50" i="11" s="1"/>
  <c r="F143" i="11"/>
  <c r="E143" i="11"/>
  <c r="D143" i="11"/>
  <c r="D147" i="11" s="1"/>
  <c r="C143" i="11"/>
  <c r="L141" i="11"/>
  <c r="AL140" i="11"/>
  <c r="AK140" i="11"/>
  <c r="AJ140" i="11"/>
  <c r="AI140" i="11"/>
  <c r="AH140" i="11"/>
  <c r="AG140" i="11"/>
  <c r="AF140" i="11"/>
  <c r="AE140" i="11"/>
  <c r="AD140" i="11"/>
  <c r="AC140" i="11"/>
  <c r="AB140" i="11"/>
  <c r="AA140" i="11"/>
  <c r="Z140" i="11"/>
  <c r="Y140" i="11"/>
  <c r="X140" i="11"/>
  <c r="W140" i="11"/>
  <c r="V140" i="11"/>
  <c r="U140" i="11"/>
  <c r="T140" i="11"/>
  <c r="S140" i="11"/>
  <c r="R140" i="11"/>
  <c r="Q140" i="11"/>
  <c r="P140" i="11"/>
  <c r="O140" i="11"/>
  <c r="N140" i="11"/>
  <c r="M140" i="11"/>
  <c r="L140" i="11"/>
  <c r="K140" i="11"/>
  <c r="J140" i="11"/>
  <c r="I140" i="11"/>
  <c r="H140" i="11"/>
  <c r="G140" i="11"/>
  <c r="F140" i="11"/>
  <c r="E140" i="11"/>
  <c r="D140" i="11"/>
  <c r="C140" i="11"/>
  <c r="AL139" i="11"/>
  <c r="AK139" i="11"/>
  <c r="AJ139" i="11"/>
  <c r="AI139" i="11"/>
  <c r="AH139" i="11"/>
  <c r="AG139" i="11"/>
  <c r="AF139" i="11"/>
  <c r="AE139" i="11"/>
  <c r="AD139" i="11"/>
  <c r="AC139" i="11"/>
  <c r="AB139" i="11"/>
  <c r="AA139" i="11"/>
  <c r="Z139" i="11"/>
  <c r="Y139" i="11"/>
  <c r="X139" i="11"/>
  <c r="W139" i="11"/>
  <c r="V139" i="11"/>
  <c r="U139" i="11"/>
  <c r="T139" i="11"/>
  <c r="S139" i="11"/>
  <c r="R139" i="11"/>
  <c r="Q139" i="11"/>
  <c r="P139" i="11"/>
  <c r="O139" i="11"/>
  <c r="N139" i="11"/>
  <c r="M139" i="11"/>
  <c r="L139" i="11"/>
  <c r="K139" i="11"/>
  <c r="J139" i="11"/>
  <c r="I139" i="11"/>
  <c r="H139" i="11"/>
  <c r="G139" i="11"/>
  <c r="F139" i="11"/>
  <c r="E139" i="11"/>
  <c r="D139" i="11"/>
  <c r="C139" i="11"/>
  <c r="AL138" i="11"/>
  <c r="AK138" i="11"/>
  <c r="AJ138" i="11"/>
  <c r="AI138" i="11"/>
  <c r="AH138" i="11"/>
  <c r="AG138" i="11"/>
  <c r="AF138" i="11"/>
  <c r="AE138" i="11"/>
  <c r="AD138" i="11"/>
  <c r="AC138" i="11"/>
  <c r="AB138" i="11"/>
  <c r="AA138" i="11"/>
  <c r="Z138" i="11"/>
  <c r="Y138" i="11"/>
  <c r="X138" i="11"/>
  <c r="W138" i="11"/>
  <c r="V138" i="11"/>
  <c r="U138" i="11"/>
  <c r="T138" i="11"/>
  <c r="S138" i="11"/>
  <c r="R138" i="11"/>
  <c r="Q138" i="11"/>
  <c r="P138" i="11"/>
  <c r="O138" i="11"/>
  <c r="N138" i="11"/>
  <c r="M138" i="11"/>
  <c r="L138" i="11"/>
  <c r="K138" i="11"/>
  <c r="J138" i="11"/>
  <c r="I138" i="11"/>
  <c r="H138" i="11"/>
  <c r="G138" i="11"/>
  <c r="F138" i="11"/>
  <c r="E138" i="11"/>
  <c r="D138" i="11"/>
  <c r="C138" i="11"/>
  <c r="AL137" i="11"/>
  <c r="AK137" i="11"/>
  <c r="AJ137" i="11"/>
  <c r="AI137" i="11"/>
  <c r="AH137" i="11"/>
  <c r="AH141" i="11" s="1"/>
  <c r="AG137" i="11"/>
  <c r="AF137" i="11"/>
  <c r="AE137" i="11"/>
  <c r="AD137" i="11"/>
  <c r="AC137" i="11"/>
  <c r="AB137" i="11"/>
  <c r="AA137" i="11"/>
  <c r="Z137" i="11"/>
  <c r="X137" i="11"/>
  <c r="W137" i="11"/>
  <c r="V137" i="11"/>
  <c r="U137" i="11"/>
  <c r="S137" i="11"/>
  <c r="R137" i="11"/>
  <c r="Q137" i="11"/>
  <c r="P137" i="11"/>
  <c r="N137" i="11"/>
  <c r="M137" i="11"/>
  <c r="L137" i="11"/>
  <c r="K137" i="11"/>
  <c r="I137" i="11"/>
  <c r="H137" i="11"/>
  <c r="G137" i="11"/>
  <c r="F137" i="11"/>
  <c r="E137" i="11"/>
  <c r="D137" i="11"/>
  <c r="C137" i="11"/>
  <c r="AL136" i="11"/>
  <c r="AK136" i="11"/>
  <c r="AJ136" i="11"/>
  <c r="AJ39" i="11" s="1"/>
  <c r="AJ41" i="11" s="1"/>
  <c r="AI136" i="11"/>
  <c r="AH136" i="11"/>
  <c r="AG136" i="11"/>
  <c r="AF136" i="11"/>
  <c r="AE136" i="11"/>
  <c r="AC136" i="11"/>
  <c r="AB136" i="11"/>
  <c r="AA136" i="11"/>
  <c r="Z136" i="11"/>
  <c r="X136" i="11"/>
  <c r="W136" i="11"/>
  <c r="V136" i="11"/>
  <c r="U136" i="11"/>
  <c r="S136" i="11"/>
  <c r="R136" i="11"/>
  <c r="Q136" i="11"/>
  <c r="Q39" i="11" s="1"/>
  <c r="Q41" i="11" s="1"/>
  <c r="P136" i="11"/>
  <c r="N136" i="11"/>
  <c r="M136" i="11"/>
  <c r="L136" i="11"/>
  <c r="K136" i="11"/>
  <c r="I136" i="11"/>
  <c r="H136" i="11"/>
  <c r="G136" i="11"/>
  <c r="G39" i="11" s="1"/>
  <c r="G41" i="11" s="1"/>
  <c r="F136" i="11"/>
  <c r="F39" i="11" s="1"/>
  <c r="F41" i="11" s="1"/>
  <c r="E136" i="11"/>
  <c r="D136" i="11"/>
  <c r="C136" i="11"/>
  <c r="A134" i="11"/>
  <c r="A440" i="11" s="1"/>
  <c r="AL133" i="11"/>
  <c r="AL45" i="11" s="1"/>
  <c r="AL411" i="11" s="1"/>
  <c r="AK133" i="11"/>
  <c r="AJ133" i="11"/>
  <c r="AJ141" i="11" s="1"/>
  <c r="AI133" i="11"/>
  <c r="AH133" i="11"/>
  <c r="AH39" i="11" s="1"/>
  <c r="AH41" i="11" s="1"/>
  <c r="AG133" i="11"/>
  <c r="AF133" i="11"/>
  <c r="AE133" i="11"/>
  <c r="AC133" i="11"/>
  <c r="AB133" i="11"/>
  <c r="AA133" i="11"/>
  <c r="AA49" i="11" s="1"/>
  <c r="Z133" i="11"/>
  <c r="X133" i="11"/>
  <c r="W133" i="11"/>
  <c r="V133" i="11"/>
  <c r="V49" i="11" s="1"/>
  <c r="U133" i="11"/>
  <c r="S133" i="11"/>
  <c r="R133" i="11"/>
  <c r="Q133" i="11"/>
  <c r="P133" i="11"/>
  <c r="P340" i="11" s="1"/>
  <c r="N133" i="11"/>
  <c r="M133" i="11"/>
  <c r="L133" i="11"/>
  <c r="K133" i="11"/>
  <c r="I133" i="11"/>
  <c r="H133" i="11"/>
  <c r="G133" i="11"/>
  <c r="G49" i="11" s="1"/>
  <c r="F133" i="11"/>
  <c r="E133" i="11"/>
  <c r="D133" i="11"/>
  <c r="C133" i="11"/>
  <c r="C39" i="11" s="1"/>
  <c r="C41" i="11" s="1"/>
  <c r="AL130" i="11"/>
  <c r="AK130" i="11"/>
  <c r="AJ130" i="11"/>
  <c r="AI130" i="11"/>
  <c r="AH130" i="11"/>
  <c r="AG130" i="11"/>
  <c r="AF130" i="11"/>
  <c r="AE130" i="11"/>
  <c r="AD130" i="11"/>
  <c r="AC130" i="11"/>
  <c r="AB130" i="11"/>
  <c r="AA130" i="11"/>
  <c r="Z130" i="11"/>
  <c r="Y130" i="11"/>
  <c r="X130" i="11"/>
  <c r="W130" i="11"/>
  <c r="V130" i="11"/>
  <c r="U130" i="11"/>
  <c r="T130" i="11"/>
  <c r="S130" i="11"/>
  <c r="R130" i="11"/>
  <c r="Q130" i="11"/>
  <c r="P130" i="11"/>
  <c r="O130" i="11"/>
  <c r="N130" i="11"/>
  <c r="M130" i="11"/>
  <c r="L130" i="11"/>
  <c r="K130" i="11"/>
  <c r="J130" i="11"/>
  <c r="I130" i="11"/>
  <c r="H130" i="11"/>
  <c r="G130" i="11"/>
  <c r="F130" i="11"/>
  <c r="E130" i="11"/>
  <c r="D130" i="11"/>
  <c r="C130" i="11"/>
  <c r="AL126" i="11"/>
  <c r="AK126" i="11"/>
  <c r="AJ126" i="11"/>
  <c r="AI126" i="11"/>
  <c r="AH126" i="11"/>
  <c r="AG126" i="11"/>
  <c r="AF126" i="11"/>
  <c r="AE126" i="11"/>
  <c r="AD126" i="11"/>
  <c r="AC126" i="11"/>
  <c r="AB126" i="11"/>
  <c r="AA126" i="11"/>
  <c r="Z126" i="11"/>
  <c r="Y126" i="11"/>
  <c r="X126" i="11"/>
  <c r="W126" i="11"/>
  <c r="V126" i="11"/>
  <c r="U126" i="11"/>
  <c r="T126" i="11"/>
  <c r="S126" i="11"/>
  <c r="R126" i="11"/>
  <c r="Q126" i="11"/>
  <c r="P126" i="11"/>
  <c r="O126" i="11"/>
  <c r="N126" i="11"/>
  <c r="M126" i="11"/>
  <c r="L126" i="11"/>
  <c r="K126" i="11"/>
  <c r="J126" i="11"/>
  <c r="I126" i="11"/>
  <c r="H126" i="11"/>
  <c r="G126" i="11"/>
  <c r="F126" i="11"/>
  <c r="E126" i="11"/>
  <c r="D126" i="11"/>
  <c r="C126" i="11"/>
  <c r="AL120" i="11"/>
  <c r="AK120" i="11"/>
  <c r="AJ120" i="11"/>
  <c r="AI120" i="11"/>
  <c r="AH120" i="11"/>
  <c r="AG120" i="11"/>
  <c r="AF120" i="11"/>
  <c r="AE120" i="11"/>
  <c r="AD120" i="11"/>
  <c r="AC120" i="11"/>
  <c r="AB120" i="11"/>
  <c r="AA120" i="11"/>
  <c r="Z120" i="11"/>
  <c r="Y120" i="11"/>
  <c r="X120" i="11"/>
  <c r="W120" i="11"/>
  <c r="V120" i="11"/>
  <c r="U120" i="11"/>
  <c r="T120" i="11"/>
  <c r="S120" i="11"/>
  <c r="R120" i="11"/>
  <c r="Q120" i="11"/>
  <c r="P120" i="11"/>
  <c r="O120" i="11"/>
  <c r="N120" i="11"/>
  <c r="M120" i="11"/>
  <c r="L120" i="11"/>
  <c r="K120" i="11"/>
  <c r="J120" i="11"/>
  <c r="I120" i="11"/>
  <c r="H120" i="11"/>
  <c r="G120" i="11"/>
  <c r="F120" i="11"/>
  <c r="E120" i="11"/>
  <c r="D120" i="11"/>
  <c r="C120" i="11"/>
  <c r="AL115" i="11"/>
  <c r="AK115" i="11"/>
  <c r="AJ115" i="11"/>
  <c r="AI115" i="11"/>
  <c r="AH115" i="11"/>
  <c r="AG115" i="11"/>
  <c r="AF115" i="11"/>
  <c r="AE115" i="11"/>
  <c r="AD115" i="11"/>
  <c r="AC115" i="11"/>
  <c r="AB115" i="11"/>
  <c r="AA115" i="11"/>
  <c r="Z115" i="11"/>
  <c r="X115" i="11"/>
  <c r="W115" i="11"/>
  <c r="V115" i="11"/>
  <c r="U115" i="11"/>
  <c r="S115" i="11"/>
  <c r="R115" i="11"/>
  <c r="Q115" i="11"/>
  <c r="P115" i="11"/>
  <c r="N115" i="11"/>
  <c r="M115" i="11"/>
  <c r="L115" i="11"/>
  <c r="K115" i="11"/>
  <c r="I115" i="11"/>
  <c r="H115" i="11"/>
  <c r="G115" i="11"/>
  <c r="F115" i="11"/>
  <c r="E115" i="11"/>
  <c r="D115" i="11"/>
  <c r="C115" i="11"/>
  <c r="Y114" i="11"/>
  <c r="Y149" i="11" s="1"/>
  <c r="T114" i="11"/>
  <c r="O114" i="11"/>
  <c r="O149" i="11" s="1"/>
  <c r="J114" i="11"/>
  <c r="J149" i="11" s="1"/>
  <c r="Y113" i="11"/>
  <c r="Y154" i="11" s="1"/>
  <c r="T113" i="11"/>
  <c r="O113" i="11"/>
  <c r="O154" i="11" s="1"/>
  <c r="J113" i="11"/>
  <c r="J154" i="11" s="1"/>
  <c r="Y112" i="11"/>
  <c r="Y144" i="11" s="1"/>
  <c r="T112" i="11"/>
  <c r="T144" i="11" s="1"/>
  <c r="O112" i="11"/>
  <c r="O144" i="11" s="1"/>
  <c r="J112" i="11"/>
  <c r="J144" i="11" s="1"/>
  <c r="Y111" i="11"/>
  <c r="T111" i="11"/>
  <c r="T137" i="11" s="1"/>
  <c r="O111" i="11"/>
  <c r="J111" i="11"/>
  <c r="H101" i="11"/>
  <c r="G101" i="11"/>
  <c r="F101" i="11"/>
  <c r="AH95" i="11"/>
  <c r="AH101" i="11" s="1"/>
  <c r="W95" i="11"/>
  <c r="W101" i="11" s="1"/>
  <c r="N95" i="11"/>
  <c r="N101" i="11" s="1"/>
  <c r="L95" i="11"/>
  <c r="L101" i="11" s="1"/>
  <c r="D95" i="11"/>
  <c r="D101" i="11" s="1"/>
  <c r="AB88" i="11"/>
  <c r="AB93" i="11" s="1"/>
  <c r="R88" i="11"/>
  <c r="R93" i="11" s="1"/>
  <c r="D88" i="11"/>
  <c r="D93" i="11" s="1"/>
  <c r="T85" i="11"/>
  <c r="O85" i="11"/>
  <c r="J85" i="11"/>
  <c r="T81" i="11"/>
  <c r="O81" i="11"/>
  <c r="J81" i="11"/>
  <c r="T80" i="11"/>
  <c r="O80" i="11"/>
  <c r="J80" i="11"/>
  <c r="T79" i="11"/>
  <c r="O79" i="11"/>
  <c r="J79" i="11"/>
  <c r="T78" i="11"/>
  <c r="O78" i="11"/>
  <c r="J78" i="11"/>
  <c r="T77" i="11"/>
  <c r="T174" i="11" s="1"/>
  <c r="T163" i="11" s="1"/>
  <c r="O77" i="11"/>
  <c r="O174" i="11" s="1"/>
  <c r="J77" i="11"/>
  <c r="J174" i="11" s="1"/>
  <c r="T76" i="11"/>
  <c r="T173" i="11" s="1"/>
  <c r="O76" i="11"/>
  <c r="O173" i="11" s="1"/>
  <c r="J76" i="11"/>
  <c r="J173" i="11" s="1"/>
  <c r="AD69" i="11"/>
  <c r="AD171" i="11" s="1"/>
  <c r="AD181" i="11" s="1"/>
  <c r="Y69" i="11"/>
  <c r="Y171" i="11" s="1"/>
  <c r="T69" i="11"/>
  <c r="T171" i="11" s="1"/>
  <c r="T181" i="11" s="1"/>
  <c r="O69" i="11"/>
  <c r="J69" i="11"/>
  <c r="J171" i="11" s="1"/>
  <c r="AJ67" i="11"/>
  <c r="AD67" i="11"/>
  <c r="Y67" i="11"/>
  <c r="T67" i="11"/>
  <c r="O67" i="11"/>
  <c r="J67" i="11"/>
  <c r="AD66" i="11"/>
  <c r="AD167" i="11" s="1"/>
  <c r="Y66" i="11"/>
  <c r="Y167" i="11" s="1"/>
  <c r="P65" i="11"/>
  <c r="G65" i="11"/>
  <c r="AL64" i="11"/>
  <c r="AL95" i="11" s="1"/>
  <c r="AL101" i="11" s="1"/>
  <c r="AK64" i="11"/>
  <c r="AJ64" i="11"/>
  <c r="AI64" i="11"/>
  <c r="AI95" i="11" s="1"/>
  <c r="AI101" i="11" s="1"/>
  <c r="AH64" i="11"/>
  <c r="AG64" i="11"/>
  <c r="AG95" i="11" s="1"/>
  <c r="AG101" i="11" s="1"/>
  <c r="AF64" i="11"/>
  <c r="AF95" i="11" s="1"/>
  <c r="AF101" i="11" s="1"/>
  <c r="AE64" i="11"/>
  <c r="AE95" i="11" s="1"/>
  <c r="AE101" i="11" s="1"/>
  <c r="AC64" i="11"/>
  <c r="AC95" i="11" s="1"/>
  <c r="AC101" i="11" s="1"/>
  <c r="AB64" i="11"/>
  <c r="AA64" i="11"/>
  <c r="Z64" i="11"/>
  <c r="Z95" i="11" s="1"/>
  <c r="Z101" i="11" s="1"/>
  <c r="X64" i="11"/>
  <c r="X95" i="11" s="1"/>
  <c r="X101" i="11" s="1"/>
  <c r="W64" i="11"/>
  <c r="V64" i="11"/>
  <c r="V95" i="11" s="1"/>
  <c r="V101" i="11" s="1"/>
  <c r="U64" i="11"/>
  <c r="S64" i="11"/>
  <c r="S95" i="11" s="1"/>
  <c r="S101" i="11" s="1"/>
  <c r="R64" i="11"/>
  <c r="R95" i="11" s="1"/>
  <c r="R101" i="11" s="1"/>
  <c r="Q64" i="11"/>
  <c r="Q95" i="11" s="1"/>
  <c r="Q101" i="11" s="1"/>
  <c r="P64" i="11"/>
  <c r="P95" i="11" s="1"/>
  <c r="P101" i="11" s="1"/>
  <c r="N64" i="11"/>
  <c r="M64" i="11"/>
  <c r="L64" i="11"/>
  <c r="K64" i="11"/>
  <c r="K95" i="11" s="1"/>
  <c r="K101" i="11" s="1"/>
  <c r="J64" i="11"/>
  <c r="J95" i="11" s="1"/>
  <c r="J101" i="11" s="1"/>
  <c r="I64" i="11"/>
  <c r="H64" i="11"/>
  <c r="H95" i="11" s="1"/>
  <c r="G64" i="11"/>
  <c r="G95" i="11" s="1"/>
  <c r="F64" i="11"/>
  <c r="F95" i="11" s="1"/>
  <c r="E64" i="11"/>
  <c r="E95" i="11" s="1"/>
  <c r="E101" i="11" s="1"/>
  <c r="D64" i="11"/>
  <c r="C64" i="11"/>
  <c r="C95" i="11" s="1"/>
  <c r="C101" i="11" s="1"/>
  <c r="AD63" i="11"/>
  <c r="AD61" i="11"/>
  <c r="AD148" i="11" s="1"/>
  <c r="Y61" i="11"/>
  <c r="Y148" i="11" s="1"/>
  <c r="T61" i="11"/>
  <c r="T148" i="11" s="1"/>
  <c r="O61" i="11"/>
  <c r="O148" i="11" s="1"/>
  <c r="J61" i="11"/>
  <c r="J148" i="11" s="1"/>
  <c r="AD60" i="11"/>
  <c r="AD153" i="11" s="1"/>
  <c r="Y60" i="11"/>
  <c r="T60" i="11"/>
  <c r="T153" i="11" s="1"/>
  <c r="O60" i="11"/>
  <c r="O153" i="11" s="1"/>
  <c r="J60" i="11"/>
  <c r="J153" i="11" s="1"/>
  <c r="AD59" i="11"/>
  <c r="AD143" i="11" s="1"/>
  <c r="AD147" i="11" s="1"/>
  <c r="Y59" i="11"/>
  <c r="Y143" i="11" s="1"/>
  <c r="T59" i="11"/>
  <c r="O59" i="11"/>
  <c r="J59" i="11"/>
  <c r="J143" i="11" s="1"/>
  <c r="AL58" i="11"/>
  <c r="AL65" i="11" s="1"/>
  <c r="AK58" i="11"/>
  <c r="AK88" i="11" s="1"/>
  <c r="AK93" i="11" s="1"/>
  <c r="AJ58" i="11"/>
  <c r="AJ88" i="11" s="1"/>
  <c r="AJ93" i="11" s="1"/>
  <c r="AI58" i="11"/>
  <c r="AI88" i="11" s="1"/>
  <c r="AI93" i="11" s="1"/>
  <c r="AH58" i="11"/>
  <c r="AG58" i="11"/>
  <c r="AF58" i="11"/>
  <c r="AE58" i="11"/>
  <c r="AE65" i="11" s="1"/>
  <c r="AC58" i="11"/>
  <c r="AB58" i="11"/>
  <c r="AA58" i="11"/>
  <c r="AA88" i="11" s="1"/>
  <c r="AA93" i="11" s="1"/>
  <c r="Z58" i="11"/>
  <c r="Z88" i="11" s="1"/>
  <c r="Z93" i="11" s="1"/>
  <c r="X58" i="11"/>
  <c r="W58" i="11"/>
  <c r="V58" i="11"/>
  <c r="V65" i="11" s="1"/>
  <c r="U58" i="11"/>
  <c r="U88" i="11" s="1"/>
  <c r="U93" i="11" s="1"/>
  <c r="S58" i="11"/>
  <c r="S88" i="11" s="1"/>
  <c r="S93" i="11" s="1"/>
  <c r="R58" i="11"/>
  <c r="Q58" i="11"/>
  <c r="Q88" i="11" s="1"/>
  <c r="Q93" i="11" s="1"/>
  <c r="P58" i="11"/>
  <c r="P88" i="11" s="1"/>
  <c r="P93" i="11" s="1"/>
  <c r="N58" i="11"/>
  <c r="M58" i="11"/>
  <c r="M88" i="11" s="1"/>
  <c r="M93" i="11" s="1"/>
  <c r="L58" i="11"/>
  <c r="L65" i="11" s="1"/>
  <c r="K58" i="11"/>
  <c r="I58" i="11"/>
  <c r="I88" i="11" s="1"/>
  <c r="I93" i="11" s="1"/>
  <c r="H58" i="11"/>
  <c r="G58" i="11"/>
  <c r="G88" i="11" s="1"/>
  <c r="G93" i="11" s="1"/>
  <c r="F58" i="11"/>
  <c r="E58" i="11"/>
  <c r="D58" i="11"/>
  <c r="C58" i="11"/>
  <c r="C65" i="11" s="1"/>
  <c r="AD57" i="11"/>
  <c r="Y57" i="11"/>
  <c r="Y136" i="11" s="1"/>
  <c r="T57" i="11"/>
  <c r="T136" i="11" s="1"/>
  <c r="O57" i="11"/>
  <c r="O136" i="11" s="1"/>
  <c r="J57" i="11"/>
  <c r="J136" i="11" s="1"/>
  <c r="AD56" i="11"/>
  <c r="Y56" i="11"/>
  <c r="Y58" i="11" s="1"/>
  <c r="Y88" i="11" s="1"/>
  <c r="Y93" i="11" s="1"/>
  <c r="T56" i="11"/>
  <c r="T34" i="11" s="1"/>
  <c r="O56" i="11"/>
  <c r="J56" i="11"/>
  <c r="A53" i="11"/>
  <c r="AH49" i="11"/>
  <c r="AF49" i="11"/>
  <c r="X49" i="11"/>
  <c r="Q49" i="11"/>
  <c r="P49" i="11"/>
  <c r="I49" i="11"/>
  <c r="AH47" i="11"/>
  <c r="AG47" i="11"/>
  <c r="Z47" i="11"/>
  <c r="X47" i="11"/>
  <c r="Q47" i="11"/>
  <c r="P47" i="11"/>
  <c r="G47" i="11"/>
  <c r="F47" i="11"/>
  <c r="AH45" i="11"/>
  <c r="AH411" i="11" s="1"/>
  <c r="AB45" i="11"/>
  <c r="AB411" i="11" s="1"/>
  <c r="Z45" i="11"/>
  <c r="Z411" i="11" s="1"/>
  <c r="W45" i="11"/>
  <c r="W411" i="11" s="1"/>
  <c r="Q45" i="11"/>
  <c r="Q411" i="11" s="1"/>
  <c r="N45" i="11"/>
  <c r="N411" i="11" s="1"/>
  <c r="G45" i="11"/>
  <c r="G411" i="11" s="1"/>
  <c r="F45" i="11"/>
  <c r="F411" i="11" s="1"/>
  <c r="AG41" i="11"/>
  <c r="N41" i="11"/>
  <c r="AG39" i="11"/>
  <c r="AF39" i="11"/>
  <c r="AF41" i="11" s="1"/>
  <c r="X39" i="11"/>
  <c r="X41" i="11" s="1"/>
  <c r="W39" i="11"/>
  <c r="W41" i="11" s="1"/>
  <c r="V39" i="11"/>
  <c r="V41" i="11" s="1"/>
  <c r="N39" i="11"/>
  <c r="L39" i="11"/>
  <c r="L41" i="11" s="1"/>
  <c r="K39" i="11"/>
  <c r="K41" i="11" s="1"/>
  <c r="I39" i="11"/>
  <c r="I41" i="11" s="1"/>
  <c r="J36" i="11"/>
  <c r="AI35" i="11"/>
  <c r="AD34" i="11"/>
  <c r="Y34" i="11"/>
  <c r="AG31" i="11"/>
  <c r="N31" i="11"/>
  <c r="M31" i="11"/>
  <c r="AI30" i="11"/>
  <c r="AD30" i="11"/>
  <c r="Y30" i="11"/>
  <c r="T30" i="11"/>
  <c r="O30" i="11"/>
  <c r="J30" i="11"/>
  <c r="AI29" i="11"/>
  <c r="AD29" i="11"/>
  <c r="Y29" i="11"/>
  <c r="T29" i="11"/>
  <c r="O29" i="11"/>
  <c r="J29" i="11"/>
  <c r="AL28" i="11"/>
  <c r="AL31" i="11" s="1"/>
  <c r="AK28" i="11"/>
  <c r="AK31" i="11" s="1"/>
  <c r="AJ28" i="11"/>
  <c r="AJ31" i="11" s="1"/>
  <c r="AH28" i="11"/>
  <c r="AH31" i="11" s="1"/>
  <c r="AG28" i="11"/>
  <c r="AF28" i="11"/>
  <c r="AF31" i="11" s="1"/>
  <c r="AE28" i="11"/>
  <c r="AE31" i="11" s="1"/>
  <c r="AC28" i="11"/>
  <c r="AC31" i="11" s="1"/>
  <c r="AB28" i="11"/>
  <c r="AB31" i="11" s="1"/>
  <c r="AA28" i="11"/>
  <c r="AA31" i="11" s="1"/>
  <c r="Z28" i="11"/>
  <c r="Z31" i="11" s="1"/>
  <c r="X28" i="11"/>
  <c r="X31" i="11" s="1"/>
  <c r="W28" i="11"/>
  <c r="W31" i="11" s="1"/>
  <c r="V28" i="11"/>
  <c r="V31" i="11" s="1"/>
  <c r="U28" i="11"/>
  <c r="U31" i="11" s="1"/>
  <c r="S28" i="11"/>
  <c r="S31" i="11" s="1"/>
  <c r="R28" i="11"/>
  <c r="R31" i="11" s="1"/>
  <c r="Q28" i="11"/>
  <c r="Q31" i="11" s="1"/>
  <c r="P28" i="11"/>
  <c r="P31" i="11" s="1"/>
  <c r="N28" i="11"/>
  <c r="M28" i="11"/>
  <c r="K28" i="11"/>
  <c r="K31" i="11" s="1"/>
  <c r="I28" i="11"/>
  <c r="I31" i="11" s="1"/>
  <c r="H28" i="11"/>
  <c r="H31" i="11" s="1"/>
  <c r="G28" i="11"/>
  <c r="G31" i="11" s="1"/>
  <c r="F28" i="11"/>
  <c r="F31" i="11" s="1"/>
  <c r="E28" i="11"/>
  <c r="E31" i="11" s="1"/>
  <c r="D28" i="11"/>
  <c r="D31" i="11" s="1"/>
  <c r="C28" i="11"/>
  <c r="C31" i="11" s="1"/>
  <c r="AI27" i="11"/>
  <c r="AD27" i="11"/>
  <c r="Y27" i="11"/>
  <c r="T27" i="11"/>
  <c r="L27" i="11"/>
  <c r="J27" i="11"/>
  <c r="T26" i="11"/>
  <c r="O26" i="11"/>
  <c r="J26" i="11"/>
  <c r="T25" i="11"/>
  <c r="O25" i="11"/>
  <c r="J25" i="11"/>
  <c r="T24" i="11"/>
  <c r="O24" i="11"/>
  <c r="J24" i="11"/>
  <c r="AI23" i="11"/>
  <c r="AD23" i="11"/>
  <c r="Y23" i="11"/>
  <c r="T23" i="11"/>
  <c r="O23" i="11"/>
  <c r="J23" i="11"/>
  <c r="AI22" i="11"/>
  <c r="AD22" i="11"/>
  <c r="Y22" i="11"/>
  <c r="T22" i="11"/>
  <c r="O22" i="11"/>
  <c r="J22" i="11"/>
  <c r="AI21" i="11"/>
  <c r="AL18" i="11"/>
  <c r="AK18" i="11"/>
  <c r="AJ18" i="11"/>
  <c r="AH18" i="11"/>
  <c r="AH11" i="11" s="1"/>
  <c r="AG18" i="11"/>
  <c r="AF18" i="11"/>
  <c r="AF11" i="11" s="1"/>
  <c r="AE18" i="11"/>
  <c r="AC18" i="11"/>
  <c r="AB18" i="11"/>
  <c r="AA18" i="11"/>
  <c r="AA11" i="11" s="1"/>
  <c r="Z18" i="11"/>
  <c r="X18" i="11"/>
  <c r="W18" i="11"/>
  <c r="W11" i="11" s="1"/>
  <c r="V18" i="11"/>
  <c r="U18" i="11"/>
  <c r="S18" i="11"/>
  <c r="X11" i="11" s="1"/>
  <c r="R18" i="11"/>
  <c r="Q18" i="11"/>
  <c r="P18" i="11"/>
  <c r="N18" i="11"/>
  <c r="N11" i="11" s="1"/>
  <c r="M18" i="11"/>
  <c r="L18" i="11"/>
  <c r="K18" i="11"/>
  <c r="K11" i="11" s="1"/>
  <c r="I18" i="11"/>
  <c r="H18" i="11"/>
  <c r="G18" i="11"/>
  <c r="F18" i="11"/>
  <c r="E18" i="11"/>
  <c r="D18" i="11"/>
  <c r="C18" i="11"/>
  <c r="AI17" i="11"/>
  <c r="AD17" i="11"/>
  <c r="Y17" i="11"/>
  <c r="T17" i="11"/>
  <c r="O17" i="11"/>
  <c r="J17" i="11"/>
  <c r="O10" i="11" s="1"/>
  <c r="AI16" i="11"/>
  <c r="AD16" i="11"/>
  <c r="Y16" i="11"/>
  <c r="AD9" i="11" s="1"/>
  <c r="T16" i="11"/>
  <c r="O16" i="11"/>
  <c r="J16" i="11"/>
  <c r="AI15" i="11"/>
  <c r="AD15" i="11"/>
  <c r="Y15" i="11"/>
  <c r="Y8" i="11" s="1"/>
  <c r="T15" i="11"/>
  <c r="O15" i="11"/>
  <c r="O18" i="11" s="1"/>
  <c r="J15" i="11"/>
  <c r="AI14" i="11"/>
  <c r="AD14" i="11"/>
  <c r="Y14" i="11"/>
  <c r="T14" i="11"/>
  <c r="O14" i="11"/>
  <c r="J14" i="11"/>
  <c r="AK11" i="11"/>
  <c r="AE11" i="11"/>
  <c r="M11" i="11"/>
  <c r="D11" i="11"/>
  <c r="AL10" i="11"/>
  <c r="AK10" i="11"/>
  <c r="AJ10" i="11"/>
  <c r="AH10" i="11"/>
  <c r="AG10" i="11"/>
  <c r="AF10" i="11"/>
  <c r="AE10" i="11"/>
  <c r="AC10" i="11"/>
  <c r="AB10" i="11"/>
  <c r="AA10" i="11"/>
  <c r="Z10" i="11"/>
  <c r="X10" i="11"/>
  <c r="W10" i="11"/>
  <c r="V10" i="11"/>
  <c r="U10" i="11"/>
  <c r="S10" i="11"/>
  <c r="R10" i="11"/>
  <c r="Q10" i="11"/>
  <c r="P10" i="11"/>
  <c r="N10" i="11"/>
  <c r="M10" i="11"/>
  <c r="L10" i="11"/>
  <c r="K10" i="11"/>
  <c r="F10" i="11"/>
  <c r="E10" i="11"/>
  <c r="D10" i="11"/>
  <c r="AL9" i="11"/>
  <c r="AK9" i="11"/>
  <c r="AJ9" i="11"/>
  <c r="AI9" i="11"/>
  <c r="AH9" i="11"/>
  <c r="AG9" i="11"/>
  <c r="AF9" i="11"/>
  <c r="AE9" i="11"/>
  <c r="AC9" i="11"/>
  <c r="AB9" i="11"/>
  <c r="AA9" i="11"/>
  <c r="Z9" i="11"/>
  <c r="X9" i="11"/>
  <c r="W9" i="11"/>
  <c r="V9" i="11"/>
  <c r="U9" i="11"/>
  <c r="S9" i="11"/>
  <c r="R9" i="11"/>
  <c r="Q9" i="11"/>
  <c r="P9" i="11"/>
  <c r="N9" i="11"/>
  <c r="M9" i="11"/>
  <c r="L9" i="11"/>
  <c r="K9" i="11"/>
  <c r="F9" i="11"/>
  <c r="E9" i="11"/>
  <c r="D9" i="11"/>
  <c r="AL8" i="11"/>
  <c r="AK8" i="11"/>
  <c r="AJ8" i="11"/>
  <c r="AH8" i="11"/>
  <c r="AG8" i="11"/>
  <c r="AF8" i="11"/>
  <c r="AE8" i="11"/>
  <c r="AC8" i="11"/>
  <c r="AB8" i="11"/>
  <c r="AA8" i="11"/>
  <c r="Z8" i="11"/>
  <c r="X8" i="11"/>
  <c r="W8" i="11"/>
  <c r="V8" i="11"/>
  <c r="U8" i="11"/>
  <c r="S8" i="11"/>
  <c r="R8" i="11"/>
  <c r="Q8" i="11"/>
  <c r="P8" i="11"/>
  <c r="N8" i="11"/>
  <c r="M8" i="11"/>
  <c r="L8" i="11"/>
  <c r="K8" i="11"/>
  <c r="F8" i="11"/>
  <c r="E8" i="11"/>
  <c r="D8" i="11"/>
  <c r="AL7" i="11"/>
  <c r="AK7" i="11"/>
  <c r="AJ7" i="11"/>
  <c r="AH7" i="11"/>
  <c r="AG7" i="11"/>
  <c r="AF7" i="11"/>
  <c r="AE7" i="11"/>
  <c r="AC7" i="11"/>
  <c r="AB7" i="11"/>
  <c r="AA7" i="11"/>
  <c r="Z7" i="11"/>
  <c r="X7" i="11"/>
  <c r="W7" i="11"/>
  <c r="V7" i="11"/>
  <c r="U7" i="11"/>
  <c r="S7" i="11"/>
  <c r="R7" i="11"/>
  <c r="Q7" i="11"/>
  <c r="P7" i="11"/>
  <c r="O7" i="11"/>
  <c r="N7" i="11"/>
  <c r="M7" i="11"/>
  <c r="L7" i="11"/>
  <c r="K7" i="11"/>
  <c r="F7" i="11"/>
  <c r="E7" i="11"/>
  <c r="D7" i="11"/>
  <c r="U5" i="11"/>
  <c r="V5" i="11" s="1"/>
  <c r="W5" i="11" s="1"/>
  <c r="X5" i="11" s="1"/>
  <c r="Y5" i="11" s="1"/>
  <c r="L5" i="11"/>
  <c r="M5" i="11" s="1"/>
  <c r="N5" i="11" s="1"/>
  <c r="O5" i="11" s="1"/>
  <c r="E5" i="11"/>
  <c r="F5" i="11" s="1"/>
  <c r="K5" i="11" s="1"/>
  <c r="P5" i="11" s="1"/>
  <c r="Q5" i="11" s="1"/>
  <c r="R5" i="11" s="1"/>
  <c r="S5" i="11" s="1"/>
  <c r="T5" i="11" s="1"/>
  <c r="D5" i="11"/>
  <c r="D4" i="11"/>
  <c r="A4" i="11"/>
  <c r="C2" i="11"/>
  <c r="C3" i="11" s="1"/>
  <c r="C449" i="11" s="1"/>
  <c r="A126" i="9"/>
  <c r="A125" i="9"/>
  <c r="A124" i="9"/>
  <c r="A123" i="9"/>
  <c r="A122" i="9"/>
  <c r="A121" i="9"/>
  <c r="I110" i="9"/>
  <c r="H110" i="9"/>
  <c r="G110" i="9"/>
  <c r="I104" i="9"/>
  <c r="H104" i="9"/>
  <c r="G104" i="9"/>
  <c r="CK80" i="9"/>
  <c r="CJ80" i="9"/>
  <c r="CI80" i="9"/>
  <c r="CG80" i="9"/>
  <c r="CF80" i="9"/>
  <c r="CE80" i="9"/>
  <c r="CD80" i="9"/>
  <c r="CB80" i="9"/>
  <c r="CA80" i="9"/>
  <c r="BZ80" i="9"/>
  <c r="BY80" i="9"/>
  <c r="BW80" i="9"/>
  <c r="BV80" i="9"/>
  <c r="BU80" i="9"/>
  <c r="BT80" i="9"/>
  <c r="BR80" i="9"/>
  <c r="BQ80" i="9"/>
  <c r="BP80" i="9"/>
  <c r="CK75" i="9"/>
  <c r="CJ75" i="9"/>
  <c r="CI75" i="9"/>
  <c r="CG75" i="9"/>
  <c r="CF75" i="9"/>
  <c r="CE75" i="9"/>
  <c r="CD75" i="9"/>
  <c r="CB75" i="9"/>
  <c r="CA75" i="9"/>
  <c r="BZ75" i="9"/>
  <c r="CK74" i="9"/>
  <c r="CJ74" i="9"/>
  <c r="CI74" i="9"/>
  <c r="CG74" i="9"/>
  <c r="CF74" i="9"/>
  <c r="CE74" i="9"/>
  <c r="CD74" i="9"/>
  <c r="CB74" i="9"/>
  <c r="CA74" i="9"/>
  <c r="BZ74" i="9"/>
  <c r="CK73" i="9"/>
  <c r="CJ73" i="9"/>
  <c r="CI73" i="9"/>
  <c r="CG73" i="9"/>
  <c r="CF73" i="9"/>
  <c r="CE73" i="9"/>
  <c r="CD73" i="9"/>
  <c r="CB73" i="9"/>
  <c r="CA73" i="9"/>
  <c r="BZ73" i="9"/>
  <c r="CK72" i="9"/>
  <c r="CJ72" i="9"/>
  <c r="CI72" i="9"/>
  <c r="CG72" i="9"/>
  <c r="CF72" i="9"/>
  <c r="CE72" i="9"/>
  <c r="CD72" i="9"/>
  <c r="CB72" i="9"/>
  <c r="CA72" i="9"/>
  <c r="BZ72" i="9"/>
  <c r="A72" i="9"/>
  <c r="CK71" i="9"/>
  <c r="CJ71" i="9"/>
  <c r="CI71" i="9"/>
  <c r="CG71" i="9"/>
  <c r="CF71" i="9"/>
  <c r="CE71" i="9"/>
  <c r="CD71" i="9"/>
  <c r="CB71" i="9"/>
  <c r="CA71" i="9"/>
  <c r="BZ71" i="9"/>
  <c r="A71" i="9"/>
  <c r="A69" i="9"/>
  <c r="CK67" i="9"/>
  <c r="CJ67" i="9"/>
  <c r="CI67" i="9"/>
  <c r="CG67" i="9"/>
  <c r="CF67" i="9"/>
  <c r="CE67" i="9"/>
  <c r="CD67" i="9"/>
  <c r="CB67" i="9"/>
  <c r="CA67" i="9"/>
  <c r="BZ67" i="9"/>
  <c r="A67" i="9"/>
  <c r="A64" i="9"/>
  <c r="A61" i="9"/>
  <c r="A60" i="9"/>
  <c r="A59" i="9"/>
  <c r="A58" i="9"/>
  <c r="A57" i="9"/>
  <c r="A56" i="9"/>
  <c r="A53" i="9"/>
  <c r="A52" i="9"/>
  <c r="A51" i="9"/>
  <c r="BY48" i="9"/>
  <c r="BX48" i="9"/>
  <c r="BW48" i="9"/>
  <c r="BV48" i="9"/>
  <c r="BU48" i="9"/>
  <c r="BT48" i="9"/>
  <c r="BS48" i="9"/>
  <c r="BR48" i="9"/>
  <c r="BQ48" i="9"/>
  <c r="BP48" i="9"/>
  <c r="A48" i="9"/>
  <c r="A47" i="9"/>
  <c r="A45" i="9"/>
  <c r="A43" i="9"/>
  <c r="A42" i="9"/>
  <c r="A41" i="9"/>
  <c r="CK40" i="9"/>
  <c r="CJ40" i="9"/>
  <c r="CI40" i="9"/>
  <c r="CG40" i="9"/>
  <c r="CF40" i="9"/>
  <c r="CE40" i="9"/>
  <c r="CD40" i="9"/>
  <c r="CB40" i="9"/>
  <c r="CA40" i="9"/>
  <c r="BZ40" i="9"/>
  <c r="A40" i="9"/>
  <c r="A39" i="9"/>
  <c r="A38" i="9"/>
  <c r="A37" i="9"/>
  <c r="A36" i="9"/>
  <c r="A35" i="9"/>
  <c r="A34" i="9"/>
  <c r="A33" i="9"/>
  <c r="A32" i="9"/>
  <c r="BY31" i="9"/>
  <c r="A31" i="9"/>
  <c r="A30" i="9"/>
  <c r="A29" i="9"/>
  <c r="A26" i="9"/>
  <c r="BY25" i="9"/>
  <c r="BW25" i="9"/>
  <c r="BV25" i="9"/>
  <c r="BU25" i="9"/>
  <c r="BT25" i="9"/>
  <c r="BR25" i="9"/>
  <c r="BQ25" i="9"/>
  <c r="BP25" i="9"/>
  <c r="BO25" i="9"/>
  <c r="BM25" i="9"/>
  <c r="BL25" i="9"/>
  <c r="BK25" i="9"/>
  <c r="BJ25" i="9"/>
  <c r="BH25" i="9"/>
  <c r="BG25" i="9"/>
  <c r="BF25" i="9"/>
  <c r="BE25" i="9"/>
  <c r="BC25" i="9"/>
  <c r="BB25" i="9"/>
  <c r="BA25" i="9"/>
  <c r="AZ25" i="9"/>
  <c r="AX25" i="9"/>
  <c r="AW25" i="9"/>
  <c r="AV25" i="9"/>
  <c r="AU25" i="9"/>
  <c r="AS25" i="9"/>
  <c r="AR25" i="9"/>
  <c r="AQ25" i="9"/>
  <c r="AP25" i="9"/>
  <c r="AN25" i="9"/>
  <c r="AM25" i="9"/>
  <c r="AL25" i="9"/>
  <c r="AK25" i="9"/>
  <c r="AJ25" i="9"/>
  <c r="AH25" i="9"/>
  <c r="AG25" i="9"/>
  <c r="AF25" i="9"/>
  <c r="AE25" i="9"/>
  <c r="AC25" i="9"/>
  <c r="AB25" i="9"/>
  <c r="AA25" i="9"/>
  <c r="Z25" i="9"/>
  <c r="X25" i="9"/>
  <c r="W25" i="9"/>
  <c r="V25" i="9"/>
  <c r="U25" i="9"/>
  <c r="S25" i="9"/>
  <c r="R25" i="9"/>
  <c r="Q25" i="9"/>
  <c r="P25" i="9"/>
  <c r="A25" i="9"/>
  <c r="BY24" i="9"/>
  <c r="BW24" i="9"/>
  <c r="BV24" i="9"/>
  <c r="BU24" i="9"/>
  <c r="BT24" i="9"/>
  <c r="BR24" i="9"/>
  <c r="BQ24" i="9"/>
  <c r="BP24" i="9"/>
  <c r="BO24" i="9"/>
  <c r="BM24" i="9"/>
  <c r="BL24" i="9"/>
  <c r="BK24" i="9"/>
  <c r="BJ24" i="9"/>
  <c r="BH24" i="9"/>
  <c r="BG24" i="9"/>
  <c r="BF24" i="9"/>
  <c r="BE24" i="9"/>
  <c r="BC24" i="9"/>
  <c r="BB24" i="9"/>
  <c r="BA24" i="9"/>
  <c r="AZ24" i="9"/>
  <c r="AX24" i="9"/>
  <c r="AW24" i="9"/>
  <c r="AV24" i="9"/>
  <c r="AU24" i="9"/>
  <c r="AS24" i="9"/>
  <c r="AR24" i="9"/>
  <c r="AQ24" i="9"/>
  <c r="AP24" i="9"/>
  <c r="AN24" i="9"/>
  <c r="AM24" i="9"/>
  <c r="AL24" i="9"/>
  <c r="AK24" i="9"/>
  <c r="AJ24" i="9"/>
  <c r="AH24" i="9"/>
  <c r="AG24" i="9"/>
  <c r="AF24" i="9"/>
  <c r="AE24" i="9"/>
  <c r="AC24" i="9"/>
  <c r="AB24" i="9"/>
  <c r="AA24" i="9"/>
  <c r="Z24" i="9"/>
  <c r="X24" i="9"/>
  <c r="W24" i="9"/>
  <c r="V24" i="9"/>
  <c r="U24" i="9"/>
  <c r="S24" i="9"/>
  <c r="R24" i="9"/>
  <c r="Q24" i="9"/>
  <c r="P24" i="9"/>
  <c r="A24" i="9"/>
  <c r="BY23" i="9"/>
  <c r="BW23" i="9"/>
  <c r="BV23" i="9"/>
  <c r="BU23" i="9"/>
  <c r="BT23" i="9"/>
  <c r="BR23" i="9"/>
  <c r="BQ23" i="9"/>
  <c r="BP23" i="9"/>
  <c r="BO23" i="9"/>
  <c r="BM23" i="9"/>
  <c r="BL23" i="9"/>
  <c r="BK23" i="9"/>
  <c r="BJ23" i="9"/>
  <c r="BH23" i="9"/>
  <c r="BG23" i="9"/>
  <c r="BF23" i="9"/>
  <c r="BE23" i="9"/>
  <c r="BC23" i="9"/>
  <c r="BB23" i="9"/>
  <c r="BA23" i="9"/>
  <c r="AZ23" i="9"/>
  <c r="AX23" i="9"/>
  <c r="AW23" i="9"/>
  <c r="AV23" i="9"/>
  <c r="AU23" i="9"/>
  <c r="AS23" i="9"/>
  <c r="AR23" i="9"/>
  <c r="AQ23" i="9"/>
  <c r="AP23" i="9"/>
  <c r="AN23" i="9"/>
  <c r="AM23" i="9"/>
  <c r="AL23" i="9"/>
  <c r="AK23" i="9"/>
  <c r="AJ23" i="9"/>
  <c r="AH23" i="9"/>
  <c r="AG23" i="9"/>
  <c r="AF23" i="9"/>
  <c r="AE23" i="9"/>
  <c r="AC23" i="9"/>
  <c r="AB23" i="9"/>
  <c r="AA23" i="9"/>
  <c r="Z23" i="9"/>
  <c r="X23" i="9"/>
  <c r="W23" i="9"/>
  <c r="V23" i="9"/>
  <c r="U23" i="9"/>
  <c r="S23" i="9"/>
  <c r="R23" i="9"/>
  <c r="Q23" i="9"/>
  <c r="P23" i="9"/>
  <c r="A23" i="9"/>
  <c r="BY22" i="9"/>
  <c r="BW22" i="9"/>
  <c r="BV22" i="9"/>
  <c r="BU22" i="9"/>
  <c r="BT22" i="9"/>
  <c r="BR22" i="9"/>
  <c r="BQ22" i="9"/>
  <c r="BP22" i="9"/>
  <c r="BO22" i="9"/>
  <c r="BM22" i="9"/>
  <c r="BL22" i="9"/>
  <c r="BK22" i="9"/>
  <c r="BJ22" i="9"/>
  <c r="BH22" i="9"/>
  <c r="BG22" i="9"/>
  <c r="BF22" i="9"/>
  <c r="BE22" i="9"/>
  <c r="BC22" i="9"/>
  <c r="BB22" i="9"/>
  <c r="BA22" i="9"/>
  <c r="AZ22" i="9"/>
  <c r="AX22" i="9"/>
  <c r="AW22" i="9"/>
  <c r="AV22" i="9"/>
  <c r="AU22" i="9"/>
  <c r="AS22" i="9"/>
  <c r="AR22" i="9"/>
  <c r="AQ22" i="9"/>
  <c r="AP22" i="9"/>
  <c r="AN22" i="9"/>
  <c r="AM22" i="9"/>
  <c r="AL22" i="9"/>
  <c r="AK22" i="9"/>
  <c r="AJ22" i="9"/>
  <c r="AH22" i="9"/>
  <c r="AG22" i="9"/>
  <c r="AF22" i="9"/>
  <c r="AE22" i="9"/>
  <c r="AC22" i="9"/>
  <c r="AB22" i="9"/>
  <c r="AA22" i="9"/>
  <c r="Z22" i="9"/>
  <c r="X22" i="9"/>
  <c r="W22" i="9"/>
  <c r="V22" i="9"/>
  <c r="U22" i="9"/>
  <c r="S22" i="9"/>
  <c r="R22" i="9"/>
  <c r="Q22" i="9"/>
  <c r="P22" i="9"/>
  <c r="A22" i="9"/>
  <c r="BW21" i="9"/>
  <c r="BV21" i="9"/>
  <c r="BU21" i="9"/>
  <c r="BT21" i="9"/>
  <c r="BR21" i="9"/>
  <c r="BQ21" i="9"/>
  <c r="BP21" i="9"/>
  <c r="BO21" i="9"/>
  <c r="BM21" i="9"/>
  <c r="BL21" i="9"/>
  <c r="BK21" i="9"/>
  <c r="BJ21" i="9"/>
  <c r="BH21" i="9"/>
  <c r="BG21" i="9"/>
  <c r="BF21" i="9"/>
  <c r="BE21" i="9"/>
  <c r="BC21" i="9"/>
  <c r="BB21" i="9"/>
  <c r="BA21" i="9"/>
  <c r="AZ21" i="9"/>
  <c r="AX21" i="9"/>
  <c r="AW21" i="9"/>
  <c r="AV21" i="9"/>
  <c r="AU21" i="9"/>
  <c r="AS21" i="9"/>
  <c r="AR21" i="9"/>
  <c r="AQ21" i="9"/>
  <c r="AP21" i="9"/>
  <c r="AN21" i="9"/>
  <c r="AM21" i="9"/>
  <c r="AL21" i="9"/>
  <c r="AK21" i="9"/>
  <c r="AJ21" i="9"/>
  <c r="AH21" i="9"/>
  <c r="AG21" i="9"/>
  <c r="AF21" i="9"/>
  <c r="AE21" i="9"/>
  <c r="AC21" i="9"/>
  <c r="AB21" i="9"/>
  <c r="AA21" i="9"/>
  <c r="Z21" i="9"/>
  <c r="X21" i="9"/>
  <c r="W21" i="9"/>
  <c r="V21" i="9"/>
  <c r="U21" i="9"/>
  <c r="S21" i="9"/>
  <c r="R21" i="9"/>
  <c r="Q21" i="9"/>
  <c r="P21" i="9"/>
  <c r="A21" i="9"/>
  <c r="A19" i="9"/>
  <c r="CK18" i="9"/>
  <c r="CJ18" i="9"/>
  <c r="CI18" i="9"/>
  <c r="CG18" i="9"/>
  <c r="CF18" i="9"/>
  <c r="CE18" i="9"/>
  <c r="CD18" i="9"/>
  <c r="CB18" i="9"/>
  <c r="CA18" i="9"/>
  <c r="BZ18" i="9"/>
  <c r="A18" i="9"/>
  <c r="CK17" i="9"/>
  <c r="CJ17" i="9"/>
  <c r="CI17" i="9"/>
  <c r="CG17" i="9"/>
  <c r="CF17" i="9"/>
  <c r="CE17" i="9"/>
  <c r="CD17" i="9"/>
  <c r="CB17" i="9"/>
  <c r="CA17" i="9"/>
  <c r="BZ17" i="9"/>
  <c r="A17" i="9"/>
  <c r="CK16" i="9"/>
  <c r="CJ16" i="9"/>
  <c r="CI16" i="9"/>
  <c r="CG16" i="9"/>
  <c r="CF16" i="9"/>
  <c r="CE16" i="9"/>
  <c r="CD16" i="9"/>
  <c r="CB16" i="9"/>
  <c r="CA16" i="9"/>
  <c r="BZ16" i="9"/>
  <c r="A16" i="9"/>
  <c r="CK15" i="9"/>
  <c r="CJ15" i="9"/>
  <c r="CI15" i="9"/>
  <c r="CG15" i="9"/>
  <c r="CF15" i="9"/>
  <c r="CE15" i="9"/>
  <c r="CD15" i="9"/>
  <c r="CB15" i="9"/>
  <c r="CA15" i="9"/>
  <c r="BZ15" i="9"/>
  <c r="A15" i="9"/>
  <c r="CK14" i="9"/>
  <c r="CJ14" i="9"/>
  <c r="CI14" i="9"/>
  <c r="CG14" i="9"/>
  <c r="CF14" i="9"/>
  <c r="CE14" i="9"/>
  <c r="CD14" i="9"/>
  <c r="CB14" i="9"/>
  <c r="CA14" i="9"/>
  <c r="BZ14" i="9"/>
  <c r="A14" i="9"/>
  <c r="A11" i="9"/>
  <c r="A8" i="9"/>
  <c r="A7" i="9"/>
  <c r="A6" i="9"/>
  <c r="A5" i="9"/>
  <c r="BR4" i="9"/>
  <c r="BP4" i="9"/>
  <c r="AU4" i="9"/>
  <c r="AD4" i="9"/>
  <c r="V4" i="9"/>
  <c r="G4" i="9"/>
  <c r="A4" i="9"/>
  <c r="C2" i="9"/>
  <c r="BY1" i="9"/>
  <c r="BX1" i="9"/>
  <c r="BV1" i="9"/>
  <c r="BU1" i="9"/>
  <c r="BT1" i="9"/>
  <c r="BS1" i="9"/>
  <c r="BQ1" i="9"/>
  <c r="BP1" i="9"/>
  <c r="BO1" i="9"/>
  <c r="BN1" i="9"/>
  <c r="BL1" i="9"/>
  <c r="BK1" i="9"/>
  <c r="BJ1" i="9"/>
  <c r="BI1" i="9"/>
  <c r="BG1" i="9"/>
  <c r="BF1" i="9"/>
  <c r="BE1" i="9"/>
  <c r="BD1" i="9"/>
  <c r="BB1" i="9"/>
  <c r="BA1" i="9"/>
  <c r="AZ1" i="9"/>
  <c r="AY1" i="9"/>
  <c r="AW1" i="9"/>
  <c r="AV1" i="9"/>
  <c r="AU1" i="9"/>
  <c r="AT1" i="9"/>
  <c r="AR1" i="9"/>
  <c r="AQ1" i="9"/>
  <c r="AP1" i="9"/>
  <c r="AO1" i="9"/>
  <c r="AM1" i="9"/>
  <c r="AL1" i="9"/>
  <c r="AK1" i="9"/>
  <c r="AJ1" i="9"/>
  <c r="AH1" i="9"/>
  <c r="AG1" i="9"/>
  <c r="AF1" i="9"/>
  <c r="AE1" i="9"/>
  <c r="AC1" i="9"/>
  <c r="AB1" i="9"/>
  <c r="AA1" i="9"/>
  <c r="Z1" i="9"/>
  <c r="X1" i="9"/>
  <c r="W1" i="9"/>
  <c r="V1" i="9"/>
  <c r="U1" i="9"/>
  <c r="S1" i="9"/>
  <c r="R1" i="9"/>
  <c r="Q1" i="9"/>
  <c r="P1" i="9"/>
  <c r="N1" i="9"/>
  <c r="M1" i="9"/>
  <c r="L1" i="9"/>
  <c r="K1" i="9"/>
  <c r="I1" i="9"/>
  <c r="H1" i="9"/>
  <c r="G1" i="9"/>
  <c r="F1" i="9"/>
  <c r="E1" i="9"/>
  <c r="D1" i="9"/>
  <c r="C1" i="9"/>
  <c r="K409" i="10"/>
  <c r="K408" i="10"/>
  <c r="K407" i="10"/>
  <c r="K406" i="10"/>
  <c r="K405" i="10"/>
  <c r="K404" i="10"/>
  <c r="K403" i="10"/>
  <c r="K401" i="10"/>
  <c r="K400" i="10"/>
  <c r="K399" i="10"/>
  <c r="K398" i="10"/>
  <c r="K397" i="10"/>
  <c r="K396" i="10"/>
  <c r="K395" i="10"/>
  <c r="K394" i="10"/>
  <c r="K393" i="10"/>
  <c r="K392" i="10"/>
  <c r="K390" i="10"/>
  <c r="K389" i="10"/>
  <c r="K388" i="10"/>
  <c r="K387" i="10"/>
  <c r="K386" i="10"/>
  <c r="K385" i="10"/>
  <c r="K384" i="10"/>
  <c r="K383" i="10"/>
  <c r="K382" i="10"/>
  <c r="K380" i="10"/>
  <c r="K379" i="10"/>
  <c r="K378" i="10"/>
  <c r="K377" i="10"/>
  <c r="K376" i="10"/>
  <c r="K375" i="10"/>
  <c r="K374" i="10"/>
  <c r="K373" i="10"/>
  <c r="K372" i="10"/>
  <c r="K371" i="10"/>
  <c r="K370" i="10"/>
  <c r="K368" i="10"/>
  <c r="K367" i="10"/>
  <c r="K366" i="10"/>
  <c r="K365" i="10"/>
  <c r="K364" i="10"/>
  <c r="K363" i="10"/>
  <c r="K362" i="10"/>
  <c r="K361" i="10"/>
  <c r="K360" i="10"/>
  <c r="K359" i="10"/>
  <c r="K358" i="10"/>
  <c r="K356" i="10"/>
  <c r="K355" i="10"/>
  <c r="K354" i="10"/>
  <c r="K353" i="10"/>
  <c r="K352" i="10"/>
  <c r="K351" i="10"/>
  <c r="K350" i="10"/>
  <c r="K349" i="10"/>
  <c r="K348" i="10"/>
  <c r="K347" i="10"/>
  <c r="K346" i="10"/>
  <c r="K344" i="10"/>
  <c r="K343" i="10"/>
  <c r="K342" i="10"/>
  <c r="K341" i="10"/>
  <c r="K340" i="10"/>
  <c r="K339" i="10"/>
  <c r="K338" i="10"/>
  <c r="K337" i="10"/>
  <c r="K336" i="10"/>
  <c r="K335" i="10"/>
  <c r="J334" i="10"/>
  <c r="I334" i="10"/>
  <c r="K332" i="10"/>
  <c r="K331" i="10"/>
  <c r="K330" i="10"/>
  <c r="K329" i="10"/>
  <c r="K328" i="10"/>
  <c r="K327" i="10"/>
  <c r="K326" i="10"/>
  <c r="K325" i="10"/>
  <c r="K324" i="10"/>
  <c r="K323" i="10"/>
  <c r="J322" i="10"/>
  <c r="I322" i="10"/>
  <c r="K320" i="10"/>
  <c r="K319" i="10"/>
  <c r="K318" i="10"/>
  <c r="K317" i="10"/>
  <c r="K316" i="10"/>
  <c r="K315" i="10"/>
  <c r="K314" i="10"/>
  <c r="K313" i="10"/>
  <c r="K312" i="10"/>
  <c r="K311" i="10"/>
  <c r="K310" i="10"/>
  <c r="J309" i="10"/>
  <c r="I309" i="10"/>
  <c r="K307" i="10"/>
  <c r="K306" i="10"/>
  <c r="K305" i="10"/>
  <c r="K304" i="10"/>
  <c r="K303" i="10"/>
  <c r="K302" i="10"/>
  <c r="K301" i="10"/>
  <c r="K300" i="10"/>
  <c r="K299" i="10"/>
  <c r="K298" i="10"/>
  <c r="J297" i="10"/>
  <c r="I297" i="10"/>
  <c r="K297" i="10" s="1"/>
  <c r="K295" i="10"/>
  <c r="K294" i="10"/>
  <c r="K293" i="10"/>
  <c r="K292" i="10"/>
  <c r="K291" i="10"/>
  <c r="K290" i="10"/>
  <c r="K289" i="10"/>
  <c r="K288" i="10"/>
  <c r="K287" i="10"/>
  <c r="K286" i="10"/>
  <c r="K285" i="10"/>
  <c r="K284" i="10"/>
  <c r="K283" i="10"/>
  <c r="K281" i="10"/>
  <c r="K280" i="10"/>
  <c r="K279" i="10"/>
  <c r="K277" i="10"/>
  <c r="K276" i="10"/>
  <c r="K275" i="10"/>
  <c r="K274" i="10"/>
  <c r="K273" i="10"/>
  <c r="K272" i="10"/>
  <c r="K271" i="10"/>
  <c r="K270" i="10"/>
  <c r="K269" i="10"/>
  <c r="K268" i="10"/>
  <c r="K267" i="10"/>
  <c r="J266" i="10"/>
  <c r="I266" i="10"/>
  <c r="K264" i="10"/>
  <c r="K263" i="10"/>
  <c r="K262" i="10"/>
  <c r="K261" i="10"/>
  <c r="K260" i="10"/>
  <c r="K259" i="10"/>
  <c r="K258" i="10"/>
  <c r="K257" i="10"/>
  <c r="K256" i="10"/>
  <c r="K255" i="10"/>
  <c r="J254" i="10"/>
  <c r="I254" i="10"/>
  <c r="K254" i="10" s="1"/>
  <c r="K252" i="10"/>
  <c r="K251" i="10"/>
  <c r="K250" i="10"/>
  <c r="K249" i="10"/>
  <c r="K248" i="10"/>
  <c r="K247" i="10"/>
  <c r="K246" i="10"/>
  <c r="K245" i="10"/>
  <c r="K244" i="10"/>
  <c r="K243" i="10"/>
  <c r="K242" i="10"/>
  <c r="J241" i="10"/>
  <c r="I241" i="10"/>
  <c r="K241" i="10" s="1"/>
  <c r="K239" i="10"/>
  <c r="K238" i="10"/>
  <c r="K237" i="10"/>
  <c r="K236" i="10"/>
  <c r="K235" i="10"/>
  <c r="K234" i="10"/>
  <c r="K233" i="10"/>
  <c r="K232" i="10"/>
  <c r="K231" i="10"/>
  <c r="K230" i="10"/>
  <c r="K229" i="10"/>
  <c r="K228" i="10"/>
  <c r="J228" i="10"/>
  <c r="I228" i="10"/>
  <c r="K226" i="10"/>
  <c r="K225" i="10"/>
  <c r="K224" i="10"/>
  <c r="K223" i="10"/>
  <c r="K222" i="10"/>
  <c r="K221" i="10"/>
  <c r="K220" i="10"/>
  <c r="K219" i="10"/>
  <c r="K218" i="10"/>
  <c r="K217" i="10"/>
  <c r="K216" i="10"/>
  <c r="J215" i="10"/>
  <c r="I215" i="10"/>
  <c r="K215" i="10" s="1"/>
  <c r="K213" i="10"/>
  <c r="K212" i="10"/>
  <c r="K211" i="10"/>
  <c r="K210" i="10"/>
  <c r="K209" i="10"/>
  <c r="K208" i="10"/>
  <c r="K207" i="10"/>
  <c r="K206" i="10"/>
  <c r="K205" i="10"/>
  <c r="K204" i="10"/>
  <c r="K203" i="10"/>
  <c r="J202" i="10"/>
  <c r="I202" i="10"/>
  <c r="K202" i="10" s="1"/>
  <c r="K200" i="10"/>
  <c r="K199" i="10"/>
  <c r="K198" i="10"/>
  <c r="K197" i="10"/>
  <c r="K196" i="10"/>
  <c r="K195" i="10"/>
  <c r="K194" i="10"/>
  <c r="J193" i="10"/>
  <c r="I193" i="10"/>
  <c r="K193" i="10" s="1"/>
  <c r="J192" i="10"/>
  <c r="I192" i="10"/>
  <c r="J191" i="10"/>
  <c r="I191" i="10"/>
  <c r="K189" i="10"/>
  <c r="K188" i="10"/>
  <c r="K187" i="10"/>
  <c r="K186" i="10"/>
  <c r="K185" i="10"/>
  <c r="K184" i="10"/>
  <c r="K183" i="10"/>
  <c r="J182" i="10"/>
  <c r="I182" i="10"/>
  <c r="J181" i="10"/>
  <c r="I181" i="10"/>
  <c r="K181" i="10" s="1"/>
  <c r="J180" i="10"/>
  <c r="I180" i="10"/>
  <c r="K180" i="10" s="1"/>
  <c r="K178" i="10"/>
  <c r="K177" i="10"/>
  <c r="K176" i="10"/>
  <c r="K175" i="10"/>
  <c r="K174" i="10"/>
  <c r="K173" i="10"/>
  <c r="K172" i="10"/>
  <c r="K171" i="10"/>
  <c r="K170" i="10"/>
  <c r="K169" i="10"/>
  <c r="J169" i="10"/>
  <c r="I169" i="10"/>
  <c r="K167" i="10"/>
  <c r="K166" i="10"/>
  <c r="K165" i="10"/>
  <c r="K164" i="10"/>
  <c r="K163" i="10"/>
  <c r="K162" i="10"/>
  <c r="K161" i="10"/>
  <c r="K160" i="10"/>
  <c r="K159" i="10"/>
  <c r="J158" i="10"/>
  <c r="I158" i="10"/>
  <c r="K158" i="10" s="1"/>
  <c r="K156" i="10"/>
  <c r="K155" i="10"/>
  <c r="K154" i="10"/>
  <c r="K153" i="10"/>
  <c r="K152" i="10"/>
  <c r="K151" i="10"/>
  <c r="K150" i="10"/>
  <c r="K149" i="10"/>
  <c r="K148" i="10"/>
  <c r="J147" i="10"/>
  <c r="I147" i="10"/>
  <c r="K145" i="10"/>
  <c r="K143" i="10"/>
  <c r="J142" i="10"/>
  <c r="I142" i="10"/>
  <c r="J141" i="10"/>
  <c r="I141" i="10"/>
  <c r="K141" i="10" s="1"/>
  <c r="K140" i="10"/>
  <c r="K139" i="10"/>
  <c r="K138" i="10"/>
  <c r="K137" i="10"/>
  <c r="J136" i="10"/>
  <c r="I136" i="10"/>
  <c r="K136" i="10" s="1"/>
  <c r="K135" i="10"/>
  <c r="J135" i="10"/>
  <c r="I135" i="10"/>
  <c r="J134" i="10"/>
  <c r="I134" i="10"/>
  <c r="K134" i="10" s="1"/>
  <c r="K132" i="10"/>
  <c r="K130" i="10"/>
  <c r="K129" i="10"/>
  <c r="K128" i="10"/>
  <c r="K127" i="10"/>
  <c r="K126" i="10"/>
  <c r="K125" i="10"/>
  <c r="K124" i="10"/>
  <c r="K123" i="10"/>
  <c r="J122" i="10"/>
  <c r="I122" i="10"/>
  <c r="K122" i="10" s="1"/>
  <c r="J120" i="10"/>
  <c r="I120" i="10"/>
  <c r="J119" i="10"/>
  <c r="I119" i="10"/>
  <c r="K118" i="10"/>
  <c r="K117" i="10"/>
  <c r="K116" i="10"/>
  <c r="K115" i="10"/>
  <c r="J114" i="10"/>
  <c r="I114" i="10"/>
  <c r="J113" i="10"/>
  <c r="I113" i="10"/>
  <c r="J112" i="10"/>
  <c r="I112" i="10"/>
  <c r="K112" i="10" s="1"/>
  <c r="K110" i="10"/>
  <c r="K109" i="10"/>
  <c r="K108" i="10"/>
  <c r="K107" i="10"/>
  <c r="K106" i="10"/>
  <c r="K105" i="10"/>
  <c r="K104" i="10"/>
  <c r="K103" i="10"/>
  <c r="K102" i="10"/>
  <c r="K100" i="10"/>
  <c r="K99" i="10"/>
  <c r="K98" i="10"/>
  <c r="K97" i="10"/>
  <c r="K96" i="10"/>
  <c r="K95" i="10"/>
  <c r="K94" i="10"/>
  <c r="K93" i="10"/>
  <c r="K92" i="10"/>
  <c r="J92" i="10"/>
  <c r="I92" i="10"/>
  <c r="K90" i="10"/>
  <c r="K89" i="10"/>
  <c r="K88" i="10"/>
  <c r="K87" i="10"/>
  <c r="K85" i="10"/>
  <c r="K84" i="10"/>
  <c r="K83" i="10"/>
  <c r="K82" i="10"/>
  <c r="K81" i="10"/>
  <c r="K80" i="10"/>
  <c r="K79" i="10"/>
  <c r="K78" i="10"/>
  <c r="K77" i="10"/>
  <c r="K75" i="10"/>
  <c r="K74" i="10"/>
  <c r="K73" i="10"/>
  <c r="K72" i="10"/>
  <c r="K70" i="10"/>
  <c r="K69" i="10"/>
  <c r="K68" i="10"/>
  <c r="K67" i="10"/>
  <c r="K66" i="10"/>
  <c r="K65" i="10"/>
  <c r="K64" i="10"/>
  <c r="K63" i="10"/>
  <c r="J62" i="10"/>
  <c r="I62" i="10"/>
  <c r="K62" i="10" s="1"/>
  <c r="K60" i="10"/>
  <c r="K59" i="10"/>
  <c r="K58" i="10"/>
  <c r="K57" i="10"/>
  <c r="K56" i="10"/>
  <c r="K55" i="10"/>
  <c r="J54" i="10"/>
  <c r="I54" i="10"/>
  <c r="J53" i="10"/>
  <c r="I53" i="10"/>
  <c r="K53" i="10" s="1"/>
  <c r="J52" i="10"/>
  <c r="I52" i="10"/>
  <c r="K50" i="10"/>
  <c r="K49" i="10"/>
  <c r="K48" i="10"/>
  <c r="K47" i="10"/>
  <c r="K46" i="10"/>
  <c r="K45" i="10"/>
  <c r="K44" i="10"/>
  <c r="K43" i="10"/>
  <c r="J42" i="10"/>
  <c r="I42" i="10"/>
  <c r="K40" i="10"/>
  <c r="K39" i="10"/>
  <c r="K38" i="10"/>
  <c r="K37" i="10"/>
  <c r="K36" i="10"/>
  <c r="K35" i="10"/>
  <c r="J34" i="10"/>
  <c r="I34" i="10"/>
  <c r="K34" i="10" s="1"/>
  <c r="J33" i="10"/>
  <c r="I33" i="10"/>
  <c r="K33" i="10" s="1"/>
  <c r="K32" i="10"/>
  <c r="J32" i="10"/>
  <c r="I32" i="10"/>
  <c r="K30" i="10"/>
  <c r="K29" i="10"/>
  <c r="K28" i="10"/>
  <c r="K27" i="10"/>
  <c r="K26" i="10"/>
  <c r="K25" i="10"/>
  <c r="J24" i="10"/>
  <c r="I24" i="10"/>
  <c r="J23" i="10"/>
  <c r="K23" i="10" s="1"/>
  <c r="I23" i="10"/>
  <c r="J22" i="10"/>
  <c r="I22" i="10"/>
  <c r="K22" i="10" s="1"/>
  <c r="K20" i="10"/>
  <c r="K19" i="10"/>
  <c r="K18" i="10"/>
  <c r="K17" i="10"/>
  <c r="K16" i="10"/>
  <c r="K15" i="10"/>
  <c r="J14" i="10"/>
  <c r="I14" i="10"/>
  <c r="K14" i="10" s="1"/>
  <c r="K12" i="10"/>
  <c r="K11" i="10"/>
  <c r="K10" i="10"/>
  <c r="K9" i="10"/>
  <c r="K8" i="10"/>
  <c r="K7" i="10"/>
  <c r="J6" i="10"/>
  <c r="I6" i="10"/>
  <c r="K6" i="10" s="1"/>
  <c r="B1" i="10"/>
  <c r="BI121" i="13"/>
  <c r="BD121" i="13"/>
  <c r="AY121" i="13"/>
  <c r="AT121" i="13"/>
  <c r="BI116" i="13"/>
  <c r="BD116" i="13"/>
  <c r="AY116" i="13"/>
  <c r="AT116" i="13"/>
  <c r="BS105" i="13"/>
  <c r="BN105" i="13"/>
  <c r="BI105" i="13"/>
  <c r="BD105" i="13"/>
  <c r="AY105" i="13"/>
  <c r="AT105" i="13"/>
  <c r="BS90" i="13"/>
  <c r="BN90" i="13"/>
  <c r="BI90" i="13"/>
  <c r="BD90" i="13"/>
  <c r="AY90" i="13"/>
  <c r="AT90" i="13"/>
  <c r="BS75" i="13"/>
  <c r="BN75" i="13"/>
  <c r="BI75" i="13"/>
  <c r="BD75" i="13"/>
  <c r="BD106" i="13" s="1"/>
  <c r="AY75" i="13"/>
  <c r="AY106" i="13" s="1"/>
  <c r="AT75" i="13"/>
  <c r="BS49" i="13"/>
  <c r="BN49" i="13"/>
  <c r="BI49" i="13"/>
  <c r="BD49" i="13"/>
  <c r="AY49" i="13"/>
  <c r="AT49" i="13"/>
  <c r="BS45" i="13"/>
  <c r="BN45" i="13"/>
  <c r="BS44" i="13"/>
  <c r="BN44" i="13"/>
  <c r="BI44" i="13"/>
  <c r="BI45" i="13" s="1"/>
  <c r="BD44" i="13"/>
  <c r="BD45" i="13" s="1"/>
  <c r="AY44" i="13"/>
  <c r="AY45" i="13" s="1"/>
  <c r="AT44" i="13"/>
  <c r="AT45" i="13" s="1"/>
  <c r="BS38" i="13"/>
  <c r="BI37" i="13"/>
  <c r="BD37" i="13"/>
  <c r="AY37" i="13"/>
  <c r="AT37" i="13"/>
  <c r="BN36" i="13"/>
  <c r="BN38" i="13" s="1"/>
  <c r="BI36" i="13"/>
  <c r="BD36" i="13"/>
  <c r="BD38" i="13" s="1"/>
  <c r="AY36" i="13"/>
  <c r="AY38" i="13" s="1"/>
  <c r="AT36" i="13"/>
  <c r="AT38" i="13" s="1"/>
  <c r="BN12" i="13"/>
  <c r="BD12" i="13"/>
  <c r="AY12" i="13"/>
  <c r="BS11" i="13"/>
  <c r="BS12" i="13" s="1"/>
  <c r="BN11" i="13"/>
  <c r="BI11" i="13"/>
  <c r="BI12" i="13" s="1"/>
  <c r="BD11" i="13"/>
  <c r="AY11" i="13"/>
  <c r="AT11" i="13"/>
  <c r="AT12" i="13" s="1"/>
  <c r="C5" i="13"/>
  <c r="CK2" i="13"/>
  <c r="CJ2" i="13"/>
  <c r="CI2" i="13"/>
  <c r="CH2" i="13"/>
  <c r="CG2" i="13"/>
  <c r="CF2" i="13"/>
  <c r="CE2" i="13"/>
  <c r="CD2" i="13"/>
  <c r="CC2" i="13"/>
  <c r="CB2" i="13"/>
  <c r="CA2" i="13"/>
  <c r="BZ2" i="13"/>
  <c r="BY2" i="13"/>
  <c r="BX2" i="13"/>
  <c r="BW2" i="13"/>
  <c r="BV2" i="13"/>
  <c r="BU2" i="13"/>
  <c r="BT2" i="13"/>
  <c r="BS2" i="13"/>
  <c r="BR2" i="13"/>
  <c r="BQ2" i="13"/>
  <c r="BP2" i="13"/>
  <c r="BO2" i="13"/>
  <c r="BN2" i="13"/>
  <c r="BM2" i="13"/>
  <c r="BL2" i="13"/>
  <c r="BK2" i="13"/>
  <c r="BJ2" i="13"/>
  <c r="BI2" i="13"/>
  <c r="BH2" i="13"/>
  <c r="BG2" i="13"/>
  <c r="BF2" i="13"/>
  <c r="BE2" i="13"/>
  <c r="BD2" i="13"/>
  <c r="BC2" i="13"/>
  <c r="BB2" i="13"/>
  <c r="BA2" i="13"/>
  <c r="AZ2" i="13"/>
  <c r="AY2" i="13"/>
  <c r="AX2" i="13"/>
  <c r="AW2" i="13"/>
  <c r="AV2" i="13"/>
  <c r="AU2" i="13"/>
  <c r="AT2" i="13"/>
  <c r="AS2" i="13"/>
  <c r="AR2" i="13"/>
  <c r="AQ2" i="13"/>
  <c r="AP2" i="13"/>
  <c r="AO2" i="13"/>
  <c r="AN2" i="13"/>
  <c r="AM2" i="13"/>
  <c r="AL2" i="13"/>
  <c r="AK2" i="13"/>
  <c r="AJ2" i="13"/>
  <c r="AI2" i="13"/>
  <c r="AH2" i="13"/>
  <c r="AG2" i="13"/>
  <c r="AF2" i="13"/>
  <c r="AE2" i="13"/>
  <c r="AD2" i="13"/>
  <c r="AC2" i="13"/>
  <c r="AB2" i="13"/>
  <c r="AA2" i="13"/>
  <c r="Z2" i="13"/>
  <c r="Y2" i="13"/>
  <c r="X2" i="13"/>
  <c r="W2" i="13"/>
  <c r="V2" i="13"/>
  <c r="U2" i="13"/>
  <c r="T2" i="13"/>
  <c r="S2" i="13"/>
  <c r="R2" i="13"/>
  <c r="Q2" i="13"/>
  <c r="P2" i="13"/>
  <c r="O2" i="13"/>
  <c r="N2" i="13"/>
  <c r="M2" i="13"/>
  <c r="L2" i="13"/>
  <c r="K2" i="13"/>
  <c r="J2" i="13"/>
  <c r="I2" i="13"/>
  <c r="H2" i="13"/>
  <c r="G2" i="13"/>
  <c r="F2" i="13"/>
  <c r="E2" i="13"/>
  <c r="D2" i="13"/>
  <c r="A1" i="13"/>
  <c r="AB4" i="9"/>
  <c r="T4" i="9"/>
  <c r="BY4" i="9"/>
  <c r="BX4" i="9"/>
  <c r="BW4" i="9"/>
  <c r="BV4" i="9"/>
  <c r="BU4" i="9"/>
  <c r="BS4" i="9"/>
  <c r="BQ4" i="9"/>
  <c r="BK4" i="9"/>
  <c r="BJ4" i="9"/>
  <c r="BG4" i="9"/>
  <c r="BF4" i="9"/>
  <c r="BE4" i="9"/>
  <c r="BC4" i="9"/>
  <c r="BB4" i="9"/>
  <c r="AX4" i="9"/>
  <c r="AW4" i="9"/>
  <c r="AT4" i="9"/>
  <c r="AQ4" i="9"/>
  <c r="AP4" i="9"/>
  <c r="AM4" i="9"/>
  <c r="AL4" i="9"/>
  <c r="AH4" i="9"/>
  <c r="AG4" i="9"/>
  <c r="AE4" i="9"/>
  <c r="AA4" i="9"/>
  <c r="Z4" i="9"/>
  <c r="Y4" i="9"/>
  <c r="W4" i="9"/>
  <c r="R4" i="9"/>
  <c r="Q4" i="9"/>
  <c r="O4" i="9"/>
  <c r="N4" i="9"/>
  <c r="K4" i="9"/>
  <c r="J4" i="9"/>
  <c r="F4" i="9"/>
  <c r="C4" i="9"/>
  <c r="CK1033" i="1"/>
  <c r="CJ1033" i="1"/>
  <c r="CI1033" i="1"/>
  <c r="CH1033" i="1"/>
  <c r="CG1033" i="1"/>
  <c r="CF1033" i="1"/>
  <c r="CE1033" i="1"/>
  <c r="CD1033" i="1"/>
  <c r="CC1033" i="1"/>
  <c r="CB1033" i="1"/>
  <c r="CA1033" i="1"/>
  <c r="BZ1033" i="1"/>
  <c r="CD1032" i="1"/>
  <c r="CB1032" i="1"/>
  <c r="CK1031" i="1"/>
  <c r="CJ1031" i="1"/>
  <c r="CI1031" i="1"/>
  <c r="CH1031" i="1"/>
  <c r="CG1031" i="1"/>
  <c r="CF1031" i="1"/>
  <c r="CE1031" i="1"/>
  <c r="CD1031" i="1"/>
  <c r="CC1031" i="1"/>
  <c r="CB1031" i="1"/>
  <c r="CA1031" i="1"/>
  <c r="BZ1031" i="1"/>
  <c r="O1026" i="1"/>
  <c r="N1026" i="1"/>
  <c r="M1026" i="1"/>
  <c r="L1026" i="1"/>
  <c r="K1026" i="1"/>
  <c r="J1026" i="1"/>
  <c r="I1026" i="1"/>
  <c r="H1026" i="1"/>
  <c r="G1026" i="1"/>
  <c r="F1026" i="1"/>
  <c r="E1026" i="1"/>
  <c r="D1026" i="1"/>
  <c r="C1026" i="1"/>
  <c r="CK1023" i="1"/>
  <c r="CJ1023" i="1"/>
  <c r="CI1023" i="1"/>
  <c r="CH1023" i="1"/>
  <c r="CG1023" i="1"/>
  <c r="CF1023" i="1"/>
  <c r="CE1023" i="1"/>
  <c r="CD1023" i="1"/>
  <c r="CC1023" i="1"/>
  <c r="CB1023" i="1"/>
  <c r="CA1023" i="1"/>
  <c r="BZ1023" i="1"/>
  <c r="CA1016" i="1"/>
  <c r="CB1016" i="1" s="1"/>
  <c r="BZ1016" i="1"/>
  <c r="BF1016" i="1"/>
  <c r="BG1016" i="1" s="1"/>
  <c r="BG773" i="1" s="1"/>
  <c r="BY1015" i="1"/>
  <c r="BY94" i="9" s="1"/>
  <c r="BX1015" i="1"/>
  <c r="BX94" i="9" s="1"/>
  <c r="BV1015" i="1"/>
  <c r="BU1015" i="1"/>
  <c r="BU94" i="9" s="1"/>
  <c r="BT1015" i="1"/>
  <c r="BT94" i="9" s="1"/>
  <c r="BS1015" i="1"/>
  <c r="BQ1015" i="1"/>
  <c r="BQ94" i="9" s="1"/>
  <c r="BP1015" i="1"/>
  <c r="BP94" i="9" s="1"/>
  <c r="BO1015" i="1"/>
  <c r="BN1015" i="1"/>
  <c r="BL1015" i="1"/>
  <c r="BL94" i="9" s="1"/>
  <c r="BK1015" i="1"/>
  <c r="BJ1015" i="1"/>
  <c r="BJ94" i="9" s="1"/>
  <c r="BI1015" i="1"/>
  <c r="BI94" i="9" s="1"/>
  <c r="BG1015" i="1"/>
  <c r="BG94" i="9" s="1"/>
  <c r="BF1015" i="1"/>
  <c r="BE1015" i="1"/>
  <c r="BD1015" i="1"/>
  <c r="BB1015" i="1"/>
  <c r="BB94" i="9" s="1"/>
  <c r="BA1015" i="1"/>
  <c r="BA94" i="9" s="1"/>
  <c r="AZ1015" i="1"/>
  <c r="AZ94" i="9" s="1"/>
  <c r="AY1015" i="1"/>
  <c r="AY94" i="9" s="1"/>
  <c r="AW1015" i="1"/>
  <c r="AV1015" i="1"/>
  <c r="AU1015" i="1"/>
  <c r="AT1015" i="1"/>
  <c r="AT94" i="9" s="1"/>
  <c r="AR1015" i="1"/>
  <c r="AR94" i="9" s="1"/>
  <c r="AQ1015" i="1"/>
  <c r="AQ94" i="9" s="1"/>
  <c r="AP1015" i="1"/>
  <c r="AO1015" i="1"/>
  <c r="AM1015" i="1"/>
  <c r="AL1015" i="1"/>
  <c r="AL94" i="9" s="1"/>
  <c r="AK1015" i="1"/>
  <c r="AK94" i="9" s="1"/>
  <c r="AJ1015" i="1"/>
  <c r="AJ94" i="9" s="1"/>
  <c r="AH1015" i="1"/>
  <c r="AH94" i="9" s="1"/>
  <c r="AG1015" i="1"/>
  <c r="AF1015" i="1"/>
  <c r="AD1015" i="1"/>
  <c r="AD94" i="9" s="1"/>
  <c r="AC1015" i="1"/>
  <c r="AC94" i="9" s="1"/>
  <c r="AB1015" i="1"/>
  <c r="AB94" i="9" s="1"/>
  <c r="AA1015" i="1"/>
  <c r="AA94" i="9" s="1"/>
  <c r="Z1015" i="1"/>
  <c r="Z94" i="9" s="1"/>
  <c r="X1015" i="1"/>
  <c r="W1015" i="1"/>
  <c r="V1015" i="1"/>
  <c r="V94" i="9" s="1"/>
  <c r="U1015" i="1"/>
  <c r="U94" i="9" s="1"/>
  <c r="S1015" i="1"/>
  <c r="S94" i="9" s="1"/>
  <c r="R1015" i="1"/>
  <c r="R94" i="9" s="1"/>
  <c r="Q1015" i="1"/>
  <c r="Q94" i="9" s="1"/>
  <c r="P1015" i="1"/>
  <c r="P94" i="9" s="1"/>
  <c r="N1015" i="1"/>
  <c r="N94" i="9" s="1"/>
  <c r="M1015" i="1"/>
  <c r="M94" i="9" s="1"/>
  <c r="L1015" i="1"/>
  <c r="L94" i="9" s="1"/>
  <c r="K1015" i="1"/>
  <c r="K94" i="9" s="1"/>
  <c r="I1015" i="1"/>
  <c r="I94" i="9" s="1"/>
  <c r="H1015" i="1"/>
  <c r="H94" i="9" s="1"/>
  <c r="G1015" i="1"/>
  <c r="F1015" i="1"/>
  <c r="F94" i="9" s="1"/>
  <c r="E1015" i="1"/>
  <c r="E94" i="9" s="1"/>
  <c r="D1015" i="1"/>
  <c r="D94" i="9" s="1"/>
  <c r="C1015" i="1"/>
  <c r="C94" i="9" s="1"/>
  <c r="C95" i="9" s="1"/>
  <c r="BW1014" i="1"/>
  <c r="BR1014" i="1"/>
  <c r="BM1014" i="1"/>
  <c r="BH1014" i="1"/>
  <c r="BC1014" i="1"/>
  <c r="AX1014" i="1"/>
  <c r="AS1014" i="1"/>
  <c r="AN1014" i="1"/>
  <c r="AI1014" i="1"/>
  <c r="AE1014" i="1"/>
  <c r="Y1014" i="1"/>
  <c r="T1014" i="1"/>
  <c r="O1014" i="1"/>
  <c r="J1014" i="1"/>
  <c r="CI1013" i="1"/>
  <c r="CJ1013" i="1" s="1"/>
  <c r="CK1013" i="1" s="1"/>
  <c r="BZ1013" i="1"/>
  <c r="CA1013" i="1" s="1"/>
  <c r="CB1013" i="1" s="1"/>
  <c r="CC1013" i="1" s="1"/>
  <c r="CD1013" i="1" s="1"/>
  <c r="CE1013" i="1" s="1"/>
  <c r="CF1013" i="1" s="1"/>
  <c r="CG1013" i="1" s="1"/>
  <c r="CH1013" i="1" s="1"/>
  <c r="BW1013" i="1"/>
  <c r="BR1013" i="1"/>
  <c r="BM1013" i="1"/>
  <c r="BH1013" i="1"/>
  <c r="BC1013" i="1"/>
  <c r="AX1013" i="1"/>
  <c r="AX1015" i="1" s="1"/>
  <c r="AS1013" i="1"/>
  <c r="AN1013" i="1"/>
  <c r="AI1013" i="1"/>
  <c r="AE1013" i="1"/>
  <c r="Y1013" i="1"/>
  <c r="T1013" i="1"/>
  <c r="O1013" i="1"/>
  <c r="J1013" i="1"/>
  <c r="BZ1012" i="1"/>
  <c r="CA1012" i="1" s="1"/>
  <c r="CB1012" i="1" s="1"/>
  <c r="CC1012" i="1" s="1"/>
  <c r="CD1012" i="1" s="1"/>
  <c r="CE1012" i="1" s="1"/>
  <c r="BR1012" i="1"/>
  <c r="BM1012" i="1"/>
  <c r="BH1012" i="1"/>
  <c r="BC1012" i="1"/>
  <c r="AX1012" i="1"/>
  <c r="AS1012" i="1"/>
  <c r="AN1012" i="1"/>
  <c r="AN1015" i="1" s="1"/>
  <c r="AI1012" i="1"/>
  <c r="AE1012" i="1"/>
  <c r="Y1012" i="1"/>
  <c r="T1012" i="1"/>
  <c r="O1012" i="1"/>
  <c r="J1012" i="1"/>
  <c r="BW1011" i="1"/>
  <c r="BR1011" i="1"/>
  <c r="BM1011" i="1"/>
  <c r="BH1011" i="1"/>
  <c r="BC1011" i="1"/>
  <c r="AX1011" i="1"/>
  <c r="AS1011" i="1"/>
  <c r="AN1011" i="1"/>
  <c r="AI1011" i="1"/>
  <c r="AE1011" i="1"/>
  <c r="Y1011" i="1"/>
  <c r="T1011" i="1"/>
  <c r="O1011" i="1"/>
  <c r="J1011" i="1"/>
  <c r="BZ1010" i="1"/>
  <c r="BW1010" i="1"/>
  <c r="BR1010" i="1"/>
  <c r="BM1010" i="1"/>
  <c r="BH1010" i="1"/>
  <c r="BC1010" i="1"/>
  <c r="BC1015" i="1" s="1"/>
  <c r="AX1010" i="1"/>
  <c r="AS1010" i="1"/>
  <c r="AN1010" i="1"/>
  <c r="AI1010" i="1"/>
  <c r="AE1010" i="1"/>
  <c r="Y1010" i="1"/>
  <c r="T1010" i="1"/>
  <c r="O1010" i="1"/>
  <c r="O1015" i="1" s="1"/>
  <c r="J1010" i="1"/>
  <c r="BH1009" i="1"/>
  <c r="AI1009" i="1"/>
  <c r="AE1009" i="1"/>
  <c r="AA1009" i="1"/>
  <c r="Y1009" i="1"/>
  <c r="Y774" i="1" s="1"/>
  <c r="L1006" i="1"/>
  <c r="L1017" i="1" s="1"/>
  <c r="K1006" i="1"/>
  <c r="E1006" i="1"/>
  <c r="BY1005" i="1"/>
  <c r="BX1005" i="1"/>
  <c r="BV1005" i="1"/>
  <c r="BU1005" i="1"/>
  <c r="BT1005" i="1"/>
  <c r="BS1005" i="1"/>
  <c r="BQ1005" i="1"/>
  <c r="BP1005" i="1"/>
  <c r="BO1005" i="1"/>
  <c r="BN1005" i="1"/>
  <c r="BL1005" i="1"/>
  <c r="BK1005" i="1"/>
  <c r="BJ1005" i="1"/>
  <c r="BI1005" i="1"/>
  <c r="BG1005" i="1"/>
  <c r="BF1005" i="1"/>
  <c r="BE1005" i="1"/>
  <c r="BD1005" i="1"/>
  <c r="BB1005" i="1"/>
  <c r="BA1005" i="1"/>
  <c r="AZ1005" i="1"/>
  <c r="AY1005" i="1"/>
  <c r="AW1005" i="1"/>
  <c r="AV1005" i="1"/>
  <c r="AU1005" i="1"/>
  <c r="AT1005" i="1"/>
  <c r="AR1005" i="1"/>
  <c r="AQ1005" i="1"/>
  <c r="AP1005" i="1"/>
  <c r="AO1005" i="1"/>
  <c r="AM1005" i="1"/>
  <c r="AL1005" i="1"/>
  <c r="AK1005" i="1"/>
  <c r="AJ1005" i="1"/>
  <c r="AI1005" i="1"/>
  <c r="AH1005" i="1"/>
  <c r="AG1005" i="1"/>
  <c r="AF1005" i="1"/>
  <c r="AD1005" i="1"/>
  <c r="AC1005" i="1"/>
  <c r="AB1005" i="1"/>
  <c r="Z1005" i="1"/>
  <c r="X1005" i="1"/>
  <c r="W1005" i="1"/>
  <c r="W1006" i="1" s="1"/>
  <c r="V1005" i="1"/>
  <c r="U1005" i="1"/>
  <c r="S1005" i="1"/>
  <c r="R1005" i="1"/>
  <c r="Q1005" i="1"/>
  <c r="P1005" i="1"/>
  <c r="N1005" i="1"/>
  <c r="M1005" i="1"/>
  <c r="M1006" i="1" s="1"/>
  <c r="L1005" i="1"/>
  <c r="K1005" i="1"/>
  <c r="I1005" i="1"/>
  <c r="H1005" i="1"/>
  <c r="G1005" i="1"/>
  <c r="F1005" i="1"/>
  <c r="E1005" i="1"/>
  <c r="D1005" i="1"/>
  <c r="C1005" i="1"/>
  <c r="BW1004" i="1"/>
  <c r="BR1004" i="1"/>
  <c r="BM1004" i="1"/>
  <c r="BH1004" i="1"/>
  <c r="BC1004" i="1"/>
  <c r="AX1004" i="1"/>
  <c r="AS1004" i="1"/>
  <c r="AN1004" i="1"/>
  <c r="AI1004" i="1"/>
  <c r="BW1003" i="1"/>
  <c r="BR1003" i="1"/>
  <c r="BM1003" i="1"/>
  <c r="BM736" i="1" s="1"/>
  <c r="BH1003" i="1"/>
  <c r="BH736" i="1" s="1"/>
  <c r="BC1003" i="1"/>
  <c r="AX1003" i="1"/>
  <c r="AS1003" i="1"/>
  <c r="AN1003" i="1"/>
  <c r="AI1003" i="1"/>
  <c r="AE1003" i="1"/>
  <c r="Y1003" i="1"/>
  <c r="Y736" i="1" s="1"/>
  <c r="T1003" i="1"/>
  <c r="O1003" i="1"/>
  <c r="J1003" i="1"/>
  <c r="BZ1002" i="1"/>
  <c r="CA1002" i="1" s="1"/>
  <c r="CB1002" i="1" s="1"/>
  <c r="CC1002" i="1" s="1"/>
  <c r="CD1002" i="1" s="1"/>
  <c r="CE1002" i="1" s="1"/>
  <c r="CF1002" i="1" s="1"/>
  <c r="CG1002" i="1" s="1"/>
  <c r="CH1002" i="1" s="1"/>
  <c r="CI1002" i="1" s="1"/>
  <c r="CJ1002" i="1" s="1"/>
  <c r="CK1002" i="1" s="1"/>
  <c r="BW1002" i="1"/>
  <c r="BR1002" i="1"/>
  <c r="BM1002" i="1"/>
  <c r="BH1002" i="1"/>
  <c r="BC1002" i="1"/>
  <c r="AX1002" i="1"/>
  <c r="AS1002" i="1"/>
  <c r="AN1002" i="1"/>
  <c r="AI1002" i="1"/>
  <c r="AE1002" i="1"/>
  <c r="Y1002" i="1"/>
  <c r="T1002" i="1"/>
  <c r="O1002" i="1"/>
  <c r="O1005" i="1" s="1"/>
  <c r="J1002" i="1"/>
  <c r="BZ1001" i="1"/>
  <c r="CA1001" i="1" s="1"/>
  <c r="CB1001" i="1" s="1"/>
  <c r="BW1001" i="1"/>
  <c r="BR1001" i="1"/>
  <c r="BM1001" i="1"/>
  <c r="BH1001" i="1"/>
  <c r="BH738" i="1" s="1"/>
  <c r="BH9" i="9" s="1"/>
  <c r="BC1001" i="1"/>
  <c r="AX1001" i="1"/>
  <c r="AS1001" i="1"/>
  <c r="BW1000" i="1"/>
  <c r="BR1000" i="1"/>
  <c r="BM1000" i="1"/>
  <c r="BH1000" i="1"/>
  <c r="BC1000" i="1"/>
  <c r="BC1005" i="1" s="1"/>
  <c r="AX1000" i="1"/>
  <c r="AX736" i="1" s="1"/>
  <c r="AS1000" i="1"/>
  <c r="AN1000" i="1"/>
  <c r="AI1000" i="1"/>
  <c r="AE1000" i="1"/>
  <c r="AA1000" i="1"/>
  <c r="AA1005" i="1" s="1"/>
  <c r="Y1000" i="1"/>
  <c r="T1000" i="1"/>
  <c r="T1005" i="1" s="1"/>
  <c r="O1000" i="1"/>
  <c r="BV997" i="1"/>
  <c r="BD997" i="1"/>
  <c r="BB997" i="1"/>
  <c r="BB108" i="9" s="1"/>
  <c r="AR997" i="1"/>
  <c r="AR108" i="9" s="1"/>
  <c r="AQ997" i="1"/>
  <c r="AO997" i="1"/>
  <c r="AM997" i="1"/>
  <c r="AM108" i="9" s="1"/>
  <c r="AL997" i="1"/>
  <c r="AL108" i="9" s="1"/>
  <c r="AK997" i="1"/>
  <c r="AK108" i="9" s="1"/>
  <c r="AJ997" i="1"/>
  <c r="AJ108" i="9" s="1"/>
  <c r="AI997" i="1"/>
  <c r="AH997" i="1"/>
  <c r="AG997" i="1"/>
  <c r="AF997" i="1"/>
  <c r="AF108" i="9" s="1"/>
  <c r="AD997" i="1"/>
  <c r="AD108" i="9" s="1"/>
  <c r="AC997" i="1"/>
  <c r="AC108" i="9" s="1"/>
  <c r="AB997" i="1"/>
  <c r="AB108" i="9" s="1"/>
  <c r="AA997" i="1"/>
  <c r="Z997" i="1"/>
  <c r="Y997" i="1"/>
  <c r="X997" i="1"/>
  <c r="W997" i="1"/>
  <c r="W108" i="9" s="1"/>
  <c r="V997" i="1"/>
  <c r="V108" i="9" s="1"/>
  <c r="U997" i="1"/>
  <c r="S997" i="1"/>
  <c r="R997" i="1"/>
  <c r="Q997" i="1"/>
  <c r="P997" i="1"/>
  <c r="N997" i="1"/>
  <c r="M997" i="1"/>
  <c r="M108" i="9" s="1"/>
  <c r="L997" i="1"/>
  <c r="L108" i="9" s="1"/>
  <c r="K997" i="1"/>
  <c r="K108" i="9" s="1"/>
  <c r="I997" i="1"/>
  <c r="H997" i="1"/>
  <c r="H108" i="9" s="1"/>
  <c r="G997" i="1"/>
  <c r="G108" i="9" s="1"/>
  <c r="F997" i="1"/>
  <c r="E997" i="1"/>
  <c r="E108" i="9" s="1"/>
  <c r="D997" i="1"/>
  <c r="D108" i="9" s="1"/>
  <c r="C997" i="1"/>
  <c r="C108" i="9" s="1"/>
  <c r="C109" i="9" s="1"/>
  <c r="BW996" i="1"/>
  <c r="BR996" i="1"/>
  <c r="BM996" i="1"/>
  <c r="BH996" i="1"/>
  <c r="BH735" i="1" s="1"/>
  <c r="BC996" i="1"/>
  <c r="BC737" i="1" s="1"/>
  <c r="AX996" i="1"/>
  <c r="AX735" i="1" s="1"/>
  <c r="AS996" i="1"/>
  <c r="AN996" i="1"/>
  <c r="AI996" i="1"/>
  <c r="AE996" i="1"/>
  <c r="Y996" i="1"/>
  <c r="T996" i="1"/>
  <c r="O996" i="1"/>
  <c r="O737" i="1" s="1"/>
  <c r="J996" i="1"/>
  <c r="J735" i="1" s="1"/>
  <c r="BY995" i="1"/>
  <c r="BX995" i="1"/>
  <c r="BV995" i="1"/>
  <c r="BU995" i="1"/>
  <c r="BU997" i="1" s="1"/>
  <c r="BT995" i="1"/>
  <c r="BT997" i="1" s="1"/>
  <c r="BS995" i="1"/>
  <c r="BQ995" i="1"/>
  <c r="BP995" i="1"/>
  <c r="BP997" i="1" s="1"/>
  <c r="BP108" i="9" s="1"/>
  <c r="BO995" i="1"/>
  <c r="BN995" i="1"/>
  <c r="BN997" i="1" s="1"/>
  <c r="BL995" i="1"/>
  <c r="BL997" i="1" s="1"/>
  <c r="BK995" i="1"/>
  <c r="BK997" i="1" s="1"/>
  <c r="BJ995" i="1"/>
  <c r="BJ997" i="1" s="1"/>
  <c r="BI995" i="1"/>
  <c r="BH995" i="1" s="1"/>
  <c r="BG995" i="1"/>
  <c r="BG997" i="1" s="1"/>
  <c r="BG108" i="9" s="1"/>
  <c r="BF995" i="1"/>
  <c r="BF997" i="1" s="1"/>
  <c r="BE995" i="1"/>
  <c r="BE997" i="1" s="1"/>
  <c r="BD995" i="1"/>
  <c r="BC995" i="1" s="1"/>
  <c r="BB995" i="1"/>
  <c r="BA995" i="1"/>
  <c r="AZ995" i="1"/>
  <c r="AZ997" i="1" s="1"/>
  <c r="AY995" i="1"/>
  <c r="AW995" i="1"/>
  <c r="AW997" i="1" s="1"/>
  <c r="AV995" i="1"/>
  <c r="AU995" i="1"/>
  <c r="AU997" i="1" s="1"/>
  <c r="AU108" i="9" s="1"/>
  <c r="AT995" i="1"/>
  <c r="AT997" i="1" s="1"/>
  <c r="AT108" i="9" s="1"/>
  <c r="AR995" i="1"/>
  <c r="AQ995" i="1"/>
  <c r="AP995" i="1"/>
  <c r="AP997" i="1" s="1"/>
  <c r="AN995" i="1"/>
  <c r="AI995" i="1"/>
  <c r="AE995" i="1"/>
  <c r="Y995" i="1"/>
  <c r="T995" i="1"/>
  <c r="O995" i="1"/>
  <c r="J995" i="1"/>
  <c r="CF994" i="1"/>
  <c r="CG994" i="1" s="1"/>
  <c r="CH994" i="1" s="1"/>
  <c r="CI994" i="1" s="1"/>
  <c r="CJ994" i="1" s="1"/>
  <c r="CK994" i="1" s="1"/>
  <c r="CC994" i="1"/>
  <c r="CD994" i="1" s="1"/>
  <c r="CE994" i="1" s="1"/>
  <c r="BZ994" i="1"/>
  <c r="CA994" i="1" s="1"/>
  <c r="CB994" i="1" s="1"/>
  <c r="BW994" i="1"/>
  <c r="BR994" i="1"/>
  <c r="BM994" i="1"/>
  <c r="BH994" i="1"/>
  <c r="BC994" i="1"/>
  <c r="AX994" i="1"/>
  <c r="AS994" i="1"/>
  <c r="BW993" i="1"/>
  <c r="BR993" i="1"/>
  <c r="BM993" i="1"/>
  <c r="BH993" i="1"/>
  <c r="BC993" i="1"/>
  <c r="AX993" i="1"/>
  <c r="AS993" i="1"/>
  <c r="AN993" i="1"/>
  <c r="AI993" i="1"/>
  <c r="AE993" i="1"/>
  <c r="AE997" i="1" s="1"/>
  <c r="AE108" i="9" s="1"/>
  <c r="Y993" i="1"/>
  <c r="T993" i="1"/>
  <c r="O993" i="1"/>
  <c r="J993" i="1"/>
  <c r="BJ990" i="1"/>
  <c r="BA990" i="1"/>
  <c r="AG990" i="1"/>
  <c r="X990" i="1"/>
  <c r="BS989" i="1"/>
  <c r="BN989" i="1"/>
  <c r="BL989" i="1"/>
  <c r="BI989" i="1"/>
  <c r="BG989" i="1"/>
  <c r="BA989" i="1"/>
  <c r="AV989" i="1"/>
  <c r="AU989" i="1"/>
  <c r="AR989" i="1"/>
  <c r="AQ989" i="1"/>
  <c r="AP989" i="1"/>
  <c r="AO989" i="1"/>
  <c r="AM989" i="1"/>
  <c r="AL989" i="1"/>
  <c r="AK989" i="1"/>
  <c r="AJ989" i="1"/>
  <c r="AH989" i="1"/>
  <c r="AG989" i="1"/>
  <c r="AF989" i="1"/>
  <c r="AF990" i="1" s="1"/>
  <c r="AD989" i="1"/>
  <c r="AC989" i="1"/>
  <c r="AB989" i="1"/>
  <c r="AA989" i="1"/>
  <c r="Z989" i="1"/>
  <c r="X989" i="1"/>
  <c r="W989" i="1"/>
  <c r="W990" i="1" s="1"/>
  <c r="V989" i="1"/>
  <c r="V990" i="1" s="1"/>
  <c r="V99" i="9" s="1"/>
  <c r="U989" i="1"/>
  <c r="S989" i="1"/>
  <c r="R989" i="1"/>
  <c r="Q989" i="1"/>
  <c r="P989" i="1"/>
  <c r="N989" i="1"/>
  <c r="M989" i="1"/>
  <c r="L989" i="1"/>
  <c r="K989" i="1"/>
  <c r="K990" i="1" s="1"/>
  <c r="I989" i="1"/>
  <c r="H989" i="1"/>
  <c r="G989" i="1"/>
  <c r="F989" i="1"/>
  <c r="E989" i="1"/>
  <c r="D989" i="1"/>
  <c r="C989" i="1"/>
  <c r="BY988" i="1"/>
  <c r="BZ988" i="1" s="1"/>
  <c r="CA988" i="1" s="1"/>
  <c r="CB988" i="1" s="1"/>
  <c r="BX988" i="1"/>
  <c r="BX989" i="1" s="1"/>
  <c r="BV988" i="1"/>
  <c r="BU988" i="1"/>
  <c r="BT988" i="1"/>
  <c r="BR988" i="1"/>
  <c r="BQ988" i="1"/>
  <c r="BP988" i="1"/>
  <c r="BO988" i="1"/>
  <c r="BM988" i="1"/>
  <c r="BL988" i="1"/>
  <c r="BK988" i="1"/>
  <c r="BJ988" i="1"/>
  <c r="BJ989" i="1" s="1"/>
  <c r="BH988" i="1"/>
  <c r="BG988" i="1"/>
  <c r="BF988" i="1"/>
  <c r="BF989" i="1" s="1"/>
  <c r="BE988" i="1"/>
  <c r="BE989" i="1" s="1"/>
  <c r="BD988" i="1"/>
  <c r="BD989" i="1" s="1"/>
  <c r="BB988" i="1"/>
  <c r="BB989" i="1" s="1"/>
  <c r="BA988" i="1"/>
  <c r="AZ988" i="1"/>
  <c r="AZ989" i="1" s="1"/>
  <c r="AY988" i="1"/>
  <c r="AY989" i="1" s="1"/>
  <c r="AY990" i="1" s="1"/>
  <c r="AW988" i="1"/>
  <c r="AW989" i="1" s="1"/>
  <c r="AT988" i="1"/>
  <c r="AN988" i="1"/>
  <c r="AI988" i="1"/>
  <c r="AE988" i="1"/>
  <c r="Y988" i="1"/>
  <c r="T988" i="1"/>
  <c r="O988" i="1"/>
  <c r="O989" i="1" s="1"/>
  <c r="J988" i="1"/>
  <c r="BR987" i="1"/>
  <c r="BP987" i="1"/>
  <c r="BM987" i="1"/>
  <c r="BH987" i="1"/>
  <c r="BC987" i="1"/>
  <c r="AX987" i="1"/>
  <c r="BR986" i="1"/>
  <c r="BH986" i="1"/>
  <c r="BC986" i="1"/>
  <c r="AX986" i="1"/>
  <c r="BR985" i="1"/>
  <c r="BH985" i="1"/>
  <c r="BC985" i="1"/>
  <c r="AX985" i="1"/>
  <c r="BR984" i="1"/>
  <c r="BM984" i="1"/>
  <c r="BH984" i="1"/>
  <c r="BR983" i="1"/>
  <c r="BR982" i="1"/>
  <c r="BM982" i="1"/>
  <c r="BH982" i="1"/>
  <c r="BC982" i="1"/>
  <c r="AX982" i="1"/>
  <c r="BR981" i="1"/>
  <c r="BM981" i="1"/>
  <c r="BH981" i="1"/>
  <c r="BC981" i="1"/>
  <c r="AX981" i="1"/>
  <c r="BR980" i="1"/>
  <c r="BM980" i="1"/>
  <c r="BH980" i="1"/>
  <c r="BC980" i="1"/>
  <c r="BW979" i="1"/>
  <c r="BR979" i="1"/>
  <c r="BM979" i="1"/>
  <c r="BH979" i="1"/>
  <c r="BC979" i="1"/>
  <c r="AX979" i="1"/>
  <c r="AS979" i="1"/>
  <c r="BY978" i="1"/>
  <c r="BY934" i="1" s="1"/>
  <c r="BY933" i="1" s="1"/>
  <c r="BW978" i="1"/>
  <c r="BV978" i="1"/>
  <c r="BV989" i="1" s="1"/>
  <c r="BU978" i="1"/>
  <c r="BT978" i="1"/>
  <c r="BR978" i="1"/>
  <c r="BR934" i="1" s="1"/>
  <c r="BQ978" i="1"/>
  <c r="BQ934" i="1" s="1"/>
  <c r="BR930" i="1" s="1"/>
  <c r="BP978" i="1"/>
  <c r="BP934" i="1" s="1"/>
  <c r="BO978" i="1"/>
  <c r="BO934" i="1" s="1"/>
  <c r="BM978" i="1"/>
  <c r="BM934" i="1" s="1"/>
  <c r="BL978" i="1"/>
  <c r="BK978" i="1"/>
  <c r="BH978" i="1"/>
  <c r="BC978" i="1"/>
  <c r="AX978" i="1"/>
  <c r="AX934" i="1" s="1"/>
  <c r="AS978" i="1"/>
  <c r="AS934" i="1" s="1"/>
  <c r="AN978" i="1"/>
  <c r="AN934" i="1" s="1"/>
  <c r="AI978" i="1"/>
  <c r="AI934" i="1" s="1"/>
  <c r="AE978" i="1"/>
  <c r="AE934" i="1" s="1"/>
  <c r="AJ930" i="1" s="1"/>
  <c r="Y978" i="1"/>
  <c r="T978" i="1"/>
  <c r="O978" i="1"/>
  <c r="J978" i="1"/>
  <c r="BW977" i="1"/>
  <c r="BM977" i="1"/>
  <c r="BH977" i="1"/>
  <c r="BC977" i="1"/>
  <c r="AX977" i="1"/>
  <c r="BW976" i="1"/>
  <c r="BM976" i="1"/>
  <c r="BH976" i="1"/>
  <c r="BC976" i="1"/>
  <c r="AX976" i="1"/>
  <c r="BZ975" i="1"/>
  <c r="CA975" i="1" s="1"/>
  <c r="CB975" i="1" s="1"/>
  <c r="CC975" i="1" s="1"/>
  <c r="CD975" i="1" s="1"/>
  <c r="CE975" i="1" s="1"/>
  <c r="CF975" i="1" s="1"/>
  <c r="CG975" i="1" s="1"/>
  <c r="CH975" i="1" s="1"/>
  <c r="CI975" i="1" s="1"/>
  <c r="CJ975" i="1" s="1"/>
  <c r="CK975" i="1" s="1"/>
  <c r="BW975" i="1"/>
  <c r="BR975" i="1"/>
  <c r="BM975" i="1"/>
  <c r="BH975" i="1"/>
  <c r="BC975" i="1"/>
  <c r="AX975" i="1"/>
  <c r="AS975" i="1"/>
  <c r="AN975" i="1"/>
  <c r="AI975" i="1"/>
  <c r="AE975" i="1"/>
  <c r="Y975" i="1"/>
  <c r="T975" i="1"/>
  <c r="O975" i="1"/>
  <c r="J975" i="1"/>
  <c r="CG974" i="1"/>
  <c r="CH974" i="1" s="1"/>
  <c r="CI974" i="1" s="1"/>
  <c r="CJ974" i="1" s="1"/>
  <c r="CK974" i="1" s="1"/>
  <c r="CD974" i="1"/>
  <c r="CE974" i="1" s="1"/>
  <c r="CF974" i="1" s="1"/>
  <c r="BZ974" i="1"/>
  <c r="CA974" i="1" s="1"/>
  <c r="CB974" i="1" s="1"/>
  <c r="CC974" i="1" s="1"/>
  <c r="BW974" i="1"/>
  <c r="BR974" i="1"/>
  <c r="BM974" i="1"/>
  <c r="BH974" i="1"/>
  <c r="BC974" i="1"/>
  <c r="AX974" i="1"/>
  <c r="AS974" i="1"/>
  <c r="BW973" i="1"/>
  <c r="BW928" i="1" s="1"/>
  <c r="BR973" i="1"/>
  <c r="BM973" i="1"/>
  <c r="BH973" i="1"/>
  <c r="BC973" i="1"/>
  <c r="BC928" i="1" s="1"/>
  <c r="AX973" i="1"/>
  <c r="AX928" i="1" s="1"/>
  <c r="AS973" i="1"/>
  <c r="AS928" i="1" s="1"/>
  <c r="AN973" i="1"/>
  <c r="AN928" i="1" s="1"/>
  <c r="AI973" i="1"/>
  <c r="AI928" i="1" s="1"/>
  <c r="AE973" i="1"/>
  <c r="Y973" i="1"/>
  <c r="T973" i="1"/>
  <c r="T928" i="1" s="1"/>
  <c r="O973" i="1"/>
  <c r="J973" i="1"/>
  <c r="J928" i="1" s="1"/>
  <c r="BX970" i="1"/>
  <c r="BS970" i="1"/>
  <c r="BS990" i="1" s="1"/>
  <c r="BJ970" i="1"/>
  <c r="BI970" i="1"/>
  <c r="BG970" i="1"/>
  <c r="BG990" i="1" s="1"/>
  <c r="BF970" i="1"/>
  <c r="BE970" i="1"/>
  <c r="BE990" i="1" s="1"/>
  <c r="BD970" i="1"/>
  <c r="BB970" i="1"/>
  <c r="BA970" i="1"/>
  <c r="AZ970" i="1"/>
  <c r="AZ990" i="1" s="1"/>
  <c r="AW970" i="1"/>
  <c r="AV970" i="1"/>
  <c r="AV990" i="1" s="1"/>
  <c r="AU970" i="1"/>
  <c r="AU990" i="1" s="1"/>
  <c r="AT970" i="1"/>
  <c r="AR970" i="1"/>
  <c r="AR990" i="1" s="1"/>
  <c r="AQ970" i="1"/>
  <c r="AP970" i="1"/>
  <c r="AO970" i="1"/>
  <c r="AO990" i="1" s="1"/>
  <c r="AM970" i="1"/>
  <c r="AM990" i="1" s="1"/>
  <c r="AL970" i="1"/>
  <c r="AK970" i="1"/>
  <c r="AK990" i="1" s="1"/>
  <c r="AJ970" i="1"/>
  <c r="AJ990" i="1" s="1"/>
  <c r="AJ99" i="9" s="1"/>
  <c r="AH970" i="1"/>
  <c r="AH990" i="1" s="1"/>
  <c r="AG970" i="1"/>
  <c r="AF970" i="1"/>
  <c r="AD970" i="1"/>
  <c r="AC970" i="1"/>
  <c r="AC990" i="1" s="1"/>
  <c r="AB970" i="1"/>
  <c r="AB990" i="1" s="1"/>
  <c r="AB99" i="9" s="1"/>
  <c r="Z970" i="1"/>
  <c r="Z990" i="1" s="1"/>
  <c r="X970" i="1"/>
  <c r="W970" i="1"/>
  <c r="V970" i="1"/>
  <c r="U970" i="1"/>
  <c r="S970" i="1"/>
  <c r="S990" i="1" s="1"/>
  <c r="S99" i="9" s="1"/>
  <c r="R970" i="1"/>
  <c r="R990" i="1" s="1"/>
  <c r="Q970" i="1"/>
  <c r="Q990" i="1" s="1"/>
  <c r="P970" i="1"/>
  <c r="P990" i="1" s="1"/>
  <c r="N970" i="1"/>
  <c r="M970" i="1"/>
  <c r="L970" i="1"/>
  <c r="K970" i="1"/>
  <c r="J970" i="1"/>
  <c r="I970" i="1"/>
  <c r="I990" i="1" s="1"/>
  <c r="H970" i="1"/>
  <c r="H990" i="1" s="1"/>
  <c r="G970" i="1"/>
  <c r="G990" i="1" s="1"/>
  <c r="F970" i="1"/>
  <c r="E970" i="1"/>
  <c r="E990" i="1" s="1"/>
  <c r="D970" i="1"/>
  <c r="C970" i="1"/>
  <c r="BW969" i="1"/>
  <c r="BR969" i="1"/>
  <c r="BM969" i="1"/>
  <c r="BH969" i="1"/>
  <c r="BC969" i="1"/>
  <c r="AX969" i="1"/>
  <c r="AS969" i="1"/>
  <c r="AN969" i="1"/>
  <c r="AI969" i="1"/>
  <c r="AE969" i="1"/>
  <c r="AA969" i="1"/>
  <c r="AA970" i="1" s="1"/>
  <c r="AA990" i="1" s="1"/>
  <c r="Y969" i="1"/>
  <c r="T969" i="1"/>
  <c r="O969" i="1"/>
  <c r="J969" i="1"/>
  <c r="BZ968" i="1"/>
  <c r="CA968" i="1" s="1"/>
  <c r="CB968" i="1" s="1"/>
  <c r="CC968" i="1" s="1"/>
  <c r="CD968" i="1" s="1"/>
  <c r="CE968" i="1" s="1"/>
  <c r="CF968" i="1" s="1"/>
  <c r="CG968" i="1" s="1"/>
  <c r="CH968" i="1" s="1"/>
  <c r="CI968" i="1" s="1"/>
  <c r="CJ968" i="1" s="1"/>
  <c r="CK968" i="1" s="1"/>
  <c r="BW968" i="1"/>
  <c r="BU968" i="1"/>
  <c r="BR968" i="1"/>
  <c r="BP968" i="1"/>
  <c r="BP970" i="1" s="1"/>
  <c r="BM968" i="1"/>
  <c r="BL968" i="1"/>
  <c r="BK968" i="1"/>
  <c r="BH968" i="1"/>
  <c r="BC968" i="1"/>
  <c r="AX968" i="1"/>
  <c r="AS968" i="1"/>
  <c r="AS970" i="1" s="1"/>
  <c r="AN968" i="1"/>
  <c r="AI968" i="1"/>
  <c r="AE968" i="1"/>
  <c r="Y968" i="1"/>
  <c r="T968" i="1"/>
  <c r="O968" i="1"/>
  <c r="J968" i="1"/>
  <c r="CK967" i="1"/>
  <c r="CJ967" i="1"/>
  <c r="BZ967" i="1"/>
  <c r="CA967" i="1" s="1"/>
  <c r="CB967" i="1" s="1"/>
  <c r="CC967" i="1" s="1"/>
  <c r="CD967" i="1" s="1"/>
  <c r="CE967" i="1" s="1"/>
  <c r="CF967" i="1" s="1"/>
  <c r="CG967" i="1" s="1"/>
  <c r="CH967" i="1" s="1"/>
  <c r="CI967" i="1" s="1"/>
  <c r="BY966" i="1"/>
  <c r="BW966" i="1"/>
  <c r="BV966" i="1"/>
  <c r="BV970" i="1" s="1"/>
  <c r="BU966" i="1"/>
  <c r="BT966" i="1"/>
  <c r="BR966" i="1"/>
  <c r="BQ966" i="1"/>
  <c r="BQ970" i="1" s="1"/>
  <c r="BP966" i="1"/>
  <c r="BO966" i="1"/>
  <c r="BN966" i="1"/>
  <c r="BN970" i="1" s="1"/>
  <c r="BL966" i="1"/>
  <c r="BK966" i="1"/>
  <c r="BH966" i="1"/>
  <c r="BC966" i="1"/>
  <c r="AX966" i="1"/>
  <c r="AS966" i="1"/>
  <c r="AN966" i="1"/>
  <c r="AI966" i="1"/>
  <c r="AE966" i="1"/>
  <c r="Y966" i="1"/>
  <c r="T966" i="1"/>
  <c r="O966" i="1"/>
  <c r="J966" i="1"/>
  <c r="BW965" i="1"/>
  <c r="BR965" i="1"/>
  <c r="BM965" i="1"/>
  <c r="BH965" i="1"/>
  <c r="BC965" i="1"/>
  <c r="AX965" i="1"/>
  <c r="BW964" i="1"/>
  <c r="BR964" i="1"/>
  <c r="BM964" i="1"/>
  <c r="BH964" i="1"/>
  <c r="BC964" i="1"/>
  <c r="AX964" i="1"/>
  <c r="BW963" i="1"/>
  <c r="BR963" i="1"/>
  <c r="BM963" i="1"/>
  <c r="BH963" i="1"/>
  <c r="BC963" i="1"/>
  <c r="AX963" i="1"/>
  <c r="BW962" i="1"/>
  <c r="BR962" i="1"/>
  <c r="BM962" i="1"/>
  <c r="BH962" i="1"/>
  <c r="BC962" i="1"/>
  <c r="AX962" i="1"/>
  <c r="AS962" i="1"/>
  <c r="AN962" i="1"/>
  <c r="AI962" i="1"/>
  <c r="AE962" i="1"/>
  <c r="Y962" i="1"/>
  <c r="T962" i="1"/>
  <c r="O962" i="1"/>
  <c r="J962" i="1"/>
  <c r="BY961" i="1"/>
  <c r="BZ961" i="1" s="1"/>
  <c r="CA961" i="1" s="1"/>
  <c r="CB961" i="1" s="1"/>
  <c r="CC961" i="1" s="1"/>
  <c r="CD961" i="1" s="1"/>
  <c r="CE961" i="1" s="1"/>
  <c r="CF961" i="1" s="1"/>
  <c r="CG961" i="1" s="1"/>
  <c r="CH961" i="1" s="1"/>
  <c r="CI961" i="1" s="1"/>
  <c r="CJ961" i="1" s="1"/>
  <c r="CK961" i="1" s="1"/>
  <c r="BW961" i="1"/>
  <c r="BR961" i="1"/>
  <c r="BR734" i="1" s="1"/>
  <c r="BM961" i="1"/>
  <c r="BM734" i="1" s="1"/>
  <c r="BH961" i="1"/>
  <c r="BC961" i="1"/>
  <c r="AX961" i="1"/>
  <c r="AS961" i="1"/>
  <c r="AO961" i="1"/>
  <c r="AN961" i="1" s="1"/>
  <c r="AI961" i="1"/>
  <c r="AI734" i="1" s="1"/>
  <c r="AE961" i="1"/>
  <c r="Y961" i="1"/>
  <c r="T961" i="1"/>
  <c r="O961" i="1"/>
  <c r="J961" i="1"/>
  <c r="BW960" i="1"/>
  <c r="BR960" i="1"/>
  <c r="BM960" i="1"/>
  <c r="BH960" i="1"/>
  <c r="BH734" i="1" s="1"/>
  <c r="BC960" i="1"/>
  <c r="BC734" i="1" s="1"/>
  <c r="AY960" i="1"/>
  <c r="AY970" i="1" s="1"/>
  <c r="AS960" i="1"/>
  <c r="AN960" i="1"/>
  <c r="AI960" i="1"/>
  <c r="AE960" i="1"/>
  <c r="Y960" i="1"/>
  <c r="T960" i="1"/>
  <c r="T734" i="1" s="1"/>
  <c r="O960" i="1"/>
  <c r="J960" i="1"/>
  <c r="CK944" i="1"/>
  <c r="CK932" i="1" s="1"/>
  <c r="CJ944" i="1"/>
  <c r="CI944" i="1"/>
  <c r="CI932" i="1" s="1"/>
  <c r="CG944" i="1"/>
  <c r="CG926" i="1" s="1"/>
  <c r="CF944" i="1"/>
  <c r="CF932" i="1" s="1"/>
  <c r="CE944" i="1"/>
  <c r="CD944" i="1"/>
  <c r="CB944" i="1"/>
  <c r="CA944" i="1"/>
  <c r="BZ944" i="1"/>
  <c r="CK942" i="1"/>
  <c r="CK926" i="1" s="1"/>
  <c r="CJ942" i="1"/>
  <c r="CI942" i="1"/>
  <c r="CG942" i="1"/>
  <c r="CF942" i="1"/>
  <c r="CE942" i="1"/>
  <c r="CE932" i="1" s="1"/>
  <c r="CD942" i="1"/>
  <c r="CB942" i="1"/>
  <c r="CA942" i="1"/>
  <c r="CA926" i="1" s="1"/>
  <c r="BZ942" i="1"/>
  <c r="N942" i="1"/>
  <c r="CH937" i="1"/>
  <c r="BS937" i="1"/>
  <c r="CH936" i="1"/>
  <c r="BX934" i="1"/>
  <c r="BY930" i="1" s="1"/>
  <c r="BW934" i="1"/>
  <c r="BV934" i="1"/>
  <c r="BU934" i="1"/>
  <c r="BV930" i="1" s="1"/>
  <c r="BS934" i="1"/>
  <c r="BX930" i="1" s="1"/>
  <c r="BX939" i="1" s="1"/>
  <c r="BN934" i="1"/>
  <c r="BL934" i="1"/>
  <c r="BM930" i="1" s="1"/>
  <c r="BK934" i="1"/>
  <c r="BJ934" i="1"/>
  <c r="BK930" i="1" s="1"/>
  <c r="BI934" i="1"/>
  <c r="BH934" i="1"/>
  <c r="BG934" i="1"/>
  <c r="BF934" i="1"/>
  <c r="BE934" i="1"/>
  <c r="BD934" i="1"/>
  <c r="BC934" i="1"/>
  <c r="BB934" i="1"/>
  <c r="BA934" i="1"/>
  <c r="AZ934" i="1"/>
  <c r="AY934" i="1"/>
  <c r="BD930" i="1" s="1"/>
  <c r="BD939" i="1" s="1"/>
  <c r="AW934" i="1"/>
  <c r="AV934" i="1"/>
  <c r="AW930" i="1" s="1"/>
  <c r="AU934" i="1"/>
  <c r="AT934" i="1"/>
  <c r="AR934" i="1"/>
  <c r="AQ934" i="1"/>
  <c r="AP934" i="1"/>
  <c r="AO934" i="1"/>
  <c r="AM934" i="1"/>
  <c r="AL934" i="1"/>
  <c r="AK934" i="1"/>
  <c r="AL930" i="1" s="1"/>
  <c r="AJ934" i="1"/>
  <c r="AH934" i="1"/>
  <c r="AI930" i="1" s="1"/>
  <c r="AG934" i="1"/>
  <c r="AG933" i="1" s="1"/>
  <c r="AF934" i="1"/>
  <c r="AD934" i="1"/>
  <c r="AC934" i="1"/>
  <c r="AB934" i="1"/>
  <c r="AA934" i="1"/>
  <c r="AB930" i="1" s="1"/>
  <c r="Z934" i="1"/>
  <c r="Y934" i="1"/>
  <c r="X934" i="1"/>
  <c r="W934" i="1"/>
  <c r="V934" i="1"/>
  <c r="W930" i="1" s="1"/>
  <c r="U934" i="1"/>
  <c r="V930" i="1" s="1"/>
  <c r="T934" i="1"/>
  <c r="S934" i="1"/>
  <c r="T930" i="1" s="1"/>
  <c r="R934" i="1"/>
  <c r="S930" i="1" s="1"/>
  <c r="Q934" i="1"/>
  <c r="P934" i="1"/>
  <c r="O934" i="1"/>
  <c r="N934" i="1"/>
  <c r="O930" i="1" s="1"/>
  <c r="M934" i="1"/>
  <c r="L934" i="1"/>
  <c r="K934" i="1"/>
  <c r="L930" i="1" s="1"/>
  <c r="J934" i="1"/>
  <c r="I934" i="1"/>
  <c r="H934" i="1"/>
  <c r="G934" i="1"/>
  <c r="H930" i="1" s="1"/>
  <c r="F934" i="1"/>
  <c r="G930" i="1" s="1"/>
  <c r="E934" i="1"/>
  <c r="F930" i="1" s="1"/>
  <c r="F937" i="1" s="1"/>
  <c r="D934" i="1"/>
  <c r="C934" i="1"/>
  <c r="D930" i="1" s="1"/>
  <c r="D939" i="1" s="1"/>
  <c r="V933" i="1"/>
  <c r="F933" i="1"/>
  <c r="CB932" i="1"/>
  <c r="BY931" i="1"/>
  <c r="BX931" i="1"/>
  <c r="BV931" i="1"/>
  <c r="BU931" i="1"/>
  <c r="BT931" i="1"/>
  <c r="BS931" i="1"/>
  <c r="BQ931" i="1"/>
  <c r="BP931" i="1"/>
  <c r="BO931" i="1"/>
  <c r="BN931" i="1"/>
  <c r="BL931" i="1"/>
  <c r="BK931" i="1"/>
  <c r="BJ931" i="1"/>
  <c r="BI931" i="1"/>
  <c r="BG931" i="1"/>
  <c r="BF931" i="1"/>
  <c r="BE931" i="1"/>
  <c r="BD931" i="1"/>
  <c r="BB931" i="1"/>
  <c r="BA931" i="1"/>
  <c r="AZ931" i="1"/>
  <c r="AY931" i="1"/>
  <c r="AW931" i="1"/>
  <c r="AV931" i="1"/>
  <c r="AU931" i="1"/>
  <c r="AT931" i="1"/>
  <c r="AR931" i="1"/>
  <c r="AQ931" i="1"/>
  <c r="AP931" i="1"/>
  <c r="AO931" i="1"/>
  <c r="AM931" i="1"/>
  <c r="AL931" i="1"/>
  <c r="AK931" i="1"/>
  <c r="AJ931" i="1"/>
  <c r="AH931" i="1"/>
  <c r="AG931" i="1"/>
  <c r="AF931" i="1"/>
  <c r="AE931" i="1"/>
  <c r="AC931" i="1"/>
  <c r="AB931" i="1"/>
  <c r="AA931" i="1"/>
  <c r="Z931" i="1"/>
  <c r="X931" i="1"/>
  <c r="W931" i="1"/>
  <c r="V931" i="1"/>
  <c r="U931" i="1"/>
  <c r="S931" i="1"/>
  <c r="R931" i="1"/>
  <c r="Q931" i="1"/>
  <c r="P931" i="1"/>
  <c r="N931" i="1"/>
  <c r="M931" i="1"/>
  <c r="L931" i="1"/>
  <c r="K931" i="1"/>
  <c r="I931" i="1"/>
  <c r="H931" i="1"/>
  <c r="G931" i="1"/>
  <c r="F931" i="1"/>
  <c r="E931" i="1"/>
  <c r="D931" i="1"/>
  <c r="CC930" i="1"/>
  <c r="BZ930" i="1"/>
  <c r="BT930" i="1"/>
  <c r="BS930" i="1"/>
  <c r="BP930" i="1"/>
  <c r="BO930" i="1"/>
  <c r="BG930" i="1"/>
  <c r="BF930" i="1"/>
  <c r="BC930" i="1"/>
  <c r="BB930" i="1"/>
  <c r="AX930" i="1"/>
  <c r="AT930" i="1"/>
  <c r="AR930" i="1"/>
  <c r="AQ930" i="1"/>
  <c r="AP930" i="1"/>
  <c r="AN930" i="1"/>
  <c r="AM930" i="1"/>
  <c r="AG930" i="1"/>
  <c r="AF930" i="1"/>
  <c r="AD930" i="1"/>
  <c r="Z930" i="1"/>
  <c r="Y930" i="1"/>
  <c r="X930" i="1"/>
  <c r="N930" i="1"/>
  <c r="I930" i="1"/>
  <c r="BY928" i="1"/>
  <c r="BZ924" i="1" s="1"/>
  <c r="BX928" i="1"/>
  <c r="BV928" i="1"/>
  <c r="BU928" i="1"/>
  <c r="BV924" i="1" s="1"/>
  <c r="BT928" i="1"/>
  <c r="BU924" i="1" s="1"/>
  <c r="BS928" i="1"/>
  <c r="BR928" i="1"/>
  <c r="BQ928" i="1"/>
  <c r="BP928" i="1"/>
  <c r="BO928" i="1"/>
  <c r="BP924" i="1" s="1"/>
  <c r="BN928" i="1"/>
  <c r="BS924" i="1" s="1"/>
  <c r="BM928" i="1"/>
  <c r="BL928" i="1"/>
  <c r="BK928" i="1"/>
  <c r="BL924" i="1" s="1"/>
  <c r="BJ928" i="1"/>
  <c r="BI928" i="1"/>
  <c r="BJ924" i="1" s="1"/>
  <c r="BH928" i="1"/>
  <c r="BG928" i="1"/>
  <c r="BH924" i="1" s="1"/>
  <c r="BF928" i="1"/>
  <c r="BE928" i="1"/>
  <c r="BF924" i="1" s="1"/>
  <c r="BD928" i="1"/>
  <c r="BB928" i="1"/>
  <c r="BA928" i="1"/>
  <c r="AZ928" i="1"/>
  <c r="AY928" i="1"/>
  <c r="BD924" i="1" s="1"/>
  <c r="AW928" i="1"/>
  <c r="AX924" i="1" s="1"/>
  <c r="AV928" i="1"/>
  <c r="AW924" i="1" s="1"/>
  <c r="AU928" i="1"/>
  <c r="AT928" i="1"/>
  <c r="AR928" i="1"/>
  <c r="AQ928" i="1"/>
  <c r="AR924" i="1" s="1"/>
  <c r="AP928" i="1"/>
  <c r="AO928" i="1"/>
  <c r="AM928" i="1"/>
  <c r="AN924" i="1" s="1"/>
  <c r="AL928" i="1"/>
  <c r="AK928" i="1"/>
  <c r="AJ928" i="1"/>
  <c r="AH928" i="1"/>
  <c r="AG928" i="1"/>
  <c r="AH924" i="1" s="1"/>
  <c r="AF928" i="1"/>
  <c r="AG924" i="1" s="1"/>
  <c r="AE928" i="1"/>
  <c r="AD928" i="1"/>
  <c r="AC928" i="1"/>
  <c r="AB928" i="1"/>
  <c r="AA928" i="1"/>
  <c r="Z928" i="1"/>
  <c r="Y928" i="1"/>
  <c r="X928" i="1"/>
  <c r="W928" i="1"/>
  <c r="X924" i="1" s="1"/>
  <c r="V928" i="1"/>
  <c r="U928" i="1"/>
  <c r="Z924" i="1" s="1"/>
  <c r="S928" i="1"/>
  <c r="T924" i="1" s="1"/>
  <c r="R928" i="1"/>
  <c r="Q928" i="1"/>
  <c r="R924" i="1" s="1"/>
  <c r="P928" i="1"/>
  <c r="U924" i="1" s="1"/>
  <c r="O928" i="1"/>
  <c r="N928" i="1"/>
  <c r="O924" i="1" s="1"/>
  <c r="M928" i="1"/>
  <c r="N924" i="1" s="1"/>
  <c r="L928" i="1"/>
  <c r="M924" i="1" s="1"/>
  <c r="K928" i="1"/>
  <c r="L924" i="1" s="1"/>
  <c r="I928" i="1"/>
  <c r="H928" i="1"/>
  <c r="G928" i="1"/>
  <c r="F928" i="1"/>
  <c r="E928" i="1"/>
  <c r="D928" i="1"/>
  <c r="C928" i="1"/>
  <c r="BV926" i="1"/>
  <c r="BU926" i="1"/>
  <c r="BO926" i="1"/>
  <c r="BK926" i="1"/>
  <c r="AB926" i="1"/>
  <c r="O926" i="1"/>
  <c r="I926" i="1"/>
  <c r="F926" i="1"/>
  <c r="BR924" i="1"/>
  <c r="BQ924" i="1"/>
  <c r="BN924" i="1"/>
  <c r="BK924" i="1"/>
  <c r="BC924" i="1"/>
  <c r="BB924" i="1"/>
  <c r="BA924" i="1"/>
  <c r="AZ924" i="1"/>
  <c r="AY924" i="1"/>
  <c r="AU924" i="1"/>
  <c r="AM924" i="1"/>
  <c r="AL924" i="1"/>
  <c r="AE924" i="1"/>
  <c r="AD924" i="1"/>
  <c r="AC924" i="1"/>
  <c r="AB924" i="1"/>
  <c r="Y924" i="1"/>
  <c r="V924" i="1"/>
  <c r="Q924" i="1"/>
  <c r="P924" i="1"/>
  <c r="I924" i="1"/>
  <c r="F924" i="1"/>
  <c r="E924" i="1"/>
  <c r="D924" i="1"/>
  <c r="BY919" i="1"/>
  <c r="BX919" i="1"/>
  <c r="BV919" i="1"/>
  <c r="BT919" i="1"/>
  <c r="BS919" i="1"/>
  <c r="BQ919" i="1"/>
  <c r="BO919" i="1"/>
  <c r="BM919" i="1"/>
  <c r="BL919" i="1"/>
  <c r="BI919" i="1"/>
  <c r="BG919" i="1"/>
  <c r="BD919" i="1"/>
  <c r="AY919" i="1"/>
  <c r="AT919" i="1"/>
  <c r="AO919" i="1"/>
  <c r="AJ919" i="1"/>
  <c r="AE919" i="1"/>
  <c r="Z919" i="1"/>
  <c r="U919" i="1"/>
  <c r="P919" i="1"/>
  <c r="M919" i="1"/>
  <c r="L919" i="1"/>
  <c r="K919" i="1"/>
  <c r="J919" i="1"/>
  <c r="I919" i="1"/>
  <c r="H919" i="1"/>
  <c r="G919" i="1"/>
  <c r="F919" i="1"/>
  <c r="E919" i="1"/>
  <c r="D919" i="1"/>
  <c r="C919" i="1"/>
  <c r="A919" i="1"/>
  <c r="BT918" i="1"/>
  <c r="BS918" i="1"/>
  <c r="BO918" i="1"/>
  <c r="BI918" i="1"/>
  <c r="BD918" i="1"/>
  <c r="AY918" i="1"/>
  <c r="AT918" i="1"/>
  <c r="AO918" i="1"/>
  <c r="AJ918" i="1"/>
  <c r="AE918" i="1"/>
  <c r="Z918" i="1"/>
  <c r="U918" i="1"/>
  <c r="P918" i="1"/>
  <c r="M918" i="1"/>
  <c r="L918" i="1"/>
  <c r="K918" i="1"/>
  <c r="I918" i="1"/>
  <c r="H918" i="1"/>
  <c r="G918" i="1"/>
  <c r="F918" i="1"/>
  <c r="E918" i="1"/>
  <c r="D918" i="1"/>
  <c r="C918" i="1"/>
  <c r="A918" i="1"/>
  <c r="A916" i="1"/>
  <c r="A915" i="1"/>
  <c r="A913" i="1"/>
  <c r="CH912" i="1"/>
  <c r="BY912" i="1"/>
  <c r="CC912" i="1" s="1"/>
  <c r="BV912" i="1"/>
  <c r="BU912" i="1"/>
  <c r="BT912" i="1"/>
  <c r="BQ912" i="1"/>
  <c r="BP912" i="1"/>
  <c r="BO912" i="1"/>
  <c r="BL912" i="1"/>
  <c r="BK912" i="1"/>
  <c r="BJ912" i="1"/>
  <c r="BI912" i="1"/>
  <c r="BG912" i="1"/>
  <c r="BF912" i="1"/>
  <c r="BE912" i="1"/>
  <c r="BB912" i="1"/>
  <c r="BA912" i="1"/>
  <c r="AZ912" i="1"/>
  <c r="AX912" i="1"/>
  <c r="AW912" i="1"/>
  <c r="AV912" i="1"/>
  <c r="AU912" i="1"/>
  <c r="AR912" i="1"/>
  <c r="AQ912" i="1"/>
  <c r="AP912" i="1"/>
  <c r="AM912" i="1"/>
  <c r="AL912" i="1"/>
  <c r="AK912" i="1"/>
  <c r="AH912" i="1"/>
  <c r="AG912" i="1"/>
  <c r="AF912" i="1"/>
  <c r="AC912" i="1"/>
  <c r="AB912" i="1"/>
  <c r="AA912" i="1"/>
  <c r="X912" i="1"/>
  <c r="W912" i="1"/>
  <c r="V912" i="1"/>
  <c r="U912" i="1"/>
  <c r="S912" i="1"/>
  <c r="R912" i="1"/>
  <c r="Q912" i="1"/>
  <c r="P912" i="1"/>
  <c r="N912" i="1"/>
  <c r="M912" i="1"/>
  <c r="L912" i="1"/>
  <c r="K912" i="1"/>
  <c r="I912" i="1"/>
  <c r="H912" i="1"/>
  <c r="G912" i="1"/>
  <c r="F912" i="1"/>
  <c r="E912" i="1"/>
  <c r="D912" i="1"/>
  <c r="C912" i="1"/>
  <c r="A912" i="1"/>
  <c r="A910" i="1"/>
  <c r="CH909" i="1"/>
  <c r="BY909" i="1"/>
  <c r="CC909" i="1" s="1"/>
  <c r="BV909" i="1"/>
  <c r="BU909" i="1"/>
  <c r="BT909" i="1"/>
  <c r="BQ909" i="1"/>
  <c r="BP909" i="1"/>
  <c r="BO909" i="1"/>
  <c r="BL909" i="1"/>
  <c r="BK909" i="1"/>
  <c r="BJ909" i="1"/>
  <c r="BG909" i="1"/>
  <c r="BF909" i="1"/>
  <c r="BE909" i="1"/>
  <c r="BB909" i="1"/>
  <c r="BA909" i="1"/>
  <c r="BD909" i="1" s="1"/>
  <c r="AZ909" i="1"/>
  <c r="AW909" i="1"/>
  <c r="AV909" i="1"/>
  <c r="AU909" i="1"/>
  <c r="AR909" i="1"/>
  <c r="AQ909" i="1"/>
  <c r="AP909" i="1"/>
  <c r="AM909" i="1"/>
  <c r="AL909" i="1"/>
  <c r="AK909" i="1"/>
  <c r="AH909" i="1"/>
  <c r="AG909" i="1"/>
  <c r="AF909" i="1"/>
  <c r="AC909" i="1"/>
  <c r="AB909" i="1"/>
  <c r="AA909" i="1"/>
  <c r="X909" i="1"/>
  <c r="W909" i="1"/>
  <c r="V909" i="1"/>
  <c r="U909" i="1"/>
  <c r="S909" i="1"/>
  <c r="R909" i="1"/>
  <c r="Q909" i="1"/>
  <c r="P909" i="1"/>
  <c r="N909" i="1"/>
  <c r="M909" i="1"/>
  <c r="L909" i="1"/>
  <c r="K909" i="1"/>
  <c r="I909" i="1"/>
  <c r="H909" i="1"/>
  <c r="G909" i="1"/>
  <c r="F909" i="1"/>
  <c r="E909" i="1"/>
  <c r="D909" i="1"/>
  <c r="C909" i="1"/>
  <c r="A909" i="1"/>
  <c r="CH908" i="1"/>
  <c r="BY908" i="1"/>
  <c r="CC908" i="1" s="1"/>
  <c r="BV908" i="1"/>
  <c r="BU908" i="1"/>
  <c r="BT908" i="1"/>
  <c r="BQ908" i="1"/>
  <c r="BP908" i="1"/>
  <c r="BO908" i="1"/>
  <c r="BL908" i="1"/>
  <c r="BK908" i="1"/>
  <c r="BJ908" i="1"/>
  <c r="BG908" i="1"/>
  <c r="BF908" i="1"/>
  <c r="BE908" i="1"/>
  <c r="BC908" i="1"/>
  <c r="BB908" i="1"/>
  <c r="BA908" i="1"/>
  <c r="AZ908" i="1"/>
  <c r="AW908" i="1"/>
  <c r="AV908" i="1"/>
  <c r="AU908" i="1"/>
  <c r="AS908" i="1"/>
  <c r="AR908" i="1"/>
  <c r="AQ908" i="1"/>
  <c r="AP908" i="1"/>
  <c r="AT908" i="1" s="1"/>
  <c r="AN908" i="1"/>
  <c r="AM908" i="1"/>
  <c r="AL908" i="1"/>
  <c r="AK908" i="1"/>
  <c r="AI908" i="1"/>
  <c r="AH908" i="1"/>
  <c r="AG908" i="1"/>
  <c r="AF908" i="1"/>
  <c r="AJ908" i="1" s="1"/>
  <c r="AD908" i="1"/>
  <c r="AC908" i="1"/>
  <c r="AB908" i="1"/>
  <c r="AA908" i="1"/>
  <c r="Y908" i="1"/>
  <c r="X908" i="1"/>
  <c r="W908" i="1"/>
  <c r="V908" i="1"/>
  <c r="U908" i="1"/>
  <c r="T908" i="1"/>
  <c r="S908" i="1"/>
  <c r="R908" i="1"/>
  <c r="Q908" i="1"/>
  <c r="P908" i="1"/>
  <c r="O908" i="1"/>
  <c r="N908" i="1"/>
  <c r="M908" i="1"/>
  <c r="L908" i="1"/>
  <c r="K908" i="1"/>
  <c r="J908" i="1"/>
  <c r="I908" i="1"/>
  <c r="H908" i="1"/>
  <c r="G908" i="1"/>
  <c r="F908" i="1"/>
  <c r="E908" i="1"/>
  <c r="D908" i="1"/>
  <c r="C908" i="1"/>
  <c r="A908" i="1"/>
  <c r="CH907" i="1"/>
  <c r="BY907" i="1"/>
  <c r="CC907" i="1" s="1"/>
  <c r="BV907" i="1"/>
  <c r="BU907" i="1"/>
  <c r="BT907" i="1"/>
  <c r="BQ907" i="1"/>
  <c r="BP907" i="1"/>
  <c r="BO907" i="1"/>
  <c r="BL907" i="1"/>
  <c r="BK907" i="1"/>
  <c r="BJ907" i="1"/>
  <c r="BG907" i="1"/>
  <c r="BF907" i="1"/>
  <c r="BE907" i="1"/>
  <c r="BB907" i="1"/>
  <c r="BA907" i="1"/>
  <c r="AZ907" i="1"/>
  <c r="AW907" i="1"/>
  <c r="AV907" i="1"/>
  <c r="AU907" i="1"/>
  <c r="AR907" i="1"/>
  <c r="AQ907" i="1"/>
  <c r="AP907" i="1"/>
  <c r="AT907" i="1" s="1"/>
  <c r="AM907" i="1"/>
  <c r="AL907" i="1"/>
  <c r="AK907" i="1"/>
  <c r="AH907" i="1"/>
  <c r="AG907" i="1"/>
  <c r="AF907" i="1"/>
  <c r="AJ907" i="1" s="1"/>
  <c r="AC907" i="1"/>
  <c r="AB907" i="1"/>
  <c r="AA907" i="1"/>
  <c r="Y907" i="1"/>
  <c r="X907" i="1"/>
  <c r="W907" i="1"/>
  <c r="V907" i="1"/>
  <c r="Z907" i="1" s="1"/>
  <c r="U907" i="1"/>
  <c r="T907" i="1"/>
  <c r="S907" i="1"/>
  <c r="R907" i="1"/>
  <c r="Q907" i="1"/>
  <c r="P907" i="1"/>
  <c r="O907" i="1"/>
  <c r="N907" i="1"/>
  <c r="M907" i="1"/>
  <c r="L907" i="1"/>
  <c r="K907" i="1"/>
  <c r="J907" i="1"/>
  <c r="I907" i="1"/>
  <c r="H907" i="1"/>
  <c r="G907" i="1"/>
  <c r="F907" i="1"/>
  <c r="E907" i="1"/>
  <c r="D907" i="1"/>
  <c r="C907" i="1"/>
  <c r="A907" i="1"/>
  <c r="CH906" i="1"/>
  <c r="BY906" i="1"/>
  <c r="CC906" i="1" s="1"/>
  <c r="BV906" i="1"/>
  <c r="BU906" i="1"/>
  <c r="BT906" i="1"/>
  <c r="BQ906" i="1"/>
  <c r="BP906" i="1"/>
  <c r="BO906" i="1"/>
  <c r="BL906" i="1"/>
  <c r="BK906" i="1"/>
  <c r="BJ906" i="1"/>
  <c r="BG906" i="1"/>
  <c r="BG717" i="1" s="1"/>
  <c r="BG74" i="9" s="1"/>
  <c r="BF906" i="1"/>
  <c r="BE906" i="1"/>
  <c r="BB906" i="1"/>
  <c r="BA906" i="1"/>
  <c r="AZ906" i="1"/>
  <c r="AW906" i="1"/>
  <c r="AV906" i="1"/>
  <c r="AV717" i="1" s="1"/>
  <c r="AV74" i="9" s="1"/>
  <c r="AU906" i="1"/>
  <c r="AU717" i="1" s="1"/>
  <c r="AU74" i="9" s="1"/>
  <c r="AR906" i="1"/>
  <c r="AQ906" i="1"/>
  <c r="AP906" i="1"/>
  <c r="AM906" i="1"/>
  <c r="AL906" i="1"/>
  <c r="AK906" i="1"/>
  <c r="AH906" i="1"/>
  <c r="AG906" i="1"/>
  <c r="AF906" i="1"/>
  <c r="AC906" i="1"/>
  <c r="AB906" i="1"/>
  <c r="AA906" i="1"/>
  <c r="X906" i="1"/>
  <c r="W906" i="1"/>
  <c r="V906" i="1"/>
  <c r="U906" i="1"/>
  <c r="S906" i="1"/>
  <c r="R906" i="1"/>
  <c r="Q906" i="1"/>
  <c r="P906" i="1"/>
  <c r="N906" i="1"/>
  <c r="M906" i="1"/>
  <c r="L906" i="1"/>
  <c r="K906" i="1"/>
  <c r="I906" i="1"/>
  <c r="H906" i="1"/>
  <c r="G906" i="1"/>
  <c r="F906" i="1"/>
  <c r="E906" i="1"/>
  <c r="D906" i="1"/>
  <c r="C906" i="1"/>
  <c r="A906" i="1"/>
  <c r="CH905" i="1"/>
  <c r="BY905" i="1"/>
  <c r="CC905" i="1" s="1"/>
  <c r="BV905" i="1"/>
  <c r="BU905" i="1"/>
  <c r="BT905" i="1"/>
  <c r="BQ905" i="1"/>
  <c r="BP905" i="1"/>
  <c r="BO905" i="1"/>
  <c r="BL905" i="1"/>
  <c r="BK905" i="1"/>
  <c r="BJ905" i="1"/>
  <c r="BG905" i="1"/>
  <c r="BF905" i="1"/>
  <c r="BE905" i="1"/>
  <c r="BB905" i="1"/>
  <c r="BA905" i="1"/>
  <c r="AZ905" i="1"/>
  <c r="AW905" i="1"/>
  <c r="AV905" i="1"/>
  <c r="AU905" i="1"/>
  <c r="AR905" i="1"/>
  <c r="AQ905" i="1"/>
  <c r="AP905" i="1"/>
  <c r="AT905" i="1" s="1"/>
  <c r="AM905" i="1"/>
  <c r="AL905" i="1"/>
  <c r="AK905" i="1"/>
  <c r="AH905" i="1"/>
  <c r="AG905" i="1"/>
  <c r="AF905" i="1"/>
  <c r="AC905" i="1"/>
  <c r="AB905" i="1"/>
  <c r="AA905" i="1"/>
  <c r="Y905" i="1"/>
  <c r="X905" i="1"/>
  <c r="W905" i="1"/>
  <c r="V905" i="1"/>
  <c r="U905" i="1"/>
  <c r="T905" i="1"/>
  <c r="S905" i="1"/>
  <c r="R905" i="1"/>
  <c r="Q905" i="1"/>
  <c r="P905" i="1"/>
  <c r="O905" i="1"/>
  <c r="N905" i="1"/>
  <c r="M905" i="1"/>
  <c r="L905" i="1"/>
  <c r="K905" i="1"/>
  <c r="I905" i="1"/>
  <c r="H905" i="1"/>
  <c r="G905" i="1"/>
  <c r="F905" i="1"/>
  <c r="E905" i="1"/>
  <c r="D905" i="1"/>
  <c r="C905" i="1"/>
  <c r="A905" i="1"/>
  <c r="CH904" i="1"/>
  <c r="CC904" i="1"/>
  <c r="BY904" i="1"/>
  <c r="BV904" i="1"/>
  <c r="BU904" i="1"/>
  <c r="BT904" i="1"/>
  <c r="BQ904" i="1"/>
  <c r="BP904" i="1"/>
  <c r="BO904" i="1"/>
  <c r="BL904" i="1"/>
  <c r="BK904" i="1"/>
  <c r="BJ904" i="1"/>
  <c r="BG904" i="1"/>
  <c r="BF904" i="1"/>
  <c r="BE904" i="1"/>
  <c r="BB904" i="1"/>
  <c r="BA904" i="1"/>
  <c r="AZ904" i="1"/>
  <c r="AW904" i="1"/>
  <c r="AV904" i="1"/>
  <c r="AU904" i="1"/>
  <c r="AR904" i="1"/>
  <c r="AQ904" i="1"/>
  <c r="AP904" i="1"/>
  <c r="AN904" i="1"/>
  <c r="AM904" i="1"/>
  <c r="AL904" i="1"/>
  <c r="AK904" i="1"/>
  <c r="AH904" i="1"/>
  <c r="AG904" i="1"/>
  <c r="AF904" i="1"/>
  <c r="AC904" i="1"/>
  <c r="AB904" i="1"/>
  <c r="AA904" i="1"/>
  <c r="X904" i="1"/>
  <c r="W904" i="1"/>
  <c r="V904" i="1"/>
  <c r="U904" i="1"/>
  <c r="S904" i="1"/>
  <c r="R904" i="1"/>
  <c r="Q904" i="1"/>
  <c r="P904" i="1"/>
  <c r="O904" i="1"/>
  <c r="N904" i="1"/>
  <c r="M904" i="1"/>
  <c r="L904" i="1"/>
  <c r="K904" i="1"/>
  <c r="I904" i="1"/>
  <c r="H904" i="1"/>
  <c r="G904" i="1"/>
  <c r="F904" i="1"/>
  <c r="E904" i="1"/>
  <c r="D904" i="1"/>
  <c r="C904" i="1"/>
  <c r="A904" i="1"/>
  <c r="CH903" i="1"/>
  <c r="BY903" i="1"/>
  <c r="CC903" i="1" s="1"/>
  <c r="BV903" i="1"/>
  <c r="BU903" i="1"/>
  <c r="BT903" i="1"/>
  <c r="BQ903" i="1"/>
  <c r="BP903" i="1"/>
  <c r="BO903" i="1"/>
  <c r="BL903" i="1"/>
  <c r="BK903" i="1"/>
  <c r="BJ903" i="1"/>
  <c r="BG903" i="1"/>
  <c r="BF903" i="1"/>
  <c r="BE903" i="1"/>
  <c r="BB903" i="1"/>
  <c r="BA903" i="1"/>
  <c r="AZ903" i="1"/>
  <c r="AW903" i="1"/>
  <c r="AV903" i="1"/>
  <c r="AU903" i="1"/>
  <c r="AS903" i="1"/>
  <c r="AR903" i="1"/>
  <c r="AQ903" i="1"/>
  <c r="AP903" i="1"/>
  <c r="AM903" i="1"/>
  <c r="AL903" i="1"/>
  <c r="AK903" i="1"/>
  <c r="AO903" i="1" s="1"/>
  <c r="AH903" i="1"/>
  <c r="AG903" i="1"/>
  <c r="AF903" i="1"/>
  <c r="AC903" i="1"/>
  <c r="AB903" i="1"/>
  <c r="AA903" i="1"/>
  <c r="X903" i="1"/>
  <c r="W903" i="1"/>
  <c r="V903" i="1"/>
  <c r="U903" i="1"/>
  <c r="S903" i="1"/>
  <c r="R903" i="1"/>
  <c r="Q903" i="1"/>
  <c r="P903" i="1"/>
  <c r="N903" i="1"/>
  <c r="M903" i="1"/>
  <c r="L903" i="1"/>
  <c r="K903" i="1"/>
  <c r="I903" i="1"/>
  <c r="H903" i="1"/>
  <c r="G903" i="1"/>
  <c r="F903" i="1"/>
  <c r="E903" i="1"/>
  <c r="D903" i="1"/>
  <c r="C903" i="1"/>
  <c r="A903" i="1"/>
  <c r="BY902" i="1"/>
  <c r="BV902" i="1"/>
  <c r="BU902" i="1"/>
  <c r="BT902" i="1"/>
  <c r="BR902" i="1"/>
  <c r="BQ902" i="1"/>
  <c r="BQ714" i="1" s="1"/>
  <c r="BQ69" i="9" s="1"/>
  <c r="BP902" i="1"/>
  <c r="BO902" i="1"/>
  <c r="BL902" i="1"/>
  <c r="BK902" i="1"/>
  <c r="BJ902" i="1"/>
  <c r="BG902" i="1"/>
  <c r="BG714" i="1" s="1"/>
  <c r="BG69" i="9" s="1"/>
  <c r="BF902" i="1"/>
  <c r="BE902" i="1"/>
  <c r="BB902" i="1"/>
  <c r="BA902" i="1"/>
  <c r="AZ902" i="1"/>
  <c r="AW902" i="1"/>
  <c r="AV902" i="1"/>
  <c r="AU902" i="1"/>
  <c r="AR902" i="1"/>
  <c r="AQ902" i="1"/>
  <c r="AP902" i="1"/>
  <c r="AM902" i="1"/>
  <c r="AL902" i="1"/>
  <c r="AK902" i="1"/>
  <c r="AH902" i="1"/>
  <c r="AH714" i="1" s="1"/>
  <c r="AH69" i="9" s="1"/>
  <c r="AG902" i="1"/>
  <c r="AF902" i="1"/>
  <c r="AC902" i="1"/>
  <c r="AB902" i="1"/>
  <c r="AA902" i="1"/>
  <c r="X902" i="1"/>
  <c r="X714" i="1" s="1"/>
  <c r="X69" i="9" s="1"/>
  <c r="W902" i="1"/>
  <c r="W714" i="1" s="1"/>
  <c r="W69" i="9" s="1"/>
  <c r="V902" i="1"/>
  <c r="V714" i="1" s="1"/>
  <c r="V69" i="9" s="1"/>
  <c r="U902" i="1"/>
  <c r="S902" i="1"/>
  <c r="R902" i="1"/>
  <c r="Q902" i="1"/>
  <c r="P902" i="1"/>
  <c r="P714" i="1" s="1"/>
  <c r="P69" i="9" s="1"/>
  <c r="N902" i="1"/>
  <c r="M902" i="1"/>
  <c r="M714" i="1" s="1"/>
  <c r="M69" i="9" s="1"/>
  <c r="L902" i="1"/>
  <c r="L714" i="1" s="1"/>
  <c r="L69" i="9" s="1"/>
  <c r="K902" i="1"/>
  <c r="K714" i="1" s="1"/>
  <c r="K69" i="9" s="1"/>
  <c r="I902" i="1"/>
  <c r="H902" i="1"/>
  <c r="G902" i="1"/>
  <c r="F902" i="1"/>
  <c r="F714" i="1" s="1"/>
  <c r="F69" i="9" s="1"/>
  <c r="E902" i="1"/>
  <c r="D902" i="1"/>
  <c r="D714" i="1" s="1"/>
  <c r="D69" i="9" s="1"/>
  <c r="C902" i="1"/>
  <c r="C714" i="1" s="1"/>
  <c r="C69" i="9" s="1"/>
  <c r="A902" i="1"/>
  <c r="CH901" i="1"/>
  <c r="CC901" i="1"/>
  <c r="BY901" i="1"/>
  <c r="BV901" i="1"/>
  <c r="BU901" i="1"/>
  <c r="BT901" i="1"/>
  <c r="BX901" i="1" s="1"/>
  <c r="BQ901" i="1"/>
  <c r="BQ717" i="1" s="1"/>
  <c r="BQ74" i="9" s="1"/>
  <c r="BP901" i="1"/>
  <c r="BO901" i="1"/>
  <c r="BL901" i="1"/>
  <c r="BK901" i="1"/>
  <c r="BJ901" i="1"/>
  <c r="BG901" i="1"/>
  <c r="BF901" i="1"/>
  <c r="BE901" i="1"/>
  <c r="BB901" i="1"/>
  <c r="BA901" i="1"/>
  <c r="AZ901" i="1"/>
  <c r="AW901" i="1"/>
  <c r="AV901" i="1"/>
  <c r="AU901" i="1"/>
  <c r="AR901" i="1"/>
  <c r="AQ901" i="1"/>
  <c r="AP901" i="1"/>
  <c r="AM901" i="1"/>
  <c r="AL901" i="1"/>
  <c r="AK901" i="1"/>
  <c r="AH901" i="1"/>
  <c r="AG901" i="1"/>
  <c r="AF901" i="1"/>
  <c r="AE901" i="1"/>
  <c r="AC901" i="1"/>
  <c r="AB901" i="1"/>
  <c r="AA901" i="1"/>
  <c r="Y901" i="1"/>
  <c r="X901" i="1"/>
  <c r="W901" i="1"/>
  <c r="V901" i="1"/>
  <c r="U901" i="1"/>
  <c r="U717" i="1" s="1"/>
  <c r="U74" i="9" s="1"/>
  <c r="T901" i="1"/>
  <c r="S901" i="1"/>
  <c r="R901" i="1"/>
  <c r="Q901" i="1"/>
  <c r="P901" i="1"/>
  <c r="O901" i="1"/>
  <c r="N901" i="1"/>
  <c r="M901" i="1"/>
  <c r="L901" i="1"/>
  <c r="K901" i="1"/>
  <c r="J901" i="1"/>
  <c r="I901" i="1"/>
  <c r="H901" i="1"/>
  <c r="G901" i="1"/>
  <c r="F901" i="1"/>
  <c r="E901" i="1"/>
  <c r="E717" i="1" s="1"/>
  <c r="E74" i="9" s="1"/>
  <c r="D901" i="1"/>
  <c r="C901" i="1"/>
  <c r="A901" i="1"/>
  <c r="CK900" i="1"/>
  <c r="CJ900" i="1"/>
  <c r="CI900" i="1"/>
  <c r="CG900" i="1"/>
  <c r="CF900" i="1"/>
  <c r="CE900" i="1"/>
  <c r="CD900" i="1"/>
  <c r="CB900" i="1"/>
  <c r="CA900" i="1"/>
  <c r="BZ900" i="1"/>
  <c r="BY900" i="1"/>
  <c r="BW900" i="1"/>
  <c r="BV900" i="1"/>
  <c r="BU900" i="1"/>
  <c r="BT900" i="1"/>
  <c r="BQ900" i="1"/>
  <c r="BP900" i="1"/>
  <c r="BO900" i="1"/>
  <c r="BL900" i="1"/>
  <c r="BK900" i="1"/>
  <c r="BJ900" i="1"/>
  <c r="BG900" i="1"/>
  <c r="BF900" i="1"/>
  <c r="BE900" i="1"/>
  <c r="BB900" i="1"/>
  <c r="BA900" i="1"/>
  <c r="AZ900" i="1"/>
  <c r="AW900" i="1"/>
  <c r="AV900" i="1"/>
  <c r="AU900" i="1"/>
  <c r="AR900" i="1"/>
  <c r="AQ900" i="1"/>
  <c r="AP900" i="1"/>
  <c r="AM900" i="1"/>
  <c r="AL900" i="1"/>
  <c r="AK900" i="1"/>
  <c r="AO900" i="1" s="1"/>
  <c r="AH900" i="1"/>
  <c r="AG900" i="1"/>
  <c r="AF900" i="1"/>
  <c r="AC900" i="1"/>
  <c r="AB900" i="1"/>
  <c r="AA900" i="1"/>
  <c r="X900" i="1"/>
  <c r="W900" i="1"/>
  <c r="V900" i="1"/>
  <c r="U900" i="1"/>
  <c r="S900" i="1"/>
  <c r="R900" i="1"/>
  <c r="Q900" i="1"/>
  <c r="Q718" i="1" s="1"/>
  <c r="Q73" i="9" s="1"/>
  <c r="P900" i="1"/>
  <c r="N900" i="1"/>
  <c r="M900" i="1"/>
  <c r="L900" i="1"/>
  <c r="K900" i="1"/>
  <c r="I900" i="1"/>
  <c r="H900" i="1"/>
  <c r="G900" i="1"/>
  <c r="F900" i="1"/>
  <c r="E900" i="1"/>
  <c r="D900" i="1"/>
  <c r="C900" i="1"/>
  <c r="A900" i="1"/>
  <c r="CH899" i="1"/>
  <c r="BY899" i="1"/>
  <c r="CC899" i="1" s="1"/>
  <c r="BV899" i="1"/>
  <c r="BU899" i="1"/>
  <c r="BT899" i="1"/>
  <c r="BQ899" i="1"/>
  <c r="BP899" i="1"/>
  <c r="BO899" i="1"/>
  <c r="BL899" i="1"/>
  <c r="BK899" i="1"/>
  <c r="BN899" i="1" s="1"/>
  <c r="BJ899" i="1"/>
  <c r="BG899" i="1"/>
  <c r="BF899" i="1"/>
  <c r="BE899" i="1"/>
  <c r="BB899" i="1"/>
  <c r="BA899" i="1"/>
  <c r="AZ899" i="1"/>
  <c r="AX899" i="1"/>
  <c r="AW899" i="1"/>
  <c r="AV899" i="1"/>
  <c r="AU899" i="1"/>
  <c r="AS899" i="1"/>
  <c r="AR899" i="1"/>
  <c r="AQ899" i="1"/>
  <c r="AP899" i="1"/>
  <c r="AN899" i="1"/>
  <c r="AM899" i="1"/>
  <c r="AL899" i="1"/>
  <c r="AK899" i="1"/>
  <c r="AI899" i="1"/>
  <c r="AH899" i="1"/>
  <c r="AG899" i="1"/>
  <c r="AF899" i="1"/>
  <c r="AD899" i="1"/>
  <c r="AC899" i="1"/>
  <c r="AB899" i="1"/>
  <c r="AA899" i="1"/>
  <c r="Y899" i="1"/>
  <c r="X899" i="1"/>
  <c r="W899" i="1"/>
  <c r="V899" i="1"/>
  <c r="U899" i="1"/>
  <c r="T899" i="1"/>
  <c r="S899" i="1"/>
  <c r="R899" i="1"/>
  <c r="Q899" i="1"/>
  <c r="P899" i="1"/>
  <c r="O899" i="1"/>
  <c r="N899" i="1"/>
  <c r="M899" i="1"/>
  <c r="L899" i="1"/>
  <c r="K899" i="1"/>
  <c r="J899" i="1"/>
  <c r="I899" i="1"/>
  <c r="H899" i="1"/>
  <c r="G899" i="1"/>
  <c r="F899" i="1"/>
  <c r="E899" i="1"/>
  <c r="D899" i="1"/>
  <c r="C899" i="1"/>
  <c r="A899" i="1"/>
  <c r="CH898" i="1"/>
  <c r="BY898" i="1"/>
  <c r="CC898" i="1" s="1"/>
  <c r="BV898" i="1"/>
  <c r="BU898" i="1"/>
  <c r="BT898" i="1"/>
  <c r="BQ898" i="1"/>
  <c r="BP898" i="1"/>
  <c r="BO898" i="1"/>
  <c r="BL898" i="1"/>
  <c r="BK898" i="1"/>
  <c r="BJ898" i="1"/>
  <c r="BG898" i="1"/>
  <c r="BF898" i="1"/>
  <c r="BE898" i="1"/>
  <c r="BB898" i="1"/>
  <c r="BA898" i="1"/>
  <c r="AZ898" i="1"/>
  <c r="AW898" i="1"/>
  <c r="AV898" i="1"/>
  <c r="AU898" i="1"/>
  <c r="AR898" i="1"/>
  <c r="AQ898" i="1"/>
  <c r="AP898" i="1"/>
  <c r="AM898" i="1"/>
  <c r="AL898" i="1"/>
  <c r="AK898" i="1"/>
  <c r="AH898" i="1"/>
  <c r="AG898" i="1"/>
  <c r="AF898" i="1"/>
  <c r="AC898" i="1"/>
  <c r="AB898" i="1"/>
  <c r="AA898" i="1"/>
  <c r="Y898" i="1"/>
  <c r="X898" i="1"/>
  <c r="W898" i="1"/>
  <c r="V898" i="1"/>
  <c r="U898" i="1"/>
  <c r="T898" i="1"/>
  <c r="S898" i="1"/>
  <c r="R898" i="1"/>
  <c r="Q898" i="1"/>
  <c r="P898" i="1"/>
  <c r="N898" i="1"/>
  <c r="M898" i="1"/>
  <c r="L898" i="1"/>
  <c r="K898" i="1"/>
  <c r="I898" i="1"/>
  <c r="H898" i="1"/>
  <c r="G898" i="1"/>
  <c r="F898" i="1"/>
  <c r="E898" i="1"/>
  <c r="D898" i="1"/>
  <c r="C898" i="1"/>
  <c r="A898" i="1"/>
  <c r="CH897" i="1"/>
  <c r="BY897" i="1"/>
  <c r="CC897" i="1" s="1"/>
  <c r="BV897" i="1"/>
  <c r="BU897" i="1"/>
  <c r="BT897" i="1"/>
  <c r="BT718" i="1" s="1"/>
  <c r="BT73" i="9" s="1"/>
  <c r="BQ897" i="1"/>
  <c r="BS897" i="1" s="1"/>
  <c r="BP897" i="1"/>
  <c r="BO897" i="1"/>
  <c r="BL897" i="1"/>
  <c r="BK897" i="1"/>
  <c r="BJ897" i="1"/>
  <c r="BJ718" i="1" s="1"/>
  <c r="BJ73" i="9" s="1"/>
  <c r="BH897" i="1"/>
  <c r="BG897" i="1"/>
  <c r="BF897" i="1"/>
  <c r="BE897" i="1"/>
  <c r="BB897" i="1"/>
  <c r="BA897" i="1"/>
  <c r="AZ897" i="1"/>
  <c r="AW897" i="1"/>
  <c r="AV897" i="1"/>
  <c r="AU897" i="1"/>
  <c r="AR897" i="1"/>
  <c r="AQ897" i="1"/>
  <c r="AP897" i="1"/>
  <c r="AM897" i="1"/>
  <c r="AL897" i="1"/>
  <c r="AK897" i="1"/>
  <c r="AH897" i="1"/>
  <c r="AH718" i="1" s="1"/>
  <c r="AH73" i="9" s="1"/>
  <c r="AG897" i="1"/>
  <c r="AF897" i="1"/>
  <c r="AC897" i="1"/>
  <c r="AB897" i="1"/>
  <c r="AA897" i="1"/>
  <c r="X897" i="1"/>
  <c r="W897" i="1"/>
  <c r="W718" i="1" s="1"/>
  <c r="W73" i="9" s="1"/>
  <c r="V897" i="1"/>
  <c r="U897" i="1"/>
  <c r="S897" i="1"/>
  <c r="R897" i="1"/>
  <c r="Q897" i="1"/>
  <c r="P897" i="1"/>
  <c r="N897" i="1"/>
  <c r="M897" i="1"/>
  <c r="L897" i="1"/>
  <c r="K897" i="1"/>
  <c r="I897" i="1"/>
  <c r="H897" i="1"/>
  <c r="G897" i="1"/>
  <c r="F897" i="1"/>
  <c r="E897" i="1"/>
  <c r="D897" i="1"/>
  <c r="C897" i="1"/>
  <c r="A897" i="1"/>
  <c r="CH896" i="1"/>
  <c r="CC896" i="1"/>
  <c r="BY896" i="1"/>
  <c r="BV896" i="1"/>
  <c r="BU896" i="1"/>
  <c r="BT896" i="1"/>
  <c r="BT717" i="1" s="1"/>
  <c r="BT74" i="9" s="1"/>
  <c r="BQ896" i="1"/>
  <c r="BP896" i="1"/>
  <c r="BO896" i="1"/>
  <c r="BL896" i="1"/>
  <c r="BK896" i="1"/>
  <c r="BJ896" i="1"/>
  <c r="BN896" i="1" s="1"/>
  <c r="BG896" i="1"/>
  <c r="BF896" i="1"/>
  <c r="BE896" i="1"/>
  <c r="BB896" i="1"/>
  <c r="BA896" i="1"/>
  <c r="AZ896" i="1"/>
  <c r="AW896" i="1"/>
  <c r="AW717" i="1" s="1"/>
  <c r="AW74" i="9" s="1"/>
  <c r="AV896" i="1"/>
  <c r="AU896" i="1"/>
  <c r="AR896" i="1"/>
  <c r="AQ896" i="1"/>
  <c r="AP896" i="1"/>
  <c r="AM896" i="1"/>
  <c r="AL896" i="1"/>
  <c r="AK896" i="1"/>
  <c r="AH896" i="1"/>
  <c r="AG896" i="1"/>
  <c r="AF896" i="1"/>
  <c r="AC896" i="1"/>
  <c r="AB896" i="1"/>
  <c r="AA896" i="1"/>
  <c r="X896" i="1"/>
  <c r="X717" i="1" s="1"/>
  <c r="X74" i="9" s="1"/>
  <c r="W896" i="1"/>
  <c r="V896" i="1"/>
  <c r="U896" i="1"/>
  <c r="S896" i="1"/>
  <c r="R896" i="1"/>
  <c r="Q896" i="1"/>
  <c r="P896" i="1"/>
  <c r="N896" i="1"/>
  <c r="M896" i="1"/>
  <c r="L896" i="1"/>
  <c r="K896" i="1"/>
  <c r="I896" i="1"/>
  <c r="H896" i="1"/>
  <c r="G896" i="1"/>
  <c r="F896" i="1"/>
  <c r="E896" i="1"/>
  <c r="D896" i="1"/>
  <c r="C896" i="1"/>
  <c r="A896" i="1"/>
  <c r="CK895" i="1"/>
  <c r="CJ895" i="1"/>
  <c r="CI895" i="1"/>
  <c r="CG895" i="1"/>
  <c r="CF895" i="1"/>
  <c r="CE895" i="1"/>
  <c r="CD895" i="1"/>
  <c r="CB895" i="1"/>
  <c r="CA895" i="1"/>
  <c r="BZ895" i="1"/>
  <c r="BY895" i="1"/>
  <c r="BY717" i="1" s="1"/>
  <c r="BY74" i="9" s="1"/>
  <c r="BV895" i="1"/>
  <c r="BU895" i="1"/>
  <c r="BT895" i="1"/>
  <c r="BQ895" i="1"/>
  <c r="BP895" i="1"/>
  <c r="BO895" i="1"/>
  <c r="BL895" i="1"/>
  <c r="BK895" i="1"/>
  <c r="BJ895" i="1"/>
  <c r="BG895" i="1"/>
  <c r="BF895" i="1"/>
  <c r="BE895" i="1"/>
  <c r="BB895" i="1"/>
  <c r="BA895" i="1"/>
  <c r="AZ895" i="1"/>
  <c r="AW895" i="1"/>
  <c r="AV895" i="1"/>
  <c r="AU895" i="1"/>
  <c r="AS895" i="1"/>
  <c r="AR895" i="1"/>
  <c r="AQ895" i="1"/>
  <c r="AP895" i="1"/>
  <c r="AT895" i="1" s="1"/>
  <c r="AN895" i="1"/>
  <c r="AM895" i="1"/>
  <c r="AL895" i="1"/>
  <c r="AK895" i="1"/>
  <c r="AI895" i="1"/>
  <c r="AH895" i="1"/>
  <c r="AG895" i="1"/>
  <c r="AF895" i="1"/>
  <c r="AJ895" i="1" s="1"/>
  <c r="AE895" i="1"/>
  <c r="AD895" i="1"/>
  <c r="AC895" i="1"/>
  <c r="AB895" i="1"/>
  <c r="AA895" i="1"/>
  <c r="Y895" i="1"/>
  <c r="X895" i="1"/>
  <c r="W895" i="1"/>
  <c r="W910" i="1" s="1"/>
  <c r="V895" i="1"/>
  <c r="U895" i="1"/>
  <c r="T895" i="1"/>
  <c r="S895" i="1"/>
  <c r="R895" i="1"/>
  <c r="Q895" i="1"/>
  <c r="P895" i="1"/>
  <c r="O895" i="1"/>
  <c r="N895" i="1"/>
  <c r="M895" i="1"/>
  <c r="L895" i="1"/>
  <c r="K895" i="1"/>
  <c r="J895" i="1"/>
  <c r="I895" i="1"/>
  <c r="H895" i="1"/>
  <c r="G895" i="1"/>
  <c r="F895" i="1"/>
  <c r="E895" i="1"/>
  <c r="D895" i="1"/>
  <c r="C895" i="1"/>
  <c r="A895" i="1"/>
  <c r="CH894" i="1"/>
  <c r="BY894" i="1"/>
  <c r="BW894" i="1"/>
  <c r="BX894" i="1" s="1"/>
  <c r="BV894" i="1"/>
  <c r="BU894" i="1"/>
  <c r="BT894" i="1"/>
  <c r="BQ894" i="1"/>
  <c r="BP894" i="1"/>
  <c r="BO894" i="1"/>
  <c r="BL894" i="1"/>
  <c r="BN894" i="1" s="1"/>
  <c r="BK894" i="1"/>
  <c r="BJ894" i="1"/>
  <c r="BG894" i="1"/>
  <c r="BF894" i="1"/>
  <c r="BE894" i="1"/>
  <c r="BB894" i="1"/>
  <c r="BA894" i="1"/>
  <c r="AZ894" i="1"/>
  <c r="AZ717" i="1" s="1"/>
  <c r="AZ74" i="9" s="1"/>
  <c r="AW894" i="1"/>
  <c r="AV894" i="1"/>
  <c r="AU894" i="1"/>
  <c r="AR894" i="1"/>
  <c r="AQ894" i="1"/>
  <c r="AP894" i="1"/>
  <c r="AM894" i="1"/>
  <c r="AM717" i="1" s="1"/>
  <c r="AM74" i="9" s="1"/>
  <c r="AL894" i="1"/>
  <c r="AK894" i="1"/>
  <c r="AH894" i="1"/>
  <c r="AG894" i="1"/>
  <c r="AF894" i="1"/>
  <c r="AC894" i="1"/>
  <c r="AC717" i="1" s="1"/>
  <c r="AC74" i="9" s="1"/>
  <c r="AB894" i="1"/>
  <c r="AA894" i="1"/>
  <c r="AA717" i="1" s="1"/>
  <c r="AA74" i="9" s="1"/>
  <c r="X894" i="1"/>
  <c r="W894" i="1"/>
  <c r="V894" i="1"/>
  <c r="U894" i="1"/>
  <c r="S894" i="1"/>
  <c r="S717" i="1" s="1"/>
  <c r="S74" i="9" s="1"/>
  <c r="R894" i="1"/>
  <c r="R717" i="1" s="1"/>
  <c r="R74" i="9" s="1"/>
  <c r="Q894" i="1"/>
  <c r="Q717" i="1" s="1"/>
  <c r="Q74" i="9" s="1"/>
  <c r="P894" i="1"/>
  <c r="N894" i="1"/>
  <c r="M894" i="1"/>
  <c r="L894" i="1"/>
  <c r="K894" i="1"/>
  <c r="I894" i="1"/>
  <c r="H894" i="1"/>
  <c r="H910" i="1" s="1"/>
  <c r="G894" i="1"/>
  <c r="F894" i="1"/>
  <c r="E894" i="1"/>
  <c r="D894" i="1"/>
  <c r="C894" i="1"/>
  <c r="A894" i="1"/>
  <c r="CH893" i="1"/>
  <c r="CC893" i="1"/>
  <c r="BY893" i="1"/>
  <c r="BV893" i="1"/>
  <c r="BU893" i="1"/>
  <c r="BT893" i="1"/>
  <c r="BQ893" i="1"/>
  <c r="BP893" i="1"/>
  <c r="BP718" i="1" s="1"/>
  <c r="BP73" i="9" s="1"/>
  <c r="BO893" i="1"/>
  <c r="BS893" i="1" s="1"/>
  <c r="BM893" i="1"/>
  <c r="BL893" i="1"/>
  <c r="BL718" i="1" s="1"/>
  <c r="BL73" i="9" s="1"/>
  <c r="BK893" i="1"/>
  <c r="BJ893" i="1"/>
  <c r="BG893" i="1"/>
  <c r="BF893" i="1"/>
  <c r="BE893" i="1"/>
  <c r="BE718" i="1" s="1"/>
  <c r="BE73" i="9" s="1"/>
  <c r="BB893" i="1"/>
  <c r="BB718" i="1" s="1"/>
  <c r="BB73" i="9" s="1"/>
  <c r="BA893" i="1"/>
  <c r="BA718" i="1" s="1"/>
  <c r="BA73" i="9" s="1"/>
  <c r="AZ893" i="1"/>
  <c r="AW893" i="1"/>
  <c r="AV893" i="1"/>
  <c r="AU893" i="1"/>
  <c r="AR893" i="1"/>
  <c r="AR718" i="1" s="1"/>
  <c r="AR73" i="9" s="1"/>
  <c r="AQ893" i="1"/>
  <c r="AP893" i="1"/>
  <c r="AN893" i="1"/>
  <c r="AM893" i="1"/>
  <c r="AL893" i="1"/>
  <c r="AK893" i="1"/>
  <c r="AH893" i="1"/>
  <c r="AG893" i="1"/>
  <c r="AG718" i="1" s="1"/>
  <c r="AG73" i="9" s="1"/>
  <c r="AF893" i="1"/>
  <c r="AF718" i="1" s="1"/>
  <c r="AF73" i="9" s="1"/>
  <c r="AD893" i="1"/>
  <c r="AC893" i="1"/>
  <c r="AB893" i="1"/>
  <c r="AA893" i="1"/>
  <c r="X893" i="1"/>
  <c r="W893" i="1"/>
  <c r="V893" i="1"/>
  <c r="U893" i="1"/>
  <c r="U718" i="1" s="1"/>
  <c r="U73" i="9" s="1"/>
  <c r="S893" i="1"/>
  <c r="R893" i="1"/>
  <c r="Q893" i="1"/>
  <c r="P893" i="1"/>
  <c r="N893" i="1"/>
  <c r="M893" i="1"/>
  <c r="L893" i="1"/>
  <c r="K893" i="1"/>
  <c r="I893" i="1"/>
  <c r="I718" i="1" s="1"/>
  <c r="I73" i="9" s="1"/>
  <c r="H893" i="1"/>
  <c r="G893" i="1"/>
  <c r="F893" i="1"/>
  <c r="E893" i="1"/>
  <c r="D893" i="1"/>
  <c r="C893" i="1"/>
  <c r="A893" i="1"/>
  <c r="A892" i="1"/>
  <c r="D890" i="1"/>
  <c r="A890" i="1"/>
  <c r="CH889" i="1"/>
  <c r="BY889" i="1"/>
  <c r="CC889" i="1" s="1"/>
  <c r="BV889" i="1"/>
  <c r="BU889" i="1"/>
  <c r="BT889" i="1"/>
  <c r="BR889" i="1"/>
  <c r="BQ889" i="1"/>
  <c r="BP889" i="1"/>
  <c r="BO889" i="1"/>
  <c r="BL889" i="1"/>
  <c r="BK889" i="1"/>
  <c r="BJ889" i="1"/>
  <c r="BG889" i="1"/>
  <c r="BF889" i="1"/>
  <c r="BE889" i="1"/>
  <c r="BB889" i="1"/>
  <c r="BA889" i="1"/>
  <c r="AZ889" i="1"/>
  <c r="AW889" i="1"/>
  <c r="AV889" i="1"/>
  <c r="AU889" i="1"/>
  <c r="AR889" i="1"/>
  <c r="AQ889" i="1"/>
  <c r="AP889" i="1"/>
  <c r="AM889" i="1"/>
  <c r="AL889" i="1"/>
  <c r="AK889" i="1"/>
  <c r="AH889" i="1"/>
  <c r="AG889" i="1"/>
  <c r="AF889" i="1"/>
  <c r="AD889" i="1"/>
  <c r="AC889" i="1"/>
  <c r="AB889" i="1"/>
  <c r="AA889" i="1"/>
  <c r="X889" i="1"/>
  <c r="W889" i="1"/>
  <c r="V889" i="1"/>
  <c r="U889" i="1"/>
  <c r="S889" i="1"/>
  <c r="S75" i="9" s="1"/>
  <c r="R889" i="1"/>
  <c r="Q889" i="1"/>
  <c r="P889" i="1"/>
  <c r="N889" i="1"/>
  <c r="M889" i="1"/>
  <c r="L889" i="1"/>
  <c r="K889" i="1"/>
  <c r="I889" i="1"/>
  <c r="H889" i="1"/>
  <c r="G889" i="1"/>
  <c r="F889" i="1"/>
  <c r="E889" i="1"/>
  <c r="D889" i="1"/>
  <c r="C889" i="1"/>
  <c r="A889" i="1"/>
  <c r="CH888" i="1"/>
  <c r="BY888" i="1"/>
  <c r="CC888" i="1" s="1"/>
  <c r="BO888" i="1"/>
  <c r="BL888" i="1"/>
  <c r="BK888" i="1"/>
  <c r="BJ888" i="1"/>
  <c r="BG888" i="1"/>
  <c r="BF888" i="1"/>
  <c r="BE888" i="1"/>
  <c r="BB888" i="1"/>
  <c r="BA888" i="1"/>
  <c r="AZ888" i="1"/>
  <c r="AW888" i="1"/>
  <c r="AV888" i="1"/>
  <c r="AU888" i="1"/>
  <c r="AY888" i="1" s="1"/>
  <c r="AR888" i="1"/>
  <c r="AQ888" i="1"/>
  <c r="AP888" i="1"/>
  <c r="AM888" i="1"/>
  <c r="AL888" i="1"/>
  <c r="AK888" i="1"/>
  <c r="AI888" i="1"/>
  <c r="AH888" i="1"/>
  <c r="AG888" i="1"/>
  <c r="AF888" i="1"/>
  <c r="AD888" i="1"/>
  <c r="AC888" i="1"/>
  <c r="AB888" i="1"/>
  <c r="AA888" i="1"/>
  <c r="Y888" i="1"/>
  <c r="X888" i="1"/>
  <c r="W888" i="1"/>
  <c r="V888" i="1"/>
  <c r="U888" i="1"/>
  <c r="T888" i="1"/>
  <c r="S888" i="1"/>
  <c r="R888" i="1"/>
  <c r="Q888" i="1"/>
  <c r="P888" i="1"/>
  <c r="O888" i="1"/>
  <c r="N888" i="1"/>
  <c r="M888" i="1"/>
  <c r="L888" i="1"/>
  <c r="K888" i="1"/>
  <c r="J888" i="1"/>
  <c r="I888" i="1"/>
  <c r="H888" i="1"/>
  <c r="G888" i="1"/>
  <c r="F888" i="1"/>
  <c r="E888" i="1"/>
  <c r="D888" i="1"/>
  <c r="C888" i="1"/>
  <c r="A888" i="1"/>
  <c r="CH887" i="1"/>
  <c r="CC887" i="1"/>
  <c r="BY887" i="1"/>
  <c r="BV887" i="1"/>
  <c r="BU887" i="1"/>
  <c r="BT887" i="1"/>
  <c r="BQ887" i="1"/>
  <c r="BP887" i="1"/>
  <c r="BO887" i="1"/>
  <c r="BL887" i="1"/>
  <c r="BK887" i="1"/>
  <c r="BJ887" i="1"/>
  <c r="BH887" i="1"/>
  <c r="BG887" i="1"/>
  <c r="BF887" i="1"/>
  <c r="BE887" i="1"/>
  <c r="BB887" i="1"/>
  <c r="BA887" i="1"/>
  <c r="AZ887" i="1"/>
  <c r="AW887" i="1"/>
  <c r="AV887" i="1"/>
  <c r="AU887" i="1"/>
  <c r="AS887" i="1"/>
  <c r="AR887" i="1"/>
  <c r="AQ887" i="1"/>
  <c r="AP887" i="1"/>
  <c r="AM887" i="1"/>
  <c r="AL887" i="1"/>
  <c r="AK887" i="1"/>
  <c r="AH887" i="1"/>
  <c r="AG887" i="1"/>
  <c r="AF887" i="1"/>
  <c r="AC887" i="1"/>
  <c r="AB887" i="1"/>
  <c r="AA887" i="1"/>
  <c r="Z887" i="1"/>
  <c r="Y887" i="1"/>
  <c r="X887" i="1"/>
  <c r="W887" i="1"/>
  <c r="V887" i="1"/>
  <c r="U887" i="1"/>
  <c r="S887" i="1"/>
  <c r="R887" i="1"/>
  <c r="Q887" i="1"/>
  <c r="P887" i="1"/>
  <c r="N887" i="1"/>
  <c r="M887" i="1"/>
  <c r="L887" i="1"/>
  <c r="K887" i="1"/>
  <c r="I887" i="1"/>
  <c r="H887" i="1"/>
  <c r="G887" i="1"/>
  <c r="F887" i="1"/>
  <c r="E887" i="1"/>
  <c r="D887" i="1"/>
  <c r="C887" i="1"/>
  <c r="A887" i="1"/>
  <c r="CK886" i="1"/>
  <c r="CJ886" i="1"/>
  <c r="CI886" i="1"/>
  <c r="CG886" i="1"/>
  <c r="CH886" i="1" s="1"/>
  <c r="CH712" i="1" s="1"/>
  <c r="CF886" i="1"/>
  <c r="CE886" i="1"/>
  <c r="CD886" i="1"/>
  <c r="CB886" i="1"/>
  <c r="CA886" i="1"/>
  <c r="BZ886" i="1"/>
  <c r="BY886" i="1"/>
  <c r="BV886" i="1"/>
  <c r="BU886" i="1"/>
  <c r="BT886" i="1"/>
  <c r="BQ886" i="1"/>
  <c r="BP886" i="1"/>
  <c r="BP712" i="1" s="1"/>
  <c r="BO886" i="1"/>
  <c r="BO712" i="1" s="1"/>
  <c r="BL886" i="1"/>
  <c r="BL712" i="1" s="1"/>
  <c r="BK886" i="1"/>
  <c r="BK712" i="1" s="1"/>
  <c r="BJ886" i="1"/>
  <c r="BG886" i="1"/>
  <c r="BF886" i="1"/>
  <c r="BE886" i="1"/>
  <c r="BB886" i="1"/>
  <c r="BB712" i="1" s="1"/>
  <c r="BA886" i="1"/>
  <c r="BA712" i="1" s="1"/>
  <c r="AZ886" i="1"/>
  <c r="AW886" i="1"/>
  <c r="AV886" i="1"/>
  <c r="AU886" i="1"/>
  <c r="AR886" i="1"/>
  <c r="AQ886" i="1"/>
  <c r="AP886" i="1"/>
  <c r="AP712" i="1" s="1"/>
  <c r="AO886" i="1"/>
  <c r="AM886" i="1"/>
  <c r="AL886" i="1"/>
  <c r="AK886" i="1"/>
  <c r="AH886" i="1"/>
  <c r="AG886" i="1"/>
  <c r="AF886" i="1"/>
  <c r="AC886" i="1"/>
  <c r="AB886" i="1"/>
  <c r="AA886" i="1"/>
  <c r="X886" i="1"/>
  <c r="W886" i="1"/>
  <c r="V886" i="1"/>
  <c r="U886" i="1"/>
  <c r="S886" i="1"/>
  <c r="R886" i="1"/>
  <c r="R712" i="1" s="1"/>
  <c r="Q886" i="1"/>
  <c r="P886" i="1"/>
  <c r="N886" i="1"/>
  <c r="M886" i="1"/>
  <c r="L886" i="1"/>
  <c r="K886" i="1"/>
  <c r="J886" i="1"/>
  <c r="I886" i="1"/>
  <c r="H886" i="1"/>
  <c r="G886" i="1"/>
  <c r="F886" i="1"/>
  <c r="E886" i="1"/>
  <c r="D886" i="1"/>
  <c r="C886" i="1"/>
  <c r="A886" i="1"/>
  <c r="CK885" i="1"/>
  <c r="CJ885" i="1"/>
  <c r="CI885" i="1"/>
  <c r="CG885" i="1"/>
  <c r="CF885" i="1"/>
  <c r="CE885" i="1"/>
  <c r="CE890" i="1" s="1"/>
  <c r="CD885" i="1"/>
  <c r="CH885" i="1" s="1"/>
  <c r="CC885" i="1"/>
  <c r="CB885" i="1"/>
  <c r="CA885" i="1"/>
  <c r="BZ885" i="1"/>
  <c r="BY885" i="1"/>
  <c r="BV885" i="1"/>
  <c r="BU885" i="1"/>
  <c r="BT885" i="1"/>
  <c r="BT713" i="1" s="1"/>
  <c r="BT72" i="9" s="1"/>
  <c r="BQ885" i="1"/>
  <c r="BP885" i="1"/>
  <c r="BO885" i="1"/>
  <c r="BL885" i="1"/>
  <c r="BK885" i="1"/>
  <c r="BJ885" i="1"/>
  <c r="BG885" i="1"/>
  <c r="BF885" i="1"/>
  <c r="BE885" i="1"/>
  <c r="BB885" i="1"/>
  <c r="BA885" i="1"/>
  <c r="AZ885" i="1"/>
  <c r="AW885" i="1"/>
  <c r="AV885" i="1"/>
  <c r="AU885" i="1"/>
  <c r="AR885" i="1"/>
  <c r="AR713" i="1" s="1"/>
  <c r="AR72" i="9" s="1"/>
  <c r="AQ885" i="1"/>
  <c r="AP885" i="1"/>
  <c r="AM885" i="1"/>
  <c r="AL885" i="1"/>
  <c r="AK885" i="1"/>
  <c r="AH885" i="1"/>
  <c r="AG885" i="1"/>
  <c r="AG713" i="1" s="1"/>
  <c r="AG72" i="9" s="1"/>
  <c r="AF885" i="1"/>
  <c r="AC885" i="1"/>
  <c r="AB885" i="1"/>
  <c r="AB713" i="1" s="1"/>
  <c r="AB72" i="9" s="1"/>
  <c r="AA885" i="1"/>
  <c r="X885" i="1"/>
  <c r="W885" i="1"/>
  <c r="V885" i="1"/>
  <c r="U885" i="1"/>
  <c r="S885" i="1"/>
  <c r="S713" i="1" s="1"/>
  <c r="S72" i="9" s="1"/>
  <c r="R885" i="1"/>
  <c r="R713" i="1" s="1"/>
  <c r="R72" i="9" s="1"/>
  <c r="Q885" i="1"/>
  <c r="P885" i="1"/>
  <c r="N885" i="1"/>
  <c r="M885" i="1"/>
  <c r="L885" i="1"/>
  <c r="K885" i="1"/>
  <c r="I885" i="1"/>
  <c r="I713" i="1" s="1"/>
  <c r="I72" i="9" s="1"/>
  <c r="H885" i="1"/>
  <c r="H713" i="1" s="1"/>
  <c r="H72" i="9" s="1"/>
  <c r="G885" i="1"/>
  <c r="F885" i="1"/>
  <c r="E885" i="1"/>
  <c r="D885" i="1"/>
  <c r="C885" i="1"/>
  <c r="A885" i="1"/>
  <c r="CK884" i="1"/>
  <c r="CK1032" i="1" s="1"/>
  <c r="CJ884" i="1"/>
  <c r="CI884" i="1"/>
  <c r="CG884" i="1"/>
  <c r="CH884" i="1" s="1"/>
  <c r="CH709" i="1" s="1"/>
  <c r="CF884" i="1"/>
  <c r="CE884" i="1"/>
  <c r="CE1032" i="1" s="1"/>
  <c r="CD884" i="1"/>
  <c r="CB884" i="1"/>
  <c r="CB890" i="1" s="1"/>
  <c r="CA884" i="1"/>
  <c r="BZ884" i="1"/>
  <c r="BY884" i="1"/>
  <c r="BV884" i="1"/>
  <c r="BU884" i="1"/>
  <c r="BT884" i="1"/>
  <c r="BT926" i="1" s="1"/>
  <c r="BQ884" i="1"/>
  <c r="BQ926" i="1" s="1"/>
  <c r="BP884" i="1"/>
  <c r="BP926" i="1" s="1"/>
  <c r="BO884" i="1"/>
  <c r="BL884" i="1"/>
  <c r="BL926" i="1" s="1"/>
  <c r="BK884" i="1"/>
  <c r="BN884" i="1" s="1"/>
  <c r="BN709" i="1" s="1"/>
  <c r="BN556" i="1" s="1"/>
  <c r="BJ884" i="1"/>
  <c r="BJ926" i="1" s="1"/>
  <c r="BG884" i="1"/>
  <c r="BG926" i="1" s="1"/>
  <c r="BF884" i="1"/>
  <c r="BF926" i="1" s="1"/>
  <c r="BE884" i="1"/>
  <c r="BE709" i="1" s="1"/>
  <c r="BC884" i="1"/>
  <c r="BC709" i="1" s="1"/>
  <c r="BB884" i="1"/>
  <c r="BA884" i="1"/>
  <c r="BA926" i="1" s="1"/>
  <c r="AZ884" i="1"/>
  <c r="AZ926" i="1" s="1"/>
  <c r="AW884" i="1"/>
  <c r="AW926" i="1" s="1"/>
  <c r="AV884" i="1"/>
  <c r="AV926" i="1" s="1"/>
  <c r="AU884" i="1"/>
  <c r="AR884" i="1"/>
  <c r="AQ884" i="1"/>
  <c r="AP884" i="1"/>
  <c r="AP926" i="1" s="1"/>
  <c r="AM884" i="1"/>
  <c r="AM926" i="1" s="1"/>
  <c r="AL884" i="1"/>
  <c r="AK884" i="1"/>
  <c r="AH884" i="1"/>
  <c r="AH709" i="1" s="1"/>
  <c r="AH556" i="1" s="1"/>
  <c r="AG884" i="1"/>
  <c r="AF884" i="1"/>
  <c r="AC884" i="1"/>
  <c r="AB884" i="1"/>
  <c r="AA884" i="1"/>
  <c r="X884" i="1"/>
  <c r="X926" i="1" s="1"/>
  <c r="W884" i="1"/>
  <c r="V884" i="1"/>
  <c r="V709" i="1" s="1"/>
  <c r="U884" i="1"/>
  <c r="U926" i="1" s="1"/>
  <c r="T884" i="1"/>
  <c r="S884" i="1"/>
  <c r="R884" i="1"/>
  <c r="R926" i="1" s="1"/>
  <c r="Q884" i="1"/>
  <c r="Q926" i="1" s="1"/>
  <c r="P884" i="1"/>
  <c r="P926" i="1" s="1"/>
  <c r="N884" i="1"/>
  <c r="M884" i="1"/>
  <c r="L884" i="1"/>
  <c r="K884" i="1"/>
  <c r="I884" i="1"/>
  <c r="H884" i="1"/>
  <c r="H926" i="1" s="1"/>
  <c r="G884" i="1"/>
  <c r="F884" i="1"/>
  <c r="E884" i="1"/>
  <c r="E926" i="1" s="1"/>
  <c r="D884" i="1"/>
  <c r="D926" i="1" s="1"/>
  <c r="C884" i="1"/>
  <c r="A884" i="1"/>
  <c r="CH883" i="1"/>
  <c r="BY883" i="1"/>
  <c r="CC883" i="1" s="1"/>
  <c r="BX883" i="1"/>
  <c r="BV883" i="1"/>
  <c r="BU883" i="1"/>
  <c r="BT883" i="1"/>
  <c r="BS883" i="1"/>
  <c r="BQ883" i="1"/>
  <c r="BP883" i="1"/>
  <c r="BO883" i="1"/>
  <c r="BN883" i="1"/>
  <c r="BL883" i="1"/>
  <c r="BK883" i="1"/>
  <c r="BJ883" i="1"/>
  <c r="BI883" i="1"/>
  <c r="BH883" i="1"/>
  <c r="BG883" i="1"/>
  <c r="BF883" i="1"/>
  <c r="BE883" i="1"/>
  <c r="BD883" i="1"/>
  <c r="BB883" i="1"/>
  <c r="BA883" i="1"/>
  <c r="AZ883" i="1"/>
  <c r="AY883" i="1"/>
  <c r="AX883" i="1"/>
  <c r="AW883" i="1"/>
  <c r="AV883" i="1"/>
  <c r="AU883" i="1"/>
  <c r="AT883" i="1"/>
  <c r="AR883" i="1"/>
  <c r="AQ883" i="1"/>
  <c r="AP883" i="1"/>
  <c r="AO883" i="1"/>
  <c r="AM883" i="1"/>
  <c r="AL883" i="1"/>
  <c r="AK883" i="1"/>
  <c r="AJ883" i="1"/>
  <c r="AH883" i="1"/>
  <c r="AG883" i="1"/>
  <c r="AF883" i="1"/>
  <c r="AE883" i="1"/>
  <c r="AC883" i="1"/>
  <c r="AB883" i="1"/>
  <c r="AA883" i="1"/>
  <c r="Z883" i="1"/>
  <c r="Y883" i="1"/>
  <c r="X883" i="1"/>
  <c r="W883" i="1"/>
  <c r="V883" i="1"/>
  <c r="U883" i="1"/>
  <c r="S883" i="1"/>
  <c r="R883" i="1"/>
  <c r="Q883" i="1"/>
  <c r="P883" i="1"/>
  <c r="N883" i="1"/>
  <c r="M883" i="1"/>
  <c r="L883" i="1"/>
  <c r="K883" i="1"/>
  <c r="I883" i="1"/>
  <c r="H883" i="1"/>
  <c r="G883" i="1"/>
  <c r="F883" i="1"/>
  <c r="E883" i="1"/>
  <c r="D883" i="1"/>
  <c r="C883" i="1"/>
  <c r="A883" i="1"/>
  <c r="CH882" i="1"/>
  <c r="CC882" i="1"/>
  <c r="BY882" i="1"/>
  <c r="BW882" i="1"/>
  <c r="BV882" i="1"/>
  <c r="BU882" i="1"/>
  <c r="BT882" i="1"/>
  <c r="BQ882" i="1"/>
  <c r="BP882" i="1"/>
  <c r="BO882" i="1"/>
  <c r="BL882" i="1"/>
  <c r="BK882" i="1"/>
  <c r="BJ882" i="1"/>
  <c r="BG882" i="1"/>
  <c r="BF882" i="1"/>
  <c r="BE882" i="1"/>
  <c r="BB882" i="1"/>
  <c r="BA882" i="1"/>
  <c r="AZ882" i="1"/>
  <c r="AX882" i="1"/>
  <c r="AY882" i="1" s="1"/>
  <c r="AW882" i="1"/>
  <c r="AV882" i="1"/>
  <c r="AU882" i="1"/>
  <c r="AR882" i="1"/>
  <c r="AQ882" i="1"/>
  <c r="AP882" i="1"/>
  <c r="AM882" i="1"/>
  <c r="AL882" i="1"/>
  <c r="AK882" i="1"/>
  <c r="AI882" i="1"/>
  <c r="AH882" i="1"/>
  <c r="AG882" i="1"/>
  <c r="AF882" i="1"/>
  <c r="AC882" i="1"/>
  <c r="AB882" i="1"/>
  <c r="AA882" i="1"/>
  <c r="X882" i="1"/>
  <c r="W882" i="1"/>
  <c r="V882" i="1"/>
  <c r="U882" i="1"/>
  <c r="S882" i="1"/>
  <c r="R882" i="1"/>
  <c r="Q882" i="1"/>
  <c r="P882" i="1"/>
  <c r="N882" i="1"/>
  <c r="M882" i="1"/>
  <c r="L882" i="1"/>
  <c r="K882" i="1"/>
  <c r="I882" i="1"/>
  <c r="H882" i="1"/>
  <c r="G882" i="1"/>
  <c r="F882" i="1"/>
  <c r="E882" i="1"/>
  <c r="D882" i="1"/>
  <c r="C882" i="1"/>
  <c r="A882" i="1"/>
  <c r="CH881" i="1"/>
  <c r="BY881" i="1"/>
  <c r="CC881" i="1" s="1"/>
  <c r="BW881" i="1"/>
  <c r="BV881" i="1"/>
  <c r="BU881" i="1"/>
  <c r="BT881" i="1"/>
  <c r="BQ881" i="1"/>
  <c r="BP881" i="1"/>
  <c r="BO881" i="1"/>
  <c r="BM881" i="1"/>
  <c r="BL881" i="1"/>
  <c r="BK881" i="1"/>
  <c r="BJ881" i="1"/>
  <c r="BG881" i="1"/>
  <c r="BF881" i="1"/>
  <c r="BE881" i="1"/>
  <c r="BB881" i="1"/>
  <c r="BA881" i="1"/>
  <c r="AZ881" i="1"/>
  <c r="AW881" i="1"/>
  <c r="AV881" i="1"/>
  <c r="AU881" i="1"/>
  <c r="AR881" i="1"/>
  <c r="AQ881" i="1"/>
  <c r="AP881" i="1"/>
  <c r="AM881" i="1"/>
  <c r="AL881" i="1"/>
  <c r="AK881" i="1"/>
  <c r="AH881" i="1"/>
  <c r="AG881" i="1"/>
  <c r="AF881" i="1"/>
  <c r="AC881" i="1"/>
  <c r="AB881" i="1"/>
  <c r="AA881" i="1"/>
  <c r="X881" i="1"/>
  <c r="W881" i="1"/>
  <c r="V881" i="1"/>
  <c r="U881" i="1"/>
  <c r="S881" i="1"/>
  <c r="R881" i="1"/>
  <c r="Q881" i="1"/>
  <c r="P881" i="1"/>
  <c r="N881" i="1"/>
  <c r="M881" i="1"/>
  <c r="L881" i="1"/>
  <c r="K881" i="1"/>
  <c r="I881" i="1"/>
  <c r="H881" i="1"/>
  <c r="G881" i="1"/>
  <c r="F881" i="1"/>
  <c r="E881" i="1"/>
  <c r="D881" i="1"/>
  <c r="C881" i="1"/>
  <c r="A881" i="1"/>
  <c r="CH880" i="1"/>
  <c r="BY880" i="1"/>
  <c r="BV880" i="1"/>
  <c r="BX880" i="1" s="1"/>
  <c r="BU880" i="1"/>
  <c r="BT880" i="1"/>
  <c r="BQ880" i="1"/>
  <c r="BP880" i="1"/>
  <c r="BO880" i="1"/>
  <c r="BL880" i="1"/>
  <c r="BK880" i="1"/>
  <c r="BJ880" i="1"/>
  <c r="BG880" i="1"/>
  <c r="BF880" i="1"/>
  <c r="BF890" i="1" s="1"/>
  <c r="BE880" i="1"/>
  <c r="BB880" i="1"/>
  <c r="BA880" i="1"/>
  <c r="AZ880" i="1"/>
  <c r="AW880" i="1"/>
  <c r="AV880" i="1"/>
  <c r="AU880" i="1"/>
  <c r="AR880" i="1"/>
  <c r="AQ880" i="1"/>
  <c r="AP880" i="1"/>
  <c r="AM880" i="1"/>
  <c r="AL880" i="1"/>
  <c r="AK880" i="1"/>
  <c r="AH880" i="1"/>
  <c r="AG880" i="1"/>
  <c r="AF880" i="1"/>
  <c r="AC880" i="1"/>
  <c r="AB880" i="1"/>
  <c r="AA880" i="1"/>
  <c r="X880" i="1"/>
  <c r="W880" i="1"/>
  <c r="W890" i="1" s="1"/>
  <c r="V880" i="1"/>
  <c r="U880" i="1"/>
  <c r="S880" i="1"/>
  <c r="R880" i="1"/>
  <c r="Q880" i="1"/>
  <c r="P880" i="1"/>
  <c r="O880" i="1"/>
  <c r="N880" i="1"/>
  <c r="M880" i="1"/>
  <c r="L880" i="1"/>
  <c r="K880" i="1"/>
  <c r="I880" i="1"/>
  <c r="H880" i="1"/>
  <c r="G880" i="1"/>
  <c r="F880" i="1"/>
  <c r="E880" i="1"/>
  <c r="D880" i="1"/>
  <c r="C880" i="1"/>
  <c r="A880" i="1"/>
  <c r="A879" i="1"/>
  <c r="A877" i="1"/>
  <c r="CH876" i="1"/>
  <c r="BY876" i="1"/>
  <c r="CC876" i="1" s="1"/>
  <c r="BV876" i="1"/>
  <c r="BU876" i="1"/>
  <c r="BT876" i="1"/>
  <c r="BQ876" i="1"/>
  <c r="BP876" i="1"/>
  <c r="BO876" i="1"/>
  <c r="BM876" i="1"/>
  <c r="BL876" i="1"/>
  <c r="BK876" i="1"/>
  <c r="BJ876" i="1"/>
  <c r="BG876" i="1"/>
  <c r="BF876" i="1"/>
  <c r="BE876" i="1"/>
  <c r="BB876" i="1"/>
  <c r="BA876" i="1"/>
  <c r="AZ876" i="1"/>
  <c r="AW876" i="1"/>
  <c r="AV876" i="1"/>
  <c r="AU876" i="1"/>
  <c r="AR876" i="1"/>
  <c r="AQ876" i="1"/>
  <c r="AP876" i="1"/>
  <c r="AM876" i="1"/>
  <c r="AL876" i="1"/>
  <c r="AK876" i="1"/>
  <c r="AH876" i="1"/>
  <c r="AG876" i="1"/>
  <c r="AF876" i="1"/>
  <c r="AC876" i="1"/>
  <c r="AB876" i="1"/>
  <c r="AA876" i="1"/>
  <c r="X876" i="1"/>
  <c r="W876" i="1"/>
  <c r="V876" i="1"/>
  <c r="U876" i="1"/>
  <c r="S876" i="1"/>
  <c r="R876" i="1"/>
  <c r="Q876" i="1"/>
  <c r="P876" i="1"/>
  <c r="N876" i="1"/>
  <c r="M876" i="1"/>
  <c r="L876" i="1"/>
  <c r="K876" i="1"/>
  <c r="I876" i="1"/>
  <c r="H876" i="1"/>
  <c r="G876" i="1"/>
  <c r="F876" i="1"/>
  <c r="E876" i="1"/>
  <c r="D876" i="1"/>
  <c r="C876" i="1"/>
  <c r="A876" i="1"/>
  <c r="BY875" i="1"/>
  <c r="BV875" i="1"/>
  <c r="BU875" i="1"/>
  <c r="BT875" i="1"/>
  <c r="BQ875" i="1"/>
  <c r="BP875" i="1"/>
  <c r="BO875" i="1"/>
  <c r="BL875" i="1"/>
  <c r="BK875" i="1"/>
  <c r="BJ875" i="1"/>
  <c r="BG875" i="1"/>
  <c r="BF875" i="1"/>
  <c r="BE875" i="1"/>
  <c r="BB875" i="1"/>
  <c r="BD875" i="1" s="1"/>
  <c r="BA875" i="1"/>
  <c r="AZ875" i="1"/>
  <c r="AW875" i="1"/>
  <c r="AV875" i="1"/>
  <c r="AU875" i="1"/>
  <c r="AT875" i="1"/>
  <c r="AR875" i="1"/>
  <c r="AQ875" i="1"/>
  <c r="AP875" i="1"/>
  <c r="AM875" i="1"/>
  <c r="AL875" i="1"/>
  <c r="AK875" i="1"/>
  <c r="AH875" i="1"/>
  <c r="AG875" i="1"/>
  <c r="AF875" i="1"/>
  <c r="AC875" i="1"/>
  <c r="AB875" i="1"/>
  <c r="AA875" i="1"/>
  <c r="X875" i="1"/>
  <c r="W875" i="1"/>
  <c r="V875" i="1"/>
  <c r="U875" i="1"/>
  <c r="S875" i="1"/>
  <c r="R875" i="1"/>
  <c r="Q875" i="1"/>
  <c r="P875" i="1"/>
  <c r="N875" i="1"/>
  <c r="M875" i="1"/>
  <c r="L875" i="1"/>
  <c r="K875" i="1"/>
  <c r="I875" i="1"/>
  <c r="H875" i="1"/>
  <c r="G875" i="1"/>
  <c r="F875" i="1"/>
  <c r="E875" i="1"/>
  <c r="D875" i="1"/>
  <c r="C875" i="1"/>
  <c r="A875" i="1"/>
  <c r="BY874" i="1"/>
  <c r="BV874" i="1"/>
  <c r="BU874" i="1"/>
  <c r="BT874" i="1"/>
  <c r="BQ874" i="1"/>
  <c r="BP874" i="1"/>
  <c r="BO874" i="1"/>
  <c r="BL874" i="1"/>
  <c r="BK874" i="1"/>
  <c r="BJ874" i="1"/>
  <c r="BG874" i="1"/>
  <c r="BF874" i="1"/>
  <c r="BE874" i="1"/>
  <c r="BB874" i="1"/>
  <c r="BA874" i="1"/>
  <c r="AZ874" i="1"/>
  <c r="AW874" i="1"/>
  <c r="AV874" i="1"/>
  <c r="AU874" i="1"/>
  <c r="AS874" i="1"/>
  <c r="AR874" i="1"/>
  <c r="AQ874" i="1"/>
  <c r="AT874" i="1" s="1"/>
  <c r="AP874" i="1"/>
  <c r="AM874" i="1"/>
  <c r="AL874" i="1"/>
  <c r="AK874" i="1"/>
  <c r="AH874" i="1"/>
  <c r="AG874" i="1"/>
  <c r="AF874" i="1"/>
  <c r="AC874" i="1"/>
  <c r="AB874" i="1"/>
  <c r="AA874" i="1"/>
  <c r="X874" i="1"/>
  <c r="W874" i="1"/>
  <c r="V874" i="1"/>
  <c r="U874" i="1"/>
  <c r="S874" i="1"/>
  <c r="R874" i="1"/>
  <c r="Q874" i="1"/>
  <c r="P874" i="1"/>
  <c r="N874" i="1"/>
  <c r="M874" i="1"/>
  <c r="L874" i="1"/>
  <c r="K874" i="1"/>
  <c r="I874" i="1"/>
  <c r="H874" i="1"/>
  <c r="G874" i="1"/>
  <c r="F874" i="1"/>
  <c r="E874" i="1"/>
  <c r="D874" i="1"/>
  <c r="C874" i="1"/>
  <c r="A874" i="1"/>
  <c r="CH873" i="1"/>
  <c r="CC873" i="1"/>
  <c r="BY873" i="1"/>
  <c r="BV873" i="1"/>
  <c r="BU873" i="1"/>
  <c r="BX873" i="1" s="1"/>
  <c r="BT873" i="1"/>
  <c r="BQ873" i="1"/>
  <c r="BP873" i="1"/>
  <c r="BO873" i="1"/>
  <c r="BL873" i="1"/>
  <c r="BK873" i="1"/>
  <c r="BJ873" i="1"/>
  <c r="BG873" i="1"/>
  <c r="BF873" i="1"/>
  <c r="BE873" i="1"/>
  <c r="BB873" i="1"/>
  <c r="BA873" i="1"/>
  <c r="AZ873" i="1"/>
  <c r="AW873" i="1"/>
  <c r="AV873" i="1"/>
  <c r="AU873" i="1"/>
  <c r="AR873" i="1"/>
  <c r="AQ873" i="1"/>
  <c r="AP873" i="1"/>
  <c r="AM873" i="1"/>
  <c r="AL873" i="1"/>
  <c r="AK873" i="1"/>
  <c r="AH873" i="1"/>
  <c r="AG873" i="1"/>
  <c r="AF873" i="1"/>
  <c r="AC873" i="1"/>
  <c r="AB873" i="1"/>
  <c r="AA873" i="1"/>
  <c r="X873" i="1"/>
  <c r="W873" i="1"/>
  <c r="V873" i="1"/>
  <c r="U873" i="1"/>
  <c r="S873" i="1"/>
  <c r="R873" i="1"/>
  <c r="Q873" i="1"/>
  <c r="P873" i="1"/>
  <c r="N873" i="1"/>
  <c r="M873" i="1"/>
  <c r="L873" i="1"/>
  <c r="K873" i="1"/>
  <c r="I873" i="1"/>
  <c r="H873" i="1"/>
  <c r="G873" i="1"/>
  <c r="F873" i="1"/>
  <c r="E873" i="1"/>
  <c r="D873" i="1"/>
  <c r="C873" i="1"/>
  <c r="A873" i="1"/>
  <c r="CH872" i="1"/>
  <c r="BY872" i="1"/>
  <c r="CC872" i="1" s="1"/>
  <c r="BV872" i="1"/>
  <c r="BU872" i="1"/>
  <c r="BT872" i="1"/>
  <c r="BQ872" i="1"/>
  <c r="BP872" i="1"/>
  <c r="BO872" i="1"/>
  <c r="BL872" i="1"/>
  <c r="BK872" i="1"/>
  <c r="BJ872" i="1"/>
  <c r="BG872" i="1"/>
  <c r="BF872" i="1"/>
  <c r="BE872" i="1"/>
  <c r="BB872" i="1"/>
  <c r="BA872" i="1"/>
  <c r="BD872" i="1" s="1"/>
  <c r="AZ872" i="1"/>
  <c r="AW872" i="1"/>
  <c r="AV872" i="1"/>
  <c r="AU872" i="1"/>
  <c r="AR872" i="1"/>
  <c r="AQ872" i="1"/>
  <c r="AP872" i="1"/>
  <c r="AM872" i="1"/>
  <c r="AL872" i="1"/>
  <c r="AK872" i="1"/>
  <c r="AH872" i="1"/>
  <c r="AG872" i="1"/>
  <c r="AF872" i="1"/>
  <c r="AC872" i="1"/>
  <c r="AB872" i="1"/>
  <c r="AA872" i="1"/>
  <c r="X872" i="1"/>
  <c r="W872" i="1"/>
  <c r="V872" i="1"/>
  <c r="Z872" i="1" s="1"/>
  <c r="U872" i="1"/>
  <c r="S872" i="1"/>
  <c r="R872" i="1"/>
  <c r="Q872" i="1"/>
  <c r="P872" i="1"/>
  <c r="N872" i="1"/>
  <c r="M872" i="1"/>
  <c r="L872" i="1"/>
  <c r="K872" i="1"/>
  <c r="I872" i="1"/>
  <c r="H872" i="1"/>
  <c r="G872" i="1"/>
  <c r="F872" i="1"/>
  <c r="E872" i="1"/>
  <c r="D872" i="1"/>
  <c r="C872" i="1"/>
  <c r="A872" i="1"/>
  <c r="CH871" i="1"/>
  <c r="CC871" i="1"/>
  <c r="BY871" i="1"/>
  <c r="BV871" i="1"/>
  <c r="BU871" i="1"/>
  <c r="BT871" i="1"/>
  <c r="BQ871" i="1"/>
  <c r="BP871" i="1"/>
  <c r="BO871" i="1"/>
  <c r="BL871" i="1"/>
  <c r="BK871" i="1"/>
  <c r="BJ871" i="1"/>
  <c r="BG871" i="1"/>
  <c r="BF871" i="1"/>
  <c r="BE871" i="1"/>
  <c r="BC871" i="1"/>
  <c r="BD871" i="1" s="1"/>
  <c r="BB871" i="1"/>
  <c r="BA871" i="1"/>
  <c r="AZ871" i="1"/>
  <c r="AW871" i="1"/>
  <c r="AV871" i="1"/>
  <c r="AU871" i="1"/>
  <c r="AR871" i="1"/>
  <c r="AQ871" i="1"/>
  <c r="AP871" i="1"/>
  <c r="AM871" i="1"/>
  <c r="AL871" i="1"/>
  <c r="AK871" i="1"/>
  <c r="AH871" i="1"/>
  <c r="AG871" i="1"/>
  <c r="AF871" i="1"/>
  <c r="AC871" i="1"/>
  <c r="AB871" i="1"/>
  <c r="AA871" i="1"/>
  <c r="X871" i="1"/>
  <c r="W871" i="1"/>
  <c r="V871" i="1"/>
  <c r="U871" i="1"/>
  <c r="T871" i="1"/>
  <c r="S871" i="1"/>
  <c r="R871" i="1"/>
  <c r="Q871" i="1"/>
  <c r="P871" i="1"/>
  <c r="N871" i="1"/>
  <c r="M871" i="1"/>
  <c r="L871" i="1"/>
  <c r="K871" i="1"/>
  <c r="I871" i="1"/>
  <c r="H871" i="1"/>
  <c r="G871" i="1"/>
  <c r="F871" i="1"/>
  <c r="E871" i="1"/>
  <c r="D871" i="1"/>
  <c r="C871" i="1"/>
  <c r="A871" i="1"/>
  <c r="BY870" i="1"/>
  <c r="BV870" i="1"/>
  <c r="BU870" i="1"/>
  <c r="BT870" i="1"/>
  <c r="BQ870" i="1"/>
  <c r="BP870" i="1"/>
  <c r="BO870" i="1"/>
  <c r="BS870" i="1" s="1"/>
  <c r="BL870" i="1"/>
  <c r="BK870" i="1"/>
  <c r="BJ870" i="1"/>
  <c r="BG870" i="1"/>
  <c r="BF870" i="1"/>
  <c r="BE870" i="1"/>
  <c r="BB870" i="1"/>
  <c r="BA870" i="1"/>
  <c r="AZ870" i="1"/>
  <c r="AW870" i="1"/>
  <c r="AV870" i="1"/>
  <c r="AU870" i="1"/>
  <c r="AS870" i="1"/>
  <c r="AR870" i="1"/>
  <c r="AQ870" i="1"/>
  <c r="AP870" i="1"/>
  <c r="AM870" i="1"/>
  <c r="AL870" i="1"/>
  <c r="AK870" i="1"/>
  <c r="AH870" i="1"/>
  <c r="AG870" i="1"/>
  <c r="AF870" i="1"/>
  <c r="AC870" i="1"/>
  <c r="AB870" i="1"/>
  <c r="AA870" i="1"/>
  <c r="X870" i="1"/>
  <c r="W870" i="1"/>
  <c r="V870" i="1"/>
  <c r="U870" i="1"/>
  <c r="S870" i="1"/>
  <c r="R870" i="1"/>
  <c r="Q870" i="1"/>
  <c r="P870" i="1"/>
  <c r="N870" i="1"/>
  <c r="M870" i="1"/>
  <c r="L870" i="1"/>
  <c r="K870" i="1"/>
  <c r="J870" i="1"/>
  <c r="I870" i="1"/>
  <c r="H870" i="1"/>
  <c r="G870" i="1"/>
  <c r="F870" i="1"/>
  <c r="E870" i="1"/>
  <c r="D870" i="1"/>
  <c r="C870" i="1"/>
  <c r="A870" i="1"/>
  <c r="BY869" i="1"/>
  <c r="BV869" i="1"/>
  <c r="BU869" i="1"/>
  <c r="BT869" i="1"/>
  <c r="BQ869" i="1"/>
  <c r="BS869" i="1" s="1"/>
  <c r="BP869" i="1"/>
  <c r="BO869" i="1"/>
  <c r="BL869" i="1"/>
  <c r="BK869" i="1"/>
  <c r="BJ869" i="1"/>
  <c r="BG869" i="1"/>
  <c r="BF869" i="1"/>
  <c r="BE869" i="1"/>
  <c r="BB869" i="1"/>
  <c r="BA869" i="1"/>
  <c r="AZ869" i="1"/>
  <c r="AW869" i="1"/>
  <c r="AV869" i="1"/>
  <c r="AU869" i="1"/>
  <c r="AR869" i="1"/>
  <c r="AQ869" i="1"/>
  <c r="AP869" i="1"/>
  <c r="AM869" i="1"/>
  <c r="AL869" i="1"/>
  <c r="AK869" i="1"/>
  <c r="AJ869" i="1"/>
  <c r="AI869" i="1"/>
  <c r="AH869" i="1"/>
  <c r="AG869" i="1"/>
  <c r="AF869" i="1"/>
  <c r="AC869" i="1"/>
  <c r="AB869" i="1"/>
  <c r="AA869" i="1"/>
  <c r="Z869" i="1"/>
  <c r="X869" i="1"/>
  <c r="W869" i="1"/>
  <c r="V869" i="1"/>
  <c r="U869" i="1"/>
  <c r="S869" i="1"/>
  <c r="R869" i="1"/>
  <c r="Q869" i="1"/>
  <c r="P869" i="1"/>
  <c r="N869" i="1"/>
  <c r="M869" i="1"/>
  <c r="L869" i="1"/>
  <c r="K869" i="1"/>
  <c r="I869" i="1"/>
  <c r="H869" i="1"/>
  <c r="G869" i="1"/>
  <c r="F869" i="1"/>
  <c r="E869" i="1"/>
  <c r="D869" i="1"/>
  <c r="C869" i="1"/>
  <c r="A869" i="1"/>
  <c r="A868" i="1"/>
  <c r="CH867" i="1"/>
  <c r="CC867" i="1"/>
  <c r="BY867" i="1"/>
  <c r="BV867" i="1"/>
  <c r="BU867" i="1"/>
  <c r="BT867" i="1"/>
  <c r="BQ867" i="1"/>
  <c r="BP867" i="1"/>
  <c r="BO867" i="1"/>
  <c r="BM867" i="1"/>
  <c r="BL867" i="1"/>
  <c r="BK867" i="1"/>
  <c r="BJ867" i="1"/>
  <c r="BG867" i="1"/>
  <c r="BF867" i="1"/>
  <c r="BE867" i="1"/>
  <c r="BI867" i="1" s="1"/>
  <c r="BC867" i="1"/>
  <c r="BB867" i="1"/>
  <c r="BD867" i="1" s="1"/>
  <c r="BA867" i="1"/>
  <c r="AZ867" i="1"/>
  <c r="AW867" i="1"/>
  <c r="AV867" i="1"/>
  <c r="AU867" i="1"/>
  <c r="AR867" i="1"/>
  <c r="AQ867" i="1"/>
  <c r="AP867" i="1"/>
  <c r="AM867" i="1"/>
  <c r="AL867" i="1"/>
  <c r="AK867" i="1"/>
  <c r="AH867" i="1"/>
  <c r="AG867" i="1"/>
  <c r="AF867" i="1"/>
  <c r="AC867" i="1"/>
  <c r="AB867" i="1"/>
  <c r="AA867" i="1"/>
  <c r="X867" i="1"/>
  <c r="W867" i="1"/>
  <c r="V867" i="1"/>
  <c r="U867" i="1"/>
  <c r="S867" i="1"/>
  <c r="R867" i="1"/>
  <c r="Q867" i="1"/>
  <c r="P867" i="1"/>
  <c r="N867" i="1"/>
  <c r="M867" i="1"/>
  <c r="L867" i="1"/>
  <c r="K867" i="1"/>
  <c r="I867" i="1"/>
  <c r="H867" i="1"/>
  <c r="G867" i="1"/>
  <c r="F867" i="1"/>
  <c r="E867" i="1"/>
  <c r="D867" i="1"/>
  <c r="C867" i="1"/>
  <c r="A867" i="1"/>
  <c r="CH866" i="1"/>
  <c r="CC866" i="1"/>
  <c r="BY866" i="1"/>
  <c r="BV866" i="1"/>
  <c r="BU866" i="1"/>
  <c r="BT866" i="1"/>
  <c r="BQ866" i="1"/>
  <c r="BP866" i="1"/>
  <c r="BO866" i="1"/>
  <c r="BL866" i="1"/>
  <c r="BK866" i="1"/>
  <c r="BJ866" i="1"/>
  <c r="BG866" i="1"/>
  <c r="BF866" i="1"/>
  <c r="BE866" i="1"/>
  <c r="BB866" i="1"/>
  <c r="BA866" i="1"/>
  <c r="AZ866" i="1"/>
  <c r="AW866" i="1"/>
  <c r="AV866" i="1"/>
  <c r="AU866" i="1"/>
  <c r="AS866" i="1"/>
  <c r="AR866" i="1"/>
  <c r="AQ866" i="1"/>
  <c r="AP866" i="1"/>
  <c r="AM866" i="1"/>
  <c r="AL866" i="1"/>
  <c r="AK866" i="1"/>
  <c r="AH866" i="1"/>
  <c r="AG866" i="1"/>
  <c r="AF866" i="1"/>
  <c r="AC866" i="1"/>
  <c r="AB866" i="1"/>
  <c r="AA866" i="1"/>
  <c r="X866" i="1"/>
  <c r="W866" i="1"/>
  <c r="V866" i="1"/>
  <c r="U866" i="1"/>
  <c r="S866" i="1"/>
  <c r="R866" i="1"/>
  <c r="Q866" i="1"/>
  <c r="P866" i="1"/>
  <c r="N866" i="1"/>
  <c r="M866" i="1"/>
  <c r="L866" i="1"/>
  <c r="K866" i="1"/>
  <c r="I866" i="1"/>
  <c r="H866" i="1"/>
  <c r="G866" i="1"/>
  <c r="F866" i="1"/>
  <c r="E866" i="1"/>
  <c r="D866" i="1"/>
  <c r="C866" i="1"/>
  <c r="A866" i="1"/>
  <c r="CH865" i="1"/>
  <c r="BY865" i="1"/>
  <c r="CC865" i="1" s="1"/>
  <c r="BV865" i="1"/>
  <c r="BU865" i="1"/>
  <c r="BT865" i="1"/>
  <c r="BQ865" i="1"/>
  <c r="BP865" i="1"/>
  <c r="BO865" i="1"/>
  <c r="BL865" i="1"/>
  <c r="BK865" i="1"/>
  <c r="BJ865" i="1"/>
  <c r="BG865" i="1"/>
  <c r="BF865" i="1"/>
  <c r="BE865" i="1"/>
  <c r="BB865" i="1"/>
  <c r="BA865" i="1"/>
  <c r="AZ865" i="1"/>
  <c r="AX865" i="1"/>
  <c r="AY865" i="1" s="1"/>
  <c r="AW865" i="1"/>
  <c r="AV865" i="1"/>
  <c r="AU865" i="1"/>
  <c r="AS865" i="1"/>
  <c r="AR865" i="1"/>
  <c r="AQ865" i="1"/>
  <c r="AP865" i="1"/>
  <c r="AN865" i="1"/>
  <c r="AM865" i="1"/>
  <c r="AL865" i="1"/>
  <c r="AK865" i="1"/>
  <c r="AI865" i="1"/>
  <c r="AH865" i="1"/>
  <c r="AG865" i="1"/>
  <c r="AF865" i="1"/>
  <c r="AD865" i="1"/>
  <c r="AC865" i="1"/>
  <c r="AB865" i="1"/>
  <c r="AA865" i="1"/>
  <c r="Y865" i="1"/>
  <c r="X865" i="1"/>
  <c r="W865" i="1"/>
  <c r="V865" i="1"/>
  <c r="U865" i="1"/>
  <c r="T865" i="1"/>
  <c r="S865" i="1"/>
  <c r="R865" i="1"/>
  <c r="Q865" i="1"/>
  <c r="P865" i="1"/>
  <c r="O865" i="1"/>
  <c r="N865" i="1"/>
  <c r="M865" i="1"/>
  <c r="L865" i="1"/>
  <c r="K865" i="1"/>
  <c r="J865" i="1"/>
  <c r="I865" i="1"/>
  <c r="H865" i="1"/>
  <c r="G865" i="1"/>
  <c r="F865" i="1"/>
  <c r="E865" i="1"/>
  <c r="D865" i="1"/>
  <c r="C865" i="1"/>
  <c r="A865" i="1"/>
  <c r="CH864" i="1"/>
  <c r="BY864" i="1"/>
  <c r="CC864" i="1" s="1"/>
  <c r="BV864" i="1"/>
  <c r="BU864" i="1"/>
  <c r="BT864" i="1"/>
  <c r="BQ864" i="1"/>
  <c r="BP864" i="1"/>
  <c r="BO864" i="1"/>
  <c r="BL864" i="1"/>
  <c r="BK864" i="1"/>
  <c r="BJ864" i="1"/>
  <c r="BG864" i="1"/>
  <c r="BF864" i="1"/>
  <c r="BE864" i="1"/>
  <c r="BB864" i="1"/>
  <c r="BA864" i="1"/>
  <c r="AZ864" i="1"/>
  <c r="AW864" i="1"/>
  <c r="AV864" i="1"/>
  <c r="AU864" i="1"/>
  <c r="AR864" i="1"/>
  <c r="AQ864" i="1"/>
  <c r="AP864" i="1"/>
  <c r="AM864" i="1"/>
  <c r="AL864" i="1"/>
  <c r="AK864" i="1"/>
  <c r="AH864" i="1"/>
  <c r="AG864" i="1"/>
  <c r="AF864" i="1"/>
  <c r="AC864" i="1"/>
  <c r="AB864" i="1"/>
  <c r="AA864" i="1"/>
  <c r="X864" i="1"/>
  <c r="W864" i="1"/>
  <c r="V864" i="1"/>
  <c r="Z864" i="1" s="1"/>
  <c r="U864" i="1"/>
  <c r="S864" i="1"/>
  <c r="R864" i="1"/>
  <c r="Q864" i="1"/>
  <c r="P864" i="1"/>
  <c r="N864" i="1"/>
  <c r="M864" i="1"/>
  <c r="L864" i="1"/>
  <c r="K864" i="1"/>
  <c r="I864" i="1"/>
  <c r="H864" i="1"/>
  <c r="G864" i="1"/>
  <c r="F864" i="1"/>
  <c r="E864" i="1"/>
  <c r="D864" i="1"/>
  <c r="C864" i="1"/>
  <c r="A864" i="1"/>
  <c r="CH863" i="1"/>
  <c r="BY863" i="1"/>
  <c r="CC863" i="1" s="1"/>
  <c r="BV863" i="1"/>
  <c r="BU863" i="1"/>
  <c r="BT863" i="1"/>
  <c r="BQ863" i="1"/>
  <c r="BP863" i="1"/>
  <c r="BO863" i="1"/>
  <c r="BL863" i="1"/>
  <c r="BK863" i="1"/>
  <c r="BJ863" i="1"/>
  <c r="BG863" i="1"/>
  <c r="BF863" i="1"/>
  <c r="BE863" i="1"/>
  <c r="BB863" i="1"/>
  <c r="BA863" i="1"/>
  <c r="AZ863" i="1"/>
  <c r="AW863" i="1"/>
  <c r="AV863" i="1"/>
  <c r="AU863" i="1"/>
  <c r="AR863" i="1"/>
  <c r="AQ863" i="1"/>
  <c r="AP863" i="1"/>
  <c r="AM863" i="1"/>
  <c r="AL863" i="1"/>
  <c r="AK863" i="1"/>
  <c r="AH863" i="1"/>
  <c r="AG863" i="1"/>
  <c r="AF863" i="1"/>
  <c r="AC863" i="1"/>
  <c r="AB863" i="1"/>
  <c r="AA863" i="1"/>
  <c r="X863" i="1"/>
  <c r="W863" i="1"/>
  <c r="V863" i="1"/>
  <c r="U863" i="1"/>
  <c r="S863" i="1"/>
  <c r="R863" i="1"/>
  <c r="Q863" i="1"/>
  <c r="P863" i="1"/>
  <c r="N863" i="1"/>
  <c r="M863" i="1"/>
  <c r="L863" i="1"/>
  <c r="K863" i="1"/>
  <c r="I863" i="1"/>
  <c r="H863" i="1"/>
  <c r="G863" i="1"/>
  <c r="F863" i="1"/>
  <c r="E863" i="1"/>
  <c r="D863" i="1"/>
  <c r="C863" i="1"/>
  <c r="A863" i="1"/>
  <c r="CH862" i="1"/>
  <c r="CC862" i="1"/>
  <c r="BY862" i="1"/>
  <c r="BV862" i="1"/>
  <c r="BU862" i="1"/>
  <c r="BT862" i="1"/>
  <c r="BQ862" i="1"/>
  <c r="BP862" i="1"/>
  <c r="BO862" i="1"/>
  <c r="BL862" i="1"/>
  <c r="BK862" i="1"/>
  <c r="BJ862" i="1"/>
  <c r="BG862" i="1"/>
  <c r="BF862" i="1"/>
  <c r="BE862" i="1"/>
  <c r="BB862" i="1"/>
  <c r="BA862" i="1"/>
  <c r="AZ862" i="1"/>
  <c r="AW862" i="1"/>
  <c r="AV862" i="1"/>
  <c r="AU862" i="1"/>
  <c r="AY862" i="1" s="1"/>
  <c r="AT862" i="1"/>
  <c r="AS862" i="1"/>
  <c r="AR862" i="1"/>
  <c r="AQ862" i="1"/>
  <c r="AP862" i="1"/>
  <c r="AM862" i="1"/>
  <c r="AL862" i="1"/>
  <c r="AK862" i="1"/>
  <c r="AO862" i="1" s="1"/>
  <c r="AJ862" i="1"/>
  <c r="AI862" i="1"/>
  <c r="AH862" i="1"/>
  <c r="AG862" i="1"/>
  <c r="AF862" i="1"/>
  <c r="AC862" i="1"/>
  <c r="AB862" i="1"/>
  <c r="AA862" i="1"/>
  <c r="X862" i="1"/>
  <c r="W862" i="1"/>
  <c r="V862" i="1"/>
  <c r="U862" i="1"/>
  <c r="S862" i="1"/>
  <c r="R862" i="1"/>
  <c r="Q862" i="1"/>
  <c r="P862" i="1"/>
  <c r="N862" i="1"/>
  <c r="M862" i="1"/>
  <c r="L862" i="1"/>
  <c r="K862" i="1"/>
  <c r="I862" i="1"/>
  <c r="H862" i="1"/>
  <c r="G862" i="1"/>
  <c r="F862" i="1"/>
  <c r="E862" i="1"/>
  <c r="D862" i="1"/>
  <c r="C862" i="1"/>
  <c r="A862" i="1"/>
  <c r="CH861" i="1"/>
  <c r="BY861" i="1"/>
  <c r="CC861" i="1" s="1"/>
  <c r="BV861" i="1"/>
  <c r="BU861" i="1"/>
  <c r="BX861" i="1" s="1"/>
  <c r="BT861" i="1"/>
  <c r="BQ861" i="1"/>
  <c r="BP861" i="1"/>
  <c r="BO861" i="1"/>
  <c r="BL861" i="1"/>
  <c r="BK861" i="1"/>
  <c r="BJ861" i="1"/>
  <c r="BN861" i="1" s="1"/>
  <c r="BG861" i="1"/>
  <c r="BF861" i="1"/>
  <c r="BE861" i="1"/>
  <c r="BB861" i="1"/>
  <c r="BA861" i="1"/>
  <c r="AZ861" i="1"/>
  <c r="AW861" i="1"/>
  <c r="AV861" i="1"/>
  <c r="AU861" i="1"/>
  <c r="AR861" i="1"/>
  <c r="AQ861" i="1"/>
  <c r="AP861" i="1"/>
  <c r="AM861" i="1"/>
  <c r="AL861" i="1"/>
  <c r="AK861" i="1"/>
  <c r="AH861" i="1"/>
  <c r="AG861" i="1"/>
  <c r="AF861" i="1"/>
  <c r="AC861" i="1"/>
  <c r="AB861" i="1"/>
  <c r="AA861" i="1"/>
  <c r="X861" i="1"/>
  <c r="W861" i="1"/>
  <c r="V861" i="1"/>
  <c r="U861" i="1"/>
  <c r="S861" i="1"/>
  <c r="R861" i="1"/>
  <c r="Q861" i="1"/>
  <c r="P861" i="1"/>
  <c r="N861" i="1"/>
  <c r="M861" i="1"/>
  <c r="L861" i="1"/>
  <c r="K861" i="1"/>
  <c r="I861" i="1"/>
  <c r="H861" i="1"/>
  <c r="G861" i="1"/>
  <c r="F861" i="1"/>
  <c r="E861" i="1"/>
  <c r="D861" i="1"/>
  <c r="C861" i="1"/>
  <c r="A861" i="1"/>
  <c r="BY860" i="1"/>
  <c r="BV860" i="1"/>
  <c r="BX860" i="1" s="1"/>
  <c r="BU860" i="1"/>
  <c r="BT860" i="1"/>
  <c r="BQ860" i="1"/>
  <c r="BP860" i="1"/>
  <c r="BO860" i="1"/>
  <c r="BL860" i="1"/>
  <c r="BK860" i="1"/>
  <c r="BJ860" i="1"/>
  <c r="BG860" i="1"/>
  <c r="BF860" i="1"/>
  <c r="BE860" i="1"/>
  <c r="BB860" i="1"/>
  <c r="BA860" i="1"/>
  <c r="AZ860" i="1"/>
  <c r="AW860" i="1"/>
  <c r="AV860" i="1"/>
  <c r="AU860" i="1"/>
  <c r="AR860" i="1"/>
  <c r="AQ860" i="1"/>
  <c r="AP860" i="1"/>
  <c r="AM860" i="1"/>
  <c r="AL860" i="1"/>
  <c r="AK860" i="1"/>
  <c r="AH860" i="1"/>
  <c r="AG860" i="1"/>
  <c r="AF860" i="1"/>
  <c r="AC860" i="1"/>
  <c r="AB860" i="1"/>
  <c r="AA860" i="1"/>
  <c r="X860" i="1"/>
  <c r="W860" i="1"/>
  <c r="V860" i="1"/>
  <c r="Z860" i="1" s="1"/>
  <c r="U860" i="1"/>
  <c r="S860" i="1"/>
  <c r="R860" i="1"/>
  <c r="Q860" i="1"/>
  <c r="P860" i="1"/>
  <c r="N860" i="1"/>
  <c r="M860" i="1"/>
  <c r="L860" i="1"/>
  <c r="K860" i="1"/>
  <c r="I860" i="1"/>
  <c r="H860" i="1"/>
  <c r="G860" i="1"/>
  <c r="F860" i="1"/>
  <c r="E860" i="1"/>
  <c r="D860" i="1"/>
  <c r="C860" i="1"/>
  <c r="A860" i="1"/>
  <c r="CH859" i="1"/>
  <c r="BY859" i="1"/>
  <c r="CC859" i="1" s="1"/>
  <c r="BV859" i="1"/>
  <c r="BU859" i="1"/>
  <c r="BT859" i="1"/>
  <c r="BQ859" i="1"/>
  <c r="BP859" i="1"/>
  <c r="BO859" i="1"/>
  <c r="BL859" i="1"/>
  <c r="BK859" i="1"/>
  <c r="BJ859" i="1"/>
  <c r="BG859" i="1"/>
  <c r="BF859" i="1"/>
  <c r="BE859" i="1"/>
  <c r="BB859" i="1"/>
  <c r="BA859" i="1"/>
  <c r="AZ859" i="1"/>
  <c r="AW859" i="1"/>
  <c r="AV859" i="1"/>
  <c r="AU859" i="1"/>
  <c r="AR859" i="1"/>
  <c r="AQ859" i="1"/>
  <c r="AP859" i="1"/>
  <c r="AN859" i="1"/>
  <c r="AM859" i="1"/>
  <c r="AL859" i="1"/>
  <c r="AK859" i="1"/>
  <c r="AH859" i="1"/>
  <c r="AG859" i="1"/>
  <c r="AF859" i="1"/>
  <c r="AC859" i="1"/>
  <c r="AB859" i="1"/>
  <c r="AA859" i="1"/>
  <c r="Y859" i="1"/>
  <c r="X859" i="1"/>
  <c r="W859" i="1"/>
  <c r="V859" i="1"/>
  <c r="U859" i="1"/>
  <c r="T859" i="1"/>
  <c r="S859" i="1"/>
  <c r="R859" i="1"/>
  <c r="Q859" i="1"/>
  <c r="P859" i="1"/>
  <c r="O859" i="1"/>
  <c r="N859" i="1"/>
  <c r="M859" i="1"/>
  <c r="L859" i="1"/>
  <c r="K859" i="1"/>
  <c r="J859" i="1"/>
  <c r="I859" i="1"/>
  <c r="H859" i="1"/>
  <c r="G859" i="1"/>
  <c r="F859" i="1"/>
  <c r="E859" i="1"/>
  <c r="D859" i="1"/>
  <c r="C859" i="1"/>
  <c r="A859" i="1"/>
  <c r="CH858" i="1"/>
  <c r="BY858" i="1"/>
  <c r="CC858" i="1" s="1"/>
  <c r="BV858" i="1"/>
  <c r="BU858" i="1"/>
  <c r="BT858" i="1"/>
  <c r="BQ858" i="1"/>
  <c r="BP858" i="1"/>
  <c r="BO858" i="1"/>
  <c r="BL858" i="1"/>
  <c r="BN858" i="1" s="1"/>
  <c r="BK858" i="1"/>
  <c r="BJ858" i="1"/>
  <c r="BG858" i="1"/>
  <c r="BF858" i="1"/>
  <c r="BE858" i="1"/>
  <c r="BB858" i="1"/>
  <c r="BA858" i="1"/>
  <c r="AZ858" i="1"/>
  <c r="AW858" i="1"/>
  <c r="AV858" i="1"/>
  <c r="AU858" i="1"/>
  <c r="AR858" i="1"/>
  <c r="AQ858" i="1"/>
  <c r="AP858" i="1"/>
  <c r="AM858" i="1"/>
  <c r="AL858" i="1"/>
  <c r="AK858" i="1"/>
  <c r="AH858" i="1"/>
  <c r="AG858" i="1"/>
  <c r="AF858" i="1"/>
  <c r="AC858" i="1"/>
  <c r="AB858" i="1"/>
  <c r="AA858" i="1"/>
  <c r="X858" i="1"/>
  <c r="W858" i="1"/>
  <c r="V858" i="1"/>
  <c r="U858" i="1"/>
  <c r="S858" i="1"/>
  <c r="R858" i="1"/>
  <c r="Q858" i="1"/>
  <c r="P858" i="1"/>
  <c r="N858" i="1"/>
  <c r="M858" i="1"/>
  <c r="L858" i="1"/>
  <c r="K858" i="1"/>
  <c r="I858" i="1"/>
  <c r="H858" i="1"/>
  <c r="G858" i="1"/>
  <c r="F858" i="1"/>
  <c r="E858" i="1"/>
  <c r="D858" i="1"/>
  <c r="C858" i="1"/>
  <c r="A858" i="1"/>
  <c r="CH857" i="1"/>
  <c r="BY857" i="1"/>
  <c r="CC857" i="1" s="1"/>
  <c r="BX857" i="1"/>
  <c r="BV857" i="1"/>
  <c r="BU857" i="1"/>
  <c r="BT857" i="1"/>
  <c r="BQ857" i="1"/>
  <c r="BP857" i="1"/>
  <c r="BO857" i="1"/>
  <c r="BL857" i="1"/>
  <c r="BK857" i="1"/>
  <c r="BJ857" i="1"/>
  <c r="BG857" i="1"/>
  <c r="BF857" i="1"/>
  <c r="BE857" i="1"/>
  <c r="BB857" i="1"/>
  <c r="BA857" i="1"/>
  <c r="AZ857" i="1"/>
  <c r="AW857" i="1"/>
  <c r="AV857" i="1"/>
  <c r="AU857" i="1"/>
  <c r="AR857" i="1"/>
  <c r="AQ857" i="1"/>
  <c r="AT857" i="1" s="1"/>
  <c r="AP857" i="1"/>
  <c r="AM857" i="1"/>
  <c r="AL857" i="1"/>
  <c r="AK857" i="1"/>
  <c r="AH857" i="1"/>
  <c r="AG857" i="1"/>
  <c r="AF857" i="1"/>
  <c r="AC857" i="1"/>
  <c r="AB857" i="1"/>
  <c r="AA857" i="1"/>
  <c r="X857" i="1"/>
  <c r="W857" i="1"/>
  <c r="V857" i="1"/>
  <c r="U857" i="1"/>
  <c r="S857" i="1"/>
  <c r="R857" i="1"/>
  <c r="Q857" i="1"/>
  <c r="P857" i="1"/>
  <c r="N857" i="1"/>
  <c r="M857" i="1"/>
  <c r="L857" i="1"/>
  <c r="K857" i="1"/>
  <c r="I857" i="1"/>
  <c r="H857" i="1"/>
  <c r="G857" i="1"/>
  <c r="F857" i="1"/>
  <c r="E857" i="1"/>
  <c r="D857" i="1"/>
  <c r="C857" i="1"/>
  <c r="A857" i="1"/>
  <c r="CH856" i="1"/>
  <c r="BY856" i="1"/>
  <c r="CC856" i="1" s="1"/>
  <c r="BV856" i="1"/>
  <c r="BU856" i="1"/>
  <c r="BT856" i="1"/>
  <c r="BQ856" i="1"/>
  <c r="BP856" i="1"/>
  <c r="BO856" i="1"/>
  <c r="BL856" i="1"/>
  <c r="BK856" i="1"/>
  <c r="BJ856" i="1"/>
  <c r="BG856" i="1"/>
  <c r="BF856" i="1"/>
  <c r="BE856" i="1"/>
  <c r="BB856" i="1"/>
  <c r="BA856" i="1"/>
  <c r="AZ856" i="1"/>
  <c r="AW856" i="1"/>
  <c r="AV856" i="1"/>
  <c r="AU856" i="1"/>
  <c r="AR856" i="1"/>
  <c r="AQ856" i="1"/>
  <c r="AP856" i="1"/>
  <c r="AM856" i="1"/>
  <c r="AL856" i="1"/>
  <c r="AK856" i="1"/>
  <c r="AH856" i="1"/>
  <c r="AG856" i="1"/>
  <c r="AF856" i="1"/>
  <c r="AD856" i="1"/>
  <c r="AC856" i="1"/>
  <c r="AB856" i="1"/>
  <c r="AA856" i="1"/>
  <c r="X856" i="1"/>
  <c r="W856" i="1"/>
  <c r="V856" i="1"/>
  <c r="U856" i="1"/>
  <c r="S856" i="1"/>
  <c r="R856" i="1"/>
  <c r="Q856" i="1"/>
  <c r="P856" i="1"/>
  <c r="N856" i="1"/>
  <c r="M856" i="1"/>
  <c r="L856" i="1"/>
  <c r="K856" i="1"/>
  <c r="I856" i="1"/>
  <c r="H856" i="1"/>
  <c r="G856" i="1"/>
  <c r="F856" i="1"/>
  <c r="E856" i="1"/>
  <c r="D856" i="1"/>
  <c r="C856" i="1"/>
  <c r="A856" i="1"/>
  <c r="BY855" i="1"/>
  <c r="BV855" i="1"/>
  <c r="BU855" i="1"/>
  <c r="BT855" i="1"/>
  <c r="BQ855" i="1"/>
  <c r="BP855" i="1"/>
  <c r="BO855" i="1"/>
  <c r="BL855" i="1"/>
  <c r="BK855" i="1"/>
  <c r="BJ855" i="1"/>
  <c r="BG855" i="1"/>
  <c r="BF855" i="1"/>
  <c r="BE855" i="1"/>
  <c r="BB855" i="1"/>
  <c r="BA855" i="1"/>
  <c r="AZ855" i="1"/>
  <c r="AW855" i="1"/>
  <c r="AV855" i="1"/>
  <c r="AU855" i="1"/>
  <c r="AR855" i="1"/>
  <c r="AQ855" i="1"/>
  <c r="AP855" i="1"/>
  <c r="AM855" i="1"/>
  <c r="AL855" i="1"/>
  <c r="AK855" i="1"/>
  <c r="AH855" i="1"/>
  <c r="AG855" i="1"/>
  <c r="AF855" i="1"/>
  <c r="AC855" i="1"/>
  <c r="AB855" i="1"/>
  <c r="AA855" i="1"/>
  <c r="X855" i="1"/>
  <c r="W855" i="1"/>
  <c r="V855" i="1"/>
  <c r="U855" i="1"/>
  <c r="S855" i="1"/>
  <c r="R855" i="1"/>
  <c r="Q855" i="1"/>
  <c r="P855" i="1"/>
  <c r="N855" i="1"/>
  <c r="M855" i="1"/>
  <c r="L855" i="1"/>
  <c r="K855" i="1"/>
  <c r="I855" i="1"/>
  <c r="H855" i="1"/>
  <c r="G855" i="1"/>
  <c r="F855" i="1"/>
  <c r="E855" i="1"/>
  <c r="D855" i="1"/>
  <c r="C855" i="1"/>
  <c r="A855" i="1"/>
  <c r="BY854" i="1"/>
  <c r="BV854" i="1"/>
  <c r="BU854" i="1"/>
  <c r="BT854" i="1"/>
  <c r="BQ854" i="1"/>
  <c r="BP854" i="1"/>
  <c r="BO854" i="1"/>
  <c r="BL854" i="1"/>
  <c r="BK854" i="1"/>
  <c r="BJ854" i="1"/>
  <c r="BG854" i="1"/>
  <c r="BF854" i="1"/>
  <c r="BI854" i="1" s="1"/>
  <c r="BI119" i="1" s="1"/>
  <c r="BI941" i="1" s="1"/>
  <c r="BE854" i="1"/>
  <c r="BB854" i="1"/>
  <c r="BA854" i="1"/>
  <c r="AZ854" i="1"/>
  <c r="AW854" i="1"/>
  <c r="AV854" i="1"/>
  <c r="AU854" i="1"/>
  <c r="AY854" i="1" s="1"/>
  <c r="AY119" i="1" s="1"/>
  <c r="AY941" i="1" s="1"/>
  <c r="AR854" i="1"/>
  <c r="AQ854" i="1"/>
  <c r="AP854" i="1"/>
  <c r="AM854" i="1"/>
  <c r="AL854" i="1"/>
  <c r="AK854" i="1"/>
  <c r="AH854" i="1"/>
  <c r="AG854" i="1"/>
  <c r="AF854" i="1"/>
  <c r="AC854" i="1"/>
  <c r="AB854" i="1"/>
  <c r="AA854" i="1"/>
  <c r="X854" i="1"/>
  <c r="W854" i="1"/>
  <c r="V854" i="1"/>
  <c r="U854" i="1"/>
  <c r="S854" i="1"/>
  <c r="R854" i="1"/>
  <c r="Q854" i="1"/>
  <c r="P854" i="1"/>
  <c r="N854" i="1"/>
  <c r="M854" i="1"/>
  <c r="L854" i="1"/>
  <c r="K854" i="1"/>
  <c r="I854" i="1"/>
  <c r="H854" i="1"/>
  <c r="G854" i="1"/>
  <c r="F854" i="1"/>
  <c r="E854" i="1"/>
  <c r="D854" i="1"/>
  <c r="C854" i="1"/>
  <c r="A854" i="1"/>
  <c r="CH853" i="1"/>
  <c r="BY853" i="1"/>
  <c r="CC853" i="1" s="1"/>
  <c r="BV853" i="1"/>
  <c r="BU853" i="1"/>
  <c r="BT853" i="1"/>
  <c r="BX853" i="1" s="1"/>
  <c r="BQ853" i="1"/>
  <c r="BP853" i="1"/>
  <c r="BO853" i="1"/>
  <c r="BL853" i="1"/>
  <c r="BK853" i="1"/>
  <c r="BJ853" i="1"/>
  <c r="BG853" i="1"/>
  <c r="BF853" i="1"/>
  <c r="BE853" i="1"/>
  <c r="BC853" i="1"/>
  <c r="BB853" i="1"/>
  <c r="BA853" i="1"/>
  <c r="AZ853" i="1"/>
  <c r="AX853" i="1"/>
  <c r="AW853" i="1"/>
  <c r="AV853" i="1"/>
  <c r="AU853" i="1"/>
  <c r="AS853" i="1"/>
  <c r="AR853" i="1"/>
  <c r="AQ853" i="1"/>
  <c r="AP853" i="1"/>
  <c r="AN853" i="1"/>
  <c r="AM853" i="1"/>
  <c r="AL853" i="1"/>
  <c r="AK853" i="1"/>
  <c r="AI853" i="1"/>
  <c r="AH853" i="1"/>
  <c r="AG853" i="1"/>
  <c r="AF853" i="1"/>
  <c r="AD853" i="1"/>
  <c r="AC853" i="1"/>
  <c r="AB853" i="1"/>
  <c r="AA853" i="1"/>
  <c r="Y853" i="1"/>
  <c r="X853" i="1"/>
  <c r="W853" i="1"/>
  <c r="V853" i="1"/>
  <c r="U853" i="1"/>
  <c r="T853" i="1"/>
  <c r="S853" i="1"/>
  <c r="R853" i="1"/>
  <c r="Q853" i="1"/>
  <c r="P853" i="1"/>
  <c r="O853" i="1"/>
  <c r="N853" i="1"/>
  <c r="M853" i="1"/>
  <c r="L853" i="1"/>
  <c r="K853" i="1"/>
  <c r="J853" i="1"/>
  <c r="I853" i="1"/>
  <c r="H853" i="1"/>
  <c r="G853" i="1"/>
  <c r="F853" i="1"/>
  <c r="E853" i="1"/>
  <c r="D853" i="1"/>
  <c r="C853" i="1"/>
  <c r="A853" i="1"/>
  <c r="CH852" i="1"/>
  <c r="BY852" i="1"/>
  <c r="CC852" i="1" s="1"/>
  <c r="BV852" i="1"/>
  <c r="BU852" i="1"/>
  <c r="BT852" i="1"/>
  <c r="BQ852" i="1"/>
  <c r="BP852" i="1"/>
  <c r="BO852" i="1"/>
  <c r="BM852" i="1"/>
  <c r="BL852" i="1"/>
  <c r="BK852" i="1"/>
  <c r="BJ852" i="1"/>
  <c r="BG852" i="1"/>
  <c r="BF852" i="1"/>
  <c r="BE852" i="1"/>
  <c r="BB852" i="1"/>
  <c r="BA852" i="1"/>
  <c r="AZ852" i="1"/>
  <c r="AW852" i="1"/>
  <c r="AV852" i="1"/>
  <c r="AU852" i="1"/>
  <c r="AR852" i="1"/>
  <c r="AQ852" i="1"/>
  <c r="AP852" i="1"/>
  <c r="AM852" i="1"/>
  <c r="AL852" i="1"/>
  <c r="AK852" i="1"/>
  <c r="AH852" i="1"/>
  <c r="AG852" i="1"/>
  <c r="AF852" i="1"/>
  <c r="AD852" i="1"/>
  <c r="AC852" i="1"/>
  <c r="AB852" i="1"/>
  <c r="AA852" i="1"/>
  <c r="X852" i="1"/>
  <c r="W852" i="1"/>
  <c r="V852" i="1"/>
  <c r="U852" i="1"/>
  <c r="S852" i="1"/>
  <c r="R852" i="1"/>
  <c r="Q852" i="1"/>
  <c r="P852" i="1"/>
  <c r="N852" i="1"/>
  <c r="M852" i="1"/>
  <c r="L852" i="1"/>
  <c r="K852" i="1"/>
  <c r="I852" i="1"/>
  <c r="H852" i="1"/>
  <c r="G852" i="1"/>
  <c r="F852" i="1"/>
  <c r="E852" i="1"/>
  <c r="D852" i="1"/>
  <c r="C852" i="1"/>
  <c r="A852" i="1"/>
  <c r="BY851" i="1"/>
  <c r="BV851" i="1"/>
  <c r="BU851" i="1"/>
  <c r="BT851" i="1"/>
  <c r="BQ851" i="1"/>
  <c r="BP851" i="1"/>
  <c r="BO851" i="1"/>
  <c r="BM851" i="1"/>
  <c r="BL851" i="1"/>
  <c r="BK851" i="1"/>
  <c r="BJ851" i="1"/>
  <c r="BG851" i="1"/>
  <c r="BF851" i="1"/>
  <c r="BE851" i="1"/>
  <c r="BC851" i="1"/>
  <c r="BB851" i="1"/>
  <c r="BA851" i="1"/>
  <c r="AZ851" i="1"/>
  <c r="AW851" i="1"/>
  <c r="AV851" i="1"/>
  <c r="AU851" i="1"/>
  <c r="AR851" i="1"/>
  <c r="AQ851" i="1"/>
  <c r="AP851" i="1"/>
  <c r="AM851" i="1"/>
  <c r="AL851" i="1"/>
  <c r="AK851" i="1"/>
  <c r="AH851" i="1"/>
  <c r="AG851" i="1"/>
  <c r="AF851" i="1"/>
  <c r="AC851" i="1"/>
  <c r="AB851" i="1"/>
  <c r="AA851" i="1"/>
  <c r="X851" i="1"/>
  <c r="W851" i="1"/>
  <c r="V851" i="1"/>
  <c r="U851" i="1"/>
  <c r="S851" i="1"/>
  <c r="R851" i="1"/>
  <c r="Q851" i="1"/>
  <c r="P851" i="1"/>
  <c r="N851" i="1"/>
  <c r="M851" i="1"/>
  <c r="L851" i="1"/>
  <c r="K851" i="1"/>
  <c r="I851" i="1"/>
  <c r="H851" i="1"/>
  <c r="G851" i="1"/>
  <c r="F851" i="1"/>
  <c r="E851" i="1"/>
  <c r="D851" i="1"/>
  <c r="C851" i="1"/>
  <c r="A851" i="1"/>
  <c r="A850" i="1"/>
  <c r="BW847" i="1"/>
  <c r="BW919" i="1" s="1"/>
  <c r="BR847" i="1"/>
  <c r="BR919" i="1" s="1"/>
  <c r="BM847" i="1"/>
  <c r="BH847" i="1"/>
  <c r="BH919" i="1" s="1"/>
  <c r="O847" i="1"/>
  <c r="J847" i="1"/>
  <c r="BR846" i="1"/>
  <c r="BM846" i="1"/>
  <c r="O846" i="1"/>
  <c r="J846" i="1"/>
  <c r="J918" i="1" s="1"/>
  <c r="M843" i="1"/>
  <c r="N843" i="1" s="1"/>
  <c r="O843" i="1" s="1"/>
  <c r="P843" i="1" s="1"/>
  <c r="G841" i="1"/>
  <c r="BW840" i="1"/>
  <c r="BW912" i="1" s="1"/>
  <c r="BR840" i="1"/>
  <c r="BR912" i="1" s="1"/>
  <c r="BM840" i="1"/>
  <c r="BM912" i="1" s="1"/>
  <c r="BH840" i="1"/>
  <c r="BH912" i="1" s="1"/>
  <c r="BC840" i="1"/>
  <c r="BC912" i="1" s="1"/>
  <c r="AX840" i="1"/>
  <c r="AS840" i="1"/>
  <c r="AS912" i="1" s="1"/>
  <c r="AT912" i="1" s="1"/>
  <c r="AN840" i="1"/>
  <c r="AN912" i="1" s="1"/>
  <c r="AI840" i="1"/>
  <c r="AI912" i="1" s="1"/>
  <c r="AJ912" i="1" s="1"/>
  <c r="AD840" i="1"/>
  <c r="AD912" i="1" s="1"/>
  <c r="Y840" i="1"/>
  <c r="Y912" i="1" s="1"/>
  <c r="T840" i="1"/>
  <c r="T912" i="1" s="1"/>
  <c r="O840" i="1"/>
  <c r="O912" i="1" s="1"/>
  <c r="J840" i="1"/>
  <c r="J912" i="1" s="1"/>
  <c r="BY838" i="1"/>
  <c r="BX838" i="1"/>
  <c r="BV838" i="1"/>
  <c r="BU838" i="1"/>
  <c r="BT838" i="1"/>
  <c r="BS838" i="1"/>
  <c r="BQ838" i="1"/>
  <c r="BP838" i="1"/>
  <c r="BO838" i="1"/>
  <c r="BN838" i="1"/>
  <c r="BL838" i="1"/>
  <c r="BL841" i="1" s="1"/>
  <c r="BK838" i="1"/>
  <c r="BK841" i="1" s="1"/>
  <c r="BJ838" i="1"/>
  <c r="BI838" i="1"/>
  <c r="BG838" i="1"/>
  <c r="BF838" i="1"/>
  <c r="BE838" i="1"/>
  <c r="BD838" i="1"/>
  <c r="BB838" i="1"/>
  <c r="BA838" i="1"/>
  <c r="AZ838" i="1"/>
  <c r="AY838" i="1"/>
  <c r="AW838" i="1"/>
  <c r="AV838" i="1"/>
  <c r="AU838" i="1"/>
  <c r="AT838" i="1"/>
  <c r="AR838" i="1"/>
  <c r="AQ838" i="1"/>
  <c r="AP838" i="1"/>
  <c r="AO838" i="1"/>
  <c r="AM838" i="1"/>
  <c r="AL838" i="1"/>
  <c r="AK838" i="1"/>
  <c r="AJ838" i="1"/>
  <c r="AJ841" i="1" s="1"/>
  <c r="AH838" i="1"/>
  <c r="AG838" i="1"/>
  <c r="AF838" i="1"/>
  <c r="AE838" i="1"/>
  <c r="AC838" i="1"/>
  <c r="AB838" i="1"/>
  <c r="AA838" i="1"/>
  <c r="Z838" i="1"/>
  <c r="X838" i="1"/>
  <c r="X841" i="1" s="1"/>
  <c r="W838" i="1"/>
  <c r="V838" i="1"/>
  <c r="U838" i="1"/>
  <c r="S838" i="1"/>
  <c r="R838" i="1"/>
  <c r="Q838" i="1"/>
  <c r="P838" i="1"/>
  <c r="P841" i="1" s="1"/>
  <c r="N838" i="1"/>
  <c r="M838" i="1"/>
  <c r="L838" i="1"/>
  <c r="K838" i="1"/>
  <c r="I838" i="1"/>
  <c r="H838" i="1"/>
  <c r="G838" i="1"/>
  <c r="F838" i="1"/>
  <c r="E838" i="1"/>
  <c r="D838" i="1"/>
  <c r="C838" i="1"/>
  <c r="BW837" i="1"/>
  <c r="BW909" i="1" s="1"/>
  <c r="BR837" i="1"/>
  <c r="BR909" i="1" s="1"/>
  <c r="BM837" i="1"/>
  <c r="BM909" i="1" s="1"/>
  <c r="BH837" i="1"/>
  <c r="BH909" i="1" s="1"/>
  <c r="BI909" i="1" s="1"/>
  <c r="BC837" i="1"/>
  <c r="BC909" i="1" s="1"/>
  <c r="AX837" i="1"/>
  <c r="AX909" i="1" s="1"/>
  <c r="AS837" i="1"/>
  <c r="AS909" i="1" s="1"/>
  <c r="AT909" i="1" s="1"/>
  <c r="AN837" i="1"/>
  <c r="AN909" i="1" s="1"/>
  <c r="AI837" i="1"/>
  <c r="AI909" i="1" s="1"/>
  <c r="AD837" i="1"/>
  <c r="AD909" i="1" s="1"/>
  <c r="Y837" i="1"/>
  <c r="Y909" i="1" s="1"/>
  <c r="T837" i="1"/>
  <c r="T909" i="1" s="1"/>
  <c r="O837" i="1"/>
  <c r="O909" i="1" s="1"/>
  <c r="J837" i="1"/>
  <c r="J909" i="1" s="1"/>
  <c r="BW836" i="1"/>
  <c r="BW908" i="1" s="1"/>
  <c r="BR836" i="1"/>
  <c r="BR908" i="1" s="1"/>
  <c r="BM836" i="1"/>
  <c r="BM908" i="1" s="1"/>
  <c r="BH836" i="1"/>
  <c r="BH908" i="1" s="1"/>
  <c r="BC836" i="1"/>
  <c r="AX836" i="1"/>
  <c r="AX908" i="1" s="1"/>
  <c r="BW835" i="1"/>
  <c r="BW907" i="1" s="1"/>
  <c r="BR835" i="1"/>
  <c r="BR907" i="1" s="1"/>
  <c r="BM835" i="1"/>
  <c r="BM907" i="1" s="1"/>
  <c r="BH835" i="1"/>
  <c r="BH907" i="1" s="1"/>
  <c r="BC835" i="1"/>
  <c r="BC907" i="1" s="1"/>
  <c r="AX835" i="1"/>
  <c r="AX907" i="1" s="1"/>
  <c r="AS835" i="1"/>
  <c r="AS907" i="1" s="1"/>
  <c r="AN835" i="1"/>
  <c r="AN907" i="1" s="1"/>
  <c r="AI835" i="1"/>
  <c r="AI907" i="1" s="1"/>
  <c r="AD835" i="1"/>
  <c r="AD907" i="1" s="1"/>
  <c r="BW834" i="1"/>
  <c r="BW906" i="1" s="1"/>
  <c r="BR834" i="1"/>
  <c r="BR906" i="1" s="1"/>
  <c r="BM834" i="1"/>
  <c r="BM906" i="1" s="1"/>
  <c r="BH834" i="1"/>
  <c r="BH906" i="1" s="1"/>
  <c r="BC834" i="1"/>
  <c r="BC906" i="1" s="1"/>
  <c r="AX834" i="1"/>
  <c r="AX906" i="1" s="1"/>
  <c r="AS834" i="1"/>
  <c r="AS906" i="1" s="1"/>
  <c r="AN834" i="1"/>
  <c r="AN906" i="1" s="1"/>
  <c r="AI834" i="1"/>
  <c r="AI906" i="1" s="1"/>
  <c r="AD834" i="1"/>
  <c r="AD906" i="1" s="1"/>
  <c r="AE906" i="1" s="1"/>
  <c r="Y834" i="1"/>
  <c r="Y906" i="1" s="1"/>
  <c r="T834" i="1"/>
  <c r="T906" i="1" s="1"/>
  <c r="O834" i="1"/>
  <c r="O906" i="1" s="1"/>
  <c r="J834" i="1"/>
  <c r="J906" i="1" s="1"/>
  <c r="BW833" i="1"/>
  <c r="BW905" i="1" s="1"/>
  <c r="BR833" i="1"/>
  <c r="BR905" i="1" s="1"/>
  <c r="BM833" i="1"/>
  <c r="BM905" i="1" s="1"/>
  <c r="BN905" i="1" s="1"/>
  <c r="BH833" i="1"/>
  <c r="BH905" i="1" s="1"/>
  <c r="BC833" i="1"/>
  <c r="BC905" i="1" s="1"/>
  <c r="AX833" i="1"/>
  <c r="AX905" i="1" s="1"/>
  <c r="AS833" i="1"/>
  <c r="AS905" i="1" s="1"/>
  <c r="AN833" i="1"/>
  <c r="AN905" i="1" s="1"/>
  <c r="AI833" i="1"/>
  <c r="AI905" i="1" s="1"/>
  <c r="AD833" i="1"/>
  <c r="AD905" i="1" s="1"/>
  <c r="J833" i="1"/>
  <c r="J905" i="1" s="1"/>
  <c r="BW832" i="1"/>
  <c r="BW904" i="1" s="1"/>
  <c r="BR832" i="1"/>
  <c r="BR904" i="1" s="1"/>
  <c r="BS904" i="1" s="1"/>
  <c r="BM832" i="1"/>
  <c r="BM904" i="1" s="1"/>
  <c r="BH832" i="1"/>
  <c r="BH904" i="1" s="1"/>
  <c r="BC832" i="1"/>
  <c r="BC904" i="1" s="1"/>
  <c r="AX832" i="1"/>
  <c r="AX904" i="1" s="1"/>
  <c r="AS832" i="1"/>
  <c r="AS904" i="1" s="1"/>
  <c r="AT904" i="1" s="1"/>
  <c r="AI832" i="1"/>
  <c r="AI904" i="1" s="1"/>
  <c r="AD832" i="1"/>
  <c r="AD904" i="1" s="1"/>
  <c r="AE904" i="1" s="1"/>
  <c r="Y832" i="1"/>
  <c r="Y904" i="1" s="1"/>
  <c r="T832" i="1"/>
  <c r="T904" i="1" s="1"/>
  <c r="O832" i="1"/>
  <c r="J832" i="1"/>
  <c r="J904" i="1" s="1"/>
  <c r="BW831" i="1"/>
  <c r="BW903" i="1" s="1"/>
  <c r="BR831" i="1"/>
  <c r="BR903" i="1" s="1"/>
  <c r="BM831" i="1"/>
  <c r="BM903" i="1" s="1"/>
  <c r="BN903" i="1" s="1"/>
  <c r="BH831" i="1"/>
  <c r="BH903" i="1" s="1"/>
  <c r="BC831" i="1"/>
  <c r="BC903" i="1" s="1"/>
  <c r="AX831" i="1"/>
  <c r="AX903" i="1" s="1"/>
  <c r="AS831" i="1"/>
  <c r="AN831" i="1"/>
  <c r="AN903" i="1" s="1"/>
  <c r="AI831" i="1"/>
  <c r="AI903" i="1" s="1"/>
  <c r="AD831" i="1"/>
  <c r="AD903" i="1" s="1"/>
  <c r="Y831" i="1"/>
  <c r="Y903" i="1" s="1"/>
  <c r="Y718" i="1" s="1"/>
  <c r="Y73" i="9" s="1"/>
  <c r="T831" i="1"/>
  <c r="T903" i="1" s="1"/>
  <c r="O831" i="1"/>
  <c r="O903" i="1" s="1"/>
  <c r="J831" i="1"/>
  <c r="J903" i="1" s="1"/>
  <c r="BW830" i="1"/>
  <c r="BW902" i="1" s="1"/>
  <c r="BR830" i="1"/>
  <c r="BM830" i="1"/>
  <c r="BM902" i="1" s="1"/>
  <c r="BN902" i="1" s="1"/>
  <c r="BN714" i="1" s="1"/>
  <c r="BN69" i="9" s="1"/>
  <c r="BH830" i="1"/>
  <c r="BH902" i="1" s="1"/>
  <c r="BH714" i="1" s="1"/>
  <c r="BH69" i="9" s="1"/>
  <c r="BC830" i="1"/>
  <c r="BC902" i="1" s="1"/>
  <c r="AX830" i="1"/>
  <c r="AX902" i="1" s="1"/>
  <c r="AX714" i="1" s="1"/>
  <c r="AX69" i="9" s="1"/>
  <c r="AS830" i="1"/>
  <c r="AS902" i="1" s="1"/>
  <c r="AN830" i="1"/>
  <c r="AN902" i="1" s="1"/>
  <c r="AI830" i="1"/>
  <c r="AI902" i="1" s="1"/>
  <c r="AD830" i="1"/>
  <c r="AD902" i="1" s="1"/>
  <c r="Y830" i="1"/>
  <c r="Y902" i="1" s="1"/>
  <c r="Y714" i="1" s="1"/>
  <c r="Y69" i="9" s="1"/>
  <c r="T830" i="1"/>
  <c r="T902" i="1" s="1"/>
  <c r="O830" i="1"/>
  <c r="O902" i="1" s="1"/>
  <c r="O714" i="1" s="1"/>
  <c r="O69" i="9" s="1"/>
  <c r="J830" i="1"/>
  <c r="J902" i="1" s="1"/>
  <c r="J714" i="1" s="1"/>
  <c r="J69" i="9" s="1"/>
  <c r="BW829" i="1"/>
  <c r="BW901" i="1" s="1"/>
  <c r="BR829" i="1"/>
  <c r="BR901" i="1" s="1"/>
  <c r="BM829" i="1"/>
  <c r="BM901" i="1" s="1"/>
  <c r="BN901" i="1" s="1"/>
  <c r="BH829" i="1"/>
  <c r="BH901" i="1" s="1"/>
  <c r="BC829" i="1"/>
  <c r="BC901" i="1" s="1"/>
  <c r="AX829" i="1"/>
  <c r="AX901" i="1" s="1"/>
  <c r="AS829" i="1"/>
  <c r="AS901" i="1" s="1"/>
  <c r="AN829" i="1"/>
  <c r="AN901" i="1" s="1"/>
  <c r="AI829" i="1"/>
  <c r="AI901" i="1" s="1"/>
  <c r="AD829" i="1"/>
  <c r="AD901" i="1" s="1"/>
  <c r="BW828" i="1"/>
  <c r="BR828" i="1"/>
  <c r="BR900" i="1" s="1"/>
  <c r="BM828" i="1"/>
  <c r="BM900" i="1" s="1"/>
  <c r="BH828" i="1"/>
  <c r="BH900" i="1" s="1"/>
  <c r="BI900" i="1" s="1"/>
  <c r="BC828" i="1"/>
  <c r="BC900" i="1" s="1"/>
  <c r="AX828" i="1"/>
  <c r="AX900" i="1" s="1"/>
  <c r="AS828" i="1"/>
  <c r="AS900" i="1" s="1"/>
  <c r="AT900" i="1" s="1"/>
  <c r="AN828" i="1"/>
  <c r="AN900" i="1" s="1"/>
  <c r="AI828" i="1"/>
  <c r="AI900" i="1" s="1"/>
  <c r="AD828" i="1"/>
  <c r="AD900" i="1" s="1"/>
  <c r="Y828" i="1"/>
  <c r="Y900" i="1" s="1"/>
  <c r="T828" i="1"/>
  <c r="T900" i="1" s="1"/>
  <c r="O828" i="1"/>
  <c r="O900" i="1" s="1"/>
  <c r="J828" i="1"/>
  <c r="J900" i="1" s="1"/>
  <c r="BW827" i="1"/>
  <c r="BW899" i="1" s="1"/>
  <c r="BR827" i="1"/>
  <c r="BR899" i="1" s="1"/>
  <c r="BM827" i="1"/>
  <c r="BM899" i="1" s="1"/>
  <c r="BH827" i="1"/>
  <c r="BH899" i="1" s="1"/>
  <c r="BC827" i="1"/>
  <c r="BC899" i="1" s="1"/>
  <c r="BW826" i="1"/>
  <c r="BW898" i="1" s="1"/>
  <c r="BX898" i="1" s="1"/>
  <c r="BR826" i="1"/>
  <c r="BR898" i="1" s="1"/>
  <c r="BM826" i="1"/>
  <c r="BM898" i="1" s="1"/>
  <c r="BH826" i="1"/>
  <c r="BH898" i="1" s="1"/>
  <c r="BC826" i="1"/>
  <c r="BC898" i="1" s="1"/>
  <c r="AX826" i="1"/>
  <c r="AX898" i="1" s="1"/>
  <c r="AS826" i="1"/>
  <c r="AS898" i="1" s="1"/>
  <c r="AN826" i="1"/>
  <c r="AN898" i="1" s="1"/>
  <c r="AI826" i="1"/>
  <c r="AI898" i="1" s="1"/>
  <c r="AJ898" i="1" s="1"/>
  <c r="AD826" i="1"/>
  <c r="AD898" i="1" s="1"/>
  <c r="O826" i="1"/>
  <c r="O898" i="1" s="1"/>
  <c r="J826" i="1"/>
  <c r="J898" i="1" s="1"/>
  <c r="BW825" i="1"/>
  <c r="BW897" i="1" s="1"/>
  <c r="BR825" i="1"/>
  <c r="BR897" i="1" s="1"/>
  <c r="BM825" i="1"/>
  <c r="BM897" i="1" s="1"/>
  <c r="BH825" i="1"/>
  <c r="BC825" i="1"/>
  <c r="BC897" i="1" s="1"/>
  <c r="AX825" i="1"/>
  <c r="AX897" i="1" s="1"/>
  <c r="AS825" i="1"/>
  <c r="AS897" i="1" s="1"/>
  <c r="AT897" i="1" s="1"/>
  <c r="AN825" i="1"/>
  <c r="AN897" i="1" s="1"/>
  <c r="AI825" i="1"/>
  <c r="AI897" i="1" s="1"/>
  <c r="AD825" i="1"/>
  <c r="AD897" i="1" s="1"/>
  <c r="Y825" i="1"/>
  <c r="Y897" i="1" s="1"/>
  <c r="T825" i="1"/>
  <c r="T897" i="1" s="1"/>
  <c r="O825" i="1"/>
  <c r="O897" i="1" s="1"/>
  <c r="J825" i="1"/>
  <c r="J897" i="1" s="1"/>
  <c r="BW824" i="1"/>
  <c r="BW896" i="1" s="1"/>
  <c r="BR824" i="1"/>
  <c r="BR896" i="1" s="1"/>
  <c r="BM824" i="1"/>
  <c r="BM896" i="1" s="1"/>
  <c r="BH824" i="1"/>
  <c r="BH896" i="1" s="1"/>
  <c r="BC824" i="1"/>
  <c r="BC896" i="1" s="1"/>
  <c r="AX824" i="1"/>
  <c r="AX896" i="1" s="1"/>
  <c r="AX717" i="1" s="1"/>
  <c r="AX74" i="9" s="1"/>
  <c r="AS824" i="1"/>
  <c r="AS896" i="1" s="1"/>
  <c r="AN824" i="1"/>
  <c r="AN896" i="1" s="1"/>
  <c r="AI824" i="1"/>
  <c r="AI896" i="1" s="1"/>
  <c r="AD824" i="1"/>
  <c r="AD896" i="1" s="1"/>
  <c r="Y824" i="1"/>
  <c r="Y896" i="1" s="1"/>
  <c r="T824" i="1"/>
  <c r="T896" i="1" s="1"/>
  <c r="O824" i="1"/>
  <c r="O896" i="1" s="1"/>
  <c r="J824" i="1"/>
  <c r="J896" i="1" s="1"/>
  <c r="BW823" i="1"/>
  <c r="BW895" i="1" s="1"/>
  <c r="BX895" i="1" s="1"/>
  <c r="BR823" i="1"/>
  <c r="BR895" i="1" s="1"/>
  <c r="BM823" i="1"/>
  <c r="BM895" i="1" s="1"/>
  <c r="BH823" i="1"/>
  <c r="BH895" i="1" s="1"/>
  <c r="BC823" i="1"/>
  <c r="BC895" i="1" s="1"/>
  <c r="AX823" i="1"/>
  <c r="AX895" i="1" s="1"/>
  <c r="BW822" i="1"/>
  <c r="BR822" i="1"/>
  <c r="BR894" i="1" s="1"/>
  <c r="BM822" i="1"/>
  <c r="BM894" i="1" s="1"/>
  <c r="BH822" i="1"/>
  <c r="BC822" i="1"/>
  <c r="BC894" i="1" s="1"/>
  <c r="AX822" i="1"/>
  <c r="AX894" i="1" s="1"/>
  <c r="AS822" i="1"/>
  <c r="AS894" i="1" s="1"/>
  <c r="AN822" i="1"/>
  <c r="AN894" i="1" s="1"/>
  <c r="AI822" i="1"/>
  <c r="AI894" i="1" s="1"/>
  <c r="AD822" i="1"/>
  <c r="AD894" i="1" s="1"/>
  <c r="Y822" i="1"/>
  <c r="Y894" i="1" s="1"/>
  <c r="Z894" i="1" s="1"/>
  <c r="T822" i="1"/>
  <c r="T894" i="1" s="1"/>
  <c r="O822" i="1"/>
  <c r="O894" i="1" s="1"/>
  <c r="J822" i="1"/>
  <c r="J894" i="1" s="1"/>
  <c r="BW821" i="1"/>
  <c r="BR821" i="1"/>
  <c r="BR893" i="1" s="1"/>
  <c r="BM821" i="1"/>
  <c r="BH821" i="1"/>
  <c r="BH893" i="1" s="1"/>
  <c r="BC821" i="1"/>
  <c r="AX821" i="1"/>
  <c r="AS821" i="1"/>
  <c r="AN821" i="1"/>
  <c r="AI821" i="1"/>
  <c r="AI893" i="1" s="1"/>
  <c r="AD821" i="1"/>
  <c r="Y821" i="1"/>
  <c r="Y893" i="1" s="1"/>
  <c r="T821" i="1"/>
  <c r="T893" i="1" s="1"/>
  <c r="T718" i="1" s="1"/>
  <c r="T73" i="9" s="1"/>
  <c r="O821" i="1"/>
  <c r="J821" i="1"/>
  <c r="J893" i="1" s="1"/>
  <c r="BY818" i="1"/>
  <c r="BS818" i="1"/>
  <c r="BO818" i="1"/>
  <c r="BN818" i="1"/>
  <c r="BL818" i="1"/>
  <c r="BK818" i="1"/>
  <c r="BJ818" i="1"/>
  <c r="BI818" i="1"/>
  <c r="BG818" i="1"/>
  <c r="BF818" i="1"/>
  <c r="BE818" i="1"/>
  <c r="BD818" i="1"/>
  <c r="BB818" i="1"/>
  <c r="BA818" i="1"/>
  <c r="AZ818" i="1"/>
  <c r="AY818" i="1"/>
  <c r="AW818" i="1"/>
  <c r="AV818" i="1"/>
  <c r="AU818" i="1"/>
  <c r="AT818" i="1"/>
  <c r="AR818" i="1"/>
  <c r="AQ818" i="1"/>
  <c r="AP818" i="1"/>
  <c r="AO818" i="1"/>
  <c r="AM818" i="1"/>
  <c r="AL818" i="1"/>
  <c r="AK818" i="1"/>
  <c r="AJ818" i="1"/>
  <c r="AH818" i="1"/>
  <c r="AG818" i="1"/>
  <c r="AF818" i="1"/>
  <c r="AE818" i="1"/>
  <c r="AC818" i="1"/>
  <c r="AB818" i="1"/>
  <c r="AA818" i="1"/>
  <c r="Z818" i="1"/>
  <c r="X818" i="1"/>
  <c r="W818" i="1"/>
  <c r="V818" i="1"/>
  <c r="U818" i="1"/>
  <c r="S818" i="1"/>
  <c r="R818" i="1"/>
  <c r="Q818" i="1"/>
  <c r="P818" i="1"/>
  <c r="N818" i="1"/>
  <c r="M818" i="1"/>
  <c r="L818" i="1"/>
  <c r="K818" i="1"/>
  <c r="I818" i="1"/>
  <c r="H818" i="1"/>
  <c r="G818" i="1"/>
  <c r="F818" i="1"/>
  <c r="E818" i="1"/>
  <c r="D818" i="1"/>
  <c r="C818" i="1"/>
  <c r="BW817" i="1"/>
  <c r="BW889" i="1" s="1"/>
  <c r="BR817" i="1"/>
  <c r="BM817" i="1"/>
  <c r="BM889" i="1" s="1"/>
  <c r="BH817" i="1"/>
  <c r="BH889" i="1" s="1"/>
  <c r="BC817" i="1"/>
  <c r="BC889" i="1" s="1"/>
  <c r="AX817" i="1"/>
  <c r="AX889" i="1" s="1"/>
  <c r="AS817" i="1"/>
  <c r="AS889" i="1" s="1"/>
  <c r="AN817" i="1"/>
  <c r="AN889" i="1" s="1"/>
  <c r="AI817" i="1"/>
  <c r="AI889" i="1" s="1"/>
  <c r="AD817" i="1"/>
  <c r="Y817" i="1"/>
  <c r="Y889" i="1" s="1"/>
  <c r="T817" i="1"/>
  <c r="T889" i="1" s="1"/>
  <c r="O817" i="1"/>
  <c r="O889" i="1" s="1"/>
  <c r="J817" i="1"/>
  <c r="J889" i="1" s="1"/>
  <c r="BW816" i="1"/>
  <c r="BW888" i="1" s="1"/>
  <c r="BV816" i="1"/>
  <c r="BV818" i="1" s="1"/>
  <c r="BU816" i="1"/>
  <c r="BU818" i="1" s="1"/>
  <c r="BT816" i="1"/>
  <c r="BT818" i="1" s="1"/>
  <c r="BT841" i="1" s="1"/>
  <c r="BR816" i="1"/>
  <c r="BQ816" i="1"/>
  <c r="BP816" i="1"/>
  <c r="BM816" i="1"/>
  <c r="BM888" i="1" s="1"/>
  <c r="BH816" i="1"/>
  <c r="BH888" i="1" s="1"/>
  <c r="BC816" i="1"/>
  <c r="BC888" i="1" s="1"/>
  <c r="AX816" i="1"/>
  <c r="AX888" i="1" s="1"/>
  <c r="AS816" i="1"/>
  <c r="AS888" i="1" s="1"/>
  <c r="AN816" i="1"/>
  <c r="AN888" i="1" s="1"/>
  <c r="BW815" i="1"/>
  <c r="BW887" i="1" s="1"/>
  <c r="BR815" i="1"/>
  <c r="BR887" i="1" s="1"/>
  <c r="BM815" i="1"/>
  <c r="BM887" i="1" s="1"/>
  <c r="BH815" i="1"/>
  <c r="BC815" i="1"/>
  <c r="BC887" i="1" s="1"/>
  <c r="AX815" i="1"/>
  <c r="AX887" i="1" s="1"/>
  <c r="AS815" i="1"/>
  <c r="AN815" i="1"/>
  <c r="AN887" i="1" s="1"/>
  <c r="AI815" i="1"/>
  <c r="AI887" i="1" s="1"/>
  <c r="AD815" i="1"/>
  <c r="AD887" i="1" s="1"/>
  <c r="Y815" i="1"/>
  <c r="T815" i="1"/>
  <c r="T887" i="1" s="1"/>
  <c r="O815" i="1"/>
  <c r="O887" i="1" s="1"/>
  <c r="J815" i="1"/>
  <c r="J887" i="1" s="1"/>
  <c r="BX814" i="1"/>
  <c r="BX818" i="1" s="1"/>
  <c r="BR814" i="1"/>
  <c r="BR886" i="1" s="1"/>
  <c r="BR712" i="1" s="1"/>
  <c r="BM814" i="1"/>
  <c r="BM886" i="1" s="1"/>
  <c r="BM712" i="1" s="1"/>
  <c r="BH814" i="1"/>
  <c r="BH886" i="1" s="1"/>
  <c r="BH712" i="1" s="1"/>
  <c r="BC814" i="1"/>
  <c r="BC886" i="1" s="1"/>
  <c r="BC712" i="1" s="1"/>
  <c r="AX814" i="1"/>
  <c r="AX886" i="1" s="1"/>
  <c r="AS814" i="1"/>
  <c r="AS886" i="1" s="1"/>
  <c r="AN814" i="1"/>
  <c r="AN886" i="1" s="1"/>
  <c r="AI814" i="1"/>
  <c r="AI886" i="1" s="1"/>
  <c r="AI712" i="1" s="1"/>
  <c r="AD814" i="1"/>
  <c r="AD886" i="1" s="1"/>
  <c r="Y814" i="1"/>
  <c r="Y886" i="1" s="1"/>
  <c r="Y712" i="1" s="1"/>
  <c r="T814" i="1"/>
  <c r="T886" i="1" s="1"/>
  <c r="O814" i="1"/>
  <c r="O886" i="1" s="1"/>
  <c r="O712" i="1" s="1"/>
  <c r="J814" i="1"/>
  <c r="BW813" i="1"/>
  <c r="BW885" i="1" s="1"/>
  <c r="BR813" i="1"/>
  <c r="BR885" i="1" s="1"/>
  <c r="BM813" i="1"/>
  <c r="BM885" i="1" s="1"/>
  <c r="BM713" i="1" s="1"/>
  <c r="BM72" i="9" s="1"/>
  <c r="BH813" i="1"/>
  <c r="BH885" i="1" s="1"/>
  <c r="BC813" i="1"/>
  <c r="BC885" i="1" s="1"/>
  <c r="BC713" i="1" s="1"/>
  <c r="BC72" i="9" s="1"/>
  <c r="AX813" i="1"/>
  <c r="AX885" i="1" s="1"/>
  <c r="AS813" i="1"/>
  <c r="AS885" i="1" s="1"/>
  <c r="AS713" i="1" s="1"/>
  <c r="AS72" i="9" s="1"/>
  <c r="AN813" i="1"/>
  <c r="AN885" i="1" s="1"/>
  <c r="AI813" i="1"/>
  <c r="AI885" i="1" s="1"/>
  <c r="AD813" i="1"/>
  <c r="AD885" i="1" s="1"/>
  <c r="Y813" i="1"/>
  <c r="Y885" i="1" s="1"/>
  <c r="Y713" i="1" s="1"/>
  <c r="Y72" i="9" s="1"/>
  <c r="T813" i="1"/>
  <c r="T885" i="1" s="1"/>
  <c r="T713" i="1" s="1"/>
  <c r="T72" i="9" s="1"/>
  <c r="O813" i="1"/>
  <c r="O885" i="1" s="1"/>
  <c r="O713" i="1" s="1"/>
  <c r="O72" i="9" s="1"/>
  <c r="J813" i="1"/>
  <c r="J885" i="1" s="1"/>
  <c r="J713" i="1" s="1"/>
  <c r="J72" i="9" s="1"/>
  <c r="BW812" i="1"/>
  <c r="BW884" i="1" s="1"/>
  <c r="BW709" i="1" s="1"/>
  <c r="BR812" i="1"/>
  <c r="BR884" i="1" s="1"/>
  <c r="BM812" i="1"/>
  <c r="BM884" i="1" s="1"/>
  <c r="BH812" i="1"/>
  <c r="BH884" i="1" s="1"/>
  <c r="BC812" i="1"/>
  <c r="AX812" i="1"/>
  <c r="AX884" i="1" s="1"/>
  <c r="AS812" i="1"/>
  <c r="AS884" i="1" s="1"/>
  <c r="AN812" i="1"/>
  <c r="AN884" i="1" s="1"/>
  <c r="AI812" i="1"/>
  <c r="AI884" i="1" s="1"/>
  <c r="AD812" i="1"/>
  <c r="AD884" i="1" s="1"/>
  <c r="AD926" i="1" s="1"/>
  <c r="Y812" i="1"/>
  <c r="Y884" i="1" s="1"/>
  <c r="T812" i="1"/>
  <c r="O812" i="1"/>
  <c r="O884" i="1" s="1"/>
  <c r="J812" i="1"/>
  <c r="J884" i="1" s="1"/>
  <c r="BW811" i="1"/>
  <c r="BR811" i="1"/>
  <c r="BR883" i="1" s="1"/>
  <c r="BM811" i="1"/>
  <c r="BM883" i="1" s="1"/>
  <c r="BH811" i="1"/>
  <c r="BC811" i="1"/>
  <c r="BC883" i="1" s="1"/>
  <c r="AX811" i="1"/>
  <c r="AS811" i="1"/>
  <c r="AS883" i="1" s="1"/>
  <c r="AN811" i="1"/>
  <c r="AN883" i="1" s="1"/>
  <c r="AI811" i="1"/>
  <c r="AI883" i="1" s="1"/>
  <c r="AD811" i="1"/>
  <c r="AD883" i="1" s="1"/>
  <c r="Y811" i="1"/>
  <c r="T811" i="1"/>
  <c r="T883" i="1" s="1"/>
  <c r="O811" i="1"/>
  <c r="O883" i="1" s="1"/>
  <c r="J811" i="1"/>
  <c r="J883" i="1" s="1"/>
  <c r="BW810" i="1"/>
  <c r="BR810" i="1"/>
  <c r="BR882" i="1" s="1"/>
  <c r="BM810" i="1"/>
  <c r="BM882" i="1" s="1"/>
  <c r="BH810" i="1"/>
  <c r="BH882" i="1" s="1"/>
  <c r="BC810" i="1"/>
  <c r="BC882" i="1" s="1"/>
  <c r="AX810" i="1"/>
  <c r="AS810" i="1"/>
  <c r="AS882" i="1" s="1"/>
  <c r="AN810" i="1"/>
  <c r="AN882" i="1" s="1"/>
  <c r="AI810" i="1"/>
  <c r="AD810" i="1"/>
  <c r="AD882" i="1" s="1"/>
  <c r="Y810" i="1"/>
  <c r="Y882" i="1" s="1"/>
  <c r="T810" i="1"/>
  <c r="T882" i="1" s="1"/>
  <c r="O810" i="1"/>
  <c r="O882" i="1" s="1"/>
  <c r="J810" i="1"/>
  <c r="J882" i="1" s="1"/>
  <c r="BW809" i="1"/>
  <c r="BR809" i="1"/>
  <c r="BR881" i="1" s="1"/>
  <c r="BM809" i="1"/>
  <c r="BH809" i="1"/>
  <c r="BC809" i="1"/>
  <c r="AX809" i="1"/>
  <c r="AX881" i="1" s="1"/>
  <c r="AS809" i="1"/>
  <c r="AS881" i="1" s="1"/>
  <c r="AN809" i="1"/>
  <c r="AN881" i="1" s="1"/>
  <c r="AI809" i="1"/>
  <c r="AI881" i="1" s="1"/>
  <c r="AD809" i="1"/>
  <c r="AD881" i="1" s="1"/>
  <c r="Y809" i="1"/>
  <c r="Y881" i="1" s="1"/>
  <c r="T809" i="1"/>
  <c r="O809" i="1"/>
  <c r="O881" i="1" s="1"/>
  <c r="J809" i="1"/>
  <c r="J881" i="1" s="1"/>
  <c r="BW808" i="1"/>
  <c r="BW880" i="1" s="1"/>
  <c r="BR808" i="1"/>
  <c r="BR880" i="1" s="1"/>
  <c r="BM808" i="1"/>
  <c r="BH808" i="1"/>
  <c r="BH880" i="1" s="1"/>
  <c r="BC808" i="1"/>
  <c r="BC880" i="1" s="1"/>
  <c r="AX808" i="1"/>
  <c r="AX818" i="1" s="1"/>
  <c r="AS808" i="1"/>
  <c r="AN808" i="1"/>
  <c r="AI808" i="1"/>
  <c r="AI880" i="1" s="1"/>
  <c r="AD808" i="1"/>
  <c r="AD880" i="1" s="1"/>
  <c r="Y808" i="1"/>
  <c r="Y880" i="1" s="1"/>
  <c r="T808" i="1"/>
  <c r="T880" i="1" s="1"/>
  <c r="O808" i="1"/>
  <c r="J808" i="1"/>
  <c r="BV805" i="1"/>
  <c r="AT805" i="1"/>
  <c r="AP805" i="1"/>
  <c r="AH805" i="1"/>
  <c r="AA805" i="1"/>
  <c r="Z805" i="1"/>
  <c r="K805" i="1"/>
  <c r="F805" i="1"/>
  <c r="BW804" i="1"/>
  <c r="BW876" i="1" s="1"/>
  <c r="BR804" i="1"/>
  <c r="BR876" i="1" s="1"/>
  <c r="BM804" i="1"/>
  <c r="BH804" i="1"/>
  <c r="BH876" i="1" s="1"/>
  <c r="BC804" i="1"/>
  <c r="BC876" i="1" s="1"/>
  <c r="AX804" i="1"/>
  <c r="AX876" i="1" s="1"/>
  <c r="AY876" i="1" s="1"/>
  <c r="AS804" i="1"/>
  <c r="AS876" i="1" s="1"/>
  <c r="AN804" i="1"/>
  <c r="AN876" i="1" s="1"/>
  <c r="AI804" i="1"/>
  <c r="AI876" i="1" s="1"/>
  <c r="AD804" i="1"/>
  <c r="AD876" i="1" s="1"/>
  <c r="Y804" i="1"/>
  <c r="Y876" i="1" s="1"/>
  <c r="T804" i="1"/>
  <c r="T876" i="1" s="1"/>
  <c r="O804" i="1"/>
  <c r="O876" i="1" s="1"/>
  <c r="J804" i="1"/>
  <c r="J876" i="1" s="1"/>
  <c r="BW803" i="1"/>
  <c r="BW875" i="1" s="1"/>
  <c r="BX875" i="1" s="1"/>
  <c r="BR803" i="1"/>
  <c r="BR875" i="1" s="1"/>
  <c r="BM803" i="1"/>
  <c r="BM875" i="1" s="1"/>
  <c r="BH803" i="1"/>
  <c r="BH875" i="1" s="1"/>
  <c r="BC803" i="1"/>
  <c r="BC875" i="1" s="1"/>
  <c r="AX803" i="1"/>
  <c r="AX875" i="1" s="1"/>
  <c r="AS803" i="1"/>
  <c r="AS875" i="1" s="1"/>
  <c r="AN803" i="1"/>
  <c r="AN875" i="1" s="1"/>
  <c r="AI803" i="1"/>
  <c r="AI875" i="1" s="1"/>
  <c r="AJ875" i="1" s="1"/>
  <c r="AD803" i="1"/>
  <c r="AD875" i="1" s="1"/>
  <c r="Y803" i="1"/>
  <c r="Y875" i="1" s="1"/>
  <c r="T803" i="1"/>
  <c r="T875" i="1" s="1"/>
  <c r="O803" i="1"/>
  <c r="O875" i="1" s="1"/>
  <c r="J803" i="1"/>
  <c r="J875" i="1" s="1"/>
  <c r="BW802" i="1"/>
  <c r="BW874" i="1" s="1"/>
  <c r="BR802" i="1"/>
  <c r="BR874" i="1" s="1"/>
  <c r="BM802" i="1"/>
  <c r="BM874" i="1" s="1"/>
  <c r="BH802" i="1"/>
  <c r="BH874" i="1" s="1"/>
  <c r="BI874" i="1" s="1"/>
  <c r="BC802" i="1"/>
  <c r="BC874" i="1" s="1"/>
  <c r="AX802" i="1"/>
  <c r="AX874" i="1" s="1"/>
  <c r="AS802" i="1"/>
  <c r="AN802" i="1"/>
  <c r="AN874" i="1" s="1"/>
  <c r="AI802" i="1"/>
  <c r="AI874" i="1" s="1"/>
  <c r="AD802" i="1"/>
  <c r="AD874" i="1" s="1"/>
  <c r="Y802" i="1"/>
  <c r="Y874" i="1" s="1"/>
  <c r="T802" i="1"/>
  <c r="T874" i="1" s="1"/>
  <c r="O802" i="1"/>
  <c r="O874" i="1" s="1"/>
  <c r="J802" i="1"/>
  <c r="J874" i="1" s="1"/>
  <c r="BW801" i="1"/>
  <c r="BW873" i="1" s="1"/>
  <c r="BR801" i="1"/>
  <c r="BR873" i="1" s="1"/>
  <c r="BM801" i="1"/>
  <c r="BM873" i="1" s="1"/>
  <c r="BH801" i="1"/>
  <c r="BH873" i="1" s="1"/>
  <c r="BC801" i="1"/>
  <c r="BC873" i="1" s="1"/>
  <c r="BD873" i="1" s="1"/>
  <c r="AX801" i="1"/>
  <c r="AX873" i="1" s="1"/>
  <c r="AS801" i="1"/>
  <c r="AS873" i="1" s="1"/>
  <c r="AN801" i="1"/>
  <c r="AN873" i="1" s="1"/>
  <c r="AI801" i="1"/>
  <c r="AI873" i="1" s="1"/>
  <c r="AD801" i="1"/>
  <c r="AD873" i="1" s="1"/>
  <c r="Y801" i="1"/>
  <c r="Y873" i="1" s="1"/>
  <c r="T801" i="1"/>
  <c r="T873" i="1" s="1"/>
  <c r="O801" i="1"/>
  <c r="O873" i="1" s="1"/>
  <c r="J801" i="1"/>
  <c r="J873" i="1" s="1"/>
  <c r="BW800" i="1"/>
  <c r="BW872" i="1" s="1"/>
  <c r="BR800" i="1"/>
  <c r="BR872" i="1" s="1"/>
  <c r="BM800" i="1"/>
  <c r="BM872" i="1" s="1"/>
  <c r="BH800" i="1"/>
  <c r="BH872" i="1" s="1"/>
  <c r="BC800" i="1"/>
  <c r="BC872" i="1" s="1"/>
  <c r="AX800" i="1"/>
  <c r="AX872" i="1" s="1"/>
  <c r="AS800" i="1"/>
  <c r="AS872" i="1" s="1"/>
  <c r="AN800" i="1"/>
  <c r="AN872" i="1" s="1"/>
  <c r="AI800" i="1"/>
  <c r="AI872" i="1" s="1"/>
  <c r="AD800" i="1"/>
  <c r="AD872" i="1" s="1"/>
  <c r="Y800" i="1"/>
  <c r="Y872" i="1" s="1"/>
  <c r="T800" i="1"/>
  <c r="T872" i="1" s="1"/>
  <c r="O800" i="1"/>
  <c r="O872" i="1" s="1"/>
  <c r="J800" i="1"/>
  <c r="J872" i="1" s="1"/>
  <c r="BW799" i="1"/>
  <c r="BW871" i="1" s="1"/>
  <c r="BR799" i="1"/>
  <c r="BR871" i="1" s="1"/>
  <c r="BM799" i="1"/>
  <c r="BM871" i="1" s="1"/>
  <c r="BH799" i="1"/>
  <c r="BH871" i="1" s="1"/>
  <c r="BC799" i="1"/>
  <c r="AX799" i="1"/>
  <c r="AX871" i="1" s="1"/>
  <c r="AY871" i="1" s="1"/>
  <c r="AS799" i="1"/>
  <c r="AS871" i="1" s="1"/>
  <c r="AN799" i="1"/>
  <c r="AN871" i="1" s="1"/>
  <c r="AI799" i="1"/>
  <c r="AI871" i="1" s="1"/>
  <c r="AD799" i="1"/>
  <c r="AD871" i="1" s="1"/>
  <c r="Y799" i="1"/>
  <c r="Y871" i="1" s="1"/>
  <c r="T799" i="1"/>
  <c r="O799" i="1"/>
  <c r="O871" i="1" s="1"/>
  <c r="J799" i="1"/>
  <c r="J871" i="1" s="1"/>
  <c r="BW798" i="1"/>
  <c r="BW870" i="1" s="1"/>
  <c r="BR798" i="1"/>
  <c r="BR870" i="1" s="1"/>
  <c r="BM798" i="1"/>
  <c r="BM870" i="1" s="1"/>
  <c r="BH798" i="1"/>
  <c r="BH870" i="1" s="1"/>
  <c r="BC798" i="1"/>
  <c r="BC870" i="1" s="1"/>
  <c r="AX798" i="1"/>
  <c r="AX870" i="1" s="1"/>
  <c r="AY870" i="1" s="1"/>
  <c r="AS798" i="1"/>
  <c r="AN798" i="1"/>
  <c r="AN870" i="1" s="1"/>
  <c r="AI798" i="1"/>
  <c r="AI870" i="1" s="1"/>
  <c r="AD798" i="1"/>
  <c r="AD870" i="1" s="1"/>
  <c r="Y798" i="1"/>
  <c r="Y870" i="1" s="1"/>
  <c r="T798" i="1"/>
  <c r="T870" i="1" s="1"/>
  <c r="O798" i="1"/>
  <c r="O870" i="1" s="1"/>
  <c r="J798" i="1"/>
  <c r="BW797" i="1"/>
  <c r="BW869" i="1" s="1"/>
  <c r="BR797" i="1"/>
  <c r="BR869" i="1" s="1"/>
  <c r="BM797" i="1"/>
  <c r="BM869" i="1" s="1"/>
  <c r="BH797" i="1"/>
  <c r="BH869" i="1" s="1"/>
  <c r="BH65" i="9" s="1"/>
  <c r="BC797" i="1"/>
  <c r="BC869" i="1" s="1"/>
  <c r="AX797" i="1"/>
  <c r="AX869" i="1" s="1"/>
  <c r="AS797" i="1"/>
  <c r="AS869" i="1" s="1"/>
  <c r="AN797" i="1"/>
  <c r="AN869" i="1" s="1"/>
  <c r="AI797" i="1"/>
  <c r="AD797" i="1"/>
  <c r="AD869" i="1" s="1"/>
  <c r="Y797" i="1"/>
  <c r="Y869" i="1" s="1"/>
  <c r="T797" i="1"/>
  <c r="T869" i="1" s="1"/>
  <c r="O797" i="1"/>
  <c r="O869" i="1" s="1"/>
  <c r="J797" i="1"/>
  <c r="J869" i="1" s="1"/>
  <c r="BY796" i="1"/>
  <c r="BY805" i="1" s="1"/>
  <c r="BX796" i="1"/>
  <c r="BX805" i="1" s="1"/>
  <c r="BV796" i="1"/>
  <c r="BU796" i="1"/>
  <c r="BU805" i="1" s="1"/>
  <c r="BT796" i="1"/>
  <c r="BT805" i="1" s="1"/>
  <c r="BS796" i="1"/>
  <c r="BS805" i="1" s="1"/>
  <c r="BS841" i="1" s="1"/>
  <c r="BQ796" i="1"/>
  <c r="BQ805" i="1" s="1"/>
  <c r="BP796" i="1"/>
  <c r="BP805" i="1" s="1"/>
  <c r="BO796" i="1"/>
  <c r="BO805" i="1" s="1"/>
  <c r="BN796" i="1"/>
  <c r="BN805" i="1" s="1"/>
  <c r="BL796" i="1"/>
  <c r="BL805" i="1" s="1"/>
  <c r="BK796" i="1"/>
  <c r="BK805" i="1" s="1"/>
  <c r="BJ796" i="1"/>
  <c r="BJ805" i="1" s="1"/>
  <c r="BI796" i="1"/>
  <c r="BI805" i="1" s="1"/>
  <c r="BG796" i="1"/>
  <c r="BG805" i="1" s="1"/>
  <c r="BF796" i="1"/>
  <c r="BF805" i="1" s="1"/>
  <c r="BE796" i="1"/>
  <c r="BE805" i="1" s="1"/>
  <c r="BD796" i="1"/>
  <c r="BD805" i="1" s="1"/>
  <c r="BB796" i="1"/>
  <c r="BB805" i="1" s="1"/>
  <c r="BA796" i="1"/>
  <c r="BA805" i="1" s="1"/>
  <c r="AZ796" i="1"/>
  <c r="AZ805" i="1" s="1"/>
  <c r="AY796" i="1"/>
  <c r="AY805" i="1" s="1"/>
  <c r="AW796" i="1"/>
  <c r="AW805" i="1" s="1"/>
  <c r="AV796" i="1"/>
  <c r="AV805" i="1" s="1"/>
  <c r="AU796" i="1"/>
  <c r="AU805" i="1" s="1"/>
  <c r="AT796" i="1"/>
  <c r="AR796" i="1"/>
  <c r="AR805" i="1" s="1"/>
  <c r="AQ796" i="1"/>
  <c r="AQ805" i="1" s="1"/>
  <c r="AP796" i="1"/>
  <c r="AO796" i="1"/>
  <c r="AO805" i="1" s="1"/>
  <c r="AO841" i="1" s="1"/>
  <c r="AM796" i="1"/>
  <c r="AM805" i="1" s="1"/>
  <c r="AL796" i="1"/>
  <c r="AL805" i="1" s="1"/>
  <c r="AK796" i="1"/>
  <c r="AK805" i="1" s="1"/>
  <c r="AJ796" i="1"/>
  <c r="AJ805" i="1" s="1"/>
  <c r="AH796" i="1"/>
  <c r="AG796" i="1"/>
  <c r="AG805" i="1" s="1"/>
  <c r="AF796" i="1"/>
  <c r="AF805" i="1" s="1"/>
  <c r="AE796" i="1"/>
  <c r="AE805" i="1" s="1"/>
  <c r="AC796" i="1"/>
  <c r="AC805" i="1" s="1"/>
  <c r="AB796" i="1"/>
  <c r="AB805" i="1" s="1"/>
  <c r="AA796" i="1"/>
  <c r="Z796" i="1"/>
  <c r="X796" i="1"/>
  <c r="X805" i="1" s="1"/>
  <c r="W796" i="1"/>
  <c r="W805" i="1" s="1"/>
  <c r="V796" i="1"/>
  <c r="V805" i="1" s="1"/>
  <c r="U796" i="1"/>
  <c r="U805" i="1" s="1"/>
  <c r="S796" i="1"/>
  <c r="S805" i="1" s="1"/>
  <c r="R796" i="1"/>
  <c r="R805" i="1" s="1"/>
  <c r="Q796" i="1"/>
  <c r="Q805" i="1" s="1"/>
  <c r="P796" i="1"/>
  <c r="P805" i="1" s="1"/>
  <c r="N796" i="1"/>
  <c r="N805" i="1" s="1"/>
  <c r="M796" i="1"/>
  <c r="M805" i="1" s="1"/>
  <c r="L796" i="1"/>
  <c r="L805" i="1" s="1"/>
  <c r="K796" i="1"/>
  <c r="I796" i="1"/>
  <c r="I805" i="1" s="1"/>
  <c r="H796" i="1"/>
  <c r="H805" i="1" s="1"/>
  <c r="H841" i="1" s="1"/>
  <c r="G796" i="1"/>
  <c r="G805" i="1" s="1"/>
  <c r="F796" i="1"/>
  <c r="E796" i="1"/>
  <c r="E805" i="1" s="1"/>
  <c r="D796" i="1"/>
  <c r="D805" i="1" s="1"/>
  <c r="C796" i="1"/>
  <c r="C805" i="1" s="1"/>
  <c r="BW795" i="1"/>
  <c r="BW867" i="1" s="1"/>
  <c r="BR795" i="1"/>
  <c r="BR867" i="1" s="1"/>
  <c r="BM795" i="1"/>
  <c r="BH795" i="1"/>
  <c r="BH867" i="1" s="1"/>
  <c r="BC795" i="1"/>
  <c r="AX795" i="1"/>
  <c r="AX867" i="1" s="1"/>
  <c r="AS795" i="1"/>
  <c r="AS867" i="1" s="1"/>
  <c r="AN795" i="1"/>
  <c r="AN867" i="1" s="1"/>
  <c r="AI795" i="1"/>
  <c r="AI867" i="1" s="1"/>
  <c r="AD795" i="1"/>
  <c r="AD867" i="1" s="1"/>
  <c r="Y795" i="1"/>
  <c r="Y867" i="1" s="1"/>
  <c r="T795" i="1"/>
  <c r="T867" i="1" s="1"/>
  <c r="O795" i="1"/>
  <c r="O867" i="1" s="1"/>
  <c r="J795" i="1"/>
  <c r="J867" i="1" s="1"/>
  <c r="BW794" i="1"/>
  <c r="BW866" i="1" s="1"/>
  <c r="BR794" i="1"/>
  <c r="BR866" i="1" s="1"/>
  <c r="BM794" i="1"/>
  <c r="BM866" i="1" s="1"/>
  <c r="BH794" i="1"/>
  <c r="BH866" i="1" s="1"/>
  <c r="BI866" i="1" s="1"/>
  <c r="BC794" i="1"/>
  <c r="BC866" i="1" s="1"/>
  <c r="AX794" i="1"/>
  <c r="AX866" i="1" s="1"/>
  <c r="AS794" i="1"/>
  <c r="AN794" i="1"/>
  <c r="AN866" i="1" s="1"/>
  <c r="AI794" i="1"/>
  <c r="AI866" i="1" s="1"/>
  <c r="AD794" i="1"/>
  <c r="AD866" i="1" s="1"/>
  <c r="Y794" i="1"/>
  <c r="Y866" i="1" s="1"/>
  <c r="T794" i="1"/>
  <c r="T866" i="1" s="1"/>
  <c r="O794" i="1"/>
  <c r="O866" i="1" s="1"/>
  <c r="J794" i="1"/>
  <c r="J866" i="1" s="1"/>
  <c r="BW793" i="1"/>
  <c r="BW865" i="1" s="1"/>
  <c r="BR793" i="1"/>
  <c r="BR865" i="1" s="1"/>
  <c r="BM793" i="1"/>
  <c r="BM865" i="1" s="1"/>
  <c r="BH793" i="1"/>
  <c r="BH865" i="1" s="1"/>
  <c r="BI865" i="1" s="1"/>
  <c r="BC793" i="1"/>
  <c r="BC865" i="1" s="1"/>
  <c r="BW792" i="1"/>
  <c r="BW864" i="1" s="1"/>
  <c r="BR792" i="1"/>
  <c r="BR864" i="1" s="1"/>
  <c r="BM792" i="1"/>
  <c r="BM864" i="1" s="1"/>
  <c r="BH792" i="1"/>
  <c r="BH864" i="1" s="1"/>
  <c r="BC792" i="1"/>
  <c r="BC864" i="1" s="1"/>
  <c r="BD864" i="1" s="1"/>
  <c r="AX792" i="1"/>
  <c r="AX864" i="1" s="1"/>
  <c r="AS792" i="1"/>
  <c r="AS864" i="1" s="1"/>
  <c r="AN792" i="1"/>
  <c r="AN864" i="1" s="1"/>
  <c r="AI792" i="1"/>
  <c r="AI864" i="1" s="1"/>
  <c r="AJ864" i="1" s="1"/>
  <c r="AD792" i="1"/>
  <c r="AD864" i="1" s="1"/>
  <c r="Y792" i="1"/>
  <c r="Y864" i="1" s="1"/>
  <c r="T792" i="1"/>
  <c r="T864" i="1" s="1"/>
  <c r="O792" i="1"/>
  <c r="O864" i="1" s="1"/>
  <c r="J792" i="1"/>
  <c r="J864" i="1" s="1"/>
  <c r="BW791" i="1"/>
  <c r="BW863" i="1" s="1"/>
  <c r="BR791" i="1"/>
  <c r="BR863" i="1" s="1"/>
  <c r="BS863" i="1" s="1"/>
  <c r="BM791" i="1"/>
  <c r="BM863" i="1" s="1"/>
  <c r="BH791" i="1"/>
  <c r="BH863" i="1" s="1"/>
  <c r="BC791" i="1"/>
  <c r="BC863" i="1" s="1"/>
  <c r="AX791" i="1"/>
  <c r="AX863" i="1" s="1"/>
  <c r="AS791" i="1"/>
  <c r="AS863" i="1" s="1"/>
  <c r="AN791" i="1"/>
  <c r="AN863" i="1" s="1"/>
  <c r="AI791" i="1"/>
  <c r="AI863" i="1" s="1"/>
  <c r="AD791" i="1"/>
  <c r="AD863" i="1" s="1"/>
  <c r="Y791" i="1"/>
  <c r="Y863" i="1" s="1"/>
  <c r="T791" i="1"/>
  <c r="T863" i="1" s="1"/>
  <c r="O791" i="1"/>
  <c r="O863" i="1" s="1"/>
  <c r="J791" i="1"/>
  <c r="J863" i="1" s="1"/>
  <c r="BW790" i="1"/>
  <c r="BW862" i="1" s="1"/>
  <c r="BR790" i="1"/>
  <c r="BR862" i="1" s="1"/>
  <c r="BM790" i="1"/>
  <c r="BM862" i="1" s="1"/>
  <c r="BH790" i="1"/>
  <c r="BH862" i="1" s="1"/>
  <c r="BC790" i="1"/>
  <c r="BC862" i="1" s="1"/>
  <c r="BD862" i="1" s="1"/>
  <c r="AX790" i="1"/>
  <c r="AX862" i="1" s="1"/>
  <c r="AS790" i="1"/>
  <c r="AN790" i="1"/>
  <c r="AN862" i="1" s="1"/>
  <c r="AI790" i="1"/>
  <c r="AD790" i="1"/>
  <c r="AD862" i="1" s="1"/>
  <c r="Y790" i="1"/>
  <c r="Y862" i="1" s="1"/>
  <c r="T790" i="1"/>
  <c r="T862" i="1" s="1"/>
  <c r="O790" i="1"/>
  <c r="O862" i="1" s="1"/>
  <c r="J790" i="1"/>
  <c r="J862" i="1" s="1"/>
  <c r="BW789" i="1"/>
  <c r="BW861" i="1" s="1"/>
  <c r="BR789" i="1"/>
  <c r="BR861" i="1" s="1"/>
  <c r="BM789" i="1"/>
  <c r="BM861" i="1" s="1"/>
  <c r="BH789" i="1"/>
  <c r="BH861" i="1" s="1"/>
  <c r="BC789" i="1"/>
  <c r="BC861" i="1" s="1"/>
  <c r="AX789" i="1"/>
  <c r="AX861" i="1" s="1"/>
  <c r="AS789" i="1"/>
  <c r="AS861" i="1" s="1"/>
  <c r="AN789" i="1"/>
  <c r="AN861" i="1" s="1"/>
  <c r="AI789" i="1"/>
  <c r="AI861" i="1" s="1"/>
  <c r="AD789" i="1"/>
  <c r="AD861" i="1" s="1"/>
  <c r="Y789" i="1"/>
  <c r="Y861" i="1" s="1"/>
  <c r="Z861" i="1" s="1"/>
  <c r="T789" i="1"/>
  <c r="O789" i="1"/>
  <c r="O861" i="1" s="1"/>
  <c r="J789" i="1"/>
  <c r="J861" i="1" s="1"/>
  <c r="BW788" i="1"/>
  <c r="BW860" i="1" s="1"/>
  <c r="BR788" i="1"/>
  <c r="BR860" i="1" s="1"/>
  <c r="BM788" i="1"/>
  <c r="BM860" i="1" s="1"/>
  <c r="BH788" i="1"/>
  <c r="BH860" i="1" s="1"/>
  <c r="BC788" i="1"/>
  <c r="BC860" i="1" s="1"/>
  <c r="AX788" i="1"/>
  <c r="AX860" i="1" s="1"/>
  <c r="AS788" i="1"/>
  <c r="AS860" i="1" s="1"/>
  <c r="AN788" i="1"/>
  <c r="AN860" i="1" s="1"/>
  <c r="AO860" i="1" s="1"/>
  <c r="AI788" i="1"/>
  <c r="AI860" i="1" s="1"/>
  <c r="AD788" i="1"/>
  <c r="AD860" i="1" s="1"/>
  <c r="Y788" i="1"/>
  <c r="Y860" i="1" s="1"/>
  <c r="T788" i="1"/>
  <c r="T860" i="1" s="1"/>
  <c r="O788" i="1"/>
  <c r="O860" i="1" s="1"/>
  <c r="J788" i="1"/>
  <c r="J860" i="1" s="1"/>
  <c r="BW787" i="1"/>
  <c r="BW859" i="1" s="1"/>
  <c r="BR787" i="1"/>
  <c r="BR859" i="1" s="1"/>
  <c r="BM787" i="1"/>
  <c r="BM859" i="1" s="1"/>
  <c r="BN859" i="1" s="1"/>
  <c r="BH787" i="1"/>
  <c r="BH859" i="1" s="1"/>
  <c r="BC787" i="1"/>
  <c r="BC859" i="1" s="1"/>
  <c r="AX787" i="1"/>
  <c r="AX859" i="1" s="1"/>
  <c r="AS787" i="1"/>
  <c r="AS859" i="1" s="1"/>
  <c r="AI787" i="1"/>
  <c r="AI859" i="1" s="1"/>
  <c r="AD787" i="1"/>
  <c r="AD859" i="1" s="1"/>
  <c r="AE859" i="1" s="1"/>
  <c r="BW786" i="1"/>
  <c r="BW858" i="1" s="1"/>
  <c r="BR786" i="1"/>
  <c r="BR858" i="1" s="1"/>
  <c r="BM786" i="1"/>
  <c r="BM858" i="1" s="1"/>
  <c r="BH786" i="1"/>
  <c r="BH858" i="1" s="1"/>
  <c r="BC786" i="1"/>
  <c r="BC858" i="1" s="1"/>
  <c r="AX786" i="1"/>
  <c r="AX858" i="1" s="1"/>
  <c r="AS786" i="1"/>
  <c r="AS858" i="1" s="1"/>
  <c r="AN786" i="1"/>
  <c r="AN858" i="1" s="1"/>
  <c r="AO858" i="1" s="1"/>
  <c r="AI786" i="1"/>
  <c r="AI858" i="1" s="1"/>
  <c r="AD786" i="1"/>
  <c r="AD858" i="1" s="1"/>
  <c r="AE858" i="1" s="1"/>
  <c r="Y786" i="1"/>
  <c r="Y858" i="1" s="1"/>
  <c r="T786" i="1"/>
  <c r="T858" i="1" s="1"/>
  <c r="O786" i="1"/>
  <c r="O858" i="1" s="1"/>
  <c r="J786" i="1"/>
  <c r="J858" i="1" s="1"/>
  <c r="BW785" i="1"/>
  <c r="BW857" i="1" s="1"/>
  <c r="BR785" i="1"/>
  <c r="BR857" i="1" s="1"/>
  <c r="BM785" i="1"/>
  <c r="BM857" i="1" s="1"/>
  <c r="BH785" i="1"/>
  <c r="BH857" i="1" s="1"/>
  <c r="BC785" i="1"/>
  <c r="BC857" i="1" s="1"/>
  <c r="AX785" i="1"/>
  <c r="AX857" i="1" s="1"/>
  <c r="AS785" i="1"/>
  <c r="AS857" i="1" s="1"/>
  <c r="AN785" i="1"/>
  <c r="AI785" i="1"/>
  <c r="AI857" i="1" s="1"/>
  <c r="AD785" i="1"/>
  <c r="AD857" i="1" s="1"/>
  <c r="AE857" i="1" s="1"/>
  <c r="Y785" i="1"/>
  <c r="Y857" i="1" s="1"/>
  <c r="T785" i="1"/>
  <c r="T857" i="1" s="1"/>
  <c r="O785" i="1"/>
  <c r="O857" i="1" s="1"/>
  <c r="J785" i="1"/>
  <c r="J857" i="1" s="1"/>
  <c r="BW784" i="1"/>
  <c r="BW856" i="1" s="1"/>
  <c r="BR784" i="1"/>
  <c r="BR856" i="1" s="1"/>
  <c r="BM784" i="1"/>
  <c r="BM856" i="1" s="1"/>
  <c r="BN856" i="1" s="1"/>
  <c r="BH784" i="1"/>
  <c r="BH856" i="1" s="1"/>
  <c r="BC784" i="1"/>
  <c r="BC856" i="1" s="1"/>
  <c r="AX784" i="1"/>
  <c r="AX856" i="1" s="1"/>
  <c r="AS784" i="1"/>
  <c r="AS856" i="1" s="1"/>
  <c r="AN784" i="1"/>
  <c r="AN856" i="1" s="1"/>
  <c r="AI784" i="1"/>
  <c r="AI856" i="1" s="1"/>
  <c r="AD784" i="1"/>
  <c r="Y784" i="1"/>
  <c r="Y856" i="1" s="1"/>
  <c r="T784" i="1"/>
  <c r="T856" i="1" s="1"/>
  <c r="O784" i="1"/>
  <c r="O856" i="1" s="1"/>
  <c r="J784" i="1"/>
  <c r="J856" i="1" s="1"/>
  <c r="BW783" i="1"/>
  <c r="BW855" i="1" s="1"/>
  <c r="BR783" i="1"/>
  <c r="BR855" i="1" s="1"/>
  <c r="BM783" i="1"/>
  <c r="BM855" i="1" s="1"/>
  <c r="BN855" i="1" s="1"/>
  <c r="BH783" i="1"/>
  <c r="BH855" i="1" s="1"/>
  <c r="BC783" i="1"/>
  <c r="BC855" i="1" s="1"/>
  <c r="AX783" i="1"/>
  <c r="AX855" i="1" s="1"/>
  <c r="AS783" i="1"/>
  <c r="AS855" i="1" s="1"/>
  <c r="AT855" i="1" s="1"/>
  <c r="AN783" i="1"/>
  <c r="AN855" i="1" s="1"/>
  <c r="AI783" i="1"/>
  <c r="AI855" i="1" s="1"/>
  <c r="AJ855" i="1" s="1"/>
  <c r="AD783" i="1"/>
  <c r="AD855" i="1" s="1"/>
  <c r="Y783" i="1"/>
  <c r="Y855" i="1" s="1"/>
  <c r="T783" i="1"/>
  <c r="T855" i="1" s="1"/>
  <c r="O783" i="1"/>
  <c r="O855" i="1" s="1"/>
  <c r="J783" i="1"/>
  <c r="J855" i="1" s="1"/>
  <c r="BW782" i="1"/>
  <c r="BW854" i="1" s="1"/>
  <c r="BR782" i="1"/>
  <c r="BR854" i="1" s="1"/>
  <c r="BM782" i="1"/>
  <c r="BM854" i="1" s="1"/>
  <c r="BH782" i="1"/>
  <c r="BH854" i="1" s="1"/>
  <c r="BC782" i="1"/>
  <c r="BC854" i="1" s="1"/>
  <c r="AX782" i="1"/>
  <c r="AX854" i="1" s="1"/>
  <c r="AS782" i="1"/>
  <c r="AS854" i="1" s="1"/>
  <c r="AN782" i="1"/>
  <c r="AN854" i="1" s="1"/>
  <c r="AI782" i="1"/>
  <c r="AI854" i="1" s="1"/>
  <c r="AD782" i="1"/>
  <c r="AD854" i="1" s="1"/>
  <c r="Y782" i="1"/>
  <c r="Y854" i="1" s="1"/>
  <c r="Z854" i="1" s="1"/>
  <c r="T782" i="1"/>
  <c r="T854" i="1" s="1"/>
  <c r="O782" i="1"/>
  <c r="O854" i="1" s="1"/>
  <c r="J782" i="1"/>
  <c r="J854" i="1" s="1"/>
  <c r="BW781" i="1"/>
  <c r="BW853" i="1" s="1"/>
  <c r="BR781" i="1"/>
  <c r="BR853" i="1" s="1"/>
  <c r="BS853" i="1" s="1"/>
  <c r="BM781" i="1"/>
  <c r="BM853" i="1" s="1"/>
  <c r="BH781" i="1"/>
  <c r="BH853" i="1" s="1"/>
  <c r="BW780" i="1"/>
  <c r="BW852" i="1" s="1"/>
  <c r="BR780" i="1"/>
  <c r="BR852" i="1" s="1"/>
  <c r="BS852" i="1" s="1"/>
  <c r="BM780" i="1"/>
  <c r="BH780" i="1"/>
  <c r="BC780" i="1"/>
  <c r="AX780" i="1"/>
  <c r="AX852" i="1" s="1"/>
  <c r="AS780" i="1"/>
  <c r="AS852" i="1" s="1"/>
  <c r="AN780" i="1"/>
  <c r="AN852" i="1" s="1"/>
  <c r="AI780" i="1"/>
  <c r="AI852" i="1" s="1"/>
  <c r="AD780" i="1"/>
  <c r="Y780" i="1"/>
  <c r="Y852" i="1" s="1"/>
  <c r="T780" i="1"/>
  <c r="T852" i="1" s="1"/>
  <c r="O780" i="1"/>
  <c r="O852" i="1" s="1"/>
  <c r="J780" i="1"/>
  <c r="J852" i="1" s="1"/>
  <c r="BW779" i="1"/>
  <c r="BR779" i="1"/>
  <c r="BR851" i="1" s="1"/>
  <c r="BM779" i="1"/>
  <c r="BH779" i="1"/>
  <c r="BH851" i="1" s="1"/>
  <c r="BC779" i="1"/>
  <c r="AX779" i="1"/>
  <c r="AS779" i="1"/>
  <c r="AN779" i="1"/>
  <c r="AN851" i="1" s="1"/>
  <c r="AI779" i="1"/>
  <c r="AD779" i="1"/>
  <c r="AD851" i="1" s="1"/>
  <c r="Y779" i="1"/>
  <c r="Y851" i="1" s="1"/>
  <c r="T779" i="1"/>
  <c r="T851" i="1" s="1"/>
  <c r="O779" i="1"/>
  <c r="O851" i="1" s="1"/>
  <c r="J779" i="1"/>
  <c r="C775" i="1"/>
  <c r="CK774" i="1"/>
  <c r="CJ774" i="1"/>
  <c r="CI774" i="1"/>
  <c r="CH774" i="1"/>
  <c r="CG774" i="1"/>
  <c r="CF774" i="1"/>
  <c r="CE774" i="1"/>
  <c r="CD774" i="1"/>
  <c r="CC774" i="1"/>
  <c r="CB774" i="1"/>
  <c r="CA774" i="1"/>
  <c r="BZ774" i="1"/>
  <c r="BY774" i="1"/>
  <c r="BX774" i="1"/>
  <c r="BW774" i="1"/>
  <c r="BV774" i="1"/>
  <c r="BU774" i="1"/>
  <c r="BT774" i="1"/>
  <c r="BS774" i="1"/>
  <c r="BR774" i="1"/>
  <c r="BQ774" i="1"/>
  <c r="BP774" i="1"/>
  <c r="BO774" i="1"/>
  <c r="BN774" i="1"/>
  <c r="BM774" i="1"/>
  <c r="BL774" i="1"/>
  <c r="BK774" i="1"/>
  <c r="BJ774" i="1"/>
  <c r="BI774" i="1"/>
  <c r="BG774" i="1"/>
  <c r="BF774" i="1"/>
  <c r="BE774" i="1"/>
  <c r="BD774" i="1"/>
  <c r="BC774" i="1"/>
  <c r="BB774" i="1"/>
  <c r="BA774" i="1"/>
  <c r="AZ774" i="1"/>
  <c r="AY774" i="1"/>
  <c r="AX774" i="1"/>
  <c r="AW774" i="1"/>
  <c r="AV774" i="1"/>
  <c r="AU774" i="1"/>
  <c r="AT774" i="1"/>
  <c r="AS774" i="1"/>
  <c r="AR774" i="1"/>
  <c r="AQ774" i="1"/>
  <c r="AP774" i="1"/>
  <c r="AO774" i="1"/>
  <c r="AN774" i="1"/>
  <c r="AM774" i="1"/>
  <c r="AL774" i="1"/>
  <c r="AK774" i="1"/>
  <c r="AJ774" i="1"/>
  <c r="AI774" i="1"/>
  <c r="AH774" i="1"/>
  <c r="AG774" i="1"/>
  <c r="AF774" i="1"/>
  <c r="AE774" i="1"/>
  <c r="AD774" i="1"/>
  <c r="AC774" i="1"/>
  <c r="AB774" i="1"/>
  <c r="AA774" i="1"/>
  <c r="Z774" i="1"/>
  <c r="X774" i="1"/>
  <c r="W774" i="1"/>
  <c r="V774" i="1"/>
  <c r="U774" i="1"/>
  <c r="T774" i="1"/>
  <c r="S774" i="1"/>
  <c r="R774" i="1"/>
  <c r="Q774" i="1"/>
  <c r="P774" i="1"/>
  <c r="O774" i="1"/>
  <c r="N774" i="1"/>
  <c r="M774" i="1"/>
  <c r="L774" i="1"/>
  <c r="K774" i="1"/>
  <c r="J774" i="1"/>
  <c r="I774" i="1"/>
  <c r="H774" i="1"/>
  <c r="G774" i="1"/>
  <c r="F774" i="1"/>
  <c r="E774" i="1"/>
  <c r="D774" i="1"/>
  <c r="C774" i="1"/>
  <c r="CA773" i="1"/>
  <c r="BZ773" i="1"/>
  <c r="BY773" i="1"/>
  <c r="BY10" i="9" s="1"/>
  <c r="BX773" i="1"/>
  <c r="BW773" i="1"/>
  <c r="BV773" i="1"/>
  <c r="BU773" i="1"/>
  <c r="BT773" i="1"/>
  <c r="BS773" i="1"/>
  <c r="BR773" i="1"/>
  <c r="BQ773" i="1"/>
  <c r="BQ10" i="9" s="1"/>
  <c r="BP773" i="1"/>
  <c r="BO773" i="1"/>
  <c r="BN773" i="1"/>
  <c r="BM773" i="1"/>
  <c r="BL773" i="1"/>
  <c r="BK773" i="1"/>
  <c r="BJ773" i="1"/>
  <c r="BI773" i="1"/>
  <c r="BI10" i="9" s="1"/>
  <c r="BH773" i="1"/>
  <c r="BF773" i="1"/>
  <c r="BE773" i="1"/>
  <c r="BE10" i="9" s="1"/>
  <c r="BD773" i="1"/>
  <c r="BC773" i="1"/>
  <c r="BB773" i="1"/>
  <c r="BA773" i="1"/>
  <c r="AZ773" i="1"/>
  <c r="AZ10" i="9" s="1"/>
  <c r="AY773" i="1"/>
  <c r="AX773" i="1"/>
  <c r="AW773" i="1"/>
  <c r="AW10" i="9" s="1"/>
  <c r="AV773" i="1"/>
  <c r="AU773" i="1"/>
  <c r="AT773" i="1"/>
  <c r="AS773" i="1"/>
  <c r="AR773" i="1"/>
  <c r="AR10" i="9" s="1"/>
  <c r="AQ773" i="1"/>
  <c r="AP773" i="1"/>
  <c r="AP10" i="9" s="1"/>
  <c r="AO773" i="1"/>
  <c r="AO10" i="9" s="1"/>
  <c r="AN773" i="1"/>
  <c r="AM773" i="1"/>
  <c r="AL773" i="1"/>
  <c r="AK773" i="1"/>
  <c r="AJ773" i="1"/>
  <c r="AJ10" i="9" s="1"/>
  <c r="AI773" i="1"/>
  <c r="AH773" i="1"/>
  <c r="AH10" i="9" s="1"/>
  <c r="AG773" i="1"/>
  <c r="AG10" i="9" s="1"/>
  <c r="AF773" i="1"/>
  <c r="AE773" i="1"/>
  <c r="AD773" i="1"/>
  <c r="AC773" i="1"/>
  <c r="AB773" i="1"/>
  <c r="AB10" i="9" s="1"/>
  <c r="AA773" i="1"/>
  <c r="Z773" i="1"/>
  <c r="Z10" i="9" s="1"/>
  <c r="Y773" i="1"/>
  <c r="X773" i="1"/>
  <c r="W773" i="1"/>
  <c r="V773" i="1"/>
  <c r="U773" i="1"/>
  <c r="T773" i="1"/>
  <c r="T10" i="9" s="1"/>
  <c r="S773" i="1"/>
  <c r="R773" i="1"/>
  <c r="R10" i="9" s="1"/>
  <c r="Q773" i="1"/>
  <c r="Q10" i="9" s="1"/>
  <c r="P773" i="1"/>
  <c r="O773" i="1"/>
  <c r="N773" i="1"/>
  <c r="M773" i="1"/>
  <c r="L773" i="1"/>
  <c r="L10" i="9" s="1"/>
  <c r="K773" i="1"/>
  <c r="J773" i="1"/>
  <c r="J10" i="9" s="1"/>
  <c r="I773" i="1"/>
  <c r="I10" i="9" s="1"/>
  <c r="H773" i="1"/>
  <c r="G773" i="1"/>
  <c r="F773" i="1"/>
  <c r="E773" i="1"/>
  <c r="D773" i="1"/>
  <c r="D10" i="9" s="1"/>
  <c r="C773" i="1"/>
  <c r="BY769" i="1"/>
  <c r="BY753" i="1" s="1"/>
  <c r="BX769" i="1"/>
  <c r="BW769" i="1"/>
  <c r="BV769" i="1"/>
  <c r="BU769" i="1"/>
  <c r="BS769" i="1"/>
  <c r="BR769" i="1"/>
  <c r="BQ769" i="1"/>
  <c r="BP769" i="1"/>
  <c r="BO769" i="1"/>
  <c r="BN769" i="1"/>
  <c r="BM769" i="1"/>
  <c r="BK769" i="1"/>
  <c r="BJ769" i="1"/>
  <c r="BI769" i="1"/>
  <c r="BH769" i="1"/>
  <c r="BG769" i="1"/>
  <c r="BF769" i="1"/>
  <c r="BF753" i="1" s="1"/>
  <c r="BE769" i="1"/>
  <c r="BC769" i="1"/>
  <c r="BB769" i="1"/>
  <c r="BA769" i="1"/>
  <c r="AZ769" i="1"/>
  <c r="AY769" i="1"/>
  <c r="AX769" i="1"/>
  <c r="AW769" i="1"/>
  <c r="AU769" i="1"/>
  <c r="AT769" i="1"/>
  <c r="AS769" i="1"/>
  <c r="AR769" i="1"/>
  <c r="AQ769" i="1"/>
  <c r="AP769" i="1"/>
  <c r="AO769" i="1"/>
  <c r="AM769" i="1"/>
  <c r="AL769" i="1"/>
  <c r="AK769" i="1"/>
  <c r="AJ769" i="1"/>
  <c r="AI769" i="1"/>
  <c r="AH769" i="1"/>
  <c r="AG769" i="1"/>
  <c r="AE769" i="1"/>
  <c r="AD769" i="1"/>
  <c r="AC769" i="1"/>
  <c r="AB769" i="1"/>
  <c r="AA769" i="1"/>
  <c r="Z769" i="1"/>
  <c r="Y769" i="1"/>
  <c r="W769" i="1"/>
  <c r="V769" i="1"/>
  <c r="U769" i="1"/>
  <c r="T769" i="1"/>
  <c r="S769" i="1"/>
  <c r="R769" i="1"/>
  <c r="Q769" i="1"/>
  <c r="O769" i="1"/>
  <c r="N769" i="1"/>
  <c r="M769" i="1"/>
  <c r="L769" i="1"/>
  <c r="K769" i="1"/>
  <c r="J769" i="1"/>
  <c r="I769" i="1"/>
  <c r="G769" i="1"/>
  <c r="F769" i="1"/>
  <c r="E769" i="1"/>
  <c r="D769" i="1"/>
  <c r="C769" i="1"/>
  <c r="BY767" i="1"/>
  <c r="BY770" i="1" s="1"/>
  <c r="BX767" i="1"/>
  <c r="BX770" i="1" s="1"/>
  <c r="BW767" i="1"/>
  <c r="BW442" i="1" s="1"/>
  <c r="BV767" i="1"/>
  <c r="BV770" i="1" s="1"/>
  <c r="BU767" i="1"/>
  <c r="BU770" i="1" s="1"/>
  <c r="BS767" i="1"/>
  <c r="BS442" i="1" s="1"/>
  <c r="BR767" i="1"/>
  <c r="BR442" i="1" s="1"/>
  <c r="BQ767" i="1"/>
  <c r="BP767" i="1"/>
  <c r="BO767" i="1"/>
  <c r="BN767" i="1"/>
  <c r="BN770" i="1" s="1"/>
  <c r="BM767" i="1"/>
  <c r="BM770" i="1" s="1"/>
  <c r="BM753" i="1" s="1"/>
  <c r="BL767" i="1"/>
  <c r="BK767" i="1"/>
  <c r="BK770" i="1" s="1"/>
  <c r="BJ767" i="1"/>
  <c r="BJ770" i="1" s="1"/>
  <c r="BI767" i="1"/>
  <c r="BI770" i="1" s="1"/>
  <c r="BH767" i="1"/>
  <c r="BH770" i="1" s="1"/>
  <c r="BG767" i="1"/>
  <c r="BF767" i="1"/>
  <c r="BF770" i="1" s="1"/>
  <c r="BE767" i="1"/>
  <c r="BE770" i="1" s="1"/>
  <c r="BD767" i="1"/>
  <c r="BD770" i="1" s="1"/>
  <c r="BC767" i="1"/>
  <c r="BB767" i="1"/>
  <c r="BB770" i="1" s="1"/>
  <c r="BA767" i="1"/>
  <c r="BA770" i="1" s="1"/>
  <c r="BA753" i="1" s="1"/>
  <c r="AZ767" i="1"/>
  <c r="AZ770" i="1" s="1"/>
  <c r="AY767" i="1"/>
  <c r="AY442" i="1" s="1"/>
  <c r="AX767" i="1"/>
  <c r="AX770" i="1" s="1"/>
  <c r="AW767" i="1"/>
  <c r="AW770" i="1" s="1"/>
  <c r="AV767" i="1"/>
  <c r="AU767" i="1"/>
  <c r="AU770" i="1" s="1"/>
  <c r="AT767" i="1"/>
  <c r="AT770" i="1" s="1"/>
  <c r="AS767" i="1"/>
  <c r="AR767" i="1"/>
  <c r="AQ767" i="1"/>
  <c r="AP767" i="1"/>
  <c r="AP770" i="1" s="1"/>
  <c r="AO767" i="1"/>
  <c r="AO770" i="1" s="1"/>
  <c r="AN767" i="1"/>
  <c r="AM767" i="1"/>
  <c r="AL767" i="1"/>
  <c r="AL442" i="1" s="1"/>
  <c r="AK767" i="1"/>
  <c r="AK770" i="1" s="1"/>
  <c r="AK753" i="1" s="1"/>
  <c r="AJ767" i="1"/>
  <c r="AJ770" i="1" s="1"/>
  <c r="AI767" i="1"/>
  <c r="AI442" i="1" s="1"/>
  <c r="AH767" i="1"/>
  <c r="AH770" i="1" s="1"/>
  <c r="AG767" i="1"/>
  <c r="AG770" i="1" s="1"/>
  <c r="AF767" i="1"/>
  <c r="AE767" i="1"/>
  <c r="AE770" i="1" s="1"/>
  <c r="AD767" i="1"/>
  <c r="AC767" i="1"/>
  <c r="AC442" i="1" s="1"/>
  <c r="AB767" i="1"/>
  <c r="AB770" i="1" s="1"/>
  <c r="AB753" i="1" s="1"/>
  <c r="AA767" i="1"/>
  <c r="Z767" i="1"/>
  <c r="Z770" i="1" s="1"/>
  <c r="Z753" i="1" s="1"/>
  <c r="Y767" i="1"/>
  <c r="Y770" i="1" s="1"/>
  <c r="X767" i="1"/>
  <c r="X770" i="1" s="1"/>
  <c r="W767" i="1"/>
  <c r="W770" i="1" s="1"/>
  <c r="W753" i="1" s="1"/>
  <c r="V767" i="1"/>
  <c r="V770" i="1" s="1"/>
  <c r="V753" i="1" s="1"/>
  <c r="U767" i="1"/>
  <c r="U770" i="1" s="1"/>
  <c r="U753" i="1" s="1"/>
  <c r="T767" i="1"/>
  <c r="T770" i="1" s="1"/>
  <c r="S767" i="1"/>
  <c r="R767" i="1"/>
  <c r="R770" i="1" s="1"/>
  <c r="Q767" i="1"/>
  <c r="Q770" i="1" s="1"/>
  <c r="Q753" i="1" s="1"/>
  <c r="P767" i="1"/>
  <c r="P770" i="1" s="1"/>
  <c r="O767" i="1"/>
  <c r="N767" i="1"/>
  <c r="M767" i="1"/>
  <c r="M770" i="1" s="1"/>
  <c r="M753" i="1" s="1"/>
  <c r="L767" i="1"/>
  <c r="L770" i="1" s="1"/>
  <c r="K767" i="1"/>
  <c r="J767" i="1"/>
  <c r="J770" i="1" s="1"/>
  <c r="I767" i="1"/>
  <c r="I770" i="1" s="1"/>
  <c r="H767" i="1"/>
  <c r="H442" i="1" s="1"/>
  <c r="G767" i="1"/>
  <c r="F767" i="1"/>
  <c r="E767" i="1"/>
  <c r="D767" i="1"/>
  <c r="D770" i="1" s="1"/>
  <c r="C767" i="1"/>
  <c r="CK766" i="1"/>
  <c r="CI766" i="1"/>
  <c r="CH766" i="1"/>
  <c r="CG766" i="1"/>
  <c r="CF766" i="1"/>
  <c r="CE766" i="1"/>
  <c r="CD766" i="1"/>
  <c r="CC766" i="1"/>
  <c r="CA766" i="1"/>
  <c r="BZ766" i="1"/>
  <c r="CK765" i="1"/>
  <c r="CI765" i="1"/>
  <c r="CH765" i="1"/>
  <c r="CG765" i="1"/>
  <c r="CF765" i="1"/>
  <c r="CE765" i="1"/>
  <c r="CD765" i="1"/>
  <c r="CC765" i="1"/>
  <c r="CA765" i="1"/>
  <c r="BZ765" i="1"/>
  <c r="CK764" i="1"/>
  <c r="CI764" i="1"/>
  <c r="CH764" i="1"/>
  <c r="CG764" i="1"/>
  <c r="CF764" i="1"/>
  <c r="CE764" i="1"/>
  <c r="CD764" i="1"/>
  <c r="CC764" i="1"/>
  <c r="CA764" i="1"/>
  <c r="BZ764" i="1"/>
  <c r="A762" i="1"/>
  <c r="A761" i="1"/>
  <c r="A760" i="1"/>
  <c r="A759" i="1"/>
  <c r="A1064" i="1" s="1"/>
  <c r="A758" i="1"/>
  <c r="A757" i="1"/>
  <c r="A1065" i="1" s="1"/>
  <c r="A755" i="1"/>
  <c r="A754" i="1"/>
  <c r="A753" i="1"/>
  <c r="AQ739" i="1"/>
  <c r="CA738" i="1"/>
  <c r="CA9" i="9" s="1"/>
  <c r="BZ738" i="1"/>
  <c r="BZ9" i="9" s="1"/>
  <c r="BY738" i="1"/>
  <c r="BY9" i="9" s="1"/>
  <c r="BX738" i="1"/>
  <c r="BX9" i="9" s="1"/>
  <c r="BW738" i="1"/>
  <c r="BV738" i="1"/>
  <c r="BV9" i="9" s="1"/>
  <c r="BU738" i="1"/>
  <c r="BU9" i="9" s="1"/>
  <c r="BT738" i="1"/>
  <c r="BT9" i="9" s="1"/>
  <c r="BS738" i="1"/>
  <c r="BS9" i="9" s="1"/>
  <c r="BR738" i="1"/>
  <c r="BR9" i="9" s="1"/>
  <c r="BQ738" i="1"/>
  <c r="BQ9" i="9" s="1"/>
  <c r="BP738" i="1"/>
  <c r="BP9" i="9" s="1"/>
  <c r="BO738" i="1"/>
  <c r="BO9" i="9" s="1"/>
  <c r="BN738" i="1"/>
  <c r="BN9" i="9" s="1"/>
  <c r="BM738" i="1"/>
  <c r="BM9" i="9" s="1"/>
  <c r="BL738" i="1"/>
  <c r="BL9" i="9" s="1"/>
  <c r="BK738" i="1"/>
  <c r="BJ738" i="1"/>
  <c r="BJ9" i="9" s="1"/>
  <c r="BI738" i="1"/>
  <c r="BI9" i="9" s="1"/>
  <c r="BG738" i="1"/>
  <c r="BG9" i="9" s="1"/>
  <c r="BF738" i="1"/>
  <c r="BF9" i="9" s="1"/>
  <c r="BE738" i="1"/>
  <c r="BE9" i="9" s="1"/>
  <c r="BD738" i="1"/>
  <c r="BD9" i="9" s="1"/>
  <c r="BC738" i="1"/>
  <c r="BB738" i="1"/>
  <c r="BB9" i="9" s="1"/>
  <c r="BA738" i="1"/>
  <c r="BA9" i="9" s="1"/>
  <c r="AZ738" i="1"/>
  <c r="AY738" i="1"/>
  <c r="AY9" i="9" s="1"/>
  <c r="AW738" i="1"/>
  <c r="AW9" i="9" s="1"/>
  <c r="AV738" i="1"/>
  <c r="AV9" i="9" s="1"/>
  <c r="AU738" i="1"/>
  <c r="AU9" i="9" s="1"/>
  <c r="AT738" i="1"/>
  <c r="AT9" i="9" s="1"/>
  <c r="AS738" i="1"/>
  <c r="AS9" i="9" s="1"/>
  <c r="AR738" i="1"/>
  <c r="AR9" i="9" s="1"/>
  <c r="AQ738" i="1"/>
  <c r="AQ9" i="9" s="1"/>
  <c r="AP738" i="1"/>
  <c r="AP9" i="9" s="1"/>
  <c r="AO738" i="1"/>
  <c r="AO9" i="9" s="1"/>
  <c r="AN738" i="1"/>
  <c r="AN9" i="9" s="1"/>
  <c r="AM738" i="1"/>
  <c r="AL738" i="1"/>
  <c r="AL9" i="9" s="1"/>
  <c r="AK738" i="1"/>
  <c r="AK9" i="9" s="1"/>
  <c r="AJ738" i="1"/>
  <c r="AI738" i="1"/>
  <c r="AI9" i="9" s="1"/>
  <c r="AH738" i="1"/>
  <c r="AH9" i="9" s="1"/>
  <c r="AG738" i="1"/>
  <c r="AG9" i="9" s="1"/>
  <c r="AF738" i="1"/>
  <c r="AF9" i="9" s="1"/>
  <c r="AE738" i="1"/>
  <c r="AD738" i="1"/>
  <c r="AD9" i="9" s="1"/>
  <c r="AC738" i="1"/>
  <c r="AC9" i="9" s="1"/>
  <c r="AB738" i="1"/>
  <c r="AB9" i="9" s="1"/>
  <c r="AA738" i="1"/>
  <c r="AA9" i="9" s="1"/>
  <c r="Z738" i="1"/>
  <c r="Z9" i="9" s="1"/>
  <c r="Y738" i="1"/>
  <c r="Y9" i="9" s="1"/>
  <c r="X738" i="1"/>
  <c r="X9" i="9" s="1"/>
  <c r="W738" i="1"/>
  <c r="W9" i="9" s="1"/>
  <c r="V738" i="1"/>
  <c r="V9" i="9" s="1"/>
  <c r="U738" i="1"/>
  <c r="U9" i="9" s="1"/>
  <c r="T738" i="1"/>
  <c r="T9" i="9" s="1"/>
  <c r="S738" i="1"/>
  <c r="S9" i="9" s="1"/>
  <c r="R738" i="1"/>
  <c r="Q738" i="1"/>
  <c r="Q9" i="9" s="1"/>
  <c r="P738" i="1"/>
  <c r="P9" i="9" s="1"/>
  <c r="O738" i="1"/>
  <c r="O9" i="9" s="1"/>
  <c r="N738" i="1"/>
  <c r="N9" i="9" s="1"/>
  <c r="M738" i="1"/>
  <c r="M9" i="9" s="1"/>
  <c r="L738" i="1"/>
  <c r="L9" i="9" s="1"/>
  <c r="K738" i="1"/>
  <c r="J738" i="1"/>
  <c r="J9" i="9" s="1"/>
  <c r="I738" i="1"/>
  <c r="I9" i="9" s="1"/>
  <c r="H738" i="1"/>
  <c r="H9" i="9" s="1"/>
  <c r="G738" i="1"/>
  <c r="G9" i="9" s="1"/>
  <c r="F738" i="1"/>
  <c r="F9" i="9" s="1"/>
  <c r="E738" i="1"/>
  <c r="E9" i="9" s="1"/>
  <c r="D738" i="1"/>
  <c r="D9" i="9" s="1"/>
  <c r="C738" i="1"/>
  <c r="C9" i="9" s="1"/>
  <c r="BZ737" i="1"/>
  <c r="BY737" i="1"/>
  <c r="BX737" i="1"/>
  <c r="BW737" i="1"/>
  <c r="BV737" i="1"/>
  <c r="BU737" i="1"/>
  <c r="BT737" i="1"/>
  <c r="BS737" i="1"/>
  <c r="BR737" i="1"/>
  <c r="BQ737" i="1"/>
  <c r="BP737" i="1"/>
  <c r="BO737" i="1"/>
  <c r="BN737" i="1"/>
  <c r="BN739" i="1" s="1"/>
  <c r="BM737" i="1"/>
  <c r="BL737" i="1"/>
  <c r="BK737" i="1"/>
  <c r="BJ737" i="1"/>
  <c r="BI737" i="1"/>
  <c r="BG737" i="1"/>
  <c r="BF737" i="1"/>
  <c r="BE737" i="1"/>
  <c r="BD737" i="1"/>
  <c r="BB737" i="1"/>
  <c r="BA737" i="1"/>
  <c r="AZ737" i="1"/>
  <c r="AY737" i="1"/>
  <c r="AX737" i="1"/>
  <c r="AW737" i="1"/>
  <c r="AV737" i="1"/>
  <c r="AU737" i="1"/>
  <c r="AU8" i="9" s="1"/>
  <c r="AT737" i="1"/>
  <c r="AR737" i="1"/>
  <c r="AQ737" i="1"/>
  <c r="AP737" i="1"/>
  <c r="AO737" i="1"/>
  <c r="AN737" i="1"/>
  <c r="AM737" i="1"/>
  <c r="AM8" i="9" s="1"/>
  <c r="AL737" i="1"/>
  <c r="AK737" i="1"/>
  <c r="AJ737" i="1"/>
  <c r="AI737" i="1"/>
  <c r="AH737" i="1"/>
  <c r="AG737" i="1"/>
  <c r="AF737" i="1"/>
  <c r="AE737" i="1"/>
  <c r="AD737" i="1"/>
  <c r="AC737" i="1"/>
  <c r="AB737" i="1"/>
  <c r="AA737" i="1"/>
  <c r="Z737" i="1"/>
  <c r="Z739" i="1" s="1"/>
  <c r="Z749" i="1" s="1"/>
  <c r="Y737" i="1"/>
  <c r="X737" i="1"/>
  <c r="W737" i="1"/>
  <c r="V737" i="1"/>
  <c r="U737" i="1"/>
  <c r="S737" i="1"/>
  <c r="R737" i="1"/>
  <c r="R8" i="9" s="1"/>
  <c r="Q737" i="1"/>
  <c r="P737" i="1"/>
  <c r="N737" i="1"/>
  <c r="M737" i="1"/>
  <c r="L737" i="1"/>
  <c r="L739" i="1" s="1"/>
  <c r="K737" i="1"/>
  <c r="I737" i="1"/>
  <c r="H737" i="1"/>
  <c r="G737" i="1"/>
  <c r="F737" i="1"/>
  <c r="E737" i="1"/>
  <c r="D737" i="1"/>
  <c r="C737" i="1"/>
  <c r="BY736" i="1"/>
  <c r="BZ736" i="1" s="1"/>
  <c r="BZ1000" i="1" s="1"/>
  <c r="BZ1005" i="1" s="1"/>
  <c r="BX736" i="1"/>
  <c r="BW736" i="1"/>
  <c r="BV736" i="1"/>
  <c r="BU736" i="1"/>
  <c r="BT736" i="1"/>
  <c r="BS736" i="1"/>
  <c r="BR736" i="1"/>
  <c r="BQ736" i="1"/>
  <c r="BP736" i="1"/>
  <c r="BO736" i="1"/>
  <c r="BN736" i="1"/>
  <c r="BL736" i="1"/>
  <c r="BK736" i="1"/>
  <c r="BJ736" i="1"/>
  <c r="BI736" i="1"/>
  <c r="BG736" i="1"/>
  <c r="BF736" i="1"/>
  <c r="BE736" i="1"/>
  <c r="BD736" i="1"/>
  <c r="BB736" i="1"/>
  <c r="BA736" i="1"/>
  <c r="AZ736" i="1"/>
  <c r="AY736" i="1"/>
  <c r="AW736" i="1"/>
  <c r="AV736" i="1"/>
  <c r="AU736" i="1"/>
  <c r="AT736" i="1"/>
  <c r="AS736" i="1"/>
  <c r="AR736" i="1"/>
  <c r="AQ736" i="1"/>
  <c r="AP736" i="1"/>
  <c r="AO736" i="1"/>
  <c r="AN736" i="1"/>
  <c r="AM736" i="1"/>
  <c r="AL736" i="1"/>
  <c r="AK736" i="1"/>
  <c r="AJ736" i="1"/>
  <c r="AI736" i="1"/>
  <c r="AH736" i="1"/>
  <c r="AG736" i="1"/>
  <c r="AF736" i="1"/>
  <c r="AE736" i="1"/>
  <c r="AD736" i="1"/>
  <c r="AC736" i="1"/>
  <c r="AB736" i="1"/>
  <c r="AA736" i="1"/>
  <c r="Z736" i="1"/>
  <c r="X736" i="1"/>
  <c r="W736" i="1"/>
  <c r="V736" i="1"/>
  <c r="U736" i="1"/>
  <c r="T736" i="1"/>
  <c r="S736" i="1"/>
  <c r="R736" i="1"/>
  <c r="Q736" i="1"/>
  <c r="P736" i="1"/>
  <c r="N736" i="1"/>
  <c r="M736" i="1"/>
  <c r="L736" i="1"/>
  <c r="K736" i="1"/>
  <c r="J736" i="1"/>
  <c r="I736" i="1"/>
  <c r="H736" i="1"/>
  <c r="G736" i="1"/>
  <c r="F736" i="1"/>
  <c r="E736" i="1"/>
  <c r="D736" i="1"/>
  <c r="C736" i="1"/>
  <c r="BY735" i="1"/>
  <c r="BX735" i="1"/>
  <c r="BW735" i="1"/>
  <c r="BV735" i="1"/>
  <c r="BU735" i="1"/>
  <c r="BT735" i="1"/>
  <c r="BS735" i="1"/>
  <c r="BR735" i="1"/>
  <c r="BQ735" i="1"/>
  <c r="BP735" i="1"/>
  <c r="BO735" i="1"/>
  <c r="BN735" i="1"/>
  <c r="BM735" i="1"/>
  <c r="BL735" i="1"/>
  <c r="BK735" i="1"/>
  <c r="BJ735" i="1"/>
  <c r="BI735" i="1"/>
  <c r="BG735" i="1"/>
  <c r="BF735" i="1"/>
  <c r="BE735" i="1"/>
  <c r="BD735" i="1"/>
  <c r="BC735" i="1"/>
  <c r="BB735" i="1"/>
  <c r="BA735" i="1"/>
  <c r="AZ735" i="1"/>
  <c r="AY735" i="1"/>
  <c r="AW735" i="1"/>
  <c r="AV735" i="1"/>
  <c r="AU735" i="1"/>
  <c r="AT735" i="1"/>
  <c r="AS735" i="1"/>
  <c r="AR735" i="1"/>
  <c r="AQ735" i="1"/>
  <c r="AP735" i="1"/>
  <c r="AO735" i="1"/>
  <c r="AN735" i="1"/>
  <c r="AM735" i="1"/>
  <c r="AL735" i="1"/>
  <c r="AK735" i="1"/>
  <c r="AJ735" i="1"/>
  <c r="AI735" i="1"/>
  <c r="AH735" i="1"/>
  <c r="AG735" i="1"/>
  <c r="AF735" i="1"/>
  <c r="AE735" i="1"/>
  <c r="AD735" i="1"/>
  <c r="AC735" i="1"/>
  <c r="AB735" i="1"/>
  <c r="AA735" i="1"/>
  <c r="Z735" i="1"/>
  <c r="Y735" i="1"/>
  <c r="X735" i="1"/>
  <c r="W735" i="1"/>
  <c r="V735" i="1"/>
  <c r="U735" i="1"/>
  <c r="S735" i="1"/>
  <c r="R735" i="1"/>
  <c r="Q735" i="1"/>
  <c r="P735" i="1"/>
  <c r="N735" i="1"/>
  <c r="M735" i="1"/>
  <c r="L735" i="1"/>
  <c r="K735" i="1"/>
  <c r="I735" i="1"/>
  <c r="H735" i="1"/>
  <c r="G735" i="1"/>
  <c r="F735" i="1"/>
  <c r="E735" i="1"/>
  <c r="D735" i="1"/>
  <c r="C735" i="1"/>
  <c r="BY734" i="1"/>
  <c r="BX734" i="1"/>
  <c r="BW734" i="1"/>
  <c r="BV734" i="1"/>
  <c r="BU734" i="1"/>
  <c r="BT734" i="1"/>
  <c r="BS734" i="1"/>
  <c r="BQ734" i="1"/>
  <c r="BP734" i="1"/>
  <c r="BO734" i="1"/>
  <c r="BN734" i="1"/>
  <c r="BL734" i="1"/>
  <c r="BK734" i="1"/>
  <c r="BJ734" i="1"/>
  <c r="BI734" i="1"/>
  <c r="BG734" i="1"/>
  <c r="BF734" i="1"/>
  <c r="BE734" i="1"/>
  <c r="BD734" i="1"/>
  <c r="BB734" i="1"/>
  <c r="BA734" i="1"/>
  <c r="AZ734" i="1"/>
  <c r="AY734" i="1"/>
  <c r="AW734" i="1"/>
  <c r="AV734" i="1"/>
  <c r="AU734" i="1"/>
  <c r="AT734" i="1"/>
  <c r="AS734" i="1"/>
  <c r="AR734" i="1"/>
  <c r="AQ734" i="1"/>
  <c r="AP734" i="1"/>
  <c r="AO734" i="1"/>
  <c r="AM734" i="1"/>
  <c r="AL734" i="1"/>
  <c r="AK734" i="1"/>
  <c r="AJ734" i="1"/>
  <c r="AH734" i="1"/>
  <c r="AG734" i="1"/>
  <c r="AF734" i="1"/>
  <c r="AE734" i="1"/>
  <c r="AD734" i="1"/>
  <c r="AC734" i="1"/>
  <c r="AB734" i="1"/>
  <c r="AA734" i="1"/>
  <c r="Z734" i="1"/>
  <c r="Y734" i="1"/>
  <c r="X734" i="1"/>
  <c r="W734" i="1"/>
  <c r="V734" i="1"/>
  <c r="U734" i="1"/>
  <c r="S734" i="1"/>
  <c r="R734" i="1"/>
  <c r="Q734" i="1"/>
  <c r="P734" i="1"/>
  <c r="O734" i="1"/>
  <c r="N734" i="1"/>
  <c r="M734" i="1"/>
  <c r="L734" i="1"/>
  <c r="K734" i="1"/>
  <c r="J734" i="1"/>
  <c r="I734" i="1"/>
  <c r="H734" i="1"/>
  <c r="G734" i="1"/>
  <c r="F734" i="1"/>
  <c r="E734" i="1"/>
  <c r="D734" i="1"/>
  <c r="C734" i="1"/>
  <c r="BY721" i="1"/>
  <c r="AG721" i="1"/>
  <c r="AG722" i="1" s="1"/>
  <c r="CH719" i="1"/>
  <c r="CC719" i="1"/>
  <c r="BQ718" i="1"/>
  <c r="BQ73" i="9" s="1"/>
  <c r="BO718" i="1"/>
  <c r="BO73" i="9" s="1"/>
  <c r="BG718" i="1"/>
  <c r="BG73" i="9" s="1"/>
  <c r="AQ718" i="1"/>
  <c r="AQ73" i="9" s="1"/>
  <c r="AP718" i="1"/>
  <c r="AP73" i="9" s="1"/>
  <c r="AN718" i="1"/>
  <c r="AN73" i="9" s="1"/>
  <c r="AL718" i="1"/>
  <c r="AL73" i="9" s="1"/>
  <c r="AC718" i="1"/>
  <c r="AC73" i="9" s="1"/>
  <c r="AB718" i="1"/>
  <c r="AB73" i="9" s="1"/>
  <c r="AA718" i="1"/>
  <c r="AA73" i="9" s="1"/>
  <c r="V718" i="1"/>
  <c r="V73" i="9" s="1"/>
  <c r="R718" i="1"/>
  <c r="R73" i="9" s="1"/>
  <c r="N718" i="1"/>
  <c r="N73" i="9" s="1"/>
  <c r="M718" i="1"/>
  <c r="M73" i="9" s="1"/>
  <c r="L718" i="1"/>
  <c r="L73" i="9" s="1"/>
  <c r="K718" i="1"/>
  <c r="K73" i="9" s="1"/>
  <c r="H718" i="1"/>
  <c r="H73" i="9" s="1"/>
  <c r="C718" i="1"/>
  <c r="C73" i="9" s="1"/>
  <c r="BW717" i="1"/>
  <c r="BW74" i="9" s="1"/>
  <c r="BV717" i="1"/>
  <c r="BV74" i="9" s="1"/>
  <c r="BM717" i="1"/>
  <c r="BM74" i="9" s="1"/>
  <c r="BL717" i="1"/>
  <c r="BL74" i="9" s="1"/>
  <c r="BJ717" i="1"/>
  <c r="BJ74" i="9" s="1"/>
  <c r="AR717" i="1"/>
  <c r="AR74" i="9" s="1"/>
  <c r="AQ717" i="1"/>
  <c r="AQ74" i="9" s="1"/>
  <c r="AH717" i="1"/>
  <c r="AH74" i="9" s="1"/>
  <c r="AG717" i="1"/>
  <c r="AG74" i="9" s="1"/>
  <c r="AF717" i="1"/>
  <c r="AF74" i="9" s="1"/>
  <c r="P717" i="1"/>
  <c r="P74" i="9" s="1"/>
  <c r="N717" i="1"/>
  <c r="N74" i="9" s="1"/>
  <c r="K717" i="1"/>
  <c r="K74" i="9" s="1"/>
  <c r="H717" i="1"/>
  <c r="H74" i="9" s="1"/>
  <c r="F717" i="1"/>
  <c r="F74" i="9" s="1"/>
  <c r="C717" i="1"/>
  <c r="C74" i="9" s="1"/>
  <c r="CH715" i="1"/>
  <c r="CH80" i="9" s="1"/>
  <c r="CC715" i="1"/>
  <c r="CC80" i="9" s="1"/>
  <c r="BX715" i="1"/>
  <c r="BX80" i="9" s="1"/>
  <c r="BO715" i="1"/>
  <c r="BM715" i="1"/>
  <c r="BM80" i="9" s="1"/>
  <c r="BL715" i="1"/>
  <c r="BL80" i="9" s="1"/>
  <c r="BK715" i="1"/>
  <c r="BK80" i="9" s="1"/>
  <c r="BJ715" i="1"/>
  <c r="BH715" i="1"/>
  <c r="BH80" i="9" s="1"/>
  <c r="BG715" i="1"/>
  <c r="BG80" i="9" s="1"/>
  <c r="BF715" i="1"/>
  <c r="BF80" i="9" s="1"/>
  <c r="BE715" i="1"/>
  <c r="BC715" i="1"/>
  <c r="BC80" i="9" s="1"/>
  <c r="BB715" i="1"/>
  <c r="BB80" i="9" s="1"/>
  <c r="BA715" i="1"/>
  <c r="AZ715" i="1"/>
  <c r="AZ80" i="9" s="1"/>
  <c r="AX715" i="1"/>
  <c r="AX80" i="9" s="1"/>
  <c r="AW715" i="1"/>
  <c r="AW80" i="9" s="1"/>
  <c r="AV715" i="1"/>
  <c r="AV80" i="9" s="1"/>
  <c r="AU715" i="1"/>
  <c r="AS715" i="1"/>
  <c r="AS80" i="9" s="1"/>
  <c r="AR715" i="1"/>
  <c r="AR80" i="9" s="1"/>
  <c r="AQ715" i="1"/>
  <c r="AQ80" i="9" s="1"/>
  <c r="AP715" i="1"/>
  <c r="AN715" i="1"/>
  <c r="AN80" i="9" s="1"/>
  <c r="AM715" i="1"/>
  <c r="AM80" i="9" s="1"/>
  <c r="AL715" i="1"/>
  <c r="AL80" i="9" s="1"/>
  <c r="AK715" i="1"/>
  <c r="AI715" i="1"/>
  <c r="AI80" i="9" s="1"/>
  <c r="AH715" i="1"/>
  <c r="AH80" i="9" s="1"/>
  <c r="AG715" i="1"/>
  <c r="AG80" i="9" s="1"/>
  <c r="AF715" i="1"/>
  <c r="AD715" i="1"/>
  <c r="AD80" i="9" s="1"/>
  <c r="AC715" i="1"/>
  <c r="AC80" i="9" s="1"/>
  <c r="AB715" i="1"/>
  <c r="AB80" i="9" s="1"/>
  <c r="AA715" i="1"/>
  <c r="AA80" i="9" s="1"/>
  <c r="Y715" i="1"/>
  <c r="Y80" i="9" s="1"/>
  <c r="X715" i="1"/>
  <c r="W715" i="1"/>
  <c r="W80" i="9" s="1"/>
  <c r="V715" i="1"/>
  <c r="V80" i="9" s="1"/>
  <c r="T715" i="1"/>
  <c r="T80" i="9" s="1"/>
  <c r="S715" i="1"/>
  <c r="S80" i="9" s="1"/>
  <c r="R715" i="1"/>
  <c r="Q715" i="1"/>
  <c r="Q80" i="9" s="1"/>
  <c r="P715" i="1"/>
  <c r="P80" i="9" s="1"/>
  <c r="O715" i="1"/>
  <c r="O80" i="9" s="1"/>
  <c r="N715" i="1"/>
  <c r="N80" i="9" s="1"/>
  <c r="M715" i="1"/>
  <c r="M80" i="9" s="1"/>
  <c r="L715" i="1"/>
  <c r="L80" i="9" s="1"/>
  <c r="J715" i="1"/>
  <c r="J80" i="9" s="1"/>
  <c r="I715" i="1"/>
  <c r="I80" i="9" s="1"/>
  <c r="H715" i="1"/>
  <c r="H80" i="9" s="1"/>
  <c r="G715" i="1"/>
  <c r="F715" i="1"/>
  <c r="F80" i="9" s="1"/>
  <c r="E715" i="1"/>
  <c r="E80" i="9" s="1"/>
  <c r="D715" i="1"/>
  <c r="D80" i="9" s="1"/>
  <c r="C715" i="1"/>
  <c r="C80" i="9" s="1"/>
  <c r="BY714" i="1"/>
  <c r="BY69" i="9" s="1"/>
  <c r="BW714" i="1"/>
  <c r="BW69" i="9" s="1"/>
  <c r="BV714" i="1"/>
  <c r="BV69" i="9" s="1"/>
  <c r="BU714" i="1"/>
  <c r="BU69" i="9" s="1"/>
  <c r="BT714" i="1"/>
  <c r="BT69" i="9" s="1"/>
  <c r="BP714" i="1"/>
  <c r="BP69" i="9" s="1"/>
  <c r="BO714" i="1"/>
  <c r="BO69" i="9" s="1"/>
  <c r="BM714" i="1"/>
  <c r="BM69" i="9" s="1"/>
  <c r="BL714" i="1"/>
  <c r="BL69" i="9" s="1"/>
  <c r="BK714" i="1"/>
  <c r="BK69" i="9" s="1"/>
  <c r="BJ714" i="1"/>
  <c r="BJ69" i="9" s="1"/>
  <c r="BF714" i="1"/>
  <c r="BF69" i="9" s="1"/>
  <c r="BE714" i="1"/>
  <c r="BE69" i="9" s="1"/>
  <c r="BB714" i="1"/>
  <c r="BB69" i="9" s="1"/>
  <c r="BA714" i="1"/>
  <c r="BA69" i="9" s="1"/>
  <c r="AZ714" i="1"/>
  <c r="AZ69" i="9" s="1"/>
  <c r="AW714" i="1"/>
  <c r="AW69" i="9" s="1"/>
  <c r="AV714" i="1"/>
  <c r="AV69" i="9" s="1"/>
  <c r="AR714" i="1"/>
  <c r="AR69" i="9" s="1"/>
  <c r="AQ714" i="1"/>
  <c r="AQ69" i="9" s="1"/>
  <c r="AP714" i="1"/>
  <c r="AP69" i="9" s="1"/>
  <c r="AN714" i="1"/>
  <c r="AN69" i="9" s="1"/>
  <c r="AM714" i="1"/>
  <c r="AM69" i="9" s="1"/>
  <c r="AL714" i="1"/>
  <c r="AL69" i="9" s="1"/>
  <c r="AI714" i="1"/>
  <c r="AI69" i="9" s="1"/>
  <c r="AG714" i="1"/>
  <c r="AG69" i="9" s="1"/>
  <c r="AF714" i="1"/>
  <c r="AF69" i="9" s="1"/>
  <c r="AD714" i="1"/>
  <c r="AD69" i="9" s="1"/>
  <c r="AC714" i="1"/>
  <c r="AC69" i="9" s="1"/>
  <c r="AB714" i="1"/>
  <c r="AB69" i="9" s="1"/>
  <c r="AA714" i="1"/>
  <c r="AA69" i="9" s="1"/>
  <c r="U714" i="1"/>
  <c r="U69" i="9" s="1"/>
  <c r="T714" i="1"/>
  <c r="T69" i="9" s="1"/>
  <c r="S714" i="1"/>
  <c r="S69" i="9" s="1"/>
  <c r="R714" i="1"/>
  <c r="R69" i="9" s="1"/>
  <c r="Q714" i="1"/>
  <c r="Q69" i="9" s="1"/>
  <c r="N714" i="1"/>
  <c r="N69" i="9" s="1"/>
  <c r="I714" i="1"/>
  <c r="I69" i="9" s="1"/>
  <c r="H714" i="1"/>
  <c r="H69" i="9" s="1"/>
  <c r="G714" i="1"/>
  <c r="G69" i="9" s="1"/>
  <c r="E714" i="1"/>
  <c r="E69" i="9" s="1"/>
  <c r="CH713" i="1"/>
  <c r="CH72" i="9" s="1"/>
  <c r="CC713" i="1"/>
  <c r="CC72" i="9" s="1"/>
  <c r="BY713" i="1"/>
  <c r="BY72" i="9" s="1"/>
  <c r="BW713" i="1"/>
  <c r="BW72" i="9" s="1"/>
  <c r="BV713" i="1"/>
  <c r="BV72" i="9" s="1"/>
  <c r="BU713" i="1"/>
  <c r="BU72" i="9" s="1"/>
  <c r="BR713" i="1"/>
  <c r="BR72" i="9" s="1"/>
  <c r="BQ713" i="1"/>
  <c r="BQ72" i="9" s="1"/>
  <c r="BP713" i="1"/>
  <c r="BP72" i="9" s="1"/>
  <c r="BO713" i="1"/>
  <c r="BO72" i="9" s="1"/>
  <c r="BL713" i="1"/>
  <c r="BL72" i="9" s="1"/>
  <c r="BK713" i="1"/>
  <c r="BK72" i="9" s="1"/>
  <c r="BJ713" i="1"/>
  <c r="BJ72" i="9" s="1"/>
  <c r="BH713" i="1"/>
  <c r="BH72" i="9" s="1"/>
  <c r="BG713" i="1"/>
  <c r="BG72" i="9" s="1"/>
  <c r="BF713" i="1"/>
  <c r="BF72" i="9" s="1"/>
  <c r="BE713" i="1"/>
  <c r="BE72" i="9" s="1"/>
  <c r="BB713" i="1"/>
  <c r="BB72" i="9" s="1"/>
  <c r="BA713" i="1"/>
  <c r="BA72" i="9" s="1"/>
  <c r="AZ713" i="1"/>
  <c r="AZ72" i="9" s="1"/>
  <c r="AX713" i="1"/>
  <c r="AX72" i="9" s="1"/>
  <c r="AW713" i="1"/>
  <c r="AW72" i="9" s="1"/>
  <c r="AV713" i="1"/>
  <c r="AV72" i="9" s="1"/>
  <c r="AU713" i="1"/>
  <c r="AU72" i="9" s="1"/>
  <c r="AQ713" i="1"/>
  <c r="AQ72" i="9" s="1"/>
  <c r="AP713" i="1"/>
  <c r="AP72" i="9" s="1"/>
  <c r="AN713" i="1"/>
  <c r="AN72" i="9" s="1"/>
  <c r="AM713" i="1"/>
  <c r="AM72" i="9" s="1"/>
  <c r="AL713" i="1"/>
  <c r="AL72" i="9" s="1"/>
  <c r="AK713" i="1"/>
  <c r="AK72" i="9" s="1"/>
  <c r="AI713" i="1"/>
  <c r="AI72" i="9" s="1"/>
  <c r="AH713" i="1"/>
  <c r="AH72" i="9" s="1"/>
  <c r="AF713" i="1"/>
  <c r="AF72" i="9" s="1"/>
  <c r="AD713" i="1"/>
  <c r="AD72" i="9" s="1"/>
  <c r="AC713" i="1"/>
  <c r="AC72" i="9" s="1"/>
  <c r="AA713" i="1"/>
  <c r="AA72" i="9" s="1"/>
  <c r="X713" i="1"/>
  <c r="X72" i="9" s="1"/>
  <c r="W713" i="1"/>
  <c r="W72" i="9" s="1"/>
  <c r="V713" i="1"/>
  <c r="V72" i="9" s="1"/>
  <c r="U713" i="1"/>
  <c r="U72" i="9" s="1"/>
  <c r="Q713" i="1"/>
  <c r="Q72" i="9" s="1"/>
  <c r="P713" i="1"/>
  <c r="P72" i="9" s="1"/>
  <c r="N713" i="1"/>
  <c r="N72" i="9" s="1"/>
  <c r="M713" i="1"/>
  <c r="M72" i="9" s="1"/>
  <c r="L713" i="1"/>
  <c r="L72" i="9" s="1"/>
  <c r="K713" i="1"/>
  <c r="K72" i="9" s="1"/>
  <c r="G713" i="1"/>
  <c r="G72" i="9" s="1"/>
  <c r="F713" i="1"/>
  <c r="F72" i="9" s="1"/>
  <c r="E713" i="1"/>
  <c r="E72" i="9" s="1"/>
  <c r="D713" i="1"/>
  <c r="D72" i="9" s="1"/>
  <c r="C713" i="1"/>
  <c r="C72" i="9" s="1"/>
  <c r="BV712" i="1"/>
  <c r="BU712" i="1"/>
  <c r="BT712" i="1"/>
  <c r="BQ712" i="1"/>
  <c r="BJ712" i="1"/>
  <c r="BG712" i="1"/>
  <c r="BF712" i="1"/>
  <c r="BE712" i="1"/>
  <c r="AZ712" i="1"/>
  <c r="AZ944" i="1" s="1"/>
  <c r="AW712" i="1"/>
  <c r="AV712" i="1"/>
  <c r="AU712" i="1"/>
  <c r="AS712" i="1"/>
  <c r="AR712" i="1"/>
  <c r="AQ712" i="1"/>
  <c r="AO712" i="1"/>
  <c r="AN712" i="1"/>
  <c r="AM712" i="1"/>
  <c r="AL712" i="1"/>
  <c r="AK712" i="1"/>
  <c r="AH712" i="1"/>
  <c r="AG712" i="1"/>
  <c r="AG944" i="1" s="1"/>
  <c r="AF712" i="1"/>
  <c r="AD712" i="1"/>
  <c r="AC712" i="1"/>
  <c r="AB712" i="1"/>
  <c r="AA712" i="1"/>
  <c r="X712" i="1"/>
  <c r="W712" i="1"/>
  <c r="V712" i="1"/>
  <c r="U712" i="1"/>
  <c r="T712" i="1"/>
  <c r="S712" i="1"/>
  <c r="Q712" i="1"/>
  <c r="P712" i="1"/>
  <c r="N712" i="1"/>
  <c r="M712" i="1"/>
  <c r="L712" i="1"/>
  <c r="K712" i="1"/>
  <c r="J712" i="1"/>
  <c r="I712" i="1"/>
  <c r="H712" i="1"/>
  <c r="F712" i="1"/>
  <c r="E712" i="1"/>
  <c r="E944" i="1" s="1"/>
  <c r="D712" i="1"/>
  <c r="C712" i="1"/>
  <c r="CK711" i="1"/>
  <c r="CJ711" i="1"/>
  <c r="CI711" i="1"/>
  <c r="A711" i="1"/>
  <c r="A710" i="1"/>
  <c r="A1136" i="1" s="1"/>
  <c r="BV709" i="1"/>
  <c r="BU709" i="1"/>
  <c r="BT709" i="1"/>
  <c r="BR709" i="1"/>
  <c r="BQ709" i="1"/>
  <c r="BP709" i="1"/>
  <c r="BO709" i="1"/>
  <c r="BM709" i="1"/>
  <c r="BL709" i="1"/>
  <c r="BK709" i="1"/>
  <c r="BJ709" i="1"/>
  <c r="BJ556" i="1" s="1"/>
  <c r="BH709" i="1"/>
  <c r="BH556" i="1" s="1"/>
  <c r="BG709" i="1"/>
  <c r="BF709" i="1"/>
  <c r="BB709" i="1"/>
  <c r="BA709" i="1"/>
  <c r="AZ709" i="1"/>
  <c r="AZ556" i="1" s="1"/>
  <c r="AW709" i="1"/>
  <c r="AV709" i="1"/>
  <c r="AV556" i="1" s="1"/>
  <c r="AU709" i="1"/>
  <c r="AP709" i="1"/>
  <c r="AP67" i="9" s="1"/>
  <c r="AM709" i="1"/>
  <c r="AL709" i="1"/>
  <c r="AK709" i="1"/>
  <c r="AD709" i="1"/>
  <c r="AD556" i="1" s="1"/>
  <c r="AC709" i="1"/>
  <c r="AC556" i="1" s="1"/>
  <c r="AB709" i="1"/>
  <c r="AB556" i="1" s="1"/>
  <c r="AA709" i="1"/>
  <c r="Y709" i="1"/>
  <c r="X709" i="1"/>
  <c r="W709" i="1"/>
  <c r="U709" i="1"/>
  <c r="U556" i="1" s="1"/>
  <c r="T709" i="1"/>
  <c r="T556" i="1" s="1"/>
  <c r="S709" i="1"/>
  <c r="S556" i="1" s="1"/>
  <c r="R709" i="1"/>
  <c r="R556" i="1" s="1"/>
  <c r="Q709" i="1"/>
  <c r="P709" i="1"/>
  <c r="O709" i="1"/>
  <c r="N709" i="1"/>
  <c r="N67" i="9" s="1"/>
  <c r="M709" i="1"/>
  <c r="L709" i="1"/>
  <c r="K709" i="1"/>
  <c r="K556" i="1" s="1"/>
  <c r="I709" i="1"/>
  <c r="H709" i="1"/>
  <c r="G709" i="1"/>
  <c r="F709" i="1"/>
  <c r="E709" i="1"/>
  <c r="D709" i="1"/>
  <c r="D556" i="1" s="1"/>
  <c r="C709" i="1"/>
  <c r="C556" i="1" s="1"/>
  <c r="BY654" i="1"/>
  <c r="BX654" i="1"/>
  <c r="BW654" i="1"/>
  <c r="BV654" i="1"/>
  <c r="BU654" i="1"/>
  <c r="BT654" i="1"/>
  <c r="BS654" i="1"/>
  <c r="BR654" i="1"/>
  <c r="BQ654" i="1"/>
  <c r="BP654" i="1"/>
  <c r="BO654" i="1"/>
  <c r="BN654" i="1"/>
  <c r="BM654" i="1"/>
  <c r="BL654" i="1"/>
  <c r="BK654" i="1"/>
  <c r="BJ654" i="1"/>
  <c r="BI654" i="1"/>
  <c r="BH654" i="1"/>
  <c r="BG654" i="1"/>
  <c r="BF654" i="1"/>
  <c r="BE654" i="1"/>
  <c r="BD654" i="1"/>
  <c r="BC654" i="1"/>
  <c r="BB654" i="1"/>
  <c r="BA654" i="1"/>
  <c r="AZ654" i="1"/>
  <c r="AY654" i="1"/>
  <c r="AX654" i="1"/>
  <c r="AW654" i="1"/>
  <c r="AV654" i="1"/>
  <c r="AU654" i="1"/>
  <c r="AT654" i="1"/>
  <c r="AS654" i="1"/>
  <c r="AR654" i="1"/>
  <c r="AQ654" i="1"/>
  <c r="AP654" i="1"/>
  <c r="AO654" i="1"/>
  <c r="AN654" i="1"/>
  <c r="AM654" i="1"/>
  <c r="AL654" i="1"/>
  <c r="AK654" i="1"/>
  <c r="AJ654" i="1"/>
  <c r="AI654" i="1"/>
  <c r="CG650" i="1"/>
  <c r="CE650" i="1"/>
  <c r="CH649" i="1"/>
  <c r="CC649" i="1"/>
  <c r="CH648" i="1"/>
  <c r="CC648" i="1"/>
  <c r="AJ648" i="1"/>
  <c r="CH647" i="1"/>
  <c r="AJ647" i="1"/>
  <c r="CH646" i="1"/>
  <c r="CG646" i="1"/>
  <c r="CF646" i="1"/>
  <c r="CF650" i="1" s="1"/>
  <c r="CF288" i="1" s="1"/>
  <c r="CE646" i="1"/>
  <c r="CD646" i="1"/>
  <c r="CD650" i="1" s="1"/>
  <c r="CD288" i="1" s="1"/>
  <c r="CB646" i="1"/>
  <c r="CB650" i="1" s="1"/>
  <c r="CA646" i="1"/>
  <c r="CA650" i="1" s="1"/>
  <c r="AJ646" i="1"/>
  <c r="CE634" i="1"/>
  <c r="G634" i="1"/>
  <c r="CH633" i="1"/>
  <c r="CC633" i="1"/>
  <c r="K633" i="1"/>
  <c r="CH632" i="1"/>
  <c r="CC632" i="1"/>
  <c r="AJ632" i="1"/>
  <c r="K632" i="1"/>
  <c r="CH631" i="1"/>
  <c r="AJ631" i="1"/>
  <c r="K631" i="1"/>
  <c r="CH630" i="1"/>
  <c r="CG630" i="1"/>
  <c r="CG634" i="1" s="1"/>
  <c r="CF630" i="1"/>
  <c r="CF634" i="1" s="1"/>
  <c r="CE630" i="1"/>
  <c r="CD630" i="1"/>
  <c r="CD634" i="1" s="1"/>
  <c r="CD379" i="1" s="1"/>
  <c r="CB630" i="1"/>
  <c r="CB634" i="1" s="1"/>
  <c r="CB379" i="1" s="1"/>
  <c r="CA630" i="1"/>
  <c r="CA634" i="1" s="1"/>
  <c r="CA379" i="1" s="1"/>
  <c r="AJ630" i="1"/>
  <c r="O630" i="1"/>
  <c r="O634" i="1" s="1"/>
  <c r="N630" i="1"/>
  <c r="N634" i="1" s="1"/>
  <c r="M630" i="1"/>
  <c r="M634" i="1" s="1"/>
  <c r="L630" i="1"/>
  <c r="L634" i="1" s="1"/>
  <c r="J630" i="1"/>
  <c r="J634" i="1" s="1"/>
  <c r="I630" i="1"/>
  <c r="I634" i="1" s="1"/>
  <c r="H630" i="1"/>
  <c r="H634" i="1" s="1"/>
  <c r="AH625" i="1"/>
  <c r="CG607" i="1"/>
  <c r="CG606" i="1"/>
  <c r="CF606" i="1"/>
  <c r="CE606" i="1"/>
  <c r="CD606" i="1"/>
  <c r="BY592" i="1"/>
  <c r="BX592" i="1"/>
  <c r="BW592" i="1"/>
  <c r="BV592" i="1"/>
  <c r="BU592" i="1"/>
  <c r="BT592" i="1"/>
  <c r="BS592" i="1"/>
  <c r="BR592" i="1"/>
  <c r="BQ592" i="1"/>
  <c r="BP592" i="1"/>
  <c r="BO592" i="1"/>
  <c r="BN592" i="1"/>
  <c r="BM592" i="1"/>
  <c r="BL592" i="1"/>
  <c r="BK592" i="1"/>
  <c r="BJ592" i="1"/>
  <c r="BI592" i="1"/>
  <c r="BH592" i="1"/>
  <c r="BG592" i="1"/>
  <c r="BF592" i="1"/>
  <c r="BE592" i="1"/>
  <c r="BD592" i="1"/>
  <c r="BC592" i="1"/>
  <c r="BB592" i="1"/>
  <c r="BA592" i="1"/>
  <c r="AZ592" i="1"/>
  <c r="AY592" i="1"/>
  <c r="AX592" i="1"/>
  <c r="AW592" i="1"/>
  <c r="AV592" i="1"/>
  <c r="AU592" i="1"/>
  <c r="AT592" i="1"/>
  <c r="AS592" i="1"/>
  <c r="AR592" i="1"/>
  <c r="AQ592" i="1"/>
  <c r="AP592" i="1"/>
  <c r="AO592" i="1"/>
  <c r="AN592" i="1"/>
  <c r="AM592" i="1"/>
  <c r="AL592" i="1"/>
  <c r="AK592" i="1"/>
  <c r="AJ592" i="1"/>
  <c r="AI592" i="1"/>
  <c r="AH592" i="1"/>
  <c r="CE585" i="1"/>
  <c r="BE581" i="1"/>
  <c r="CH579" i="1"/>
  <c r="CH606" i="1" s="1"/>
  <c r="CC579" i="1"/>
  <c r="CH578" i="1"/>
  <c r="CF607" i="1" s="1"/>
  <c r="CC578" i="1"/>
  <c r="AJ578" i="1"/>
  <c r="CH577" i="1"/>
  <c r="CE607" i="1" s="1"/>
  <c r="AJ577" i="1"/>
  <c r="CH576" i="1"/>
  <c r="CD607" i="1" s="1"/>
  <c r="CG576" i="1"/>
  <c r="CG580" i="1" s="1"/>
  <c r="CF576" i="1"/>
  <c r="CF580" i="1" s="1"/>
  <c r="CE576" i="1"/>
  <c r="CE580" i="1" s="1"/>
  <c r="CE588" i="1" s="1"/>
  <c r="CD576" i="1"/>
  <c r="CD580" i="1" s="1"/>
  <c r="CB576" i="1"/>
  <c r="CB580" i="1" s="1"/>
  <c r="CA576" i="1"/>
  <c r="CA580" i="1" s="1"/>
  <c r="AJ576" i="1"/>
  <c r="AH576" i="1"/>
  <c r="AH580" i="1" s="1"/>
  <c r="BU573" i="1"/>
  <c r="AG573" i="1"/>
  <c r="AF573" i="1"/>
  <c r="AE573" i="1"/>
  <c r="AD573" i="1"/>
  <c r="AC573" i="1"/>
  <c r="AB573" i="1"/>
  <c r="AA573" i="1"/>
  <c r="Z573" i="1"/>
  <c r="Y573" i="1"/>
  <c r="X573" i="1"/>
  <c r="W573" i="1"/>
  <c r="V573" i="1"/>
  <c r="U573" i="1"/>
  <c r="T573" i="1"/>
  <c r="S573" i="1"/>
  <c r="R573" i="1"/>
  <c r="Q573" i="1"/>
  <c r="P573" i="1"/>
  <c r="O573" i="1"/>
  <c r="N573" i="1"/>
  <c r="M573" i="1"/>
  <c r="L573" i="1"/>
  <c r="K573" i="1"/>
  <c r="J573" i="1"/>
  <c r="I573" i="1"/>
  <c r="H573" i="1"/>
  <c r="G573" i="1"/>
  <c r="F573" i="1"/>
  <c r="E573" i="1"/>
  <c r="D573" i="1"/>
  <c r="C573" i="1"/>
  <c r="BY572" i="1"/>
  <c r="BX572" i="1"/>
  <c r="BW572" i="1"/>
  <c r="BV572" i="1"/>
  <c r="BU572" i="1"/>
  <c r="BT572" i="1"/>
  <c r="BS572" i="1"/>
  <c r="BR572" i="1"/>
  <c r="BQ572" i="1"/>
  <c r="BP572" i="1"/>
  <c r="BO572" i="1"/>
  <c r="BN572" i="1"/>
  <c r="BM572" i="1"/>
  <c r="BL572" i="1"/>
  <c r="BK572" i="1"/>
  <c r="BY571" i="1"/>
  <c r="BX571" i="1"/>
  <c r="BX573" i="1" s="1"/>
  <c r="BW571" i="1"/>
  <c r="CC551" i="1" s="1"/>
  <c r="BV571" i="1"/>
  <c r="BV573" i="1" s="1"/>
  <c r="BU571" i="1"/>
  <c r="BT571" i="1"/>
  <c r="BS571" i="1"/>
  <c r="BS573" i="1" s="1"/>
  <c r="BR571" i="1"/>
  <c r="BQ571" i="1"/>
  <c r="BQ573" i="1" s="1"/>
  <c r="BP571" i="1"/>
  <c r="BO571" i="1"/>
  <c r="BO573" i="1" s="1"/>
  <c r="BN571" i="1"/>
  <c r="BN573" i="1" s="1"/>
  <c r="BM571" i="1"/>
  <c r="BM573" i="1" s="1"/>
  <c r="BL571" i="1"/>
  <c r="BK571" i="1"/>
  <c r="BY566" i="1"/>
  <c r="BX566" i="1"/>
  <c r="BW566" i="1"/>
  <c r="BQ566" i="1"/>
  <c r="BO566" i="1"/>
  <c r="AT566" i="1"/>
  <c r="AS566" i="1"/>
  <c r="BY565" i="1"/>
  <c r="BX565" i="1"/>
  <c r="BW565" i="1"/>
  <c r="BV565" i="1"/>
  <c r="BU565" i="1"/>
  <c r="BT565" i="1"/>
  <c r="BS565" i="1"/>
  <c r="BR565" i="1"/>
  <c r="BQ565" i="1"/>
  <c r="BP565" i="1"/>
  <c r="BO565" i="1"/>
  <c r="BN565" i="1"/>
  <c r="BM565" i="1"/>
  <c r="BL565" i="1"/>
  <c r="BK565" i="1"/>
  <c r="AW565" i="1"/>
  <c r="AT565" i="1"/>
  <c r="AS565" i="1"/>
  <c r="BY564" i="1"/>
  <c r="BX564" i="1"/>
  <c r="BW564" i="1"/>
  <c r="BV564" i="1"/>
  <c r="BU564" i="1"/>
  <c r="BT564" i="1"/>
  <c r="BS564" i="1"/>
  <c r="BS566" i="1" s="1"/>
  <c r="BR564" i="1"/>
  <c r="BR566" i="1" s="1"/>
  <c r="BQ564" i="1"/>
  <c r="BP564" i="1"/>
  <c r="BP566" i="1" s="1"/>
  <c r="BO564" i="1"/>
  <c r="BN564" i="1"/>
  <c r="BN566" i="1" s="1"/>
  <c r="BM564" i="1"/>
  <c r="BL564" i="1"/>
  <c r="BK564" i="1"/>
  <c r="BK566" i="1" s="1"/>
  <c r="AW564" i="1"/>
  <c r="AW566" i="1" s="1"/>
  <c r="AT564" i="1"/>
  <c r="AS564" i="1"/>
  <c r="BY560" i="1"/>
  <c r="BX560" i="1"/>
  <c r="BW560" i="1"/>
  <c r="BV560" i="1"/>
  <c r="BU560" i="1"/>
  <c r="BT560" i="1"/>
  <c r="BS560" i="1"/>
  <c r="BR560" i="1"/>
  <c r="BQ560" i="1"/>
  <c r="BP560" i="1"/>
  <c r="BO560" i="1"/>
  <c r="BN560" i="1"/>
  <c r="BM560" i="1"/>
  <c r="BL560" i="1"/>
  <c r="BK560" i="1"/>
  <c r="BJ560" i="1"/>
  <c r="BI560" i="1"/>
  <c r="BH560" i="1"/>
  <c r="BG560" i="1"/>
  <c r="BF560" i="1"/>
  <c r="BE560" i="1"/>
  <c r="BD560" i="1"/>
  <c r="BC560" i="1"/>
  <c r="BB560" i="1"/>
  <c r="BA560" i="1"/>
  <c r="AZ560" i="1"/>
  <c r="AY560" i="1"/>
  <c r="AX560" i="1"/>
  <c r="AW560" i="1"/>
  <c r="AV560" i="1"/>
  <c r="AU560" i="1"/>
  <c r="AT560" i="1"/>
  <c r="AS560" i="1"/>
  <c r="AR560" i="1"/>
  <c r="BZ558" i="1"/>
  <c r="CE557" i="1"/>
  <c r="CE558" i="1" s="1"/>
  <c r="BZ557" i="1"/>
  <c r="CK556" i="1"/>
  <c r="CJ556" i="1"/>
  <c r="CI556" i="1"/>
  <c r="CG556" i="1"/>
  <c r="CG557" i="1" s="1"/>
  <c r="CG558" i="1" s="1"/>
  <c r="CF556" i="1"/>
  <c r="CF557" i="1" s="1"/>
  <c r="CF558" i="1" s="1"/>
  <c r="CE556" i="1"/>
  <c r="CD556" i="1"/>
  <c r="CB556" i="1"/>
  <c r="CA556" i="1"/>
  <c r="BZ556" i="1"/>
  <c r="BV556" i="1"/>
  <c r="BT556" i="1"/>
  <c r="BQ556" i="1"/>
  <c r="BP556" i="1"/>
  <c r="BL556" i="1"/>
  <c r="BF556" i="1"/>
  <c r="BB556" i="1"/>
  <c r="BA556" i="1"/>
  <c r="AP556" i="1"/>
  <c r="AL556" i="1"/>
  <c r="AK556" i="1"/>
  <c r="V556" i="1"/>
  <c r="N556" i="1"/>
  <c r="M556" i="1"/>
  <c r="L556" i="1"/>
  <c r="H556" i="1"/>
  <c r="H557" i="1" s="1"/>
  <c r="F556" i="1"/>
  <c r="E556" i="1"/>
  <c r="CA555" i="1"/>
  <c r="CA711" i="1" s="1"/>
  <c r="BP555" i="1"/>
  <c r="BP711" i="1" s="1"/>
  <c r="CH554" i="1"/>
  <c r="CC554" i="1"/>
  <c r="BX554" i="1"/>
  <c r="BS554" i="1"/>
  <c r="BI554" i="1"/>
  <c r="BD554" i="1"/>
  <c r="AY554" i="1"/>
  <c r="AT554" i="1"/>
  <c r="AO554" i="1"/>
  <c r="AO555" i="1" s="1"/>
  <c r="AJ554" i="1"/>
  <c r="CH553" i="1"/>
  <c r="CC553" i="1"/>
  <c r="BX553" i="1"/>
  <c r="BI553" i="1"/>
  <c r="BD553" i="1"/>
  <c r="AY553" i="1"/>
  <c r="AT553" i="1"/>
  <c r="AO553" i="1"/>
  <c r="AJ553" i="1"/>
  <c r="CH552" i="1"/>
  <c r="BI552" i="1"/>
  <c r="BD552" i="1"/>
  <c r="AY552" i="1"/>
  <c r="AT552" i="1"/>
  <c r="AO552" i="1"/>
  <c r="AJ552" i="1"/>
  <c r="CH551" i="1"/>
  <c r="CG551" i="1"/>
  <c r="CG555" i="1" s="1"/>
  <c r="CG711" i="1" s="1"/>
  <c r="CF551" i="1"/>
  <c r="CF555" i="1" s="1"/>
  <c r="CF711" i="1" s="1"/>
  <c r="CE551" i="1"/>
  <c r="CE555" i="1" s="1"/>
  <c r="CE711" i="1" s="1"/>
  <c r="CD551" i="1"/>
  <c r="CD555" i="1" s="1"/>
  <c r="CD711" i="1" s="1"/>
  <c r="CB551" i="1"/>
  <c r="CB555" i="1" s="1"/>
  <c r="CB711" i="1" s="1"/>
  <c r="CA551" i="1"/>
  <c r="BZ551" i="1"/>
  <c r="BZ555" i="1" s="1"/>
  <c r="BZ711" i="1" s="1"/>
  <c r="BY551" i="1"/>
  <c r="BY555" i="1" s="1"/>
  <c r="BY711" i="1" s="1"/>
  <c r="BS551" i="1"/>
  <c r="BR551" i="1"/>
  <c r="BR555" i="1" s="1"/>
  <c r="BR711" i="1" s="1"/>
  <c r="BQ551" i="1"/>
  <c r="BQ555" i="1" s="1"/>
  <c r="BQ711" i="1" s="1"/>
  <c r="BP551" i="1"/>
  <c r="BI551" i="1"/>
  <c r="BD551" i="1"/>
  <c r="AY551" i="1"/>
  <c r="AU551" i="1"/>
  <c r="AU555" i="1" s="1"/>
  <c r="AU711" i="1" s="1"/>
  <c r="AT551" i="1"/>
  <c r="AR551" i="1"/>
  <c r="AR555" i="1" s="1"/>
  <c r="AQ551" i="1"/>
  <c r="AQ555" i="1" s="1"/>
  <c r="AP551" i="1"/>
  <c r="AP555" i="1" s="1"/>
  <c r="AO551" i="1"/>
  <c r="AN551" i="1"/>
  <c r="AN555" i="1" s="1"/>
  <c r="AM551" i="1"/>
  <c r="AM555" i="1" s="1"/>
  <c r="AL551" i="1"/>
  <c r="AL555" i="1" s="1"/>
  <c r="AK551" i="1"/>
  <c r="AK555" i="1" s="1"/>
  <c r="AJ551" i="1"/>
  <c r="AI551" i="1"/>
  <c r="AI555" i="1" s="1"/>
  <c r="AH551" i="1"/>
  <c r="AH555" i="1" s="1"/>
  <c r="BV548" i="1"/>
  <c r="BN548" i="1"/>
  <c r="BM548" i="1"/>
  <c r="BH548" i="1"/>
  <c r="BG548" i="1"/>
  <c r="BE548" i="1"/>
  <c r="AX548" i="1"/>
  <c r="AW548" i="1"/>
  <c r="AP548" i="1"/>
  <c r="AG548" i="1"/>
  <c r="AF548" i="1"/>
  <c r="AE548" i="1"/>
  <c r="AD548" i="1"/>
  <c r="AC548" i="1"/>
  <c r="AB548" i="1"/>
  <c r="AA548" i="1"/>
  <c r="Z548" i="1"/>
  <c r="Y548" i="1"/>
  <c r="X548" i="1"/>
  <c r="W548" i="1"/>
  <c r="V548" i="1"/>
  <c r="U548" i="1"/>
  <c r="T548" i="1"/>
  <c r="S548" i="1"/>
  <c r="R548" i="1"/>
  <c r="Q548" i="1"/>
  <c r="P548" i="1"/>
  <c r="O548" i="1"/>
  <c r="N548" i="1"/>
  <c r="M548" i="1"/>
  <c r="L548" i="1"/>
  <c r="K548" i="1"/>
  <c r="J548" i="1"/>
  <c r="I548" i="1"/>
  <c r="H548" i="1"/>
  <c r="G548" i="1"/>
  <c r="F548" i="1"/>
  <c r="E548" i="1"/>
  <c r="D548" i="1"/>
  <c r="C548" i="1"/>
  <c r="BY547" i="1"/>
  <c r="BX547" i="1"/>
  <c r="BW547" i="1"/>
  <c r="BV547" i="1"/>
  <c r="BU547" i="1"/>
  <c r="BT547" i="1"/>
  <c r="BS547" i="1"/>
  <c r="BR547" i="1"/>
  <c r="BQ547" i="1"/>
  <c r="BP547" i="1"/>
  <c r="BO547" i="1"/>
  <c r="BN547" i="1"/>
  <c r="BM547" i="1"/>
  <c r="BL547" i="1"/>
  <c r="BK547" i="1"/>
  <c r="BJ547" i="1"/>
  <c r="BI547" i="1"/>
  <c r="BH547" i="1"/>
  <c r="BG547" i="1"/>
  <c r="BF547" i="1"/>
  <c r="BE547" i="1"/>
  <c r="BD547" i="1"/>
  <c r="BC547" i="1"/>
  <c r="BB547" i="1"/>
  <c r="BA547" i="1"/>
  <c r="AZ547" i="1"/>
  <c r="AY547" i="1"/>
  <c r="AX547" i="1"/>
  <c r="AW547" i="1"/>
  <c r="AV547" i="1"/>
  <c r="BY546" i="1"/>
  <c r="BX546" i="1"/>
  <c r="BX548" i="1" s="1"/>
  <c r="BW546" i="1"/>
  <c r="BW548" i="1" s="1"/>
  <c r="BV546" i="1"/>
  <c r="BU546" i="1"/>
  <c r="BU548" i="1" s="1"/>
  <c r="BT546" i="1"/>
  <c r="BS546" i="1"/>
  <c r="BS548" i="1" s="1"/>
  <c r="BR546" i="1"/>
  <c r="BQ546" i="1"/>
  <c r="BP546" i="1"/>
  <c r="BP548" i="1" s="1"/>
  <c r="BO546" i="1"/>
  <c r="BO548" i="1" s="1"/>
  <c r="BN546" i="1"/>
  <c r="BM546" i="1"/>
  <c r="BL546" i="1"/>
  <c r="BL548" i="1" s="1"/>
  <c r="BK546" i="1"/>
  <c r="BJ546" i="1"/>
  <c r="BI546" i="1"/>
  <c r="BI548" i="1" s="1"/>
  <c r="BH546" i="1"/>
  <c r="BG546" i="1"/>
  <c r="BF546" i="1"/>
  <c r="BF548" i="1" s="1"/>
  <c r="BE546" i="1"/>
  <c r="BD546" i="1"/>
  <c r="BD548" i="1" s="1"/>
  <c r="BC546" i="1"/>
  <c r="BB546" i="1"/>
  <c r="BB548" i="1" s="1"/>
  <c r="BA546" i="1"/>
  <c r="AZ546" i="1"/>
  <c r="AY546" i="1"/>
  <c r="AY548" i="1" s="1"/>
  <c r="AX546" i="1"/>
  <c r="AW546" i="1"/>
  <c r="AV546" i="1"/>
  <c r="AT546" i="1"/>
  <c r="AT548" i="1" s="1"/>
  <c r="AS546" i="1"/>
  <c r="AR546" i="1"/>
  <c r="AQ546" i="1"/>
  <c r="AP546" i="1"/>
  <c r="AO546" i="1"/>
  <c r="AO548" i="1" s="1"/>
  <c r="AN546" i="1"/>
  <c r="AN548" i="1" s="1"/>
  <c r="AM546" i="1"/>
  <c r="AL546" i="1"/>
  <c r="AK546" i="1"/>
  <c r="AJ546" i="1"/>
  <c r="AJ548" i="1" s="1"/>
  <c r="AI546" i="1"/>
  <c r="AI548" i="1" s="1"/>
  <c r="AH546" i="1"/>
  <c r="AH548" i="1" s="1"/>
  <c r="BY535" i="1"/>
  <c r="BX535" i="1"/>
  <c r="BW535" i="1"/>
  <c r="BV535" i="1"/>
  <c r="BU535" i="1"/>
  <c r="BT535" i="1"/>
  <c r="BS535" i="1"/>
  <c r="BR535" i="1"/>
  <c r="BQ535" i="1"/>
  <c r="BP535" i="1"/>
  <c r="BO535" i="1"/>
  <c r="BN535" i="1"/>
  <c r="BM535" i="1"/>
  <c r="BL535" i="1"/>
  <c r="BK535" i="1"/>
  <c r="BJ535" i="1"/>
  <c r="BI535" i="1"/>
  <c r="BH535" i="1"/>
  <c r="BG535" i="1"/>
  <c r="BF535" i="1"/>
  <c r="BE535" i="1"/>
  <c r="BD535" i="1"/>
  <c r="BC535" i="1"/>
  <c r="BB535" i="1"/>
  <c r="BA535" i="1"/>
  <c r="AZ535" i="1"/>
  <c r="AY535" i="1"/>
  <c r="AX535" i="1"/>
  <c r="AW535" i="1"/>
  <c r="AV535" i="1"/>
  <c r="AU535" i="1"/>
  <c r="AT535" i="1"/>
  <c r="AS535" i="1"/>
  <c r="AR535" i="1"/>
  <c r="AQ535" i="1"/>
  <c r="AP535" i="1"/>
  <c r="AO535" i="1"/>
  <c r="AN535" i="1"/>
  <c r="AM535" i="1"/>
  <c r="AL535" i="1"/>
  <c r="AK535" i="1"/>
  <c r="AJ535" i="1"/>
  <c r="AI535" i="1"/>
  <c r="AH535" i="1"/>
  <c r="CG530" i="1"/>
  <c r="CB530" i="1"/>
  <c r="CH529" i="1"/>
  <c r="CC529" i="1"/>
  <c r="BX529" i="1"/>
  <c r="BN529" i="1"/>
  <c r="BI529" i="1"/>
  <c r="AY529" i="1"/>
  <c r="AJ529" i="1"/>
  <c r="CH528" i="1"/>
  <c r="CC528" i="1"/>
  <c r="BX528" i="1"/>
  <c r="BS528" i="1"/>
  <c r="BI528" i="1"/>
  <c r="AJ528" i="1"/>
  <c r="CH527" i="1"/>
  <c r="BS527" i="1"/>
  <c r="BI527" i="1"/>
  <c r="AT527" i="1"/>
  <c r="AJ527" i="1"/>
  <c r="CH526" i="1"/>
  <c r="CG526" i="1"/>
  <c r="CF526" i="1"/>
  <c r="CF530" i="1" s="1"/>
  <c r="CE526" i="1"/>
  <c r="CE530" i="1" s="1"/>
  <c r="CD526" i="1"/>
  <c r="CD530" i="1" s="1"/>
  <c r="CD114" i="1" s="1"/>
  <c r="CC526" i="1"/>
  <c r="CB526" i="1"/>
  <c r="CA526" i="1"/>
  <c r="CA530" i="1" s="1"/>
  <c r="BS526" i="1"/>
  <c r="BN526" i="1"/>
  <c r="BD526" i="1"/>
  <c r="AT526" i="1"/>
  <c r="AO526" i="1"/>
  <c r="AJ526" i="1"/>
  <c r="AH526" i="1"/>
  <c r="AH530" i="1" s="1"/>
  <c r="BY522" i="1"/>
  <c r="BX522" i="1"/>
  <c r="BW522" i="1"/>
  <c r="BV522" i="1"/>
  <c r="BW509" i="1" s="1"/>
  <c r="BU522" i="1"/>
  <c r="BT522" i="1"/>
  <c r="BR522" i="1"/>
  <c r="BS522" i="1" s="1"/>
  <c r="BT509" i="1" s="1"/>
  <c r="BQ522" i="1"/>
  <c r="BR509" i="1" s="1"/>
  <c r="BP522" i="1"/>
  <c r="BO522" i="1"/>
  <c r="BM522" i="1"/>
  <c r="BN522" i="1" s="1"/>
  <c r="BO509" i="1" s="1"/>
  <c r="BL522" i="1"/>
  <c r="BM509" i="1" s="1"/>
  <c r="BK522" i="1"/>
  <c r="BH522" i="1"/>
  <c r="BI522" i="1" s="1"/>
  <c r="BJ519" i="1" s="1"/>
  <c r="BJ520" i="1" s="1"/>
  <c r="BJ521" i="1" s="1"/>
  <c r="BJ522" i="1" s="1"/>
  <c r="BK509" i="1" s="1"/>
  <c r="BG522" i="1"/>
  <c r="BF522" i="1"/>
  <c r="BG509" i="1" s="1"/>
  <c r="BE522" i="1"/>
  <c r="AN522" i="1"/>
  <c r="AO522" i="1" s="1"/>
  <c r="AP519" i="1" s="1"/>
  <c r="AP520" i="1" s="1"/>
  <c r="AP521" i="1" s="1"/>
  <c r="AP522" i="1" s="1"/>
  <c r="AQ519" i="1" s="1"/>
  <c r="AQ520" i="1" s="1"/>
  <c r="AQ521" i="1" s="1"/>
  <c r="AQ522" i="1" s="1"/>
  <c r="AR519" i="1" s="1"/>
  <c r="AR520" i="1" s="1"/>
  <c r="AR521" i="1" s="1"/>
  <c r="AR522" i="1" s="1"/>
  <c r="AS519" i="1" s="1"/>
  <c r="AS520" i="1" s="1"/>
  <c r="AS521" i="1" s="1"/>
  <c r="AS522" i="1" s="1"/>
  <c r="AT522" i="1" s="1"/>
  <c r="AU519" i="1" s="1"/>
  <c r="AU520" i="1" s="1"/>
  <c r="AU521" i="1" s="1"/>
  <c r="AU522" i="1" s="1"/>
  <c r="AV519" i="1" s="1"/>
  <c r="AV520" i="1" s="1"/>
  <c r="AV521" i="1" s="1"/>
  <c r="AV522" i="1" s="1"/>
  <c r="AW519" i="1" s="1"/>
  <c r="AW520" i="1" s="1"/>
  <c r="AW521" i="1" s="1"/>
  <c r="AW522" i="1" s="1"/>
  <c r="AX519" i="1" s="1"/>
  <c r="AX520" i="1" s="1"/>
  <c r="AX521" i="1" s="1"/>
  <c r="AX522" i="1" s="1"/>
  <c r="AY522" i="1" s="1"/>
  <c r="AZ519" i="1" s="1"/>
  <c r="AZ520" i="1" s="1"/>
  <c r="AZ521" i="1" s="1"/>
  <c r="AZ522" i="1" s="1"/>
  <c r="BA519" i="1" s="1"/>
  <c r="BA520" i="1" s="1"/>
  <c r="BA521" i="1" s="1"/>
  <c r="BA522" i="1" s="1"/>
  <c r="BB519" i="1" s="1"/>
  <c r="BB520" i="1" s="1"/>
  <c r="BB521" i="1" s="1"/>
  <c r="BB522" i="1" s="1"/>
  <c r="BC519" i="1" s="1"/>
  <c r="BC520" i="1" s="1"/>
  <c r="BC521" i="1" s="1"/>
  <c r="BC522" i="1" s="1"/>
  <c r="BD522" i="1" s="1"/>
  <c r="BE509" i="1" s="1"/>
  <c r="AM522" i="1"/>
  <c r="AN509" i="1" s="1"/>
  <c r="AK522" i="1"/>
  <c r="AL519" i="1" s="1"/>
  <c r="AL520" i="1" s="1"/>
  <c r="AL521" i="1" s="1"/>
  <c r="AL522" i="1" s="1"/>
  <c r="AM509" i="1" s="1"/>
  <c r="AH522" i="1"/>
  <c r="AI519" i="1" s="1"/>
  <c r="AG522" i="1"/>
  <c r="AD522" i="1"/>
  <c r="AE522" i="1" s="1"/>
  <c r="AF519" i="1" s="1"/>
  <c r="AF520" i="1" s="1"/>
  <c r="AF521" i="1" s="1"/>
  <c r="AF522" i="1" s="1"/>
  <c r="AG509" i="1" s="1"/>
  <c r="AC522" i="1"/>
  <c r="AD509" i="1" s="1"/>
  <c r="AB522" i="1"/>
  <c r="AA522" i="1"/>
  <c r="AB509" i="1" s="1"/>
  <c r="Y522" i="1"/>
  <c r="Z522" i="1" s="1"/>
  <c r="X522" i="1"/>
  <c r="Y509" i="1" s="1"/>
  <c r="W522" i="1"/>
  <c r="X509" i="1" s="1"/>
  <c r="V522" i="1"/>
  <c r="U522" i="1"/>
  <c r="V509" i="1" s="1"/>
  <c r="T522" i="1"/>
  <c r="S522" i="1"/>
  <c r="R522" i="1"/>
  <c r="Q522" i="1"/>
  <c r="O522" i="1"/>
  <c r="P522" i="1" s="1"/>
  <c r="Q509" i="1" s="1"/>
  <c r="Q512" i="1" s="1"/>
  <c r="N522" i="1"/>
  <c r="M522" i="1"/>
  <c r="N509" i="1" s="1"/>
  <c r="L522" i="1"/>
  <c r="M509" i="1" s="1"/>
  <c r="J522" i="1"/>
  <c r="K522" i="1" s="1"/>
  <c r="L509" i="1" s="1"/>
  <c r="D522" i="1"/>
  <c r="E522" i="1" s="1"/>
  <c r="F522" i="1" s="1"/>
  <c r="AI520" i="1"/>
  <c r="AI521" i="1" s="1"/>
  <c r="AI522" i="1" s="1"/>
  <c r="AJ522" i="1" s="1"/>
  <c r="AK509" i="1" s="1"/>
  <c r="AC519" i="1"/>
  <c r="AC520" i="1" s="1"/>
  <c r="AC521" i="1" s="1"/>
  <c r="BY517" i="1"/>
  <c r="BW517" i="1"/>
  <c r="BV517" i="1"/>
  <c r="BU517" i="1"/>
  <c r="BT517" i="1"/>
  <c r="BR517" i="1"/>
  <c r="BQ517" i="1"/>
  <c r="BP517" i="1"/>
  <c r="BO517" i="1"/>
  <c r="BS517" i="1" s="1"/>
  <c r="BM517" i="1"/>
  <c r="BL517" i="1"/>
  <c r="BK517" i="1"/>
  <c r="BJ517" i="1"/>
  <c r="BH517" i="1"/>
  <c r="BG517" i="1"/>
  <c r="BE517" i="1"/>
  <c r="BC517" i="1"/>
  <c r="BB517" i="1"/>
  <c r="BA517" i="1"/>
  <c r="AZ517" i="1"/>
  <c r="AX517" i="1"/>
  <c r="AW517" i="1"/>
  <c r="AV517" i="1"/>
  <c r="AU517" i="1"/>
  <c r="AS517" i="1"/>
  <c r="AR517" i="1"/>
  <c r="AQ517" i="1"/>
  <c r="AT517" i="1" s="1"/>
  <c r="AP517" i="1"/>
  <c r="AN517" i="1"/>
  <c r="AM517" i="1"/>
  <c r="AL517" i="1"/>
  <c r="AK517" i="1"/>
  <c r="AI517" i="1"/>
  <c r="AH517" i="1"/>
  <c r="AG517" i="1"/>
  <c r="AF517" i="1"/>
  <c r="AD517" i="1"/>
  <c r="AC517" i="1"/>
  <c r="AB517" i="1"/>
  <c r="AA517" i="1"/>
  <c r="Y517" i="1"/>
  <c r="X517" i="1"/>
  <c r="W517" i="1"/>
  <c r="V517" i="1"/>
  <c r="T517" i="1"/>
  <c r="S517" i="1"/>
  <c r="R517" i="1"/>
  <c r="Q517" i="1"/>
  <c r="O517" i="1"/>
  <c r="N517" i="1"/>
  <c r="M517" i="1"/>
  <c r="L517" i="1"/>
  <c r="BF514" i="1"/>
  <c r="BF509" i="1" s="1"/>
  <c r="BJ512" i="1"/>
  <c r="BC512" i="1"/>
  <c r="BB512" i="1"/>
  <c r="BA512" i="1"/>
  <c r="AZ512" i="1"/>
  <c r="AX512" i="1"/>
  <c r="AW512" i="1"/>
  <c r="AV512" i="1"/>
  <c r="AU512" i="1"/>
  <c r="AS512" i="1"/>
  <c r="AR512" i="1"/>
  <c r="AQ512" i="1"/>
  <c r="AP512" i="1"/>
  <c r="AL512" i="1"/>
  <c r="AI512" i="1"/>
  <c r="AF512" i="1"/>
  <c r="AC512" i="1"/>
  <c r="BY511" i="1"/>
  <c r="BW511" i="1"/>
  <c r="BV511" i="1"/>
  <c r="BU511" i="1"/>
  <c r="BT511" i="1"/>
  <c r="BR511" i="1"/>
  <c r="BQ511" i="1"/>
  <c r="BP511" i="1"/>
  <c r="BO511" i="1"/>
  <c r="BM511" i="1"/>
  <c r="BL511" i="1"/>
  <c r="BK511" i="1"/>
  <c r="BG511" i="1"/>
  <c r="BF511" i="1"/>
  <c r="BE511" i="1"/>
  <c r="AN511" i="1"/>
  <c r="AM511" i="1"/>
  <c r="AK511" i="1"/>
  <c r="AH511" i="1"/>
  <c r="AG511" i="1"/>
  <c r="AD511" i="1"/>
  <c r="AB511" i="1"/>
  <c r="Y511" i="1"/>
  <c r="X511" i="1"/>
  <c r="W511" i="1"/>
  <c r="V511" i="1"/>
  <c r="T511" i="1"/>
  <c r="S511" i="1"/>
  <c r="R511" i="1"/>
  <c r="Q511" i="1"/>
  <c r="O511" i="1"/>
  <c r="N511" i="1"/>
  <c r="M511" i="1"/>
  <c r="L511" i="1"/>
  <c r="J511" i="1"/>
  <c r="BY510" i="1"/>
  <c r="BW510" i="1"/>
  <c r="BV510" i="1"/>
  <c r="BU510" i="1"/>
  <c r="BT510" i="1"/>
  <c r="BR510" i="1"/>
  <c r="BQ510" i="1"/>
  <c r="BP510" i="1"/>
  <c r="BO510" i="1"/>
  <c r="BM510" i="1"/>
  <c r="BL510" i="1"/>
  <c r="BK510" i="1"/>
  <c r="BG510" i="1"/>
  <c r="BF510" i="1"/>
  <c r="BE510" i="1"/>
  <c r="AN510" i="1"/>
  <c r="AM510" i="1"/>
  <c r="AK510" i="1"/>
  <c r="AH510" i="1"/>
  <c r="AG510" i="1"/>
  <c r="AD510" i="1"/>
  <c r="AB510" i="1"/>
  <c r="Y510" i="1"/>
  <c r="Y512" i="1" s="1"/>
  <c r="X510" i="1"/>
  <c r="W510" i="1"/>
  <c r="W512" i="1" s="1"/>
  <c r="V510" i="1"/>
  <c r="T510" i="1"/>
  <c r="S510" i="1"/>
  <c r="R510" i="1"/>
  <c r="Q510" i="1"/>
  <c r="O510" i="1"/>
  <c r="N510" i="1"/>
  <c r="M510" i="1"/>
  <c r="L510" i="1"/>
  <c r="J510" i="1"/>
  <c r="BY509" i="1"/>
  <c r="BV509" i="1"/>
  <c r="BU509" i="1"/>
  <c r="BQ509" i="1"/>
  <c r="BQ512" i="1" s="1"/>
  <c r="BQ507" i="1" s="1"/>
  <c r="BP509" i="1"/>
  <c r="BP512" i="1" s="1"/>
  <c r="BP507" i="1" s="1"/>
  <c r="BL509" i="1"/>
  <c r="BH509" i="1"/>
  <c r="BH512" i="1" s="1"/>
  <c r="AH509" i="1"/>
  <c r="W509" i="1"/>
  <c r="T509" i="1"/>
  <c r="S509" i="1"/>
  <c r="S512" i="1" s="1"/>
  <c r="S507" i="1" s="1"/>
  <c r="R509" i="1"/>
  <c r="O509" i="1"/>
  <c r="O512" i="1" s="1"/>
  <c r="O507" i="1" s="1"/>
  <c r="C507" i="1"/>
  <c r="BO506" i="1"/>
  <c r="BM506" i="1"/>
  <c r="BL506" i="1"/>
  <c r="BK506" i="1"/>
  <c r="BG506" i="1"/>
  <c r="AN506" i="1"/>
  <c r="AM506" i="1"/>
  <c r="AG506" i="1"/>
  <c r="V506" i="1"/>
  <c r="BO505" i="1"/>
  <c r="BM505" i="1"/>
  <c r="BL505" i="1"/>
  <c r="BK505" i="1"/>
  <c r="BG505" i="1"/>
  <c r="BF505" i="1"/>
  <c r="BE505" i="1"/>
  <c r="AN505" i="1"/>
  <c r="AM505" i="1"/>
  <c r="AK505" i="1"/>
  <c r="AH505" i="1"/>
  <c r="AG505" i="1"/>
  <c r="T505" i="1"/>
  <c r="O505" i="1"/>
  <c r="L505" i="1"/>
  <c r="J505" i="1"/>
  <c r="BO504" i="1"/>
  <c r="BM504" i="1"/>
  <c r="BL504" i="1"/>
  <c r="BH504" i="1"/>
  <c r="BG504" i="1"/>
  <c r="BF504" i="1"/>
  <c r="AN504" i="1"/>
  <c r="AM504" i="1"/>
  <c r="AK504" i="1"/>
  <c r="AD504" i="1"/>
  <c r="Y504" i="1"/>
  <c r="W504" i="1"/>
  <c r="S504" i="1"/>
  <c r="Q504" i="1"/>
  <c r="O504" i="1"/>
  <c r="M504" i="1"/>
  <c r="BY502" i="1"/>
  <c r="BW502" i="1"/>
  <c r="BV502" i="1"/>
  <c r="BU502" i="1"/>
  <c r="BT502" i="1"/>
  <c r="BR502" i="1"/>
  <c r="BQ502" i="1"/>
  <c r="BP502" i="1"/>
  <c r="BJ502" i="1"/>
  <c r="BC502" i="1"/>
  <c r="BB502" i="1"/>
  <c r="BA502" i="1"/>
  <c r="AZ502" i="1"/>
  <c r="BD502" i="1" s="1"/>
  <c r="AX502" i="1"/>
  <c r="AW502" i="1"/>
  <c r="AV502" i="1"/>
  <c r="AU502" i="1"/>
  <c r="AS502" i="1"/>
  <c r="AR502" i="1"/>
  <c r="AQ502" i="1"/>
  <c r="AP502" i="1"/>
  <c r="AT502" i="1" s="1"/>
  <c r="AL502" i="1"/>
  <c r="AK502" i="1"/>
  <c r="AI502" i="1"/>
  <c r="AF502" i="1"/>
  <c r="AD502" i="1"/>
  <c r="AC502" i="1"/>
  <c r="AB502" i="1"/>
  <c r="C502" i="1"/>
  <c r="BO501" i="1"/>
  <c r="BM501" i="1"/>
  <c r="BL501" i="1"/>
  <c r="BL502" i="1" s="1"/>
  <c r="BK501" i="1"/>
  <c r="BH501" i="1"/>
  <c r="BG501" i="1"/>
  <c r="AN501" i="1"/>
  <c r="AM501" i="1"/>
  <c r="AM502" i="1" s="1"/>
  <c r="AG501" i="1"/>
  <c r="AA501" i="1"/>
  <c r="AA502" i="1" s="1"/>
  <c r="Y501" i="1"/>
  <c r="X501" i="1"/>
  <c r="X502" i="1" s="1"/>
  <c r="V501" i="1"/>
  <c r="V502" i="1" s="1"/>
  <c r="S501" i="1"/>
  <c r="R501" i="1"/>
  <c r="R502" i="1" s="1"/>
  <c r="N501" i="1"/>
  <c r="N502" i="1" s="1"/>
  <c r="L501" i="1"/>
  <c r="J501" i="1"/>
  <c r="BO500" i="1"/>
  <c r="BM500" i="1"/>
  <c r="BL500" i="1"/>
  <c r="BK500" i="1"/>
  <c r="BH500" i="1"/>
  <c r="BG500" i="1"/>
  <c r="BF500" i="1"/>
  <c r="BE500" i="1"/>
  <c r="BE502" i="1" s="1"/>
  <c r="AN500" i="1"/>
  <c r="AM500" i="1"/>
  <c r="AK500" i="1"/>
  <c r="AH500" i="1"/>
  <c r="AH502" i="1" s="1"/>
  <c r="AG500" i="1"/>
  <c r="T500" i="1"/>
  <c r="T502" i="1" s="1"/>
  <c r="O500" i="1"/>
  <c r="L500" i="1"/>
  <c r="J500" i="1"/>
  <c r="BO499" i="1"/>
  <c r="BM499" i="1"/>
  <c r="BL499" i="1"/>
  <c r="BK499" i="1"/>
  <c r="BK502" i="1" s="1"/>
  <c r="BH499" i="1"/>
  <c r="BH502" i="1" s="1"/>
  <c r="BG499" i="1"/>
  <c r="BG502" i="1" s="1"/>
  <c r="BF499" i="1"/>
  <c r="AN499" i="1"/>
  <c r="AN502" i="1" s="1"/>
  <c r="AM499" i="1"/>
  <c r="AK499" i="1"/>
  <c r="AD499" i="1"/>
  <c r="Y499" i="1"/>
  <c r="W499" i="1"/>
  <c r="W502" i="1" s="1"/>
  <c r="S499" i="1"/>
  <c r="S502" i="1" s="1"/>
  <c r="Q499" i="1"/>
  <c r="Q502" i="1" s="1"/>
  <c r="O499" i="1"/>
  <c r="O502" i="1" s="1"/>
  <c r="M499" i="1"/>
  <c r="M502" i="1" s="1"/>
  <c r="BE497" i="1"/>
  <c r="AT497" i="1"/>
  <c r="BW495" i="1"/>
  <c r="BR495" i="1"/>
  <c r="BM495" i="1"/>
  <c r="BH495" i="1"/>
  <c r="BC495" i="1"/>
  <c r="AX495" i="1"/>
  <c r="AS495" i="1"/>
  <c r="AN495" i="1"/>
  <c r="AI495" i="1"/>
  <c r="AD495" i="1"/>
  <c r="Y495" i="1"/>
  <c r="T495" i="1"/>
  <c r="O495" i="1"/>
  <c r="J495" i="1"/>
  <c r="BW494" i="1"/>
  <c r="BR494" i="1"/>
  <c r="BO494" i="1"/>
  <c r="BN494" i="1"/>
  <c r="BM494" i="1" s="1"/>
  <c r="BL494" i="1"/>
  <c r="BK494" i="1"/>
  <c r="BJ494" i="1"/>
  <c r="BI494" i="1"/>
  <c r="BH494" i="1" s="1"/>
  <c r="BG494" i="1"/>
  <c r="BF494" i="1"/>
  <c r="BE494" i="1"/>
  <c r="BD494" i="1"/>
  <c r="BC494" i="1" s="1"/>
  <c r="BB494" i="1"/>
  <c r="BA494" i="1"/>
  <c r="AZ494" i="1"/>
  <c r="AY494" i="1"/>
  <c r="AX494" i="1"/>
  <c r="AW494" i="1"/>
  <c r="AV494" i="1"/>
  <c r="AU494" i="1"/>
  <c r="AT494" i="1"/>
  <c r="AS494" i="1"/>
  <c r="AR494" i="1"/>
  <c r="AQ494" i="1"/>
  <c r="AP494" i="1"/>
  <c r="AO494" i="1"/>
  <c r="AN494" i="1" s="1"/>
  <c r="AM494" i="1"/>
  <c r="AL494" i="1"/>
  <c r="AK494" i="1"/>
  <c r="AJ494" i="1"/>
  <c r="AI494" i="1" s="1"/>
  <c r="AH494" i="1"/>
  <c r="AG494" i="1"/>
  <c r="AF494" i="1"/>
  <c r="AE494" i="1"/>
  <c r="AD494" i="1" s="1"/>
  <c r="AC494" i="1"/>
  <c r="AB494" i="1"/>
  <c r="AA494" i="1"/>
  <c r="Z494" i="1"/>
  <c r="Y494" i="1" s="1"/>
  <c r="X494" i="1"/>
  <c r="W494" i="1"/>
  <c r="V494" i="1"/>
  <c r="U494" i="1"/>
  <c r="T494" i="1" s="1"/>
  <c r="S494" i="1"/>
  <c r="R494" i="1"/>
  <c r="Q494" i="1"/>
  <c r="P494" i="1"/>
  <c r="O494" i="1" s="1"/>
  <c r="N494" i="1"/>
  <c r="M494" i="1"/>
  <c r="L494" i="1"/>
  <c r="K494" i="1"/>
  <c r="J494" i="1" s="1"/>
  <c r="I494" i="1"/>
  <c r="H494" i="1"/>
  <c r="G494" i="1"/>
  <c r="F494" i="1"/>
  <c r="E494" i="1"/>
  <c r="D494" i="1"/>
  <c r="C494" i="1"/>
  <c r="AY492" i="1"/>
  <c r="BY490" i="1"/>
  <c r="BY497" i="1" s="1"/>
  <c r="BX490" i="1"/>
  <c r="BV490" i="1"/>
  <c r="BV497" i="1" s="1"/>
  <c r="BU490" i="1"/>
  <c r="BU492" i="1" s="1"/>
  <c r="BT490" i="1"/>
  <c r="BT492" i="1" s="1"/>
  <c r="BS490" i="1"/>
  <c r="BQ490" i="1"/>
  <c r="BP490" i="1"/>
  <c r="BL490" i="1"/>
  <c r="BL497" i="1" s="1"/>
  <c r="BB490" i="1"/>
  <c r="BB497" i="1" s="1"/>
  <c r="BA490" i="1"/>
  <c r="AT490" i="1"/>
  <c r="AS490" i="1"/>
  <c r="BW486" i="1"/>
  <c r="BR486" i="1"/>
  <c r="BO486" i="1"/>
  <c r="BN486" i="1"/>
  <c r="BM486" i="1" s="1"/>
  <c r="BL486" i="1"/>
  <c r="BK486" i="1"/>
  <c r="BJ486" i="1"/>
  <c r="BI486" i="1"/>
  <c r="BH486" i="1" s="1"/>
  <c r="BG486" i="1"/>
  <c r="BF486" i="1"/>
  <c r="BE486" i="1"/>
  <c r="BD486" i="1"/>
  <c r="BC486" i="1" s="1"/>
  <c r="BB486" i="1"/>
  <c r="BA486" i="1"/>
  <c r="AZ486" i="1"/>
  <c r="AY486" i="1"/>
  <c r="AX486" i="1" s="1"/>
  <c r="AW486" i="1"/>
  <c r="AV486" i="1"/>
  <c r="AU486" i="1"/>
  <c r="AT486" i="1"/>
  <c r="AS486" i="1" s="1"/>
  <c r="AR486" i="1"/>
  <c r="AQ486" i="1"/>
  <c r="AP486" i="1"/>
  <c r="AO486" i="1"/>
  <c r="AN486" i="1" s="1"/>
  <c r="AM486" i="1"/>
  <c r="AL486" i="1"/>
  <c r="AK486" i="1"/>
  <c r="AJ486" i="1"/>
  <c r="AI486" i="1"/>
  <c r="AH486" i="1"/>
  <c r="AG486" i="1"/>
  <c r="AF486" i="1"/>
  <c r="AE486" i="1"/>
  <c r="AD486" i="1" s="1"/>
  <c r="AC486" i="1"/>
  <c r="AB486" i="1"/>
  <c r="AA486" i="1"/>
  <c r="Z486" i="1"/>
  <c r="Y486" i="1" s="1"/>
  <c r="X486" i="1"/>
  <c r="W486" i="1"/>
  <c r="V486" i="1"/>
  <c r="U486" i="1"/>
  <c r="T486" i="1" s="1"/>
  <c r="S486" i="1"/>
  <c r="R486" i="1"/>
  <c r="Q486" i="1"/>
  <c r="P486" i="1"/>
  <c r="O486" i="1" s="1"/>
  <c r="N486" i="1"/>
  <c r="M486" i="1"/>
  <c r="L486" i="1"/>
  <c r="K486" i="1"/>
  <c r="J486" i="1"/>
  <c r="I486" i="1"/>
  <c r="H486" i="1"/>
  <c r="G486" i="1"/>
  <c r="F486" i="1"/>
  <c r="E486" i="1"/>
  <c r="D486" i="1"/>
  <c r="BW485" i="1"/>
  <c r="BW490" i="1" s="1"/>
  <c r="BW497" i="1" s="1"/>
  <c r="BR485" i="1"/>
  <c r="BR490" i="1" s="1"/>
  <c r="BR497" i="1" s="1"/>
  <c r="BO485" i="1"/>
  <c r="BO490" i="1" s="1"/>
  <c r="BO492" i="1" s="1"/>
  <c r="BN485" i="1"/>
  <c r="BL485" i="1"/>
  <c r="BK485" i="1"/>
  <c r="BK490" i="1" s="1"/>
  <c r="BK497" i="1" s="1"/>
  <c r="BJ485" i="1"/>
  <c r="BJ490" i="1" s="1"/>
  <c r="BI485" i="1"/>
  <c r="BI490" i="1" s="1"/>
  <c r="BH485" i="1"/>
  <c r="BH490" i="1" s="1"/>
  <c r="BH497" i="1" s="1"/>
  <c r="BG485" i="1"/>
  <c r="BG490" i="1" s="1"/>
  <c r="BG497" i="1" s="1"/>
  <c r="BF485" i="1"/>
  <c r="BF490" i="1" s="1"/>
  <c r="BF497" i="1" s="1"/>
  <c r="BE485" i="1"/>
  <c r="BE490" i="1" s="1"/>
  <c r="BD485" i="1"/>
  <c r="BB485" i="1"/>
  <c r="BA485" i="1"/>
  <c r="AZ485" i="1"/>
  <c r="AZ490" i="1" s="1"/>
  <c r="AY485" i="1"/>
  <c r="AY490" i="1" s="1"/>
  <c r="AY497" i="1" s="1"/>
  <c r="AX485" i="1"/>
  <c r="AX490" i="1" s="1"/>
  <c r="AX497" i="1" s="1"/>
  <c r="AW485" i="1"/>
  <c r="AW490" i="1" s="1"/>
  <c r="AV485" i="1"/>
  <c r="AV490" i="1" s="1"/>
  <c r="AV497" i="1" s="1"/>
  <c r="AU485" i="1"/>
  <c r="AU490" i="1" s="1"/>
  <c r="AU497" i="1" s="1"/>
  <c r="AT485" i="1"/>
  <c r="AS485" i="1"/>
  <c r="AR485" i="1"/>
  <c r="AR490" i="1" s="1"/>
  <c r="AQ485" i="1"/>
  <c r="AQ490" i="1" s="1"/>
  <c r="AP485" i="1"/>
  <c r="AP490" i="1" s="1"/>
  <c r="AO485" i="1"/>
  <c r="AN485" i="1" s="1"/>
  <c r="AN490" i="1" s="1"/>
  <c r="AM485" i="1"/>
  <c r="AM490" i="1" s="1"/>
  <c r="AL485" i="1"/>
  <c r="AL490" i="1" s="1"/>
  <c r="AL497" i="1" s="1"/>
  <c r="AK485" i="1"/>
  <c r="AK490" i="1" s="1"/>
  <c r="AJ485" i="1"/>
  <c r="AI485" i="1"/>
  <c r="AH485" i="1"/>
  <c r="AG485" i="1"/>
  <c r="AF485" i="1"/>
  <c r="AE485" i="1"/>
  <c r="AD485" i="1" s="1"/>
  <c r="AC485" i="1"/>
  <c r="AB485" i="1"/>
  <c r="AA485" i="1"/>
  <c r="Z485" i="1"/>
  <c r="Y485" i="1" s="1"/>
  <c r="X485" i="1"/>
  <c r="W485" i="1"/>
  <c r="V485" i="1"/>
  <c r="U485" i="1"/>
  <c r="T485" i="1" s="1"/>
  <c r="S485" i="1"/>
  <c r="R485" i="1"/>
  <c r="Q485" i="1"/>
  <c r="P485" i="1"/>
  <c r="O485" i="1"/>
  <c r="N485" i="1"/>
  <c r="M485" i="1"/>
  <c r="L485" i="1"/>
  <c r="K485" i="1"/>
  <c r="J485" i="1" s="1"/>
  <c r="I485" i="1"/>
  <c r="H485" i="1"/>
  <c r="G485" i="1"/>
  <c r="F485" i="1"/>
  <c r="E485" i="1"/>
  <c r="D485" i="1"/>
  <c r="AE483" i="1"/>
  <c r="Z483" i="1"/>
  <c r="U483" i="1"/>
  <c r="P483" i="1"/>
  <c r="K483" i="1"/>
  <c r="F483" i="1"/>
  <c r="E483" i="1"/>
  <c r="D483" i="1"/>
  <c r="C483" i="1"/>
  <c r="AE482" i="1"/>
  <c r="Z482" i="1"/>
  <c r="U482" i="1"/>
  <c r="P482" i="1"/>
  <c r="K482" i="1"/>
  <c r="F482" i="1"/>
  <c r="E482" i="1"/>
  <c r="D482" i="1"/>
  <c r="C482" i="1"/>
  <c r="AF479" i="1"/>
  <c r="AC479" i="1"/>
  <c r="AD475" i="1" s="1"/>
  <c r="X479" i="1"/>
  <c r="Y475" i="1" s="1"/>
  <c r="U479" i="1"/>
  <c r="V475" i="1" s="1"/>
  <c r="S479" i="1"/>
  <c r="T475" i="1" s="1"/>
  <c r="Q479" i="1"/>
  <c r="R475" i="1" s="1"/>
  <c r="M479" i="1"/>
  <c r="N475" i="1" s="1"/>
  <c r="H479" i="1"/>
  <c r="I475" i="1" s="1"/>
  <c r="C479" i="1"/>
  <c r="O478" i="1"/>
  <c r="E478" i="1"/>
  <c r="AE477" i="1"/>
  <c r="U477" i="1"/>
  <c r="L477" i="1"/>
  <c r="K476" i="1"/>
  <c r="G476" i="1"/>
  <c r="AG475" i="1"/>
  <c r="P475" i="1"/>
  <c r="G475" i="1"/>
  <c r="AJ473" i="1"/>
  <c r="AI473" i="1"/>
  <c r="AH473" i="1"/>
  <c r="AH479" i="1" s="1"/>
  <c r="AG473" i="1"/>
  <c r="AG479" i="1" s="1"/>
  <c r="AF473" i="1"/>
  <c r="AE473" i="1"/>
  <c r="AC473" i="1"/>
  <c r="AB473" i="1"/>
  <c r="AB479" i="1" s="1"/>
  <c r="AC475" i="1" s="1"/>
  <c r="AA473" i="1"/>
  <c r="AA479" i="1" s="1"/>
  <c r="AB475" i="1" s="1"/>
  <c r="Z473" i="1"/>
  <c r="Z479" i="1" s="1"/>
  <c r="AA475" i="1" s="1"/>
  <c r="X473" i="1"/>
  <c r="W473" i="1"/>
  <c r="W479" i="1" s="1"/>
  <c r="X475" i="1" s="1"/>
  <c r="V473" i="1"/>
  <c r="V479" i="1" s="1"/>
  <c r="W475" i="1" s="1"/>
  <c r="U473" i="1"/>
  <c r="T473" i="1"/>
  <c r="T479" i="1" s="1"/>
  <c r="S473" i="1"/>
  <c r="R473" i="1"/>
  <c r="R479" i="1" s="1"/>
  <c r="S475" i="1" s="1"/>
  <c r="Q473" i="1"/>
  <c r="P473" i="1"/>
  <c r="N473" i="1"/>
  <c r="N479" i="1" s="1"/>
  <c r="O475" i="1" s="1"/>
  <c r="M473" i="1"/>
  <c r="L473" i="1"/>
  <c r="L479" i="1" s="1"/>
  <c r="M475" i="1" s="1"/>
  <c r="K473" i="1"/>
  <c r="K479" i="1" s="1"/>
  <c r="L475" i="1" s="1"/>
  <c r="I473" i="1"/>
  <c r="I479" i="1" s="1"/>
  <c r="J475" i="1" s="1"/>
  <c r="H473" i="1"/>
  <c r="G473" i="1"/>
  <c r="G479" i="1" s="1"/>
  <c r="H475" i="1" s="1"/>
  <c r="F473" i="1"/>
  <c r="F479" i="1" s="1"/>
  <c r="E473" i="1"/>
  <c r="E479" i="1" s="1"/>
  <c r="D473" i="1"/>
  <c r="D479" i="1" s="1"/>
  <c r="C473" i="1"/>
  <c r="Z472" i="1"/>
  <c r="U472" i="1"/>
  <c r="S472" i="1"/>
  <c r="R472" i="1"/>
  <c r="Q472" i="1"/>
  <c r="Q478" i="1" s="1"/>
  <c r="P472" i="1"/>
  <c r="O472" i="1" s="1"/>
  <c r="N472" i="1"/>
  <c r="M472" i="1"/>
  <c r="L472" i="1"/>
  <c r="L478" i="1" s="1"/>
  <c r="K472" i="1"/>
  <c r="I472" i="1"/>
  <c r="H472" i="1"/>
  <c r="G472" i="1"/>
  <c r="G478" i="1" s="1"/>
  <c r="F472" i="1"/>
  <c r="F478" i="1" s="1"/>
  <c r="E472" i="1"/>
  <c r="D472" i="1"/>
  <c r="D478" i="1" s="1"/>
  <c r="C472" i="1"/>
  <c r="C478" i="1" s="1"/>
  <c r="AH471" i="1"/>
  <c r="AG471" i="1"/>
  <c r="AH477" i="1" s="1"/>
  <c r="AF471" i="1"/>
  <c r="AF477" i="1" s="1"/>
  <c r="AE471" i="1"/>
  <c r="AD471" i="1" s="1"/>
  <c r="AC471" i="1"/>
  <c r="AB471" i="1"/>
  <c r="AA471" i="1"/>
  <c r="AA477" i="1" s="1"/>
  <c r="Z471" i="1"/>
  <c r="X471" i="1"/>
  <c r="W471" i="1"/>
  <c r="V471" i="1"/>
  <c r="V477" i="1" s="1"/>
  <c r="U471" i="1"/>
  <c r="T471" i="1"/>
  <c r="S471" i="1"/>
  <c r="R471" i="1"/>
  <c r="Q471" i="1"/>
  <c r="Q477" i="1" s="1"/>
  <c r="P471" i="1"/>
  <c r="N471" i="1"/>
  <c r="N477" i="1" s="1"/>
  <c r="M471" i="1"/>
  <c r="L471" i="1"/>
  <c r="K471" i="1"/>
  <c r="I471" i="1"/>
  <c r="H471" i="1"/>
  <c r="G471" i="1"/>
  <c r="G477" i="1" s="1"/>
  <c r="F471" i="1"/>
  <c r="F477" i="1" s="1"/>
  <c r="E471" i="1"/>
  <c r="E477" i="1" s="1"/>
  <c r="D471" i="1"/>
  <c r="D477" i="1" s="1"/>
  <c r="C471" i="1"/>
  <c r="C477" i="1" s="1"/>
  <c r="U470" i="1"/>
  <c r="S470" i="1"/>
  <c r="R470" i="1"/>
  <c r="Q470" i="1"/>
  <c r="Q476" i="1" s="1"/>
  <c r="P470" i="1"/>
  <c r="P476" i="1" s="1"/>
  <c r="O470" i="1"/>
  <c r="N470" i="1"/>
  <c r="M470" i="1"/>
  <c r="L470" i="1"/>
  <c r="L476" i="1" s="1"/>
  <c r="K470" i="1"/>
  <c r="J470" i="1" s="1"/>
  <c r="I470" i="1"/>
  <c r="H470" i="1"/>
  <c r="G470" i="1"/>
  <c r="F470" i="1"/>
  <c r="F476" i="1" s="1"/>
  <c r="E470" i="1"/>
  <c r="E476" i="1" s="1"/>
  <c r="D470" i="1"/>
  <c r="D476" i="1" s="1"/>
  <c r="C470" i="1"/>
  <c r="C476" i="1" s="1"/>
  <c r="AH469" i="1"/>
  <c r="AG469" i="1"/>
  <c r="AF469" i="1"/>
  <c r="AE469" i="1"/>
  <c r="AE475" i="1" s="1"/>
  <c r="AD469" i="1"/>
  <c r="AC469" i="1"/>
  <c r="AB469" i="1"/>
  <c r="AA469" i="1"/>
  <c r="Z469" i="1"/>
  <c r="X469" i="1"/>
  <c r="W469" i="1"/>
  <c r="V469" i="1"/>
  <c r="U469" i="1"/>
  <c r="S469" i="1"/>
  <c r="R469" i="1"/>
  <c r="Q469" i="1"/>
  <c r="P469" i="1"/>
  <c r="O469" i="1"/>
  <c r="N469" i="1"/>
  <c r="M469" i="1"/>
  <c r="L469" i="1"/>
  <c r="K469" i="1"/>
  <c r="I469" i="1"/>
  <c r="H469" i="1"/>
  <c r="G469" i="1"/>
  <c r="F469" i="1"/>
  <c r="F475" i="1" s="1"/>
  <c r="E469" i="1"/>
  <c r="E475" i="1" s="1"/>
  <c r="D469" i="1"/>
  <c r="D475" i="1" s="1"/>
  <c r="C469" i="1"/>
  <c r="C475" i="1" s="1"/>
  <c r="AH466" i="1"/>
  <c r="AG466" i="1"/>
  <c r="AF466" i="1"/>
  <c r="AD466" i="1"/>
  <c r="AC466" i="1"/>
  <c r="AB466" i="1"/>
  <c r="AA466" i="1"/>
  <c r="X466" i="1"/>
  <c r="W466" i="1"/>
  <c r="V466" i="1"/>
  <c r="AF465" i="1"/>
  <c r="N465" i="1"/>
  <c r="F465" i="1"/>
  <c r="E465" i="1"/>
  <c r="AH464" i="1"/>
  <c r="AG464" i="1"/>
  <c r="AF464" i="1"/>
  <c r="AD464" i="1"/>
  <c r="AC464" i="1"/>
  <c r="AB464" i="1"/>
  <c r="AA464" i="1"/>
  <c r="Y464" i="1"/>
  <c r="X464" i="1"/>
  <c r="W464" i="1"/>
  <c r="V464" i="1"/>
  <c r="F464" i="1"/>
  <c r="E464" i="1"/>
  <c r="D464" i="1"/>
  <c r="AJ461" i="1"/>
  <c r="AI461" i="1" s="1"/>
  <c r="AH461" i="1"/>
  <c r="AG461" i="1"/>
  <c r="AF461" i="1"/>
  <c r="AE461" i="1"/>
  <c r="AD461" i="1" s="1"/>
  <c r="AC461" i="1"/>
  <c r="AB461" i="1"/>
  <c r="AA461" i="1"/>
  <c r="Z461" i="1"/>
  <c r="Y461" i="1" s="1"/>
  <c r="X461" i="1"/>
  <c r="W461" i="1"/>
  <c r="V461" i="1"/>
  <c r="S461" i="1"/>
  <c r="R461" i="1"/>
  <c r="Q461" i="1"/>
  <c r="P461" i="1"/>
  <c r="O461" i="1" s="1"/>
  <c r="N461" i="1"/>
  <c r="M461" i="1"/>
  <c r="L461" i="1"/>
  <c r="K461" i="1"/>
  <c r="J461" i="1" s="1"/>
  <c r="I461" i="1"/>
  <c r="H461" i="1"/>
  <c r="G461" i="1"/>
  <c r="F461" i="1"/>
  <c r="E461" i="1"/>
  <c r="D461" i="1"/>
  <c r="C461" i="1"/>
  <c r="Z460" i="1"/>
  <c r="Y460" i="1" s="1"/>
  <c r="U460" i="1"/>
  <c r="T460" i="1"/>
  <c r="S460" i="1"/>
  <c r="R460" i="1"/>
  <c r="Q460" i="1"/>
  <c r="Q466" i="1" s="1"/>
  <c r="P460" i="1"/>
  <c r="O460" i="1"/>
  <c r="O466" i="1" s="1"/>
  <c r="N460" i="1"/>
  <c r="M460" i="1"/>
  <c r="L460" i="1"/>
  <c r="L466" i="1" s="1"/>
  <c r="K460" i="1"/>
  <c r="J460" i="1" s="1"/>
  <c r="I460" i="1"/>
  <c r="H460" i="1"/>
  <c r="G460" i="1"/>
  <c r="G466" i="1" s="1"/>
  <c r="F460" i="1"/>
  <c r="F466" i="1" s="1"/>
  <c r="E460" i="1"/>
  <c r="E466" i="1" s="1"/>
  <c r="D460" i="1"/>
  <c r="D466" i="1" s="1"/>
  <c r="C460" i="1"/>
  <c r="C466" i="1" s="1"/>
  <c r="AH459" i="1"/>
  <c r="AH465" i="1" s="1"/>
  <c r="AG459" i="1"/>
  <c r="AF459" i="1"/>
  <c r="AE459" i="1"/>
  <c r="AD459" i="1" s="1"/>
  <c r="AC459" i="1"/>
  <c r="AC465" i="1" s="1"/>
  <c r="AC477" i="1" s="1"/>
  <c r="AB459" i="1"/>
  <c r="AA459" i="1"/>
  <c r="AA465" i="1" s="1"/>
  <c r="Z459" i="1"/>
  <c r="Y459" i="1" s="1"/>
  <c r="X459" i="1"/>
  <c r="W459" i="1"/>
  <c r="V459" i="1"/>
  <c r="V465" i="1" s="1"/>
  <c r="U459" i="1"/>
  <c r="T459" i="1"/>
  <c r="S459" i="1"/>
  <c r="R459" i="1"/>
  <c r="Q459" i="1"/>
  <c r="Q465" i="1" s="1"/>
  <c r="P459" i="1"/>
  <c r="O459" i="1" s="1"/>
  <c r="N459" i="1"/>
  <c r="M459" i="1"/>
  <c r="L459" i="1"/>
  <c r="L465" i="1" s="1"/>
  <c r="K459" i="1"/>
  <c r="J459" i="1" s="1"/>
  <c r="I459" i="1"/>
  <c r="H459" i="1"/>
  <c r="G459" i="1"/>
  <c r="G465" i="1" s="1"/>
  <c r="F459" i="1"/>
  <c r="E459" i="1"/>
  <c r="D459" i="1"/>
  <c r="D465" i="1" s="1"/>
  <c r="C459" i="1"/>
  <c r="C465" i="1" s="1"/>
  <c r="S458" i="1"/>
  <c r="R458" i="1"/>
  <c r="Q458" i="1"/>
  <c r="Q464" i="1" s="1"/>
  <c r="P458" i="1"/>
  <c r="O458" i="1" s="1"/>
  <c r="N458" i="1"/>
  <c r="N464" i="1" s="1"/>
  <c r="M458" i="1"/>
  <c r="L458" i="1"/>
  <c r="L464" i="1" s="1"/>
  <c r="K458" i="1"/>
  <c r="J458" i="1" s="1"/>
  <c r="I458" i="1"/>
  <c r="H458" i="1"/>
  <c r="G458" i="1"/>
  <c r="G464" i="1" s="1"/>
  <c r="F458" i="1"/>
  <c r="E458" i="1"/>
  <c r="D458" i="1"/>
  <c r="C458" i="1"/>
  <c r="C464" i="1" s="1"/>
  <c r="AH457" i="1"/>
  <c r="AG457" i="1"/>
  <c r="AF457" i="1"/>
  <c r="AE457" i="1"/>
  <c r="AD457" i="1" s="1"/>
  <c r="AC457" i="1"/>
  <c r="AB457" i="1"/>
  <c r="AA457" i="1"/>
  <c r="Z457" i="1"/>
  <c r="Y457" i="1"/>
  <c r="X457" i="1"/>
  <c r="W457" i="1"/>
  <c r="V457" i="1"/>
  <c r="U461" i="1" s="1"/>
  <c r="U457" i="1"/>
  <c r="T457" i="1"/>
  <c r="S457" i="1"/>
  <c r="R457" i="1"/>
  <c r="Q457" i="1"/>
  <c r="P457" i="1"/>
  <c r="O457" i="1" s="1"/>
  <c r="N457" i="1"/>
  <c r="M457" i="1"/>
  <c r="L457" i="1"/>
  <c r="K457" i="1"/>
  <c r="J457" i="1" s="1"/>
  <c r="I457" i="1"/>
  <c r="H457" i="1"/>
  <c r="G457" i="1"/>
  <c r="F457" i="1"/>
  <c r="F463" i="1" s="1"/>
  <c r="E457" i="1"/>
  <c r="E463" i="1" s="1"/>
  <c r="D457" i="1"/>
  <c r="D463" i="1" s="1"/>
  <c r="C457" i="1"/>
  <c r="C463" i="1" s="1"/>
  <c r="BY450" i="1"/>
  <c r="BX450" i="1"/>
  <c r="BV450" i="1"/>
  <c r="BU450" i="1"/>
  <c r="BT450" i="1"/>
  <c r="BS450" i="1"/>
  <c r="BL450" i="1"/>
  <c r="E450" i="1"/>
  <c r="D450" i="1"/>
  <c r="BV449" i="1"/>
  <c r="BU449" i="1"/>
  <c r="BQ449" i="1"/>
  <c r="AK449" i="1"/>
  <c r="BW444" i="1"/>
  <c r="BR444" i="1"/>
  <c r="BO444" i="1"/>
  <c r="BP449" i="1" s="1"/>
  <c r="BN444" i="1"/>
  <c r="BN450" i="1" s="1"/>
  <c r="BL444" i="1"/>
  <c r="BK444" i="1"/>
  <c r="BK492" i="1" s="1"/>
  <c r="BJ444" i="1"/>
  <c r="BI444" i="1"/>
  <c r="BI492" i="1" s="1"/>
  <c r="BG444" i="1"/>
  <c r="BF444" i="1"/>
  <c r="BE444" i="1"/>
  <c r="BF449" i="1" s="1"/>
  <c r="BD444" i="1"/>
  <c r="BD450" i="1" s="1"/>
  <c r="BB444" i="1"/>
  <c r="BA444" i="1"/>
  <c r="AZ444" i="1"/>
  <c r="AY444" i="1"/>
  <c r="AW444" i="1"/>
  <c r="AW449" i="1" s="1"/>
  <c r="AV444" i="1"/>
  <c r="AU444" i="1"/>
  <c r="AT444" i="1"/>
  <c r="AR444" i="1"/>
  <c r="AQ444" i="1"/>
  <c r="AP444" i="1"/>
  <c r="AP450" i="1" s="1"/>
  <c r="AO444" i="1"/>
  <c r="AN444" i="1" s="1"/>
  <c r="AM444" i="1"/>
  <c r="AM449" i="1" s="1"/>
  <c r="AL444" i="1"/>
  <c r="AK444" i="1"/>
  <c r="AJ444" i="1"/>
  <c r="AE444" i="1"/>
  <c r="Z444" i="1"/>
  <c r="U444" i="1"/>
  <c r="P444" i="1"/>
  <c r="K444" i="1"/>
  <c r="F444" i="1"/>
  <c r="E444" i="1"/>
  <c r="D444" i="1"/>
  <c r="C444" i="1"/>
  <c r="BX442" i="1"/>
  <c r="BV442" i="1"/>
  <c r="BU442" i="1"/>
  <c r="BN442" i="1"/>
  <c r="BM442" i="1"/>
  <c r="BL442" i="1"/>
  <c r="BK442" i="1"/>
  <c r="BF442" i="1"/>
  <c r="BD442" i="1"/>
  <c r="AX442" i="1"/>
  <c r="AW442" i="1"/>
  <c r="AV442" i="1"/>
  <c r="AU442" i="1"/>
  <c r="AP442" i="1"/>
  <c r="AN442" i="1"/>
  <c r="AH442" i="1"/>
  <c r="AG442" i="1"/>
  <c r="AF442" i="1"/>
  <c r="AE442" i="1"/>
  <c r="Z442" i="1"/>
  <c r="Y442" i="1"/>
  <c r="X442" i="1"/>
  <c r="W442" i="1"/>
  <c r="V442" i="1"/>
  <c r="U442" i="1"/>
  <c r="R442" i="1"/>
  <c r="L442" i="1"/>
  <c r="J442" i="1"/>
  <c r="I442" i="1"/>
  <c r="BY441" i="1"/>
  <c r="BX441" i="1"/>
  <c r="BV441" i="1"/>
  <c r="BU441" i="1"/>
  <c r="BT441" i="1"/>
  <c r="BS441" i="1"/>
  <c r="BQ441" i="1"/>
  <c r="BP441" i="1"/>
  <c r="BO441" i="1"/>
  <c r="BN441" i="1"/>
  <c r="BO438" i="1"/>
  <c r="BO48" i="9" s="1"/>
  <c r="BN438" i="1"/>
  <c r="BN48" i="9" s="1"/>
  <c r="BM438" i="1"/>
  <c r="BM48" i="9" s="1"/>
  <c r="BL438" i="1"/>
  <c r="BL48" i="9" s="1"/>
  <c r="BK438" i="1"/>
  <c r="BK48" i="9" s="1"/>
  <c r="BJ438" i="1"/>
  <c r="BJ48" i="9" s="1"/>
  <c r="BI438" i="1"/>
  <c r="BI48" i="9" s="1"/>
  <c r="BH438" i="1"/>
  <c r="BH48" i="9" s="1"/>
  <c r="BG438" i="1"/>
  <c r="BG48" i="9" s="1"/>
  <c r="BF438" i="1"/>
  <c r="BF48" i="9" s="1"/>
  <c r="BE438" i="1"/>
  <c r="BE48" i="9" s="1"/>
  <c r="BD438" i="1"/>
  <c r="BD48" i="9" s="1"/>
  <c r="BC438" i="1"/>
  <c r="BC48" i="9" s="1"/>
  <c r="BB438" i="1"/>
  <c r="BB48" i="9" s="1"/>
  <c r="AZ438" i="1"/>
  <c r="AZ48" i="9" s="1"/>
  <c r="AY438" i="1"/>
  <c r="AY48" i="9" s="1"/>
  <c r="AX438" i="1"/>
  <c r="AX48" i="9" s="1"/>
  <c r="AW438" i="1"/>
  <c r="AW48" i="9" s="1"/>
  <c r="AV438" i="1"/>
  <c r="AV48" i="9" s="1"/>
  <c r="AU438" i="1"/>
  <c r="AU48" i="9" s="1"/>
  <c r="AT438" i="1"/>
  <c r="AT48" i="9" s="1"/>
  <c r="AS438" i="1"/>
  <c r="AS48" i="9" s="1"/>
  <c r="AR438" i="1"/>
  <c r="AR48" i="9" s="1"/>
  <c r="AQ438" i="1"/>
  <c r="AQ48" i="9" s="1"/>
  <c r="AP438" i="1"/>
  <c r="AP48" i="9" s="1"/>
  <c r="AO438" i="1"/>
  <c r="AO48" i="9" s="1"/>
  <c r="AN438" i="1"/>
  <c r="AN48" i="9" s="1"/>
  <c r="AM438" i="1"/>
  <c r="AM48" i="9" s="1"/>
  <c r="AL438" i="1"/>
  <c r="AL48" i="9" s="1"/>
  <c r="AK438" i="1"/>
  <c r="AK48" i="9" s="1"/>
  <c r="AJ438" i="1"/>
  <c r="AJ48" i="9" s="1"/>
  <c r="AI438" i="1"/>
  <c r="AI48" i="9" s="1"/>
  <c r="AH438" i="1"/>
  <c r="AH48" i="9" s="1"/>
  <c r="AG438" i="1"/>
  <c r="AG48" i="9" s="1"/>
  <c r="AF438" i="1"/>
  <c r="AF48" i="9" s="1"/>
  <c r="AE438" i="1"/>
  <c r="AE48" i="9" s="1"/>
  <c r="AD438" i="1"/>
  <c r="AD48" i="9" s="1"/>
  <c r="AC438" i="1"/>
  <c r="AC48" i="9" s="1"/>
  <c r="AB438" i="1"/>
  <c r="AB48" i="9" s="1"/>
  <c r="AA438" i="1"/>
  <c r="AA48" i="9" s="1"/>
  <c r="Z438" i="1"/>
  <c r="Z48" i="9" s="1"/>
  <c r="Y438" i="1"/>
  <c r="Y48" i="9" s="1"/>
  <c r="X438" i="1"/>
  <c r="X48" i="9" s="1"/>
  <c r="W438" i="1"/>
  <c r="W48" i="9" s="1"/>
  <c r="V438" i="1"/>
  <c r="V48" i="9" s="1"/>
  <c r="U438" i="1"/>
  <c r="U48" i="9" s="1"/>
  <c r="T438" i="1"/>
  <c r="T48" i="9" s="1"/>
  <c r="S438" i="1"/>
  <c r="S48" i="9" s="1"/>
  <c r="R438" i="1"/>
  <c r="R48" i="9" s="1"/>
  <c r="Q438" i="1"/>
  <c r="Q48" i="9" s="1"/>
  <c r="O438" i="1"/>
  <c r="O48" i="9" s="1"/>
  <c r="N438" i="1"/>
  <c r="N48" i="9" s="1"/>
  <c r="M438" i="1"/>
  <c r="M48" i="9" s="1"/>
  <c r="BO437" i="1"/>
  <c r="BN437" i="1"/>
  <c r="BM437" i="1"/>
  <c r="BL437" i="1"/>
  <c r="BK437" i="1"/>
  <c r="BJ437" i="1"/>
  <c r="BI437" i="1"/>
  <c r="BH437" i="1"/>
  <c r="BG437" i="1"/>
  <c r="BF437" i="1"/>
  <c r="BE437" i="1"/>
  <c r="BD437" i="1"/>
  <c r="BC437" i="1"/>
  <c r="BB437" i="1"/>
  <c r="BA437" i="1"/>
  <c r="BA438" i="1" s="1"/>
  <c r="BA48" i="9" s="1"/>
  <c r="AZ437" i="1"/>
  <c r="AY437" i="1"/>
  <c r="AX437" i="1"/>
  <c r="AW437" i="1"/>
  <c r="AV437" i="1"/>
  <c r="AU437" i="1"/>
  <c r="AT437" i="1"/>
  <c r="AS437" i="1"/>
  <c r="AR437" i="1"/>
  <c r="AQ437" i="1"/>
  <c r="AP437" i="1"/>
  <c r="AO437" i="1"/>
  <c r="AN437" i="1"/>
  <c r="AM437" i="1"/>
  <c r="AL437" i="1"/>
  <c r="AK437" i="1"/>
  <c r="AJ437" i="1"/>
  <c r="AI437" i="1"/>
  <c r="AH437" i="1"/>
  <c r="AG437" i="1"/>
  <c r="AF437" i="1"/>
  <c r="AE437" i="1"/>
  <c r="AD437" i="1"/>
  <c r="AC437" i="1"/>
  <c r="AB437" i="1"/>
  <c r="AA437" i="1"/>
  <c r="Z437" i="1"/>
  <c r="Y437" i="1"/>
  <c r="X437" i="1"/>
  <c r="W437" i="1"/>
  <c r="V437" i="1"/>
  <c r="U437" i="1"/>
  <c r="T437" i="1"/>
  <c r="S437" i="1"/>
  <c r="R437" i="1"/>
  <c r="Q437" i="1"/>
  <c r="P437" i="1"/>
  <c r="P438" i="1" s="1"/>
  <c r="P48" i="9" s="1"/>
  <c r="O437" i="1"/>
  <c r="N437" i="1"/>
  <c r="M437" i="1"/>
  <c r="L437" i="1"/>
  <c r="L438" i="1" s="1"/>
  <c r="L48" i="9" s="1"/>
  <c r="K437" i="1"/>
  <c r="K438" i="1" s="1"/>
  <c r="K48" i="9" s="1"/>
  <c r="J437" i="1"/>
  <c r="J438" i="1" s="1"/>
  <c r="J48" i="9" s="1"/>
  <c r="I437" i="1"/>
  <c r="I438" i="1" s="1"/>
  <c r="I48" i="9" s="1"/>
  <c r="H437" i="1"/>
  <c r="H438" i="1" s="1"/>
  <c r="H48" i="9" s="1"/>
  <c r="G437" i="1"/>
  <c r="G438" i="1" s="1"/>
  <c r="G48" i="9" s="1"/>
  <c r="F437" i="1"/>
  <c r="F438" i="1" s="1"/>
  <c r="F48" i="9" s="1"/>
  <c r="E437" i="1"/>
  <c r="E438" i="1" s="1"/>
  <c r="E48" i="9" s="1"/>
  <c r="D437" i="1"/>
  <c r="D438" i="1" s="1"/>
  <c r="D48" i="9" s="1"/>
  <c r="C437" i="1"/>
  <c r="C438" i="1" s="1"/>
  <c r="C48" i="9" s="1"/>
  <c r="BO436" i="1"/>
  <c r="BN436" i="1"/>
  <c r="BM436" i="1"/>
  <c r="BL436" i="1"/>
  <c r="BK436" i="1"/>
  <c r="BJ436" i="1"/>
  <c r="BI436" i="1"/>
  <c r="BH436" i="1"/>
  <c r="BG436" i="1"/>
  <c r="BF436" i="1"/>
  <c r="BE436" i="1"/>
  <c r="BD436" i="1"/>
  <c r="BC436" i="1"/>
  <c r="BB436" i="1"/>
  <c r="BA436" i="1"/>
  <c r="AZ436" i="1"/>
  <c r="AY436" i="1"/>
  <c r="AX436" i="1"/>
  <c r="AW436" i="1"/>
  <c r="AV436" i="1"/>
  <c r="AU436" i="1"/>
  <c r="AT436" i="1"/>
  <c r="AS436" i="1"/>
  <c r="AR436" i="1"/>
  <c r="AQ436" i="1"/>
  <c r="AP436" i="1"/>
  <c r="AO436" i="1"/>
  <c r="AN436" i="1"/>
  <c r="AM436" i="1"/>
  <c r="AL436" i="1"/>
  <c r="AK436" i="1"/>
  <c r="AJ436" i="1"/>
  <c r="AI436" i="1"/>
  <c r="AH436" i="1"/>
  <c r="AG436" i="1"/>
  <c r="AF436" i="1"/>
  <c r="AF444" i="1" s="1"/>
  <c r="AE436" i="1"/>
  <c r="AD436" i="1"/>
  <c r="AC436" i="1"/>
  <c r="AB436" i="1"/>
  <c r="AA436" i="1"/>
  <c r="Z436" i="1"/>
  <c r="Y436" i="1"/>
  <c r="X436" i="1"/>
  <c r="W436" i="1"/>
  <c r="V436" i="1"/>
  <c r="U436" i="1"/>
  <c r="T436" i="1"/>
  <c r="S436" i="1"/>
  <c r="R436" i="1"/>
  <c r="Q436" i="1"/>
  <c r="Q444" i="1" s="1"/>
  <c r="P436" i="1"/>
  <c r="O436" i="1"/>
  <c r="N436" i="1"/>
  <c r="M436" i="1"/>
  <c r="L436" i="1"/>
  <c r="K436" i="1"/>
  <c r="J436" i="1"/>
  <c r="I436" i="1"/>
  <c r="H436" i="1"/>
  <c r="G436" i="1"/>
  <c r="G444" i="1" s="1"/>
  <c r="F436" i="1"/>
  <c r="E436" i="1"/>
  <c r="D436" i="1"/>
  <c r="C436" i="1"/>
  <c r="A434" i="1"/>
  <c r="A1134" i="1" s="1"/>
  <c r="BW421" i="1"/>
  <c r="BP421" i="1"/>
  <c r="BI421" i="1"/>
  <c r="AZ421" i="1"/>
  <c r="AM421" i="1"/>
  <c r="AJ421" i="1"/>
  <c r="AD421" i="1"/>
  <c r="AC421" i="1"/>
  <c r="AB421" i="1"/>
  <c r="E421" i="1"/>
  <c r="D421" i="1"/>
  <c r="C421" i="1"/>
  <c r="CK420" i="1"/>
  <c r="CJ420" i="1"/>
  <c r="CI420" i="1"/>
  <c r="CG420" i="1"/>
  <c r="CF420" i="1"/>
  <c r="CE420" i="1"/>
  <c r="CD420" i="1"/>
  <c r="CB420" i="1"/>
  <c r="CA420" i="1"/>
  <c r="BZ420" i="1"/>
  <c r="CK419" i="1"/>
  <c r="CJ419" i="1"/>
  <c r="CI419" i="1"/>
  <c r="CG419" i="1"/>
  <c r="CF419" i="1"/>
  <c r="CE419" i="1"/>
  <c r="CD419" i="1"/>
  <c r="CB419" i="1"/>
  <c r="CA419" i="1"/>
  <c r="BZ419" i="1"/>
  <c r="BY419" i="1"/>
  <c r="CC419" i="1" s="1"/>
  <c r="BX419" i="1"/>
  <c r="BP419" i="1"/>
  <c r="BH419" i="1"/>
  <c r="AZ419" i="1"/>
  <c r="AS419" i="1"/>
  <c r="AJ419" i="1"/>
  <c r="AB419" i="1"/>
  <c r="L419" i="1"/>
  <c r="D419" i="1"/>
  <c r="BB416" i="1"/>
  <c r="AS416" i="1"/>
  <c r="BY414" i="1"/>
  <c r="AL414" i="1"/>
  <c r="AK414" i="1"/>
  <c r="AK429" i="1" s="1"/>
  <c r="L414" i="1"/>
  <c r="BY413" i="1"/>
  <c r="BY421" i="1" s="1"/>
  <c r="BX413" i="1"/>
  <c r="BX421" i="1" s="1"/>
  <c r="BW413" i="1"/>
  <c r="BV413" i="1"/>
  <c r="BV421" i="1" s="1"/>
  <c r="BU413" i="1"/>
  <c r="BU421" i="1" s="1"/>
  <c r="BT413" i="1"/>
  <c r="BT421" i="1" s="1"/>
  <c r="BS413" i="1"/>
  <c r="BS421" i="1" s="1"/>
  <c r="BR413" i="1"/>
  <c r="BR421" i="1" s="1"/>
  <c r="BQ413" i="1"/>
  <c r="BQ421" i="1" s="1"/>
  <c r="BP413" i="1"/>
  <c r="BO413" i="1"/>
  <c r="BO421" i="1" s="1"/>
  <c r="BN413" i="1"/>
  <c r="BN421" i="1" s="1"/>
  <c r="BM413" i="1"/>
  <c r="BM421" i="1" s="1"/>
  <c r="BL413" i="1"/>
  <c r="BL421" i="1" s="1"/>
  <c r="BK413" i="1"/>
  <c r="BK421" i="1" s="1"/>
  <c r="BJ413" i="1"/>
  <c r="BI413" i="1"/>
  <c r="BI414" i="1" s="1"/>
  <c r="BH413" i="1"/>
  <c r="BH421" i="1" s="1"/>
  <c r="BG413" i="1"/>
  <c r="BG421" i="1" s="1"/>
  <c r="BF413" i="1"/>
  <c r="BF421" i="1" s="1"/>
  <c r="BE413" i="1"/>
  <c r="BE421" i="1" s="1"/>
  <c r="BD413" i="1"/>
  <c r="BD421" i="1" s="1"/>
  <c r="BC413" i="1"/>
  <c r="BB413" i="1"/>
  <c r="BA413" i="1"/>
  <c r="BA421" i="1" s="1"/>
  <c r="AZ413" i="1"/>
  <c r="AY413" i="1"/>
  <c r="AX413" i="1"/>
  <c r="AX421" i="1" s="1"/>
  <c r="AW413" i="1"/>
  <c r="AW421" i="1" s="1"/>
  <c r="AV413" i="1"/>
  <c r="AV421" i="1" s="1"/>
  <c r="AU413" i="1"/>
  <c r="AU421" i="1" s="1"/>
  <c r="AT413" i="1"/>
  <c r="AT414" i="1" s="1"/>
  <c r="AS413" i="1"/>
  <c r="AS421" i="1" s="1"/>
  <c r="AR413" i="1"/>
  <c r="AR421" i="1" s="1"/>
  <c r="AQ413" i="1"/>
  <c r="AQ421" i="1" s="1"/>
  <c r="AP413" i="1"/>
  <c r="AP421" i="1" s="1"/>
  <c r="AO413" i="1"/>
  <c r="AO421" i="1" s="1"/>
  <c r="AN413" i="1"/>
  <c r="AN421" i="1" s="1"/>
  <c r="AM413" i="1"/>
  <c r="AM414" i="1" s="1"/>
  <c r="AL413" i="1"/>
  <c r="AL421" i="1" s="1"/>
  <c r="AK413" i="1"/>
  <c r="AK421" i="1" s="1"/>
  <c r="AJ413" i="1"/>
  <c r="AI413" i="1"/>
  <c r="AI421" i="1" s="1"/>
  <c r="AH413" i="1"/>
  <c r="AH421" i="1" s="1"/>
  <c r="AG413" i="1"/>
  <c r="AG421" i="1" s="1"/>
  <c r="AF413" i="1"/>
  <c r="AF421" i="1" s="1"/>
  <c r="AE413" i="1"/>
  <c r="AD413" i="1"/>
  <c r="AD414" i="1" s="1"/>
  <c r="AC413" i="1"/>
  <c r="AB413" i="1"/>
  <c r="AA413" i="1"/>
  <c r="AA421" i="1" s="1"/>
  <c r="Z413" i="1"/>
  <c r="Z421" i="1" s="1"/>
  <c r="Y413" i="1"/>
  <c r="Y421" i="1" s="1"/>
  <c r="X413" i="1"/>
  <c r="X421" i="1" s="1"/>
  <c r="W413" i="1"/>
  <c r="W421" i="1" s="1"/>
  <c r="V413" i="1"/>
  <c r="V421" i="1" s="1"/>
  <c r="U413" i="1"/>
  <c r="U421" i="1" s="1"/>
  <c r="T413" i="1"/>
  <c r="T421" i="1" s="1"/>
  <c r="S413" i="1"/>
  <c r="S421" i="1" s="1"/>
  <c r="R413" i="1"/>
  <c r="R421" i="1" s="1"/>
  <c r="Q413" i="1"/>
  <c r="Q421" i="1" s="1"/>
  <c r="P413" i="1"/>
  <c r="P421" i="1" s="1"/>
  <c r="O413" i="1"/>
  <c r="O421" i="1" s="1"/>
  <c r="N413" i="1"/>
  <c r="N421" i="1" s="1"/>
  <c r="M413" i="1"/>
  <c r="L413" i="1"/>
  <c r="L421" i="1" s="1"/>
  <c r="K413" i="1"/>
  <c r="K421" i="1" s="1"/>
  <c r="J413" i="1"/>
  <c r="J421" i="1" s="1"/>
  <c r="I413" i="1"/>
  <c r="I421" i="1" s="1"/>
  <c r="H413" i="1"/>
  <c r="H421" i="1" s="1"/>
  <c r="G413" i="1"/>
  <c r="G414" i="1" s="1"/>
  <c r="F413" i="1"/>
  <c r="F421" i="1" s="1"/>
  <c r="E413" i="1"/>
  <c r="D413" i="1"/>
  <c r="C413" i="1"/>
  <c r="BY412" i="1"/>
  <c r="BX412" i="1"/>
  <c r="BW412" i="1"/>
  <c r="BW414" i="1" s="1"/>
  <c r="BV412" i="1"/>
  <c r="BU412" i="1"/>
  <c r="BT412" i="1"/>
  <c r="BS412" i="1"/>
  <c r="BR412" i="1"/>
  <c r="BQ412" i="1"/>
  <c r="BP412" i="1"/>
  <c r="BO412" i="1"/>
  <c r="BN412" i="1"/>
  <c r="BM412" i="1"/>
  <c r="BL412" i="1"/>
  <c r="BK412" i="1"/>
  <c r="BJ412" i="1"/>
  <c r="BI412" i="1"/>
  <c r="BH412" i="1"/>
  <c r="BH414" i="1" s="1"/>
  <c r="BG412" i="1"/>
  <c r="BF412" i="1"/>
  <c r="BE412" i="1"/>
  <c r="BD412" i="1"/>
  <c r="BC412" i="1"/>
  <c r="BB412" i="1"/>
  <c r="BA412" i="1"/>
  <c r="AZ412" i="1"/>
  <c r="AZ414" i="1" s="1"/>
  <c r="AY412" i="1"/>
  <c r="AY414" i="1" s="1"/>
  <c r="AX412" i="1"/>
  <c r="AW412" i="1"/>
  <c r="AV412" i="1"/>
  <c r="AU412" i="1"/>
  <c r="AT412" i="1"/>
  <c r="AS412" i="1"/>
  <c r="AR412" i="1"/>
  <c r="AR414" i="1" s="1"/>
  <c r="AQ412" i="1"/>
  <c r="AP412" i="1"/>
  <c r="AO412" i="1"/>
  <c r="AN412" i="1"/>
  <c r="AM412" i="1"/>
  <c r="AL412" i="1"/>
  <c r="AK412" i="1"/>
  <c r="AJ412" i="1"/>
  <c r="AI412" i="1"/>
  <c r="AH412" i="1"/>
  <c r="AG412" i="1"/>
  <c r="AF412" i="1"/>
  <c r="AE412" i="1"/>
  <c r="AD412" i="1"/>
  <c r="AC412" i="1"/>
  <c r="AB412" i="1"/>
  <c r="AA412" i="1"/>
  <c r="AA414" i="1" s="1"/>
  <c r="Z412" i="1"/>
  <c r="Y412" i="1"/>
  <c r="X412" i="1"/>
  <c r="W412" i="1"/>
  <c r="V412" i="1"/>
  <c r="V414" i="1" s="1"/>
  <c r="U412" i="1"/>
  <c r="S412" i="1"/>
  <c r="R412" i="1"/>
  <c r="Q412" i="1"/>
  <c r="P412" i="1"/>
  <c r="N412" i="1"/>
  <c r="N414" i="1" s="1"/>
  <c r="M412" i="1"/>
  <c r="L412" i="1"/>
  <c r="K412" i="1"/>
  <c r="J412" i="1"/>
  <c r="I412" i="1"/>
  <c r="H412" i="1"/>
  <c r="G412" i="1"/>
  <c r="F412" i="1"/>
  <c r="F414" i="1" s="1"/>
  <c r="E412" i="1"/>
  <c r="D412" i="1"/>
  <c r="C412" i="1"/>
  <c r="CH410" i="1"/>
  <c r="CH40" i="9" s="1"/>
  <c r="CH409" i="1"/>
  <c r="CK408" i="1"/>
  <c r="CJ408" i="1"/>
  <c r="CI408" i="1"/>
  <c r="CG408" i="1"/>
  <c r="CF408" i="1"/>
  <c r="CE408" i="1"/>
  <c r="CD408" i="1"/>
  <c r="CB408" i="1"/>
  <c r="CA408" i="1"/>
  <c r="BZ408" i="1"/>
  <c r="BY408" i="1"/>
  <c r="BX408" i="1"/>
  <c r="BW408" i="1"/>
  <c r="BV408" i="1"/>
  <c r="BU408" i="1"/>
  <c r="BT408" i="1"/>
  <c r="BS408" i="1"/>
  <c r="BR408" i="1"/>
  <c r="BQ408" i="1"/>
  <c r="BP408" i="1"/>
  <c r="BO408" i="1"/>
  <c r="BN408" i="1"/>
  <c r="BM408" i="1"/>
  <c r="BL408" i="1"/>
  <c r="BK408" i="1"/>
  <c r="BJ408" i="1"/>
  <c r="BI408" i="1"/>
  <c r="BH408" i="1"/>
  <c r="BG408" i="1"/>
  <c r="BF408" i="1"/>
  <c r="BE408" i="1"/>
  <c r="BD408" i="1"/>
  <c r="BC408" i="1"/>
  <c r="BB408" i="1"/>
  <c r="BA408" i="1"/>
  <c r="AZ408" i="1"/>
  <c r="AY408" i="1"/>
  <c r="AX408" i="1"/>
  <c r="AW408" i="1"/>
  <c r="AV408" i="1"/>
  <c r="AU408" i="1"/>
  <c r="AT408" i="1"/>
  <c r="AS408" i="1"/>
  <c r="AR408" i="1"/>
  <c r="AQ408" i="1"/>
  <c r="AP408" i="1"/>
  <c r="AO408" i="1"/>
  <c r="AN408" i="1"/>
  <c r="AM408" i="1"/>
  <c r="AL408" i="1"/>
  <c r="AK408" i="1"/>
  <c r="AJ408" i="1"/>
  <c r="AI408" i="1"/>
  <c r="AH408" i="1"/>
  <c r="AG408" i="1"/>
  <c r="AF408" i="1"/>
  <c r="AE408" i="1"/>
  <c r="AD408" i="1"/>
  <c r="AC408" i="1"/>
  <c r="AB408" i="1"/>
  <c r="AA408" i="1"/>
  <c r="Z408" i="1"/>
  <c r="Y408" i="1"/>
  <c r="X408" i="1"/>
  <c r="W408" i="1"/>
  <c r="V408" i="1"/>
  <c r="U408" i="1"/>
  <c r="S408" i="1"/>
  <c r="R408" i="1"/>
  <c r="Q408" i="1"/>
  <c r="P408" i="1"/>
  <c r="N408" i="1"/>
  <c r="M408" i="1"/>
  <c r="L408" i="1"/>
  <c r="K408" i="1"/>
  <c r="I408" i="1"/>
  <c r="H408" i="1"/>
  <c r="G408" i="1"/>
  <c r="F408" i="1"/>
  <c r="E408" i="1"/>
  <c r="D408" i="1"/>
  <c r="C408" i="1"/>
  <c r="CH406" i="1"/>
  <c r="BY406" i="1"/>
  <c r="CC406" i="1" s="1"/>
  <c r="BX406" i="1"/>
  <c r="BW406" i="1"/>
  <c r="BW419" i="1" s="1"/>
  <c r="BV406" i="1"/>
  <c r="BV419" i="1" s="1"/>
  <c r="BU406" i="1"/>
  <c r="BU419" i="1" s="1"/>
  <c r="BT406" i="1"/>
  <c r="BT419" i="1" s="1"/>
  <c r="BS406" i="1"/>
  <c r="BS419" i="1" s="1"/>
  <c r="BR406" i="1"/>
  <c r="BR419" i="1" s="1"/>
  <c r="BQ406" i="1"/>
  <c r="BQ419" i="1" s="1"/>
  <c r="BP406" i="1"/>
  <c r="BO406" i="1"/>
  <c r="BO419" i="1" s="1"/>
  <c r="BN406" i="1"/>
  <c r="BN419" i="1" s="1"/>
  <c r="BM406" i="1"/>
  <c r="BM419" i="1" s="1"/>
  <c r="BL406" i="1"/>
  <c r="BL419" i="1" s="1"/>
  <c r="BK406" i="1"/>
  <c r="BK419" i="1" s="1"/>
  <c r="BJ406" i="1"/>
  <c r="BJ419" i="1" s="1"/>
  <c r="BI406" i="1"/>
  <c r="BI419" i="1" s="1"/>
  <c r="BH406" i="1"/>
  <c r="BG406" i="1"/>
  <c r="BG419" i="1" s="1"/>
  <c r="BF406" i="1"/>
  <c r="BF419" i="1" s="1"/>
  <c r="BE406" i="1"/>
  <c r="BE419" i="1" s="1"/>
  <c r="BD406" i="1"/>
  <c r="BD419" i="1" s="1"/>
  <c r="BC406" i="1"/>
  <c r="BC419" i="1" s="1"/>
  <c r="BB406" i="1"/>
  <c r="BB419" i="1" s="1"/>
  <c r="BA406" i="1"/>
  <c r="BA419" i="1" s="1"/>
  <c r="AZ406" i="1"/>
  <c r="AY406" i="1"/>
  <c r="AX406" i="1"/>
  <c r="AX419" i="1" s="1"/>
  <c r="AW406" i="1"/>
  <c r="AW419" i="1" s="1"/>
  <c r="AV406" i="1"/>
  <c r="AV419" i="1" s="1"/>
  <c r="AU406" i="1"/>
  <c r="AU419" i="1" s="1"/>
  <c r="AT406" i="1"/>
  <c r="AT419" i="1" s="1"/>
  <c r="AS406" i="1"/>
  <c r="AR406" i="1"/>
  <c r="AR419" i="1" s="1"/>
  <c r="AQ406" i="1"/>
  <c r="AQ419" i="1" s="1"/>
  <c r="AP406" i="1"/>
  <c r="AP419" i="1" s="1"/>
  <c r="AO406" i="1"/>
  <c r="AO419" i="1" s="1"/>
  <c r="AN406" i="1"/>
  <c r="AN419" i="1" s="1"/>
  <c r="AM406" i="1"/>
  <c r="AM419" i="1" s="1"/>
  <c r="AL406" i="1"/>
  <c r="AL419" i="1" s="1"/>
  <c r="AK406" i="1"/>
  <c r="AK419" i="1" s="1"/>
  <c r="AJ406" i="1"/>
  <c r="AI406" i="1"/>
  <c r="AI419" i="1" s="1"/>
  <c r="AH406" i="1"/>
  <c r="AH419" i="1" s="1"/>
  <c r="AG406" i="1"/>
  <c r="AG419" i="1" s="1"/>
  <c r="AF406" i="1"/>
  <c r="AF419" i="1" s="1"/>
  <c r="AE406" i="1"/>
  <c r="AE419" i="1" s="1"/>
  <c r="AD406" i="1"/>
  <c r="AD419" i="1" s="1"/>
  <c r="AC406" i="1"/>
  <c r="AC419" i="1" s="1"/>
  <c r="AB406" i="1"/>
  <c r="AA406" i="1"/>
  <c r="AA419" i="1" s="1"/>
  <c r="Z406" i="1"/>
  <c r="Z419" i="1" s="1"/>
  <c r="Y406" i="1"/>
  <c r="Y419" i="1" s="1"/>
  <c r="X406" i="1"/>
  <c r="X419" i="1" s="1"/>
  <c r="W406" i="1"/>
  <c r="W419" i="1" s="1"/>
  <c r="V406" i="1"/>
  <c r="V419" i="1" s="1"/>
  <c r="U406" i="1"/>
  <c r="U419" i="1" s="1"/>
  <c r="T406" i="1"/>
  <c r="T419" i="1" s="1"/>
  <c r="S406" i="1"/>
  <c r="S419" i="1" s="1"/>
  <c r="R406" i="1"/>
  <c r="R419" i="1" s="1"/>
  <c r="Q406" i="1"/>
  <c r="Q419" i="1" s="1"/>
  <c r="P406" i="1"/>
  <c r="P419" i="1" s="1"/>
  <c r="O406" i="1"/>
  <c r="O419" i="1" s="1"/>
  <c r="N406" i="1"/>
  <c r="N419" i="1" s="1"/>
  <c r="M406" i="1"/>
  <c r="M419" i="1" s="1"/>
  <c r="L406" i="1"/>
  <c r="K406" i="1"/>
  <c r="K419" i="1" s="1"/>
  <c r="J406" i="1"/>
  <c r="J419" i="1" s="1"/>
  <c r="I406" i="1"/>
  <c r="I419" i="1" s="1"/>
  <c r="H406" i="1"/>
  <c r="H419" i="1" s="1"/>
  <c r="G406" i="1"/>
  <c r="G419" i="1" s="1"/>
  <c r="F406" i="1"/>
  <c r="F419" i="1" s="1"/>
  <c r="E406" i="1"/>
  <c r="E419" i="1" s="1"/>
  <c r="D406" i="1"/>
  <c r="C406" i="1"/>
  <c r="C419" i="1" s="1"/>
  <c r="BY405" i="1"/>
  <c r="BY407" i="1" s="1"/>
  <c r="BY39" i="9" s="1"/>
  <c r="BT405" i="1"/>
  <c r="BT407" i="1" s="1"/>
  <c r="BT39" i="9" s="1"/>
  <c r="AM405" i="1"/>
  <c r="AM407" i="1" s="1"/>
  <c r="AM39" i="9" s="1"/>
  <c r="AL405" i="1"/>
  <c r="AL407" i="1" s="1"/>
  <c r="AL39" i="9" s="1"/>
  <c r="AK405" i="1"/>
  <c r="AK407" i="1" s="1"/>
  <c r="AK39" i="9" s="1"/>
  <c r="N405" i="1"/>
  <c r="N407" i="1" s="1"/>
  <c r="N39" i="9" s="1"/>
  <c r="H405" i="1"/>
  <c r="BY404" i="1"/>
  <c r="BX404" i="1"/>
  <c r="BX743" i="1" s="1"/>
  <c r="BW404" i="1"/>
  <c r="BW743" i="1" s="1"/>
  <c r="BV404" i="1"/>
  <c r="BV743" i="1" s="1"/>
  <c r="BU404" i="1"/>
  <c r="BU743" i="1" s="1"/>
  <c r="BT404" i="1"/>
  <c r="BT743" i="1" s="1"/>
  <c r="BS404" i="1"/>
  <c r="BS743" i="1" s="1"/>
  <c r="BR404" i="1"/>
  <c r="BR743" i="1" s="1"/>
  <c r="BQ404" i="1"/>
  <c r="BQ743" i="1" s="1"/>
  <c r="BP404" i="1"/>
  <c r="BP743" i="1" s="1"/>
  <c r="BO404" i="1"/>
  <c r="BO743" i="1" s="1"/>
  <c r="BN404" i="1"/>
  <c r="BN743" i="1" s="1"/>
  <c r="BM404" i="1"/>
  <c r="BM743" i="1" s="1"/>
  <c r="BL404" i="1"/>
  <c r="BL743" i="1" s="1"/>
  <c r="BK404" i="1"/>
  <c r="BK743" i="1" s="1"/>
  <c r="BJ404" i="1"/>
  <c r="BJ743" i="1" s="1"/>
  <c r="BI404" i="1"/>
  <c r="BI743" i="1" s="1"/>
  <c r="BI744" i="1" s="1"/>
  <c r="BG404" i="1"/>
  <c r="BG743" i="1" s="1"/>
  <c r="BF404" i="1"/>
  <c r="BF743" i="1" s="1"/>
  <c r="BE404" i="1"/>
  <c r="BE743" i="1" s="1"/>
  <c r="BD404" i="1"/>
  <c r="BD743" i="1" s="1"/>
  <c r="BC404" i="1"/>
  <c r="BC743" i="1" s="1"/>
  <c r="BB404" i="1"/>
  <c r="BB743" i="1" s="1"/>
  <c r="BA404" i="1"/>
  <c r="BA743" i="1" s="1"/>
  <c r="AZ404" i="1"/>
  <c r="AZ743" i="1" s="1"/>
  <c r="AY404" i="1"/>
  <c r="AY743" i="1" s="1"/>
  <c r="AX404" i="1"/>
  <c r="AX743" i="1" s="1"/>
  <c r="AW404" i="1"/>
  <c r="AW743" i="1" s="1"/>
  <c r="AV404" i="1"/>
  <c r="AV743" i="1" s="1"/>
  <c r="AU404" i="1"/>
  <c r="AU743" i="1" s="1"/>
  <c r="AT404" i="1"/>
  <c r="AT743" i="1" s="1"/>
  <c r="AT744" i="1" s="1"/>
  <c r="AS404" i="1"/>
  <c r="AS743" i="1" s="1"/>
  <c r="AR404" i="1"/>
  <c r="AR743" i="1" s="1"/>
  <c r="AQ404" i="1"/>
  <c r="AQ743" i="1" s="1"/>
  <c r="AP404" i="1"/>
  <c r="AP743" i="1" s="1"/>
  <c r="AO404" i="1"/>
  <c r="AO743" i="1" s="1"/>
  <c r="AN404" i="1"/>
  <c r="AN743" i="1" s="1"/>
  <c r="AM404" i="1"/>
  <c r="AM743" i="1" s="1"/>
  <c r="AL404" i="1"/>
  <c r="AL743" i="1" s="1"/>
  <c r="AK404" i="1"/>
  <c r="AK743" i="1" s="1"/>
  <c r="AJ404" i="1"/>
  <c r="AJ743" i="1" s="1"/>
  <c r="AJ744" i="1" s="1"/>
  <c r="AI404" i="1"/>
  <c r="AI743" i="1" s="1"/>
  <c r="AH404" i="1"/>
  <c r="AH743" i="1" s="1"/>
  <c r="AG404" i="1"/>
  <c r="AG743" i="1" s="1"/>
  <c r="AF404" i="1"/>
  <c r="AF743" i="1" s="1"/>
  <c r="AE404" i="1"/>
  <c r="AE743" i="1" s="1"/>
  <c r="AD404" i="1"/>
  <c r="AD743" i="1" s="1"/>
  <c r="AC404" i="1"/>
  <c r="AC743" i="1" s="1"/>
  <c r="AB404" i="1"/>
  <c r="AB743" i="1" s="1"/>
  <c r="AA404" i="1"/>
  <c r="AA743" i="1" s="1"/>
  <c r="Z404" i="1"/>
  <c r="Z743" i="1" s="1"/>
  <c r="Y404" i="1"/>
  <c r="Y743" i="1" s="1"/>
  <c r="X404" i="1"/>
  <c r="X743" i="1" s="1"/>
  <c r="W404" i="1"/>
  <c r="W743" i="1" s="1"/>
  <c r="V404" i="1"/>
  <c r="V743" i="1" s="1"/>
  <c r="U404" i="1"/>
  <c r="U743" i="1" s="1"/>
  <c r="S404" i="1"/>
  <c r="S743" i="1" s="1"/>
  <c r="R404" i="1"/>
  <c r="R743" i="1" s="1"/>
  <c r="Q404" i="1"/>
  <c r="Q743" i="1" s="1"/>
  <c r="P404" i="1"/>
  <c r="P743" i="1" s="1"/>
  <c r="P744" i="1" s="1"/>
  <c r="O404" i="1"/>
  <c r="O743" i="1" s="1"/>
  <c r="N404" i="1"/>
  <c r="N743" i="1" s="1"/>
  <c r="M404" i="1"/>
  <c r="M743" i="1" s="1"/>
  <c r="L404" i="1"/>
  <c r="L743" i="1" s="1"/>
  <c r="K404" i="1"/>
  <c r="K743" i="1" s="1"/>
  <c r="I404" i="1"/>
  <c r="I743" i="1" s="1"/>
  <c r="H404" i="1"/>
  <c r="H743" i="1" s="1"/>
  <c r="G404" i="1"/>
  <c r="G743" i="1" s="1"/>
  <c r="F404" i="1"/>
  <c r="F743" i="1" s="1"/>
  <c r="F744" i="1" s="1"/>
  <c r="E404" i="1"/>
  <c r="E743" i="1" s="1"/>
  <c r="E744" i="1" s="1"/>
  <c r="D404" i="1"/>
  <c r="D743" i="1" s="1"/>
  <c r="D744" i="1" s="1"/>
  <c r="C404" i="1"/>
  <c r="C743" i="1" s="1"/>
  <c r="BY403" i="1"/>
  <c r="BX403" i="1"/>
  <c r="BW403" i="1"/>
  <c r="BV403" i="1"/>
  <c r="BU403" i="1"/>
  <c r="BU741" i="1" s="1"/>
  <c r="BT403" i="1"/>
  <c r="BT741" i="1" s="1"/>
  <c r="BS403" i="1"/>
  <c r="BR403" i="1"/>
  <c r="BR741" i="1" s="1"/>
  <c r="BR745" i="1" s="1"/>
  <c r="BR746" i="1" s="1"/>
  <c r="BQ403" i="1"/>
  <c r="BQ741" i="1" s="1"/>
  <c r="BP403" i="1"/>
  <c r="BO403" i="1"/>
  <c r="BN403" i="1"/>
  <c r="BM403" i="1"/>
  <c r="BL403" i="1"/>
  <c r="BL741" i="1" s="1"/>
  <c r="BL745" i="1" s="1"/>
  <c r="BL746" i="1" s="1"/>
  <c r="BK403" i="1"/>
  <c r="BK741" i="1" s="1"/>
  <c r="BJ403" i="1"/>
  <c r="BI403" i="1"/>
  <c r="BI405" i="1" s="1"/>
  <c r="BH403" i="1"/>
  <c r="BH741" i="1" s="1"/>
  <c r="BG403" i="1"/>
  <c r="BF403" i="1"/>
  <c r="BE403" i="1"/>
  <c r="BE741" i="1" s="1"/>
  <c r="BD403" i="1"/>
  <c r="BC403" i="1"/>
  <c r="BC741" i="1" s="1"/>
  <c r="BB403" i="1"/>
  <c r="BA403" i="1"/>
  <c r="BA741" i="1" s="1"/>
  <c r="AZ403" i="1"/>
  <c r="AZ741" i="1" s="1"/>
  <c r="AY403" i="1"/>
  <c r="AX403" i="1"/>
  <c r="AW403" i="1"/>
  <c r="AW741" i="1" s="1"/>
  <c r="AW745" i="1" s="1"/>
  <c r="AV403" i="1"/>
  <c r="AV741" i="1" s="1"/>
  <c r="AU403" i="1"/>
  <c r="AU741" i="1" s="1"/>
  <c r="AT403" i="1"/>
  <c r="AS403" i="1"/>
  <c r="AS741" i="1" s="1"/>
  <c r="AR403" i="1"/>
  <c r="AQ403" i="1"/>
  <c r="AP403" i="1"/>
  <c r="AO403" i="1"/>
  <c r="AO741" i="1" s="1"/>
  <c r="AN403" i="1"/>
  <c r="AN741" i="1" s="1"/>
  <c r="AM403" i="1"/>
  <c r="AM741" i="1" s="1"/>
  <c r="AL403" i="1"/>
  <c r="AL741" i="1" s="1"/>
  <c r="AK403" i="1"/>
  <c r="AK741" i="1" s="1"/>
  <c r="AJ403" i="1"/>
  <c r="AI403" i="1"/>
  <c r="AH403" i="1"/>
  <c r="AG403" i="1"/>
  <c r="AG741" i="1" s="1"/>
  <c r="AG745" i="1" s="1"/>
  <c r="AF403" i="1"/>
  <c r="AE403" i="1"/>
  <c r="AE741" i="1" s="1"/>
  <c r="AD403" i="1"/>
  <c r="AD741" i="1" s="1"/>
  <c r="AC403" i="1"/>
  <c r="AC741" i="1" s="1"/>
  <c r="AB403" i="1"/>
  <c r="AB741" i="1" s="1"/>
  <c r="AA403" i="1"/>
  <c r="Z403" i="1"/>
  <c r="Y403" i="1"/>
  <c r="Y741" i="1" s="1"/>
  <c r="Y745" i="1" s="1"/>
  <c r="X403" i="1"/>
  <c r="W403" i="1"/>
  <c r="V403" i="1"/>
  <c r="V741" i="1" s="1"/>
  <c r="U403" i="1"/>
  <c r="U741" i="1" s="1"/>
  <c r="S403" i="1"/>
  <c r="R403" i="1"/>
  <c r="Q403" i="1"/>
  <c r="Q741" i="1" s="1"/>
  <c r="P403" i="1"/>
  <c r="N403" i="1"/>
  <c r="N741" i="1" s="1"/>
  <c r="N745" i="1" s="1"/>
  <c r="M403" i="1"/>
  <c r="M741" i="1" s="1"/>
  <c r="L403" i="1"/>
  <c r="L741" i="1" s="1"/>
  <c r="K403" i="1"/>
  <c r="K405" i="1" s="1"/>
  <c r="I403" i="1"/>
  <c r="H403" i="1"/>
  <c r="H741" i="1" s="1"/>
  <c r="G403" i="1"/>
  <c r="G741" i="1" s="1"/>
  <c r="F403" i="1"/>
  <c r="F741" i="1" s="1"/>
  <c r="E403" i="1"/>
  <c r="E741" i="1" s="1"/>
  <c r="D403" i="1"/>
  <c r="D741" i="1" s="1"/>
  <c r="C403" i="1"/>
  <c r="A401" i="1"/>
  <c r="A1132" i="1" s="1"/>
  <c r="BN399" i="1"/>
  <c r="BN925" i="1" s="1"/>
  <c r="BN936" i="1" s="1"/>
  <c r="BI399" i="1"/>
  <c r="BI925" i="1" s="1"/>
  <c r="BD399" i="1"/>
  <c r="BD925" i="1" s="1"/>
  <c r="BD936" i="1" s="1"/>
  <c r="AY399" i="1"/>
  <c r="AY925" i="1" s="1"/>
  <c r="AO399" i="1"/>
  <c r="AO925" i="1" s="1"/>
  <c r="AJ399" i="1"/>
  <c r="AJ925" i="1" s="1"/>
  <c r="Z399" i="1"/>
  <c r="Z925" i="1" s="1"/>
  <c r="A397" i="1"/>
  <c r="A1133" i="1" s="1"/>
  <c r="CK395" i="1"/>
  <c r="CK37" i="9" s="1"/>
  <c r="CJ395" i="1"/>
  <c r="CJ37" i="9" s="1"/>
  <c r="CI395" i="1"/>
  <c r="CI37" i="9" s="1"/>
  <c r="CG395" i="1"/>
  <c r="CG37" i="9" s="1"/>
  <c r="CF395" i="1"/>
  <c r="CF37" i="9" s="1"/>
  <c r="CE395" i="1"/>
  <c r="CE37" i="9" s="1"/>
  <c r="CD395" i="1"/>
  <c r="CB395" i="1"/>
  <c r="CB37" i="9" s="1"/>
  <c r="CA395" i="1"/>
  <c r="CA37" i="9" s="1"/>
  <c r="BZ395" i="1"/>
  <c r="BZ37" i="9" s="1"/>
  <c r="CK393" i="1"/>
  <c r="CJ393" i="1"/>
  <c r="CI393" i="1"/>
  <c r="CG393" i="1"/>
  <c r="CG36" i="9" s="1"/>
  <c r="CF393" i="1"/>
  <c r="CF36" i="9" s="1"/>
  <c r="CE393" i="1"/>
  <c r="CE36" i="9" s="1"/>
  <c r="CD393" i="1"/>
  <c r="CB393" i="1"/>
  <c r="CA393" i="1"/>
  <c r="BZ393" i="1"/>
  <c r="BZ36" i="9" s="1"/>
  <c r="BM393" i="1"/>
  <c r="X393" i="1"/>
  <c r="R393" i="1"/>
  <c r="R36" i="9" s="1"/>
  <c r="P393" i="1"/>
  <c r="CK392" i="1"/>
  <c r="CJ392" i="1"/>
  <c r="CI392" i="1"/>
  <c r="CG392" i="1"/>
  <c r="CF392" i="1"/>
  <c r="CE392" i="1"/>
  <c r="CE391" i="1" s="1"/>
  <c r="CD392" i="1"/>
  <c r="CB392" i="1"/>
  <c r="CA392" i="1"/>
  <c r="BZ392" i="1"/>
  <c r="BY392" i="1"/>
  <c r="BX392" i="1"/>
  <c r="BX99" i="1" s="1"/>
  <c r="BW392" i="1"/>
  <c r="BW99" i="1" s="1"/>
  <c r="BV392" i="1"/>
  <c r="BU392" i="1"/>
  <c r="BU393" i="1" s="1"/>
  <c r="BT392" i="1"/>
  <c r="BS392" i="1"/>
  <c r="BR392" i="1"/>
  <c r="BQ392" i="1"/>
  <c r="BP392" i="1"/>
  <c r="BP99" i="1" s="1"/>
  <c r="BO392" i="1"/>
  <c r="BO99" i="1" s="1"/>
  <c r="BN392" i="1"/>
  <c r="BN99" i="1" s="1"/>
  <c r="BM392" i="1"/>
  <c r="BL392" i="1"/>
  <c r="BK392" i="1"/>
  <c r="BJ392" i="1"/>
  <c r="BI392" i="1"/>
  <c r="BH392" i="1"/>
  <c r="BH99" i="1" s="1"/>
  <c r="BG392" i="1"/>
  <c r="BG99" i="1" s="1"/>
  <c r="BF392" i="1"/>
  <c r="BF99" i="1" s="1"/>
  <c r="BE392" i="1"/>
  <c r="BE393" i="1" s="1"/>
  <c r="BE36" i="9" s="1"/>
  <c r="BD392" i="1"/>
  <c r="BD393" i="1" s="1"/>
  <c r="BC392" i="1"/>
  <c r="BB392" i="1"/>
  <c r="BB393" i="1" s="1"/>
  <c r="BA392" i="1"/>
  <c r="AZ392" i="1"/>
  <c r="AZ99" i="1" s="1"/>
  <c r="AY392" i="1"/>
  <c r="AY99" i="1" s="1"/>
  <c r="AX392" i="1"/>
  <c r="AX99" i="1" s="1"/>
  <c r="AW392" i="1"/>
  <c r="AW393" i="1" s="1"/>
  <c r="AV392" i="1"/>
  <c r="AU392" i="1"/>
  <c r="AT392" i="1"/>
  <c r="AT393" i="1" s="1"/>
  <c r="AT36" i="9" s="1"/>
  <c r="AS392" i="1"/>
  <c r="AR392" i="1"/>
  <c r="AR99" i="1" s="1"/>
  <c r="AQ392" i="1"/>
  <c r="AQ99" i="1" s="1"/>
  <c r="AP392" i="1"/>
  <c r="AP393" i="1" s="1"/>
  <c r="AO392" i="1"/>
  <c r="AO393" i="1" s="1"/>
  <c r="AN392" i="1"/>
  <c r="AN393" i="1" s="1"/>
  <c r="AM392" i="1"/>
  <c r="AL392" i="1"/>
  <c r="AL393" i="1" s="1"/>
  <c r="AL36" i="9" s="1"/>
  <c r="AK392" i="1"/>
  <c r="AJ392" i="1"/>
  <c r="AJ99" i="1" s="1"/>
  <c r="AI392" i="1"/>
  <c r="AI99" i="1" s="1"/>
  <c r="AH392" i="1"/>
  <c r="AH393" i="1" s="1"/>
  <c r="AG392" i="1"/>
  <c r="AG393" i="1" s="1"/>
  <c r="AG36" i="9" s="1"/>
  <c r="AF392" i="1"/>
  <c r="AF393" i="1" s="1"/>
  <c r="AE392" i="1"/>
  <c r="AD392" i="1"/>
  <c r="AD393" i="1" s="1"/>
  <c r="AC392" i="1"/>
  <c r="AB392" i="1"/>
  <c r="AB99" i="1" s="1"/>
  <c r="AA392" i="1"/>
  <c r="AA99" i="1" s="1"/>
  <c r="Z392" i="1"/>
  <c r="Z99" i="1" s="1"/>
  <c r="Z100" i="1" s="1"/>
  <c r="Y392" i="1"/>
  <c r="Y393" i="1" s="1"/>
  <c r="X392" i="1"/>
  <c r="W392" i="1"/>
  <c r="V392" i="1"/>
  <c r="U392" i="1"/>
  <c r="T392" i="1"/>
  <c r="T99" i="1" s="1"/>
  <c r="S392" i="1"/>
  <c r="S99" i="1" s="1"/>
  <c r="R392" i="1"/>
  <c r="R99" i="1" s="1"/>
  <c r="R100" i="1" s="1"/>
  <c r="Q392" i="1"/>
  <c r="P392" i="1"/>
  <c r="O392" i="1"/>
  <c r="N392" i="1"/>
  <c r="M392" i="1"/>
  <c r="L392" i="1"/>
  <c r="L99" i="1" s="1"/>
  <c r="K392" i="1"/>
  <c r="K99" i="1" s="1"/>
  <c r="J392" i="1"/>
  <c r="I392" i="1"/>
  <c r="H392" i="1"/>
  <c r="G392" i="1"/>
  <c r="F392" i="1"/>
  <c r="E392" i="1"/>
  <c r="D392" i="1"/>
  <c r="D99" i="1" s="1"/>
  <c r="CG391" i="1"/>
  <c r="CF391" i="1"/>
  <c r="BY391" i="1"/>
  <c r="BX391" i="1"/>
  <c r="BV391" i="1"/>
  <c r="BU391" i="1"/>
  <c r="BT391" i="1"/>
  <c r="BS391" i="1"/>
  <c r="BS393" i="1" s="1"/>
  <c r="BS36" i="9" s="1"/>
  <c r="BQ391" i="1"/>
  <c r="BP391" i="1"/>
  <c r="BO391" i="1"/>
  <c r="BN391" i="1"/>
  <c r="BL391" i="1"/>
  <c r="BL393" i="1" s="1"/>
  <c r="BK391" i="1"/>
  <c r="BJ391" i="1"/>
  <c r="BI391" i="1"/>
  <c r="BI282" i="1" s="1"/>
  <c r="BG391" i="1"/>
  <c r="BG393" i="1" s="1"/>
  <c r="BF391" i="1"/>
  <c r="BF393" i="1" s="1"/>
  <c r="BF36" i="9" s="1"/>
  <c r="BE391" i="1"/>
  <c r="BD391" i="1"/>
  <c r="BC391" i="1"/>
  <c r="BB391" i="1"/>
  <c r="BA391" i="1"/>
  <c r="AZ391" i="1"/>
  <c r="AY391" i="1"/>
  <c r="AX391" i="1"/>
  <c r="AX393" i="1" s="1"/>
  <c r="AW391" i="1"/>
  <c r="AV391" i="1"/>
  <c r="AU391" i="1"/>
  <c r="AU393" i="1" s="1"/>
  <c r="AT391" i="1"/>
  <c r="AS391" i="1"/>
  <c r="AS393" i="1" s="1"/>
  <c r="AS36" i="9" s="1"/>
  <c r="AR391" i="1"/>
  <c r="AR393" i="1" s="1"/>
  <c r="AQ391" i="1"/>
  <c r="AQ393" i="1" s="1"/>
  <c r="AQ36" i="9" s="1"/>
  <c r="AP391" i="1"/>
  <c r="AO391" i="1"/>
  <c r="AN391" i="1"/>
  <c r="AM391" i="1"/>
  <c r="AL391" i="1"/>
  <c r="AK391" i="1"/>
  <c r="AJ391" i="1"/>
  <c r="AI391" i="1"/>
  <c r="AI393" i="1" s="1"/>
  <c r="AH391" i="1"/>
  <c r="AG391" i="1"/>
  <c r="AF391" i="1"/>
  <c r="AE391" i="1"/>
  <c r="AE393" i="1" s="1"/>
  <c r="AD391" i="1"/>
  <c r="AC391" i="1"/>
  <c r="AC393" i="1" s="1"/>
  <c r="AB391" i="1"/>
  <c r="AA391" i="1"/>
  <c r="Z391" i="1"/>
  <c r="Y391" i="1"/>
  <c r="X391" i="1"/>
  <c r="W391" i="1"/>
  <c r="V391" i="1"/>
  <c r="U391" i="1"/>
  <c r="U393" i="1" s="1"/>
  <c r="U36" i="9" s="1"/>
  <c r="S391" i="1"/>
  <c r="R391" i="1"/>
  <c r="R282" i="1" s="1"/>
  <c r="Q391" i="1"/>
  <c r="P391" i="1"/>
  <c r="N391" i="1"/>
  <c r="M391" i="1"/>
  <c r="M393" i="1" s="1"/>
  <c r="L391" i="1"/>
  <c r="L393" i="1" s="1"/>
  <c r="K391" i="1"/>
  <c r="I391" i="1"/>
  <c r="H391" i="1"/>
  <c r="G391" i="1"/>
  <c r="G393" i="1" s="1"/>
  <c r="G36" i="9" s="1"/>
  <c r="F391" i="1"/>
  <c r="E391" i="1"/>
  <c r="E393" i="1" s="1"/>
  <c r="E36" i="9" s="1"/>
  <c r="D391" i="1"/>
  <c r="C391" i="1"/>
  <c r="S390" i="1"/>
  <c r="CK389" i="1"/>
  <c r="CJ389" i="1"/>
  <c r="CI389" i="1"/>
  <c r="CG389" i="1"/>
  <c r="CF389" i="1"/>
  <c r="CE389" i="1"/>
  <c r="CD389" i="1"/>
  <c r="CB389" i="1"/>
  <c r="CA389" i="1"/>
  <c r="BZ389" i="1"/>
  <c r="BY389" i="1"/>
  <c r="BX389" i="1"/>
  <c r="BW389" i="1"/>
  <c r="BW88" i="1" s="1"/>
  <c r="BV389" i="1"/>
  <c r="BV88" i="1" s="1"/>
  <c r="BU389" i="1"/>
  <c r="BU88" i="1" s="1"/>
  <c r="BT389" i="1"/>
  <c r="BT88" i="1" s="1"/>
  <c r="BS389" i="1"/>
  <c r="BR389" i="1"/>
  <c r="BQ389" i="1"/>
  <c r="BP389" i="1"/>
  <c r="BO389" i="1"/>
  <c r="BN389" i="1"/>
  <c r="BN88" i="1" s="1"/>
  <c r="BM389" i="1"/>
  <c r="BM88" i="1" s="1"/>
  <c r="BL389" i="1"/>
  <c r="BL88" i="1" s="1"/>
  <c r="BK389" i="1"/>
  <c r="BJ389" i="1"/>
  <c r="BI389" i="1"/>
  <c r="BH389" i="1"/>
  <c r="BH88" i="1" s="1"/>
  <c r="BG389" i="1"/>
  <c r="BG88" i="1" s="1"/>
  <c r="BF389" i="1"/>
  <c r="BF88" i="1" s="1"/>
  <c r="BE389" i="1"/>
  <c r="BE88" i="1" s="1"/>
  <c r="BD389" i="1"/>
  <c r="BD88" i="1" s="1"/>
  <c r="BC389" i="1"/>
  <c r="BB389" i="1"/>
  <c r="BA389" i="1"/>
  <c r="AZ389" i="1"/>
  <c r="AY389" i="1"/>
  <c r="AY88" i="1" s="1"/>
  <c r="AX389" i="1"/>
  <c r="AX88" i="1" s="1"/>
  <c r="AW389" i="1"/>
  <c r="AW88" i="1" s="1"/>
  <c r="AV389" i="1"/>
  <c r="AV88" i="1" s="1"/>
  <c r="AU389" i="1"/>
  <c r="AT389" i="1"/>
  <c r="AS389" i="1"/>
  <c r="AR389" i="1"/>
  <c r="AR88" i="1" s="1"/>
  <c r="AQ389" i="1"/>
  <c r="AQ88" i="1" s="1"/>
  <c r="AP389" i="1"/>
  <c r="AP88" i="1" s="1"/>
  <c r="AO389" i="1"/>
  <c r="AO88" i="1" s="1"/>
  <c r="AN389" i="1"/>
  <c r="AN88" i="1" s="1"/>
  <c r="AM389" i="1"/>
  <c r="AL389" i="1"/>
  <c r="AK389" i="1"/>
  <c r="AJ389" i="1"/>
  <c r="AJ88" i="1" s="1"/>
  <c r="AI389" i="1"/>
  <c r="AI88" i="1" s="1"/>
  <c r="AH389" i="1"/>
  <c r="AH88" i="1" s="1"/>
  <c r="AG389" i="1"/>
  <c r="AG88" i="1" s="1"/>
  <c r="AF389" i="1"/>
  <c r="AF88" i="1" s="1"/>
  <c r="AE389" i="1"/>
  <c r="AD389" i="1"/>
  <c r="AC389" i="1"/>
  <c r="AB389" i="1"/>
  <c r="AA389" i="1"/>
  <c r="Z389" i="1"/>
  <c r="Z88" i="1" s="1"/>
  <c r="Y389" i="1"/>
  <c r="Y88" i="1" s="1"/>
  <c r="X389" i="1"/>
  <c r="X88" i="1" s="1"/>
  <c r="W389" i="1"/>
  <c r="V389" i="1"/>
  <c r="U389" i="1"/>
  <c r="T389" i="1"/>
  <c r="T88" i="1" s="1"/>
  <c r="S389" i="1"/>
  <c r="S88" i="1" s="1"/>
  <c r="R389" i="1"/>
  <c r="R88" i="1" s="1"/>
  <c r="Q389" i="1"/>
  <c r="Q88" i="1" s="1"/>
  <c r="P389" i="1"/>
  <c r="P88" i="1" s="1"/>
  <c r="O389" i="1"/>
  <c r="N389" i="1"/>
  <c r="M389" i="1"/>
  <c r="L389" i="1"/>
  <c r="K389" i="1"/>
  <c r="K88" i="1" s="1"/>
  <c r="J389" i="1"/>
  <c r="J88" i="1" s="1"/>
  <c r="I389" i="1"/>
  <c r="I88" i="1" s="1"/>
  <c r="H389" i="1"/>
  <c r="H88" i="1" s="1"/>
  <c r="G389" i="1"/>
  <c r="F389" i="1"/>
  <c r="E389" i="1"/>
  <c r="D389" i="1"/>
  <c r="C389" i="1"/>
  <c r="BY388" i="1"/>
  <c r="BY86" i="1" s="1"/>
  <c r="BX388" i="1"/>
  <c r="BX86" i="1" s="1"/>
  <c r="BX89" i="1" s="1"/>
  <c r="BW388" i="1"/>
  <c r="BV388" i="1"/>
  <c r="BU388" i="1"/>
  <c r="BT388" i="1"/>
  <c r="BS388" i="1"/>
  <c r="BR388" i="1"/>
  <c r="BR86" i="1" s="1"/>
  <c r="BQ388" i="1"/>
  <c r="BQ86" i="1" s="1"/>
  <c r="BP388" i="1"/>
  <c r="BP86" i="1" s="1"/>
  <c r="BO388" i="1"/>
  <c r="BN388" i="1"/>
  <c r="BM388" i="1"/>
  <c r="BL388" i="1"/>
  <c r="BK388" i="1"/>
  <c r="BJ388" i="1"/>
  <c r="BJ86" i="1" s="1"/>
  <c r="BI388" i="1"/>
  <c r="BI86" i="1" s="1"/>
  <c r="BH388" i="1"/>
  <c r="BH86" i="1" s="1"/>
  <c r="BG388" i="1"/>
  <c r="BF388" i="1"/>
  <c r="BE388" i="1"/>
  <c r="BD388" i="1"/>
  <c r="BC388" i="1"/>
  <c r="BB388" i="1"/>
  <c r="BB86" i="1" s="1"/>
  <c r="BA388" i="1"/>
  <c r="BA86" i="1" s="1"/>
  <c r="AZ388" i="1"/>
  <c r="AZ86" i="1" s="1"/>
  <c r="AY388" i="1"/>
  <c r="AX388" i="1"/>
  <c r="AW388" i="1"/>
  <c r="AV388" i="1"/>
  <c r="AU388" i="1"/>
  <c r="AT388" i="1"/>
  <c r="AT86" i="1" s="1"/>
  <c r="AS388" i="1"/>
  <c r="AS86" i="1" s="1"/>
  <c r="AR388" i="1"/>
  <c r="AR86" i="1" s="1"/>
  <c r="AQ388" i="1"/>
  <c r="AP388" i="1"/>
  <c r="AO388" i="1"/>
  <c r="AN388" i="1"/>
  <c r="AM388" i="1"/>
  <c r="AL388" i="1"/>
  <c r="AL86" i="1" s="1"/>
  <c r="AK388" i="1"/>
  <c r="AK86" i="1" s="1"/>
  <c r="AI388" i="1"/>
  <c r="AI86" i="1" s="1"/>
  <c r="AH388" i="1"/>
  <c r="AG388" i="1"/>
  <c r="AF388" i="1"/>
  <c r="AD388" i="1"/>
  <c r="AC388" i="1"/>
  <c r="AB388" i="1"/>
  <c r="AB390" i="1" s="1"/>
  <c r="AA388" i="1"/>
  <c r="AA86" i="1" s="1"/>
  <c r="Y388" i="1"/>
  <c r="Y86" i="1" s="1"/>
  <c r="X388" i="1"/>
  <c r="X86" i="1" s="1"/>
  <c r="W388" i="1"/>
  <c r="V388" i="1"/>
  <c r="T388" i="1"/>
  <c r="S388" i="1"/>
  <c r="R388" i="1"/>
  <c r="Q388" i="1"/>
  <c r="Q86" i="1" s="1"/>
  <c r="O388" i="1"/>
  <c r="O86" i="1" s="1"/>
  <c r="O87" i="1" s="1"/>
  <c r="N388" i="1"/>
  <c r="N86" i="1" s="1"/>
  <c r="M388" i="1"/>
  <c r="L388" i="1"/>
  <c r="J388" i="1"/>
  <c r="J86" i="1" s="1"/>
  <c r="I388" i="1"/>
  <c r="I86" i="1" s="1"/>
  <c r="H388" i="1"/>
  <c r="H86" i="1" s="1"/>
  <c r="G388" i="1"/>
  <c r="G390" i="1" s="1"/>
  <c r="F388" i="1"/>
  <c r="E388" i="1"/>
  <c r="E86" i="1" s="1"/>
  <c r="D388" i="1"/>
  <c r="C388" i="1"/>
  <c r="BX387" i="1"/>
  <c r="BW387" i="1"/>
  <c r="BW84" i="1" s="1"/>
  <c r="BW85" i="1" s="1"/>
  <c r="BV387" i="1"/>
  <c r="BV84" i="1" s="1"/>
  <c r="BU387" i="1"/>
  <c r="BU84" i="1" s="1"/>
  <c r="BU85" i="1" s="1"/>
  <c r="BT387" i="1"/>
  <c r="BT84" i="1" s="1"/>
  <c r="BS387" i="1"/>
  <c r="BR387" i="1"/>
  <c r="BQ387" i="1"/>
  <c r="BP387" i="1"/>
  <c r="BO387" i="1"/>
  <c r="BN387" i="1"/>
  <c r="BN84" i="1" s="1"/>
  <c r="BM387" i="1"/>
  <c r="BM84" i="1" s="1"/>
  <c r="BM85" i="1" s="1"/>
  <c r="BL387" i="1"/>
  <c r="BL84" i="1" s="1"/>
  <c r="BK387" i="1"/>
  <c r="BJ387" i="1"/>
  <c r="BI387" i="1"/>
  <c r="BH387" i="1"/>
  <c r="BG387" i="1"/>
  <c r="BF387" i="1"/>
  <c r="BF84" i="1" s="1"/>
  <c r="BE387" i="1"/>
  <c r="BE84" i="1" s="1"/>
  <c r="BD387" i="1"/>
  <c r="BD84" i="1" s="1"/>
  <c r="BC387" i="1"/>
  <c r="BC84" i="1" s="1"/>
  <c r="BB387" i="1"/>
  <c r="BA387" i="1"/>
  <c r="AZ387" i="1"/>
  <c r="AY387" i="1"/>
  <c r="AX387" i="1"/>
  <c r="AW387" i="1"/>
  <c r="AW84" i="1" s="1"/>
  <c r="AV387" i="1"/>
  <c r="AV84" i="1" s="1"/>
  <c r="AU387" i="1"/>
  <c r="AU84" i="1" s="1"/>
  <c r="AT387" i="1"/>
  <c r="AS387" i="1"/>
  <c r="AR387" i="1"/>
  <c r="AQ387" i="1"/>
  <c r="AP387" i="1"/>
  <c r="AO387" i="1"/>
  <c r="AN387" i="1"/>
  <c r="AM387" i="1"/>
  <c r="AM84" i="1" s="1"/>
  <c r="AL387" i="1"/>
  <c r="AK387" i="1"/>
  <c r="AJ387" i="1"/>
  <c r="AI387" i="1"/>
  <c r="AI84" i="1" s="1"/>
  <c r="AH387" i="1"/>
  <c r="AH84" i="1" s="1"/>
  <c r="AG387" i="1"/>
  <c r="AG84" i="1" s="1"/>
  <c r="AF387" i="1"/>
  <c r="AD387" i="1"/>
  <c r="AD84" i="1" s="1"/>
  <c r="AC387" i="1"/>
  <c r="AB387" i="1"/>
  <c r="AA387" i="1"/>
  <c r="Y387" i="1"/>
  <c r="Y84" i="1" s="1"/>
  <c r="X387" i="1"/>
  <c r="X84" i="1" s="1"/>
  <c r="W387" i="1"/>
  <c r="W84" i="1" s="1"/>
  <c r="V387" i="1"/>
  <c r="T387" i="1"/>
  <c r="S387" i="1"/>
  <c r="R387" i="1"/>
  <c r="O387" i="1"/>
  <c r="N387" i="1"/>
  <c r="N84" i="1" s="1"/>
  <c r="M387" i="1"/>
  <c r="M84" i="1" s="1"/>
  <c r="M85" i="1" s="1"/>
  <c r="L387" i="1"/>
  <c r="L84" i="1" s="1"/>
  <c r="L85" i="1" s="1"/>
  <c r="J387" i="1"/>
  <c r="J84" i="1" s="1"/>
  <c r="I387" i="1"/>
  <c r="I84" i="1" s="1"/>
  <c r="H387" i="1"/>
  <c r="G387" i="1"/>
  <c r="F387" i="1"/>
  <c r="E387" i="1"/>
  <c r="E390" i="1" s="1"/>
  <c r="D387" i="1"/>
  <c r="D84" i="1" s="1"/>
  <c r="D85" i="1" s="1"/>
  <c r="C387" i="1"/>
  <c r="C84" i="1" s="1"/>
  <c r="C85" i="1" s="1"/>
  <c r="BY386" i="1"/>
  <c r="BY79" i="1" s="1"/>
  <c r="BX386" i="1"/>
  <c r="BX390" i="1" s="1"/>
  <c r="BW386" i="1"/>
  <c r="BV386" i="1"/>
  <c r="BU386" i="1"/>
  <c r="BT386" i="1"/>
  <c r="BS386" i="1"/>
  <c r="BS79" i="1" s="1"/>
  <c r="BR386" i="1"/>
  <c r="BR79" i="1" s="1"/>
  <c r="BR80" i="1" s="1"/>
  <c r="BQ386" i="1"/>
  <c r="BP386" i="1"/>
  <c r="BO386" i="1"/>
  <c r="BN386" i="1"/>
  <c r="BM386" i="1"/>
  <c r="BL386" i="1"/>
  <c r="BL390" i="1" s="1"/>
  <c r="BK386" i="1"/>
  <c r="BK79" i="1" s="1"/>
  <c r="BJ386" i="1"/>
  <c r="BJ79" i="1" s="1"/>
  <c r="BI386" i="1"/>
  <c r="BI79" i="1" s="1"/>
  <c r="BG386" i="1"/>
  <c r="BF386" i="1"/>
  <c r="BE386" i="1"/>
  <c r="BD386" i="1"/>
  <c r="BC386" i="1"/>
  <c r="BB386" i="1"/>
  <c r="BA386" i="1"/>
  <c r="AZ386" i="1"/>
  <c r="AZ79" i="1" s="1"/>
  <c r="AY386" i="1"/>
  <c r="AX386" i="1"/>
  <c r="AW386" i="1"/>
  <c r="AV386" i="1"/>
  <c r="AU386" i="1"/>
  <c r="AU390" i="1" s="1"/>
  <c r="AT386" i="1"/>
  <c r="AT79" i="1" s="1"/>
  <c r="AT80" i="1" s="1"/>
  <c r="AS386" i="1"/>
  <c r="AS79" i="1" s="1"/>
  <c r="AS81" i="1" s="1"/>
  <c r="AR386" i="1"/>
  <c r="AR79" i="1" s="1"/>
  <c r="AQ386" i="1"/>
  <c r="AP386" i="1"/>
  <c r="AO386" i="1"/>
  <c r="AN386" i="1"/>
  <c r="AM386" i="1"/>
  <c r="AM79" i="1" s="1"/>
  <c r="AL386" i="1"/>
  <c r="AL79" i="1" s="1"/>
  <c r="AK386" i="1"/>
  <c r="AJ386" i="1"/>
  <c r="AJ79" i="1" s="1"/>
  <c r="AI386" i="1"/>
  <c r="AH386" i="1"/>
  <c r="AG386" i="1"/>
  <c r="AF386" i="1"/>
  <c r="AE386" i="1"/>
  <c r="AD386" i="1"/>
  <c r="AC386" i="1"/>
  <c r="AC79" i="1" s="1"/>
  <c r="AH80" i="1" s="1"/>
  <c r="AB386" i="1"/>
  <c r="AB79" i="1" s="1"/>
  <c r="AB89" i="1" s="1"/>
  <c r="AA386" i="1"/>
  <c r="Z386" i="1"/>
  <c r="Y386" i="1"/>
  <c r="X386" i="1"/>
  <c r="W386" i="1"/>
  <c r="V386" i="1"/>
  <c r="V79" i="1" s="1"/>
  <c r="V80" i="1" s="1"/>
  <c r="U386" i="1"/>
  <c r="S386" i="1"/>
  <c r="S280" i="1" s="1"/>
  <c r="R386" i="1"/>
  <c r="Q386" i="1"/>
  <c r="P386" i="1"/>
  <c r="N386" i="1"/>
  <c r="M386" i="1"/>
  <c r="M79" i="1" s="1"/>
  <c r="L386" i="1"/>
  <c r="L79" i="1" s="1"/>
  <c r="K386" i="1"/>
  <c r="K79" i="1" s="1"/>
  <c r="I386" i="1"/>
  <c r="I79" i="1" s="1"/>
  <c r="H386" i="1"/>
  <c r="G386" i="1"/>
  <c r="G280" i="1" s="1"/>
  <c r="F386" i="1"/>
  <c r="E386" i="1"/>
  <c r="D386" i="1"/>
  <c r="C386" i="1"/>
  <c r="C79" i="1" s="1"/>
  <c r="BU385" i="1"/>
  <c r="CK384" i="1"/>
  <c r="CJ384" i="1"/>
  <c r="CI384" i="1"/>
  <c r="CG384" i="1"/>
  <c r="CF384" i="1"/>
  <c r="CH384" i="1" s="1"/>
  <c r="CE384" i="1"/>
  <c r="CD384" i="1"/>
  <c r="CB384" i="1"/>
  <c r="CA384" i="1"/>
  <c r="BZ384" i="1"/>
  <c r="CC384" i="1" s="1"/>
  <c r="BY383" i="1"/>
  <c r="BY71" i="1" s="1"/>
  <c r="BX383" i="1"/>
  <c r="BX71" i="1" s="1"/>
  <c r="BW383" i="1"/>
  <c r="BW71" i="1" s="1"/>
  <c r="BW72" i="1" s="1"/>
  <c r="BV383" i="1"/>
  <c r="BV71" i="1" s="1"/>
  <c r="BU383" i="1"/>
  <c r="BT383" i="1"/>
  <c r="BS383" i="1"/>
  <c r="BR383" i="1"/>
  <c r="BQ383" i="1"/>
  <c r="BP383" i="1"/>
  <c r="BO383" i="1"/>
  <c r="BO71" i="1" s="1"/>
  <c r="BN383" i="1"/>
  <c r="BN71" i="1" s="1"/>
  <c r="BM383" i="1"/>
  <c r="BL383" i="1"/>
  <c r="BL71" i="1" s="1"/>
  <c r="BK383" i="1"/>
  <c r="BJ383" i="1"/>
  <c r="BI383" i="1"/>
  <c r="BI71" i="1" s="1"/>
  <c r="BH383" i="1"/>
  <c r="BH71" i="1" s="1"/>
  <c r="BG383" i="1"/>
  <c r="BG71" i="1" s="1"/>
  <c r="BF383" i="1"/>
  <c r="BE383" i="1"/>
  <c r="BD383" i="1"/>
  <c r="BD71" i="1" s="1"/>
  <c r="BC383" i="1"/>
  <c r="BB383" i="1"/>
  <c r="BA383" i="1"/>
  <c r="BA71" i="1" s="1"/>
  <c r="AZ383" i="1"/>
  <c r="AZ71" i="1" s="1"/>
  <c r="AY383" i="1"/>
  <c r="AY71" i="1" s="1"/>
  <c r="AX383" i="1"/>
  <c r="AW383" i="1"/>
  <c r="AV383" i="1"/>
  <c r="AT383" i="1"/>
  <c r="AS383" i="1"/>
  <c r="AS71" i="1" s="1"/>
  <c r="AR383" i="1"/>
  <c r="AR71" i="1" s="1"/>
  <c r="BX382" i="1"/>
  <c r="BX69" i="1" s="1"/>
  <c r="BW382" i="1"/>
  <c r="BW69" i="1" s="1"/>
  <c r="BW70" i="1" s="1"/>
  <c r="BV382" i="1"/>
  <c r="BV69" i="1" s="1"/>
  <c r="BU382" i="1"/>
  <c r="BT382" i="1"/>
  <c r="BS382" i="1"/>
  <c r="BR382" i="1"/>
  <c r="BR69" i="1" s="1"/>
  <c r="BQ382" i="1"/>
  <c r="BP382" i="1"/>
  <c r="BP69" i="1" s="1"/>
  <c r="BO382" i="1"/>
  <c r="BO69" i="1" s="1"/>
  <c r="BN382" i="1"/>
  <c r="BN69" i="1" s="1"/>
  <c r="BM382" i="1"/>
  <c r="BL382" i="1"/>
  <c r="BK382" i="1"/>
  <c r="BJ382" i="1"/>
  <c r="BJ69" i="1" s="1"/>
  <c r="BI382" i="1"/>
  <c r="BH382" i="1"/>
  <c r="BG382" i="1"/>
  <c r="BF382" i="1"/>
  <c r="BE382" i="1"/>
  <c r="BD382" i="1"/>
  <c r="BC382" i="1"/>
  <c r="BB382" i="1"/>
  <c r="BB69" i="1" s="1"/>
  <c r="BA382" i="1"/>
  <c r="BA69" i="1" s="1"/>
  <c r="AZ382" i="1"/>
  <c r="AZ69" i="1" s="1"/>
  <c r="AY382" i="1"/>
  <c r="AY69" i="1" s="1"/>
  <c r="AX382" i="1"/>
  <c r="AW382" i="1"/>
  <c r="AV382" i="1"/>
  <c r="AU382" i="1"/>
  <c r="AT382" i="1"/>
  <c r="AT69" i="1" s="1"/>
  <c r="AS382" i="1"/>
  <c r="AS69" i="1" s="1"/>
  <c r="AS70" i="1" s="1"/>
  <c r="AR382" i="1"/>
  <c r="AR69" i="1" s="1"/>
  <c r="AQ382" i="1"/>
  <c r="AQ69" i="1" s="1"/>
  <c r="AP382" i="1"/>
  <c r="AO382" i="1"/>
  <c r="AN382" i="1"/>
  <c r="AM382" i="1"/>
  <c r="AL382" i="1"/>
  <c r="AL69" i="1" s="1"/>
  <c r="AK382" i="1"/>
  <c r="AK69" i="1" s="1"/>
  <c r="AI382" i="1"/>
  <c r="AI69" i="1" s="1"/>
  <c r="AH382" i="1"/>
  <c r="AH69" i="1" s="1"/>
  <c r="AG382" i="1"/>
  <c r="AF382" i="1"/>
  <c r="AD382" i="1"/>
  <c r="AC382" i="1"/>
  <c r="AB382" i="1"/>
  <c r="AA382" i="1"/>
  <c r="AA69" i="1" s="1"/>
  <c r="Y382" i="1"/>
  <c r="Y69" i="1" s="1"/>
  <c r="X382" i="1"/>
  <c r="X69" i="1" s="1"/>
  <c r="W382" i="1"/>
  <c r="V382" i="1"/>
  <c r="T382" i="1"/>
  <c r="S382" i="1"/>
  <c r="R382" i="1"/>
  <c r="O382" i="1"/>
  <c r="O69" i="1" s="1"/>
  <c r="N382" i="1"/>
  <c r="N69" i="1" s="1"/>
  <c r="M382" i="1"/>
  <c r="M69" i="1" s="1"/>
  <c r="M70" i="1" s="1"/>
  <c r="L382" i="1"/>
  <c r="J382" i="1"/>
  <c r="I382" i="1"/>
  <c r="H382" i="1"/>
  <c r="G382" i="1"/>
  <c r="F382" i="1"/>
  <c r="E382" i="1"/>
  <c r="D382" i="1"/>
  <c r="C382" i="1"/>
  <c r="BY381" i="1"/>
  <c r="BX381" i="1"/>
  <c r="BW381" i="1"/>
  <c r="BV381" i="1"/>
  <c r="BU381" i="1"/>
  <c r="BT381" i="1"/>
  <c r="BT64" i="1" s="1"/>
  <c r="BS381" i="1"/>
  <c r="BS64" i="1" s="1"/>
  <c r="BS74" i="1" s="1"/>
  <c r="BR381" i="1"/>
  <c r="BR64" i="1" s="1"/>
  <c r="BR74" i="1" s="1"/>
  <c r="BQ381" i="1"/>
  <c r="BP381" i="1"/>
  <c r="BO381" i="1"/>
  <c r="BN381" i="1"/>
  <c r="BN281" i="1" s="1"/>
  <c r="BM381" i="1"/>
  <c r="BM385" i="1" s="1"/>
  <c r="BL381" i="1"/>
  <c r="BL281" i="1" s="1"/>
  <c r="BK381" i="1"/>
  <c r="BK64" i="1" s="1"/>
  <c r="BJ381" i="1"/>
  <c r="BJ385" i="1" s="1"/>
  <c r="BI381" i="1"/>
  <c r="BH381" i="1"/>
  <c r="BG381" i="1"/>
  <c r="BF381" i="1"/>
  <c r="BE381" i="1"/>
  <c r="BE281" i="1" s="1"/>
  <c r="BD381" i="1"/>
  <c r="BD64" i="1" s="1"/>
  <c r="BC381" i="1"/>
  <c r="BC385" i="1" s="1"/>
  <c r="BB381" i="1"/>
  <c r="BB64" i="1" s="1"/>
  <c r="BA381" i="1"/>
  <c r="AZ381" i="1"/>
  <c r="AY381" i="1"/>
  <c r="AX381" i="1"/>
  <c r="AW381" i="1"/>
  <c r="AW385" i="1" s="1"/>
  <c r="AW34" i="9" s="1"/>
  <c r="AV381" i="1"/>
  <c r="AV64" i="1" s="1"/>
  <c r="AV65" i="1" s="1"/>
  <c r="AU381" i="1"/>
  <c r="AU64" i="1" s="1"/>
  <c r="AU65" i="1" s="1"/>
  <c r="AT381" i="1"/>
  <c r="AT64" i="1" s="1"/>
  <c r="AT74" i="1" s="1"/>
  <c r="AS381" i="1"/>
  <c r="AR381" i="1"/>
  <c r="AQ381" i="1"/>
  <c r="AP381" i="1"/>
  <c r="AO381" i="1"/>
  <c r="AO281" i="1" s="1"/>
  <c r="AN381" i="1"/>
  <c r="AN64" i="1" s="1"/>
  <c r="AS65" i="1" s="1"/>
  <c r="AM381" i="1"/>
  <c r="AM64" i="1" s="1"/>
  <c r="AL381" i="1"/>
  <c r="AL64" i="1" s="1"/>
  <c r="AK381" i="1"/>
  <c r="AJ381" i="1"/>
  <c r="AI381" i="1"/>
  <c r="AH381" i="1"/>
  <c r="AG381" i="1"/>
  <c r="AF381" i="1"/>
  <c r="AF64" i="1" s="1"/>
  <c r="AK65" i="1" s="1"/>
  <c r="AE381" i="1"/>
  <c r="AE64" i="1" s="1"/>
  <c r="AE65" i="1" s="1"/>
  <c r="AD381" i="1"/>
  <c r="AD64" i="1" s="1"/>
  <c r="AC381" i="1"/>
  <c r="AB381" i="1"/>
  <c r="AA381" i="1"/>
  <c r="Z381" i="1"/>
  <c r="Y381" i="1"/>
  <c r="Y281" i="1" s="1"/>
  <c r="X381" i="1"/>
  <c r="X64" i="1" s="1"/>
  <c r="W381" i="1"/>
  <c r="W64" i="1" s="1"/>
  <c r="W65" i="1" s="1"/>
  <c r="V381" i="1"/>
  <c r="V64" i="1" s="1"/>
  <c r="U381" i="1"/>
  <c r="S381" i="1"/>
  <c r="R381" i="1"/>
  <c r="Q381" i="1"/>
  <c r="P381" i="1"/>
  <c r="P281" i="1" s="1"/>
  <c r="O381" i="1"/>
  <c r="O64" i="1" s="1"/>
  <c r="T65" i="1" s="1"/>
  <c r="N381" i="1"/>
  <c r="N281" i="1" s="1"/>
  <c r="M381" i="1"/>
  <c r="M64" i="1" s="1"/>
  <c r="L381" i="1"/>
  <c r="K381" i="1"/>
  <c r="I381" i="1"/>
  <c r="H381" i="1"/>
  <c r="G381" i="1"/>
  <c r="G64" i="1" s="1"/>
  <c r="F381" i="1"/>
  <c r="F64" i="1" s="1"/>
  <c r="E381" i="1"/>
  <c r="E64" i="1" s="1"/>
  <c r="D381" i="1"/>
  <c r="D64" i="1" s="1"/>
  <c r="D66" i="1" s="1"/>
  <c r="C381" i="1"/>
  <c r="CK379" i="1"/>
  <c r="CJ379" i="1"/>
  <c r="CI379" i="1"/>
  <c r="CG379" i="1"/>
  <c r="CF379" i="1"/>
  <c r="CE379" i="1"/>
  <c r="A379" i="1"/>
  <c r="CK377" i="1"/>
  <c r="CK33" i="9" s="1"/>
  <c r="CJ377" i="1"/>
  <c r="CJ33" i="9" s="1"/>
  <c r="CI377" i="1"/>
  <c r="CG377" i="1"/>
  <c r="CF377" i="1"/>
  <c r="CF33" i="9" s="1"/>
  <c r="CE377" i="1"/>
  <c r="CE33" i="9" s="1"/>
  <c r="CD377" i="1"/>
  <c r="CD33" i="9" s="1"/>
  <c r="CB377" i="1"/>
  <c r="CB33" i="9" s="1"/>
  <c r="CA377" i="1"/>
  <c r="BZ377" i="1"/>
  <c r="BS377" i="1"/>
  <c r="BS55" i="1" s="1"/>
  <c r="BO377" i="1"/>
  <c r="AY377" i="1"/>
  <c r="AY33" i="9" s="1"/>
  <c r="AR377" i="1"/>
  <c r="AD377" i="1"/>
  <c r="BY376" i="1"/>
  <c r="BX376" i="1"/>
  <c r="BX32" i="9" s="1"/>
  <c r="BW376" i="1"/>
  <c r="BW32" i="9" s="1"/>
  <c r="BV376" i="1"/>
  <c r="BU376" i="1"/>
  <c r="BU32" i="9" s="1"/>
  <c r="BT376" i="1"/>
  <c r="BT32" i="9" s="1"/>
  <c r="BS376" i="1"/>
  <c r="BS32" i="9" s="1"/>
  <c r="BR376" i="1"/>
  <c r="BQ376" i="1"/>
  <c r="BP376" i="1"/>
  <c r="BO376" i="1"/>
  <c r="BO32" i="9" s="1"/>
  <c r="BN376" i="1"/>
  <c r="BM376" i="1"/>
  <c r="BM32" i="9" s="1"/>
  <c r="BL376" i="1"/>
  <c r="BL32" i="9" s="1"/>
  <c r="BK376" i="1"/>
  <c r="BJ376" i="1"/>
  <c r="BI376" i="1"/>
  <c r="BH376" i="1"/>
  <c r="BG376" i="1"/>
  <c r="BG32" i="9" s="1"/>
  <c r="BF376" i="1"/>
  <c r="BE376" i="1"/>
  <c r="BE32" i="9" s="1"/>
  <c r="BD376" i="1"/>
  <c r="BD32" i="9" s="1"/>
  <c r="BC376" i="1"/>
  <c r="BB376" i="1"/>
  <c r="BA376" i="1"/>
  <c r="AZ376" i="1"/>
  <c r="AY376" i="1"/>
  <c r="AY32" i="9" s="1"/>
  <c r="AX376" i="1"/>
  <c r="AW376" i="1"/>
  <c r="AW32" i="9" s="1"/>
  <c r="AV376" i="1"/>
  <c r="AV32" i="9" s="1"/>
  <c r="AT376" i="1"/>
  <c r="AT32" i="9" s="1"/>
  <c r="AS376" i="1"/>
  <c r="AR376" i="1"/>
  <c r="AR32" i="9" s="1"/>
  <c r="BX375" i="1"/>
  <c r="BW375" i="1"/>
  <c r="BW31" i="9" s="1"/>
  <c r="BV375" i="1"/>
  <c r="BV31" i="9" s="1"/>
  <c r="BU375" i="1"/>
  <c r="BT375" i="1"/>
  <c r="BT31" i="9" s="1"/>
  <c r="BS375" i="1"/>
  <c r="BS31" i="9" s="1"/>
  <c r="BR375" i="1"/>
  <c r="BR31" i="9" s="1"/>
  <c r="BQ375" i="1"/>
  <c r="BQ31" i="9" s="1"/>
  <c r="BP375" i="1"/>
  <c r="BP31" i="9" s="1"/>
  <c r="BO375" i="1"/>
  <c r="BO31" i="9" s="1"/>
  <c r="BN375" i="1"/>
  <c r="BN31" i="9" s="1"/>
  <c r="BM375" i="1"/>
  <c r="BM31" i="9" s="1"/>
  <c r="BL375" i="1"/>
  <c r="BL31" i="9" s="1"/>
  <c r="BK375" i="1"/>
  <c r="BK31" i="9" s="1"/>
  <c r="BJ375" i="1"/>
  <c r="BJ31" i="9" s="1"/>
  <c r="BI375" i="1"/>
  <c r="BI31" i="9" s="1"/>
  <c r="BH375" i="1"/>
  <c r="BH31" i="9" s="1"/>
  <c r="BG375" i="1"/>
  <c r="BG31" i="9" s="1"/>
  <c r="BF375" i="1"/>
  <c r="BF31" i="9" s="1"/>
  <c r="BE375" i="1"/>
  <c r="BE31" i="9" s="1"/>
  <c r="BD375" i="1"/>
  <c r="BD31" i="9" s="1"/>
  <c r="BC375" i="1"/>
  <c r="BC31" i="9" s="1"/>
  <c r="BB375" i="1"/>
  <c r="BB31" i="9" s="1"/>
  <c r="BA375" i="1"/>
  <c r="BA31" i="9" s="1"/>
  <c r="AZ375" i="1"/>
  <c r="AZ31" i="9" s="1"/>
  <c r="AY375" i="1"/>
  <c r="AY31" i="9" s="1"/>
  <c r="AX375" i="1"/>
  <c r="AX31" i="9" s="1"/>
  <c r="AW375" i="1"/>
  <c r="AW31" i="9" s="1"/>
  <c r="AV375" i="1"/>
  <c r="AV31" i="9" s="1"/>
  <c r="AU375" i="1"/>
  <c r="AU31" i="9" s="1"/>
  <c r="AT375" i="1"/>
  <c r="AT31" i="9" s="1"/>
  <c r="AS375" i="1"/>
  <c r="AS31" i="9" s="1"/>
  <c r="AR375" i="1"/>
  <c r="AR31" i="9" s="1"/>
  <c r="AQ375" i="1"/>
  <c r="AQ31" i="9" s="1"/>
  <c r="AP375" i="1"/>
  <c r="AP31" i="9" s="1"/>
  <c r="AO375" i="1"/>
  <c r="AO31" i="9" s="1"/>
  <c r="AN375" i="1"/>
  <c r="AN31" i="9" s="1"/>
  <c r="AM375" i="1"/>
  <c r="AM31" i="9" s="1"/>
  <c r="AL375" i="1"/>
  <c r="AL31" i="9" s="1"/>
  <c r="AK375" i="1"/>
  <c r="AK31" i="9" s="1"/>
  <c r="AJ375" i="1"/>
  <c r="AJ31" i="9" s="1"/>
  <c r="AI375" i="1"/>
  <c r="AI31" i="9" s="1"/>
  <c r="AH375" i="1"/>
  <c r="AH31" i="9" s="1"/>
  <c r="AG375" i="1"/>
  <c r="AG31" i="9" s="1"/>
  <c r="AF375" i="1"/>
  <c r="AF31" i="9" s="1"/>
  <c r="AE375" i="1"/>
  <c r="AE31" i="9" s="1"/>
  <c r="AD375" i="1"/>
  <c r="AD31" i="9" s="1"/>
  <c r="AC375" i="1"/>
  <c r="AB375" i="1"/>
  <c r="AB31" i="9" s="1"/>
  <c r="AA375" i="1"/>
  <c r="AA31" i="9" s="1"/>
  <c r="Z375" i="1"/>
  <c r="Z31" i="9" s="1"/>
  <c r="Y375" i="1"/>
  <c r="Y31" i="9" s="1"/>
  <c r="X375" i="1"/>
  <c r="X31" i="9" s="1"/>
  <c r="W375" i="1"/>
  <c r="W31" i="9" s="1"/>
  <c r="V375" i="1"/>
  <c r="V31" i="9" s="1"/>
  <c r="U375" i="1"/>
  <c r="T375" i="1"/>
  <c r="T31" i="9" s="1"/>
  <c r="S375" i="1"/>
  <c r="S31" i="9" s="1"/>
  <c r="R375" i="1"/>
  <c r="R31" i="9" s="1"/>
  <c r="Q375" i="1"/>
  <c r="Q31" i="9" s="1"/>
  <c r="P375" i="1"/>
  <c r="P31" i="9" s="1"/>
  <c r="O375" i="1"/>
  <c r="O31" i="9" s="1"/>
  <c r="N375" i="1"/>
  <c r="N31" i="9" s="1"/>
  <c r="M375" i="1"/>
  <c r="M31" i="9" s="1"/>
  <c r="L375" i="1"/>
  <c r="L31" i="9" s="1"/>
  <c r="K375" i="1"/>
  <c r="K31" i="9" s="1"/>
  <c r="J375" i="1"/>
  <c r="J31" i="9" s="1"/>
  <c r="I375" i="1"/>
  <c r="I31" i="9" s="1"/>
  <c r="H375" i="1"/>
  <c r="H31" i="9" s="1"/>
  <c r="G375" i="1"/>
  <c r="G31" i="9" s="1"/>
  <c r="F375" i="1"/>
  <c r="F31" i="9" s="1"/>
  <c r="E375" i="1"/>
  <c r="E31" i="9" s="1"/>
  <c r="D375" i="1"/>
  <c r="D31" i="9" s="1"/>
  <c r="C375" i="1"/>
  <c r="C31" i="9" s="1"/>
  <c r="BY374" i="1"/>
  <c r="BY277" i="1" s="1"/>
  <c r="BY278" i="1" s="1"/>
  <c r="BY651" i="1" s="1"/>
  <c r="BX374" i="1"/>
  <c r="BW374" i="1"/>
  <c r="BW30" i="9" s="1"/>
  <c r="BV374" i="1"/>
  <c r="BU374" i="1"/>
  <c r="BT374" i="1"/>
  <c r="BS374" i="1"/>
  <c r="BR374" i="1"/>
  <c r="BQ374" i="1"/>
  <c r="BQ277" i="1" s="1"/>
  <c r="BQ278" i="1" s="1"/>
  <c r="BQ651" i="1" s="1"/>
  <c r="BP374" i="1"/>
  <c r="BO374" i="1"/>
  <c r="BN374" i="1"/>
  <c r="BL374" i="1"/>
  <c r="BK374" i="1"/>
  <c r="BJ374" i="1"/>
  <c r="BI374" i="1"/>
  <c r="BI277" i="1" s="1"/>
  <c r="BI278" i="1" s="1"/>
  <c r="BG374" i="1"/>
  <c r="BG277" i="1" s="1"/>
  <c r="BG278" i="1" s="1"/>
  <c r="BG651" i="1" s="1"/>
  <c r="BF374" i="1"/>
  <c r="BE374" i="1"/>
  <c r="BE277" i="1" s="1"/>
  <c r="BE278" i="1" s="1"/>
  <c r="BD374" i="1"/>
  <c r="BC374" i="1"/>
  <c r="BB374" i="1"/>
  <c r="BA374" i="1"/>
  <c r="BA277" i="1" s="1"/>
  <c r="BA278" i="1" s="1"/>
  <c r="AZ374" i="1"/>
  <c r="AY374" i="1"/>
  <c r="AY277" i="1" s="1"/>
  <c r="AY278" i="1" s="1"/>
  <c r="AY651" i="1" s="1"/>
  <c r="AX374" i="1"/>
  <c r="AW374" i="1"/>
  <c r="AW277" i="1" s="1"/>
  <c r="AW278" i="1" s="1"/>
  <c r="AV374" i="1"/>
  <c r="AU374" i="1"/>
  <c r="AT374" i="1"/>
  <c r="AS374" i="1"/>
  <c r="AS30" i="9" s="1"/>
  <c r="AR374" i="1"/>
  <c r="AQ374" i="1"/>
  <c r="AQ277" i="1" s="1"/>
  <c r="AQ278" i="1" s="1"/>
  <c r="AP374" i="1"/>
  <c r="AO374" i="1"/>
  <c r="AN374" i="1"/>
  <c r="AM374" i="1"/>
  <c r="AL374" i="1"/>
  <c r="AK374" i="1"/>
  <c r="AJ374" i="1"/>
  <c r="AI374" i="1"/>
  <c r="AI30" i="9" s="1"/>
  <c r="AH374" i="1"/>
  <c r="AG374" i="1"/>
  <c r="AG277" i="1" s="1"/>
  <c r="AG278" i="1" s="1"/>
  <c r="AF374" i="1"/>
  <c r="AE374" i="1"/>
  <c r="AD374" i="1"/>
  <c r="AC374" i="1"/>
  <c r="AB374" i="1"/>
  <c r="AA374" i="1"/>
  <c r="AA277" i="1" s="1"/>
  <c r="AA278" i="1" s="1"/>
  <c r="AA651" i="1" s="1"/>
  <c r="Z374" i="1"/>
  <c r="Y374" i="1"/>
  <c r="Y277" i="1" s="1"/>
  <c r="Y278" i="1" s="1"/>
  <c r="X374" i="1"/>
  <c r="W374" i="1"/>
  <c r="V374" i="1"/>
  <c r="U374" i="1"/>
  <c r="T374" i="1"/>
  <c r="S374" i="1"/>
  <c r="S277" i="1" s="1"/>
  <c r="S278" i="1" s="1"/>
  <c r="S651" i="1" s="1"/>
  <c r="R374" i="1"/>
  <c r="Q374" i="1"/>
  <c r="P374" i="1"/>
  <c r="N374" i="1"/>
  <c r="M374" i="1"/>
  <c r="M277" i="1" s="1"/>
  <c r="M278" i="1" s="1"/>
  <c r="M651" i="1" s="1"/>
  <c r="M652" i="1" s="1"/>
  <c r="L374" i="1"/>
  <c r="K374" i="1"/>
  <c r="K277" i="1" s="1"/>
  <c r="K278" i="1" s="1"/>
  <c r="K651" i="1" s="1"/>
  <c r="K652" i="1" s="1"/>
  <c r="I374" i="1"/>
  <c r="I30" i="9" s="1"/>
  <c r="H374" i="1"/>
  <c r="H30" i="9" s="1"/>
  <c r="G374" i="1"/>
  <c r="G30" i="9" s="1"/>
  <c r="F374" i="1"/>
  <c r="E374" i="1"/>
  <c r="D374" i="1"/>
  <c r="C374" i="1"/>
  <c r="CK372" i="1"/>
  <c r="CJ372" i="1"/>
  <c r="CI372" i="1"/>
  <c r="CE372" i="1"/>
  <c r="CD372" i="1"/>
  <c r="CB372" i="1"/>
  <c r="A372" i="1"/>
  <c r="A371" i="1"/>
  <c r="A1131" i="1" s="1"/>
  <c r="BY370" i="1"/>
  <c r="BX370" i="1"/>
  <c r="BV370" i="1"/>
  <c r="BV581" i="1" s="1"/>
  <c r="BU370" i="1"/>
  <c r="BU277" i="1" s="1"/>
  <c r="BU278" i="1" s="1"/>
  <c r="BT370" i="1"/>
  <c r="BS370" i="1"/>
  <c r="BQ370" i="1"/>
  <c r="BQ581" i="1" s="1"/>
  <c r="BP370" i="1"/>
  <c r="BP282" i="1" s="1"/>
  <c r="BO370" i="1"/>
  <c r="BN370" i="1"/>
  <c r="BL370" i="1"/>
  <c r="BK370" i="1"/>
  <c r="BJ370" i="1"/>
  <c r="BI370" i="1"/>
  <c r="BI581" i="1" s="1"/>
  <c r="BH370" i="1"/>
  <c r="BG370" i="1"/>
  <c r="BF370" i="1"/>
  <c r="BF581" i="1" s="1"/>
  <c r="BE370" i="1"/>
  <c r="BD370" i="1"/>
  <c r="BC370" i="1"/>
  <c r="BB370" i="1"/>
  <c r="BA370" i="1"/>
  <c r="AZ370" i="1"/>
  <c r="AY370" i="1"/>
  <c r="AX370" i="1"/>
  <c r="AX581" i="1" s="1"/>
  <c r="AW370" i="1"/>
  <c r="AV370" i="1"/>
  <c r="AU370" i="1"/>
  <c r="AT370" i="1"/>
  <c r="AS370" i="1"/>
  <c r="AR370" i="1"/>
  <c r="AQ370" i="1"/>
  <c r="AQ581" i="1" s="1"/>
  <c r="AP370" i="1"/>
  <c r="AP282" i="1" s="1"/>
  <c r="AO370" i="1"/>
  <c r="AN370" i="1"/>
  <c r="AM370" i="1"/>
  <c r="AL370" i="1"/>
  <c r="AK370" i="1"/>
  <c r="AJ370" i="1"/>
  <c r="AI370" i="1"/>
  <c r="AH370" i="1"/>
  <c r="AH581" i="1" s="1"/>
  <c r="AG370" i="1"/>
  <c r="AF370" i="1"/>
  <c r="AE370" i="1"/>
  <c r="AE277" i="1" s="1"/>
  <c r="AE278" i="1" s="1"/>
  <c r="AD370" i="1"/>
  <c r="AC370" i="1"/>
  <c r="AB370" i="1"/>
  <c r="AA370" i="1"/>
  <c r="Z370" i="1"/>
  <c r="Z282" i="1" s="1"/>
  <c r="Y370" i="1"/>
  <c r="X370" i="1"/>
  <c r="W370" i="1"/>
  <c r="V370" i="1"/>
  <c r="U370" i="1"/>
  <c r="U581" i="1" s="1"/>
  <c r="S370" i="1"/>
  <c r="S581" i="1" s="1"/>
  <c r="R370" i="1"/>
  <c r="R581" i="1" s="1"/>
  <c r="Q370" i="1"/>
  <c r="Q282" i="1" s="1"/>
  <c r="P370" i="1"/>
  <c r="O370" i="1"/>
  <c r="N370" i="1"/>
  <c r="M370" i="1"/>
  <c r="L370" i="1"/>
  <c r="K370" i="1"/>
  <c r="I370" i="1"/>
  <c r="H370" i="1"/>
  <c r="H29" i="9" s="1"/>
  <c r="G370" i="1"/>
  <c r="F370" i="1"/>
  <c r="E370" i="1"/>
  <c r="D370" i="1"/>
  <c r="C370" i="1"/>
  <c r="BY367" i="1"/>
  <c r="BX367" i="1"/>
  <c r="BW367" i="1"/>
  <c r="BV367" i="1"/>
  <c r="BU367" i="1"/>
  <c r="BT367" i="1"/>
  <c r="BS367" i="1"/>
  <c r="BR367" i="1"/>
  <c r="BQ367" i="1"/>
  <c r="BP367" i="1"/>
  <c r="BO367" i="1"/>
  <c r="BN367" i="1"/>
  <c r="BM367" i="1"/>
  <c r="BL367" i="1"/>
  <c r="BK367" i="1"/>
  <c r="BJ367" i="1"/>
  <c r="BI367" i="1"/>
  <c r="BH367" i="1"/>
  <c r="BG367" i="1"/>
  <c r="BF367" i="1"/>
  <c r="BE367" i="1"/>
  <c r="BD367" i="1"/>
  <c r="BC367" i="1"/>
  <c r="BB367" i="1"/>
  <c r="BA367" i="1"/>
  <c r="AZ367" i="1"/>
  <c r="AY367" i="1"/>
  <c r="AX367" i="1"/>
  <c r="AW367" i="1"/>
  <c r="AV367" i="1"/>
  <c r="AU367" i="1"/>
  <c r="AT367" i="1"/>
  <c r="AS367" i="1"/>
  <c r="AR367" i="1"/>
  <c r="AQ367" i="1"/>
  <c r="AP367" i="1"/>
  <c r="AO367" i="1"/>
  <c r="AN367" i="1"/>
  <c r="AM367" i="1"/>
  <c r="AL367" i="1"/>
  <c r="AK367" i="1"/>
  <c r="AJ367" i="1"/>
  <c r="AI367" i="1"/>
  <c r="AH367" i="1"/>
  <c r="AG367" i="1"/>
  <c r="AF367" i="1"/>
  <c r="AE367" i="1"/>
  <c r="AD367" i="1"/>
  <c r="AC367" i="1"/>
  <c r="AB367" i="1"/>
  <c r="AA367" i="1"/>
  <c r="Z367" i="1"/>
  <c r="Y367" i="1"/>
  <c r="X367" i="1"/>
  <c r="W367" i="1"/>
  <c r="V367" i="1"/>
  <c r="U367" i="1"/>
  <c r="T367" i="1"/>
  <c r="S367" i="1"/>
  <c r="R367" i="1"/>
  <c r="Q367" i="1"/>
  <c r="P367" i="1"/>
  <c r="O367" i="1"/>
  <c r="N367" i="1"/>
  <c r="M367" i="1"/>
  <c r="L367" i="1"/>
  <c r="K367" i="1"/>
  <c r="J367" i="1"/>
  <c r="I367" i="1"/>
  <c r="H367" i="1"/>
  <c r="G367" i="1"/>
  <c r="F367" i="1"/>
  <c r="E367" i="1"/>
  <c r="D367" i="1"/>
  <c r="C367" i="1"/>
  <c r="BE362" i="1"/>
  <c r="BE396" i="1" s="1"/>
  <c r="BV358" i="1"/>
  <c r="BO358" i="1"/>
  <c r="BN358" i="1"/>
  <c r="BD358" i="1"/>
  <c r="AY358" i="1"/>
  <c r="AW358" i="1"/>
  <c r="Z358" i="1"/>
  <c r="U358" i="1"/>
  <c r="T358" i="1"/>
  <c r="L358" i="1"/>
  <c r="BY354" i="1"/>
  <c r="BY358" i="1" s="1"/>
  <c r="BX354" i="1"/>
  <c r="BX358" i="1" s="1"/>
  <c r="BW354" i="1"/>
  <c r="BW358" i="1" s="1"/>
  <c r="BV354" i="1"/>
  <c r="BU354" i="1"/>
  <c r="BU358" i="1" s="1"/>
  <c r="BT354" i="1"/>
  <c r="BT358" i="1" s="1"/>
  <c r="BS354" i="1"/>
  <c r="BS358" i="1" s="1"/>
  <c r="BR354" i="1"/>
  <c r="BR358" i="1" s="1"/>
  <c r="BQ354" i="1"/>
  <c r="BQ358" i="1" s="1"/>
  <c r="BP354" i="1"/>
  <c r="BP358" i="1" s="1"/>
  <c r="BO354" i="1"/>
  <c r="BN354" i="1"/>
  <c r="BM354" i="1"/>
  <c r="BM358" i="1" s="1"/>
  <c r="BL354" i="1"/>
  <c r="BL358" i="1" s="1"/>
  <c r="BK354" i="1"/>
  <c r="BK358" i="1" s="1"/>
  <c r="BJ354" i="1"/>
  <c r="BJ358" i="1" s="1"/>
  <c r="BI354" i="1"/>
  <c r="BI358" i="1" s="1"/>
  <c r="BG354" i="1"/>
  <c r="BG358" i="1" s="1"/>
  <c r="BF354" i="1"/>
  <c r="BF358" i="1" s="1"/>
  <c r="BE354" i="1"/>
  <c r="BE358" i="1" s="1"/>
  <c r="BD354" i="1"/>
  <c r="BC354" i="1"/>
  <c r="BC358" i="1" s="1"/>
  <c r="BB354" i="1"/>
  <c r="BB358" i="1" s="1"/>
  <c r="BA354" i="1"/>
  <c r="BA358" i="1" s="1"/>
  <c r="AZ354" i="1"/>
  <c r="AZ358" i="1" s="1"/>
  <c r="AY354" i="1"/>
  <c r="AX354" i="1"/>
  <c r="AX358" i="1" s="1"/>
  <c r="AW354" i="1"/>
  <c r="AV354" i="1"/>
  <c r="AV358" i="1" s="1"/>
  <c r="AU354" i="1"/>
  <c r="AU358" i="1" s="1"/>
  <c r="AT354" i="1"/>
  <c r="AT358" i="1" s="1"/>
  <c r="AS354" i="1"/>
  <c r="AS358" i="1" s="1"/>
  <c r="AR354" i="1"/>
  <c r="AR358" i="1" s="1"/>
  <c r="AQ354" i="1"/>
  <c r="AQ358" i="1" s="1"/>
  <c r="AP354" i="1"/>
  <c r="AP358" i="1" s="1"/>
  <c r="AO354" i="1"/>
  <c r="AO358" i="1" s="1"/>
  <c r="AN354" i="1"/>
  <c r="AN358" i="1" s="1"/>
  <c r="AM354" i="1"/>
  <c r="AM358" i="1" s="1"/>
  <c r="AL354" i="1"/>
  <c r="AL358" i="1" s="1"/>
  <c r="AK354" i="1"/>
  <c r="AK358" i="1" s="1"/>
  <c r="AJ354" i="1"/>
  <c r="AJ358" i="1" s="1"/>
  <c r="AI354" i="1"/>
  <c r="AI358" i="1" s="1"/>
  <c r="AH354" i="1"/>
  <c r="AH358" i="1" s="1"/>
  <c r="AG354" i="1"/>
  <c r="AG358" i="1" s="1"/>
  <c r="AF354" i="1"/>
  <c r="AF358" i="1" s="1"/>
  <c r="AE354" i="1"/>
  <c r="AE358" i="1" s="1"/>
  <c r="AD354" i="1"/>
  <c r="AD358" i="1" s="1"/>
  <c r="AC354" i="1"/>
  <c r="AC358" i="1" s="1"/>
  <c r="AB354" i="1"/>
  <c r="AB358" i="1" s="1"/>
  <c r="AA354" i="1"/>
  <c r="AA358" i="1" s="1"/>
  <c r="Z354" i="1"/>
  <c r="Y354" i="1"/>
  <c r="Y358" i="1" s="1"/>
  <c r="X354" i="1"/>
  <c r="X358" i="1" s="1"/>
  <c r="W354" i="1"/>
  <c r="W358" i="1" s="1"/>
  <c r="V354" i="1"/>
  <c r="V358" i="1" s="1"/>
  <c r="U354" i="1"/>
  <c r="S354" i="1"/>
  <c r="S358" i="1" s="1"/>
  <c r="R354" i="1"/>
  <c r="R358" i="1" s="1"/>
  <c r="Q354" i="1"/>
  <c r="Q358" i="1" s="1"/>
  <c r="P354" i="1"/>
  <c r="P358" i="1" s="1"/>
  <c r="N354" i="1"/>
  <c r="N358" i="1" s="1"/>
  <c r="M354" i="1"/>
  <c r="M358" i="1" s="1"/>
  <c r="L354" i="1"/>
  <c r="K354" i="1"/>
  <c r="K358" i="1" s="1"/>
  <c r="I354" i="1"/>
  <c r="I358" i="1" s="1"/>
  <c r="BX352" i="1"/>
  <c r="BT352" i="1"/>
  <c r="BF352" i="1"/>
  <c r="AT352" i="1"/>
  <c r="AR352" i="1"/>
  <c r="AL352" i="1"/>
  <c r="L352" i="1"/>
  <c r="K352" i="1"/>
  <c r="C344" i="1"/>
  <c r="C392" i="1" s="1"/>
  <c r="C99" i="1" s="1"/>
  <c r="BV341" i="1"/>
  <c r="BV352" i="1" s="1"/>
  <c r="BQ341" i="1"/>
  <c r="BQ352" i="1" s="1"/>
  <c r="BN341" i="1"/>
  <c r="BN352" i="1" s="1"/>
  <c r="BK341" i="1"/>
  <c r="BK352" i="1" s="1"/>
  <c r="BF341" i="1"/>
  <c r="BA341" i="1"/>
  <c r="BA352" i="1" s="1"/>
  <c r="AX341" i="1"/>
  <c r="AX352" i="1" s="1"/>
  <c r="AQ341" i="1"/>
  <c r="AQ352" i="1" s="1"/>
  <c r="AP341" i="1"/>
  <c r="AP352" i="1" s="1"/>
  <c r="Z341" i="1"/>
  <c r="Z352" i="1" s="1"/>
  <c r="R341" i="1"/>
  <c r="R352" i="1" s="1"/>
  <c r="F341" i="1"/>
  <c r="F352" i="1" s="1"/>
  <c r="BJ339" i="1"/>
  <c r="AO339" i="1"/>
  <c r="Z339" i="1"/>
  <c r="Y339" i="1"/>
  <c r="BS329" i="1"/>
  <c r="BS339" i="1" s="1"/>
  <c r="BE329" i="1"/>
  <c r="BE339" i="1" s="1"/>
  <c r="BD329" i="1"/>
  <c r="BD339" i="1" s="1"/>
  <c r="AV329" i="1"/>
  <c r="AV339" i="1" s="1"/>
  <c r="AK329" i="1"/>
  <c r="AK339" i="1" s="1"/>
  <c r="AG329" i="1"/>
  <c r="AG339" i="1" s="1"/>
  <c r="X329" i="1"/>
  <c r="X339" i="1" s="1"/>
  <c r="G329" i="1"/>
  <c r="G339" i="1" s="1"/>
  <c r="D321" i="1"/>
  <c r="C321" i="1"/>
  <c r="CK317" i="1"/>
  <c r="CJ317" i="1"/>
  <c r="CI317" i="1"/>
  <c r="CH317" i="1"/>
  <c r="CG317" i="1"/>
  <c r="CF317" i="1"/>
  <c r="CE317" i="1"/>
  <c r="CD317" i="1"/>
  <c r="CC317" i="1"/>
  <c r="CB317" i="1"/>
  <c r="CA317" i="1"/>
  <c r="BZ317" i="1"/>
  <c r="P315" i="1"/>
  <c r="T314" i="1"/>
  <c r="T412" i="1" s="1"/>
  <c r="O314" i="1"/>
  <c r="O412" i="1" s="1"/>
  <c r="J314" i="1"/>
  <c r="T312" i="1"/>
  <c r="T408" i="1" s="1"/>
  <c r="O312" i="1"/>
  <c r="O408" i="1" s="1"/>
  <c r="J312" i="1"/>
  <c r="J408" i="1" s="1"/>
  <c r="T311" i="1"/>
  <c r="T403" i="1" s="1"/>
  <c r="O311" i="1"/>
  <c r="O403" i="1" s="1"/>
  <c r="O741" i="1" s="1"/>
  <c r="J311" i="1"/>
  <c r="J403" i="1" s="1"/>
  <c r="BH310" i="1"/>
  <c r="BH354" i="1" s="1"/>
  <c r="BH358" i="1" s="1"/>
  <c r="T310" i="1"/>
  <c r="T404" i="1" s="1"/>
  <c r="T743" i="1" s="1"/>
  <c r="O310" i="1"/>
  <c r="J310" i="1"/>
  <c r="BX309" i="1"/>
  <c r="BX360" i="1" s="1"/>
  <c r="BX362" i="1" s="1"/>
  <c r="BX396" i="1" s="1"/>
  <c r="BO309" i="1"/>
  <c r="BO360" i="1" s="1"/>
  <c r="BO362" i="1" s="1"/>
  <c r="BO396" i="1" s="1"/>
  <c r="AS309" i="1"/>
  <c r="AS313" i="1" s="1"/>
  <c r="AS315" i="1" s="1"/>
  <c r="AR309" i="1"/>
  <c r="AG309" i="1"/>
  <c r="Q309" i="1"/>
  <c r="Q313" i="1" s="1"/>
  <c r="Q315" i="1" s="1"/>
  <c r="P309" i="1"/>
  <c r="P313" i="1" s="1"/>
  <c r="BY308" i="1"/>
  <c r="BY341" i="1" s="1"/>
  <c r="BY352" i="1" s="1"/>
  <c r="BX308" i="1"/>
  <c r="BX341" i="1" s="1"/>
  <c r="BV308" i="1"/>
  <c r="BU308" i="1"/>
  <c r="BT308" i="1"/>
  <c r="BT341" i="1" s="1"/>
  <c r="BS308" i="1"/>
  <c r="BS341" i="1" s="1"/>
  <c r="BS352" i="1" s="1"/>
  <c r="BQ308" i="1"/>
  <c r="BP308" i="1"/>
  <c r="BP341" i="1" s="1"/>
  <c r="BP352" i="1" s="1"/>
  <c r="BO308" i="1"/>
  <c r="BO341" i="1" s="1"/>
  <c r="BO352" i="1" s="1"/>
  <c r="BN308" i="1"/>
  <c r="BM308" i="1"/>
  <c r="BM341" i="1" s="1"/>
  <c r="BM352" i="1" s="1"/>
  <c r="BL308" i="1"/>
  <c r="BL341" i="1" s="1"/>
  <c r="BL352" i="1" s="1"/>
  <c r="BK308" i="1"/>
  <c r="BJ308" i="1"/>
  <c r="BJ341" i="1" s="1"/>
  <c r="BJ352" i="1" s="1"/>
  <c r="BI308" i="1"/>
  <c r="BI341" i="1" s="1"/>
  <c r="BI352" i="1" s="1"/>
  <c r="BG308" i="1"/>
  <c r="BG341" i="1" s="1"/>
  <c r="BG352" i="1" s="1"/>
  <c r="BF308" i="1"/>
  <c r="BE308" i="1"/>
  <c r="BE341" i="1" s="1"/>
  <c r="BE352" i="1" s="1"/>
  <c r="BD308" i="1"/>
  <c r="BD341" i="1" s="1"/>
  <c r="BD352" i="1" s="1"/>
  <c r="BC308" i="1"/>
  <c r="BC341" i="1" s="1"/>
  <c r="BC352" i="1" s="1"/>
  <c r="BB308" i="1"/>
  <c r="BB341" i="1" s="1"/>
  <c r="BB352" i="1" s="1"/>
  <c r="BA308" i="1"/>
  <c r="AZ308" i="1"/>
  <c r="AZ341" i="1" s="1"/>
  <c r="AZ352" i="1" s="1"/>
  <c r="AY308" i="1"/>
  <c r="AX308" i="1"/>
  <c r="AW308" i="1"/>
  <c r="AW341" i="1" s="1"/>
  <c r="AW352" i="1" s="1"/>
  <c r="AV308" i="1"/>
  <c r="AV341" i="1" s="1"/>
  <c r="AV352" i="1" s="1"/>
  <c r="AU308" i="1"/>
  <c r="AU341" i="1" s="1"/>
  <c r="AU352" i="1" s="1"/>
  <c r="AT308" i="1"/>
  <c r="AT341" i="1" s="1"/>
  <c r="AS308" i="1"/>
  <c r="AS341" i="1" s="1"/>
  <c r="AS352" i="1" s="1"/>
  <c r="AR308" i="1"/>
  <c r="AR341" i="1" s="1"/>
  <c r="AQ308" i="1"/>
  <c r="AP308" i="1"/>
  <c r="AO308" i="1"/>
  <c r="AN308" i="1"/>
  <c r="AM308" i="1"/>
  <c r="AM341" i="1" s="1"/>
  <c r="AM352" i="1" s="1"/>
  <c r="AL308" i="1"/>
  <c r="AL341" i="1" s="1"/>
  <c r="AK308" i="1"/>
  <c r="AK341" i="1" s="1"/>
  <c r="AK352" i="1" s="1"/>
  <c r="AJ308" i="1"/>
  <c r="AJ341" i="1" s="1"/>
  <c r="AJ352" i="1" s="1"/>
  <c r="AI308" i="1"/>
  <c r="AH308" i="1"/>
  <c r="AH341" i="1" s="1"/>
  <c r="AH352" i="1" s="1"/>
  <c r="AG308" i="1"/>
  <c r="AG341" i="1" s="1"/>
  <c r="AG352" i="1" s="1"/>
  <c r="AF308" i="1"/>
  <c r="AF341" i="1" s="1"/>
  <c r="AF352" i="1" s="1"/>
  <c r="AE308" i="1"/>
  <c r="AE341" i="1" s="1"/>
  <c r="AE352" i="1" s="1"/>
  <c r="AD308" i="1"/>
  <c r="AD341" i="1" s="1"/>
  <c r="AD352" i="1" s="1"/>
  <c r="AC308" i="1"/>
  <c r="AC341" i="1" s="1"/>
  <c r="AC352" i="1" s="1"/>
  <c r="AB308" i="1"/>
  <c r="AB341" i="1" s="1"/>
  <c r="AB352" i="1" s="1"/>
  <c r="AA308" i="1"/>
  <c r="AA341" i="1" s="1"/>
  <c r="AA352" i="1" s="1"/>
  <c r="Z308" i="1"/>
  <c r="Y308" i="1"/>
  <c r="X308" i="1"/>
  <c r="W308" i="1"/>
  <c r="W341" i="1" s="1"/>
  <c r="W352" i="1" s="1"/>
  <c r="V308" i="1"/>
  <c r="V341" i="1" s="1"/>
  <c r="V352" i="1" s="1"/>
  <c r="U308" i="1"/>
  <c r="U341" i="1" s="1"/>
  <c r="U352" i="1" s="1"/>
  <c r="S308" i="1"/>
  <c r="S341" i="1" s="1"/>
  <c r="S352" i="1" s="1"/>
  <c r="R308" i="1"/>
  <c r="Q308" i="1"/>
  <c r="Q341" i="1" s="1"/>
  <c r="Q352" i="1" s="1"/>
  <c r="P308" i="1"/>
  <c r="P341" i="1" s="1"/>
  <c r="P352" i="1" s="1"/>
  <c r="N308" i="1"/>
  <c r="M308" i="1"/>
  <c r="M341" i="1" s="1"/>
  <c r="M352" i="1" s="1"/>
  <c r="L308" i="1"/>
  <c r="L341" i="1" s="1"/>
  <c r="K308" i="1"/>
  <c r="K341" i="1" s="1"/>
  <c r="I308" i="1"/>
  <c r="I341" i="1" s="1"/>
  <c r="I352" i="1" s="1"/>
  <c r="H308" i="1"/>
  <c r="H341" i="1" s="1"/>
  <c r="H352" i="1" s="1"/>
  <c r="G308" i="1"/>
  <c r="G341" i="1" s="1"/>
  <c r="G352" i="1" s="1"/>
  <c r="F308" i="1"/>
  <c r="E308" i="1"/>
  <c r="E341" i="1" s="1"/>
  <c r="E352" i="1" s="1"/>
  <c r="D308" i="1"/>
  <c r="D341" i="1" s="1"/>
  <c r="D352" i="1" s="1"/>
  <c r="C308" i="1"/>
  <c r="C341" i="1" s="1"/>
  <c r="BW307" i="1"/>
  <c r="BR307" i="1"/>
  <c r="BM307" i="1"/>
  <c r="BM391" i="1" s="1"/>
  <c r="BH307" i="1"/>
  <c r="BH391" i="1" s="1"/>
  <c r="T307" i="1"/>
  <c r="O307" i="1"/>
  <c r="J307" i="1"/>
  <c r="J391" i="1" s="1"/>
  <c r="J393" i="1" s="1"/>
  <c r="T306" i="1"/>
  <c r="O306" i="1"/>
  <c r="T305" i="1"/>
  <c r="T391" i="1" s="1"/>
  <c r="T393" i="1" s="1"/>
  <c r="T36" i="9" s="1"/>
  <c r="O305" i="1"/>
  <c r="BH304" i="1"/>
  <c r="T304" i="1"/>
  <c r="T386" i="1" s="1"/>
  <c r="O304" i="1"/>
  <c r="J304" i="1"/>
  <c r="J386" i="1" s="1"/>
  <c r="J79" i="1" s="1"/>
  <c r="J81" i="1" s="1"/>
  <c r="T303" i="1"/>
  <c r="T381" i="1" s="1"/>
  <c r="O303" i="1"/>
  <c r="J303" i="1"/>
  <c r="BY302" i="1"/>
  <c r="BX302" i="1"/>
  <c r="BX329" i="1" s="1"/>
  <c r="BX339" i="1" s="1"/>
  <c r="BV302" i="1"/>
  <c r="BU302" i="1"/>
  <c r="BU329" i="1" s="1"/>
  <c r="BU339" i="1" s="1"/>
  <c r="BT302" i="1"/>
  <c r="BT309" i="1" s="1"/>
  <c r="BS302" i="1"/>
  <c r="BQ302" i="1"/>
  <c r="BP302" i="1"/>
  <c r="BO302" i="1"/>
  <c r="BO329" i="1" s="1"/>
  <c r="BO339" i="1" s="1"/>
  <c r="BN302" i="1"/>
  <c r="BL302" i="1"/>
  <c r="BL329" i="1" s="1"/>
  <c r="BL339" i="1" s="1"/>
  <c r="BK302" i="1"/>
  <c r="BJ302" i="1"/>
  <c r="BJ329" i="1" s="1"/>
  <c r="BI302" i="1"/>
  <c r="BI329" i="1" s="1"/>
  <c r="BI339" i="1" s="1"/>
  <c r="BG302" i="1"/>
  <c r="BG309" i="1" s="1"/>
  <c r="BF302" i="1"/>
  <c r="BF329" i="1" s="1"/>
  <c r="BF339" i="1" s="1"/>
  <c r="BE302" i="1"/>
  <c r="BE309" i="1" s="1"/>
  <c r="BE360" i="1" s="1"/>
  <c r="BD302" i="1"/>
  <c r="BC302" i="1"/>
  <c r="BB302" i="1"/>
  <c r="BB309" i="1" s="1"/>
  <c r="BB313" i="1" s="1"/>
  <c r="BB315" i="1" s="1"/>
  <c r="BB320" i="1" s="1"/>
  <c r="BB327" i="1" s="1"/>
  <c r="BB415" i="1" s="1"/>
  <c r="BA302" i="1"/>
  <c r="AZ302" i="1"/>
  <c r="AY302" i="1"/>
  <c r="AY329" i="1" s="1"/>
  <c r="AY339" i="1" s="1"/>
  <c r="AX302" i="1"/>
  <c r="AW302" i="1"/>
  <c r="AW329" i="1" s="1"/>
  <c r="AW339" i="1" s="1"/>
  <c r="AV302" i="1"/>
  <c r="AU302" i="1"/>
  <c r="AT302" i="1"/>
  <c r="AT309" i="1" s="1"/>
  <c r="AT360" i="1" s="1"/>
  <c r="AT362" i="1" s="1"/>
  <c r="AT396" i="1" s="1"/>
  <c r="AT38" i="9" s="1"/>
  <c r="AT97" i="9" s="1"/>
  <c r="AT98" i="9" s="1"/>
  <c r="AS302" i="1"/>
  <c r="AS329" i="1" s="1"/>
  <c r="AS339" i="1" s="1"/>
  <c r="AR302" i="1"/>
  <c r="AR329" i="1" s="1"/>
  <c r="AR339" i="1" s="1"/>
  <c r="AQ302" i="1"/>
  <c r="AQ329" i="1" s="1"/>
  <c r="AQ339" i="1" s="1"/>
  <c r="AP302" i="1"/>
  <c r="AP329" i="1" s="1"/>
  <c r="AP339" i="1" s="1"/>
  <c r="AO302" i="1"/>
  <c r="AO329" i="1" s="1"/>
  <c r="AN302" i="1"/>
  <c r="AN329" i="1" s="1"/>
  <c r="AN339" i="1" s="1"/>
  <c r="AM302" i="1"/>
  <c r="AL302" i="1"/>
  <c r="AK302" i="1"/>
  <c r="AJ302" i="1"/>
  <c r="AJ329" i="1" s="1"/>
  <c r="AJ339" i="1" s="1"/>
  <c r="AI302" i="1"/>
  <c r="AI329" i="1" s="1"/>
  <c r="AI339" i="1" s="1"/>
  <c r="AH302" i="1"/>
  <c r="AH329" i="1" s="1"/>
  <c r="AH339" i="1" s="1"/>
  <c r="AG302" i="1"/>
  <c r="AF302" i="1"/>
  <c r="AE302" i="1"/>
  <c r="AE329" i="1" s="1"/>
  <c r="AE339" i="1" s="1"/>
  <c r="AD302" i="1"/>
  <c r="AC302" i="1"/>
  <c r="AB302" i="1"/>
  <c r="AA302" i="1"/>
  <c r="AA329" i="1" s="1"/>
  <c r="AA339" i="1" s="1"/>
  <c r="Z302" i="1"/>
  <c r="Z329" i="1" s="1"/>
  <c r="Y302" i="1"/>
  <c r="Y329" i="1" s="1"/>
  <c r="X302" i="1"/>
  <c r="W302" i="1"/>
  <c r="V302" i="1"/>
  <c r="U302" i="1"/>
  <c r="S302" i="1"/>
  <c r="R302" i="1"/>
  <c r="R329" i="1" s="1"/>
  <c r="R339" i="1" s="1"/>
  <c r="R396" i="1" s="1"/>
  <c r="Q302" i="1"/>
  <c r="Q329" i="1" s="1"/>
  <c r="Q339" i="1" s="1"/>
  <c r="P302" i="1"/>
  <c r="P329" i="1" s="1"/>
  <c r="P339" i="1" s="1"/>
  <c r="P396" i="1" s="1"/>
  <c r="N302" i="1"/>
  <c r="N329" i="1" s="1"/>
  <c r="N339" i="1" s="1"/>
  <c r="M302" i="1"/>
  <c r="L302" i="1"/>
  <c r="K302" i="1"/>
  <c r="I302" i="1"/>
  <c r="H302" i="1"/>
  <c r="H329" i="1" s="1"/>
  <c r="H339" i="1" s="1"/>
  <c r="H396" i="1" s="1"/>
  <c r="G302" i="1"/>
  <c r="F302" i="1"/>
  <c r="E302" i="1"/>
  <c r="E329" i="1" s="1"/>
  <c r="E339" i="1" s="1"/>
  <c r="D302" i="1"/>
  <c r="C302" i="1"/>
  <c r="C329" i="1" s="1"/>
  <c r="C339" i="1" s="1"/>
  <c r="BM301" i="1"/>
  <c r="BM374" i="1" s="1"/>
  <c r="BH301" i="1"/>
  <c r="BH374" i="1" s="1"/>
  <c r="T301" i="1"/>
  <c r="O301" i="1"/>
  <c r="O374" i="1" s="1"/>
  <c r="J301" i="1"/>
  <c r="BW300" i="1"/>
  <c r="BR300" i="1"/>
  <c r="BR302" i="1" s="1"/>
  <c r="BM300" i="1"/>
  <c r="BH300" i="1"/>
  <c r="T300" i="1"/>
  <c r="O300" i="1"/>
  <c r="J300" i="1"/>
  <c r="BF292" i="1"/>
  <c r="BF59" i="9" s="1"/>
  <c r="BE292" i="1"/>
  <c r="BE59" i="9" s="1"/>
  <c r="AS292" i="1"/>
  <c r="AS59" i="9" s="1"/>
  <c r="AL292" i="1"/>
  <c r="AL59" i="9" s="1"/>
  <c r="AG292" i="1"/>
  <c r="AG59" i="9" s="1"/>
  <c r="U292" i="1"/>
  <c r="U59" i="9" s="1"/>
  <c r="CK288" i="1"/>
  <c r="CJ288" i="1"/>
  <c r="CI288" i="1"/>
  <c r="CG288" i="1"/>
  <c r="CE288" i="1"/>
  <c r="CB288" i="1"/>
  <c r="CA288" i="1"/>
  <c r="A288" i="1"/>
  <c r="BU282" i="1"/>
  <c r="BN282" i="1"/>
  <c r="BH282" i="1"/>
  <c r="BE282" i="1"/>
  <c r="AW282" i="1"/>
  <c r="AU282" i="1"/>
  <c r="AS282" i="1"/>
  <c r="AR282" i="1"/>
  <c r="AQ282" i="1"/>
  <c r="AO282" i="1"/>
  <c r="AG282" i="1"/>
  <c r="AE282" i="1"/>
  <c r="AC282" i="1"/>
  <c r="Y282" i="1"/>
  <c r="U282" i="1"/>
  <c r="S282" i="1"/>
  <c r="M282" i="1"/>
  <c r="C282" i="1"/>
  <c r="BU281" i="1"/>
  <c r="BO281" i="1"/>
  <c r="AY281" i="1"/>
  <c r="AQ281" i="1"/>
  <c r="AP281" i="1"/>
  <c r="AG281" i="1"/>
  <c r="AA281" i="1"/>
  <c r="S281" i="1"/>
  <c r="R281" i="1"/>
  <c r="K281" i="1"/>
  <c r="D281" i="1"/>
  <c r="C281" i="1"/>
  <c r="BY280" i="1"/>
  <c r="BU280" i="1"/>
  <c r="BN280" i="1"/>
  <c r="BG280" i="1"/>
  <c r="BF280" i="1"/>
  <c r="BE280" i="1"/>
  <c r="AX280" i="1"/>
  <c r="AW280" i="1"/>
  <c r="AQ280" i="1"/>
  <c r="AO280" i="1"/>
  <c r="AH280" i="1"/>
  <c r="AG280" i="1"/>
  <c r="AA280" i="1"/>
  <c r="Y280" i="1"/>
  <c r="R280" i="1"/>
  <c r="Q280" i="1"/>
  <c r="M280" i="1"/>
  <c r="K280" i="1"/>
  <c r="I280" i="1"/>
  <c r="BO277" i="1"/>
  <c r="BO278" i="1" s="1"/>
  <c r="BO651" i="1" s="1"/>
  <c r="BK277" i="1"/>
  <c r="BK278" i="1" s="1"/>
  <c r="BJ277" i="1"/>
  <c r="BJ278" i="1" s="1"/>
  <c r="AT277" i="1"/>
  <c r="AT278" i="1" s="1"/>
  <c r="AS277" i="1"/>
  <c r="AS278" i="1" s="1"/>
  <c r="AS651" i="1" s="1"/>
  <c r="AO277" i="1"/>
  <c r="AO278" i="1" s="1"/>
  <c r="AK277" i="1"/>
  <c r="AK278" i="1" s="1"/>
  <c r="AK651" i="1" s="1"/>
  <c r="AI277" i="1"/>
  <c r="AI278" i="1" s="1"/>
  <c r="AD277" i="1"/>
  <c r="AD278" i="1" s="1"/>
  <c r="AC277" i="1"/>
  <c r="AC278" i="1" s="1"/>
  <c r="AC651" i="1" s="1"/>
  <c r="U277" i="1"/>
  <c r="U278" i="1" s="1"/>
  <c r="Q277" i="1"/>
  <c r="Q278" i="1" s="1"/>
  <c r="N277" i="1"/>
  <c r="N278" i="1" s="1"/>
  <c r="H277" i="1"/>
  <c r="H278" i="1" s="1"/>
  <c r="H651" i="1" s="1"/>
  <c r="H652" i="1" s="1"/>
  <c r="G277" i="1"/>
  <c r="G278" i="1" s="1"/>
  <c r="C277" i="1"/>
  <c r="C278" i="1" s="1"/>
  <c r="BR273" i="1"/>
  <c r="BW272" i="1"/>
  <c r="BR272" i="1"/>
  <c r="BW271" i="1"/>
  <c r="BR271" i="1"/>
  <c r="BW268" i="1"/>
  <c r="BU268" i="1"/>
  <c r="BT268" i="1"/>
  <c r="BS268" i="1"/>
  <c r="BQ268" i="1"/>
  <c r="BP268" i="1"/>
  <c r="BO268" i="1"/>
  <c r="BN268" i="1"/>
  <c r="BL268" i="1"/>
  <c r="BK268" i="1"/>
  <c r="BJ268" i="1"/>
  <c r="BI268" i="1"/>
  <c r="BG268" i="1"/>
  <c r="BF268" i="1"/>
  <c r="BE268" i="1"/>
  <c r="BD268" i="1"/>
  <c r="BB268" i="1"/>
  <c r="BR267" i="1"/>
  <c r="BM267" i="1"/>
  <c r="BH267" i="1"/>
  <c r="BR266" i="1"/>
  <c r="BM266" i="1"/>
  <c r="BH266" i="1"/>
  <c r="BR265" i="1"/>
  <c r="BM265" i="1"/>
  <c r="BH265" i="1"/>
  <c r="BC265" i="1"/>
  <c r="BR264" i="1"/>
  <c r="BM264" i="1"/>
  <c r="BH264" i="1"/>
  <c r="BC264" i="1"/>
  <c r="BR263" i="1"/>
  <c r="BM263" i="1"/>
  <c r="BH263" i="1"/>
  <c r="BH268" i="1" s="1"/>
  <c r="BC263" i="1"/>
  <c r="BR262" i="1"/>
  <c r="BM262" i="1"/>
  <c r="BH262" i="1"/>
  <c r="BC262" i="1"/>
  <c r="BM261" i="1"/>
  <c r="BM259" i="1"/>
  <c r="BH259" i="1"/>
  <c r="BC259" i="1"/>
  <c r="BR258" i="1"/>
  <c r="BM258" i="1"/>
  <c r="BH258" i="1"/>
  <c r="BC258" i="1"/>
  <c r="AX258" i="1"/>
  <c r="AS258" i="1"/>
  <c r="AN258" i="1"/>
  <c r="AI258" i="1"/>
  <c r="AD258" i="1"/>
  <c r="Y258" i="1"/>
  <c r="T258" i="1"/>
  <c r="O258" i="1"/>
  <c r="J258" i="1"/>
  <c r="BR256" i="1"/>
  <c r="BM256" i="1"/>
  <c r="BH256" i="1"/>
  <c r="BC256" i="1"/>
  <c r="AX256" i="1"/>
  <c r="AS256" i="1"/>
  <c r="AN256" i="1"/>
  <c r="AI256" i="1"/>
  <c r="AD256" i="1"/>
  <c r="Y256" i="1"/>
  <c r="Y255" i="1" s="1"/>
  <c r="T256" i="1"/>
  <c r="O256" i="1"/>
  <c r="J256" i="1"/>
  <c r="BA255" i="1"/>
  <c r="AZ255" i="1"/>
  <c r="AY255" i="1"/>
  <c r="AT255" i="1"/>
  <c r="AO255" i="1"/>
  <c r="AJ255" i="1"/>
  <c r="AE255" i="1"/>
  <c r="Z255" i="1"/>
  <c r="U255" i="1"/>
  <c r="T255" i="1"/>
  <c r="P255" i="1"/>
  <c r="O255" i="1"/>
  <c r="K255" i="1"/>
  <c r="F255" i="1"/>
  <c r="E255" i="1"/>
  <c r="D255" i="1"/>
  <c r="C255" i="1"/>
  <c r="AX254" i="1"/>
  <c r="AS254" i="1"/>
  <c r="AS255" i="1" s="1"/>
  <c r="AN254" i="1"/>
  <c r="AI254" i="1"/>
  <c r="AI255" i="1" s="1"/>
  <c r="AD254" i="1"/>
  <c r="Y254" i="1"/>
  <c r="T254" i="1"/>
  <c r="O254" i="1"/>
  <c r="J254" i="1"/>
  <c r="BW251" i="1"/>
  <c r="BR251" i="1"/>
  <c r="BM251" i="1"/>
  <c r="BH251" i="1"/>
  <c r="BC251" i="1"/>
  <c r="AX251" i="1"/>
  <c r="AS251" i="1"/>
  <c r="AN251" i="1"/>
  <c r="AI251" i="1"/>
  <c r="AD251" i="1"/>
  <c r="Y251" i="1"/>
  <c r="T251" i="1"/>
  <c r="O251" i="1"/>
  <c r="H251" i="1"/>
  <c r="J251" i="1" s="1"/>
  <c r="BW249" i="1"/>
  <c r="BR249" i="1"/>
  <c r="BM249" i="1"/>
  <c r="BH249" i="1"/>
  <c r="BC249" i="1"/>
  <c r="AX249" i="1"/>
  <c r="AS249" i="1"/>
  <c r="AN249" i="1"/>
  <c r="AI249" i="1"/>
  <c r="AD249" i="1"/>
  <c r="Y249" i="1"/>
  <c r="T249" i="1"/>
  <c r="O249" i="1"/>
  <c r="J249" i="1"/>
  <c r="H249" i="1"/>
  <c r="BY248" i="1"/>
  <c r="BX248" i="1"/>
  <c r="BV248" i="1"/>
  <c r="BU248" i="1"/>
  <c r="BT248" i="1"/>
  <c r="BS248" i="1"/>
  <c r="BQ248" i="1"/>
  <c r="BP248" i="1"/>
  <c r="BO248" i="1"/>
  <c r="BN248" i="1"/>
  <c r="BL248" i="1"/>
  <c r="BK248" i="1"/>
  <c r="BJ248" i="1"/>
  <c r="BI248" i="1"/>
  <c r="BG248" i="1"/>
  <c r="BF248" i="1"/>
  <c r="BD248" i="1"/>
  <c r="BW247" i="1"/>
  <c r="BW248" i="1" s="1"/>
  <c r="BR247" i="1"/>
  <c r="BM247" i="1"/>
  <c r="BI244" i="1"/>
  <c r="BD244" i="1"/>
  <c r="AY244" i="1"/>
  <c r="AT244" i="1"/>
  <c r="AO244" i="1"/>
  <c r="AJ244" i="1"/>
  <c r="AE244" i="1"/>
  <c r="Z244" i="1"/>
  <c r="U244" i="1"/>
  <c r="P244" i="1"/>
  <c r="K244" i="1"/>
  <c r="F244" i="1"/>
  <c r="E244" i="1"/>
  <c r="D244" i="1"/>
  <c r="C244" i="1"/>
  <c r="BL239" i="1"/>
  <c r="BK239" i="1"/>
  <c r="BJ239" i="1"/>
  <c r="BH239" i="1"/>
  <c r="BG239" i="1"/>
  <c r="BR231" i="1"/>
  <c r="BM231" i="1"/>
  <c r="BH231" i="1"/>
  <c r="BC231" i="1"/>
  <c r="AX231" i="1"/>
  <c r="AS231" i="1"/>
  <c r="AN231" i="1"/>
  <c r="AI231" i="1"/>
  <c r="AD231" i="1"/>
  <c r="Y231" i="1"/>
  <c r="T231" i="1"/>
  <c r="O231" i="1"/>
  <c r="J231" i="1"/>
  <c r="BW229" i="1"/>
  <c r="BR229" i="1"/>
  <c r="BM229" i="1"/>
  <c r="BH229" i="1"/>
  <c r="BC229" i="1"/>
  <c r="AX229" i="1"/>
  <c r="AS229" i="1"/>
  <c r="AN229" i="1"/>
  <c r="AI229" i="1"/>
  <c r="AD229" i="1"/>
  <c r="Y229" i="1"/>
  <c r="T229" i="1"/>
  <c r="O229" i="1"/>
  <c r="J229" i="1"/>
  <c r="BW226" i="1"/>
  <c r="BR226" i="1"/>
  <c r="BM226" i="1"/>
  <c r="BM222" i="1" s="1"/>
  <c r="BH226" i="1"/>
  <c r="BC226" i="1"/>
  <c r="AX226" i="1"/>
  <c r="AS226" i="1"/>
  <c r="AN226" i="1"/>
  <c r="BW224" i="1"/>
  <c r="BR224" i="1"/>
  <c r="BR222" i="1" s="1"/>
  <c r="BR223" i="1" s="1"/>
  <c r="BP224" i="1"/>
  <c r="BM224" i="1"/>
  <c r="BH224" i="1"/>
  <c r="BC224" i="1"/>
  <c r="AX224" i="1"/>
  <c r="AX222" i="1" s="1"/>
  <c r="AS224" i="1"/>
  <c r="AS222" i="1" s="1"/>
  <c r="AS223" i="1" s="1"/>
  <c r="AN224" i="1"/>
  <c r="BV223" i="1"/>
  <c r="BN223" i="1"/>
  <c r="BF223" i="1"/>
  <c r="BC223" i="1"/>
  <c r="BB223" i="1"/>
  <c r="BY222" i="1"/>
  <c r="BY223" i="1" s="1"/>
  <c r="BX222" i="1"/>
  <c r="BX223" i="1" s="1"/>
  <c r="BV222" i="1"/>
  <c r="BU222" i="1"/>
  <c r="BU223" i="1" s="1"/>
  <c r="BT222" i="1"/>
  <c r="BT223" i="1" s="1"/>
  <c r="BS222" i="1"/>
  <c r="BS223" i="1" s="1"/>
  <c r="BQ222" i="1"/>
  <c r="BQ223" i="1" s="1"/>
  <c r="BO222" i="1"/>
  <c r="BO223" i="1" s="1"/>
  <c r="BN222" i="1"/>
  <c r="BL222" i="1"/>
  <c r="BL223" i="1" s="1"/>
  <c r="BK222" i="1"/>
  <c r="BK223" i="1" s="1"/>
  <c r="BJ222" i="1"/>
  <c r="BJ223" i="1" s="1"/>
  <c r="BI222" i="1"/>
  <c r="BI223" i="1" s="1"/>
  <c r="BG222" i="1"/>
  <c r="BG223" i="1" s="1"/>
  <c r="BF222" i="1"/>
  <c r="BE222" i="1"/>
  <c r="BE223" i="1" s="1"/>
  <c r="BD222" i="1"/>
  <c r="BD223" i="1" s="1"/>
  <c r="BC222" i="1"/>
  <c r="BB222" i="1"/>
  <c r="BA222" i="1"/>
  <c r="BA223" i="1" s="1"/>
  <c r="AZ222" i="1"/>
  <c r="AZ223" i="1" s="1"/>
  <c r="AY222" i="1"/>
  <c r="AY223" i="1" s="1"/>
  <c r="AW222" i="1"/>
  <c r="AW223" i="1" s="1"/>
  <c r="AV222" i="1"/>
  <c r="AV223" i="1" s="1"/>
  <c r="AU222" i="1"/>
  <c r="AU223" i="1" s="1"/>
  <c r="AT222" i="1"/>
  <c r="AT223" i="1" s="1"/>
  <c r="AR222" i="1"/>
  <c r="AR223" i="1" s="1"/>
  <c r="AQ222" i="1"/>
  <c r="AQ223" i="1" s="1"/>
  <c r="AP222" i="1"/>
  <c r="AP223" i="1" s="1"/>
  <c r="AO222" i="1"/>
  <c r="AO223" i="1" s="1"/>
  <c r="AM222" i="1"/>
  <c r="AM223" i="1" s="1"/>
  <c r="AL222" i="1"/>
  <c r="AL223" i="1" s="1"/>
  <c r="AK222" i="1"/>
  <c r="AK223" i="1" s="1"/>
  <c r="BL218" i="1"/>
  <c r="BG218" i="1"/>
  <c r="BE218" i="1"/>
  <c r="AR218" i="1"/>
  <c r="AR220" i="1" s="1"/>
  <c r="AP218" i="1"/>
  <c r="AK218" i="1"/>
  <c r="BW217" i="1"/>
  <c r="BR217" i="1"/>
  <c r="BM217" i="1"/>
  <c r="BH217" i="1"/>
  <c r="BC217" i="1"/>
  <c r="AX217" i="1"/>
  <c r="AS217" i="1"/>
  <c r="AN217" i="1"/>
  <c r="BW216" i="1"/>
  <c r="BR216" i="1"/>
  <c r="BM216" i="1"/>
  <c r="BH216" i="1"/>
  <c r="BC216" i="1"/>
  <c r="AX216" i="1"/>
  <c r="AN216" i="1"/>
  <c r="BW215" i="1"/>
  <c r="BR215" i="1"/>
  <c r="BM215" i="1"/>
  <c r="BH215" i="1"/>
  <c r="BC215" i="1"/>
  <c r="AX215" i="1"/>
  <c r="AS215" i="1"/>
  <c r="AN215" i="1"/>
  <c r="BM214" i="1"/>
  <c r="BI214" i="1"/>
  <c r="BI218" i="1" s="1"/>
  <c r="BH214" i="1"/>
  <c r="BH218" i="1" s="1"/>
  <c r="AT214" i="1"/>
  <c r="AT218" i="1" s="1"/>
  <c r="AS214" i="1"/>
  <c r="AR214" i="1"/>
  <c r="AQ214" i="1"/>
  <c r="AQ218" i="1" s="1"/>
  <c r="AQ220" i="1" s="1"/>
  <c r="AL214" i="1"/>
  <c r="BU211" i="1"/>
  <c r="AG211" i="1"/>
  <c r="Q211" i="1"/>
  <c r="BN210" i="1"/>
  <c r="BA210" i="1"/>
  <c r="AY210" i="1"/>
  <c r="AF210" i="1"/>
  <c r="X210" i="1"/>
  <c r="BX206" i="1"/>
  <c r="BU205" i="1"/>
  <c r="BS205" i="1"/>
  <c r="BK205" i="1"/>
  <c r="BI205" i="1"/>
  <c r="G205" i="1"/>
  <c r="BU204" i="1"/>
  <c r="BD204" i="1"/>
  <c r="AA204" i="1"/>
  <c r="Q204" i="1"/>
  <c r="BU203" i="1"/>
  <c r="BA203" i="1"/>
  <c r="Q203" i="1"/>
  <c r="BY201" i="1"/>
  <c r="BX201" i="1"/>
  <c r="BV201" i="1"/>
  <c r="BV203" i="1" s="1"/>
  <c r="BU201" i="1"/>
  <c r="BU206" i="1" s="1"/>
  <c r="BT201" i="1"/>
  <c r="BT211" i="1" s="1"/>
  <c r="BS201" i="1"/>
  <c r="BS204" i="1" s="1"/>
  <c r="BQ201" i="1"/>
  <c r="BQ204" i="1" s="1"/>
  <c r="BP201" i="1"/>
  <c r="BO201" i="1"/>
  <c r="BO211" i="1" s="1"/>
  <c r="BN201" i="1"/>
  <c r="BN203" i="1" s="1"/>
  <c r="BK201" i="1"/>
  <c r="BK211" i="1" s="1"/>
  <c r="BI201" i="1"/>
  <c r="BI210" i="1" s="1"/>
  <c r="BG201" i="1"/>
  <c r="BG205" i="1" s="1"/>
  <c r="BF201" i="1"/>
  <c r="BE201" i="1"/>
  <c r="BE205" i="1" s="1"/>
  <c r="BD201" i="1"/>
  <c r="BD210" i="1" s="1"/>
  <c r="BA201" i="1"/>
  <c r="BA205" i="1" s="1"/>
  <c r="AR201" i="1"/>
  <c r="AP201" i="1"/>
  <c r="AP203" i="1" s="1"/>
  <c r="AE201" i="1"/>
  <c r="AE204" i="1" s="1"/>
  <c r="AA201" i="1"/>
  <c r="AA210" i="1" s="1"/>
  <c r="Z201" i="1"/>
  <c r="Z210" i="1" s="1"/>
  <c r="E201" i="1"/>
  <c r="BR200" i="1"/>
  <c r="BL200" i="1"/>
  <c r="BL201" i="1" s="1"/>
  <c r="BL211" i="1" s="1"/>
  <c r="BJ200" i="1"/>
  <c r="BH200" i="1"/>
  <c r="BB200" i="1"/>
  <c r="BA200" i="1"/>
  <c r="AZ200" i="1"/>
  <c r="AZ201" i="1" s="1"/>
  <c r="AY200" i="1"/>
  <c r="AY201" i="1" s="1"/>
  <c r="AW200" i="1"/>
  <c r="AV200" i="1"/>
  <c r="AV201" i="1" s="1"/>
  <c r="AV205" i="1" s="1"/>
  <c r="AU200" i="1"/>
  <c r="AT200" i="1"/>
  <c r="AR200" i="1"/>
  <c r="AQ200" i="1"/>
  <c r="AP200" i="1"/>
  <c r="AO200" i="1"/>
  <c r="AM200" i="1"/>
  <c r="AL200" i="1"/>
  <c r="AK200" i="1"/>
  <c r="AJ200" i="1"/>
  <c r="AH200" i="1"/>
  <c r="AH201" i="1" s="1"/>
  <c r="AG200" i="1"/>
  <c r="AG201" i="1" s="1"/>
  <c r="AF200" i="1"/>
  <c r="AF201" i="1" s="1"/>
  <c r="AE200" i="1"/>
  <c r="AC200" i="1"/>
  <c r="AC201" i="1" s="1"/>
  <c r="AB200" i="1"/>
  <c r="AA200" i="1"/>
  <c r="Z200" i="1"/>
  <c r="X200" i="1"/>
  <c r="X201" i="1" s="1"/>
  <c r="X205" i="1" s="1"/>
  <c r="W200" i="1"/>
  <c r="W201" i="1" s="1"/>
  <c r="W203" i="1" s="1"/>
  <c r="V200" i="1"/>
  <c r="U200" i="1"/>
  <c r="S200" i="1"/>
  <c r="S201" i="1" s="1"/>
  <c r="R200" i="1"/>
  <c r="Q200" i="1"/>
  <c r="Q201" i="1" s="1"/>
  <c r="Q205" i="1" s="1"/>
  <c r="P200" i="1"/>
  <c r="N200" i="1"/>
  <c r="M200" i="1"/>
  <c r="M201" i="1" s="1"/>
  <c r="M210" i="1" s="1"/>
  <c r="L200" i="1"/>
  <c r="K200" i="1"/>
  <c r="K201" i="1" s="1"/>
  <c r="K205" i="1" s="1"/>
  <c r="I200" i="1"/>
  <c r="I201" i="1" s="1"/>
  <c r="H200" i="1"/>
  <c r="H201" i="1" s="1"/>
  <c r="H205" i="1" s="1"/>
  <c r="G200" i="1"/>
  <c r="G201" i="1" s="1"/>
  <c r="G203" i="1" s="1"/>
  <c r="F200" i="1"/>
  <c r="E200" i="1"/>
  <c r="D200" i="1"/>
  <c r="C200" i="1"/>
  <c r="C201" i="1" s="1"/>
  <c r="AX199" i="1"/>
  <c r="AS199" i="1"/>
  <c r="AN199" i="1"/>
  <c r="AI199" i="1"/>
  <c r="AD199" i="1"/>
  <c r="Y199" i="1"/>
  <c r="T199" i="1"/>
  <c r="O199" i="1"/>
  <c r="J199" i="1"/>
  <c r="AX198" i="1"/>
  <c r="AS198" i="1"/>
  <c r="AN198" i="1"/>
  <c r="AI198" i="1"/>
  <c r="AD198" i="1"/>
  <c r="Y198" i="1"/>
  <c r="T198" i="1"/>
  <c r="O198" i="1"/>
  <c r="J198" i="1"/>
  <c r="AX197" i="1"/>
  <c r="AX200" i="1" s="1"/>
  <c r="AS197" i="1"/>
  <c r="AS200" i="1" s="1"/>
  <c r="AN197" i="1"/>
  <c r="AI197" i="1"/>
  <c r="AD197" i="1"/>
  <c r="AD200" i="1" s="1"/>
  <c r="Y197" i="1"/>
  <c r="T197" i="1"/>
  <c r="O197" i="1"/>
  <c r="O200" i="1" s="1"/>
  <c r="J197" i="1"/>
  <c r="J200" i="1" s="1"/>
  <c r="BR196" i="1"/>
  <c r="BR195" i="1"/>
  <c r="BM195" i="1"/>
  <c r="BH195" i="1"/>
  <c r="BC195" i="1"/>
  <c r="AX195" i="1"/>
  <c r="AS195" i="1"/>
  <c r="AN195" i="1"/>
  <c r="AI195" i="1"/>
  <c r="AD195" i="1"/>
  <c r="Y195" i="1"/>
  <c r="T195" i="1"/>
  <c r="O195" i="1"/>
  <c r="J195" i="1"/>
  <c r="BR194" i="1"/>
  <c r="BM194" i="1"/>
  <c r="BH194" i="1"/>
  <c r="BC194" i="1"/>
  <c r="AX194" i="1"/>
  <c r="AS194" i="1"/>
  <c r="AN194" i="1"/>
  <c r="AI194" i="1"/>
  <c r="AD194" i="1"/>
  <c r="Y194" i="1"/>
  <c r="T194" i="1"/>
  <c r="O194" i="1"/>
  <c r="J194" i="1"/>
  <c r="BR193" i="1"/>
  <c r="BM193" i="1"/>
  <c r="BH193" i="1"/>
  <c r="BC193" i="1"/>
  <c r="AX193" i="1"/>
  <c r="AS193" i="1"/>
  <c r="AN193" i="1"/>
  <c r="AI193" i="1"/>
  <c r="AD193" i="1"/>
  <c r="Y193" i="1"/>
  <c r="T193" i="1"/>
  <c r="O193" i="1"/>
  <c r="J193" i="1"/>
  <c r="AS189" i="1"/>
  <c r="AR189" i="1"/>
  <c r="AQ189" i="1"/>
  <c r="AP189" i="1"/>
  <c r="AN189" i="1"/>
  <c r="AM189" i="1"/>
  <c r="AL189" i="1"/>
  <c r="AK189" i="1"/>
  <c r="AJ189" i="1"/>
  <c r="AH189" i="1"/>
  <c r="AG189" i="1"/>
  <c r="AF189" i="1"/>
  <c r="AE189" i="1"/>
  <c r="AC189" i="1"/>
  <c r="AB189" i="1"/>
  <c r="AA189" i="1"/>
  <c r="Z189" i="1"/>
  <c r="X189" i="1"/>
  <c r="W189" i="1"/>
  <c r="V189" i="1"/>
  <c r="U189" i="1"/>
  <c r="S189" i="1"/>
  <c r="R189" i="1"/>
  <c r="Q189" i="1"/>
  <c r="P189" i="1"/>
  <c r="N189" i="1"/>
  <c r="M189" i="1"/>
  <c r="L189" i="1"/>
  <c r="K189" i="1"/>
  <c r="I189" i="1"/>
  <c r="H189" i="1"/>
  <c r="G189" i="1"/>
  <c r="F189" i="1"/>
  <c r="E189" i="1"/>
  <c r="AR188" i="1"/>
  <c r="AQ188" i="1"/>
  <c r="AP188" i="1"/>
  <c r="AM188" i="1"/>
  <c r="AL188" i="1"/>
  <c r="AK188" i="1"/>
  <c r="AJ188" i="1"/>
  <c r="AH188" i="1"/>
  <c r="AG188" i="1"/>
  <c r="AF188" i="1"/>
  <c r="AE188" i="1"/>
  <c r="AC188" i="1"/>
  <c r="AB188" i="1"/>
  <c r="AA188" i="1"/>
  <c r="Z188" i="1"/>
  <c r="Y188" i="1"/>
  <c r="X188" i="1"/>
  <c r="W188" i="1"/>
  <c r="V188" i="1"/>
  <c r="U188" i="1"/>
  <c r="S188" i="1"/>
  <c r="R188" i="1"/>
  <c r="Q188" i="1"/>
  <c r="P188" i="1"/>
  <c r="N188" i="1"/>
  <c r="M188" i="1"/>
  <c r="L188" i="1"/>
  <c r="K188" i="1"/>
  <c r="I188" i="1"/>
  <c r="H188" i="1"/>
  <c r="G188" i="1"/>
  <c r="F188" i="1"/>
  <c r="E188" i="1"/>
  <c r="AR187" i="1"/>
  <c r="AQ187" i="1"/>
  <c r="AP187" i="1"/>
  <c r="AM187" i="1"/>
  <c r="AL187" i="1"/>
  <c r="AK187" i="1"/>
  <c r="AJ187" i="1"/>
  <c r="AH187" i="1"/>
  <c r="AG187" i="1"/>
  <c r="AF187" i="1"/>
  <c r="AE187" i="1"/>
  <c r="AD187" i="1"/>
  <c r="AC187" i="1"/>
  <c r="AB187" i="1"/>
  <c r="AA187" i="1"/>
  <c r="Z187" i="1"/>
  <c r="X187" i="1"/>
  <c r="W187" i="1"/>
  <c r="V187" i="1"/>
  <c r="U187" i="1"/>
  <c r="S187" i="1"/>
  <c r="R187" i="1"/>
  <c r="Q187" i="1"/>
  <c r="P187" i="1"/>
  <c r="N187" i="1"/>
  <c r="M187" i="1"/>
  <c r="L187" i="1"/>
  <c r="K187" i="1"/>
  <c r="I187" i="1"/>
  <c r="H187" i="1"/>
  <c r="G187" i="1"/>
  <c r="F187" i="1"/>
  <c r="E187" i="1"/>
  <c r="AT185" i="1"/>
  <c r="AR185" i="1"/>
  <c r="AQ185" i="1"/>
  <c r="AP185" i="1"/>
  <c r="AO185" i="1"/>
  <c r="AM185" i="1"/>
  <c r="AM190" i="1" s="1"/>
  <c r="AL185" i="1"/>
  <c r="AK185" i="1"/>
  <c r="AJ185" i="1"/>
  <c r="AH185" i="1"/>
  <c r="AG185" i="1"/>
  <c r="AF185" i="1"/>
  <c r="AF190" i="1" s="1"/>
  <c r="AE185" i="1"/>
  <c r="AE190" i="1" s="1"/>
  <c r="AD185" i="1"/>
  <c r="AC185" i="1"/>
  <c r="AC190" i="1" s="1"/>
  <c r="AB185" i="1"/>
  <c r="AA185" i="1"/>
  <c r="Z185" i="1"/>
  <c r="X185" i="1"/>
  <c r="X190" i="1" s="1"/>
  <c r="W185" i="1"/>
  <c r="W190" i="1" s="1"/>
  <c r="V185" i="1"/>
  <c r="V190" i="1" s="1"/>
  <c r="U185" i="1"/>
  <c r="U190" i="1" s="1"/>
  <c r="S185" i="1"/>
  <c r="R185" i="1"/>
  <c r="Q185" i="1"/>
  <c r="P185" i="1"/>
  <c r="N185" i="1"/>
  <c r="N190" i="1" s="1"/>
  <c r="M185" i="1"/>
  <c r="M190" i="1" s="1"/>
  <c r="L185" i="1"/>
  <c r="L190" i="1" s="1"/>
  <c r="K185" i="1"/>
  <c r="I185" i="1"/>
  <c r="H185" i="1"/>
  <c r="G185" i="1"/>
  <c r="F185" i="1"/>
  <c r="E185" i="1"/>
  <c r="E190" i="1" s="1"/>
  <c r="D185" i="1"/>
  <c r="C185" i="1"/>
  <c r="AS184" i="1"/>
  <c r="AN184" i="1"/>
  <c r="AI184" i="1"/>
  <c r="AD184" i="1"/>
  <c r="Y184" i="1"/>
  <c r="T184" i="1"/>
  <c r="T189" i="1" s="1"/>
  <c r="O184" i="1"/>
  <c r="O189" i="1" s="1"/>
  <c r="J184" i="1"/>
  <c r="AS183" i="1"/>
  <c r="AN183" i="1"/>
  <c r="AI183" i="1"/>
  <c r="AD183" i="1"/>
  <c r="Y183" i="1"/>
  <c r="T183" i="1"/>
  <c r="O183" i="1"/>
  <c r="J183" i="1"/>
  <c r="AS182" i="1"/>
  <c r="AN182" i="1"/>
  <c r="AI182" i="1"/>
  <c r="AD182" i="1"/>
  <c r="Y182" i="1"/>
  <c r="T182" i="1"/>
  <c r="O182" i="1"/>
  <c r="J182" i="1"/>
  <c r="AS181" i="1"/>
  <c r="AN181" i="1"/>
  <c r="AI181" i="1"/>
  <c r="AD181" i="1"/>
  <c r="Y181" i="1"/>
  <c r="T181" i="1"/>
  <c r="O181" i="1"/>
  <c r="J181" i="1"/>
  <c r="AS180" i="1"/>
  <c r="AN180" i="1"/>
  <c r="AI180" i="1"/>
  <c r="AD180" i="1"/>
  <c r="Y180" i="1"/>
  <c r="T180" i="1"/>
  <c r="O180" i="1"/>
  <c r="J180" i="1"/>
  <c r="AS179" i="1"/>
  <c r="AN179" i="1"/>
  <c r="AI179" i="1"/>
  <c r="AD179" i="1"/>
  <c r="Y179" i="1"/>
  <c r="T179" i="1"/>
  <c r="O179" i="1"/>
  <c r="J179" i="1"/>
  <c r="AS178" i="1"/>
  <c r="AN178" i="1"/>
  <c r="AI178" i="1"/>
  <c r="AD178" i="1"/>
  <c r="Y178" i="1"/>
  <c r="T178" i="1"/>
  <c r="O178" i="1"/>
  <c r="K178" i="1"/>
  <c r="I178" i="1"/>
  <c r="H178" i="1"/>
  <c r="G178" i="1"/>
  <c r="F178" i="1"/>
  <c r="AS177" i="1"/>
  <c r="AN177" i="1"/>
  <c r="AI177" i="1"/>
  <c r="AD177" i="1"/>
  <c r="Y177" i="1"/>
  <c r="T177" i="1"/>
  <c r="O177" i="1"/>
  <c r="J177" i="1"/>
  <c r="AS176" i="1"/>
  <c r="AN176" i="1"/>
  <c r="AI176" i="1"/>
  <c r="AD176" i="1"/>
  <c r="Y176" i="1"/>
  <c r="T176" i="1"/>
  <c r="O176" i="1"/>
  <c r="J176" i="1"/>
  <c r="AS175" i="1"/>
  <c r="AR175" i="1"/>
  <c r="AQ175" i="1"/>
  <c r="AP175" i="1"/>
  <c r="AN175" i="1"/>
  <c r="AM175" i="1"/>
  <c r="AL175" i="1"/>
  <c r="AK175" i="1"/>
  <c r="AJ175" i="1"/>
  <c r="AH175" i="1"/>
  <c r="AG175" i="1"/>
  <c r="AF175" i="1"/>
  <c r="AE175" i="1"/>
  <c r="AC175" i="1"/>
  <c r="AB175" i="1"/>
  <c r="AA175" i="1"/>
  <c r="Z175" i="1"/>
  <c r="Y175" i="1"/>
  <c r="X175" i="1"/>
  <c r="W175" i="1"/>
  <c r="V175" i="1"/>
  <c r="U175" i="1"/>
  <c r="S175" i="1"/>
  <c r="R175" i="1"/>
  <c r="Q175" i="1"/>
  <c r="P175" i="1"/>
  <c r="N175" i="1"/>
  <c r="M175" i="1"/>
  <c r="L175" i="1"/>
  <c r="K175" i="1"/>
  <c r="I175" i="1"/>
  <c r="H175" i="1"/>
  <c r="G175" i="1"/>
  <c r="F175" i="1"/>
  <c r="AS174" i="1"/>
  <c r="AS188" i="1" s="1"/>
  <c r="AN174" i="1"/>
  <c r="AN188" i="1" s="1"/>
  <c r="AI174" i="1"/>
  <c r="AD174" i="1"/>
  <c r="Y174" i="1"/>
  <c r="T174" i="1"/>
  <c r="O174" i="1"/>
  <c r="O188" i="1" s="1"/>
  <c r="J174" i="1"/>
  <c r="J188" i="1" s="1"/>
  <c r="AS173" i="1"/>
  <c r="AS187" i="1" s="1"/>
  <c r="AN173" i="1"/>
  <c r="AN187" i="1" s="1"/>
  <c r="AI173" i="1"/>
  <c r="AD173" i="1"/>
  <c r="Y173" i="1"/>
  <c r="T173" i="1"/>
  <c r="O173" i="1"/>
  <c r="J173" i="1"/>
  <c r="J185" i="1" s="1"/>
  <c r="AT171" i="1"/>
  <c r="AR171" i="1"/>
  <c r="AQ171" i="1"/>
  <c r="AP171" i="1"/>
  <c r="AO171" i="1"/>
  <c r="AM171" i="1"/>
  <c r="AL171" i="1"/>
  <c r="AK171" i="1"/>
  <c r="AJ171" i="1"/>
  <c r="AH171" i="1"/>
  <c r="AG171" i="1"/>
  <c r="AF171" i="1"/>
  <c r="AE171" i="1"/>
  <c r="AC171" i="1"/>
  <c r="AB171" i="1"/>
  <c r="AA171" i="1"/>
  <c r="Z171" i="1"/>
  <c r="X171" i="1"/>
  <c r="W171" i="1"/>
  <c r="V171" i="1"/>
  <c r="U171" i="1"/>
  <c r="S171" i="1"/>
  <c r="R171" i="1"/>
  <c r="Q171" i="1"/>
  <c r="P171" i="1"/>
  <c r="O171" i="1"/>
  <c r="N171" i="1"/>
  <c r="M171" i="1"/>
  <c r="L171" i="1"/>
  <c r="K171" i="1"/>
  <c r="J171" i="1"/>
  <c r="I171" i="1"/>
  <c r="H171" i="1"/>
  <c r="G171" i="1"/>
  <c r="F171" i="1"/>
  <c r="E171" i="1"/>
  <c r="AS170" i="1"/>
  <c r="AN170" i="1"/>
  <c r="AI170" i="1"/>
  <c r="AD170" i="1"/>
  <c r="Y170" i="1"/>
  <c r="T170" i="1"/>
  <c r="O170" i="1"/>
  <c r="J170" i="1"/>
  <c r="AS169" i="1"/>
  <c r="AN169" i="1"/>
  <c r="AI169" i="1"/>
  <c r="AD169" i="1"/>
  <c r="Y169" i="1"/>
  <c r="T169" i="1"/>
  <c r="O169" i="1"/>
  <c r="J169" i="1"/>
  <c r="AS168" i="1"/>
  <c r="AS171" i="1" s="1"/>
  <c r="AN168" i="1"/>
  <c r="AN171" i="1" s="1"/>
  <c r="AI168" i="1"/>
  <c r="AI171" i="1" s="1"/>
  <c r="AD168" i="1"/>
  <c r="AD171" i="1" s="1"/>
  <c r="Y168" i="1"/>
  <c r="Y171" i="1" s="1"/>
  <c r="T168" i="1"/>
  <c r="T171" i="1" s="1"/>
  <c r="O168" i="1"/>
  <c r="J168" i="1"/>
  <c r="BY165" i="1"/>
  <c r="BV165" i="1"/>
  <c r="BU165" i="1"/>
  <c r="BT165" i="1"/>
  <c r="BQ165" i="1"/>
  <c r="BP165" i="1"/>
  <c r="BO165" i="1"/>
  <c r="BL165" i="1"/>
  <c r="BK165" i="1"/>
  <c r="BJ165" i="1"/>
  <c r="BH165" i="1"/>
  <c r="BG165" i="1"/>
  <c r="BF165" i="1"/>
  <c r="BE165" i="1"/>
  <c r="BB165" i="1"/>
  <c r="BA165" i="1"/>
  <c r="AZ165" i="1"/>
  <c r="AW165" i="1"/>
  <c r="AV165" i="1"/>
  <c r="AU165" i="1"/>
  <c r="AT165" i="1"/>
  <c r="AR165" i="1"/>
  <c r="AQ165" i="1"/>
  <c r="AP165" i="1"/>
  <c r="BY164" i="1"/>
  <c r="BV164" i="1"/>
  <c r="BU164" i="1"/>
  <c r="BT164" i="1"/>
  <c r="BQ164" i="1"/>
  <c r="BP164" i="1"/>
  <c r="BO164" i="1"/>
  <c r="BL164" i="1"/>
  <c r="BK164" i="1"/>
  <c r="BJ164" i="1"/>
  <c r="BG164" i="1"/>
  <c r="BF164" i="1"/>
  <c r="BE164" i="1"/>
  <c r="BB164" i="1"/>
  <c r="BA164" i="1"/>
  <c r="AZ164" i="1"/>
  <c r="AW164" i="1"/>
  <c r="AV164" i="1"/>
  <c r="AU164" i="1"/>
  <c r="AT164" i="1"/>
  <c r="AR164" i="1"/>
  <c r="AQ164" i="1"/>
  <c r="AP164" i="1"/>
  <c r="BK162" i="1"/>
  <c r="AU162" i="1"/>
  <c r="AU166" i="1" s="1"/>
  <c r="AR162" i="1"/>
  <c r="BY161" i="1"/>
  <c r="BY162" i="1" s="1"/>
  <c r="BY166" i="1" s="1"/>
  <c r="BX161" i="1"/>
  <c r="BX162" i="1" s="1"/>
  <c r="BV161" i="1"/>
  <c r="BV162" i="1" s="1"/>
  <c r="BV166" i="1" s="1"/>
  <c r="BU161" i="1"/>
  <c r="BU162" i="1" s="1"/>
  <c r="BT161" i="1"/>
  <c r="BT162" i="1" s="1"/>
  <c r="BS161" i="1"/>
  <c r="BS162" i="1" s="1"/>
  <c r="BQ161" i="1"/>
  <c r="BQ162" i="1" s="1"/>
  <c r="BQ166" i="1" s="1"/>
  <c r="BP161" i="1"/>
  <c r="BP162" i="1" s="1"/>
  <c r="BO161" i="1"/>
  <c r="BO162" i="1" s="1"/>
  <c r="BO166" i="1" s="1"/>
  <c r="BN161" i="1"/>
  <c r="BL161" i="1"/>
  <c r="BL162" i="1" s="1"/>
  <c r="BK161" i="1"/>
  <c r="BJ161" i="1"/>
  <c r="BJ162" i="1" s="1"/>
  <c r="BI161" i="1"/>
  <c r="BI162" i="1" s="1"/>
  <c r="BG161" i="1"/>
  <c r="BG162" i="1" s="1"/>
  <c r="BF161" i="1"/>
  <c r="BF162" i="1" s="1"/>
  <c r="BE161" i="1"/>
  <c r="BE162" i="1" s="1"/>
  <c r="BE166" i="1" s="1"/>
  <c r="BD161" i="1"/>
  <c r="BD162" i="1" s="1"/>
  <c r="BB161" i="1"/>
  <c r="BB162" i="1" s="1"/>
  <c r="BB166" i="1" s="1"/>
  <c r="BA161" i="1"/>
  <c r="BA162" i="1" s="1"/>
  <c r="AZ161" i="1"/>
  <c r="AZ162" i="1" s="1"/>
  <c r="AZ166" i="1" s="1"/>
  <c r="AW161" i="1"/>
  <c r="AW162" i="1" s="1"/>
  <c r="AW166" i="1" s="1"/>
  <c r="AV161" i="1"/>
  <c r="AV162" i="1" s="1"/>
  <c r="AV166" i="1" s="1"/>
  <c r="AU161" i="1"/>
  <c r="AR161" i="1"/>
  <c r="AQ161" i="1"/>
  <c r="AQ162" i="1" s="1"/>
  <c r="AP161" i="1"/>
  <c r="AP162" i="1" s="1"/>
  <c r="BW160" i="1"/>
  <c r="BR160" i="1"/>
  <c r="BM160" i="1"/>
  <c r="BH160" i="1"/>
  <c r="BW159" i="1"/>
  <c r="BW158" i="1"/>
  <c r="BW157" i="1"/>
  <c r="BR157" i="1"/>
  <c r="BM157" i="1"/>
  <c r="BH157" i="1"/>
  <c r="BC157" i="1"/>
  <c r="AX157" i="1"/>
  <c r="AS157" i="1"/>
  <c r="BW156" i="1"/>
  <c r="BR156" i="1"/>
  <c r="BM156" i="1"/>
  <c r="BH156" i="1"/>
  <c r="BW155" i="1"/>
  <c r="BR155" i="1"/>
  <c r="BM155" i="1"/>
  <c r="BH155" i="1"/>
  <c r="BW154" i="1"/>
  <c r="BR154" i="1"/>
  <c r="BM154" i="1"/>
  <c r="BH154" i="1"/>
  <c r="BC154" i="1"/>
  <c r="AX154" i="1"/>
  <c r="AS154" i="1"/>
  <c r="BW153" i="1"/>
  <c r="BR153" i="1"/>
  <c r="BM153" i="1"/>
  <c r="BH153" i="1"/>
  <c r="BC153" i="1"/>
  <c r="AY153" i="1"/>
  <c r="AT153" i="1"/>
  <c r="AT161" i="1" s="1"/>
  <c r="AT162" i="1" s="1"/>
  <c r="AT166" i="1" s="1"/>
  <c r="BW152" i="1"/>
  <c r="BR152" i="1"/>
  <c r="BM152" i="1"/>
  <c r="BH152" i="1"/>
  <c r="BC152" i="1"/>
  <c r="AX152" i="1"/>
  <c r="AS152" i="1"/>
  <c r="BW151" i="1"/>
  <c r="BM151" i="1"/>
  <c r="BM161" i="1" s="1"/>
  <c r="BH151" i="1"/>
  <c r="BW150" i="1"/>
  <c r="BW165" i="1" s="1"/>
  <c r="BR150" i="1"/>
  <c r="BR165" i="1" s="1"/>
  <c r="BM150" i="1"/>
  <c r="BM165" i="1" s="1"/>
  <c r="BH150" i="1"/>
  <c r="BC150" i="1"/>
  <c r="BC165" i="1" s="1"/>
  <c r="AX150" i="1"/>
  <c r="AX165" i="1" s="1"/>
  <c r="AS150" i="1"/>
  <c r="AS165" i="1" s="1"/>
  <c r="BW149" i="1"/>
  <c r="BW164" i="1" s="1"/>
  <c r="BR149" i="1"/>
  <c r="BR164" i="1" s="1"/>
  <c r="BM149" i="1"/>
  <c r="BM164" i="1" s="1"/>
  <c r="BH149" i="1"/>
  <c r="BC149" i="1"/>
  <c r="BC164" i="1" s="1"/>
  <c r="AX149" i="1"/>
  <c r="AX164" i="1" s="1"/>
  <c r="AS149" i="1"/>
  <c r="AS164" i="1" s="1"/>
  <c r="AS146" i="1"/>
  <c r="AR146" i="1"/>
  <c r="AR190" i="1" s="1"/>
  <c r="AQ146" i="1"/>
  <c r="AP146" i="1"/>
  <c r="AN146" i="1"/>
  <c r="AM146" i="1"/>
  <c r="AL146" i="1"/>
  <c r="AL190" i="1" s="1"/>
  <c r="AK146" i="1"/>
  <c r="AJ146" i="1"/>
  <c r="AJ190" i="1" s="1"/>
  <c r="AH146" i="1"/>
  <c r="AG146" i="1"/>
  <c r="AF146" i="1"/>
  <c r="AE146" i="1"/>
  <c r="AC146" i="1"/>
  <c r="AB146" i="1"/>
  <c r="AA146" i="1"/>
  <c r="AA190" i="1" s="1"/>
  <c r="Z146" i="1"/>
  <c r="Y146" i="1"/>
  <c r="X146" i="1"/>
  <c r="W146" i="1"/>
  <c r="V146" i="1"/>
  <c r="U146" i="1"/>
  <c r="S146" i="1"/>
  <c r="S190" i="1" s="1"/>
  <c r="R146" i="1"/>
  <c r="Q146" i="1"/>
  <c r="P146" i="1"/>
  <c r="O146" i="1"/>
  <c r="N146" i="1"/>
  <c r="M146" i="1"/>
  <c r="L146" i="1"/>
  <c r="K146" i="1"/>
  <c r="I146" i="1"/>
  <c r="H146" i="1"/>
  <c r="G146" i="1"/>
  <c r="F146" i="1"/>
  <c r="E146" i="1"/>
  <c r="D146" i="1"/>
  <c r="C146" i="1"/>
  <c r="AT145" i="1"/>
  <c r="AT189" i="1" s="1"/>
  <c r="AO145" i="1"/>
  <c r="AO189" i="1" s="1"/>
  <c r="AI145" i="1"/>
  <c r="AI175" i="1" s="1"/>
  <c r="AD145" i="1"/>
  <c r="Y145" i="1"/>
  <c r="T145" i="1"/>
  <c r="T175" i="1" s="1"/>
  <c r="O145" i="1"/>
  <c r="O175" i="1" s="1"/>
  <c r="J145" i="1"/>
  <c r="J175" i="1" s="1"/>
  <c r="AT144" i="1"/>
  <c r="AT188" i="1" s="1"/>
  <c r="AO144" i="1"/>
  <c r="AO188" i="1" s="1"/>
  <c r="AI144" i="1"/>
  <c r="AD144" i="1"/>
  <c r="Y144" i="1"/>
  <c r="T144" i="1"/>
  <c r="O144" i="1"/>
  <c r="J144" i="1"/>
  <c r="AT143" i="1"/>
  <c r="AT146" i="1" s="1"/>
  <c r="AO143" i="1"/>
  <c r="AI143" i="1"/>
  <c r="AD143" i="1"/>
  <c r="AD146" i="1" s="1"/>
  <c r="Y143" i="1"/>
  <c r="T143" i="1"/>
  <c r="T146" i="1" s="1"/>
  <c r="O143" i="1"/>
  <c r="J143" i="1"/>
  <c r="J146" i="1" s="1"/>
  <c r="BY141" i="1"/>
  <c r="BW141" i="1"/>
  <c r="BR141" i="1"/>
  <c r="BQ141" i="1"/>
  <c r="BP141" i="1"/>
  <c r="BX140" i="1"/>
  <c r="BS140" i="1"/>
  <c r="BY139" i="1"/>
  <c r="BW139" i="1"/>
  <c r="BV139" i="1"/>
  <c r="BV141" i="1" s="1"/>
  <c r="BU139" i="1"/>
  <c r="BU141" i="1" s="1"/>
  <c r="BT139" i="1"/>
  <c r="BT141" i="1" s="1"/>
  <c r="BR139" i="1"/>
  <c r="BQ139" i="1"/>
  <c r="BP139" i="1"/>
  <c r="BO139" i="1"/>
  <c r="BO141" i="1" s="1"/>
  <c r="BX138" i="1"/>
  <c r="BS138" i="1"/>
  <c r="BX137" i="1"/>
  <c r="BS137" i="1"/>
  <c r="BY135" i="1"/>
  <c r="BW135" i="1"/>
  <c r="BV135" i="1"/>
  <c r="BU135" i="1"/>
  <c r="BT135" i="1"/>
  <c r="BT166" i="1" s="1"/>
  <c r="BR135" i="1"/>
  <c r="BQ135" i="1"/>
  <c r="BP135" i="1"/>
  <c r="BO135" i="1"/>
  <c r="BM135" i="1"/>
  <c r="BL135" i="1"/>
  <c r="BK135" i="1"/>
  <c r="BJ135" i="1"/>
  <c r="BH135" i="1"/>
  <c r="BG135" i="1"/>
  <c r="BF135" i="1"/>
  <c r="BE135" i="1"/>
  <c r="BC135" i="1"/>
  <c r="BB135" i="1"/>
  <c r="BA135" i="1"/>
  <c r="AZ135" i="1"/>
  <c r="AX135" i="1"/>
  <c r="AW135" i="1"/>
  <c r="AV135" i="1"/>
  <c r="AU135" i="1"/>
  <c r="AT135" i="1"/>
  <c r="AS135" i="1"/>
  <c r="AR135" i="1"/>
  <c r="AQ135" i="1"/>
  <c r="AP135" i="1"/>
  <c r="BX134" i="1"/>
  <c r="BX165" i="1" s="1"/>
  <c r="BS134" i="1"/>
  <c r="BS165" i="1" s="1"/>
  <c r="BN134" i="1"/>
  <c r="BN165" i="1" s="1"/>
  <c r="BI134" i="1"/>
  <c r="BI165" i="1" s="1"/>
  <c r="BD134" i="1"/>
  <c r="BD165" i="1" s="1"/>
  <c r="AY134" i="1"/>
  <c r="AY165" i="1" s="1"/>
  <c r="BX133" i="1"/>
  <c r="BX164" i="1" s="1"/>
  <c r="BS133" i="1"/>
  <c r="BS164" i="1" s="1"/>
  <c r="BN133" i="1"/>
  <c r="BN164" i="1" s="1"/>
  <c r="BI133" i="1"/>
  <c r="BD133" i="1"/>
  <c r="BD164" i="1" s="1"/>
  <c r="AY133" i="1"/>
  <c r="AY164" i="1" s="1"/>
  <c r="BY129" i="1"/>
  <c r="BX129" i="1"/>
  <c r="BX416" i="1" s="1"/>
  <c r="BW129" i="1"/>
  <c r="BW416" i="1" s="1"/>
  <c r="BV129" i="1"/>
  <c r="BV416" i="1" s="1"/>
  <c r="BU129" i="1"/>
  <c r="BU416" i="1" s="1"/>
  <c r="BT129" i="1"/>
  <c r="BT416" i="1" s="1"/>
  <c r="BS129" i="1"/>
  <c r="BS416" i="1" s="1"/>
  <c r="BR129" i="1"/>
  <c r="BR416" i="1" s="1"/>
  <c r="BQ129" i="1"/>
  <c r="BQ416" i="1" s="1"/>
  <c r="BP129" i="1"/>
  <c r="BP416" i="1" s="1"/>
  <c r="BO129" i="1"/>
  <c r="BO416" i="1" s="1"/>
  <c r="BN129" i="1"/>
  <c r="BN416" i="1" s="1"/>
  <c r="BM129" i="1"/>
  <c r="BM416" i="1" s="1"/>
  <c r="BL129" i="1"/>
  <c r="BL416" i="1" s="1"/>
  <c r="BK129" i="1"/>
  <c r="BK416" i="1" s="1"/>
  <c r="BJ129" i="1"/>
  <c r="BJ416" i="1" s="1"/>
  <c r="BJ721" i="1" s="1"/>
  <c r="BI129" i="1"/>
  <c r="BI416" i="1" s="1"/>
  <c r="BH129" i="1"/>
  <c r="BH416" i="1" s="1"/>
  <c r="BG129" i="1"/>
  <c r="BG416" i="1" s="1"/>
  <c r="BF129" i="1"/>
  <c r="BF416" i="1" s="1"/>
  <c r="BE129" i="1"/>
  <c r="BE416" i="1" s="1"/>
  <c r="BD129" i="1"/>
  <c r="BD416" i="1" s="1"/>
  <c r="BC129" i="1"/>
  <c r="BC416" i="1" s="1"/>
  <c r="BB129" i="1"/>
  <c r="BA129" i="1"/>
  <c r="BA416" i="1" s="1"/>
  <c r="AZ129" i="1"/>
  <c r="AZ416" i="1" s="1"/>
  <c r="AY129" i="1"/>
  <c r="AW129" i="1"/>
  <c r="AW416" i="1" s="1"/>
  <c r="AV129" i="1"/>
  <c r="AV416" i="1" s="1"/>
  <c r="AU129" i="1"/>
  <c r="AU416" i="1" s="1"/>
  <c r="AS129" i="1"/>
  <c r="AR129" i="1"/>
  <c r="AR416" i="1" s="1"/>
  <c r="AQ129" i="1"/>
  <c r="AQ416" i="1" s="1"/>
  <c r="AP129" i="1"/>
  <c r="AP416" i="1" s="1"/>
  <c r="AN129" i="1"/>
  <c r="AN416" i="1" s="1"/>
  <c r="AM129" i="1"/>
  <c r="AM416" i="1" s="1"/>
  <c r="AL129" i="1"/>
  <c r="AL416" i="1" s="1"/>
  <c r="AK129" i="1"/>
  <c r="AK416" i="1" s="1"/>
  <c r="AI129" i="1"/>
  <c r="AI416" i="1" s="1"/>
  <c r="AH129" i="1"/>
  <c r="AH416" i="1" s="1"/>
  <c r="AG129" i="1"/>
  <c r="AG416" i="1" s="1"/>
  <c r="AF129" i="1"/>
  <c r="AF416" i="1" s="1"/>
  <c r="AD129" i="1"/>
  <c r="AD416" i="1" s="1"/>
  <c r="AC129" i="1"/>
  <c r="AC416" i="1" s="1"/>
  <c r="AB129" i="1"/>
  <c r="AB416" i="1" s="1"/>
  <c r="AA129" i="1"/>
  <c r="AA416" i="1" s="1"/>
  <c r="Y129" i="1"/>
  <c r="Y416" i="1" s="1"/>
  <c r="X129" i="1"/>
  <c r="X416" i="1" s="1"/>
  <c r="W129" i="1"/>
  <c r="W416" i="1" s="1"/>
  <c r="V129" i="1"/>
  <c r="V416" i="1" s="1"/>
  <c r="T129" i="1"/>
  <c r="T416" i="1" s="1"/>
  <c r="S129" i="1"/>
  <c r="S416" i="1" s="1"/>
  <c r="R129" i="1"/>
  <c r="R416" i="1" s="1"/>
  <c r="O129" i="1"/>
  <c r="O416" i="1" s="1"/>
  <c r="N129" i="1"/>
  <c r="N416" i="1" s="1"/>
  <c r="M129" i="1"/>
  <c r="M416" i="1" s="1"/>
  <c r="L129" i="1"/>
  <c r="L416" i="1" s="1"/>
  <c r="J129" i="1"/>
  <c r="J416" i="1" s="1"/>
  <c r="I129" i="1"/>
  <c r="I416" i="1" s="1"/>
  <c r="H129" i="1"/>
  <c r="H416" i="1" s="1"/>
  <c r="G129" i="1"/>
  <c r="G416" i="1" s="1"/>
  <c r="F129" i="1"/>
  <c r="F416" i="1" s="1"/>
  <c r="E129" i="1"/>
  <c r="E416" i="1" s="1"/>
  <c r="D129" i="1"/>
  <c r="D416" i="1" s="1"/>
  <c r="C129" i="1"/>
  <c r="C416" i="1" s="1"/>
  <c r="AE128" i="1"/>
  <c r="AE387" i="1" s="1"/>
  <c r="AE84" i="1" s="1"/>
  <c r="Z128" i="1"/>
  <c r="Z387" i="1" s="1"/>
  <c r="Z84" i="1" s="1"/>
  <c r="Q128" i="1"/>
  <c r="P128" i="1"/>
  <c r="P387" i="1" s="1"/>
  <c r="P84" i="1" s="1"/>
  <c r="K128" i="1"/>
  <c r="K387" i="1" s="1"/>
  <c r="AJ127" i="1"/>
  <c r="AJ382" i="1" s="1"/>
  <c r="AJ69" i="1" s="1"/>
  <c r="AE127" i="1"/>
  <c r="AE382" i="1" s="1"/>
  <c r="Z127" i="1"/>
  <c r="Z382" i="1" s="1"/>
  <c r="Z69" i="1" s="1"/>
  <c r="Q127" i="1"/>
  <c r="P127" i="1"/>
  <c r="P382" i="1" s="1"/>
  <c r="P69" i="1" s="1"/>
  <c r="K127" i="1"/>
  <c r="K382" i="1" s="1"/>
  <c r="AY126" i="1"/>
  <c r="AX126" i="1"/>
  <c r="AX129" i="1" s="1"/>
  <c r="AX416" i="1" s="1"/>
  <c r="AT126" i="1"/>
  <c r="AT129" i="1" s="1"/>
  <c r="AT416" i="1" s="1"/>
  <c r="AO126" i="1"/>
  <c r="AO129" i="1" s="1"/>
  <c r="AO416" i="1" s="1"/>
  <c r="AJ126" i="1"/>
  <c r="AE126" i="1"/>
  <c r="Z126" i="1"/>
  <c r="U126" i="1"/>
  <c r="Q126" i="1"/>
  <c r="P126" i="1"/>
  <c r="K126" i="1"/>
  <c r="BY124" i="1"/>
  <c r="BY417" i="1" s="1"/>
  <c r="BX124" i="1"/>
  <c r="BX417" i="1" s="1"/>
  <c r="BW124" i="1"/>
  <c r="BW417" i="1" s="1"/>
  <c r="BV124" i="1"/>
  <c r="BV417" i="1" s="1"/>
  <c r="BU124" i="1"/>
  <c r="BU417" i="1" s="1"/>
  <c r="BT124" i="1"/>
  <c r="BT417" i="1" s="1"/>
  <c r="BS124" i="1"/>
  <c r="BS417" i="1" s="1"/>
  <c r="BR124" i="1"/>
  <c r="BR417" i="1" s="1"/>
  <c r="BQ124" i="1"/>
  <c r="BQ417" i="1" s="1"/>
  <c r="BP124" i="1"/>
  <c r="BP417" i="1" s="1"/>
  <c r="BO124" i="1"/>
  <c r="BO417" i="1" s="1"/>
  <c r="BN124" i="1"/>
  <c r="BN417" i="1" s="1"/>
  <c r="BM124" i="1"/>
  <c r="BM417" i="1" s="1"/>
  <c r="BL124" i="1"/>
  <c r="BL417" i="1" s="1"/>
  <c r="BK124" i="1"/>
  <c r="BK417" i="1" s="1"/>
  <c r="BJ124" i="1"/>
  <c r="BJ417" i="1" s="1"/>
  <c r="BI124" i="1"/>
  <c r="BI417" i="1" s="1"/>
  <c r="BH124" i="1"/>
  <c r="BH417" i="1" s="1"/>
  <c r="BG124" i="1"/>
  <c r="BG417" i="1" s="1"/>
  <c r="BF124" i="1"/>
  <c r="BF417" i="1" s="1"/>
  <c r="BE124" i="1"/>
  <c r="BE417" i="1" s="1"/>
  <c r="BD124" i="1"/>
  <c r="BD417" i="1" s="1"/>
  <c r="BC124" i="1"/>
  <c r="BC417" i="1" s="1"/>
  <c r="BB124" i="1"/>
  <c r="BB417" i="1" s="1"/>
  <c r="BA124" i="1"/>
  <c r="BA417" i="1" s="1"/>
  <c r="AZ124" i="1"/>
  <c r="AZ417" i="1" s="1"/>
  <c r="AY124" i="1"/>
  <c r="AX124" i="1"/>
  <c r="AX417" i="1" s="1"/>
  <c r="AW124" i="1"/>
  <c r="AW417" i="1" s="1"/>
  <c r="AV124" i="1"/>
  <c r="AV417" i="1" s="1"/>
  <c r="AU124" i="1"/>
  <c r="AT124" i="1"/>
  <c r="AT417" i="1" s="1"/>
  <c r="AS124" i="1"/>
  <c r="AS417" i="1" s="1"/>
  <c r="AR124" i="1"/>
  <c r="AR417" i="1" s="1"/>
  <c r="AQ124" i="1"/>
  <c r="AQ417" i="1" s="1"/>
  <c r="AP124" i="1"/>
  <c r="AO124" i="1"/>
  <c r="AO417" i="1" s="1"/>
  <c r="AN124" i="1"/>
  <c r="AN417" i="1" s="1"/>
  <c r="AM124" i="1"/>
  <c r="AM417" i="1" s="1"/>
  <c r="AL124" i="1"/>
  <c r="AL417" i="1" s="1"/>
  <c r="AK124" i="1"/>
  <c r="AK417" i="1" s="1"/>
  <c r="AJ124" i="1"/>
  <c r="AJ417" i="1" s="1"/>
  <c r="AI124" i="1"/>
  <c r="AI417" i="1" s="1"/>
  <c r="AH124" i="1"/>
  <c r="AG124" i="1"/>
  <c r="AG417" i="1" s="1"/>
  <c r="AF124" i="1"/>
  <c r="AF417" i="1" s="1"/>
  <c r="AE124" i="1"/>
  <c r="AE417" i="1" s="1"/>
  <c r="AD124" i="1"/>
  <c r="AD417" i="1" s="1"/>
  <c r="AC124" i="1"/>
  <c r="AC417" i="1" s="1"/>
  <c r="AB124" i="1"/>
  <c r="AB417" i="1" s="1"/>
  <c r="AA124" i="1"/>
  <c r="AA122" i="1" s="1"/>
  <c r="AA383" i="1" s="1"/>
  <c r="AA71" i="1" s="1"/>
  <c r="Z124" i="1"/>
  <c r="Y124" i="1"/>
  <c r="Y417" i="1" s="1"/>
  <c r="X124" i="1"/>
  <c r="X417" i="1" s="1"/>
  <c r="W124" i="1"/>
  <c r="W417" i="1" s="1"/>
  <c r="V124" i="1"/>
  <c r="V417" i="1" s="1"/>
  <c r="U124" i="1"/>
  <c r="U417" i="1" s="1"/>
  <c r="T124" i="1"/>
  <c r="T417" i="1" s="1"/>
  <c r="S124" i="1"/>
  <c r="S417" i="1" s="1"/>
  <c r="R124" i="1"/>
  <c r="Q124" i="1"/>
  <c r="Q417" i="1" s="1"/>
  <c r="P124" i="1"/>
  <c r="O124" i="1"/>
  <c r="O417" i="1" s="1"/>
  <c r="N124" i="1"/>
  <c r="N417" i="1" s="1"/>
  <c r="M124" i="1"/>
  <c r="M417" i="1" s="1"/>
  <c r="L124" i="1"/>
  <c r="L417" i="1" s="1"/>
  <c r="K124" i="1"/>
  <c r="J124" i="1"/>
  <c r="I124" i="1"/>
  <c r="I417" i="1" s="1"/>
  <c r="H124" i="1"/>
  <c r="H417" i="1" s="1"/>
  <c r="G124" i="1"/>
  <c r="G417" i="1" s="1"/>
  <c r="F124" i="1"/>
  <c r="F417" i="1" s="1"/>
  <c r="E124" i="1"/>
  <c r="E417" i="1" s="1"/>
  <c r="D124" i="1"/>
  <c r="D417" i="1" s="1"/>
  <c r="C124" i="1"/>
  <c r="AJ123" i="1"/>
  <c r="AE123" i="1"/>
  <c r="AE388" i="1" s="1"/>
  <c r="AE86" i="1" s="1"/>
  <c r="Z123" i="1"/>
  <c r="Z388" i="1" s="1"/>
  <c r="U123" i="1"/>
  <c r="U388" i="1" s="1"/>
  <c r="U86" i="1" s="1"/>
  <c r="P123" i="1"/>
  <c r="P388" i="1" s="1"/>
  <c r="K123" i="1"/>
  <c r="K388" i="1" s="1"/>
  <c r="K86" i="1" s="1"/>
  <c r="AD122" i="1"/>
  <c r="AD383" i="1" s="1"/>
  <c r="AD71" i="1" s="1"/>
  <c r="V122" i="1"/>
  <c r="V383" i="1" s="1"/>
  <c r="V71" i="1" s="1"/>
  <c r="U122" i="1"/>
  <c r="U383" i="1" s="1"/>
  <c r="U71" i="1" s="1"/>
  <c r="N122" i="1"/>
  <c r="N383" i="1" s="1"/>
  <c r="M122" i="1"/>
  <c r="M383" i="1" s="1"/>
  <c r="AU121" i="1"/>
  <c r="AU376" i="1" s="1"/>
  <c r="AQ121" i="1"/>
  <c r="AQ376" i="1" s="1"/>
  <c r="AQ32" i="9" s="1"/>
  <c r="AP121" i="1"/>
  <c r="AP376" i="1" s="1"/>
  <c r="AO121" i="1"/>
  <c r="AO376" i="1" s="1"/>
  <c r="AO53" i="1" s="1"/>
  <c r="AN121" i="1"/>
  <c r="AN376" i="1" s="1"/>
  <c r="AM121" i="1"/>
  <c r="AM376" i="1" s="1"/>
  <c r="AL121" i="1"/>
  <c r="AL376" i="1" s="1"/>
  <c r="AK121" i="1"/>
  <c r="AK376" i="1" s="1"/>
  <c r="AJ121" i="1"/>
  <c r="AJ376" i="1" s="1"/>
  <c r="AI121" i="1"/>
  <c r="AI376" i="1" s="1"/>
  <c r="AH121" i="1"/>
  <c r="AH376" i="1" s="1"/>
  <c r="AG121" i="1"/>
  <c r="AG376" i="1" s="1"/>
  <c r="AF121" i="1"/>
  <c r="AF376" i="1" s="1"/>
  <c r="AE121" i="1"/>
  <c r="AD121" i="1"/>
  <c r="AD376" i="1" s="1"/>
  <c r="AD32" i="9" s="1"/>
  <c r="AC121" i="1"/>
  <c r="AC376" i="1" s="1"/>
  <c r="AB121" i="1"/>
  <c r="AA121" i="1"/>
  <c r="AA376" i="1" s="1"/>
  <c r="Z121" i="1"/>
  <c r="Z376" i="1" s="1"/>
  <c r="Y121" i="1"/>
  <c r="Y376" i="1" s="1"/>
  <c r="X121" i="1"/>
  <c r="X376" i="1" s="1"/>
  <c r="W121" i="1"/>
  <c r="V121" i="1"/>
  <c r="V376" i="1" s="1"/>
  <c r="U121" i="1"/>
  <c r="U376" i="1" s="1"/>
  <c r="T121" i="1"/>
  <c r="S121" i="1"/>
  <c r="S376" i="1" s="1"/>
  <c r="R121" i="1"/>
  <c r="R376" i="1" s="1"/>
  <c r="Q121" i="1"/>
  <c r="Q376" i="1" s="1"/>
  <c r="P121" i="1"/>
  <c r="P376" i="1" s="1"/>
  <c r="O121" i="1"/>
  <c r="N121" i="1"/>
  <c r="N376" i="1" s="1"/>
  <c r="M121" i="1"/>
  <c r="M376" i="1" s="1"/>
  <c r="L121" i="1"/>
  <c r="K121" i="1"/>
  <c r="K376" i="1" s="1"/>
  <c r="J121" i="1"/>
  <c r="J376" i="1" s="1"/>
  <c r="I121" i="1"/>
  <c r="I376" i="1" s="1"/>
  <c r="H121" i="1"/>
  <c r="H376" i="1" s="1"/>
  <c r="G121" i="1"/>
  <c r="F121" i="1"/>
  <c r="E121" i="1"/>
  <c r="E376" i="1" s="1"/>
  <c r="E32" i="9" s="1"/>
  <c r="D121" i="1"/>
  <c r="C121" i="1"/>
  <c r="C376" i="1" s="1"/>
  <c r="BY119" i="1"/>
  <c r="BY941" i="1" s="1"/>
  <c r="BW119" i="1"/>
  <c r="BW941" i="1" s="1"/>
  <c r="BV119" i="1"/>
  <c r="BU119" i="1"/>
  <c r="BU941" i="1" s="1"/>
  <c r="BT119" i="1"/>
  <c r="BT941" i="1" s="1"/>
  <c r="BR119" i="1"/>
  <c r="BR941" i="1" s="1"/>
  <c r="BQ119" i="1"/>
  <c r="BQ941" i="1" s="1"/>
  <c r="BP119" i="1"/>
  <c r="BO119" i="1"/>
  <c r="BO941" i="1" s="1"/>
  <c r="BM119" i="1"/>
  <c r="BM941" i="1" s="1"/>
  <c r="BL119" i="1"/>
  <c r="BL941" i="1" s="1"/>
  <c r="BK119" i="1"/>
  <c r="BK941" i="1" s="1"/>
  <c r="BJ119" i="1"/>
  <c r="BH119" i="1"/>
  <c r="BH941" i="1" s="1"/>
  <c r="BG119" i="1"/>
  <c r="BF119" i="1"/>
  <c r="BF941" i="1" s="1"/>
  <c r="BE119" i="1"/>
  <c r="BE941" i="1" s="1"/>
  <c r="BC119" i="1"/>
  <c r="BC941" i="1" s="1"/>
  <c r="BB119" i="1"/>
  <c r="BA119" i="1"/>
  <c r="BA941" i="1" s="1"/>
  <c r="AZ119" i="1"/>
  <c r="AX119" i="1"/>
  <c r="AX941" i="1" s="1"/>
  <c r="AW119" i="1"/>
  <c r="AW941" i="1" s="1"/>
  <c r="AV119" i="1"/>
  <c r="AV941" i="1" s="1"/>
  <c r="AU119" i="1"/>
  <c r="AU941" i="1" s="1"/>
  <c r="AS119" i="1"/>
  <c r="AS941" i="1" s="1"/>
  <c r="AR119" i="1"/>
  <c r="AQ119" i="1"/>
  <c r="AP119" i="1"/>
  <c r="AP941" i="1" s="1"/>
  <c r="AN119" i="1"/>
  <c r="AN941" i="1" s="1"/>
  <c r="AM119" i="1"/>
  <c r="AM941" i="1" s="1"/>
  <c r="AL119" i="1"/>
  <c r="AL941" i="1" s="1"/>
  <c r="AK119" i="1"/>
  <c r="AI119" i="1"/>
  <c r="AH119" i="1"/>
  <c r="AG119" i="1"/>
  <c r="AG941" i="1" s="1"/>
  <c r="AF119" i="1"/>
  <c r="AF941" i="1" s="1"/>
  <c r="AD119" i="1"/>
  <c r="AD941" i="1" s="1"/>
  <c r="AC119" i="1"/>
  <c r="AC941" i="1" s="1"/>
  <c r="AB119" i="1"/>
  <c r="AA119" i="1"/>
  <c r="Z119" i="1"/>
  <c r="Z941" i="1" s="1"/>
  <c r="Y119" i="1"/>
  <c r="Y941" i="1" s="1"/>
  <c r="X119" i="1"/>
  <c r="W119" i="1"/>
  <c r="W941" i="1" s="1"/>
  <c r="V119" i="1"/>
  <c r="V941" i="1" s="1"/>
  <c r="U119" i="1"/>
  <c r="U941" i="1" s="1"/>
  <c r="T119" i="1"/>
  <c r="S119" i="1"/>
  <c r="R119" i="1"/>
  <c r="Q119" i="1"/>
  <c r="Q941" i="1" s="1"/>
  <c r="P119" i="1"/>
  <c r="P941" i="1" s="1"/>
  <c r="O119" i="1"/>
  <c r="O941" i="1" s="1"/>
  <c r="N119" i="1"/>
  <c r="M119" i="1"/>
  <c r="M941" i="1" s="1"/>
  <c r="L119" i="1"/>
  <c r="L941" i="1" s="1"/>
  <c r="K119" i="1"/>
  <c r="J119" i="1"/>
  <c r="J941" i="1" s="1"/>
  <c r="I119" i="1"/>
  <c r="H119" i="1"/>
  <c r="G119" i="1"/>
  <c r="G941" i="1" s="1"/>
  <c r="F119" i="1"/>
  <c r="F941" i="1" s="1"/>
  <c r="E119" i="1"/>
  <c r="E941" i="1" s="1"/>
  <c r="D119" i="1"/>
  <c r="C119" i="1"/>
  <c r="BW118" i="1"/>
  <c r="BW931" i="1" s="1"/>
  <c r="BR118" i="1"/>
  <c r="BR931" i="1" s="1"/>
  <c r="BM118" i="1"/>
  <c r="BM931" i="1" s="1"/>
  <c r="BH118" i="1"/>
  <c r="BH931" i="1" s="1"/>
  <c r="BC118" i="1"/>
  <c r="BC931" i="1" s="1"/>
  <c r="AX118" i="1"/>
  <c r="AX931" i="1" s="1"/>
  <c r="AS118" i="1"/>
  <c r="AS931" i="1" s="1"/>
  <c r="AN118" i="1"/>
  <c r="AI118" i="1"/>
  <c r="AI931" i="1" s="1"/>
  <c r="AD118" i="1"/>
  <c r="AD931" i="1" s="1"/>
  <c r="Y118" i="1"/>
  <c r="Y931" i="1" s="1"/>
  <c r="T118" i="1"/>
  <c r="T931" i="1" s="1"/>
  <c r="O118" i="1"/>
  <c r="O931" i="1" s="1"/>
  <c r="J118" i="1"/>
  <c r="J931" i="1" s="1"/>
  <c r="BU117" i="1"/>
  <c r="BU399" i="1" s="1"/>
  <c r="BU925" i="1" s="1"/>
  <c r="BT117" i="1"/>
  <c r="BT399" i="1" s="1"/>
  <c r="BT925" i="1" s="1"/>
  <c r="BL117" i="1"/>
  <c r="BL399" i="1" s="1"/>
  <c r="BL925" i="1" s="1"/>
  <c r="BK117" i="1"/>
  <c r="BK399" i="1" s="1"/>
  <c r="BK925" i="1" s="1"/>
  <c r="BE117" i="1"/>
  <c r="BE399" i="1" s="1"/>
  <c r="BE925" i="1" s="1"/>
  <c r="BA117" i="1"/>
  <c r="BA399" i="1" s="1"/>
  <c r="BA925" i="1" s="1"/>
  <c r="AX117" i="1"/>
  <c r="AX399" i="1" s="1"/>
  <c r="AX925" i="1" s="1"/>
  <c r="AW117" i="1"/>
  <c r="AW399" i="1" s="1"/>
  <c r="AW925" i="1" s="1"/>
  <c r="AV117" i="1"/>
  <c r="AV399" i="1" s="1"/>
  <c r="AV925" i="1" s="1"/>
  <c r="AM117" i="1"/>
  <c r="AM399" i="1" s="1"/>
  <c r="AM925" i="1" s="1"/>
  <c r="AG117" i="1"/>
  <c r="AG399" i="1" s="1"/>
  <c r="AG925" i="1" s="1"/>
  <c r="AF117" i="1"/>
  <c r="AF399" i="1" s="1"/>
  <c r="AF925" i="1" s="1"/>
  <c r="AD117" i="1"/>
  <c r="AD399" i="1" s="1"/>
  <c r="AD925" i="1" s="1"/>
  <c r="W117" i="1"/>
  <c r="W399" i="1" s="1"/>
  <c r="W925" i="1" s="1"/>
  <c r="V117" i="1"/>
  <c r="V399" i="1" s="1"/>
  <c r="V925" i="1" s="1"/>
  <c r="U117" i="1"/>
  <c r="U399" i="1" s="1"/>
  <c r="U925" i="1" s="1"/>
  <c r="Q117" i="1"/>
  <c r="Q399" i="1" s="1"/>
  <c r="Q925" i="1" s="1"/>
  <c r="M117" i="1"/>
  <c r="M399" i="1" s="1"/>
  <c r="M925" i="1" s="1"/>
  <c r="L117" i="1"/>
  <c r="L399" i="1" s="1"/>
  <c r="L925" i="1" s="1"/>
  <c r="J117" i="1"/>
  <c r="J399" i="1" s="1"/>
  <c r="J925" i="1" s="1"/>
  <c r="G117" i="1"/>
  <c r="G399" i="1" s="1"/>
  <c r="G925" i="1" s="1"/>
  <c r="E117" i="1"/>
  <c r="E399" i="1" s="1"/>
  <c r="E925" i="1" s="1"/>
  <c r="CK114" i="1"/>
  <c r="CJ114" i="1"/>
  <c r="CI114" i="1"/>
  <c r="CG114" i="1"/>
  <c r="CF114" i="1"/>
  <c r="CE114" i="1"/>
  <c r="CB114" i="1"/>
  <c r="CA114" i="1"/>
  <c r="AH114" i="1"/>
  <c r="A114" i="1"/>
  <c r="A107" i="1"/>
  <c r="CH105" i="1"/>
  <c r="CK101" i="1"/>
  <c r="CJ101" i="1"/>
  <c r="CG101" i="1"/>
  <c r="CF101" i="1"/>
  <c r="CE101" i="1"/>
  <c r="BQ100" i="1"/>
  <c r="AD100" i="1"/>
  <c r="X100" i="1"/>
  <c r="X102" i="1" s="1"/>
  <c r="M100" i="1"/>
  <c r="F100" i="1"/>
  <c r="E100" i="1"/>
  <c r="CH99" i="1"/>
  <c r="CH392" i="1" s="1"/>
  <c r="BY99" i="1"/>
  <c r="CC99" i="1" s="1"/>
  <c r="CC392" i="1" s="1"/>
  <c r="BV99" i="1"/>
  <c r="BU99" i="1"/>
  <c r="BT99" i="1"/>
  <c r="BS99" i="1"/>
  <c r="BR99" i="1"/>
  <c r="BQ99" i="1"/>
  <c r="BM99" i="1"/>
  <c r="BL99" i="1"/>
  <c r="BL100" i="1" s="1"/>
  <c r="BK99" i="1"/>
  <c r="BJ99" i="1"/>
  <c r="BI99" i="1"/>
  <c r="BE99" i="1"/>
  <c r="BD99" i="1"/>
  <c r="BC99" i="1"/>
  <c r="BB99" i="1"/>
  <c r="BA99" i="1"/>
  <c r="AW99" i="1"/>
  <c r="AV99" i="1"/>
  <c r="AU99" i="1"/>
  <c r="AT99" i="1"/>
  <c r="AS99" i="1"/>
  <c r="AP99" i="1"/>
  <c r="AP100" i="1" s="1"/>
  <c r="AO99" i="1"/>
  <c r="AN99" i="1"/>
  <c r="AN100" i="1" s="1"/>
  <c r="AM99" i="1"/>
  <c r="AM100" i="1" s="1"/>
  <c r="AL99" i="1"/>
  <c r="AK99" i="1"/>
  <c r="AG99" i="1"/>
  <c r="AF99" i="1"/>
  <c r="AF100" i="1" s="1"/>
  <c r="AE99" i="1"/>
  <c r="AE100" i="1" s="1"/>
  <c r="AD99" i="1"/>
  <c r="AC99" i="1"/>
  <c r="Y99" i="1"/>
  <c r="X99" i="1"/>
  <c r="W99" i="1"/>
  <c r="W100" i="1" s="1"/>
  <c r="V99" i="1"/>
  <c r="U99" i="1"/>
  <c r="Q99" i="1"/>
  <c r="P99" i="1"/>
  <c r="O99" i="1"/>
  <c r="N99" i="1"/>
  <c r="N100" i="1" s="1"/>
  <c r="M99" i="1"/>
  <c r="J99" i="1"/>
  <c r="I99" i="1"/>
  <c r="H99" i="1"/>
  <c r="G99" i="1"/>
  <c r="F99" i="1"/>
  <c r="E99" i="1"/>
  <c r="N96" i="1"/>
  <c r="M96" i="1"/>
  <c r="L96" i="1"/>
  <c r="AU95" i="1"/>
  <c r="AS95" i="1"/>
  <c r="AR95" i="1"/>
  <c r="K95" i="1"/>
  <c r="F95" i="1"/>
  <c r="E95" i="1"/>
  <c r="CK94" i="1"/>
  <c r="CJ94" i="1"/>
  <c r="CI94" i="1"/>
  <c r="CG94" i="1"/>
  <c r="CG95" i="1" s="1"/>
  <c r="CF94" i="1"/>
  <c r="CE94" i="1"/>
  <c r="CE95" i="1" s="1"/>
  <c r="CD94" i="1"/>
  <c r="CD95" i="1" s="1"/>
  <c r="CC94" i="1"/>
  <c r="CB94" i="1"/>
  <c r="CA94" i="1"/>
  <c r="BZ94" i="1"/>
  <c r="BY94" i="1"/>
  <c r="BX94" i="1"/>
  <c r="BX95" i="1" s="1"/>
  <c r="BW94" i="1"/>
  <c r="BV94" i="1"/>
  <c r="BV95" i="1" s="1"/>
  <c r="BU94" i="1"/>
  <c r="BT94" i="1"/>
  <c r="BS94" i="1"/>
  <c r="BQ94" i="1"/>
  <c r="BQ95" i="1" s="1"/>
  <c r="BP94" i="1"/>
  <c r="BO94" i="1"/>
  <c r="BN94" i="1"/>
  <c r="BN100" i="1" s="1"/>
  <c r="BM94" i="1"/>
  <c r="BM95" i="1" s="1"/>
  <c r="BL94" i="1"/>
  <c r="BK94" i="1"/>
  <c r="BJ94" i="1"/>
  <c r="BI94" i="1"/>
  <c r="BI95" i="1" s="1"/>
  <c r="BH94" i="1"/>
  <c r="BH95" i="1" s="1"/>
  <c r="BG94" i="1"/>
  <c r="BF94" i="1"/>
  <c r="BE94" i="1"/>
  <c r="BD94" i="1"/>
  <c r="BC94" i="1"/>
  <c r="BB94" i="1"/>
  <c r="BA94" i="1"/>
  <c r="AZ94" i="1"/>
  <c r="AY94" i="1"/>
  <c r="AX94" i="1"/>
  <c r="AW94" i="1"/>
  <c r="AV94" i="1"/>
  <c r="AV100" i="1" s="1"/>
  <c r="AU94" i="1"/>
  <c r="AT94" i="1"/>
  <c r="AS94" i="1"/>
  <c r="AS100" i="1" s="1"/>
  <c r="AR94" i="1"/>
  <c r="AQ94" i="1"/>
  <c r="AP94" i="1"/>
  <c r="AP95" i="1" s="1"/>
  <c r="AO94" i="1"/>
  <c r="AT95" i="1" s="1"/>
  <c r="AN94" i="1"/>
  <c r="AM94" i="1"/>
  <c r="AL94" i="1"/>
  <c r="AK94" i="1"/>
  <c r="AK95" i="1" s="1"/>
  <c r="AJ94" i="1"/>
  <c r="AI94" i="1"/>
  <c r="AH94" i="1"/>
  <c r="AG94" i="1"/>
  <c r="AF94" i="1"/>
  <c r="AE94" i="1"/>
  <c r="AD94" i="1"/>
  <c r="AC94" i="1"/>
  <c r="AB94" i="1"/>
  <c r="AB95" i="1" s="1"/>
  <c r="AA94" i="1"/>
  <c r="Z94" i="1"/>
  <c r="Z95" i="1" s="1"/>
  <c r="Y94" i="1"/>
  <c r="X94" i="1"/>
  <c r="W94" i="1"/>
  <c r="V94" i="1"/>
  <c r="U94" i="1"/>
  <c r="T94" i="1"/>
  <c r="S94" i="1"/>
  <c r="R94" i="1"/>
  <c r="R95" i="1" s="1"/>
  <c r="Q94" i="1"/>
  <c r="P94" i="1"/>
  <c r="N94" i="1"/>
  <c r="M94" i="1"/>
  <c r="L94" i="1"/>
  <c r="L95" i="1" s="1"/>
  <c r="K94" i="1"/>
  <c r="I94" i="1"/>
  <c r="H94" i="1"/>
  <c r="H100" i="1" s="1"/>
  <c r="G94" i="1"/>
  <c r="F94" i="1"/>
  <c r="E94" i="1"/>
  <c r="D94" i="1"/>
  <c r="D100" i="1" s="1"/>
  <c r="C94" i="1"/>
  <c r="CH88" i="1"/>
  <c r="BY88" i="1"/>
  <c r="CC88" i="1" s="1"/>
  <c r="BX88" i="1"/>
  <c r="BS88" i="1"/>
  <c r="BR88" i="1"/>
  <c r="BQ88" i="1"/>
  <c r="BP88" i="1"/>
  <c r="BO88" i="1"/>
  <c r="BK88" i="1"/>
  <c r="BJ88" i="1"/>
  <c r="BI88" i="1"/>
  <c r="BC88" i="1"/>
  <c r="BB88" i="1"/>
  <c r="BA88" i="1"/>
  <c r="AZ88" i="1"/>
  <c r="AU88" i="1"/>
  <c r="AT88" i="1"/>
  <c r="AS88" i="1"/>
  <c r="AM88" i="1"/>
  <c r="AL88" i="1"/>
  <c r="AK88" i="1"/>
  <c r="AE88" i="1"/>
  <c r="AD88" i="1"/>
  <c r="AC88" i="1"/>
  <c r="AB88" i="1"/>
  <c r="AA88" i="1"/>
  <c r="W88" i="1"/>
  <c r="V88" i="1"/>
  <c r="U88" i="1"/>
  <c r="O88" i="1"/>
  <c r="N88" i="1"/>
  <c r="M88" i="1"/>
  <c r="L88" i="1"/>
  <c r="G88" i="1"/>
  <c r="F88" i="1"/>
  <c r="E88" i="1"/>
  <c r="D88" i="1"/>
  <c r="C88" i="1"/>
  <c r="J87" i="1"/>
  <c r="BW86" i="1"/>
  <c r="BV86" i="1"/>
  <c r="BU86" i="1"/>
  <c r="BT86" i="1"/>
  <c r="BS86" i="1"/>
  <c r="BO86" i="1"/>
  <c r="BN86" i="1"/>
  <c r="BM86" i="1"/>
  <c r="BL86" i="1"/>
  <c r="BK86" i="1"/>
  <c r="BG86" i="1"/>
  <c r="BF86" i="1"/>
  <c r="BE86" i="1"/>
  <c r="BD86" i="1"/>
  <c r="BC86" i="1"/>
  <c r="AY86" i="1"/>
  <c r="AX86" i="1"/>
  <c r="AW86" i="1"/>
  <c r="AV86" i="1"/>
  <c r="AU86" i="1"/>
  <c r="AQ86" i="1"/>
  <c r="AP86" i="1"/>
  <c r="AO86" i="1"/>
  <c r="AN86" i="1"/>
  <c r="AM86" i="1"/>
  <c r="AH86" i="1"/>
  <c r="AG86" i="1"/>
  <c r="AF86" i="1"/>
  <c r="AD86" i="1"/>
  <c r="AB86" i="1"/>
  <c r="Z86" i="1"/>
  <c r="W86" i="1"/>
  <c r="V86" i="1"/>
  <c r="T86" i="1"/>
  <c r="S86" i="1"/>
  <c r="R86" i="1"/>
  <c r="P86" i="1"/>
  <c r="M86" i="1"/>
  <c r="L86" i="1"/>
  <c r="F86" i="1"/>
  <c r="D86" i="1"/>
  <c r="C86" i="1"/>
  <c r="BY84" i="1"/>
  <c r="BX84" i="1"/>
  <c r="BR84" i="1"/>
  <c r="BQ84" i="1"/>
  <c r="BP84" i="1"/>
  <c r="BO84" i="1"/>
  <c r="BJ84" i="1"/>
  <c r="BI84" i="1"/>
  <c r="BH84" i="1"/>
  <c r="BG84" i="1"/>
  <c r="BB84" i="1"/>
  <c r="BA84" i="1"/>
  <c r="AZ84" i="1"/>
  <c r="AY84" i="1"/>
  <c r="AX84" i="1"/>
  <c r="AT84" i="1"/>
  <c r="AS84" i="1"/>
  <c r="AR84" i="1"/>
  <c r="AQ84" i="1"/>
  <c r="AP84" i="1"/>
  <c r="AO84" i="1"/>
  <c r="AN84" i="1"/>
  <c r="AL84" i="1"/>
  <c r="AK84" i="1"/>
  <c r="AJ84" i="1"/>
  <c r="AF84" i="1"/>
  <c r="AC84" i="1"/>
  <c r="AB84" i="1"/>
  <c r="AA84" i="1"/>
  <c r="V84" i="1"/>
  <c r="T84" i="1"/>
  <c r="S84" i="1"/>
  <c r="R84" i="1"/>
  <c r="O84" i="1"/>
  <c r="K84" i="1"/>
  <c r="K85" i="1" s="1"/>
  <c r="H84" i="1"/>
  <c r="G84" i="1"/>
  <c r="F84" i="1"/>
  <c r="L81" i="1"/>
  <c r="AG80" i="1"/>
  <c r="Y80" i="1"/>
  <c r="BX79" i="1"/>
  <c r="BW79" i="1"/>
  <c r="BV79" i="1"/>
  <c r="BU79" i="1"/>
  <c r="BT79" i="1"/>
  <c r="BP79" i="1"/>
  <c r="BO79" i="1"/>
  <c r="BN79" i="1"/>
  <c r="BM79" i="1"/>
  <c r="BG79" i="1"/>
  <c r="BF79" i="1"/>
  <c r="BE79" i="1"/>
  <c r="BE80" i="1" s="1"/>
  <c r="BD79" i="1"/>
  <c r="AY79" i="1"/>
  <c r="AX79" i="1"/>
  <c r="AW79" i="1"/>
  <c r="AV79" i="1"/>
  <c r="AU79" i="1"/>
  <c r="AQ79" i="1"/>
  <c r="AP79" i="1"/>
  <c r="AO79" i="1"/>
  <c r="AN79" i="1"/>
  <c r="AI79" i="1"/>
  <c r="AH79" i="1"/>
  <c r="AG79" i="1"/>
  <c r="AF79" i="1"/>
  <c r="AE79" i="1"/>
  <c r="AA79" i="1"/>
  <c r="Z79" i="1"/>
  <c r="Y79" i="1"/>
  <c r="X79" i="1"/>
  <c r="W79" i="1"/>
  <c r="T79" i="1"/>
  <c r="S79" i="1"/>
  <c r="X80" i="1" s="1"/>
  <c r="R79" i="1"/>
  <c r="Q79" i="1"/>
  <c r="P79" i="1"/>
  <c r="H79" i="1"/>
  <c r="G79" i="1"/>
  <c r="F79" i="1"/>
  <c r="E79" i="1"/>
  <c r="CH73" i="1"/>
  <c r="BY73" i="1"/>
  <c r="CC73" i="1" s="1"/>
  <c r="BX73" i="1"/>
  <c r="BW73" i="1"/>
  <c r="BV73" i="1"/>
  <c r="BU73" i="1"/>
  <c r="BT73" i="1"/>
  <c r="BS73" i="1"/>
  <c r="BR73" i="1"/>
  <c r="BQ73" i="1"/>
  <c r="BP73" i="1"/>
  <c r="BO73" i="1"/>
  <c r="BN73" i="1"/>
  <c r="BM73" i="1"/>
  <c r="BL73" i="1"/>
  <c r="BK73" i="1"/>
  <c r="BJ73" i="1"/>
  <c r="BI73" i="1"/>
  <c r="BH73" i="1"/>
  <c r="BG73" i="1"/>
  <c r="BF73" i="1"/>
  <c r="BE73" i="1"/>
  <c r="BD73" i="1"/>
  <c r="BC73" i="1"/>
  <c r="BB73" i="1"/>
  <c r="BA73" i="1"/>
  <c r="AZ73" i="1"/>
  <c r="AY73" i="1"/>
  <c r="AX73" i="1"/>
  <c r="AW73" i="1"/>
  <c r="AV73" i="1"/>
  <c r="AU73" i="1"/>
  <c r="AT73" i="1"/>
  <c r="AS73" i="1"/>
  <c r="AR73" i="1"/>
  <c r="AQ73" i="1"/>
  <c r="AP73" i="1"/>
  <c r="AO73" i="1"/>
  <c r="AN73" i="1"/>
  <c r="AM73" i="1"/>
  <c r="AL73" i="1"/>
  <c r="AK73" i="1"/>
  <c r="AJ73" i="1"/>
  <c r="AI73" i="1"/>
  <c r="AH73" i="1"/>
  <c r="AG73" i="1"/>
  <c r="AF73" i="1"/>
  <c r="AE73" i="1"/>
  <c r="AD73" i="1"/>
  <c r="AC73" i="1"/>
  <c r="AB73" i="1"/>
  <c r="AA73" i="1"/>
  <c r="Z73" i="1"/>
  <c r="Y73" i="1"/>
  <c r="X73" i="1"/>
  <c r="W73" i="1"/>
  <c r="V73" i="1"/>
  <c r="U73" i="1"/>
  <c r="T73" i="1"/>
  <c r="S73" i="1"/>
  <c r="R73" i="1"/>
  <c r="Q73" i="1"/>
  <c r="P73" i="1"/>
  <c r="O73" i="1"/>
  <c r="N73" i="1"/>
  <c r="M73" i="1"/>
  <c r="L73" i="1"/>
  <c r="K73" i="1"/>
  <c r="J73" i="1"/>
  <c r="I73" i="1"/>
  <c r="H73" i="1"/>
  <c r="G73" i="1"/>
  <c r="F73" i="1"/>
  <c r="E73" i="1"/>
  <c r="D73" i="1"/>
  <c r="C73" i="1"/>
  <c r="N72" i="1"/>
  <c r="BU71" i="1"/>
  <c r="BS71" i="1"/>
  <c r="BR71" i="1"/>
  <c r="BQ71" i="1"/>
  <c r="BP71" i="1"/>
  <c r="BM71" i="1"/>
  <c r="BK71" i="1"/>
  <c r="BJ71" i="1"/>
  <c r="BF71" i="1"/>
  <c r="BE71" i="1"/>
  <c r="BC71" i="1"/>
  <c r="BB71" i="1"/>
  <c r="AX71" i="1"/>
  <c r="AW71" i="1"/>
  <c r="AT71" i="1"/>
  <c r="N71" i="1"/>
  <c r="M71" i="1"/>
  <c r="M72" i="1" s="1"/>
  <c r="BY69" i="1"/>
  <c r="BU69" i="1"/>
  <c r="BT69" i="1"/>
  <c r="BS69" i="1"/>
  <c r="BQ69" i="1"/>
  <c r="BM69" i="1"/>
  <c r="BM70" i="1" s="1"/>
  <c r="BL69" i="1"/>
  <c r="BK69" i="1"/>
  <c r="BI69" i="1"/>
  <c r="BH69" i="1"/>
  <c r="BG69" i="1"/>
  <c r="BF69" i="1"/>
  <c r="BE69" i="1"/>
  <c r="BD69" i="1"/>
  <c r="BC69" i="1"/>
  <c r="AX69" i="1"/>
  <c r="AW69" i="1"/>
  <c r="AV69" i="1"/>
  <c r="AU69" i="1"/>
  <c r="AP69" i="1"/>
  <c r="AO69" i="1"/>
  <c r="AN69" i="1"/>
  <c r="AM69" i="1"/>
  <c r="AG69" i="1"/>
  <c r="AF69" i="1"/>
  <c r="AE69" i="1"/>
  <c r="AD69" i="1"/>
  <c r="AC69" i="1"/>
  <c r="AB69" i="1"/>
  <c r="W69" i="1"/>
  <c r="V69" i="1"/>
  <c r="T69" i="1"/>
  <c r="S69" i="1"/>
  <c r="R69" i="1"/>
  <c r="L69" i="1"/>
  <c r="L70" i="1" s="1"/>
  <c r="K69" i="1"/>
  <c r="J69" i="1"/>
  <c r="I69" i="1"/>
  <c r="H69" i="1"/>
  <c r="G69" i="1"/>
  <c r="F69" i="1"/>
  <c r="E69" i="1"/>
  <c r="E70" i="1" s="1"/>
  <c r="D69" i="1"/>
  <c r="D70" i="1" s="1"/>
  <c r="C69" i="1"/>
  <c r="BM65" i="1"/>
  <c r="BY64" i="1"/>
  <c r="BX64" i="1"/>
  <c r="BW64" i="1"/>
  <c r="BV64" i="1"/>
  <c r="BU64" i="1"/>
  <c r="BQ64" i="1"/>
  <c r="BQ74" i="1" s="1"/>
  <c r="BP64" i="1"/>
  <c r="BO64" i="1"/>
  <c r="BN64" i="1"/>
  <c r="BN65" i="1" s="1"/>
  <c r="BM64" i="1"/>
  <c r="BI64" i="1"/>
  <c r="BH64" i="1"/>
  <c r="BG64" i="1"/>
  <c r="BF64" i="1"/>
  <c r="BE64" i="1"/>
  <c r="BA64" i="1"/>
  <c r="AZ64" i="1"/>
  <c r="AY64" i="1"/>
  <c r="AX64" i="1"/>
  <c r="AW64" i="1"/>
  <c r="AS64" i="1"/>
  <c r="AR64" i="1"/>
  <c r="AQ64" i="1"/>
  <c r="AP64" i="1"/>
  <c r="AP65" i="1" s="1"/>
  <c r="AO64" i="1"/>
  <c r="AK64" i="1"/>
  <c r="AJ64" i="1"/>
  <c r="AJ65" i="1" s="1"/>
  <c r="AI64" i="1"/>
  <c r="AI65" i="1" s="1"/>
  <c r="AH64" i="1"/>
  <c r="AH65" i="1" s="1"/>
  <c r="AG64" i="1"/>
  <c r="AC64" i="1"/>
  <c r="AC65" i="1" s="1"/>
  <c r="AB64" i="1"/>
  <c r="AA64" i="1"/>
  <c r="Z64" i="1"/>
  <c r="Y64" i="1"/>
  <c r="U64" i="1"/>
  <c r="T64" i="1"/>
  <c r="S64" i="1"/>
  <c r="R64" i="1"/>
  <c r="R65" i="1" s="1"/>
  <c r="Q64" i="1"/>
  <c r="Q65" i="1" s="1"/>
  <c r="L64" i="1"/>
  <c r="L66" i="1" s="1"/>
  <c r="K64" i="1"/>
  <c r="K65" i="1" s="1"/>
  <c r="I64" i="1"/>
  <c r="H64" i="1"/>
  <c r="C64" i="1"/>
  <c r="CK61" i="1"/>
  <c r="CJ61" i="1"/>
  <c r="CI61" i="1"/>
  <c r="CG61" i="1"/>
  <c r="CF61" i="1"/>
  <c r="CE61" i="1"/>
  <c r="CD61" i="1"/>
  <c r="CB61" i="1"/>
  <c r="CA61" i="1"/>
  <c r="CH55" i="1"/>
  <c r="BW54" i="1"/>
  <c r="BY53" i="1"/>
  <c r="BX53" i="1"/>
  <c r="BW53" i="1"/>
  <c r="BU53" i="1"/>
  <c r="BS53" i="1"/>
  <c r="BR53" i="1"/>
  <c r="BQ53" i="1"/>
  <c r="BP53" i="1"/>
  <c r="BO53" i="1"/>
  <c r="BM53" i="1"/>
  <c r="BK53" i="1"/>
  <c r="BJ53" i="1"/>
  <c r="BI53" i="1"/>
  <c r="BH53" i="1"/>
  <c r="BG53" i="1"/>
  <c r="BE53" i="1"/>
  <c r="BC53" i="1"/>
  <c r="BB53" i="1"/>
  <c r="BA53" i="1"/>
  <c r="AZ53" i="1"/>
  <c r="AY53" i="1"/>
  <c r="AW53" i="1"/>
  <c r="AU53" i="1"/>
  <c r="AT53" i="1"/>
  <c r="AS53" i="1"/>
  <c r="AR53" i="1"/>
  <c r="AQ53" i="1"/>
  <c r="AP53" i="1"/>
  <c r="AM53" i="1"/>
  <c r="AL53" i="1"/>
  <c r="AK53" i="1"/>
  <c r="AJ53" i="1"/>
  <c r="AI53" i="1"/>
  <c r="AD53" i="1"/>
  <c r="AC53" i="1"/>
  <c r="Z53" i="1"/>
  <c r="V53" i="1"/>
  <c r="U53" i="1"/>
  <c r="S53" i="1"/>
  <c r="N53" i="1"/>
  <c r="N54" i="1" s="1"/>
  <c r="M53" i="1"/>
  <c r="M54" i="1" s="1"/>
  <c r="K53" i="1"/>
  <c r="K54" i="1" s="1"/>
  <c r="J53" i="1"/>
  <c r="C53" i="1"/>
  <c r="BY51" i="1"/>
  <c r="BX51" i="1"/>
  <c r="BW51" i="1"/>
  <c r="BU51" i="1"/>
  <c r="BS51" i="1"/>
  <c r="BR51" i="1"/>
  <c r="BQ51" i="1"/>
  <c r="BP51" i="1"/>
  <c r="BO51" i="1"/>
  <c r="BM51" i="1"/>
  <c r="BK51" i="1"/>
  <c r="BJ51" i="1"/>
  <c r="BI51" i="1"/>
  <c r="BH51" i="1"/>
  <c r="BG51" i="1"/>
  <c r="BE51" i="1"/>
  <c r="BC51" i="1"/>
  <c r="BB51" i="1"/>
  <c r="BA51" i="1"/>
  <c r="AZ51" i="1"/>
  <c r="AY51" i="1"/>
  <c r="AW51" i="1"/>
  <c r="AU51" i="1"/>
  <c r="AT51" i="1"/>
  <c r="AS51" i="1"/>
  <c r="AR51" i="1"/>
  <c r="AQ51" i="1"/>
  <c r="AO51" i="1"/>
  <c r="AM51" i="1"/>
  <c r="AL51" i="1"/>
  <c r="AK51" i="1"/>
  <c r="AJ51" i="1"/>
  <c r="AI51" i="1"/>
  <c r="AG51" i="1"/>
  <c r="AE51" i="1"/>
  <c r="AD51" i="1"/>
  <c r="AC51" i="1"/>
  <c r="AB51" i="1"/>
  <c r="AA51" i="1"/>
  <c r="Y51" i="1"/>
  <c r="W51" i="1"/>
  <c r="V51" i="1"/>
  <c r="U51" i="1"/>
  <c r="T51" i="1"/>
  <c r="S51" i="1"/>
  <c r="Q51" i="1"/>
  <c r="O51" i="1"/>
  <c r="N51" i="1"/>
  <c r="N52" i="1" s="1"/>
  <c r="M51" i="1"/>
  <c r="L51" i="1"/>
  <c r="L52" i="1" s="1"/>
  <c r="K51" i="1"/>
  <c r="I51" i="1"/>
  <c r="G51" i="1"/>
  <c r="G52" i="1" s="1"/>
  <c r="F51" i="1"/>
  <c r="F52" i="1" s="1"/>
  <c r="E51" i="1"/>
  <c r="D51" i="1"/>
  <c r="D52" i="1" s="1"/>
  <c r="C51" i="1"/>
  <c r="M46" i="1"/>
  <c r="L46" i="1"/>
  <c r="E46" i="1"/>
  <c r="D46" i="1"/>
  <c r="BY45" i="1"/>
  <c r="BX45" i="1"/>
  <c r="BW45" i="1"/>
  <c r="BV45" i="1"/>
  <c r="BU45" i="1"/>
  <c r="BT45" i="1"/>
  <c r="BS45" i="1"/>
  <c r="BR45" i="1"/>
  <c r="BQ45" i="1"/>
  <c r="BP45" i="1"/>
  <c r="BO45" i="1"/>
  <c r="BN45" i="1"/>
  <c r="BM45" i="1"/>
  <c r="BL45" i="1"/>
  <c r="BK45" i="1"/>
  <c r="BJ45" i="1"/>
  <c r="BI45" i="1"/>
  <c r="BG45" i="1"/>
  <c r="BF45" i="1"/>
  <c r="BE45" i="1"/>
  <c r="BD45" i="1"/>
  <c r="BC45" i="1"/>
  <c r="BB45" i="1"/>
  <c r="BA45" i="1"/>
  <c r="AZ45" i="1"/>
  <c r="AY45" i="1"/>
  <c r="AX45" i="1"/>
  <c r="AW45" i="1"/>
  <c r="AV45" i="1"/>
  <c r="AU45" i="1"/>
  <c r="AT45" i="1"/>
  <c r="AS45" i="1"/>
  <c r="AR45" i="1"/>
  <c r="AQ45" i="1"/>
  <c r="AP45" i="1"/>
  <c r="AO45" i="1"/>
  <c r="AN45" i="1"/>
  <c r="AM45" i="1"/>
  <c r="AL45" i="1"/>
  <c r="AK45" i="1"/>
  <c r="AJ45" i="1"/>
  <c r="AI45" i="1"/>
  <c r="AH45" i="1"/>
  <c r="AG45" i="1"/>
  <c r="AF45" i="1"/>
  <c r="AE45" i="1"/>
  <c r="AD45" i="1"/>
  <c r="AC45" i="1"/>
  <c r="AB45" i="1"/>
  <c r="AA45" i="1"/>
  <c r="Z45" i="1"/>
  <c r="Y45" i="1"/>
  <c r="X45" i="1"/>
  <c r="W45" i="1"/>
  <c r="V45" i="1"/>
  <c r="U45" i="1"/>
  <c r="T45" i="1"/>
  <c r="S45" i="1"/>
  <c r="R45" i="1"/>
  <c r="Q45" i="1"/>
  <c r="P45" i="1"/>
  <c r="O45" i="1"/>
  <c r="O46" i="1" s="1"/>
  <c r="N45" i="1"/>
  <c r="M45" i="1"/>
  <c r="L45" i="1"/>
  <c r="K45" i="1"/>
  <c r="J45" i="1"/>
  <c r="I45" i="1"/>
  <c r="H45" i="1"/>
  <c r="G45" i="1"/>
  <c r="F45" i="1"/>
  <c r="E45" i="1"/>
  <c r="D45" i="1"/>
  <c r="C45" i="1"/>
  <c r="BW44" i="1"/>
  <c r="BW46" i="1" s="1"/>
  <c r="BU44" i="1"/>
  <c r="BU70" i="1" s="1"/>
  <c r="BR44" i="1"/>
  <c r="BM44" i="1"/>
  <c r="AS44" i="1"/>
  <c r="AS46" i="1" s="1"/>
  <c r="X44" i="1"/>
  <c r="W44" i="1"/>
  <c r="Q44" i="1"/>
  <c r="Q52" i="1" s="1"/>
  <c r="P44" i="1"/>
  <c r="O44" i="1"/>
  <c r="O85" i="1" s="1"/>
  <c r="N44" i="1"/>
  <c r="M44" i="1"/>
  <c r="L44" i="1"/>
  <c r="K44" i="1"/>
  <c r="K87" i="1" s="1"/>
  <c r="J44" i="1"/>
  <c r="J46" i="1" s="1"/>
  <c r="J48" i="1" s="1"/>
  <c r="I44" i="1"/>
  <c r="I70" i="1" s="1"/>
  <c r="H44" i="1"/>
  <c r="H70" i="1" s="1"/>
  <c r="G44" i="1"/>
  <c r="F44" i="1"/>
  <c r="E44" i="1"/>
  <c r="E96" i="1" s="1"/>
  <c r="D44" i="1"/>
  <c r="C44" i="1"/>
  <c r="C87" i="1" s="1"/>
  <c r="BR41" i="1"/>
  <c r="BM41" i="1"/>
  <c r="BH41" i="1"/>
  <c r="BC41" i="1"/>
  <c r="BV37" i="1"/>
  <c r="AQ37" i="1"/>
  <c r="I37" i="1"/>
  <c r="CK36" i="1"/>
  <c r="CJ36" i="1"/>
  <c r="CI36" i="1"/>
  <c r="CG36" i="1"/>
  <c r="CF36" i="1"/>
  <c r="CE36" i="1"/>
  <c r="CD36" i="1"/>
  <c r="CB36" i="1"/>
  <c r="CA36" i="1"/>
  <c r="A35" i="1"/>
  <c r="BY34" i="1"/>
  <c r="BY37" i="1" s="1"/>
  <c r="BW34" i="1"/>
  <c r="BV34" i="1"/>
  <c r="BV26" i="9" s="1"/>
  <c r="BU34" i="1"/>
  <c r="BU26" i="9" s="1"/>
  <c r="BT34" i="1"/>
  <c r="BR34" i="1"/>
  <c r="BR38" i="1" s="1"/>
  <c r="BR19" i="9" s="1"/>
  <c r="BQ34" i="1"/>
  <c r="BQ26" i="9" s="1"/>
  <c r="BP34" i="1"/>
  <c r="BP37" i="1" s="1"/>
  <c r="BO34" i="1"/>
  <c r="BO26" i="9" s="1"/>
  <c r="BM34" i="1"/>
  <c r="BM26" i="9" s="1"/>
  <c r="BL34" i="1"/>
  <c r="BK34" i="1"/>
  <c r="BJ34" i="1"/>
  <c r="BJ38" i="1" s="1"/>
  <c r="BJ19" i="9" s="1"/>
  <c r="BH34" i="1"/>
  <c r="BG34" i="1"/>
  <c r="BG26" i="9" s="1"/>
  <c r="BF34" i="1"/>
  <c r="BF26" i="9" s="1"/>
  <c r="BE34" i="1"/>
  <c r="BE26" i="9" s="1"/>
  <c r="BC34" i="1"/>
  <c r="BB34" i="1"/>
  <c r="BA34" i="1"/>
  <c r="BA26" i="9" s="1"/>
  <c r="AZ34" i="1"/>
  <c r="BE38" i="1" s="1"/>
  <c r="BE19" i="9" s="1"/>
  <c r="AX34" i="1"/>
  <c r="AX26" i="9" s="1"/>
  <c r="AW34" i="1"/>
  <c r="AW26" i="9" s="1"/>
  <c r="AV34" i="1"/>
  <c r="AU34" i="1"/>
  <c r="AS34" i="1"/>
  <c r="AR34" i="1"/>
  <c r="AQ34" i="1"/>
  <c r="AQ26" i="9" s="1"/>
  <c r="AP34" i="1"/>
  <c r="AP26" i="9" s="1"/>
  <c r="AN34" i="1"/>
  <c r="AS38" i="1" s="1"/>
  <c r="AS19" i="9" s="1"/>
  <c r="AM34" i="1"/>
  <c r="AR38" i="1" s="1"/>
  <c r="AR19" i="9" s="1"/>
  <c r="AL34" i="1"/>
  <c r="AK34" i="1"/>
  <c r="AJ34" i="1"/>
  <c r="AH34" i="1"/>
  <c r="AH26" i="9" s="1"/>
  <c r="AG34" i="1"/>
  <c r="AG26" i="9" s="1"/>
  <c r="AF34" i="1"/>
  <c r="AE34" i="1"/>
  <c r="AC34" i="1"/>
  <c r="AB34" i="1"/>
  <c r="AB38" i="1" s="1"/>
  <c r="AB19" i="9" s="1"/>
  <c r="AA34" i="1"/>
  <c r="AA26" i="9" s="1"/>
  <c r="Z34" i="1"/>
  <c r="Z26" i="9" s="1"/>
  <c r="X34" i="1"/>
  <c r="X26" i="9" s="1"/>
  <c r="W34" i="1"/>
  <c r="V34" i="1"/>
  <c r="U34" i="1"/>
  <c r="S34" i="1"/>
  <c r="S26" i="9" s="1"/>
  <c r="R34" i="1"/>
  <c r="R26" i="9" s="1"/>
  <c r="Q34" i="1"/>
  <c r="Q26" i="9" s="1"/>
  <c r="P34" i="1"/>
  <c r="P26" i="9" s="1"/>
  <c r="O34" i="1"/>
  <c r="N34" i="1"/>
  <c r="M34" i="1"/>
  <c r="L34" i="1"/>
  <c r="K34" i="1"/>
  <c r="K38" i="1" s="1"/>
  <c r="K19" i="9" s="1"/>
  <c r="J34" i="1"/>
  <c r="J37" i="1" s="1"/>
  <c r="I34" i="1"/>
  <c r="H34" i="1"/>
  <c r="G34" i="1"/>
  <c r="H37" i="1" s="1"/>
  <c r="F34" i="1"/>
  <c r="F38" i="1" s="1"/>
  <c r="F19" i="9" s="1"/>
  <c r="E34" i="1"/>
  <c r="E38" i="1" s="1"/>
  <c r="E19" i="9" s="1"/>
  <c r="D34" i="1"/>
  <c r="D38" i="1" s="1"/>
  <c r="D19" i="9" s="1"/>
  <c r="C34" i="1"/>
  <c r="BY32" i="1"/>
  <c r="BY18" i="9" s="1"/>
  <c r="BW32" i="1"/>
  <c r="BW18" i="9" s="1"/>
  <c r="BV32" i="1"/>
  <c r="BV18" i="9" s="1"/>
  <c r="BU32" i="1"/>
  <c r="BU18" i="9" s="1"/>
  <c r="BT32" i="1"/>
  <c r="BT18" i="9" s="1"/>
  <c r="BR32" i="1"/>
  <c r="BR18" i="9" s="1"/>
  <c r="BQ32" i="1"/>
  <c r="BQ18" i="9" s="1"/>
  <c r="BP32" i="1"/>
  <c r="BP18" i="9" s="1"/>
  <c r="BO32" i="1"/>
  <c r="BO18" i="9" s="1"/>
  <c r="BM32" i="1"/>
  <c r="BM18" i="9" s="1"/>
  <c r="BL32" i="1"/>
  <c r="BL18" i="9" s="1"/>
  <c r="BK32" i="1"/>
  <c r="BK18" i="9" s="1"/>
  <c r="BJ32" i="1"/>
  <c r="BJ18" i="9" s="1"/>
  <c r="BH32" i="1"/>
  <c r="BH18" i="9" s="1"/>
  <c r="BG32" i="1"/>
  <c r="BG18" i="9" s="1"/>
  <c r="BF32" i="1"/>
  <c r="BF18" i="9" s="1"/>
  <c r="BE32" i="1"/>
  <c r="BE18" i="9" s="1"/>
  <c r="BC32" i="1"/>
  <c r="BC18" i="9" s="1"/>
  <c r="BB32" i="1"/>
  <c r="BB18" i="9" s="1"/>
  <c r="BA32" i="1"/>
  <c r="BA18" i="9" s="1"/>
  <c r="AZ32" i="1"/>
  <c r="AZ18" i="9" s="1"/>
  <c r="AX32" i="1"/>
  <c r="AX18" i="9" s="1"/>
  <c r="AW32" i="1"/>
  <c r="AW18" i="9" s="1"/>
  <c r="AV32" i="1"/>
  <c r="AV18" i="9" s="1"/>
  <c r="AU32" i="1"/>
  <c r="AU18" i="9" s="1"/>
  <c r="AS32" i="1"/>
  <c r="AS18" i="9" s="1"/>
  <c r="AR32" i="1"/>
  <c r="AR18" i="9" s="1"/>
  <c r="AQ32" i="1"/>
  <c r="AQ18" i="9" s="1"/>
  <c r="AP32" i="1"/>
  <c r="AP18" i="9" s="1"/>
  <c r="AM32" i="1"/>
  <c r="AM18" i="9" s="1"/>
  <c r="AL32" i="1"/>
  <c r="AL18" i="9" s="1"/>
  <c r="AK32" i="1"/>
  <c r="AK18" i="9" s="1"/>
  <c r="AJ32" i="1"/>
  <c r="AJ18" i="9" s="1"/>
  <c r="AH32" i="1"/>
  <c r="AH18" i="9" s="1"/>
  <c r="AG32" i="1"/>
  <c r="AG18" i="9" s="1"/>
  <c r="AF32" i="1"/>
  <c r="AF18" i="9" s="1"/>
  <c r="AE32" i="1"/>
  <c r="AE18" i="9" s="1"/>
  <c r="AC32" i="1"/>
  <c r="AC18" i="9" s="1"/>
  <c r="AB32" i="1"/>
  <c r="AB18" i="9" s="1"/>
  <c r="AA32" i="1"/>
  <c r="AA18" i="9" s="1"/>
  <c r="Z32" i="1"/>
  <c r="Z18" i="9" s="1"/>
  <c r="X32" i="1"/>
  <c r="X18" i="9" s="1"/>
  <c r="W32" i="1"/>
  <c r="W18" i="9" s="1"/>
  <c r="V32" i="1"/>
  <c r="V18" i="9" s="1"/>
  <c r="U32" i="1"/>
  <c r="U18" i="9" s="1"/>
  <c r="BY31" i="1"/>
  <c r="BW31" i="1"/>
  <c r="BV31" i="1"/>
  <c r="BU31" i="1"/>
  <c r="BT31" i="1"/>
  <c r="BR31" i="1"/>
  <c r="BQ31" i="1"/>
  <c r="BP31" i="1"/>
  <c r="BO31" i="1"/>
  <c r="BM31" i="1"/>
  <c r="BL31" i="1"/>
  <c r="BK31" i="1"/>
  <c r="BJ31" i="1"/>
  <c r="BH31" i="1"/>
  <c r="BG31" i="1"/>
  <c r="BF31" i="1"/>
  <c r="BE31" i="1"/>
  <c r="BC31" i="1"/>
  <c r="BB31" i="1"/>
  <c r="BA31" i="1"/>
  <c r="AZ31" i="1"/>
  <c r="AX31" i="1"/>
  <c r="AW31" i="1"/>
  <c r="AV31" i="1"/>
  <c r="AU31" i="1"/>
  <c r="AS31" i="1"/>
  <c r="AR31" i="1"/>
  <c r="AQ31" i="1"/>
  <c r="AP31" i="1"/>
  <c r="AN31" i="1"/>
  <c r="AM31" i="1"/>
  <c r="AL31" i="1"/>
  <c r="AK31" i="1"/>
  <c r="AH31" i="1"/>
  <c r="AG31" i="1"/>
  <c r="AD31" i="1"/>
  <c r="AC31" i="1"/>
  <c r="AB31" i="1"/>
  <c r="X31" i="1"/>
  <c r="W31" i="1"/>
  <c r="V31" i="1"/>
  <c r="T31" i="1"/>
  <c r="S31" i="1"/>
  <c r="R31" i="1"/>
  <c r="CD30" i="1"/>
  <c r="CD25" i="9" s="1"/>
  <c r="CB30" i="1"/>
  <c r="CB25" i="9" s="1"/>
  <c r="CA30" i="1"/>
  <c r="CA25" i="9" s="1"/>
  <c r="BZ30" i="1"/>
  <c r="CC30" i="1" s="1"/>
  <c r="BX30" i="1"/>
  <c r="BX25" i="9" s="1"/>
  <c r="BS30" i="1"/>
  <c r="BN30" i="1"/>
  <c r="BN25" i="9" s="1"/>
  <c r="BI30" i="1"/>
  <c r="BI25" i="9" s="1"/>
  <c r="BD30" i="1"/>
  <c r="AY30" i="1"/>
  <c r="AY25" i="9" s="1"/>
  <c r="AT30" i="1"/>
  <c r="AY32" i="1" s="1"/>
  <c r="AY18" i="9" s="1"/>
  <c r="AO30" i="1"/>
  <c r="AO25" i="9" s="1"/>
  <c r="AI30" i="1"/>
  <c r="AI25" i="9" s="1"/>
  <c r="AD30" i="1"/>
  <c r="Y30" i="1"/>
  <c r="T30" i="1"/>
  <c r="T25" i="9" s="1"/>
  <c r="BY28" i="1"/>
  <c r="BY17" i="9" s="1"/>
  <c r="BW28" i="1"/>
  <c r="BW17" i="9" s="1"/>
  <c r="BV28" i="1"/>
  <c r="BV17" i="9" s="1"/>
  <c r="BU28" i="1"/>
  <c r="BU17" i="9" s="1"/>
  <c r="BT28" i="1"/>
  <c r="BT17" i="9" s="1"/>
  <c r="BR28" i="1"/>
  <c r="BR17" i="9" s="1"/>
  <c r="BQ28" i="1"/>
  <c r="BQ17" i="9" s="1"/>
  <c r="BP28" i="1"/>
  <c r="BP17" i="9" s="1"/>
  <c r="BO28" i="1"/>
  <c r="BO17" i="9" s="1"/>
  <c r="BN28" i="1"/>
  <c r="BN17" i="9" s="1"/>
  <c r="BM28" i="1"/>
  <c r="BM17" i="9" s="1"/>
  <c r="BL28" i="1"/>
  <c r="BL17" i="9" s="1"/>
  <c r="BK28" i="1"/>
  <c r="BK17" i="9" s="1"/>
  <c r="BJ28" i="1"/>
  <c r="BJ17" i="9" s="1"/>
  <c r="BH28" i="1"/>
  <c r="BH17" i="9" s="1"/>
  <c r="BG28" i="1"/>
  <c r="BG17" i="9" s="1"/>
  <c r="BF28" i="1"/>
  <c r="BF17" i="9" s="1"/>
  <c r="BE28" i="1"/>
  <c r="BE17" i="9" s="1"/>
  <c r="BC28" i="1"/>
  <c r="BC17" i="9" s="1"/>
  <c r="BB28" i="1"/>
  <c r="BB17" i="9" s="1"/>
  <c r="BA28" i="1"/>
  <c r="BA17" i="9" s="1"/>
  <c r="AZ28" i="1"/>
  <c r="AZ17" i="9" s="1"/>
  <c r="AX28" i="1"/>
  <c r="AX17" i="9" s="1"/>
  <c r="AW28" i="1"/>
  <c r="AW17" i="9" s="1"/>
  <c r="AV28" i="1"/>
  <c r="AV17" i="9" s="1"/>
  <c r="AU28" i="1"/>
  <c r="AU17" i="9" s="1"/>
  <c r="AS28" i="1"/>
  <c r="AS17" i="9" s="1"/>
  <c r="AR28" i="1"/>
  <c r="AR17" i="9" s="1"/>
  <c r="AQ28" i="1"/>
  <c r="AQ17" i="9" s="1"/>
  <c r="AP28" i="1"/>
  <c r="AP17" i="9" s="1"/>
  <c r="AM28" i="1"/>
  <c r="AM17" i="9" s="1"/>
  <c r="AL28" i="1"/>
  <c r="AL17" i="9" s="1"/>
  <c r="AK28" i="1"/>
  <c r="AK17" i="9" s="1"/>
  <c r="AJ28" i="1"/>
  <c r="AJ17" i="9" s="1"/>
  <c r="AH28" i="1"/>
  <c r="AH17" i="9" s="1"/>
  <c r="AG28" i="1"/>
  <c r="AG17" i="9" s="1"/>
  <c r="AF28" i="1"/>
  <c r="AF17" i="9" s="1"/>
  <c r="AE28" i="1"/>
  <c r="AE17" i="9" s="1"/>
  <c r="AD28" i="1"/>
  <c r="AD17" i="9" s="1"/>
  <c r="AC28" i="1"/>
  <c r="AC17" i="9" s="1"/>
  <c r="AB28" i="1"/>
  <c r="AB17" i="9" s="1"/>
  <c r="AA28" i="1"/>
  <c r="AA17" i="9" s="1"/>
  <c r="Z28" i="1"/>
  <c r="Z17" i="9" s="1"/>
  <c r="X28" i="1"/>
  <c r="X17" i="9" s="1"/>
  <c r="W28" i="1"/>
  <c r="W17" i="9" s="1"/>
  <c r="V28" i="1"/>
  <c r="V17" i="9" s="1"/>
  <c r="U28" i="1"/>
  <c r="U17" i="9" s="1"/>
  <c r="BY27" i="1"/>
  <c r="BW27" i="1"/>
  <c r="BV27" i="1"/>
  <c r="BU27" i="1"/>
  <c r="BT27" i="1"/>
  <c r="BR27" i="1"/>
  <c r="BQ27" i="1"/>
  <c r="BP27" i="1"/>
  <c r="BO27" i="1"/>
  <c r="BM27" i="1"/>
  <c r="BL27" i="1"/>
  <c r="BK27" i="1"/>
  <c r="BJ27" i="1"/>
  <c r="BH27" i="1"/>
  <c r="BG27" i="1"/>
  <c r="BF27" i="1"/>
  <c r="BE27" i="1"/>
  <c r="BC27" i="1"/>
  <c r="BB27" i="1"/>
  <c r="BA27" i="1"/>
  <c r="AZ27" i="1"/>
  <c r="AX27" i="1"/>
  <c r="AW27" i="1"/>
  <c r="AV27" i="1"/>
  <c r="AU27" i="1"/>
  <c r="AS27" i="1"/>
  <c r="AR27" i="1"/>
  <c r="AQ27" i="1"/>
  <c r="AP27" i="1"/>
  <c r="AN27" i="1"/>
  <c r="AM27" i="1"/>
  <c r="AL27" i="1"/>
  <c r="AK27" i="1"/>
  <c r="AI27" i="1"/>
  <c r="AH27" i="1"/>
  <c r="AG27" i="1"/>
  <c r="AC27" i="1"/>
  <c r="AB27" i="1"/>
  <c r="AA27" i="1"/>
  <c r="Y27" i="1"/>
  <c r="X27" i="1"/>
  <c r="W27" i="1"/>
  <c r="S27" i="1"/>
  <c r="R27" i="1"/>
  <c r="CD26" i="1"/>
  <c r="CD24" i="9" s="1"/>
  <c r="CB26" i="1"/>
  <c r="CA26" i="1"/>
  <c r="CA27" i="1" s="1"/>
  <c r="BZ26" i="1"/>
  <c r="BZ27" i="1" s="1"/>
  <c r="BX26" i="1"/>
  <c r="BS26" i="1"/>
  <c r="BS24" i="9" s="1"/>
  <c r="BN26" i="1"/>
  <c r="BN24" i="9" s="1"/>
  <c r="BI26" i="1"/>
  <c r="BI24" i="9" s="1"/>
  <c r="BD26" i="1"/>
  <c r="BI28" i="1" s="1"/>
  <c r="BI17" i="9" s="1"/>
  <c r="AY26" i="1"/>
  <c r="AT26" i="1"/>
  <c r="AT24" i="9" s="1"/>
  <c r="AO26" i="1"/>
  <c r="AO24" i="9" s="1"/>
  <c r="AI26" i="1"/>
  <c r="AD26" i="1"/>
  <c r="AD24" i="9" s="1"/>
  <c r="Y26" i="1"/>
  <c r="Y24" i="9" s="1"/>
  <c r="T26" i="1"/>
  <c r="V27" i="1" s="1"/>
  <c r="BY24" i="1"/>
  <c r="BY16" i="9" s="1"/>
  <c r="BX24" i="1"/>
  <c r="BX16" i="9" s="1"/>
  <c r="BW24" i="1"/>
  <c r="BW16" i="9" s="1"/>
  <c r="BV24" i="1"/>
  <c r="BV16" i="9" s="1"/>
  <c r="BU24" i="1"/>
  <c r="BU16" i="9" s="1"/>
  <c r="BT24" i="1"/>
  <c r="BT16" i="9" s="1"/>
  <c r="BR24" i="1"/>
  <c r="BR16" i="9" s="1"/>
  <c r="BQ24" i="1"/>
  <c r="BQ16" i="9" s="1"/>
  <c r="BP24" i="1"/>
  <c r="BP16" i="9" s="1"/>
  <c r="BO24" i="1"/>
  <c r="BO16" i="9" s="1"/>
  <c r="BM24" i="1"/>
  <c r="BM16" i="9" s="1"/>
  <c r="BL24" i="1"/>
  <c r="BL16" i="9" s="1"/>
  <c r="BK24" i="1"/>
  <c r="BK16" i="9" s="1"/>
  <c r="BJ24" i="1"/>
  <c r="BJ16" i="9" s="1"/>
  <c r="BH24" i="1"/>
  <c r="BH16" i="9" s="1"/>
  <c r="BG24" i="1"/>
  <c r="BG16" i="9" s="1"/>
  <c r="BF24" i="1"/>
  <c r="BF16" i="9" s="1"/>
  <c r="BE24" i="1"/>
  <c r="BE16" i="9" s="1"/>
  <c r="BC24" i="1"/>
  <c r="BC16" i="9" s="1"/>
  <c r="BB24" i="1"/>
  <c r="BB16" i="9" s="1"/>
  <c r="BA24" i="1"/>
  <c r="BA16" i="9" s="1"/>
  <c r="AZ24" i="1"/>
  <c r="AZ16" i="9" s="1"/>
  <c r="AY24" i="1"/>
  <c r="AY16" i="9" s="1"/>
  <c r="AX24" i="1"/>
  <c r="AX16" i="9" s="1"/>
  <c r="AW24" i="1"/>
  <c r="AW16" i="9" s="1"/>
  <c r="AV24" i="1"/>
  <c r="AV16" i="9" s="1"/>
  <c r="AU24" i="1"/>
  <c r="AU16" i="9" s="1"/>
  <c r="AS24" i="1"/>
  <c r="AS16" i="9" s="1"/>
  <c r="AR24" i="1"/>
  <c r="AR16" i="9" s="1"/>
  <c r="AQ24" i="1"/>
  <c r="AQ16" i="9" s="1"/>
  <c r="AP24" i="1"/>
  <c r="AP16" i="9" s="1"/>
  <c r="AO24" i="1"/>
  <c r="AO16" i="9" s="1"/>
  <c r="AM24" i="1"/>
  <c r="AM16" i="9" s="1"/>
  <c r="AL24" i="1"/>
  <c r="AL16" i="9" s="1"/>
  <c r="AK24" i="1"/>
  <c r="AK16" i="9" s="1"/>
  <c r="AJ24" i="1"/>
  <c r="AJ16" i="9" s="1"/>
  <c r="AH24" i="1"/>
  <c r="AH16" i="9" s="1"/>
  <c r="AG24" i="1"/>
  <c r="AG16" i="9" s="1"/>
  <c r="AF24" i="1"/>
  <c r="AF16" i="9" s="1"/>
  <c r="AE24" i="1"/>
  <c r="AE16" i="9" s="1"/>
  <c r="AC24" i="1"/>
  <c r="AC16" i="9" s="1"/>
  <c r="AB24" i="1"/>
  <c r="AB16" i="9" s="1"/>
  <c r="AA24" i="1"/>
  <c r="AA16" i="9" s="1"/>
  <c r="Z24" i="1"/>
  <c r="Z16" i="9" s="1"/>
  <c r="X24" i="1"/>
  <c r="X16" i="9" s="1"/>
  <c r="W24" i="1"/>
  <c r="W16" i="9" s="1"/>
  <c r="V24" i="1"/>
  <c r="V16" i="9" s="1"/>
  <c r="U24" i="1"/>
  <c r="U16" i="9" s="1"/>
  <c r="BZ23" i="1"/>
  <c r="BY23" i="1"/>
  <c r="BW23" i="1"/>
  <c r="BV23" i="1"/>
  <c r="BU23" i="1"/>
  <c r="BT23" i="1"/>
  <c r="BR23" i="1"/>
  <c r="BQ23" i="1"/>
  <c r="BP23" i="1"/>
  <c r="BO23" i="1"/>
  <c r="BM23" i="1"/>
  <c r="BL23" i="1"/>
  <c r="BK23" i="1"/>
  <c r="BJ23" i="1"/>
  <c r="BH23" i="1"/>
  <c r="BG23" i="1"/>
  <c r="BF23" i="1"/>
  <c r="BE23" i="1"/>
  <c r="BC23" i="1"/>
  <c r="BB23" i="1"/>
  <c r="BA23" i="1"/>
  <c r="AZ23" i="1"/>
  <c r="AX23" i="1"/>
  <c r="AW23" i="1"/>
  <c r="AV23" i="1"/>
  <c r="AU23" i="1"/>
  <c r="AS23" i="1"/>
  <c r="AR23" i="1"/>
  <c r="AQ23" i="1"/>
  <c r="AP23" i="1"/>
  <c r="AN23" i="1"/>
  <c r="AM23" i="1"/>
  <c r="AL23" i="1"/>
  <c r="AI23" i="1"/>
  <c r="AH23" i="1"/>
  <c r="AG23" i="1"/>
  <c r="AC23" i="1"/>
  <c r="AB23" i="1"/>
  <c r="Y23" i="1"/>
  <c r="X23" i="1"/>
  <c r="W23" i="1"/>
  <c r="S23" i="1"/>
  <c r="R23" i="1"/>
  <c r="CG22" i="1"/>
  <c r="CG23" i="9" s="1"/>
  <c r="CF22" i="1"/>
  <c r="CE22" i="1"/>
  <c r="CD22" i="1"/>
  <c r="CD23" i="1" s="1"/>
  <c r="CB22" i="1"/>
  <c r="CB23" i="9" s="1"/>
  <c r="CA22" i="1"/>
  <c r="BZ22" i="1"/>
  <c r="BZ23" i="9" s="1"/>
  <c r="BX22" i="1"/>
  <c r="BX23" i="9" s="1"/>
  <c r="BS22" i="1"/>
  <c r="BN22" i="1"/>
  <c r="BI22" i="1"/>
  <c r="BI23" i="9" s="1"/>
  <c r="BD22" i="1"/>
  <c r="BD23" i="9" s="1"/>
  <c r="AY22" i="1"/>
  <c r="AY23" i="9" s="1"/>
  <c r="AT22" i="1"/>
  <c r="AO22" i="1"/>
  <c r="AO23" i="9" s="1"/>
  <c r="AI22" i="1"/>
  <c r="AI24" i="1" s="1"/>
  <c r="AI16" i="9" s="1"/>
  <c r="AD22" i="1"/>
  <c r="Y22" i="1"/>
  <c r="Y23" i="9" s="1"/>
  <c r="T22" i="1"/>
  <c r="T23" i="9" s="1"/>
  <c r="BY21" i="1"/>
  <c r="BX21" i="1"/>
  <c r="BW21" i="1"/>
  <c r="BV21" i="1"/>
  <c r="BU21" i="1"/>
  <c r="BT21" i="1"/>
  <c r="BS21" i="1"/>
  <c r="BQ21" i="1"/>
  <c r="BP21" i="1"/>
  <c r="BO21" i="1"/>
  <c r="BW20" i="1"/>
  <c r="BV20" i="1"/>
  <c r="BU20" i="1"/>
  <c r="BQ20" i="1"/>
  <c r="BP20" i="1"/>
  <c r="BO20" i="1"/>
  <c r="BM20" i="1"/>
  <c r="BL20" i="1"/>
  <c r="BK20" i="1"/>
  <c r="BW19" i="1"/>
  <c r="BY20" i="1" s="1"/>
  <c r="BR19" i="1"/>
  <c r="BT20" i="1" s="1"/>
  <c r="BY17" i="1"/>
  <c r="BX17" i="1"/>
  <c r="BV17" i="1"/>
  <c r="BU17" i="1"/>
  <c r="BT17" i="1"/>
  <c r="BS17" i="1"/>
  <c r="BQ17" i="1"/>
  <c r="BP17" i="1"/>
  <c r="BO17" i="1"/>
  <c r="BY16" i="1"/>
  <c r="BW16" i="1"/>
  <c r="BV16" i="1"/>
  <c r="BU16" i="1"/>
  <c r="BR16" i="1"/>
  <c r="BQ16" i="1"/>
  <c r="BP16" i="1"/>
  <c r="BO16" i="1"/>
  <c r="BM16" i="1"/>
  <c r="BL16" i="1"/>
  <c r="BK16" i="1"/>
  <c r="BY15" i="1"/>
  <c r="BW15" i="1"/>
  <c r="BW17" i="1" s="1"/>
  <c r="BR15" i="1"/>
  <c r="BR17" i="1" s="1"/>
  <c r="BY13" i="1"/>
  <c r="BY15" i="9" s="1"/>
  <c r="BW13" i="1"/>
  <c r="BW15" i="9" s="1"/>
  <c r="BV13" i="1"/>
  <c r="BV15" i="9" s="1"/>
  <c r="BU13" i="1"/>
  <c r="BU15" i="9" s="1"/>
  <c r="BT13" i="1"/>
  <c r="BT15" i="9" s="1"/>
  <c r="BR13" i="1"/>
  <c r="BR15" i="9" s="1"/>
  <c r="BQ13" i="1"/>
  <c r="BQ15" i="9" s="1"/>
  <c r="BP13" i="1"/>
  <c r="BP15" i="9" s="1"/>
  <c r="BO13" i="1"/>
  <c r="BO15" i="9" s="1"/>
  <c r="BM13" i="1"/>
  <c r="BM15" i="9" s="1"/>
  <c r="BL13" i="1"/>
  <c r="BL15" i="9" s="1"/>
  <c r="BK13" i="1"/>
  <c r="BK15" i="9" s="1"/>
  <c r="BJ13" i="1"/>
  <c r="BJ15" i="9" s="1"/>
  <c r="BH13" i="1"/>
  <c r="BH15" i="9" s="1"/>
  <c r="BG13" i="1"/>
  <c r="BG15" i="9" s="1"/>
  <c r="BF13" i="1"/>
  <c r="BF15" i="9" s="1"/>
  <c r="BE13" i="1"/>
  <c r="BE15" i="9" s="1"/>
  <c r="BC13" i="1"/>
  <c r="BC15" i="9" s="1"/>
  <c r="BB13" i="1"/>
  <c r="BB15" i="9" s="1"/>
  <c r="BA13" i="1"/>
  <c r="BA15" i="9" s="1"/>
  <c r="AZ13" i="1"/>
  <c r="AZ15" i="9" s="1"/>
  <c r="AX13" i="1"/>
  <c r="AX15" i="9" s="1"/>
  <c r="AW13" i="1"/>
  <c r="AW15" i="9" s="1"/>
  <c r="AV13" i="1"/>
  <c r="AV15" i="9" s="1"/>
  <c r="AU13" i="1"/>
  <c r="AU15" i="9" s="1"/>
  <c r="AS13" i="1"/>
  <c r="AS15" i="9" s="1"/>
  <c r="AR13" i="1"/>
  <c r="AR15" i="9" s="1"/>
  <c r="AQ13" i="1"/>
  <c r="AQ15" i="9" s="1"/>
  <c r="AP13" i="1"/>
  <c r="AP15" i="9" s="1"/>
  <c r="AM13" i="1"/>
  <c r="AM15" i="9" s="1"/>
  <c r="AL13" i="1"/>
  <c r="AL15" i="9" s="1"/>
  <c r="AK13" i="1"/>
  <c r="AK15" i="9" s="1"/>
  <c r="AJ13" i="1"/>
  <c r="AJ15" i="9" s="1"/>
  <c r="AH13" i="1"/>
  <c r="AH15" i="9" s="1"/>
  <c r="AG13" i="1"/>
  <c r="AG15" i="9" s="1"/>
  <c r="AF13" i="1"/>
  <c r="AF15" i="9" s="1"/>
  <c r="AE13" i="1"/>
  <c r="AE15" i="9" s="1"/>
  <c r="AC13" i="1"/>
  <c r="AC15" i="9" s="1"/>
  <c r="AB13" i="1"/>
  <c r="AB15" i="9" s="1"/>
  <c r="AA13" i="1"/>
  <c r="AA15" i="9" s="1"/>
  <c r="Z13" i="1"/>
  <c r="Z15" i="9" s="1"/>
  <c r="Y13" i="1"/>
  <c r="Y15" i="9" s="1"/>
  <c r="X13" i="1"/>
  <c r="X15" i="9" s="1"/>
  <c r="W13" i="1"/>
  <c r="W15" i="9" s="1"/>
  <c r="V13" i="1"/>
  <c r="V15" i="9" s="1"/>
  <c r="U13" i="1"/>
  <c r="U15" i="9" s="1"/>
  <c r="BY12" i="1"/>
  <c r="BW12" i="1"/>
  <c r="BV12" i="1"/>
  <c r="BU12" i="1"/>
  <c r="BT12" i="1"/>
  <c r="BR12" i="1"/>
  <c r="BQ12" i="1"/>
  <c r="BP12" i="1"/>
  <c r="BO12" i="1"/>
  <c r="BM12" i="1"/>
  <c r="BL12" i="1"/>
  <c r="BK12" i="1"/>
  <c r="BJ12" i="1"/>
  <c r="BH12" i="1"/>
  <c r="BG12" i="1"/>
  <c r="BF12" i="1"/>
  <c r="BE12" i="1"/>
  <c r="BC12" i="1"/>
  <c r="BB12" i="1"/>
  <c r="BA12" i="1"/>
  <c r="AZ12" i="1"/>
  <c r="AX12" i="1"/>
  <c r="AW12" i="1"/>
  <c r="AV12" i="1"/>
  <c r="AU12" i="1"/>
  <c r="AS12" i="1"/>
  <c r="AR12" i="1"/>
  <c r="AQ12" i="1"/>
  <c r="AP12" i="1"/>
  <c r="AN12" i="1"/>
  <c r="AM12" i="1"/>
  <c r="AL12" i="1"/>
  <c r="AH12" i="1"/>
  <c r="AG12" i="1"/>
  <c r="AF12" i="1"/>
  <c r="AD12" i="1"/>
  <c r="AC12" i="1"/>
  <c r="AB12" i="1"/>
  <c r="Y12" i="1"/>
  <c r="X12" i="1"/>
  <c r="W12" i="1"/>
  <c r="V12" i="1"/>
  <c r="S12" i="1"/>
  <c r="R12" i="1"/>
  <c r="CD11" i="1"/>
  <c r="CD22" i="9" s="1"/>
  <c r="CB11" i="1"/>
  <c r="CB22" i="9" s="1"/>
  <c r="CA11" i="1"/>
  <c r="CF11" i="1" s="1"/>
  <c r="CF22" i="9" s="1"/>
  <c r="BZ11" i="1"/>
  <c r="BX11" i="1"/>
  <c r="BX22" i="9" s="1"/>
  <c r="BS11" i="1"/>
  <c r="BN11" i="1"/>
  <c r="BN22" i="9" s="1"/>
  <c r="BI11" i="1"/>
  <c r="BI22" i="9" s="1"/>
  <c r="BD11" i="1"/>
  <c r="BD22" i="9" s="1"/>
  <c r="AY11" i="1"/>
  <c r="AY22" i="9" s="1"/>
  <c r="AT11" i="1"/>
  <c r="AT22" i="9" s="1"/>
  <c r="AO11" i="1"/>
  <c r="AI11" i="1"/>
  <c r="AD11" i="1"/>
  <c r="Y11" i="1"/>
  <c r="Y22" i="9" s="1"/>
  <c r="T11" i="1"/>
  <c r="T22" i="9" s="1"/>
  <c r="BW9" i="1"/>
  <c r="BW14" i="9" s="1"/>
  <c r="BV9" i="1"/>
  <c r="BV14" i="9" s="1"/>
  <c r="BU9" i="1"/>
  <c r="BU14" i="9" s="1"/>
  <c r="BT9" i="1"/>
  <c r="BT14" i="9" s="1"/>
  <c r="BR9" i="1"/>
  <c r="BR14" i="9" s="1"/>
  <c r="BQ9" i="1"/>
  <c r="BQ14" i="9" s="1"/>
  <c r="BP9" i="1"/>
  <c r="BP14" i="9" s="1"/>
  <c r="BO9" i="1"/>
  <c r="BO14" i="9" s="1"/>
  <c r="BM9" i="1"/>
  <c r="BM14" i="9" s="1"/>
  <c r="BL9" i="1"/>
  <c r="BL14" i="9" s="1"/>
  <c r="BK9" i="1"/>
  <c r="BK14" i="9" s="1"/>
  <c r="BJ9" i="1"/>
  <c r="BJ14" i="9" s="1"/>
  <c r="BH9" i="1"/>
  <c r="BH14" i="9" s="1"/>
  <c r="BG9" i="1"/>
  <c r="BG14" i="9" s="1"/>
  <c r="BF9" i="1"/>
  <c r="BF14" i="9" s="1"/>
  <c r="BE9" i="1"/>
  <c r="BE14" i="9" s="1"/>
  <c r="BC9" i="1"/>
  <c r="BC14" i="9" s="1"/>
  <c r="BB9" i="1"/>
  <c r="BB14" i="9" s="1"/>
  <c r="BA9" i="1"/>
  <c r="BA14" i="9" s="1"/>
  <c r="AZ9" i="1"/>
  <c r="AZ14" i="9" s="1"/>
  <c r="AX9" i="1"/>
  <c r="AX14" i="9" s="1"/>
  <c r="AW9" i="1"/>
  <c r="AW14" i="9" s="1"/>
  <c r="AV9" i="1"/>
  <c r="AV14" i="9" s="1"/>
  <c r="AU9" i="1"/>
  <c r="AU14" i="9" s="1"/>
  <c r="AS9" i="1"/>
  <c r="AS14" i="9" s="1"/>
  <c r="AR9" i="1"/>
  <c r="AR14" i="9" s="1"/>
  <c r="AQ9" i="1"/>
  <c r="AQ14" i="9" s="1"/>
  <c r="AP9" i="1"/>
  <c r="AP14" i="9" s="1"/>
  <c r="AM9" i="1"/>
  <c r="AM14" i="9" s="1"/>
  <c r="AL9" i="1"/>
  <c r="AL14" i="9" s="1"/>
  <c r="AK9" i="1"/>
  <c r="AK14" i="9" s="1"/>
  <c r="AJ9" i="1"/>
  <c r="AJ14" i="9" s="1"/>
  <c r="AH9" i="1"/>
  <c r="AH14" i="9" s="1"/>
  <c r="AG9" i="1"/>
  <c r="AG14" i="9" s="1"/>
  <c r="AF9" i="1"/>
  <c r="AF14" i="9" s="1"/>
  <c r="AE9" i="1"/>
  <c r="AE14" i="9" s="1"/>
  <c r="AC9" i="1"/>
  <c r="AC14" i="9" s="1"/>
  <c r="AB9" i="1"/>
  <c r="AB14" i="9" s="1"/>
  <c r="AA9" i="1"/>
  <c r="AA14" i="9" s="1"/>
  <c r="Z9" i="1"/>
  <c r="Z14" i="9" s="1"/>
  <c r="X9" i="1"/>
  <c r="X14" i="9" s="1"/>
  <c r="W9" i="1"/>
  <c r="W14" i="9" s="1"/>
  <c r="V9" i="1"/>
  <c r="V14" i="9" s="1"/>
  <c r="U9" i="1"/>
  <c r="U14" i="9" s="1"/>
  <c r="CB8" i="1"/>
  <c r="CA8" i="1"/>
  <c r="BW8" i="1"/>
  <c r="BV8" i="1"/>
  <c r="BU8" i="1"/>
  <c r="BT8" i="1"/>
  <c r="BR8" i="1"/>
  <c r="BQ8" i="1"/>
  <c r="BP8" i="1"/>
  <c r="BO8" i="1"/>
  <c r="BM8" i="1"/>
  <c r="BL8" i="1"/>
  <c r="BK8" i="1"/>
  <c r="BJ8" i="1"/>
  <c r="BH8" i="1"/>
  <c r="BG8" i="1"/>
  <c r="BF8" i="1"/>
  <c r="BE8" i="1"/>
  <c r="BC8" i="1"/>
  <c r="BB8" i="1"/>
  <c r="BA8" i="1"/>
  <c r="AZ8" i="1"/>
  <c r="AX8" i="1"/>
  <c r="AW8" i="1"/>
  <c r="AV8" i="1"/>
  <c r="AU8" i="1"/>
  <c r="AS8" i="1"/>
  <c r="AR8" i="1"/>
  <c r="AQ8" i="1"/>
  <c r="AP8" i="1"/>
  <c r="AN8" i="1"/>
  <c r="AM8" i="1"/>
  <c r="AL8" i="1"/>
  <c r="AH8" i="1"/>
  <c r="AG8" i="1"/>
  <c r="AC8" i="1"/>
  <c r="AB8" i="1"/>
  <c r="Y8" i="1"/>
  <c r="X8" i="1"/>
  <c r="W8" i="1"/>
  <c r="S8" i="1"/>
  <c r="R8" i="1"/>
  <c r="CB7" i="1"/>
  <c r="CA7" i="1"/>
  <c r="BZ7" i="1"/>
  <c r="CE7" i="1" s="1"/>
  <c r="BX7" i="1"/>
  <c r="BX9" i="1" s="1"/>
  <c r="BX14" i="9" s="1"/>
  <c r="BS7" i="1"/>
  <c r="BS34" i="1" s="1"/>
  <c r="BN7" i="1"/>
  <c r="BI7" i="1"/>
  <c r="BD7" i="1"/>
  <c r="AY7" i="1"/>
  <c r="AT7" i="1"/>
  <c r="AT34" i="1" s="1"/>
  <c r="AO7" i="1"/>
  <c r="AI7" i="1"/>
  <c r="AI9" i="1" s="1"/>
  <c r="AI14" i="9" s="1"/>
  <c r="AD7" i="1"/>
  <c r="AD8" i="1" s="1"/>
  <c r="Y7" i="1"/>
  <c r="AA8" i="1" s="1"/>
  <c r="T7" i="1"/>
  <c r="D5" i="1"/>
  <c r="E5" i="1" s="1"/>
  <c r="A5" i="1"/>
  <c r="BZ4" i="1"/>
  <c r="BW4" i="1"/>
  <c r="BR4" i="1"/>
  <c r="BM4" i="1"/>
  <c r="BH4" i="1"/>
  <c r="BC4" i="1"/>
  <c r="AX4" i="1"/>
  <c r="AS4" i="1"/>
  <c r="AN4" i="1"/>
  <c r="AI4" i="1"/>
  <c r="AD4" i="1"/>
  <c r="Y4" i="1"/>
  <c r="T4" i="1"/>
  <c r="O4" i="1"/>
  <c r="J4" i="1"/>
  <c r="A4" i="1"/>
  <c r="BZ3" i="1"/>
  <c r="BY3" i="1"/>
  <c r="BY1140" i="1" s="1"/>
  <c r="BX3" i="1"/>
  <c r="BX1140" i="1" s="1"/>
  <c r="BW3" i="1"/>
  <c r="BW441" i="1" s="1"/>
  <c r="BV3" i="1"/>
  <c r="BV1140" i="1" s="1"/>
  <c r="BU3" i="1"/>
  <c r="BU1140" i="1" s="1"/>
  <c r="BT3" i="1"/>
  <c r="BT1140" i="1" s="1"/>
  <c r="BS3" i="1"/>
  <c r="BS1140" i="1" s="1"/>
  <c r="BQ3" i="1"/>
  <c r="BQ1140" i="1" s="1"/>
  <c r="BP3" i="1"/>
  <c r="BP1140" i="1" s="1"/>
  <c r="BO3" i="1"/>
  <c r="BO1140" i="1" s="1"/>
  <c r="BN3" i="1"/>
  <c r="BN1140" i="1" s="1"/>
  <c r="BL3" i="1"/>
  <c r="BL1140" i="1" s="1"/>
  <c r="BK3" i="1"/>
  <c r="BK1140" i="1" s="1"/>
  <c r="BJ3" i="1"/>
  <c r="BJ1140" i="1" s="1"/>
  <c r="BI3" i="1"/>
  <c r="BI1140" i="1" s="1"/>
  <c r="BG3" i="1"/>
  <c r="BG1140" i="1" s="1"/>
  <c r="BF3" i="1"/>
  <c r="BF1140" i="1" s="1"/>
  <c r="BE3" i="1"/>
  <c r="BD3" i="1"/>
  <c r="BD1140" i="1" s="1"/>
  <c r="BC3" i="1"/>
  <c r="BC441" i="1" s="1"/>
  <c r="BB3" i="1"/>
  <c r="BB1140" i="1" s="1"/>
  <c r="BA3" i="1"/>
  <c r="BA1140" i="1" s="1"/>
  <c r="AZ3" i="1"/>
  <c r="AZ1140" i="1" s="1"/>
  <c r="AY3" i="1"/>
  <c r="AY1140" i="1" s="1"/>
  <c r="AW3" i="1"/>
  <c r="AW1140" i="1" s="1"/>
  <c r="AV3" i="1"/>
  <c r="AV1140" i="1" s="1"/>
  <c r="AU3" i="1"/>
  <c r="AU1140" i="1" s="1"/>
  <c r="AT3" i="1"/>
  <c r="AT1140" i="1" s="1"/>
  <c r="AS3" i="1"/>
  <c r="AS441" i="1" s="1"/>
  <c r="AR3" i="1"/>
  <c r="AR1140" i="1" s="1"/>
  <c r="AQ3" i="1"/>
  <c r="AQ1140" i="1" s="1"/>
  <c r="AP3" i="1"/>
  <c r="AP1140" i="1" s="1"/>
  <c r="AO3" i="1"/>
  <c r="AO1140" i="1" s="1"/>
  <c r="AM3" i="1"/>
  <c r="AM1140" i="1" s="1"/>
  <c r="AL3" i="1"/>
  <c r="AL1140" i="1" s="1"/>
  <c r="AK3" i="1"/>
  <c r="AK1140" i="1" s="1"/>
  <c r="AJ3" i="1"/>
  <c r="AJ1140" i="1" s="1"/>
  <c r="AH3" i="1"/>
  <c r="AH1140" i="1" s="1"/>
  <c r="AG3" i="1"/>
  <c r="AF3" i="1"/>
  <c r="AF1140" i="1" s="1"/>
  <c r="AE3" i="1"/>
  <c r="AE1140" i="1" s="1"/>
  <c r="AD3" i="1"/>
  <c r="AD441" i="1" s="1"/>
  <c r="AC3" i="1"/>
  <c r="AC1140" i="1" s="1"/>
  <c r="AB3" i="1"/>
  <c r="AB1140" i="1" s="1"/>
  <c r="AA3" i="1"/>
  <c r="AA1140" i="1" s="1"/>
  <c r="Z3" i="1"/>
  <c r="Z1140" i="1" s="1"/>
  <c r="X3" i="1"/>
  <c r="X1140" i="1" s="1"/>
  <c r="W3" i="1"/>
  <c r="W1140" i="1" s="1"/>
  <c r="V3" i="1"/>
  <c r="V1140" i="1" s="1"/>
  <c r="U3" i="1"/>
  <c r="U1140" i="1" s="1"/>
  <c r="T3" i="1"/>
  <c r="T441" i="1" s="1"/>
  <c r="S3" i="1"/>
  <c r="S1140" i="1" s="1"/>
  <c r="R3" i="1"/>
  <c r="R1140" i="1" s="1"/>
  <c r="Q3" i="1"/>
  <c r="P3" i="1"/>
  <c r="P1140" i="1" s="1"/>
  <c r="O3" i="1"/>
  <c r="O441" i="1" s="1"/>
  <c r="N3" i="1"/>
  <c r="N1140" i="1" s="1"/>
  <c r="M3" i="1"/>
  <c r="M1140" i="1" s="1"/>
  <c r="L3" i="1"/>
  <c r="L1140" i="1" s="1"/>
  <c r="K3" i="1"/>
  <c r="K1140" i="1" s="1"/>
  <c r="J3" i="1"/>
  <c r="J441" i="1" s="1"/>
  <c r="I3" i="1"/>
  <c r="H3" i="1"/>
  <c r="H1140" i="1" s="1"/>
  <c r="G3" i="1"/>
  <c r="G1140" i="1" s="1"/>
  <c r="F3" i="1"/>
  <c r="F1140" i="1" s="1"/>
  <c r="E3" i="1"/>
  <c r="E1140" i="1" s="1"/>
  <c r="D3" i="1"/>
  <c r="D1140" i="1" s="1"/>
  <c r="C2" i="1"/>
  <c r="C2" i="13" s="1"/>
  <c r="H16" i="7"/>
  <c r="H13" i="7"/>
  <c r="H11" i="7"/>
  <c r="H9" i="7"/>
  <c r="D149" i="10"/>
  <c r="D33" i="10"/>
  <c r="D358" i="10"/>
  <c r="D199" i="10"/>
  <c r="D132" i="10"/>
  <c r="D50" i="10"/>
  <c r="D348" i="10"/>
  <c r="D255" i="10"/>
  <c r="D291" i="10"/>
  <c r="D142" i="10"/>
  <c r="D404" i="10"/>
  <c r="D284" i="10"/>
  <c r="D136" i="10"/>
  <c r="D274" i="10"/>
  <c r="D116" i="10"/>
  <c r="D180" i="10"/>
  <c r="D275" i="10"/>
  <c r="D73" i="10"/>
  <c r="D123" i="10"/>
  <c r="D106" i="10"/>
  <c r="D87" i="10"/>
  <c r="D204" i="10"/>
  <c r="D189" i="10"/>
  <c r="D326" i="10"/>
  <c r="D200" i="10"/>
  <c r="D346" i="10"/>
  <c r="D366" i="10"/>
  <c r="D20" i="10"/>
  <c r="D310" i="10"/>
  <c r="D393" i="10"/>
  <c r="D158" i="10"/>
  <c r="D178" i="10"/>
  <c r="D215" i="10"/>
  <c r="D181" i="10"/>
  <c r="D301" i="10"/>
  <c r="D93" i="10"/>
  <c r="D42" i="10"/>
  <c r="D370" i="10"/>
  <c r="D305" i="10"/>
  <c r="D104" i="10"/>
  <c r="D299" i="10"/>
  <c r="D409" i="10"/>
  <c r="D147" i="10"/>
  <c r="D30" i="10"/>
  <c r="D347" i="10"/>
  <c r="D193" i="10"/>
  <c r="D126" i="10"/>
  <c r="D22" i="10"/>
  <c r="D324" i="10"/>
  <c r="D252" i="10"/>
  <c r="D242" i="10"/>
  <c r="D134" i="10"/>
  <c r="D382" i="10"/>
  <c r="D245" i="10"/>
  <c r="D94" i="10"/>
  <c r="D254" i="10"/>
  <c r="D85" i="10"/>
  <c r="D166" i="10"/>
  <c r="D230" i="10"/>
  <c r="D70" i="10"/>
  <c r="D78" i="10"/>
  <c r="D66" i="10"/>
  <c r="D18" i="10"/>
  <c r="D173" i="10"/>
  <c r="D249" i="10"/>
  <c r="D330" i="10"/>
  <c r="D323" i="10"/>
  <c r="D309" i="10"/>
  <c r="D350" i="10"/>
  <c r="D216" i="10"/>
  <c r="D202" i="10"/>
  <c r="D318" i="10"/>
  <c r="D81" i="10"/>
  <c r="D44" i="10"/>
  <c r="D62" i="10"/>
  <c r="D372" i="10"/>
  <c r="D335" i="10"/>
  <c r="D313" i="10"/>
  <c r="D292" i="10"/>
  <c r="D258" i="10"/>
  <c r="D100" i="10"/>
  <c r="D285" i="10"/>
  <c r="D268" i="10"/>
  <c r="D317" i="10"/>
  <c r="D160" i="10"/>
  <c r="D170" i="10"/>
  <c r="D262" i="10"/>
  <c r="D403" i="10"/>
  <c r="D120" i="10"/>
  <c r="D24" i="10"/>
  <c r="D336" i="10"/>
  <c r="D188" i="10"/>
  <c r="D114" i="10"/>
  <c r="D15" i="10"/>
  <c r="D322" i="10"/>
  <c r="D386" i="10"/>
  <c r="D241" i="10"/>
  <c r="D96" i="10"/>
  <c r="D362" i="10"/>
  <c r="D229" i="10"/>
  <c r="D72" i="10"/>
  <c r="D407" i="10"/>
  <c r="D243" i="10"/>
  <c r="D75" i="10"/>
  <c r="D388" i="10"/>
  <c r="D113" i="10"/>
  <c r="D226" i="10"/>
  <c r="D26" i="10"/>
  <c r="D34" i="10"/>
  <c r="D63" i="10"/>
  <c r="D167" i="10"/>
  <c r="D239" i="10"/>
  <c r="D192" i="10"/>
  <c r="D88" i="10"/>
  <c r="D64" i="10"/>
  <c r="D378" i="10"/>
  <c r="D52" i="10"/>
  <c r="D338" i="10"/>
  <c r="D6" i="10"/>
  <c r="D383" i="10"/>
  <c r="D236" i="10"/>
  <c r="D397" i="10"/>
  <c r="D103" i="10"/>
  <c r="D334" i="10"/>
  <c r="D182" i="10"/>
  <c r="D77" i="10"/>
  <c r="D12" i="10"/>
  <c r="D311" i="10"/>
  <c r="D384" i="10"/>
  <c r="D213" i="10"/>
  <c r="D79" i="10"/>
  <c r="D360" i="10"/>
  <c r="D228" i="10"/>
  <c r="D60" i="10"/>
  <c r="D395" i="10"/>
  <c r="D232" i="10"/>
  <c r="D46" i="10"/>
  <c r="D371" i="10"/>
  <c r="D110" i="10"/>
  <c r="D219" i="10"/>
  <c r="D7" i="10"/>
  <c r="D112" i="10"/>
  <c r="D145" i="10"/>
  <c r="D203" i="10"/>
  <c r="D23" i="10"/>
  <c r="D374" i="10"/>
  <c r="D177" i="10"/>
  <c r="D399" i="10"/>
  <c r="D159" i="10"/>
  <c r="D54" i="10"/>
  <c r="D43" i="10"/>
  <c r="D223" i="10"/>
  <c r="D283" i="10"/>
  <c r="D155" i="10"/>
  <c r="D298" i="10"/>
  <c r="D8" i="10"/>
  <c r="D16" i="10"/>
  <c r="D184" i="10"/>
  <c r="D191" i="10"/>
  <c r="D206" i="10"/>
  <c r="D171" i="10"/>
  <c r="D56" i="10"/>
  <c r="D151" i="10"/>
  <c r="D130" i="10"/>
  <c r="D122" i="10"/>
  <c r="D32" i="10"/>
  <c r="D102" i="10"/>
  <c r="D138" i="10"/>
  <c r="D354" i="10"/>
  <c r="D162" i="10"/>
  <c r="D256" i="10"/>
  <c r="D217" i="10"/>
  <c r="D14" i="10"/>
  <c r="D405" i="10"/>
  <c r="D359" i="10"/>
  <c r="D287" i="10"/>
  <c r="D195" i="10"/>
  <c r="D156" i="10"/>
  <c r="D90" i="10"/>
  <c r="D36" i="10"/>
  <c r="D135" i="10"/>
  <c r="D53" i="10"/>
  <c r="D266" i="10"/>
  <c r="D148" i="10"/>
  <c r="D143" i="10"/>
  <c r="D92" i="10"/>
  <c r="D40" i="10"/>
  <c r="D270" i="10"/>
  <c r="D169" i="10"/>
  <c r="D342" i="10"/>
  <c r="D124" i="10"/>
  <c r="D10" i="10"/>
  <c r="D280" i="10"/>
  <c r="D267" i="10"/>
  <c r="D297" i="10"/>
  <c r="D394" i="10"/>
  <c r="D210" i="10"/>
  <c r="AH753" i="1" l="1"/>
  <c r="AE753" i="1"/>
  <c r="Y753" i="1"/>
  <c r="AP753" i="1"/>
  <c r="K95" i="9"/>
  <c r="AY95" i="9"/>
  <c r="BN753" i="1"/>
  <c r="I89" i="1"/>
  <c r="I81" i="1"/>
  <c r="G35" i="9"/>
  <c r="G290" i="1"/>
  <c r="G58" i="9" s="1"/>
  <c r="AB35" i="9"/>
  <c r="AB290" i="1"/>
  <c r="AB58" i="9" s="1"/>
  <c r="M65" i="1"/>
  <c r="M74" i="1"/>
  <c r="M76" i="1" s="1"/>
  <c r="M66" i="1"/>
  <c r="Y89" i="1"/>
  <c r="AQ52" i="1"/>
  <c r="C205" i="1"/>
  <c r="C211" i="1"/>
  <c r="C203" i="1"/>
  <c r="AH36" i="9"/>
  <c r="AH292" i="1"/>
  <c r="AH59" i="9" s="1"/>
  <c r="F66" i="1"/>
  <c r="F65" i="1"/>
  <c r="AG66" i="1"/>
  <c r="BK74" i="1"/>
  <c r="BK65" i="1"/>
  <c r="L89" i="1"/>
  <c r="L91" i="1" s="1"/>
  <c r="E66" i="1"/>
  <c r="E67" i="1" s="1"/>
  <c r="E65" i="1"/>
  <c r="AB65" i="1"/>
  <c r="AA89" i="1"/>
  <c r="G42" i="9"/>
  <c r="G429" i="1"/>
  <c r="AM42" i="9"/>
  <c r="AM429" i="1"/>
  <c r="BM1140" i="1"/>
  <c r="BM1170" i="1"/>
  <c r="AQ89" i="1"/>
  <c r="AD329" i="1"/>
  <c r="AD339" i="1" s="1"/>
  <c r="AD309" i="1"/>
  <c r="AL309" i="1"/>
  <c r="AL329" i="1"/>
  <c r="AL339" i="1" s="1"/>
  <c r="BJ80" i="1"/>
  <c r="U475" i="1"/>
  <c r="T469" i="1"/>
  <c r="AX65" i="1"/>
  <c r="AX74" i="1"/>
  <c r="BQ70" i="1"/>
  <c r="BV100" i="1"/>
  <c r="AO187" i="1"/>
  <c r="AO146" i="1"/>
  <c r="BK309" i="1"/>
  <c r="BK329" i="1"/>
  <c r="BK339" i="1" s="1"/>
  <c r="U280" i="1"/>
  <c r="U79" i="1"/>
  <c r="AK390" i="1"/>
  <c r="AK280" i="1"/>
  <c r="AK79" i="1"/>
  <c r="AK89" i="1" s="1"/>
  <c r="BA79" i="1"/>
  <c r="BA80" i="1" s="1"/>
  <c r="BA280" i="1"/>
  <c r="BR1170" i="1"/>
  <c r="AD9" i="1"/>
  <c r="AD14" i="9" s="1"/>
  <c r="BS866" i="1"/>
  <c r="BJ108" i="9"/>
  <c r="BJ1006" i="1"/>
  <c r="BJ1017" i="1" s="1"/>
  <c r="Y1170" i="1"/>
  <c r="K89" i="1"/>
  <c r="K91" i="1" s="1"/>
  <c r="S35" i="9"/>
  <c r="S290" i="1"/>
  <c r="S58" i="9" s="1"/>
  <c r="BE1140" i="1"/>
  <c r="BE441" i="1"/>
  <c r="CA31" i="1"/>
  <c r="AW38" i="1"/>
  <c r="AW19" i="9" s="1"/>
  <c r="R37" i="1"/>
  <c r="BA37" i="1"/>
  <c r="P38" i="1"/>
  <c r="P19" i="9" s="1"/>
  <c r="BM38" i="1"/>
  <c r="BM19" i="9" s="1"/>
  <c r="Z44" i="1"/>
  <c r="BA44" i="1"/>
  <c r="K46" i="1"/>
  <c r="K48" i="1" s="1"/>
  <c r="BD53" i="1"/>
  <c r="BM54" i="1"/>
  <c r="AS66" i="1"/>
  <c r="BA66" i="1"/>
  <c r="BI65" i="1"/>
  <c r="BY65" i="1"/>
  <c r="BA65" i="1"/>
  <c r="BA74" i="1"/>
  <c r="BA76" i="1" s="1"/>
  <c r="AI89" i="1"/>
  <c r="AI80" i="1"/>
  <c r="BL79" i="1"/>
  <c r="BL89" i="1" s="1"/>
  <c r="BW80" i="1"/>
  <c r="BW89" i="1"/>
  <c r="BW91" i="1" s="1"/>
  <c r="CB91" i="1" s="1"/>
  <c r="CG91" i="1" s="1"/>
  <c r="BW81" i="1"/>
  <c r="C100" i="1"/>
  <c r="BY95" i="1"/>
  <c r="BY100" i="1"/>
  <c r="BY101" i="1" s="1"/>
  <c r="P117" i="1"/>
  <c r="P399" i="1" s="1"/>
  <c r="P925" i="1" s="1"/>
  <c r="BL936" i="1"/>
  <c r="I941" i="1"/>
  <c r="I117" i="1"/>
  <c r="I399" i="1" s="1"/>
  <c r="I925" i="1" s="1"/>
  <c r="AH941" i="1"/>
  <c r="AH117" i="1"/>
  <c r="AH399" i="1" s="1"/>
  <c r="AH925" i="1" s="1"/>
  <c r="AQ941" i="1"/>
  <c r="AQ117" i="1"/>
  <c r="AQ399" i="1" s="1"/>
  <c r="AQ925" i="1" s="1"/>
  <c r="AB190" i="1"/>
  <c r="J205" i="1"/>
  <c r="AO201" i="1"/>
  <c r="AY205" i="1"/>
  <c r="AY211" i="1"/>
  <c r="BD203" i="1"/>
  <c r="BE204" i="1"/>
  <c r="BE211" i="1"/>
  <c r="AP280" i="1"/>
  <c r="BI280" i="1"/>
  <c r="BI283" i="1" s="1"/>
  <c r="AW281" i="1"/>
  <c r="I581" i="1"/>
  <c r="I277" i="1"/>
  <c r="I278" i="1" s="1"/>
  <c r="AI581" i="1"/>
  <c r="AI587" i="1" s="1"/>
  <c r="AI281" i="1"/>
  <c r="BG581" i="1"/>
  <c r="BG587" i="1" s="1"/>
  <c r="BG281" i="1"/>
  <c r="BX31" i="9"/>
  <c r="BX377" i="1"/>
  <c r="BX378" i="1" s="1"/>
  <c r="H281" i="1"/>
  <c r="Q281" i="1"/>
  <c r="Z281" i="1"/>
  <c r="AH281" i="1"/>
  <c r="BF281" i="1"/>
  <c r="BW390" i="1"/>
  <c r="BW35" i="9" s="1"/>
  <c r="I282" i="1"/>
  <c r="S393" i="1"/>
  <c r="AB393" i="1"/>
  <c r="AB282" i="1"/>
  <c r="AJ393" i="1"/>
  <c r="AJ282" i="1"/>
  <c r="AR36" i="9"/>
  <c r="AR292" i="1"/>
  <c r="AR59" i="9" s="1"/>
  <c r="AZ393" i="1"/>
  <c r="AZ282" i="1"/>
  <c r="AN405" i="1"/>
  <c r="AN407" i="1" s="1"/>
  <c r="AN39" i="9" s="1"/>
  <c r="BG492" i="1"/>
  <c r="BG449" i="1"/>
  <c r="E467" i="1"/>
  <c r="R464" i="1"/>
  <c r="I465" i="1"/>
  <c r="N466" i="1"/>
  <c r="M466" i="1"/>
  <c r="AB465" i="1"/>
  <c r="AB477" i="1" s="1"/>
  <c r="AQ492" i="1"/>
  <c r="AQ497" i="1"/>
  <c r="AS54" i="1"/>
  <c r="AY55" i="1"/>
  <c r="AY56" i="1" s="1"/>
  <c r="BG65" i="1"/>
  <c r="J85" i="1"/>
  <c r="AX100" i="1"/>
  <c r="BF100" i="1"/>
  <c r="BK95" i="1"/>
  <c r="K417" i="1"/>
  <c r="K122" i="1"/>
  <c r="K383" i="1" s="1"/>
  <c r="K71" i="1" s="1"/>
  <c r="BO282" i="1"/>
  <c r="BO280" i="1"/>
  <c r="D280" i="1"/>
  <c r="D79" i="1"/>
  <c r="D80" i="1" s="1"/>
  <c r="BC390" i="1"/>
  <c r="BC290" i="1" s="1"/>
  <c r="BC58" i="9" s="1"/>
  <c r="BC280" i="1"/>
  <c r="AI390" i="1"/>
  <c r="BG390" i="1"/>
  <c r="BJ390" i="1"/>
  <c r="AA393" i="1"/>
  <c r="AA282" i="1"/>
  <c r="AI36" i="9"/>
  <c r="AI292" i="1"/>
  <c r="AI59" i="9" s="1"/>
  <c r="BG36" i="9"/>
  <c r="BG292" i="1"/>
  <c r="BG59" i="9" s="1"/>
  <c r="BT449" i="1"/>
  <c r="BR449" i="1"/>
  <c r="BP497" i="1"/>
  <c r="BP492" i="1"/>
  <c r="BK573" i="1"/>
  <c r="BN553" i="1"/>
  <c r="BE80" i="9"/>
  <c r="BI715" i="1"/>
  <c r="BI80" i="9" s="1"/>
  <c r="BO80" i="9"/>
  <c r="BS715" i="1"/>
  <c r="BS80" i="9" s="1"/>
  <c r="AG441" i="1"/>
  <c r="AG1140" i="1"/>
  <c r="AN1170" i="1"/>
  <c r="BZ1170" i="1"/>
  <c r="BZ1140" i="1"/>
  <c r="AN9" i="1"/>
  <c r="AN14" i="9" s="1"/>
  <c r="CG11" i="1"/>
  <c r="AA12" i="1"/>
  <c r="I1140" i="1"/>
  <c r="I441" i="1"/>
  <c r="Q1140" i="1"/>
  <c r="Q441" i="1"/>
  <c r="CC1142" i="1"/>
  <c r="G1163" i="1"/>
  <c r="CD1142" i="1"/>
  <c r="AM1156" i="1"/>
  <c r="BE1149" i="1"/>
  <c r="AF1156" i="1"/>
  <c r="CA1163" i="1"/>
  <c r="BL1149" i="1"/>
  <c r="N1163" i="1"/>
  <c r="AM1163" i="1"/>
  <c r="AT1163" i="1"/>
  <c r="AN1156" i="1"/>
  <c r="CK1142" i="1"/>
  <c r="BL1156" i="1"/>
  <c r="BS1156" i="1"/>
  <c r="BM1149" i="1"/>
  <c r="CK1149" i="1"/>
  <c r="B1191" i="1"/>
  <c r="O1163" i="1"/>
  <c r="AF1149" i="1"/>
  <c r="BR1163" i="1"/>
  <c r="BV1142" i="1"/>
  <c r="BV764" i="1" s="1"/>
  <c r="AW1149" i="1"/>
  <c r="AW765" i="1" s="1"/>
  <c r="BC1156" i="1"/>
  <c r="U1142" i="1"/>
  <c r="AD1142" i="1"/>
  <c r="AU1142" i="1"/>
  <c r="AI1142" i="1"/>
  <c r="R1149" i="1"/>
  <c r="CD1149" i="1"/>
  <c r="BM1156" i="1"/>
  <c r="AN1163" i="1"/>
  <c r="BS1142" i="1"/>
  <c r="T1163" i="1"/>
  <c r="AY1142" i="1"/>
  <c r="AA1149" i="1"/>
  <c r="A1156" i="1"/>
  <c r="BN1156" i="1"/>
  <c r="AW1163" i="1"/>
  <c r="F1149" i="1"/>
  <c r="D1163" i="1"/>
  <c r="AE1149" i="1"/>
  <c r="E1163" i="1"/>
  <c r="BI1142" i="1"/>
  <c r="AJ1149" i="1"/>
  <c r="K1156" i="1"/>
  <c r="BW1156" i="1"/>
  <c r="AX1163" i="1"/>
  <c r="N1149" i="1"/>
  <c r="CB1142" i="1"/>
  <c r="BA1163" i="1"/>
  <c r="BZ1142" i="1"/>
  <c r="BA1149" i="1"/>
  <c r="AB1156" i="1"/>
  <c r="C1163" i="1"/>
  <c r="BO1163" i="1"/>
  <c r="CF1163" i="1"/>
  <c r="BZ1156" i="1"/>
  <c r="P1156" i="1"/>
  <c r="V1163" i="1"/>
  <c r="A1142" i="1"/>
  <c r="R1142" i="1"/>
  <c r="AW1142" i="1"/>
  <c r="AW764" i="1" s="1"/>
  <c r="AL1163" i="1"/>
  <c r="AH1142" i="1"/>
  <c r="Q1149" i="1"/>
  <c r="Q765" i="1" s="1"/>
  <c r="W1156" i="1"/>
  <c r="AC1142" i="1"/>
  <c r="AL1142" i="1"/>
  <c r="H1142" i="1"/>
  <c r="AX1142" i="1"/>
  <c r="Z1149" i="1"/>
  <c r="I1156" i="1"/>
  <c r="BU1156" i="1"/>
  <c r="BU766" i="1" s="1"/>
  <c r="AV1163" i="1"/>
  <c r="V1149" i="1"/>
  <c r="AZ1163" i="1"/>
  <c r="BH1142" i="1"/>
  <c r="AI1149" i="1"/>
  <c r="J1156" i="1"/>
  <c r="BV1156" i="1"/>
  <c r="BV766" i="1" s="1"/>
  <c r="BE1163" i="1"/>
  <c r="AD1149" i="1"/>
  <c r="AB1163" i="1"/>
  <c r="AU1149" i="1"/>
  <c r="U1163" i="1"/>
  <c r="BQ1142" i="1"/>
  <c r="BQ764" i="1" s="1"/>
  <c r="AR1149" i="1"/>
  <c r="S1156" i="1"/>
  <c r="CE1156" i="1"/>
  <c r="BF1163" i="1"/>
  <c r="AT1149" i="1"/>
  <c r="F1156" i="1"/>
  <c r="BY1163" i="1"/>
  <c r="CH1142" i="1"/>
  <c r="BI1149" i="1"/>
  <c r="AJ1156" i="1"/>
  <c r="K1163" i="1"/>
  <c r="BW1163" i="1"/>
  <c r="L1142" i="1"/>
  <c r="AC1163" i="1"/>
  <c r="BU1149" i="1"/>
  <c r="CA1156" i="1"/>
  <c r="BZ1163" i="1"/>
  <c r="F1163" i="1"/>
  <c r="BK1163" i="1"/>
  <c r="BU1142" i="1"/>
  <c r="BU764" i="1" s="1"/>
  <c r="CB1149" i="1"/>
  <c r="AK1142" i="1"/>
  <c r="AT1142" i="1"/>
  <c r="P1142" i="1"/>
  <c r="BG1142" i="1"/>
  <c r="AH1149" i="1"/>
  <c r="Q1156" i="1"/>
  <c r="CC1156" i="1"/>
  <c r="BD1163" i="1"/>
  <c r="BB1149" i="1"/>
  <c r="BX1163" i="1"/>
  <c r="BP1142" i="1"/>
  <c r="BP764" i="1" s="1"/>
  <c r="AQ1149" i="1"/>
  <c r="R1156" i="1"/>
  <c r="CD1156" i="1"/>
  <c r="BM1163" i="1"/>
  <c r="AL1149" i="1"/>
  <c r="BH1163" i="1"/>
  <c r="BC1149" i="1"/>
  <c r="AS1163" i="1"/>
  <c r="BY1142" i="1"/>
  <c r="AZ1149" i="1"/>
  <c r="AA1156" i="1"/>
  <c r="A1163" i="1"/>
  <c r="BN1163" i="1"/>
  <c r="BR1149" i="1"/>
  <c r="V1156" i="1"/>
  <c r="J1142" i="1"/>
  <c r="E1149" i="1"/>
  <c r="BQ1149" i="1"/>
  <c r="BQ765" i="1" s="1"/>
  <c r="AR1156" i="1"/>
  <c r="S1163" i="1"/>
  <c r="CE1163" i="1"/>
  <c r="BL1142" i="1"/>
  <c r="BQ1163" i="1"/>
  <c r="AO1149" i="1"/>
  <c r="AU1156" i="1"/>
  <c r="H1156" i="1"/>
  <c r="AU1163" i="1"/>
  <c r="BK1156" i="1"/>
  <c r="AE1163" i="1"/>
  <c r="AG1142" i="1"/>
  <c r="AV1149" i="1"/>
  <c r="AS1142" i="1"/>
  <c r="G1142" i="1"/>
  <c r="X1142" i="1"/>
  <c r="BO1142" i="1"/>
  <c r="BO764" i="1" s="1"/>
  <c r="AP1149" i="1"/>
  <c r="Y1156" i="1"/>
  <c r="CK1156" i="1"/>
  <c r="BL1163" i="1"/>
  <c r="CH1149" i="1"/>
  <c r="AB1142" i="1"/>
  <c r="BX1142" i="1"/>
  <c r="AY1149" i="1"/>
  <c r="Z1156" i="1"/>
  <c r="I1163" i="1"/>
  <c r="BU1163" i="1"/>
  <c r="BJ1149" i="1"/>
  <c r="BD1142" i="1"/>
  <c r="BS1149" i="1"/>
  <c r="BI1163" i="1"/>
  <c r="CG1142" i="1"/>
  <c r="BH1149" i="1"/>
  <c r="AI1156" i="1"/>
  <c r="J1163" i="1"/>
  <c r="BV1163" i="1"/>
  <c r="BY1156" i="1"/>
  <c r="AT1156" i="1"/>
  <c r="Z1142" i="1"/>
  <c r="M1149" i="1"/>
  <c r="BY1149" i="1"/>
  <c r="AZ1156" i="1"/>
  <c r="AA1163" i="1"/>
  <c r="BC1142" i="1"/>
  <c r="AM1149" i="1"/>
  <c r="CH1163" i="1"/>
  <c r="I1149" i="1"/>
  <c r="O1156" i="1"/>
  <c r="AG1149" i="1"/>
  <c r="CJ1156" i="1"/>
  <c r="P1149" i="1"/>
  <c r="O1142" i="1"/>
  <c r="BW1142" i="1"/>
  <c r="AG1156" i="1"/>
  <c r="BT1163" i="1"/>
  <c r="BT1142" i="1"/>
  <c r="BT764" i="1" s="1"/>
  <c r="BG1149" i="1"/>
  <c r="Q1163" i="1"/>
  <c r="E1156" i="1"/>
  <c r="CA1149" i="1"/>
  <c r="D1149" i="1"/>
  <c r="AQ1156" i="1"/>
  <c r="CD1163" i="1"/>
  <c r="BR1156" i="1"/>
  <c r="U1149" i="1"/>
  <c r="BH1156" i="1"/>
  <c r="BZ1149" i="1"/>
  <c r="BC1163" i="1"/>
  <c r="BT1149" i="1"/>
  <c r="BE1142" i="1"/>
  <c r="BD1156" i="1"/>
  <c r="BN1142" i="1"/>
  <c r="BN764" i="1" s="1"/>
  <c r="W1142" i="1"/>
  <c r="CE1142" i="1"/>
  <c r="AO1156" i="1"/>
  <c r="CB1163" i="1"/>
  <c r="D1142" i="1"/>
  <c r="BO1149" i="1"/>
  <c r="BO765" i="1" s="1"/>
  <c r="Y1163" i="1"/>
  <c r="U1156" i="1"/>
  <c r="N1156" i="1"/>
  <c r="L1149" i="1"/>
  <c r="AY1156" i="1"/>
  <c r="AQ1142" i="1"/>
  <c r="CH1156" i="1"/>
  <c r="AC1149" i="1"/>
  <c r="BP1156" i="1"/>
  <c r="BP766" i="1" s="1"/>
  <c r="AS1156" i="1"/>
  <c r="W1163" i="1"/>
  <c r="AN1149" i="1"/>
  <c r="BS1163" i="1"/>
  <c r="X1156" i="1"/>
  <c r="E1142" i="1"/>
  <c r="AE1142" i="1"/>
  <c r="A1149" i="1"/>
  <c r="AW1156" i="1"/>
  <c r="AW766" i="1" s="1"/>
  <c r="CJ1163" i="1"/>
  <c r="T1142" i="1"/>
  <c r="BW1149" i="1"/>
  <c r="AG1163" i="1"/>
  <c r="AK1156" i="1"/>
  <c r="AL1156" i="1"/>
  <c r="T1149" i="1"/>
  <c r="BG1156" i="1"/>
  <c r="CA1142" i="1"/>
  <c r="M1163" i="1"/>
  <c r="AK1149" i="1"/>
  <c r="BX1156" i="1"/>
  <c r="CG1156" i="1"/>
  <c r="CB1156" i="1"/>
  <c r="H1149" i="1"/>
  <c r="G1156" i="1"/>
  <c r="BJ1163" i="1"/>
  <c r="AM1142" i="1"/>
  <c r="BN1149" i="1"/>
  <c r="M1156" i="1"/>
  <c r="S1149" i="1"/>
  <c r="CK1163" i="1"/>
  <c r="BJ1156" i="1"/>
  <c r="CF1149" i="1"/>
  <c r="L1163" i="1"/>
  <c r="BR1142" i="1"/>
  <c r="AQ1163" i="1"/>
  <c r="AV1156" i="1"/>
  <c r="BT1156" i="1"/>
  <c r="BT766" i="1" s="1"/>
  <c r="AD1163" i="1"/>
  <c r="AF1142" i="1"/>
  <c r="BV1149" i="1"/>
  <c r="BV765" i="1" s="1"/>
  <c r="AC1156" i="1"/>
  <c r="CE1149" i="1"/>
  <c r="AA1142" i="1"/>
  <c r="I1142" i="1"/>
  <c r="C1156" i="1"/>
  <c r="AJ1163" i="1"/>
  <c r="AS1149" i="1"/>
  <c r="AY1163" i="1"/>
  <c r="BM1142" i="1"/>
  <c r="Y1149" i="1"/>
  <c r="AE1156" i="1"/>
  <c r="CI1156" i="1"/>
  <c r="AN1142" i="1"/>
  <c r="BE1156" i="1"/>
  <c r="BE766" i="1" s="1"/>
  <c r="BA1156" i="1"/>
  <c r="AH1156" i="1"/>
  <c r="BK1142" i="1"/>
  <c r="Y1142" i="1"/>
  <c r="BO1156" i="1"/>
  <c r="BP1163" i="1"/>
  <c r="CG1149" i="1"/>
  <c r="BG1163" i="1"/>
  <c r="Q1142" i="1"/>
  <c r="Q764" i="1" s="1"/>
  <c r="AV1142" i="1"/>
  <c r="CJ1149" i="1"/>
  <c r="M1142" i="1"/>
  <c r="C1142" i="1"/>
  <c r="H1163" i="1"/>
  <c r="BQ1156" i="1"/>
  <c r="BQ766" i="1" s="1"/>
  <c r="AP1156" i="1"/>
  <c r="BI1156" i="1"/>
  <c r="AO1142" i="1"/>
  <c r="BD1149" i="1"/>
  <c r="S1142" i="1"/>
  <c r="AJ1142" i="1"/>
  <c r="CJ1142" i="1"/>
  <c r="R1163" i="1"/>
  <c r="BB1142" i="1"/>
  <c r="BK1149" i="1"/>
  <c r="X1149" i="1"/>
  <c r="J1149" i="1"/>
  <c r="CF1142" i="1"/>
  <c r="G1149" i="1"/>
  <c r="Z1163" i="1"/>
  <c r="BJ1142" i="1"/>
  <c r="CI1149" i="1"/>
  <c r="CC1149" i="1"/>
  <c r="AX1149" i="1"/>
  <c r="C1149" i="1"/>
  <c r="O1149" i="1"/>
  <c r="AH1163" i="1"/>
  <c r="D1156" i="1"/>
  <c r="AD1156" i="1"/>
  <c r="CI1163" i="1"/>
  <c r="BF1149" i="1"/>
  <c r="K1149" i="1"/>
  <c r="W1149" i="1"/>
  <c r="AP1163" i="1"/>
  <c r="L1156" i="1"/>
  <c r="BB1156" i="1"/>
  <c r="BA1142" i="1"/>
  <c r="P1163" i="1"/>
  <c r="AX1156" i="1"/>
  <c r="AZ1142" i="1"/>
  <c r="CI1142" i="1"/>
  <c r="T1156" i="1"/>
  <c r="CG1163" i="1"/>
  <c r="F1142" i="1"/>
  <c r="X1163" i="1"/>
  <c r="BF1156" i="1"/>
  <c r="AB1149" i="1"/>
  <c r="AR1142" i="1"/>
  <c r="CF1156" i="1"/>
  <c r="BB1163" i="1"/>
  <c r="N1142" i="1"/>
  <c r="AF1163" i="1"/>
  <c r="AO1163" i="1"/>
  <c r="BP1149" i="1"/>
  <c r="BP765" i="1" s="1"/>
  <c r="AK1163" i="1"/>
  <c r="AI1163" i="1"/>
  <c r="BF1142" i="1"/>
  <c r="V1142" i="1"/>
  <c r="K1142" i="1"/>
  <c r="CC1163" i="1"/>
  <c r="BX1149" i="1"/>
  <c r="AP1142" i="1"/>
  <c r="AR1163" i="1"/>
  <c r="AS1170" i="1"/>
  <c r="AS1140" i="1"/>
  <c r="AY9" i="1"/>
  <c r="AY14" i="9" s="1"/>
  <c r="BS9" i="1"/>
  <c r="BS14" i="9" s="1"/>
  <c r="AD34" i="1"/>
  <c r="AD26" i="9" s="1"/>
  <c r="BI24" i="1"/>
  <c r="BI16" i="9" s="1"/>
  <c r="AF27" i="1"/>
  <c r="CE30" i="1"/>
  <c r="CE25" i="9" s="1"/>
  <c r="CB31" i="1"/>
  <c r="S37" i="1"/>
  <c r="BG37" i="1"/>
  <c r="Z38" i="1"/>
  <c r="Z19" i="9" s="1"/>
  <c r="BU38" i="1"/>
  <c r="BU19" i="9" s="1"/>
  <c r="AG44" i="1"/>
  <c r="BE44" i="1"/>
  <c r="H51" i="1"/>
  <c r="H52" i="1" s="1"/>
  <c r="P51" i="1"/>
  <c r="P52" i="1" s="1"/>
  <c r="X51" i="1"/>
  <c r="AF51" i="1"/>
  <c r="AN51" i="1"/>
  <c r="AV51" i="1"/>
  <c r="BD51" i="1"/>
  <c r="BL51" i="1"/>
  <c r="BT51" i="1"/>
  <c r="C54" i="1"/>
  <c r="AV53" i="1"/>
  <c r="N64" i="1"/>
  <c r="BJ64" i="1"/>
  <c r="BJ74" i="1" s="1"/>
  <c r="BU72" i="1"/>
  <c r="AX89" i="1"/>
  <c r="BM81" i="1"/>
  <c r="L87" i="1"/>
  <c r="BW87" i="1"/>
  <c r="S89" i="1"/>
  <c r="U95" i="1"/>
  <c r="U100" i="1"/>
  <c r="AC100" i="1"/>
  <c r="AC95" i="1"/>
  <c r="BA100" i="1"/>
  <c r="BA101" i="1" s="1"/>
  <c r="BA95" i="1"/>
  <c r="BS95" i="1"/>
  <c r="BI100" i="1"/>
  <c r="AP117" i="1"/>
  <c r="AP399" i="1" s="1"/>
  <c r="AP925" i="1" s="1"/>
  <c r="AP936" i="1" s="1"/>
  <c r="BO117" i="1"/>
  <c r="BO399" i="1" s="1"/>
  <c r="BO925" i="1" s="1"/>
  <c r="R941" i="1"/>
  <c r="R117" i="1"/>
  <c r="R399" i="1" s="1"/>
  <c r="R925" i="1" s="1"/>
  <c r="AQ166" i="1"/>
  <c r="C210" i="1"/>
  <c r="AF205" i="1"/>
  <c r="AF211" i="1"/>
  <c r="AF203" i="1"/>
  <c r="AF204" i="1"/>
  <c r="AP210" i="1"/>
  <c r="BD205" i="1"/>
  <c r="BD211" i="1"/>
  <c r="BE203" i="1"/>
  <c r="BT204" i="1"/>
  <c r="BE210" i="1"/>
  <c r="BH220" i="1"/>
  <c r="BP222" i="1"/>
  <c r="BP223" i="1"/>
  <c r="AD255" i="1"/>
  <c r="J255" i="1"/>
  <c r="AX255" i="1"/>
  <c r="BM268" i="1"/>
  <c r="BL280" i="1"/>
  <c r="AX281" i="1"/>
  <c r="AH282" i="1"/>
  <c r="O354" i="1"/>
  <c r="O358" i="1" s="1"/>
  <c r="BP32" i="9"/>
  <c r="BP377" i="1"/>
  <c r="K393" i="1"/>
  <c r="K282" i="1"/>
  <c r="AC36" i="9"/>
  <c r="AC292" i="1"/>
  <c r="AC59" i="9" s="1"/>
  <c r="AK393" i="1"/>
  <c r="AK282" i="1"/>
  <c r="BA393" i="1"/>
  <c r="BA282" i="1"/>
  <c r="AT741" i="1"/>
  <c r="AT405" i="1"/>
  <c r="AT407" i="1" s="1"/>
  <c r="AT39" i="9" s="1"/>
  <c r="BB741" i="1"/>
  <c r="BB745" i="1" s="1"/>
  <c r="BB405" i="1"/>
  <c r="BB407" i="1" s="1"/>
  <c r="BB39" i="9" s="1"/>
  <c r="BJ741" i="1"/>
  <c r="BJ742" i="1" s="1"/>
  <c r="BJ405" i="1"/>
  <c r="BJ407" i="1" s="1"/>
  <c r="BJ39" i="9" s="1"/>
  <c r="U744" i="1"/>
  <c r="G405" i="1"/>
  <c r="G407" i="1" s="1"/>
  <c r="G39" i="9" s="1"/>
  <c r="AV405" i="1"/>
  <c r="AV407" i="1" s="1"/>
  <c r="AV39" i="9" s="1"/>
  <c r="AU414" i="1"/>
  <c r="AO441" i="1"/>
  <c r="T464" i="1"/>
  <c r="T476" i="1" s="1"/>
  <c r="S464" i="1"/>
  <c r="N478" i="1"/>
  <c r="AX37" i="1"/>
  <c r="AX38" i="1"/>
  <c r="AX19" i="9" s="1"/>
  <c r="AW44" i="1"/>
  <c r="AW81" i="1" s="1"/>
  <c r="AY65" i="1"/>
  <c r="AY74" i="1"/>
  <c r="BQ72" i="1"/>
  <c r="BU81" i="1"/>
  <c r="C417" i="1"/>
  <c r="C122" i="1"/>
  <c r="C383" i="1" s="1"/>
  <c r="C71" i="1" s="1"/>
  <c r="C72" i="1" s="1"/>
  <c r="BL205" i="1"/>
  <c r="BL203" i="1"/>
  <c r="BV281" i="1"/>
  <c r="BC309" i="1"/>
  <c r="BC329" i="1"/>
  <c r="BC339" i="1" s="1"/>
  <c r="C89" i="1"/>
  <c r="C81" i="1"/>
  <c r="AD79" i="1"/>
  <c r="AD80" i="1" s="1"/>
  <c r="AD390" i="1"/>
  <c r="BK80" i="1"/>
  <c r="C390" i="1"/>
  <c r="BW1140" i="1"/>
  <c r="BW1170" i="1"/>
  <c r="CD12" i="1"/>
  <c r="AX44" i="1"/>
  <c r="BL53" i="1"/>
  <c r="AZ65" i="1"/>
  <c r="BS28" i="1"/>
  <c r="BS17" i="9" s="1"/>
  <c r="CF30" i="1"/>
  <c r="CF25" i="9" s="1"/>
  <c r="CD31" i="1"/>
  <c r="BN32" i="1"/>
  <c r="BN18" i="9" s="1"/>
  <c r="AB37" i="1"/>
  <c r="BO37" i="1"/>
  <c r="AA38" i="1"/>
  <c r="AA19" i="9" s="1"/>
  <c r="BV38" i="1"/>
  <c r="BV19" i="9" s="1"/>
  <c r="AH44" i="1"/>
  <c r="AH66" i="1" s="1"/>
  <c r="BG44" i="1"/>
  <c r="BG54" i="1" s="1"/>
  <c r="C46" i="1"/>
  <c r="C48" i="1" s="1"/>
  <c r="AW52" i="1"/>
  <c r="BM52" i="1"/>
  <c r="BU52" i="1"/>
  <c r="J54" i="1"/>
  <c r="BC64" i="1"/>
  <c r="BD74" i="1"/>
  <c r="AY89" i="1"/>
  <c r="BN89" i="1"/>
  <c r="M87" i="1"/>
  <c r="V100" i="1"/>
  <c r="AT100" i="1"/>
  <c r="F102" i="1"/>
  <c r="AN931" i="1"/>
  <c r="AN933" i="1" s="1"/>
  <c r="AN117" i="1"/>
  <c r="AN399" i="1" s="1"/>
  <c r="AN925" i="1" s="1"/>
  <c r="BJ941" i="1"/>
  <c r="BJ117" i="1"/>
  <c r="T122" i="1"/>
  <c r="T383" i="1" s="1"/>
  <c r="T376" i="1"/>
  <c r="T53" i="1" s="1"/>
  <c r="AQ190" i="1"/>
  <c r="K190" i="1"/>
  <c r="AD190" i="1"/>
  <c r="Y200" i="1"/>
  <c r="T200" i="1"/>
  <c r="T201" i="1" s="1"/>
  <c r="T211" i="1" s="1"/>
  <c r="AG203" i="1"/>
  <c r="AG205" i="1"/>
  <c r="AG204" i="1"/>
  <c r="AQ201" i="1"/>
  <c r="H203" i="1"/>
  <c r="Z280" i="1"/>
  <c r="AS280" i="1"/>
  <c r="AI282" i="1"/>
  <c r="BF282" i="1"/>
  <c r="R292" i="1"/>
  <c r="R59" i="9" s="1"/>
  <c r="AQ292" i="1"/>
  <c r="AQ59" i="9" s="1"/>
  <c r="BR391" i="1"/>
  <c r="BR94" i="1"/>
  <c r="BR100" i="1" s="1"/>
  <c r="BT329" i="1"/>
  <c r="BT339" i="1" s="1"/>
  <c r="L36" i="9"/>
  <c r="L292" i="1"/>
  <c r="L59" i="9" s="1"/>
  <c r="BZ391" i="1"/>
  <c r="CJ418" i="1"/>
  <c r="W741" i="1"/>
  <c r="W405" i="1"/>
  <c r="W407" i="1" s="1"/>
  <c r="W39" i="9" s="1"/>
  <c r="BS741" i="1"/>
  <c r="BS742" i="1" s="1"/>
  <c r="BS405" i="1"/>
  <c r="BS407" i="1" s="1"/>
  <c r="BS39" i="9" s="1"/>
  <c r="H407" i="1"/>
  <c r="H39" i="9" s="1"/>
  <c r="BK405" i="1"/>
  <c r="BK407" i="1" s="1"/>
  <c r="BK39" i="9" s="1"/>
  <c r="AY419" i="1"/>
  <c r="CC408" i="1"/>
  <c r="N42" i="9"/>
  <c r="N429" i="1"/>
  <c r="X414" i="1"/>
  <c r="AF414" i="1"/>
  <c r="AN414" i="1"/>
  <c r="AN429" i="1" s="1"/>
  <c r="AV414" i="1"/>
  <c r="AV429" i="1" s="1"/>
  <c r="BD414" i="1"/>
  <c r="BD42" i="9" s="1"/>
  <c r="BL414" i="1"/>
  <c r="BT414" i="1"/>
  <c r="M421" i="1"/>
  <c r="M414" i="1"/>
  <c r="M429" i="1" s="1"/>
  <c r="BK414" i="1"/>
  <c r="G421" i="1"/>
  <c r="AW441" i="1"/>
  <c r="T465" i="1"/>
  <c r="T477" i="1" s="1"/>
  <c r="U476" i="1"/>
  <c r="T470" i="1"/>
  <c r="BN517" i="1"/>
  <c r="BQ548" i="1"/>
  <c r="BS529" i="1"/>
  <c r="BS530" i="1" s="1"/>
  <c r="BS114" i="1" s="1"/>
  <c r="BT65" i="1"/>
  <c r="J70" i="1"/>
  <c r="BF89" i="1"/>
  <c r="G86" i="1"/>
  <c r="R201" i="1"/>
  <c r="R203" i="1" s="1"/>
  <c r="AE309" i="1"/>
  <c r="AX36" i="9"/>
  <c r="AX292" i="1"/>
  <c r="AX59" i="9" s="1"/>
  <c r="AI1170" i="1"/>
  <c r="BN13" i="1"/>
  <c r="BN15" i="9" s="1"/>
  <c r="AO28" i="1"/>
  <c r="AO17" i="9" s="1"/>
  <c r="AZ37" i="1"/>
  <c r="BU54" i="1"/>
  <c r="D65" i="1"/>
  <c r="AR74" i="1"/>
  <c r="BP65" i="1"/>
  <c r="AZ74" i="1"/>
  <c r="AH89" i="1"/>
  <c r="AH91" i="1" s="1"/>
  <c r="BG89" i="1"/>
  <c r="BV89" i="1"/>
  <c r="AQ80" i="1"/>
  <c r="AZ89" i="1"/>
  <c r="J94" i="1"/>
  <c r="BN95" i="1"/>
  <c r="AH99" i="1"/>
  <c r="AH100" i="1" s="1"/>
  <c r="H941" i="1"/>
  <c r="H117" i="1"/>
  <c r="H399" i="1" s="1"/>
  <c r="H925" i="1" s="1"/>
  <c r="X941" i="1"/>
  <c r="X117" i="1"/>
  <c r="X399" i="1" s="1"/>
  <c r="X925" i="1" s="1"/>
  <c r="BG941" i="1"/>
  <c r="BG117" i="1"/>
  <c r="BG399" i="1" s="1"/>
  <c r="BG925" i="1" s="1"/>
  <c r="K129" i="1"/>
  <c r="K416" i="1" s="1"/>
  <c r="I211" i="1"/>
  <c r="I205" i="1"/>
  <c r="AW201" i="1"/>
  <c r="AW210" i="1" s="1"/>
  <c r="BV282" i="1"/>
  <c r="W390" i="1"/>
  <c r="AM390" i="1"/>
  <c r="AM280" i="1"/>
  <c r="AQ390" i="1"/>
  <c r="BO390" i="1"/>
  <c r="AC390" i="1"/>
  <c r="AY393" i="1"/>
  <c r="AY282" i="1"/>
  <c r="BQ393" i="1"/>
  <c r="BQ282" i="1"/>
  <c r="AI3" i="1"/>
  <c r="AI441" i="1" s="1"/>
  <c r="J1140" i="1"/>
  <c r="J1170" i="1"/>
  <c r="AX1170" i="1"/>
  <c r="BD34" i="1"/>
  <c r="AY13" i="1"/>
  <c r="AY15" i="9" s="1"/>
  <c r="V23" i="1"/>
  <c r="C3" i="1"/>
  <c r="C1140" i="1" s="1"/>
  <c r="O1170" i="1"/>
  <c r="O1140" i="1"/>
  <c r="BC1170" i="1"/>
  <c r="BC1140" i="1"/>
  <c r="T12" i="1"/>
  <c r="CG30" i="1"/>
  <c r="CH30" i="1" s="1"/>
  <c r="AN32" i="1"/>
  <c r="AN18" i="9" s="1"/>
  <c r="AN37" i="1"/>
  <c r="AP44" i="1"/>
  <c r="AP96" i="1" s="1"/>
  <c r="J51" i="1"/>
  <c r="J52" i="1" s="1"/>
  <c r="R51" i="1"/>
  <c r="Z51" i="1"/>
  <c r="Z52" i="1" s="1"/>
  <c r="AH51" i="1"/>
  <c r="AH52" i="1" s="1"/>
  <c r="AP51" i="1"/>
  <c r="AP52" i="1" s="1"/>
  <c r="AX51" i="1"/>
  <c r="BF51" i="1"/>
  <c r="BN51" i="1"/>
  <c r="BV51" i="1"/>
  <c r="P64" i="1"/>
  <c r="BL64" i="1"/>
  <c r="Q80" i="1"/>
  <c r="AO80" i="1"/>
  <c r="BC79" i="1"/>
  <c r="BC89" i="1" s="1"/>
  <c r="BO80" i="1"/>
  <c r="BO89" i="1"/>
  <c r="E84" i="1"/>
  <c r="E85" i="1" s="1"/>
  <c r="BC95" i="1"/>
  <c r="V936" i="1"/>
  <c r="D941" i="1"/>
  <c r="D117" i="1"/>
  <c r="D399" i="1" s="1"/>
  <c r="D925" i="1" s="1"/>
  <c r="D936" i="1" s="1"/>
  <c r="T941" i="1"/>
  <c r="T117" i="1"/>
  <c r="T399" i="1" s="1"/>
  <c r="T925" i="1" s="1"/>
  <c r="BB941" i="1"/>
  <c r="BB117" i="1"/>
  <c r="BB399" i="1" s="1"/>
  <c r="BB925" i="1" s="1"/>
  <c r="P122" i="1"/>
  <c r="P383" i="1" s="1"/>
  <c r="P71" i="1" s="1"/>
  <c r="P72" i="1" s="1"/>
  <c r="P417" i="1"/>
  <c r="BS139" i="1"/>
  <c r="BS141" i="1" s="1"/>
  <c r="AD189" i="1"/>
  <c r="AD175" i="1"/>
  <c r="BF166" i="1"/>
  <c r="H204" i="1"/>
  <c r="H211" i="1"/>
  <c r="AX223" i="1"/>
  <c r="BM248" i="1"/>
  <c r="BG282" i="1"/>
  <c r="BG283" i="1" s="1"/>
  <c r="S309" i="1"/>
  <c r="S360" i="1" s="1"/>
  <c r="S362" i="1" s="1"/>
  <c r="S396" i="1" s="1"/>
  <c r="S329" i="1"/>
  <c r="S339" i="1" s="1"/>
  <c r="AZ329" i="1"/>
  <c r="AZ339" i="1" s="1"/>
  <c r="AZ309" i="1"/>
  <c r="BW391" i="1"/>
  <c r="BW393" i="1" s="1"/>
  <c r="BW308" i="1"/>
  <c r="BW341" i="1" s="1"/>
  <c r="BW352" i="1" s="1"/>
  <c r="BE385" i="1"/>
  <c r="AI280" i="1"/>
  <c r="AI283" i="1" s="1"/>
  <c r="AY280" i="1"/>
  <c r="AY283" i="1" s="1"/>
  <c r="AY390" i="1"/>
  <c r="I85" i="1"/>
  <c r="BK390" i="1"/>
  <c r="BK84" i="1"/>
  <c r="BS390" i="1"/>
  <c r="BS35" i="9" s="1"/>
  <c r="BS84" i="1"/>
  <c r="E87" i="1"/>
  <c r="N87" i="1"/>
  <c r="D393" i="1"/>
  <c r="D282" i="1"/>
  <c r="M36" i="9"/>
  <c r="M292" i="1"/>
  <c r="M59" i="9" s="1"/>
  <c r="BV393" i="1"/>
  <c r="X741" i="1"/>
  <c r="X745" i="1" s="1"/>
  <c r="X746" i="1" s="1"/>
  <c r="X405" i="1"/>
  <c r="X407" i="1" s="1"/>
  <c r="X39" i="9" s="1"/>
  <c r="AF741" i="1"/>
  <c r="AF745" i="1" s="1"/>
  <c r="AF746" i="1" s="1"/>
  <c r="AF405" i="1"/>
  <c r="AF407" i="1" s="1"/>
  <c r="AF39" i="9" s="1"/>
  <c r="BD741" i="1"/>
  <c r="BD405" i="1"/>
  <c r="BD407" i="1" s="1"/>
  <c r="BD39" i="9" s="1"/>
  <c r="AE745" i="1"/>
  <c r="BL744" i="1"/>
  <c r="M405" i="1"/>
  <c r="M407" i="1" s="1"/>
  <c r="M39" i="9" s="1"/>
  <c r="BL405" i="1"/>
  <c r="BL407" i="1" s="1"/>
  <c r="BL39" i="9" s="1"/>
  <c r="P414" i="1"/>
  <c r="P42" i="9" s="1"/>
  <c r="BB414" i="1"/>
  <c r="BB421" i="1"/>
  <c r="BJ421" i="1"/>
  <c r="BJ414" i="1"/>
  <c r="BS414" i="1"/>
  <c r="BS42" i="9" s="1"/>
  <c r="BG441" i="1"/>
  <c r="Y444" i="1"/>
  <c r="Y450" i="1" s="1"/>
  <c r="Z450" i="1"/>
  <c r="AD465" i="1"/>
  <c r="O473" i="1"/>
  <c r="O479" i="1" s="1"/>
  <c r="P479" i="1"/>
  <c r="Q475" i="1" s="1"/>
  <c r="BK512" i="1"/>
  <c r="BK507" i="1" s="1"/>
  <c r="BT89" i="1"/>
  <c r="BT90" i="1" s="1"/>
  <c r="P385" i="1"/>
  <c r="P34" i="9" s="1"/>
  <c r="BB329" i="1"/>
  <c r="BB339" i="1" s="1"/>
  <c r="AS89" i="1"/>
  <c r="AS91" i="1" s="1"/>
  <c r="BX497" i="1"/>
  <c r="BX492" i="1"/>
  <c r="AD1170" i="1"/>
  <c r="AD1140" i="1"/>
  <c r="CB34" i="1"/>
  <c r="BT53" i="1"/>
  <c r="AQ65" i="1"/>
  <c r="W309" i="1"/>
  <c r="W329" i="1"/>
  <c r="W339" i="1" s="1"/>
  <c r="AM309" i="1"/>
  <c r="AM329" i="1"/>
  <c r="AM339" i="1" s="1"/>
  <c r="AU309" i="1"/>
  <c r="AU329" i="1"/>
  <c r="AU339" i="1" s="1"/>
  <c r="AQ651" i="1"/>
  <c r="AQ283" i="1"/>
  <c r="AL80" i="1"/>
  <c r="BB390" i="1"/>
  <c r="BB79" i="1"/>
  <c r="BB80" i="1" s="1"/>
  <c r="T1170" i="1"/>
  <c r="T1140" i="1"/>
  <c r="BH1170" i="1"/>
  <c r="BH1140" i="1"/>
  <c r="BD24" i="1"/>
  <c r="BD16" i="9" s="1"/>
  <c r="AO32" i="1"/>
  <c r="AO18" i="9" s="1"/>
  <c r="AP37" i="1"/>
  <c r="AQ44" i="1"/>
  <c r="AQ54" i="1" s="1"/>
  <c r="BQ44" i="1"/>
  <c r="C52" i="1"/>
  <c r="K52" i="1"/>
  <c r="BW52" i="1"/>
  <c r="AR65" i="1"/>
  <c r="C70" i="1"/>
  <c r="K70" i="1"/>
  <c r="AW70" i="1"/>
  <c r="R80" i="1"/>
  <c r="AP89" i="1"/>
  <c r="AP91" i="1" s="1"/>
  <c r="BP89" i="1"/>
  <c r="K81" i="1"/>
  <c r="BX139" i="1"/>
  <c r="BX141" i="1" s="1"/>
  <c r="BG166" i="1"/>
  <c r="AA205" i="1"/>
  <c r="AA203" i="1"/>
  <c r="BT206" i="1"/>
  <c r="BT203" i="1"/>
  <c r="BT210" i="1"/>
  <c r="I204" i="1"/>
  <c r="AL218" i="1"/>
  <c r="AL220" i="1" s="1"/>
  <c r="AM214" i="1"/>
  <c r="AC280" i="1"/>
  <c r="BV280" i="1"/>
  <c r="C349" i="1"/>
  <c r="C352" i="1" s="1"/>
  <c r="AS360" i="1"/>
  <c r="AS362" i="1" s="1"/>
  <c r="AS396" i="1" s="1"/>
  <c r="BU283" i="1"/>
  <c r="BC32" i="9"/>
  <c r="BC377" i="1"/>
  <c r="BC55" i="1" s="1"/>
  <c r="BK32" i="9"/>
  <c r="BK377" i="1"/>
  <c r="V385" i="1"/>
  <c r="AT385" i="1"/>
  <c r="AT291" i="1" s="1"/>
  <c r="AT281" i="1"/>
  <c r="I390" i="1"/>
  <c r="AR89" i="1"/>
  <c r="BI80" i="1"/>
  <c r="BQ280" i="1"/>
  <c r="BQ79" i="1"/>
  <c r="BQ81" i="1" s="1"/>
  <c r="AR390" i="1"/>
  <c r="AZ390" i="1"/>
  <c r="BP390" i="1"/>
  <c r="CH389" i="1"/>
  <c r="P741" i="1"/>
  <c r="P745" i="1" s="1"/>
  <c r="P405" i="1"/>
  <c r="P407" i="1" s="1"/>
  <c r="P39" i="9" s="1"/>
  <c r="BM405" i="1"/>
  <c r="BM741" i="1"/>
  <c r="BM745" i="1" s="1"/>
  <c r="BM746" i="1" s="1"/>
  <c r="H414" i="1"/>
  <c r="H42" i="9" s="1"/>
  <c r="AE421" i="1"/>
  <c r="AE414" i="1"/>
  <c r="BC421" i="1"/>
  <c r="BC414" i="1"/>
  <c r="BC42" i="9" s="1"/>
  <c r="AJ467" i="1"/>
  <c r="AE502" i="1"/>
  <c r="BL512" i="1"/>
  <c r="BL507" i="1" s="1"/>
  <c r="W507" i="1"/>
  <c r="AQ449" i="1"/>
  <c r="BF450" i="1"/>
  <c r="BA492" i="1"/>
  <c r="U478" i="1"/>
  <c r="T472" i="1"/>
  <c r="AS497" i="1"/>
  <c r="T512" i="1"/>
  <c r="BN527" i="1"/>
  <c r="BN530" i="1" s="1"/>
  <c r="BN114" i="1" s="1"/>
  <c r="BJ548" i="1"/>
  <c r="BR548" i="1"/>
  <c r="BX526" i="1"/>
  <c r="BM72" i="1"/>
  <c r="AS85" i="1"/>
  <c r="BQ85" i="1"/>
  <c r="M95" i="1"/>
  <c r="AL100" i="1"/>
  <c r="BB100" i="1"/>
  <c r="BJ100" i="1"/>
  <c r="BL166" i="1"/>
  <c r="BW161" i="1"/>
  <c r="BW162" i="1" s="1"/>
  <c r="BW166" i="1" s="1"/>
  <c r="BJ166" i="1"/>
  <c r="T187" i="1"/>
  <c r="T188" i="1"/>
  <c r="Y189" i="1"/>
  <c r="F190" i="1"/>
  <c r="P190" i="1"/>
  <c r="T390" i="1"/>
  <c r="T35" i="9" s="1"/>
  <c r="Y309" i="1"/>
  <c r="Y360" i="1" s="1"/>
  <c r="Y362" i="1" s="1"/>
  <c r="Y396" i="1" s="1"/>
  <c r="AO309" i="1"/>
  <c r="I281" i="1"/>
  <c r="I283" i="1" s="1"/>
  <c r="AY385" i="1"/>
  <c r="BG385" i="1"/>
  <c r="BO385" i="1"/>
  <c r="BW385" i="1"/>
  <c r="X390" i="1"/>
  <c r="X280" i="1"/>
  <c r="AF390" i="1"/>
  <c r="AN390" i="1"/>
  <c r="AV390" i="1"/>
  <c r="BD390" i="1"/>
  <c r="BD35" i="9" s="1"/>
  <c r="BM390" i="1"/>
  <c r="BM35" i="9" s="1"/>
  <c r="BU390" i="1"/>
  <c r="AA390" i="1"/>
  <c r="BA390" i="1"/>
  <c r="BA35" i="9" s="1"/>
  <c r="BI390" i="1"/>
  <c r="BQ390" i="1"/>
  <c r="BQ290" i="1" s="1"/>
  <c r="BQ58" i="9" s="1"/>
  <c r="BN393" i="1"/>
  <c r="AS414" i="1"/>
  <c r="AS42" i="9" s="1"/>
  <c r="L444" i="1"/>
  <c r="AR449" i="1"/>
  <c r="Z477" i="1"/>
  <c r="Y471" i="1"/>
  <c r="Y472" i="1"/>
  <c r="Z478" i="1"/>
  <c r="BJ497" i="1"/>
  <c r="BS492" i="1"/>
  <c r="BS497" i="1"/>
  <c r="BY512" i="1"/>
  <c r="BY507" i="1" s="1"/>
  <c r="AM512" i="1"/>
  <c r="AM507" i="1" s="1"/>
  <c r="BW512" i="1"/>
  <c r="BW507" i="1" s="1"/>
  <c r="BD529" i="1"/>
  <c r="BD530" i="1" s="1"/>
  <c r="BD114" i="1" s="1"/>
  <c r="AO528" i="1"/>
  <c r="AL548" i="1"/>
  <c r="BC548" i="1"/>
  <c r="BI526" i="1"/>
  <c r="BK548" i="1"/>
  <c r="BN528" i="1"/>
  <c r="BR85" i="1"/>
  <c r="D87" i="1"/>
  <c r="W87" i="1"/>
  <c r="AW87" i="1"/>
  <c r="BU87" i="1"/>
  <c r="W95" i="1"/>
  <c r="AE95" i="1"/>
  <c r="AM95" i="1"/>
  <c r="CA95" i="1"/>
  <c r="BC937" i="1"/>
  <c r="N941" i="1"/>
  <c r="N117" i="1"/>
  <c r="N399" i="1" s="1"/>
  <c r="N925" i="1" s="1"/>
  <c r="F376" i="1"/>
  <c r="F122" i="1"/>
  <c r="F383" i="1" s="1"/>
  <c r="F71" i="1" s="1"/>
  <c r="E122" i="1"/>
  <c r="E383" i="1" s="1"/>
  <c r="E71" i="1" s="1"/>
  <c r="E72" i="1" s="1"/>
  <c r="Y187" i="1"/>
  <c r="G190" i="1"/>
  <c r="AT190" i="1"/>
  <c r="AN201" i="1"/>
  <c r="AN200" i="1"/>
  <c r="P201" i="1"/>
  <c r="P210" i="1"/>
  <c r="Q210" i="1"/>
  <c r="BU210" i="1"/>
  <c r="AS218" i="1"/>
  <c r="AS220" i="1" s="1"/>
  <c r="BH222" i="1"/>
  <c r="BH223" i="1" s="1"/>
  <c r="AN255" i="1"/>
  <c r="BC268" i="1"/>
  <c r="BH393" i="1"/>
  <c r="AM949" i="1"/>
  <c r="BG377" i="1"/>
  <c r="CB418" i="1"/>
  <c r="BO393" i="1"/>
  <c r="BR414" i="1"/>
  <c r="BM444" i="1"/>
  <c r="BR450" i="1" s="1"/>
  <c r="AV450" i="1"/>
  <c r="N476" i="1"/>
  <c r="AE479" i="1"/>
  <c r="AF475" i="1" s="1"/>
  <c r="AD473" i="1"/>
  <c r="AD479" i="1" s="1"/>
  <c r="AH512" i="1"/>
  <c r="AH507" i="1" s="1"/>
  <c r="AK512" i="1"/>
  <c r="AO512" i="1" s="1"/>
  <c r="BO512" i="1"/>
  <c r="BS512" i="1" s="1"/>
  <c r="AG87" i="1"/>
  <c r="P100" i="1"/>
  <c r="P102" i="1" s="1"/>
  <c r="BT100" i="1"/>
  <c r="AK100" i="1"/>
  <c r="AP101" i="1" s="1"/>
  <c r="P129" i="1"/>
  <c r="P416" i="1" s="1"/>
  <c r="BC161" i="1"/>
  <c r="BC162" i="1" s="1"/>
  <c r="BC166" i="1" s="1"/>
  <c r="AP166" i="1"/>
  <c r="BU166" i="1"/>
  <c r="BK166" i="1"/>
  <c r="AD188" i="1"/>
  <c r="AK190" i="1"/>
  <c r="BH201" i="1"/>
  <c r="BH211" i="1" s="1"/>
  <c r="BX205" i="1"/>
  <c r="BX203" i="1"/>
  <c r="BM223" i="1"/>
  <c r="AQ309" i="1"/>
  <c r="AQ313" i="1" s="1"/>
  <c r="AQ315" i="1" s="1"/>
  <c r="AY309" i="1"/>
  <c r="BF309" i="1"/>
  <c r="O742" i="1"/>
  <c r="O745" i="1"/>
  <c r="O746" i="1" s="1"/>
  <c r="AH390" i="1"/>
  <c r="AP390" i="1"/>
  <c r="AX390" i="1"/>
  <c r="BF390" i="1"/>
  <c r="D390" i="1"/>
  <c r="Z393" i="1"/>
  <c r="AX282" i="1"/>
  <c r="BP393" i="1"/>
  <c r="I393" i="1"/>
  <c r="Q393" i="1"/>
  <c r="BX741" i="1"/>
  <c r="BX405" i="1"/>
  <c r="BX407" i="1" s="1"/>
  <c r="BX39" i="9" s="1"/>
  <c r="BX744" i="1"/>
  <c r="W414" i="1"/>
  <c r="W42" i="9" s="1"/>
  <c r="V444" i="1"/>
  <c r="BE450" i="1"/>
  <c r="H466" i="1"/>
  <c r="H478" i="1" s="1"/>
  <c r="BD490" i="1"/>
  <c r="BD497" i="1" s="1"/>
  <c r="BC485" i="1"/>
  <c r="BC490" i="1" s="1"/>
  <c r="BC497" i="1" s="1"/>
  <c r="BH507" i="1"/>
  <c r="BM512" i="1"/>
  <c r="BE512" i="1"/>
  <c r="AY861" i="1"/>
  <c r="BK393" i="1"/>
  <c r="BK36" i="9" s="1"/>
  <c r="I405" i="1"/>
  <c r="I407" i="1" s="1"/>
  <c r="I39" i="9" s="1"/>
  <c r="I741" i="1"/>
  <c r="I745" i="1" s="1"/>
  <c r="I746" i="1" s="1"/>
  <c r="U405" i="1"/>
  <c r="U407" i="1" s="1"/>
  <c r="U39" i="9" s="1"/>
  <c r="U414" i="1"/>
  <c r="BQ414" i="1"/>
  <c r="AA444" i="1"/>
  <c r="P450" i="1"/>
  <c r="BF492" i="1"/>
  <c r="M465" i="1"/>
  <c r="AT512" i="1"/>
  <c r="CH530" i="1"/>
  <c r="CH114" i="1" s="1"/>
  <c r="BI530" i="1"/>
  <c r="BI114" i="1" s="1"/>
  <c r="AM548" i="1"/>
  <c r="AO529" i="1"/>
  <c r="BP557" i="1"/>
  <c r="BP558" i="1" s="1"/>
  <c r="BN554" i="1"/>
  <c r="BL573" i="1"/>
  <c r="BX552" i="1"/>
  <c r="BT573" i="1"/>
  <c r="CB585" i="1"/>
  <c r="CB588" i="1"/>
  <c r="AH607" i="1"/>
  <c r="AH606" i="1"/>
  <c r="G739" i="1"/>
  <c r="G102" i="9" s="1"/>
  <c r="BJ722" i="1"/>
  <c r="BA166" i="1"/>
  <c r="J201" i="1"/>
  <c r="AI200" i="1"/>
  <c r="L282" i="1"/>
  <c r="AC309" i="1"/>
  <c r="AK309" i="1"/>
  <c r="BS309" i="1"/>
  <c r="AP949" i="1"/>
  <c r="AK281" i="1"/>
  <c r="AK283" i="1" s="1"/>
  <c r="BI281" i="1"/>
  <c r="Y390" i="1"/>
  <c r="AG390" i="1"/>
  <c r="AO390" i="1"/>
  <c r="AW390" i="1"/>
  <c r="BE390" i="1"/>
  <c r="BN390" i="1"/>
  <c r="BV390" i="1"/>
  <c r="L390" i="1"/>
  <c r="V390" i="1"/>
  <c r="V35" i="9" s="1"/>
  <c r="AL390" i="1"/>
  <c r="AT390" i="1"/>
  <c r="N393" i="1"/>
  <c r="AV393" i="1"/>
  <c r="AV36" i="9" s="1"/>
  <c r="K407" i="1"/>
  <c r="K39" i="9" s="1"/>
  <c r="BA745" i="1"/>
  <c r="BA746" i="1" s="1"/>
  <c r="BI407" i="1"/>
  <c r="BI39" i="9" s="1"/>
  <c r="K744" i="1"/>
  <c r="BA405" i="1"/>
  <c r="BA407" i="1" s="1"/>
  <c r="BA39" i="9" s="1"/>
  <c r="E414" i="1"/>
  <c r="M444" i="1"/>
  <c r="N444" i="1" s="1"/>
  <c r="BW492" i="1"/>
  <c r="BY449" i="1"/>
  <c r="C467" i="1"/>
  <c r="O465" i="1"/>
  <c r="AD477" i="1"/>
  <c r="AN497" i="1"/>
  <c r="AW497" i="1"/>
  <c r="BA497" i="1"/>
  <c r="BF502" i="1"/>
  <c r="L502" i="1"/>
  <c r="P502" i="1" s="1"/>
  <c r="BI502" i="1"/>
  <c r="J512" i="1"/>
  <c r="K512" i="1" s="1"/>
  <c r="AB512" i="1"/>
  <c r="BR512" i="1"/>
  <c r="BR507" i="1" s="1"/>
  <c r="AY512" i="1"/>
  <c r="AO517" i="1"/>
  <c r="M512" i="1"/>
  <c r="M507" i="1" s="1"/>
  <c r="V512" i="1"/>
  <c r="V507" i="1" s="1"/>
  <c r="AG512" i="1"/>
  <c r="W841" i="1"/>
  <c r="J717" i="1"/>
  <c r="J74" i="9" s="1"/>
  <c r="BD901" i="1"/>
  <c r="P844" i="1"/>
  <c r="Q843" i="1" s="1"/>
  <c r="I868" i="1"/>
  <c r="BE868" i="1"/>
  <c r="BE877" i="1" s="1"/>
  <c r="AJ854" i="1"/>
  <c r="AJ119" i="1" s="1"/>
  <c r="AJ941" i="1" s="1"/>
  <c r="BP868" i="1"/>
  <c r="BP877" i="1" s="1"/>
  <c r="BP705" i="1" s="1"/>
  <c r="BS859" i="1"/>
  <c r="Z863" i="1"/>
  <c r="BS867" i="1"/>
  <c r="AO875" i="1"/>
  <c r="N890" i="1"/>
  <c r="CJ1032" i="1"/>
  <c r="CJ890" i="1"/>
  <c r="K910" i="1"/>
  <c r="AD718" i="1"/>
  <c r="AD73" i="9" s="1"/>
  <c r="I717" i="1"/>
  <c r="I74" i="9" s="1"/>
  <c r="AJ894" i="1"/>
  <c r="BU717" i="1"/>
  <c r="BU74" i="9" s="1"/>
  <c r="E718" i="1"/>
  <c r="E73" i="9" s="1"/>
  <c r="BN897" i="1"/>
  <c r="BI901" i="1"/>
  <c r="AJ905" i="1"/>
  <c r="U910" i="1"/>
  <c r="AE912" i="1"/>
  <c r="BY924" i="1"/>
  <c r="CC924" i="1"/>
  <c r="BW970" i="1"/>
  <c r="Y28" i="11"/>
  <c r="Y31" i="11" s="1"/>
  <c r="CA606" i="1"/>
  <c r="CA607" i="1"/>
  <c r="BY722" i="1"/>
  <c r="O735" i="1"/>
  <c r="AP739" i="1"/>
  <c r="BH737" i="1"/>
  <c r="BA739" i="1"/>
  <c r="BA87" i="9" s="1"/>
  <c r="E10" i="9"/>
  <c r="M10" i="9"/>
  <c r="U10" i="9"/>
  <c r="AC10" i="9"/>
  <c r="AK10" i="9"/>
  <c r="AS10" i="9"/>
  <c r="BA10" i="9"/>
  <c r="BJ10" i="9"/>
  <c r="BR10" i="9"/>
  <c r="BZ10" i="9"/>
  <c r="AT863" i="1"/>
  <c r="AY875" i="1"/>
  <c r="AI926" i="1"/>
  <c r="AI709" i="1"/>
  <c r="AI717" i="1"/>
  <c r="AI74" i="9" s="1"/>
  <c r="AA841" i="1"/>
  <c r="AK841" i="1"/>
  <c r="BE841" i="1"/>
  <c r="BO841" i="1"/>
  <c r="BY841" i="1"/>
  <c r="BF868" i="1"/>
  <c r="BX854" i="1"/>
  <c r="BX119" i="1" s="1"/>
  <c r="BI856" i="1"/>
  <c r="BI857" i="1"/>
  <c r="BI859" i="1"/>
  <c r="BX871" i="1"/>
  <c r="BD880" i="1"/>
  <c r="M717" i="1"/>
  <c r="M74" i="9" s="1"/>
  <c r="Z901" i="1"/>
  <c r="AY901" i="1"/>
  <c r="Z905" i="1"/>
  <c r="AT924" i="1"/>
  <c r="AP924" i="1"/>
  <c r="BH997" i="1"/>
  <c r="T28" i="11"/>
  <c r="T31" i="11" s="1"/>
  <c r="E210" i="11"/>
  <c r="N210" i="11"/>
  <c r="BI497" i="1"/>
  <c r="BX502" i="1"/>
  <c r="BU512" i="1"/>
  <c r="BU507" i="1" s="1"/>
  <c r="Z517" i="1"/>
  <c r="AY517" i="1"/>
  <c r="N512" i="1"/>
  <c r="N507" i="1" s="1"/>
  <c r="BY573" i="1"/>
  <c r="CC552" i="1"/>
  <c r="CC555" i="1" s="1"/>
  <c r="CC711" i="1" s="1"/>
  <c r="BO67" i="9"/>
  <c r="BO942" i="1"/>
  <c r="BO556" i="1"/>
  <c r="BQ739" i="1"/>
  <c r="BQ87" i="9" s="1"/>
  <c r="BI739" i="1"/>
  <c r="F10" i="9"/>
  <c r="N10" i="9"/>
  <c r="V10" i="9"/>
  <c r="AD10" i="9"/>
  <c r="AL10" i="9"/>
  <c r="AT10" i="9"/>
  <c r="BB10" i="9"/>
  <c r="BK10" i="9"/>
  <c r="AN926" i="1"/>
  <c r="AN709" i="1"/>
  <c r="Z841" i="1"/>
  <c r="L868" i="1"/>
  <c r="BN854" i="1"/>
  <c r="BN119" i="1" s="1"/>
  <c r="BN941" i="1" s="1"/>
  <c r="AY866" i="1"/>
  <c r="Z867" i="1"/>
  <c r="Z874" i="1"/>
  <c r="AJ876" i="1"/>
  <c r="BI882" i="1"/>
  <c r="BX882" i="1"/>
  <c r="AQ709" i="1"/>
  <c r="AQ556" i="1" s="1"/>
  <c r="AQ926" i="1"/>
  <c r="BI887" i="1"/>
  <c r="AE888" i="1"/>
  <c r="D718" i="1"/>
  <c r="D73" i="9" s="1"/>
  <c r="BQ910" i="1"/>
  <c r="F718" i="1"/>
  <c r="F73" i="9" s="1"/>
  <c r="P718" i="1"/>
  <c r="P73" i="9" s="1"/>
  <c r="BS900" i="1"/>
  <c r="BD908" i="1"/>
  <c r="AA910" i="1"/>
  <c r="AH926" i="1"/>
  <c r="K924" i="1"/>
  <c r="G924" i="1"/>
  <c r="G938" i="1" s="1"/>
  <c r="T989" i="1"/>
  <c r="D467" i="1"/>
  <c r="O464" i="1"/>
  <c r="W465" i="1"/>
  <c r="AG465" i="1"/>
  <c r="I466" i="1"/>
  <c r="R466" i="1"/>
  <c r="BU497" i="1"/>
  <c r="BV512" i="1"/>
  <c r="BV507" i="1" s="1"/>
  <c r="AJ517" i="1"/>
  <c r="CC606" i="1"/>
  <c r="CB607" i="1"/>
  <c r="J737" i="1"/>
  <c r="J8" i="9" s="1"/>
  <c r="BD863" i="1"/>
  <c r="Q841" i="1"/>
  <c r="Q844" i="1" s="1"/>
  <c r="BX887" i="1"/>
  <c r="AW841" i="1"/>
  <c r="Z851" i="1"/>
  <c r="BN852" i="1"/>
  <c r="P868" i="1"/>
  <c r="AH868" i="1"/>
  <c r="BX859" i="1"/>
  <c r="AQ65" i="9"/>
  <c r="AT870" i="1"/>
  <c r="AO874" i="1"/>
  <c r="BI876" i="1"/>
  <c r="AE880" i="1"/>
  <c r="AF926" i="1"/>
  <c r="AJ884" i="1"/>
  <c r="AJ709" i="1" s="1"/>
  <c r="AJ556" i="1" s="1"/>
  <c r="AF709" i="1"/>
  <c r="AF556" i="1" s="1"/>
  <c r="AR709" i="1"/>
  <c r="AR926" i="1"/>
  <c r="AO888" i="1"/>
  <c r="AT898" i="1"/>
  <c r="AE900" i="1"/>
  <c r="BS912" i="1"/>
  <c r="BN930" i="1"/>
  <c r="BN937" i="1" s="1"/>
  <c r="BJ930" i="1"/>
  <c r="BJ933" i="1" s="1"/>
  <c r="BF990" i="1"/>
  <c r="BF1030" i="1" s="1"/>
  <c r="W1030" i="1"/>
  <c r="O736" i="1"/>
  <c r="BC736" i="1"/>
  <c r="BG1006" i="1"/>
  <c r="CC1016" i="1"/>
  <c r="CB773" i="1"/>
  <c r="CB10" i="9" s="1"/>
  <c r="Y9" i="11"/>
  <c r="Y18" i="11"/>
  <c r="H404" i="11"/>
  <c r="H45" i="11"/>
  <c r="H411" i="11" s="1"/>
  <c r="H39" i="11"/>
  <c r="H41" i="11" s="1"/>
  <c r="R141" i="11"/>
  <c r="R40" i="11"/>
  <c r="R39" i="11"/>
  <c r="R41" i="11" s="1"/>
  <c r="BQ67" i="9"/>
  <c r="BQ942" i="1"/>
  <c r="AC739" i="1"/>
  <c r="AC102" i="9" s="1"/>
  <c r="AV841" i="1"/>
  <c r="G868" i="1"/>
  <c r="AH65" i="9"/>
  <c r="Z870" i="1"/>
  <c r="Z876" i="1"/>
  <c r="AG926" i="1"/>
  <c r="AG927" i="1" s="1"/>
  <c r="AG709" i="1"/>
  <c r="AG1032" i="1" s="1"/>
  <c r="AY887" i="1"/>
  <c r="AO894" i="1"/>
  <c r="AL717" i="1"/>
  <c r="AL74" i="9" s="1"/>
  <c r="BX912" i="1"/>
  <c r="AS1005" i="1"/>
  <c r="AS737" i="1"/>
  <c r="AT742" i="1" s="1"/>
  <c r="AX738" i="1"/>
  <c r="AX9" i="9" s="1"/>
  <c r="AR1006" i="1"/>
  <c r="AR1017" i="1" s="1"/>
  <c r="AR1019" i="1" s="1"/>
  <c r="T8" i="11"/>
  <c r="N147" i="11"/>
  <c r="N50" i="11" s="1"/>
  <c r="N49" i="11"/>
  <c r="W147" i="11"/>
  <c r="W50" i="11" s="1"/>
  <c r="W49" i="11"/>
  <c r="BQ442" i="1"/>
  <c r="BQ770" i="1"/>
  <c r="BQ753" i="1" s="1"/>
  <c r="AE852" i="1"/>
  <c r="BD858" i="1"/>
  <c r="AY859" i="1"/>
  <c r="Z865" i="1"/>
  <c r="BX865" i="1"/>
  <c r="X65" i="9"/>
  <c r="BG65" i="9"/>
  <c r="AH890" i="1"/>
  <c r="CC886" i="1"/>
  <c r="CC712" i="1" s="1"/>
  <c r="BY712" i="1"/>
  <c r="BY944" i="1" s="1"/>
  <c r="AO887" i="1"/>
  <c r="AT889" i="1"/>
  <c r="BA717" i="1"/>
  <c r="BA74" i="9" s="1"/>
  <c r="G717" i="1"/>
  <c r="G74" i="9" s="1"/>
  <c r="W717" i="1"/>
  <c r="W74" i="9" s="1"/>
  <c r="Z899" i="1"/>
  <c r="AJ899" i="1"/>
  <c r="BD899" i="1"/>
  <c r="AJ902" i="1"/>
  <c r="AJ714" i="1" s="1"/>
  <c r="AJ69" i="9" s="1"/>
  <c r="BI902" i="1"/>
  <c r="BI714" i="1" s="1"/>
  <c r="BI69" i="9" s="1"/>
  <c r="BS902" i="1"/>
  <c r="BS714" i="1" s="1"/>
  <c r="BS69" i="9" s="1"/>
  <c r="BR714" i="1"/>
  <c r="BR69" i="9" s="1"/>
  <c r="P930" i="1"/>
  <c r="BL933" i="1"/>
  <c r="AU930" i="1"/>
  <c r="AY930" i="1"/>
  <c r="BK933" i="1"/>
  <c r="BL930" i="1"/>
  <c r="BH970" i="1"/>
  <c r="X108" i="9"/>
  <c r="X1006" i="1"/>
  <c r="AX1005" i="1"/>
  <c r="G1006" i="1"/>
  <c r="BM1015" i="1"/>
  <c r="E95" i="9"/>
  <c r="K334" i="10"/>
  <c r="Z5" i="11"/>
  <c r="S11" i="11"/>
  <c r="O27" i="11"/>
  <c r="O28" i="11" s="1"/>
  <c r="O31" i="11" s="1"/>
  <c r="L28" i="11"/>
  <c r="L31" i="11" s="1"/>
  <c r="Y137" i="11"/>
  <c r="Y115" i="11"/>
  <c r="AD796" i="1"/>
  <c r="AD805" i="1" s="1"/>
  <c r="BR718" i="1"/>
  <c r="BR73" i="9" s="1"/>
  <c r="AS717" i="1"/>
  <c r="AS74" i="9" s="1"/>
  <c r="AI718" i="1"/>
  <c r="AI73" i="9" s="1"/>
  <c r="AT852" i="1"/>
  <c r="BS871" i="1"/>
  <c r="BI872" i="1"/>
  <c r="U890" i="1"/>
  <c r="BY718" i="1"/>
  <c r="BY73" i="9" s="1"/>
  <c r="AT894" i="1"/>
  <c r="AP717" i="1"/>
  <c r="AP74" i="9" s="1"/>
  <c r="BS894" i="1"/>
  <c r="BO717" i="1"/>
  <c r="BO74" i="9" s="1"/>
  <c r="AY902" i="1"/>
  <c r="AY714" i="1" s="1"/>
  <c r="AY69" i="9" s="1"/>
  <c r="AU714" i="1"/>
  <c r="AU69" i="9" s="1"/>
  <c r="BN912" i="1"/>
  <c r="P108" i="9"/>
  <c r="P1006" i="1"/>
  <c r="M465" i="11"/>
  <c r="B493" i="11"/>
  <c r="AD472" i="11"/>
  <c r="R465" i="11"/>
  <c r="AG458" i="11"/>
  <c r="AK465" i="11"/>
  <c r="AI451" i="11"/>
  <c r="AH451" i="11"/>
  <c r="AW465" i="11"/>
  <c r="AU451" i="11"/>
  <c r="AS465" i="11"/>
  <c r="AF451" i="11"/>
  <c r="AR451" i="11"/>
  <c r="N465" i="11"/>
  <c r="AE472" i="11"/>
  <c r="AS451" i="11"/>
  <c r="O465" i="11"/>
  <c r="AF472" i="11"/>
  <c r="AT451" i="11"/>
  <c r="P465" i="11"/>
  <c r="AG472" i="11"/>
  <c r="AO451" i="11"/>
  <c r="Q465" i="11"/>
  <c r="O451" i="11"/>
  <c r="AL472" i="11"/>
  <c r="AJ458" i="11"/>
  <c r="Y465" i="11"/>
  <c r="D465" i="11"/>
  <c r="S458" i="11"/>
  <c r="Z465" i="11"/>
  <c r="X451" i="11"/>
  <c r="AR472" i="11"/>
  <c r="W451" i="11"/>
  <c r="AI465" i="11"/>
  <c r="AG451" i="11"/>
  <c r="AH465" i="11"/>
  <c r="R451" i="11"/>
  <c r="E458" i="11"/>
  <c r="V465" i="11"/>
  <c r="AM472" i="11"/>
  <c r="F458" i="11"/>
  <c r="W465" i="11"/>
  <c r="AN472" i="11"/>
  <c r="G458" i="11"/>
  <c r="X465" i="11"/>
  <c r="AO472" i="11"/>
  <c r="AA451" i="11"/>
  <c r="C465" i="11"/>
  <c r="AI472" i="11"/>
  <c r="AA472" i="11"/>
  <c r="Y458" i="11"/>
  <c r="G451" i="11"/>
  <c r="AP458" i="11"/>
  <c r="AI458" i="11"/>
  <c r="H458" i="11"/>
  <c r="L465" i="11"/>
  <c r="J451" i="11"/>
  <c r="S472" i="11"/>
  <c r="I451" i="11"/>
  <c r="U465" i="11"/>
  <c r="S451" i="11"/>
  <c r="T465" i="11"/>
  <c r="M458" i="11"/>
  <c r="AD465" i="11"/>
  <c r="AU472" i="11"/>
  <c r="N458" i="11"/>
  <c r="AE465" i="11"/>
  <c r="AV472" i="11"/>
  <c r="O458" i="11"/>
  <c r="AF465" i="11"/>
  <c r="AW472" i="11"/>
  <c r="A451" i="11"/>
  <c r="AV458" i="11"/>
  <c r="J472" i="11"/>
  <c r="M472" i="11"/>
  <c r="K458" i="11"/>
  <c r="Q458" i="11"/>
  <c r="J458" i="11"/>
  <c r="Y451" i="11"/>
  <c r="AQ458" i="11"/>
  <c r="E472" i="11"/>
  <c r="J465" i="11"/>
  <c r="I465" i="11"/>
  <c r="D451" i="11"/>
  <c r="U458" i="11"/>
  <c r="AL465" i="11"/>
  <c r="E451" i="11"/>
  <c r="V458" i="11"/>
  <c r="AM465" i="11"/>
  <c r="F451" i="11"/>
  <c r="W458" i="11"/>
  <c r="AN465" i="11"/>
  <c r="Z472" i="11"/>
  <c r="AJ472" i="11"/>
  <c r="AH458" i="11"/>
  <c r="AA465" i="11"/>
  <c r="A472" i="11"/>
  <c r="AP451" i="11"/>
  <c r="C458" i="11"/>
  <c r="K451" i="11"/>
  <c r="AQ472" i="11"/>
  <c r="AP472" i="11"/>
  <c r="L451" i="11"/>
  <c r="AT465" i="11"/>
  <c r="AD458" i="11"/>
  <c r="N451" i="11"/>
  <c r="AV465" i="11"/>
  <c r="V472" i="11"/>
  <c r="A465" i="11"/>
  <c r="AE451" i="11"/>
  <c r="H451" i="11"/>
  <c r="AH472" i="11"/>
  <c r="AC472" i="11"/>
  <c r="AB472" i="11"/>
  <c r="T451" i="11"/>
  <c r="G472" i="11"/>
  <c r="AL458" i="11"/>
  <c r="V451" i="11"/>
  <c r="I472" i="11"/>
  <c r="K472" i="11"/>
  <c r="AR458" i="11"/>
  <c r="Q451" i="11"/>
  <c r="AK472" i="11"/>
  <c r="T472" i="11"/>
  <c r="R472" i="11"/>
  <c r="N472" i="11"/>
  <c r="AB451" i="11"/>
  <c r="O472" i="11"/>
  <c r="AT458" i="11"/>
  <c r="AD451" i="11"/>
  <c r="Q472" i="11"/>
  <c r="AP465" i="11"/>
  <c r="AM451" i="11"/>
  <c r="C451" i="11"/>
  <c r="C225" i="11" s="1"/>
  <c r="U472" i="11"/>
  <c r="AJ465" i="11"/>
  <c r="A458" i="11"/>
  <c r="AK458" i="11"/>
  <c r="G465" i="11"/>
  <c r="AU458" i="11"/>
  <c r="T458" i="11"/>
  <c r="E465" i="11"/>
  <c r="AO465" i="11"/>
  <c r="K465" i="11"/>
  <c r="C472" i="11"/>
  <c r="AS458" i="11"/>
  <c r="AU465" i="11"/>
  <c r="H465" i="11"/>
  <c r="I458" i="11"/>
  <c r="F472" i="11"/>
  <c r="AB458" i="11"/>
  <c r="AN458" i="11"/>
  <c r="F465" i="11"/>
  <c r="H472" i="11"/>
  <c r="Y472" i="11"/>
  <c r="AN451" i="11"/>
  <c r="AF458" i="11"/>
  <c r="AV451" i="11"/>
  <c r="Z458" i="11"/>
  <c r="W472" i="11"/>
  <c r="P472" i="11"/>
  <c r="L472" i="11"/>
  <c r="Z451" i="11"/>
  <c r="D472" i="11"/>
  <c r="M451" i="11"/>
  <c r="AC465" i="11"/>
  <c r="AQ465" i="11"/>
  <c r="AO458" i="11"/>
  <c r="U451" i="11"/>
  <c r="AW458" i="11"/>
  <c r="P451" i="11"/>
  <c r="AA458" i="11"/>
  <c r="AC451" i="11"/>
  <c r="X458" i="11"/>
  <c r="AT472" i="11"/>
  <c r="P458" i="11"/>
  <c r="AK451" i="11"/>
  <c r="AB465" i="11"/>
  <c r="R458" i="11"/>
  <c r="L458" i="11"/>
  <c r="X472" i="11"/>
  <c r="AS472" i="11"/>
  <c r="D458" i="11"/>
  <c r="AQ451" i="11"/>
  <c r="AL451" i="11"/>
  <c r="AR465" i="11"/>
  <c r="AW451" i="11"/>
  <c r="AJ451" i="11"/>
  <c r="AE458" i="11"/>
  <c r="AG465" i="11"/>
  <c r="AC458" i="11"/>
  <c r="AM458" i="11"/>
  <c r="S465" i="11"/>
  <c r="F739" i="1"/>
  <c r="BV841" i="1"/>
  <c r="BI862" i="1"/>
  <c r="AT872" i="1"/>
  <c r="AS997" i="1"/>
  <c r="T735" i="1"/>
  <c r="T737" i="1"/>
  <c r="E4" i="11"/>
  <c r="AN512" i="1"/>
  <c r="AX551" i="1"/>
  <c r="AX555" i="1" s="1"/>
  <c r="AX711" i="1" s="1"/>
  <c r="BT551" i="1"/>
  <c r="BT555" i="1" s="1"/>
  <c r="BT711" i="1" s="1"/>
  <c r="BW573" i="1"/>
  <c r="AT753" i="1"/>
  <c r="BJ753" i="1"/>
  <c r="AX753" i="1"/>
  <c r="G10" i="9"/>
  <c r="O10" i="9"/>
  <c r="W10" i="9"/>
  <c r="AE10" i="9"/>
  <c r="AM10" i="9"/>
  <c r="AU10" i="9"/>
  <c r="BC10" i="9"/>
  <c r="BL10" i="9"/>
  <c r="BT10" i="9"/>
  <c r="BI861" i="1"/>
  <c r="BS862" i="1"/>
  <c r="AJ866" i="1"/>
  <c r="AT867" i="1"/>
  <c r="AJ870" i="1"/>
  <c r="BW814" i="1"/>
  <c r="BW886" i="1" s="1"/>
  <c r="BW712" i="1" s="1"/>
  <c r="BF841" i="1"/>
  <c r="BI896" i="1"/>
  <c r="AJ853" i="1"/>
  <c r="BD854" i="1"/>
  <c r="BD119" i="1" s="1"/>
  <c r="BD941" i="1" s="1"/>
  <c r="BX855" i="1"/>
  <c r="AO856" i="1"/>
  <c r="AW868" i="1"/>
  <c r="AW877" i="1" s="1"/>
  <c r="AW705" i="1" s="1"/>
  <c r="AY857" i="1"/>
  <c r="AO859" i="1"/>
  <c r="AE864" i="1"/>
  <c r="AO864" i="1"/>
  <c r="AT865" i="1"/>
  <c r="BD865" i="1"/>
  <c r="AE866" i="1"/>
  <c r="AO867" i="1"/>
  <c r="AJ872" i="1"/>
  <c r="BA890" i="1"/>
  <c r="BS881" i="1"/>
  <c r="CF1032" i="1"/>
  <c r="CF890" i="1"/>
  <c r="BX885" i="1"/>
  <c r="BX713" i="1" s="1"/>
  <c r="BX72" i="9" s="1"/>
  <c r="AV75" i="9"/>
  <c r="AE903" i="1"/>
  <c r="BD903" i="1"/>
  <c r="BD904" i="1"/>
  <c r="K930" i="1"/>
  <c r="AW933" i="1"/>
  <c r="AN734" i="1"/>
  <c r="AN739" i="1" s="1"/>
  <c r="BM966" i="1"/>
  <c r="BN990" i="1"/>
  <c r="BN99" i="9" s="1"/>
  <c r="AE989" i="1"/>
  <c r="BD990" i="1"/>
  <c r="BM989" i="1"/>
  <c r="BW988" i="1"/>
  <c r="BW989" i="1" s="1"/>
  <c r="BH1005" i="1"/>
  <c r="BM1005" i="1"/>
  <c r="AE1005" i="1"/>
  <c r="AE1006" i="1" s="1"/>
  <c r="K54" i="10"/>
  <c r="K142" i="10"/>
  <c r="U739" i="1"/>
  <c r="U749" i="1" s="1"/>
  <c r="AK739" i="1"/>
  <c r="BZ735" i="1"/>
  <c r="BZ996" i="1" s="1"/>
  <c r="H10" i="9"/>
  <c r="P10" i="9"/>
  <c r="X10" i="9"/>
  <c r="AF10" i="9"/>
  <c r="AN10" i="9"/>
  <c r="AV10" i="9"/>
  <c r="BD10" i="9"/>
  <c r="BM10" i="9"/>
  <c r="BU10" i="9"/>
  <c r="BU841" i="1"/>
  <c r="BS885" i="1"/>
  <c r="BS713" i="1" s="1"/>
  <c r="BS72" i="9" s="1"/>
  <c r="AM841" i="1"/>
  <c r="BG841" i="1"/>
  <c r="BD895" i="1"/>
  <c r="BD898" i="1"/>
  <c r="AY905" i="1"/>
  <c r="I841" i="1"/>
  <c r="S841" i="1"/>
  <c r="AC841" i="1"/>
  <c r="AE853" i="1"/>
  <c r="AY853" i="1"/>
  <c r="AY855" i="1"/>
  <c r="BX856" i="1"/>
  <c r="BI860" i="1"/>
  <c r="AJ861" i="1"/>
  <c r="BI863" i="1"/>
  <c r="BN870" i="1"/>
  <c r="BN871" i="1"/>
  <c r="BX872" i="1"/>
  <c r="BN876" i="1"/>
  <c r="S890" i="1"/>
  <c r="AF890" i="1"/>
  <c r="AJ881" i="1"/>
  <c r="AT881" i="1"/>
  <c r="AW890" i="1"/>
  <c r="BN885" i="1"/>
  <c r="BN713" i="1" s="1"/>
  <c r="BN72" i="9" s="1"/>
  <c r="BT888" i="1"/>
  <c r="BT75" i="9" s="1"/>
  <c r="BS907" i="1"/>
  <c r="AE908" i="1"/>
  <c r="Z909" i="1"/>
  <c r="CE926" i="1"/>
  <c r="K937" i="1"/>
  <c r="AM933" i="1"/>
  <c r="BZ932" i="1"/>
  <c r="CJ932" i="1"/>
  <c r="BY970" i="1"/>
  <c r="AQ990" i="1"/>
  <c r="AI989" i="1"/>
  <c r="BO989" i="1"/>
  <c r="AL990" i="1"/>
  <c r="AL1030" i="1" s="1"/>
  <c r="BM995" i="1"/>
  <c r="BM997" i="1" s="1"/>
  <c r="U108" i="9"/>
  <c r="U109" i="9" s="1"/>
  <c r="U1006" i="1"/>
  <c r="AC1006" i="1"/>
  <c r="AC1017" i="1" s="1"/>
  <c r="Y1015" i="1"/>
  <c r="O9" i="11"/>
  <c r="P11" i="11"/>
  <c r="I65" i="11"/>
  <c r="I95" i="11"/>
  <c r="I101" i="11" s="1"/>
  <c r="L512" i="1"/>
  <c r="BD555" i="1"/>
  <c r="BD711" i="1" s="1"/>
  <c r="BI555" i="1"/>
  <c r="BI711" i="1" s="1"/>
  <c r="CH634" i="1"/>
  <c r="CH379" i="1" s="1"/>
  <c r="CH650" i="1"/>
  <c r="BJ739" i="1"/>
  <c r="H480" i="1"/>
  <c r="H490" i="1" s="1"/>
  <c r="H497" i="1" s="1"/>
  <c r="Y10" i="9"/>
  <c r="AE841" i="1"/>
  <c r="AD717" i="1"/>
  <c r="AD74" i="9" s="1"/>
  <c r="BH718" i="1"/>
  <c r="BH73" i="9" s="1"/>
  <c r="BX899" i="1"/>
  <c r="Y717" i="1"/>
  <c r="Y74" i="9" s="1"/>
  <c r="AJ909" i="1"/>
  <c r="K841" i="1"/>
  <c r="AY841" i="1"/>
  <c r="AM868" i="1"/>
  <c r="AM877" i="1" s="1"/>
  <c r="AM705" i="1" s="1"/>
  <c r="AY852" i="1"/>
  <c r="C868" i="1"/>
  <c r="AT854" i="1"/>
  <c r="AT119" i="1" s="1"/>
  <c r="AY863" i="1"/>
  <c r="BS864" i="1"/>
  <c r="AJ865" i="1"/>
  <c r="BN873" i="1"/>
  <c r="L890" i="1"/>
  <c r="AJ900" i="1"/>
  <c r="AJ903" i="1"/>
  <c r="AO905" i="1"/>
  <c r="BG933" i="1"/>
  <c r="BH930" i="1"/>
  <c r="O970" i="1"/>
  <c r="O990" i="1" s="1"/>
  <c r="M990" i="1"/>
  <c r="R1030" i="1" s="1"/>
  <c r="AS988" i="1"/>
  <c r="AS989" i="1" s="1"/>
  <c r="AS990" i="1" s="1"/>
  <c r="AT989" i="1"/>
  <c r="AT990" i="1" s="1"/>
  <c r="AD1006" i="1"/>
  <c r="BH1015" i="1"/>
  <c r="AS1015" i="1"/>
  <c r="AS94" i="9" s="1"/>
  <c r="AM1025" i="1"/>
  <c r="AI404" i="11"/>
  <c r="AC65" i="11"/>
  <c r="AC88" i="11"/>
  <c r="AC93" i="11" s="1"/>
  <c r="H157" i="11"/>
  <c r="H48" i="11" s="1"/>
  <c r="H47" i="11"/>
  <c r="R47" i="11"/>
  <c r="AK47" i="11"/>
  <c r="AK157" i="11"/>
  <c r="AK48" i="11" s="1"/>
  <c r="Z317" i="11"/>
  <c r="Z199" i="11"/>
  <c r="Z421" i="11" s="1"/>
  <c r="E196" i="11"/>
  <c r="E409" i="11" s="1"/>
  <c r="AJ530" i="1"/>
  <c r="AJ114" i="1" s="1"/>
  <c r="K634" i="1"/>
  <c r="BV753" i="1"/>
  <c r="BS770" i="1"/>
  <c r="BS753" i="1" s="1"/>
  <c r="BS872" i="1"/>
  <c r="BD888" i="1"/>
  <c r="O717" i="1"/>
  <c r="O74" i="9" s="1"/>
  <c r="BC717" i="1"/>
  <c r="BC74" i="9" s="1"/>
  <c r="BN895" i="1"/>
  <c r="BX896" i="1"/>
  <c r="BI905" i="1"/>
  <c r="C841" i="1"/>
  <c r="C844" i="1" s="1"/>
  <c r="D843" i="1" s="1"/>
  <c r="AF841" i="1"/>
  <c r="H868" i="1"/>
  <c r="AV868" i="1"/>
  <c r="D868" i="1"/>
  <c r="AO853" i="1"/>
  <c r="AT856" i="1"/>
  <c r="AO861" i="1"/>
  <c r="AE865" i="1"/>
  <c r="AO865" i="1"/>
  <c r="K65" i="9"/>
  <c r="BN872" i="1"/>
  <c r="BE890" i="1"/>
  <c r="AE885" i="1"/>
  <c r="AE713" i="1" s="1"/>
  <c r="AE72" i="9" s="1"/>
  <c r="AO885" i="1"/>
  <c r="AO713" i="1" s="1"/>
  <c r="AO72" i="9" s="1"/>
  <c r="AY895" i="1"/>
  <c r="AY896" i="1"/>
  <c r="Z898" i="1"/>
  <c r="BF718" i="1"/>
  <c r="BF73" i="9" s="1"/>
  <c r="AT906" i="1"/>
  <c r="AO907" i="1"/>
  <c r="AZ930" i="1"/>
  <c r="CF926" i="1"/>
  <c r="BC988" i="1"/>
  <c r="BC989" i="1" s="1"/>
  <c r="BQ989" i="1"/>
  <c r="BQ990" i="1" s="1"/>
  <c r="BQ99" i="9" s="1"/>
  <c r="AD990" i="1"/>
  <c r="AM1006" i="1"/>
  <c r="D1006" i="1"/>
  <c r="D1017" i="1" s="1"/>
  <c r="AF1006" i="1"/>
  <c r="J1015" i="1"/>
  <c r="AT106" i="13"/>
  <c r="K24" i="10"/>
  <c r="K147" i="10"/>
  <c r="K191" i="10"/>
  <c r="T9" i="11"/>
  <c r="AD10" i="11"/>
  <c r="O133" i="11"/>
  <c r="O45" i="11" s="1"/>
  <c r="O58" i="11"/>
  <c r="AD136" i="11"/>
  <c r="AD58" i="11"/>
  <c r="K65" i="11"/>
  <c r="K88" i="11"/>
  <c r="K93" i="11" s="1"/>
  <c r="Z141" i="11"/>
  <c r="Z40" i="11" s="1"/>
  <c r="Z42" i="11" s="1"/>
  <c r="Z49" i="11"/>
  <c r="AI49" i="11"/>
  <c r="AI141" i="11"/>
  <c r="AI47" i="11"/>
  <c r="AI45" i="11"/>
  <c r="AI411" i="11" s="1"/>
  <c r="Z39" i="11"/>
  <c r="Z41" i="11" s="1"/>
  <c r="AI39" i="11"/>
  <c r="AI41" i="11" s="1"/>
  <c r="X196" i="11"/>
  <c r="AK397" i="11"/>
  <c r="S157" i="11"/>
  <c r="S48" i="11" s="1"/>
  <c r="D317" i="11"/>
  <c r="C317" i="11"/>
  <c r="U65" i="11"/>
  <c r="U68" i="11" s="1"/>
  <c r="U70" i="11" s="1"/>
  <c r="L88" i="11"/>
  <c r="L93" i="11" s="1"/>
  <c r="T133" i="11"/>
  <c r="AL342" i="11"/>
  <c r="C152" i="11"/>
  <c r="C46" i="11" s="1"/>
  <c r="K152" i="11"/>
  <c r="K46" i="11" s="1"/>
  <c r="AA46" i="11"/>
  <c r="K157" i="11"/>
  <c r="K48" i="11" s="1"/>
  <c r="G210" i="11"/>
  <c r="T288" i="11"/>
  <c r="T247" i="11"/>
  <c r="T253" i="11" s="1"/>
  <c r="AD163" i="11"/>
  <c r="AD209" i="11"/>
  <c r="I397" i="11"/>
  <c r="AJ40" i="11"/>
  <c r="D65" i="11"/>
  <c r="R50" i="11"/>
  <c r="AA147" i="11"/>
  <c r="AA50" i="11" s="1"/>
  <c r="L157" i="11"/>
  <c r="L48" i="11" s="1"/>
  <c r="AG181" i="11"/>
  <c r="AL369" i="11"/>
  <c r="AL407" i="11" s="1"/>
  <c r="T175" i="11"/>
  <c r="U95" i="11"/>
  <c r="U101" i="11" s="1"/>
  <c r="T115" i="11"/>
  <c r="S147" i="11"/>
  <c r="S50" i="11" s="1"/>
  <c r="AB147" i="11"/>
  <c r="AB50" i="11" s="1"/>
  <c r="W157" i="11"/>
  <c r="W48" i="11" s="1"/>
  <c r="Q414" i="11"/>
  <c r="AF297" i="11"/>
  <c r="AA199" i="11"/>
  <c r="AA414" i="11" s="1"/>
  <c r="AI358" i="11"/>
  <c r="AI369" i="11" s="1"/>
  <c r="O210" i="11"/>
  <c r="AJ47" i="11"/>
  <c r="R49" i="11"/>
  <c r="AH65" i="11"/>
  <c r="AH88" i="11"/>
  <c r="AH93" i="11" s="1"/>
  <c r="K147" i="11"/>
  <c r="K50" i="11" s="1"/>
  <c r="AL49" i="11"/>
  <c r="X157" i="11"/>
  <c r="X48" i="11" s="1"/>
  <c r="AF157" i="11"/>
  <c r="AF48" i="11" s="1"/>
  <c r="R281" i="11"/>
  <c r="F297" i="11"/>
  <c r="F193" i="11" s="1"/>
  <c r="AJ297" i="11"/>
  <c r="G163" i="11"/>
  <c r="P163" i="11"/>
  <c r="R841" i="1"/>
  <c r="AL841" i="1"/>
  <c r="BI851" i="1"/>
  <c r="Z853" i="1"/>
  <c r="BN853" i="1"/>
  <c r="BI858" i="1"/>
  <c r="AE863" i="1"/>
  <c r="G65" i="9"/>
  <c r="Q65" i="9"/>
  <c r="AO870" i="1"/>
  <c r="BI870" i="1"/>
  <c r="BI871" i="1"/>
  <c r="AJ874" i="1"/>
  <c r="BD874" i="1"/>
  <c r="X890" i="1"/>
  <c r="AY881" i="1"/>
  <c r="CD890" i="1"/>
  <c r="CH1041" i="1" s="1"/>
  <c r="AT887" i="1"/>
  <c r="BN887" i="1"/>
  <c r="Z888" i="1"/>
  <c r="AB717" i="1"/>
  <c r="AB74" i="9" s="1"/>
  <c r="BK717" i="1"/>
  <c r="BK74" i="9" s="1"/>
  <c r="BI899" i="1"/>
  <c r="X718" i="1"/>
  <c r="X73" i="9" s="1"/>
  <c r="BV718" i="1"/>
  <c r="BV73" i="9" s="1"/>
  <c r="BN904" i="1"/>
  <c r="AO908" i="1"/>
  <c r="Z937" i="1"/>
  <c r="AJ937" i="1"/>
  <c r="AT937" i="1"/>
  <c r="CG932" i="1"/>
  <c r="C990" i="1"/>
  <c r="H1030" i="1" s="1"/>
  <c r="AP990" i="1"/>
  <c r="BK989" i="1"/>
  <c r="BU989" i="1"/>
  <c r="N990" i="1"/>
  <c r="BI990" i="1"/>
  <c r="T997" i="1"/>
  <c r="T108" i="9" s="1"/>
  <c r="AS995" i="1"/>
  <c r="CB738" i="1"/>
  <c r="CB9" i="9" s="1"/>
  <c r="AK1006" i="1"/>
  <c r="AK1017" i="1" s="1"/>
  <c r="BR1015" i="1"/>
  <c r="BR94" i="9" s="1"/>
  <c r="BW1015" i="1"/>
  <c r="BW94" i="9" s="1"/>
  <c r="K42" i="10"/>
  <c r="K119" i="10"/>
  <c r="AC11" i="11"/>
  <c r="AI28" i="11"/>
  <c r="AI31" i="11" s="1"/>
  <c r="S49" i="11"/>
  <c r="AI65" i="11"/>
  <c r="O163" i="11"/>
  <c r="V88" i="11"/>
  <c r="V93" i="11" s="1"/>
  <c r="AF141" i="11"/>
  <c r="AF40" i="11" s="1"/>
  <c r="C147" i="11"/>
  <c r="AE211" i="11"/>
  <c r="AE212" i="11"/>
  <c r="AD328" i="11"/>
  <c r="AG414" i="11"/>
  <c r="L328" i="11"/>
  <c r="M328" i="11"/>
  <c r="J209" i="11"/>
  <c r="J210" i="11" s="1"/>
  <c r="AE876" i="1"/>
  <c r="AO876" i="1"/>
  <c r="AV890" i="1"/>
  <c r="AT885" i="1"/>
  <c r="AT713" i="1" s="1"/>
  <c r="AT72" i="9" s="1"/>
  <c r="AE886" i="1"/>
  <c r="AE712" i="1" s="1"/>
  <c r="AE71" i="9" s="1"/>
  <c r="BX886" i="1"/>
  <c r="BX712" i="1" s="1"/>
  <c r="AB910" i="1"/>
  <c r="BS895" i="1"/>
  <c r="AE897" i="1"/>
  <c r="AY898" i="1"/>
  <c r="AO899" i="1"/>
  <c r="AV718" i="1"/>
  <c r="AV73" i="9" s="1"/>
  <c r="D717" i="1"/>
  <c r="D74" i="9" s="1"/>
  <c r="L717" i="1"/>
  <c r="L74" i="9" s="1"/>
  <c r="G718" i="1"/>
  <c r="G73" i="9" s="1"/>
  <c r="BX905" i="1"/>
  <c r="BN909" i="1"/>
  <c r="AY912" i="1"/>
  <c r="BS939" i="1"/>
  <c r="D990" i="1"/>
  <c r="L990" i="1"/>
  <c r="L1019" i="1" s="1"/>
  <c r="BB990" i="1"/>
  <c r="BA1030" i="1" s="1"/>
  <c r="F990" i="1"/>
  <c r="AN1005" i="1"/>
  <c r="J1005" i="1"/>
  <c r="AE1015" i="1"/>
  <c r="P95" i="9"/>
  <c r="BI38" i="13"/>
  <c r="K114" i="10"/>
  <c r="K120" i="10"/>
  <c r="K182" i="10"/>
  <c r="O404" i="11"/>
  <c r="AI18" i="11"/>
  <c r="R11" i="11"/>
  <c r="V45" i="11"/>
  <c r="V411" i="11" s="1"/>
  <c r="W47" i="11"/>
  <c r="C88" i="11"/>
  <c r="C93" i="11" s="1"/>
  <c r="Y133" i="11"/>
  <c r="X141" i="11"/>
  <c r="X40" i="11" s="1"/>
  <c r="X42" i="11" s="1"/>
  <c r="I141" i="11"/>
  <c r="V147" i="11"/>
  <c r="V50" i="11" s="1"/>
  <c r="AF147" i="11"/>
  <c r="AF50" i="11" s="1"/>
  <c r="I316" i="11"/>
  <c r="I198" i="11" s="1"/>
  <c r="I267" i="11"/>
  <c r="I281" i="11" s="1"/>
  <c r="AI328" i="11"/>
  <c r="AF196" i="11"/>
  <c r="M196" i="11"/>
  <c r="M409" i="11" s="1"/>
  <c r="D328" i="11"/>
  <c r="O378" i="11"/>
  <c r="AI196" i="11"/>
  <c r="AI409" i="11" s="1"/>
  <c r="O196" i="11"/>
  <c r="O409" i="11" s="1"/>
  <c r="S181" i="11"/>
  <c r="V328" i="11"/>
  <c r="T210" i="11"/>
  <c r="K369" i="11"/>
  <c r="T358" i="11"/>
  <c r="J368" i="11"/>
  <c r="AE388" i="11"/>
  <c r="AL39" i="11"/>
  <c r="AL41" i="11" s="1"/>
  <c r="F49" i="11"/>
  <c r="AH147" i="11"/>
  <c r="AH50" i="11" s="1"/>
  <c r="P147" i="11"/>
  <c r="P50" i="11" s="1"/>
  <c r="E147" i="11"/>
  <c r="E50" i="11" s="1"/>
  <c r="M147" i="11"/>
  <c r="M50" i="11" s="1"/>
  <c r="U147" i="11"/>
  <c r="U50" i="11" s="1"/>
  <c r="P157" i="11"/>
  <c r="P48" i="11" s="1"/>
  <c r="U157" i="11"/>
  <c r="U48" i="11" s="1"/>
  <c r="AL181" i="11"/>
  <c r="U175" i="11"/>
  <c r="AC175" i="11"/>
  <c r="AK175" i="11"/>
  <c r="V210" i="11"/>
  <c r="C199" i="11"/>
  <c r="S199" i="11"/>
  <c r="AL328" i="11"/>
  <c r="E328" i="11"/>
  <c r="O39" i="11"/>
  <c r="O41" i="11" s="1"/>
  <c r="M65" i="11"/>
  <c r="M68" i="11" s="1"/>
  <c r="M70" i="11" s="1"/>
  <c r="Z147" i="11"/>
  <c r="Z50" i="11" s="1"/>
  <c r="AI147" i="11"/>
  <c r="AI50" i="11" s="1"/>
  <c r="AL147" i="11"/>
  <c r="AL50" i="11" s="1"/>
  <c r="I45" i="11"/>
  <c r="I411" i="11" s="1"/>
  <c r="AC152" i="11"/>
  <c r="AC46" i="11" s="1"/>
  <c r="AB152" i="11"/>
  <c r="AB46" i="11" s="1"/>
  <c r="AJ152" i="11"/>
  <c r="AJ46" i="11" s="1"/>
  <c r="P152" i="11"/>
  <c r="P46" i="11" s="1"/>
  <c r="AJ157" i="11"/>
  <c r="AJ48" i="11" s="1"/>
  <c r="F157" i="11"/>
  <c r="F48" i="11" s="1"/>
  <c r="C175" i="11"/>
  <c r="L175" i="11"/>
  <c r="V175" i="11"/>
  <c r="AD175" i="11"/>
  <c r="AL175" i="11"/>
  <c r="W210" i="11"/>
  <c r="M210" i="11"/>
  <c r="O297" i="11"/>
  <c r="C196" i="11"/>
  <c r="C409" i="11" s="1"/>
  <c r="L196" i="11"/>
  <c r="L409" i="11" s="1"/>
  <c r="U196" i="11"/>
  <c r="U409" i="11" s="1"/>
  <c r="D199" i="11"/>
  <c r="D414" i="11" s="1"/>
  <c r="L199" i="11"/>
  <c r="L414" i="11" s="1"/>
  <c r="T199" i="11"/>
  <c r="AB199" i="11"/>
  <c r="V369" i="11"/>
  <c r="AJ210" i="11"/>
  <c r="AJ212" i="11" s="1"/>
  <c r="H210" i="11"/>
  <c r="P210" i="11"/>
  <c r="X210" i="11"/>
  <c r="AF210" i="11"/>
  <c r="J181" i="11"/>
  <c r="AG281" i="11"/>
  <c r="Q317" i="11"/>
  <c r="X317" i="11"/>
  <c r="AH317" i="11"/>
  <c r="E199" i="11"/>
  <c r="M199" i="11"/>
  <c r="U199" i="11"/>
  <c r="U414" i="11" s="1"/>
  <c r="AK199" i="11"/>
  <c r="AF369" i="11"/>
  <c r="T368" i="11"/>
  <c r="AD368" i="11"/>
  <c r="K388" i="11"/>
  <c r="K397" i="11" s="1"/>
  <c r="U388" i="11"/>
  <c r="U397" i="11" s="1"/>
  <c r="O387" i="11"/>
  <c r="O388" i="11" s="1"/>
  <c r="O397" i="11" s="1"/>
  <c r="R397" i="11"/>
  <c r="AL397" i="11"/>
  <c r="Y414" i="11"/>
  <c r="Z281" i="11"/>
  <c r="F317" i="11"/>
  <c r="N199" i="11"/>
  <c r="V199" i="11"/>
  <c r="I317" i="11"/>
  <c r="AK196" i="11"/>
  <c r="AK409" i="11" s="1"/>
  <c r="N369" i="11"/>
  <c r="AL210" i="11"/>
  <c r="Z210" i="11"/>
  <c r="Z211" i="11" s="1"/>
  <c r="AH210" i="11"/>
  <c r="Q281" i="11"/>
  <c r="AA281" i="11"/>
  <c r="AB317" i="11"/>
  <c r="AA317" i="11"/>
  <c r="AJ199" i="11"/>
  <c r="AJ414" i="11" s="1"/>
  <c r="G328" i="11"/>
  <c r="AJ328" i="11"/>
  <c r="X369" i="11"/>
  <c r="X399" i="11" s="1"/>
  <c r="X328" i="11"/>
  <c r="C369" i="11"/>
  <c r="L369" i="11"/>
  <c r="AE369" i="11"/>
  <c r="AJ368" i="11"/>
  <c r="AJ369" i="11" s="1"/>
  <c r="AH388" i="11"/>
  <c r="E369" i="11"/>
  <c r="M388" i="11"/>
  <c r="AD387" i="11"/>
  <c r="J387" i="11"/>
  <c r="Z388" i="11"/>
  <c r="E397" i="11"/>
  <c r="E399" i="11" s="1"/>
  <c r="N397" i="11"/>
  <c r="N399" i="11" s="1"/>
  <c r="AH397" i="11"/>
  <c r="AH399" i="11" s="1"/>
  <c r="AH369" i="11"/>
  <c r="AA388" i="11"/>
  <c r="Y395" i="11"/>
  <c r="AI395" i="11"/>
  <c r="O395" i="11"/>
  <c r="F397" i="11"/>
  <c r="F399" i="11" s="1"/>
  <c r="Z397" i="11"/>
  <c r="Z399" i="11" s="1"/>
  <c r="M442" i="1"/>
  <c r="BR770" i="1"/>
  <c r="BR753" i="1" s="1"/>
  <c r="D442" i="1"/>
  <c r="D480" i="1" s="1"/>
  <c r="D490" i="1" s="1"/>
  <c r="F770" i="1"/>
  <c r="F753" i="1" s="1"/>
  <c r="F442" i="1"/>
  <c r="N770" i="1"/>
  <c r="N753" i="1" s="1"/>
  <c r="N442" i="1"/>
  <c r="AD770" i="1"/>
  <c r="AD753" i="1" s="1"/>
  <c r="AD442" i="1"/>
  <c r="AR442" i="1"/>
  <c r="AR770" i="1"/>
  <c r="AR753" i="1" s="1"/>
  <c r="BP770" i="1"/>
  <c r="BP753" i="1" s="1"/>
  <c r="BP442" i="1"/>
  <c r="B1184" i="1"/>
  <c r="BY442" i="1"/>
  <c r="E770" i="1"/>
  <c r="E753" i="1" s="1"/>
  <c r="E442" i="1"/>
  <c r="E480" i="1" s="1"/>
  <c r="E490" i="1" s="1"/>
  <c r="AS442" i="1"/>
  <c r="AS770" i="1"/>
  <c r="AS753" i="1" s="1"/>
  <c r="G770" i="1"/>
  <c r="G753" i="1" s="1"/>
  <c r="G442" i="1"/>
  <c r="G480" i="1" s="1"/>
  <c r="G490" i="1" s="1"/>
  <c r="G497" i="1" s="1"/>
  <c r="O770" i="1"/>
  <c r="O753" i="1" s="1"/>
  <c r="O442" i="1"/>
  <c r="AM770" i="1"/>
  <c r="AM753" i="1" s="1"/>
  <c r="AM442" i="1"/>
  <c r="BC770" i="1"/>
  <c r="BC753" i="1" s="1"/>
  <c r="BC442" i="1"/>
  <c r="AG753" i="1"/>
  <c r="AO753" i="1"/>
  <c r="P442" i="1"/>
  <c r="AO442" i="1"/>
  <c r="BE442" i="1"/>
  <c r="R753" i="1"/>
  <c r="BB753" i="1"/>
  <c r="BK753" i="1"/>
  <c r="Q442" i="1"/>
  <c r="J753" i="1"/>
  <c r="BH442" i="1"/>
  <c r="AY770" i="1"/>
  <c r="AY753" i="1" s="1"/>
  <c r="AZ442" i="1"/>
  <c r="BA442" i="1"/>
  <c r="BJ442" i="1"/>
  <c r="AU753" i="1"/>
  <c r="D753" i="1"/>
  <c r="AJ753" i="1"/>
  <c r="AC770" i="1"/>
  <c r="AC753" i="1" s="1"/>
  <c r="AJ442" i="1"/>
  <c r="BB442" i="1"/>
  <c r="BI442" i="1"/>
  <c r="AB442" i="1"/>
  <c r="AK442" i="1"/>
  <c r="AT442" i="1"/>
  <c r="I753" i="1"/>
  <c r="AW753" i="1"/>
  <c r="BE753" i="1"/>
  <c r="BU753" i="1"/>
  <c r="AL770" i="1"/>
  <c r="AL753" i="1" s="1"/>
  <c r="T442" i="1"/>
  <c r="BN765" i="1"/>
  <c r="BE765" i="1"/>
  <c r="I764" i="1"/>
  <c r="BE764" i="1"/>
  <c r="I765" i="1"/>
  <c r="BU765" i="1"/>
  <c r="I766" i="1"/>
  <c r="Q766" i="1"/>
  <c r="BN766" i="1"/>
  <c r="BO766" i="1"/>
  <c r="BT765" i="1"/>
  <c r="CK418" i="1"/>
  <c r="CD418" i="1"/>
  <c r="CF418" i="1"/>
  <c r="E2" i="9"/>
  <c r="E5" i="13"/>
  <c r="D683" i="1"/>
  <c r="F5" i="1"/>
  <c r="L441" i="1"/>
  <c r="AC441" i="1"/>
  <c r="BL26" i="9"/>
  <c r="BL44" i="1"/>
  <c r="AX75" i="1"/>
  <c r="H81" i="1"/>
  <c r="H89" i="1"/>
  <c r="H91" i="1" s="1"/>
  <c r="BK936" i="1"/>
  <c r="BK927" i="1"/>
  <c r="X341" i="1"/>
  <c r="X352" i="1" s="1"/>
  <c r="X309" i="1"/>
  <c r="E441" i="1"/>
  <c r="M441" i="1"/>
  <c r="S937" i="1"/>
  <c r="U441" i="1"/>
  <c r="Q742" i="1"/>
  <c r="S744" i="1"/>
  <c r="R744" i="1"/>
  <c r="AL441" i="1"/>
  <c r="T21" i="9"/>
  <c r="V8" i="1"/>
  <c r="T8" i="1"/>
  <c r="T34" i="1"/>
  <c r="BI21" i="9"/>
  <c r="BI1026" i="1"/>
  <c r="BI34" i="1"/>
  <c r="BI9" i="1"/>
  <c r="BI14" i="9" s="1"/>
  <c r="AK26" i="9"/>
  <c r="AK37" i="1"/>
  <c r="AK44" i="1"/>
  <c r="AK38" i="1"/>
  <c r="AK19" i="9" s="1"/>
  <c r="AT26" i="9"/>
  <c r="AT44" i="1"/>
  <c r="BC26" i="9"/>
  <c r="BC38" i="1"/>
  <c r="BC19" i="9" s="1"/>
  <c r="BC37" i="1"/>
  <c r="BC44" i="1"/>
  <c r="BE37" i="1"/>
  <c r="BL38" i="1"/>
  <c r="BL19" i="9" s="1"/>
  <c r="BW48" i="1"/>
  <c r="AT54" i="1"/>
  <c r="AY75" i="1"/>
  <c r="AL89" i="1"/>
  <c r="BB85" i="1"/>
  <c r="AC85" i="1"/>
  <c r="BM89" i="1"/>
  <c r="BM87" i="1"/>
  <c r="AK90" i="1"/>
  <c r="W102" i="1"/>
  <c r="W101" i="1"/>
  <c r="AK441" i="1"/>
  <c r="BD26" i="9"/>
  <c r="BB26" i="9"/>
  <c r="BG38" i="1"/>
  <c r="BG19" i="9" s="1"/>
  <c r="BB38" i="1"/>
  <c r="BB19" i="9" s="1"/>
  <c r="BB37" i="1"/>
  <c r="BL37" i="1"/>
  <c r="BB54" i="1"/>
  <c r="AD936" i="1"/>
  <c r="AD927" i="1"/>
  <c r="N651" i="1"/>
  <c r="N652" i="1" s="1"/>
  <c r="CF23" i="9"/>
  <c r="CF23" i="1"/>
  <c r="BG87" i="1"/>
  <c r="BD75" i="1"/>
  <c r="AM101" i="1"/>
  <c r="D441" i="1"/>
  <c r="AT441" i="1"/>
  <c r="BB44" i="1"/>
  <c r="BT87" i="1"/>
  <c r="AE651" i="1"/>
  <c r="O308" i="1"/>
  <c r="O341" i="1" s="1"/>
  <c r="O352" i="1" s="1"/>
  <c r="O386" i="1"/>
  <c r="N341" i="1"/>
  <c r="N352" i="1" s="1"/>
  <c r="N309" i="1"/>
  <c r="N313" i="1" s="1"/>
  <c r="N315" i="1" s="1"/>
  <c r="W85" i="1"/>
  <c r="W52" i="1"/>
  <c r="W96" i="1"/>
  <c r="W46" i="1"/>
  <c r="AW46" i="1"/>
  <c r="BH164" i="1"/>
  <c r="AF42" i="9"/>
  <c r="AF429" i="1"/>
  <c r="BL42" i="9"/>
  <c r="BL429" i="1"/>
  <c r="T1" i="9"/>
  <c r="BH1" i="9"/>
  <c r="BH3" i="1"/>
  <c r="BH441" i="1" s="1"/>
  <c r="AD44" i="1"/>
  <c r="AD37" i="1"/>
  <c r="X96" i="1"/>
  <c r="X66" i="1"/>
  <c r="X46" i="1"/>
  <c r="AN70" i="1"/>
  <c r="BP70" i="1"/>
  <c r="V74" i="1"/>
  <c r="AC81" i="1"/>
  <c r="BN101" i="1"/>
  <c r="AL721" i="1"/>
  <c r="AL722" i="1" s="1"/>
  <c r="BE507" i="1"/>
  <c r="AN341" i="1"/>
  <c r="AN352" i="1" s="1"/>
  <c r="AN309" i="1"/>
  <c r="AR313" i="1"/>
  <c r="AR315" i="1" s="1"/>
  <c r="AR360" i="1"/>
  <c r="AR362" i="1" s="1"/>
  <c r="AR396" i="1" s="1"/>
  <c r="AP46" i="1"/>
  <c r="BU46" i="1"/>
  <c r="AD89" i="1"/>
  <c r="BB89" i="1"/>
  <c r="AE102" i="1"/>
  <c r="AE101" i="1"/>
  <c r="D102" i="1"/>
  <c r="D101" i="1"/>
  <c r="AY24" i="9"/>
  <c r="AY28" i="1"/>
  <c r="AY17" i="9" s="1"/>
  <c r="BY74" i="1"/>
  <c r="BT42" i="9"/>
  <c r="BT429" i="1"/>
  <c r="Y1" i="9"/>
  <c r="Y3" i="1"/>
  <c r="BM1" i="9"/>
  <c r="BM3" i="1"/>
  <c r="BM441" i="1" s="1"/>
  <c r="BR46" i="1"/>
  <c r="BR70" i="1"/>
  <c r="BR96" i="1"/>
  <c r="BR52" i="1"/>
  <c r="BR72" i="1"/>
  <c r="BR66" i="1"/>
  <c r="BP74" i="1"/>
  <c r="M80" i="1"/>
  <c r="I96" i="1"/>
  <c r="N97" i="1" s="1"/>
  <c r="I100" i="1"/>
  <c r="N101" i="1" s="1"/>
  <c r="N95" i="1"/>
  <c r="BQ102" i="1"/>
  <c r="BQ101" i="1"/>
  <c r="AC721" i="1"/>
  <c r="AC722" i="1" s="1"/>
  <c r="S205" i="1"/>
  <c r="S210" i="1"/>
  <c r="S203" i="1"/>
  <c r="S211" i="1"/>
  <c r="S204" i="1"/>
  <c r="AR211" i="1"/>
  <c r="AR204" i="1"/>
  <c r="AR203" i="1"/>
  <c r="AR205" i="1"/>
  <c r="AE36" i="9"/>
  <c r="AE292" i="1"/>
  <c r="AE59" i="9" s="1"/>
  <c r="BB36" i="9"/>
  <c r="BB292" i="1"/>
  <c r="BB59" i="9" s="1"/>
  <c r="D5" i="13"/>
  <c r="D2" i="9"/>
  <c r="C683" i="1"/>
  <c r="E102" i="1"/>
  <c r="E101" i="1"/>
  <c r="AN42" i="9"/>
  <c r="BJ441" i="1"/>
  <c r="AD1" i="9"/>
  <c r="BR1" i="9"/>
  <c r="BR3" i="1"/>
  <c r="BR441" i="1" s="1"/>
  <c r="AO22" i="9"/>
  <c r="AO13" i="1"/>
  <c r="AO15" i="9" s="1"/>
  <c r="BZ22" i="9"/>
  <c r="CE11" i="1"/>
  <c r="BZ12" i="1"/>
  <c r="CC11" i="1"/>
  <c r="BZ34" i="1"/>
  <c r="BD25" i="9"/>
  <c r="BI32" i="1"/>
  <c r="BI18" i="9" s="1"/>
  <c r="BD32" i="1"/>
  <c r="BD18" i="9" s="1"/>
  <c r="CC25" i="9"/>
  <c r="CC32" i="1"/>
  <c r="CC18" i="9" s="1"/>
  <c r="BJ26" i="9"/>
  <c r="BJ37" i="1"/>
  <c r="BJ44" i="1"/>
  <c r="BS26" i="9"/>
  <c r="BS44" i="1"/>
  <c r="M48" i="1"/>
  <c r="E52" i="1"/>
  <c r="M52" i="1"/>
  <c r="AC52" i="1"/>
  <c r="AS52" i="1"/>
  <c r="BA52" i="1"/>
  <c r="BQ52" i="1"/>
  <c r="X52" i="1"/>
  <c r="BR54" i="1"/>
  <c r="E74" i="1"/>
  <c r="BQ76" i="1"/>
  <c r="W80" i="1"/>
  <c r="W89" i="1"/>
  <c r="W81" i="1"/>
  <c r="AE80" i="1"/>
  <c r="AE89" i="1"/>
  <c r="AE81" i="1"/>
  <c r="AM80" i="1"/>
  <c r="AM89" i="1"/>
  <c r="AR80" i="1"/>
  <c r="AU80" i="1"/>
  <c r="AU89" i="1"/>
  <c r="AZ80" i="1"/>
  <c r="AU81" i="1"/>
  <c r="BC80" i="1"/>
  <c r="BT80" i="1"/>
  <c r="BU89" i="1"/>
  <c r="S100" i="1"/>
  <c r="S95" i="1"/>
  <c r="AA100" i="1"/>
  <c r="AA95" i="1"/>
  <c r="AI100" i="1"/>
  <c r="AI95" i="1"/>
  <c r="AQ100" i="1"/>
  <c r="AV101" i="1" s="1"/>
  <c r="AQ95" i="1"/>
  <c r="AQ96" i="1"/>
  <c r="AY100" i="1"/>
  <c r="AY95" i="1"/>
  <c r="BG100" i="1"/>
  <c r="BG95" i="1"/>
  <c r="BG96" i="1"/>
  <c r="BO100" i="1"/>
  <c r="BO95" i="1"/>
  <c r="BW100" i="1"/>
  <c r="BW96" i="1"/>
  <c r="CH94" i="1"/>
  <c r="AS205" i="1"/>
  <c r="O201" i="1"/>
  <c r="AC211" i="1"/>
  <c r="AC204" i="1"/>
  <c r="AC205" i="1"/>
  <c r="AC203" i="1"/>
  <c r="BS29" i="9"/>
  <c r="BS581" i="1"/>
  <c r="BS948" i="1"/>
  <c r="BS292" i="1"/>
  <c r="BS59" i="9" s="1"/>
  <c r="BS277" i="1"/>
  <c r="BS278" i="1" s="1"/>
  <c r="BS378" i="1"/>
  <c r="BS282" i="1"/>
  <c r="BS280" i="1"/>
  <c r="V290" i="1"/>
  <c r="V58" i="9" s="1"/>
  <c r="AT35" i="9"/>
  <c r="AT290" i="1"/>
  <c r="AT58" i="9" s="1"/>
  <c r="CB24" i="9"/>
  <c r="CB27" i="1"/>
  <c r="CG26" i="1"/>
  <c r="AQ91" i="1"/>
  <c r="T89" i="1"/>
  <c r="X42" i="9"/>
  <c r="X429" i="1"/>
  <c r="AV42" i="9"/>
  <c r="AH585" i="1"/>
  <c r="AH588" i="1"/>
  <c r="AH372" i="1"/>
  <c r="C441" i="1"/>
  <c r="K441" i="1"/>
  <c r="S441" i="1"/>
  <c r="AB441" i="1"/>
  <c r="AJ441" i="1"/>
  <c r="AG742" i="1"/>
  <c r="BB441" i="1"/>
  <c r="BN9" i="1"/>
  <c r="BN14" i="9" s="1"/>
  <c r="BK26" i="9"/>
  <c r="BK38" i="1"/>
  <c r="BK19" i="9" s="1"/>
  <c r="BK44" i="1"/>
  <c r="BT26" i="9"/>
  <c r="BT37" i="1"/>
  <c r="BY38" i="1"/>
  <c r="BY19" i="9" s="1"/>
  <c r="BT38" i="1"/>
  <c r="BT19" i="9" s="1"/>
  <c r="BU37" i="1"/>
  <c r="BK37" i="1"/>
  <c r="BT44" i="1"/>
  <c r="BT81" i="1" s="1"/>
  <c r="O48" i="1"/>
  <c r="O49" i="1" s="1"/>
  <c r="O47" i="1"/>
  <c r="BX74" i="1"/>
  <c r="F72" i="1"/>
  <c r="F74" i="1"/>
  <c r="BR76" i="1"/>
  <c r="G89" i="1"/>
  <c r="G91" i="1" s="1"/>
  <c r="G81" i="1"/>
  <c r="L82" i="1" s="1"/>
  <c r="P81" i="1"/>
  <c r="P82" i="1" s="1"/>
  <c r="P89" i="1"/>
  <c r="P80" i="1"/>
  <c r="X81" i="1"/>
  <c r="X89" i="1"/>
  <c r="AF89" i="1"/>
  <c r="AF80" i="1"/>
  <c r="AN80" i="1"/>
  <c r="AN89" i="1"/>
  <c r="AV80" i="1"/>
  <c r="AV89" i="1"/>
  <c r="BD80" i="1"/>
  <c r="BD89" i="1"/>
  <c r="BY80" i="1"/>
  <c r="N936" i="1"/>
  <c r="BM117" i="1"/>
  <c r="BM399" i="1" s="1"/>
  <c r="BM925" i="1" s="1"/>
  <c r="BM927" i="1" s="1"/>
  <c r="BJ399" i="1"/>
  <c r="BJ925" i="1" s="1"/>
  <c r="BU341" i="1"/>
  <c r="BU352" i="1" s="1"/>
  <c r="BU309" i="1"/>
  <c r="BX38" i="9"/>
  <c r="BX97" i="9" s="1"/>
  <c r="BX98" i="9" s="1"/>
  <c r="BX294" i="1"/>
  <c r="BX61" i="9" s="1"/>
  <c r="H102" i="1"/>
  <c r="Q96" i="1"/>
  <c r="Q97" i="1" s="1"/>
  <c r="Q100" i="1"/>
  <c r="Y95" i="1"/>
  <c r="Y100" i="1"/>
  <c r="AG96" i="1"/>
  <c r="AG95" i="1"/>
  <c r="AG100" i="1"/>
  <c r="AO95" i="1"/>
  <c r="AW96" i="1"/>
  <c r="AW95" i="1"/>
  <c r="AW100" i="1"/>
  <c r="BM96" i="1"/>
  <c r="BM100" i="1"/>
  <c r="BU96" i="1"/>
  <c r="BU100" i="1"/>
  <c r="BZ95" i="1"/>
  <c r="BJ95" i="1"/>
  <c r="CC95" i="1"/>
  <c r="AO100" i="1"/>
  <c r="P291" i="1"/>
  <c r="Q387" i="1"/>
  <c r="Q84" i="1" s="1"/>
  <c r="U128" i="1"/>
  <c r="U387" i="1" s="1"/>
  <c r="AY416" i="1"/>
  <c r="AU721" i="1"/>
  <c r="AU722" i="1" s="1"/>
  <c r="AX153" i="1"/>
  <c r="AX161" i="1" s="1"/>
  <c r="AY161" i="1"/>
  <c r="AY162" i="1" s="1"/>
  <c r="AD651" i="1"/>
  <c r="BK651" i="1"/>
  <c r="BT313" i="1"/>
  <c r="BT315" i="1" s="1"/>
  <c r="BT360" i="1"/>
  <c r="BT362" i="1" s="1"/>
  <c r="BT396" i="1" s="1"/>
  <c r="AS320" i="1"/>
  <c r="AS327" i="1" s="1"/>
  <c r="AS415" i="1" s="1"/>
  <c r="N280" i="1"/>
  <c r="N390" i="1"/>
  <c r="AD35" i="9"/>
  <c r="AD290" i="1"/>
  <c r="AD58" i="9" s="1"/>
  <c r="AK507" i="1"/>
  <c r="BX13" i="1"/>
  <c r="BX15" i="9" s="1"/>
  <c r="AD23" i="9"/>
  <c r="AD23" i="1"/>
  <c r="AD24" i="1"/>
  <c r="AD16" i="9" s="1"/>
  <c r="BS23" i="9"/>
  <c r="BS24" i="1"/>
  <c r="BS16" i="9" s="1"/>
  <c r="Y25" i="9"/>
  <c r="Y31" i="1"/>
  <c r="CE31" i="1"/>
  <c r="Y32" i="1"/>
  <c r="Y18" i="9" s="1"/>
  <c r="L38" i="1"/>
  <c r="L19" i="9" s="1"/>
  <c r="L37" i="1"/>
  <c r="AC26" i="9"/>
  <c r="AC44" i="1"/>
  <c r="AC66" i="1" s="1"/>
  <c r="AC38" i="1"/>
  <c r="AC19" i="9" s="1"/>
  <c r="AL26" i="9"/>
  <c r="AL37" i="1"/>
  <c r="AL44" i="1"/>
  <c r="AL38" i="1"/>
  <c r="AL19" i="9" s="1"/>
  <c r="AU26" i="9"/>
  <c r="AU38" i="1"/>
  <c r="AU19" i="9" s="1"/>
  <c r="AU44" i="1"/>
  <c r="AU37" i="1"/>
  <c r="AC37" i="1"/>
  <c r="AH38" i="1"/>
  <c r="AH19" i="9" s="1"/>
  <c r="Z46" i="1"/>
  <c r="Z96" i="1"/>
  <c r="AS48" i="1"/>
  <c r="AU52" i="1"/>
  <c r="W70" i="1"/>
  <c r="AE70" i="1"/>
  <c r="BG70" i="1"/>
  <c r="AP90" i="1"/>
  <c r="AX90" i="1"/>
  <c r="X87" i="1"/>
  <c r="AP87" i="1"/>
  <c r="C102" i="1"/>
  <c r="K100" i="1"/>
  <c r="K96" i="1"/>
  <c r="T100" i="1"/>
  <c r="AB100" i="1"/>
  <c r="AJ100" i="1"/>
  <c r="AR100" i="1"/>
  <c r="AZ95" i="1"/>
  <c r="AZ100" i="1"/>
  <c r="BP95" i="1"/>
  <c r="BP100" i="1"/>
  <c r="CF95" i="1"/>
  <c r="Q95" i="1"/>
  <c r="C96" i="1"/>
  <c r="F103" i="1"/>
  <c r="AD101" i="1"/>
  <c r="AD102" i="1"/>
  <c r="AX101" i="1"/>
  <c r="BR102" i="1"/>
  <c r="F32" i="9"/>
  <c r="F377" i="1"/>
  <c r="F378" i="1" s="1"/>
  <c r="F53" i="1"/>
  <c r="F54" i="1" s="1"/>
  <c r="AT721" i="1"/>
  <c r="AT722" i="1" s="1"/>
  <c r="AD721" i="1"/>
  <c r="AD722" i="1" s="1"/>
  <c r="BD166" i="1"/>
  <c r="BH203" i="1"/>
  <c r="BO205" i="1"/>
  <c r="BO204" i="1"/>
  <c r="BO206" i="1"/>
  <c r="BO210" i="1"/>
  <c r="BO203" i="1"/>
  <c r="BY204" i="1"/>
  <c r="BY210" i="1"/>
  <c r="BY203" i="1"/>
  <c r="BY205" i="1"/>
  <c r="BY206" i="1"/>
  <c r="AF309" i="1"/>
  <c r="AV309" i="1"/>
  <c r="BD309" i="1"/>
  <c r="Y38" i="9"/>
  <c r="Y97" i="9" s="1"/>
  <c r="Y294" i="1"/>
  <c r="Y61" i="9" s="1"/>
  <c r="AH475" i="1"/>
  <c r="AY441" i="1"/>
  <c r="BG939" i="1"/>
  <c r="BV937" i="1"/>
  <c r="BV744" i="1"/>
  <c r="BT742" i="1"/>
  <c r="CE21" i="9"/>
  <c r="CE34" i="1"/>
  <c r="AI23" i="9"/>
  <c r="AN24" i="1"/>
  <c r="AN16" i="9" s="1"/>
  <c r="AK23" i="1"/>
  <c r="AT28" i="1"/>
  <c r="AT17" i="9" s="1"/>
  <c r="AD25" i="9"/>
  <c r="AD32" i="1"/>
  <c r="AD18" i="9" s="1"/>
  <c r="AF31" i="1"/>
  <c r="BS25" i="9"/>
  <c r="BS32" i="1"/>
  <c r="BS18" i="9" s="1"/>
  <c r="CF31" i="1"/>
  <c r="M38" i="1"/>
  <c r="M19" i="9" s="1"/>
  <c r="M37" i="1"/>
  <c r="U26" i="9"/>
  <c r="U44" i="1"/>
  <c r="U38" i="1"/>
  <c r="U19" i="9" s="1"/>
  <c r="AM26" i="9"/>
  <c r="AM38" i="1"/>
  <c r="AM19" i="9" s="1"/>
  <c r="AM44" i="1"/>
  <c r="AV26" i="9"/>
  <c r="AW37" i="1"/>
  <c r="AV44" i="1"/>
  <c r="AV37" i="1"/>
  <c r="AV38" i="1"/>
  <c r="AV19" i="9" s="1"/>
  <c r="BW38" i="1"/>
  <c r="BW19" i="9" s="1"/>
  <c r="Q38" i="1"/>
  <c r="Q19" i="9" s="1"/>
  <c r="AZ38" i="1"/>
  <c r="AZ19" i="9" s="1"/>
  <c r="F46" i="1"/>
  <c r="F70" i="1"/>
  <c r="F96" i="1"/>
  <c r="F97" i="1" s="1"/>
  <c r="N46" i="1"/>
  <c r="N70" i="1"/>
  <c r="AF44" i="1"/>
  <c r="AF87" i="1" s="1"/>
  <c r="D48" i="1"/>
  <c r="D47" i="1"/>
  <c r="O52" i="1"/>
  <c r="Z54" i="1"/>
  <c r="BD65" i="1"/>
  <c r="C66" i="1"/>
  <c r="D67" i="1" s="1"/>
  <c r="G70" i="1"/>
  <c r="O70" i="1"/>
  <c r="X70" i="1"/>
  <c r="AP70" i="1"/>
  <c r="BS70" i="1"/>
  <c r="BA70" i="1"/>
  <c r="BB72" i="1"/>
  <c r="BA72" i="1"/>
  <c r="BG74" i="1"/>
  <c r="K80" i="1"/>
  <c r="S80" i="1"/>
  <c r="AA80" i="1"/>
  <c r="AI90" i="1"/>
  <c r="AQ90" i="1"/>
  <c r="BX80" i="1"/>
  <c r="AG89" i="1"/>
  <c r="AG85" i="1"/>
  <c r="AO89" i="1"/>
  <c r="AW89" i="1"/>
  <c r="AX85" i="1"/>
  <c r="F87" i="1"/>
  <c r="P87" i="1"/>
  <c r="BE89" i="1"/>
  <c r="D95" i="1"/>
  <c r="AS113" i="1"/>
  <c r="AS531" i="1" s="1"/>
  <c r="AS101" i="1"/>
  <c r="AS102" i="1"/>
  <c r="AJ95" i="1"/>
  <c r="D96" i="1"/>
  <c r="D97" i="1" s="1"/>
  <c r="R101" i="1"/>
  <c r="R102" i="1"/>
  <c r="Z101" i="1"/>
  <c r="Z102" i="1"/>
  <c r="AP102" i="1"/>
  <c r="BV101" i="1"/>
  <c r="CA101" i="1"/>
  <c r="L100" i="1"/>
  <c r="BE100" i="1"/>
  <c r="BJ101" i="1" s="1"/>
  <c r="BX100" i="1"/>
  <c r="AH102" i="1"/>
  <c r="AG936" i="1"/>
  <c r="G376" i="1"/>
  <c r="G122" i="1"/>
  <c r="G383" i="1" s="1"/>
  <c r="O376" i="1"/>
  <c r="O122" i="1"/>
  <c r="O383" i="1" s="1"/>
  <c r="W376" i="1"/>
  <c r="W122" i="1"/>
  <c r="W383" i="1" s="1"/>
  <c r="AE376" i="1"/>
  <c r="AE122" i="1"/>
  <c r="AE383" i="1" s="1"/>
  <c r="AE71" i="1" s="1"/>
  <c r="AM32" i="9"/>
  <c r="AM377" i="1"/>
  <c r="P721" i="1"/>
  <c r="P722" i="1" s="1"/>
  <c r="AX721" i="1"/>
  <c r="AX722" i="1" s="1"/>
  <c r="V721" i="1"/>
  <c r="V722" i="1" s="1"/>
  <c r="H190" i="1"/>
  <c r="BJ214" i="1"/>
  <c r="BK214" i="1"/>
  <c r="BK218" i="1" s="1"/>
  <c r="J302" i="1"/>
  <c r="J374" i="1"/>
  <c r="F309" i="1"/>
  <c r="F313" i="1" s="1"/>
  <c r="F315" i="1" s="1"/>
  <c r="F329" i="1"/>
  <c r="F339" i="1" s="1"/>
  <c r="F396" i="1" s="1"/>
  <c r="P38" i="9"/>
  <c r="P97" i="9" s="1"/>
  <c r="P98" i="9" s="1"/>
  <c r="P294" i="1"/>
  <c r="P61" i="9" s="1"/>
  <c r="BJ34" i="9"/>
  <c r="BJ291" i="1"/>
  <c r="AR35" i="9"/>
  <c r="AR290" i="1"/>
  <c r="AR58" i="9" s="1"/>
  <c r="AQ441" i="1"/>
  <c r="AZ441" i="1"/>
  <c r="AT21" i="9"/>
  <c r="AT1026" i="1"/>
  <c r="AT9" i="1"/>
  <c r="AT14" i="9" s="1"/>
  <c r="CA21" i="9"/>
  <c r="CF7" i="1"/>
  <c r="CG23" i="1"/>
  <c r="AI24" i="9"/>
  <c r="AN28" i="1"/>
  <c r="AN17" i="9" s="1"/>
  <c r="AI28" i="1"/>
  <c r="AI17" i="9" s="1"/>
  <c r="BX24" i="9"/>
  <c r="BX28" i="1"/>
  <c r="BX17" i="9" s="1"/>
  <c r="AA31" i="1"/>
  <c r="N38" i="1"/>
  <c r="N19" i="9" s="1"/>
  <c r="N37" i="1"/>
  <c r="V26" i="9"/>
  <c r="V44" i="1"/>
  <c r="V38" i="1"/>
  <c r="V19" i="9" s="1"/>
  <c r="AE26" i="9"/>
  <c r="AE38" i="1"/>
  <c r="AE19" i="9" s="1"/>
  <c r="AE44" i="1"/>
  <c r="AE52" i="1" s="1"/>
  <c r="AN26" i="9"/>
  <c r="AN44" i="1"/>
  <c r="AN85" i="1" s="1"/>
  <c r="AN38" i="1"/>
  <c r="AN19" i="9" s="1"/>
  <c r="R38" i="1"/>
  <c r="R19" i="9" s="1"/>
  <c r="AJ38" i="1"/>
  <c r="AJ19" i="9" s="1"/>
  <c r="BA38" i="1"/>
  <c r="BA19" i="9" s="1"/>
  <c r="G85" i="1"/>
  <c r="G46" i="1"/>
  <c r="G48" i="1" s="1"/>
  <c r="AG81" i="1"/>
  <c r="E48" i="1"/>
  <c r="E49" i="1" s="1"/>
  <c r="E47" i="1"/>
  <c r="I52" i="1"/>
  <c r="I66" i="1"/>
  <c r="Q66" i="1"/>
  <c r="Q67" i="1" s="1"/>
  <c r="Y65" i="1"/>
  <c r="AG65" i="1"/>
  <c r="AO65" i="1"/>
  <c r="AW74" i="1"/>
  <c r="AW65" i="1"/>
  <c r="BE74" i="1"/>
  <c r="BM74" i="1"/>
  <c r="BM66" i="1"/>
  <c r="BU74" i="1"/>
  <c r="BU66" i="1"/>
  <c r="AM65" i="1"/>
  <c r="BE65" i="1"/>
  <c r="BU65" i="1"/>
  <c r="P70" i="1"/>
  <c r="AQ70" i="1"/>
  <c r="AS72" i="1"/>
  <c r="BH74" i="1"/>
  <c r="L80" i="1"/>
  <c r="AB80" i="1"/>
  <c r="AJ80" i="1"/>
  <c r="BI89" i="1"/>
  <c r="BN80" i="1"/>
  <c r="BQ89" i="1"/>
  <c r="BY89" i="1"/>
  <c r="AX80" i="1"/>
  <c r="F85" i="1"/>
  <c r="N85" i="1"/>
  <c r="X85" i="1"/>
  <c r="AH85" i="1"/>
  <c r="AP85" i="1"/>
  <c r="G87" i="1"/>
  <c r="Q87" i="1"/>
  <c r="BK89" i="1"/>
  <c r="BG91" i="1"/>
  <c r="V95" i="1"/>
  <c r="AD95" i="1"/>
  <c r="BB101" i="1"/>
  <c r="BB102" i="1"/>
  <c r="BR95" i="1"/>
  <c r="CI95" i="1"/>
  <c r="BB95" i="1"/>
  <c r="M102" i="1"/>
  <c r="AF102" i="1"/>
  <c r="AF101" i="1"/>
  <c r="T936" i="1"/>
  <c r="T938" i="1"/>
  <c r="BX941" i="1"/>
  <c r="BX117" i="1"/>
  <c r="AM122" i="1"/>
  <c r="AM383" i="1" s="1"/>
  <c r="AI187" i="1"/>
  <c r="AI146" i="1"/>
  <c r="BR161" i="1"/>
  <c r="BR162" i="1" s="1"/>
  <c r="BR166" i="1" s="1"/>
  <c r="AS201" i="1"/>
  <c r="M211" i="1"/>
  <c r="M204" i="1"/>
  <c r="M203" i="1"/>
  <c r="M205" i="1"/>
  <c r="AZ211" i="1"/>
  <c r="AZ204" i="1"/>
  <c r="AZ203" i="1"/>
  <c r="AZ205" i="1"/>
  <c r="E211" i="1"/>
  <c r="E204" i="1"/>
  <c r="E205" i="1"/>
  <c r="E203" i="1"/>
  <c r="AE203" i="1"/>
  <c r="AE205" i="1"/>
  <c r="AE211" i="1"/>
  <c r="BH205" i="1"/>
  <c r="O94" i="1"/>
  <c r="BB43" i="9"/>
  <c r="BB52" i="9"/>
  <c r="BB411" i="1"/>
  <c r="BB41" i="9" s="1"/>
  <c r="BB106" i="9" s="1"/>
  <c r="BB433" i="1"/>
  <c r="BB53" i="9" s="1"/>
  <c r="BB82" i="9" s="1"/>
  <c r="AS38" i="9"/>
  <c r="AS97" i="9" s="1"/>
  <c r="AS400" i="1"/>
  <c r="AS294" i="1"/>
  <c r="AS61" i="9" s="1"/>
  <c r="S32" i="9"/>
  <c r="S377" i="1"/>
  <c r="AN492" i="1"/>
  <c r="AN449" i="1"/>
  <c r="R441" i="1"/>
  <c r="AA441" i="1"/>
  <c r="AR441" i="1"/>
  <c r="BA441" i="1"/>
  <c r="BI441" i="1"/>
  <c r="AY21" i="9"/>
  <c r="AY34" i="1"/>
  <c r="CB21" i="9"/>
  <c r="CG7" i="1"/>
  <c r="AD22" i="9"/>
  <c r="AD13" i="1"/>
  <c r="AD15" i="9" s="1"/>
  <c r="BS22" i="9"/>
  <c r="BS13" i="1"/>
  <c r="BS15" i="9" s="1"/>
  <c r="AT23" i="9"/>
  <c r="AT24" i="1"/>
  <c r="AT16" i="9" s="1"/>
  <c r="CA23" i="9"/>
  <c r="CA23" i="1"/>
  <c r="CC22" i="1"/>
  <c r="AF23" i="1"/>
  <c r="BZ24" i="9"/>
  <c r="CE26" i="1"/>
  <c r="CC26" i="1"/>
  <c r="O38" i="1"/>
  <c r="O19" i="9" s="1"/>
  <c r="O37" i="1"/>
  <c r="W26" i="9"/>
  <c r="W38" i="1"/>
  <c r="W19" i="9" s="1"/>
  <c r="X37" i="1"/>
  <c r="W37" i="1"/>
  <c r="AF26" i="9"/>
  <c r="AF38" i="1"/>
  <c r="AF19" i="9" s="1"/>
  <c r="AG37" i="1"/>
  <c r="Q37" i="1"/>
  <c r="AM37" i="1"/>
  <c r="S38" i="1"/>
  <c r="S19" i="9" s="1"/>
  <c r="H46" i="1"/>
  <c r="H48" i="1" s="1"/>
  <c r="H66" i="1"/>
  <c r="P46" i="1"/>
  <c r="AH87" i="1"/>
  <c r="AH81" i="1"/>
  <c r="AH46" i="1"/>
  <c r="AH96" i="1"/>
  <c r="BM46" i="1"/>
  <c r="R66" i="1"/>
  <c r="R67" i="1" s="1"/>
  <c r="BF74" i="1"/>
  <c r="BF65" i="1"/>
  <c r="BN74" i="1"/>
  <c r="BV74" i="1"/>
  <c r="Z65" i="1"/>
  <c r="BV65" i="1"/>
  <c r="AP66" i="1"/>
  <c r="AH70" i="1"/>
  <c r="AQ74" i="1"/>
  <c r="BI74" i="1"/>
  <c r="E89" i="1"/>
  <c r="E113" i="1" s="1"/>
  <c r="E531" i="1" s="1"/>
  <c r="E81" i="1"/>
  <c r="E80" i="1"/>
  <c r="M89" i="1"/>
  <c r="M81" i="1"/>
  <c r="AC80" i="1"/>
  <c r="AK80" i="1"/>
  <c r="AS80" i="1"/>
  <c r="BA89" i="1"/>
  <c r="BA81" i="1"/>
  <c r="BJ89" i="1"/>
  <c r="BJ113" i="1" s="1"/>
  <c r="BJ531" i="1" s="1"/>
  <c r="BR89" i="1"/>
  <c r="BR81" i="1"/>
  <c r="BR82" i="1" s="1"/>
  <c r="AY80" i="1"/>
  <c r="BP80" i="1"/>
  <c r="BB81" i="1"/>
  <c r="BB82" i="1" s="1"/>
  <c r="AQ85" i="1"/>
  <c r="H87" i="1"/>
  <c r="AS87" i="1"/>
  <c r="I91" i="1"/>
  <c r="AT89" i="1"/>
  <c r="AU100" i="1"/>
  <c r="BC100" i="1"/>
  <c r="BK100" i="1"/>
  <c r="BS100" i="1"/>
  <c r="AL95" i="1"/>
  <c r="BU95" i="1"/>
  <c r="N102" i="1"/>
  <c r="BH100" i="1"/>
  <c r="CC100" i="1"/>
  <c r="BA102" i="1"/>
  <c r="BU936" i="1"/>
  <c r="AI941" i="1"/>
  <c r="AI117" i="1"/>
  <c r="AI399" i="1" s="1"/>
  <c r="AI925" i="1" s="1"/>
  <c r="AR941" i="1"/>
  <c r="AR117" i="1"/>
  <c r="AR399" i="1" s="1"/>
  <c r="AR925" i="1" s="1"/>
  <c r="AR927" i="1" s="1"/>
  <c r="AZ941" i="1"/>
  <c r="AZ117" i="1"/>
  <c r="BP941" i="1"/>
  <c r="BP117" i="1"/>
  <c r="BP399" i="1" s="1"/>
  <c r="BP925" i="1" s="1"/>
  <c r="J417" i="1"/>
  <c r="J122" i="1"/>
  <c r="J383" i="1" s="1"/>
  <c r="J71" i="1" s="1"/>
  <c r="J72" i="1" s="1"/>
  <c r="R122" i="1"/>
  <c r="R383" i="1" s="1"/>
  <c r="R71" i="1" s="1"/>
  <c r="R72" i="1" s="1"/>
  <c r="R417" i="1"/>
  <c r="Z417" i="1"/>
  <c r="Z122" i="1"/>
  <c r="Z383" i="1" s="1"/>
  <c r="AH417" i="1"/>
  <c r="AH122" i="1"/>
  <c r="AH383" i="1" s="1"/>
  <c r="AH71" i="1" s="1"/>
  <c r="AP417" i="1"/>
  <c r="AP122" i="1"/>
  <c r="AP383" i="1" s="1"/>
  <c r="AP71" i="1" s="1"/>
  <c r="AP72" i="1" s="1"/>
  <c r="E721" i="1"/>
  <c r="E722" i="1" s="1"/>
  <c r="M721" i="1"/>
  <c r="M722" i="1" s="1"/>
  <c r="X721" i="1"/>
  <c r="X722" i="1" s="1"/>
  <c r="BR721" i="1"/>
  <c r="BR722" i="1" s="1"/>
  <c r="J211" i="1"/>
  <c r="E210" i="1"/>
  <c r="V34" i="9"/>
  <c r="V291" i="1"/>
  <c r="AD385" i="1"/>
  <c r="AT34" i="9"/>
  <c r="AV71" i="1"/>
  <c r="AV385" i="1"/>
  <c r="BL72" i="1"/>
  <c r="BT71" i="1"/>
  <c r="BT74" i="1" s="1"/>
  <c r="BT385" i="1"/>
  <c r="AA450" i="1"/>
  <c r="AA449" i="1"/>
  <c r="BD21" i="9"/>
  <c r="BD1026" i="1"/>
  <c r="BD9" i="1"/>
  <c r="BD14" i="9" s="1"/>
  <c r="AI22" i="9"/>
  <c r="AN13" i="1"/>
  <c r="AN15" i="9" s="1"/>
  <c r="AK12" i="1"/>
  <c r="AI12" i="1"/>
  <c r="AI13" i="1"/>
  <c r="AI15" i="9" s="1"/>
  <c r="CA24" i="9"/>
  <c r="CF26" i="1"/>
  <c r="BR26" i="9"/>
  <c r="BR37" i="1"/>
  <c r="CA34" i="1"/>
  <c r="AQ38" i="1"/>
  <c r="AQ19" i="9" s="1"/>
  <c r="I46" i="1"/>
  <c r="I48" i="1" s="1"/>
  <c r="Q81" i="1"/>
  <c r="Q82" i="1" s="1"/>
  <c r="Q46" i="1"/>
  <c r="BA87" i="1"/>
  <c r="BA85" i="1"/>
  <c r="BA54" i="1"/>
  <c r="BA46" i="1"/>
  <c r="L47" i="1"/>
  <c r="L48" i="1"/>
  <c r="AP54" i="1"/>
  <c r="BQ54" i="1"/>
  <c r="C74" i="1"/>
  <c r="C76" i="1" s="1"/>
  <c r="K66" i="1"/>
  <c r="K67" i="1" s="1"/>
  <c r="P65" i="1"/>
  <c r="X65" i="1"/>
  <c r="AF65" i="1"/>
  <c r="AA74" i="1"/>
  <c r="AN65" i="1"/>
  <c r="BO74" i="1"/>
  <c r="BO65" i="1"/>
  <c r="BW66" i="1"/>
  <c r="BW67" i="1" s="1"/>
  <c r="BW74" i="1"/>
  <c r="AA65" i="1"/>
  <c r="BW65" i="1"/>
  <c r="AQ66" i="1"/>
  <c r="AR76" i="1"/>
  <c r="BJ76" i="1"/>
  <c r="F89" i="1"/>
  <c r="F81" i="1"/>
  <c r="F80" i="1"/>
  <c r="N79" i="1"/>
  <c r="V89" i="1"/>
  <c r="V113" i="1" s="1"/>
  <c r="V531" i="1" s="1"/>
  <c r="BS80" i="1"/>
  <c r="BS89" i="1"/>
  <c r="BS81" i="1"/>
  <c r="AZ90" i="1"/>
  <c r="BB87" i="1"/>
  <c r="BR87" i="1"/>
  <c r="I87" i="1"/>
  <c r="G100" i="1"/>
  <c r="P101" i="1"/>
  <c r="BT113" i="1"/>
  <c r="BT531" i="1" s="1"/>
  <c r="BT101" i="1"/>
  <c r="CK95" i="1"/>
  <c r="BE95" i="1"/>
  <c r="AK102" i="1"/>
  <c r="U101" i="1"/>
  <c r="M101" i="1"/>
  <c r="C941" i="1"/>
  <c r="C117" i="1"/>
  <c r="C399" i="1" s="1"/>
  <c r="K941" i="1"/>
  <c r="K117" i="1"/>
  <c r="K399" i="1" s="1"/>
  <c r="K925" i="1" s="1"/>
  <c r="S941" i="1"/>
  <c r="S117" i="1"/>
  <c r="S399" i="1" s="1"/>
  <c r="S925" i="1" s="1"/>
  <c r="AA941" i="1"/>
  <c r="AA117" i="1"/>
  <c r="AA399" i="1" s="1"/>
  <c r="AA925" i="1" s="1"/>
  <c r="AA936" i="1" s="1"/>
  <c r="Z129" i="1"/>
  <c r="Z416" i="1" s="1"/>
  <c r="BC721" i="1"/>
  <c r="BC722" i="1" s="1"/>
  <c r="BK721" i="1"/>
  <c r="BK722" i="1" s="1"/>
  <c r="BS721" i="1"/>
  <c r="BS722" i="1" s="1"/>
  <c r="AJ201" i="1"/>
  <c r="AS210" i="1"/>
  <c r="BB201" i="1"/>
  <c r="BC200" i="1"/>
  <c r="BJ651" i="1"/>
  <c r="BH30" i="9"/>
  <c r="BH949" i="1"/>
  <c r="BH950" i="1"/>
  <c r="BH277" i="1"/>
  <c r="BH278" i="1" s="1"/>
  <c r="Q317" i="1"/>
  <c r="Q320" i="1"/>
  <c r="Q327" i="1" s="1"/>
  <c r="Q415" i="1" s="1"/>
  <c r="P317" i="1"/>
  <c r="P320" i="1"/>
  <c r="P327" i="1" s="1"/>
  <c r="H38" i="9"/>
  <c r="H97" i="9" s="1"/>
  <c r="H400" i="1"/>
  <c r="H294" i="1"/>
  <c r="H61" i="9" s="1"/>
  <c r="W35" i="9"/>
  <c r="W290" i="1"/>
  <c r="W58" i="9" s="1"/>
  <c r="BC35" i="9"/>
  <c r="BM36" i="9"/>
  <c r="BQ497" i="1"/>
  <c r="BQ492" i="1"/>
  <c r="BJ87" i="9"/>
  <c r="BJ102" i="9"/>
  <c r="E8" i="9"/>
  <c r="E1025" i="1"/>
  <c r="E739" i="1"/>
  <c r="M8" i="9"/>
  <c r="M1025" i="1"/>
  <c r="M739" i="1"/>
  <c r="P742" i="1"/>
  <c r="V8" i="9"/>
  <c r="V1025" i="1"/>
  <c r="V739" i="1"/>
  <c r="AD8" i="9"/>
  <c r="AD1025" i="1"/>
  <c r="AD739" i="1"/>
  <c r="AL8" i="9"/>
  <c r="AL1025" i="1"/>
  <c r="AL739" i="1"/>
  <c r="AT8" i="9"/>
  <c r="AT1025" i="1"/>
  <c r="AT739" i="1"/>
  <c r="BB1025" i="1"/>
  <c r="BB8" i="9"/>
  <c r="BB739" i="1"/>
  <c r="L936" i="1"/>
  <c r="L938" i="1"/>
  <c r="U936" i="1"/>
  <c r="U927" i="1"/>
  <c r="O937" i="1"/>
  <c r="O933" i="1"/>
  <c r="O939" i="1"/>
  <c r="AB941" i="1"/>
  <c r="AB117" i="1"/>
  <c r="AB399" i="1" s="1"/>
  <c r="AB925" i="1" s="1"/>
  <c r="H32" i="9"/>
  <c r="H377" i="1"/>
  <c r="H53" i="1"/>
  <c r="H54" i="1" s="1"/>
  <c r="P32" i="9"/>
  <c r="P377" i="1"/>
  <c r="P378" i="1" s="1"/>
  <c r="P53" i="1"/>
  <c r="P54" i="1" s="1"/>
  <c r="X32" i="9"/>
  <c r="X377" i="1"/>
  <c r="X53" i="1"/>
  <c r="X54" i="1" s="1"/>
  <c r="AF32" i="9"/>
  <c r="AF377" i="1"/>
  <c r="AF53" i="1"/>
  <c r="AF54" i="1" s="1"/>
  <c r="AN32" i="9"/>
  <c r="AN377" i="1"/>
  <c r="AN378" i="1" s="1"/>
  <c r="AN53" i="1"/>
  <c r="AN122" i="1"/>
  <c r="AN383" i="1" s="1"/>
  <c r="AN71" i="1" s="1"/>
  <c r="Q129" i="1"/>
  <c r="Q416" i="1" s="1"/>
  <c r="F721" i="1"/>
  <c r="F722" i="1" s="1"/>
  <c r="N721" i="1"/>
  <c r="N722" i="1" s="1"/>
  <c r="W721" i="1"/>
  <c r="W722" i="1" s="1"/>
  <c r="AE129" i="1"/>
  <c r="AE416" i="1" s="1"/>
  <c r="AM721" i="1"/>
  <c r="AM722" i="1" s="1"/>
  <c r="AV721" i="1"/>
  <c r="AV722" i="1" s="1"/>
  <c r="BD721" i="1"/>
  <c r="BD722" i="1" s="1"/>
  <c r="BL721" i="1"/>
  <c r="BL722" i="1" s="1"/>
  <c r="BT721" i="1"/>
  <c r="BT722" i="1" s="1"/>
  <c r="BS135" i="1"/>
  <c r="BS166" i="1" s="1"/>
  <c r="AI188" i="1"/>
  <c r="AN185" i="1"/>
  <c r="AN190" i="1" s="1"/>
  <c r="Y201" i="1"/>
  <c r="AT201" i="1"/>
  <c r="AH205" i="1"/>
  <c r="AH211" i="1"/>
  <c r="AH204" i="1"/>
  <c r="BP211" i="1"/>
  <c r="BP204" i="1"/>
  <c r="BP210" i="1"/>
  <c r="BP203" i="1"/>
  <c r="G204" i="1"/>
  <c r="BI651" i="1"/>
  <c r="T741" i="1"/>
  <c r="T405" i="1"/>
  <c r="T407" i="1" s="1"/>
  <c r="T39" i="9" s="1"/>
  <c r="S313" i="1"/>
  <c r="S315" i="1" s="1"/>
  <c r="BX313" i="1"/>
  <c r="BX315" i="1" s="1"/>
  <c r="BO38" i="9"/>
  <c r="BO97" i="9" s="1"/>
  <c r="BO400" i="1"/>
  <c r="V29" i="9"/>
  <c r="V1026" i="1"/>
  <c r="V581" i="1"/>
  <c r="V280" i="1"/>
  <c r="V282" i="1"/>
  <c r="V281" i="1"/>
  <c r="V277" i="1"/>
  <c r="V278" i="1" s="1"/>
  <c r="AD29" i="9"/>
  <c r="AD948" i="1"/>
  <c r="AD951" i="1"/>
  <c r="AD581" i="1"/>
  <c r="AD280" i="1"/>
  <c r="AD282" i="1"/>
  <c r="AD378" i="1"/>
  <c r="AD285" i="1"/>
  <c r="AD281" i="1"/>
  <c r="AD283" i="1" s="1"/>
  <c r="AL948" i="1"/>
  <c r="AL29" i="9"/>
  <c r="AL1026" i="1"/>
  <c r="AL951" i="1"/>
  <c r="AL581" i="1"/>
  <c r="AL280" i="1"/>
  <c r="AL282" i="1"/>
  <c r="AL277" i="1"/>
  <c r="AL278" i="1" s="1"/>
  <c r="AT29" i="9"/>
  <c r="AT948" i="1"/>
  <c r="AT951" i="1"/>
  <c r="AT581" i="1"/>
  <c r="AT280" i="1"/>
  <c r="AT282" i="1"/>
  <c r="AT294" i="1"/>
  <c r="AT61" i="9" s="1"/>
  <c r="BB29" i="9"/>
  <c r="BB948" i="1"/>
  <c r="BB1026" i="1"/>
  <c r="BB951" i="1"/>
  <c r="BB581" i="1"/>
  <c r="BB280" i="1"/>
  <c r="BB282" i="1"/>
  <c r="BB277" i="1"/>
  <c r="BB278" i="1" s="1"/>
  <c r="BJ29" i="9"/>
  <c r="BJ948" i="1"/>
  <c r="BJ953" i="1" s="1"/>
  <c r="BJ951" i="1"/>
  <c r="BJ1026" i="1"/>
  <c r="BJ581" i="1"/>
  <c r="BJ282" i="1"/>
  <c r="BJ281" i="1"/>
  <c r="BT29" i="9"/>
  <c r="BT1026" i="1"/>
  <c r="BT581" i="1"/>
  <c r="T32" i="9"/>
  <c r="T377" i="1"/>
  <c r="AX32" i="9"/>
  <c r="AX377" i="1"/>
  <c r="AX378" i="1" s="1"/>
  <c r="BF32" i="9"/>
  <c r="BF377" i="1"/>
  <c r="BF378" i="1" s="1"/>
  <c r="BN32" i="9"/>
  <c r="BN377" i="1"/>
  <c r="BV32" i="9"/>
  <c r="BV377" i="1"/>
  <c r="AK35" i="9"/>
  <c r="AK290" i="1"/>
  <c r="AK58" i="9" s="1"/>
  <c r="S36" i="9"/>
  <c r="S292" i="1"/>
  <c r="S59" i="9" s="1"/>
  <c r="J36" i="9"/>
  <c r="F745" i="1"/>
  <c r="F746" i="1" s="1"/>
  <c r="F742" i="1"/>
  <c r="AK744" i="1"/>
  <c r="AU42" i="9"/>
  <c r="AU429" i="1"/>
  <c r="AS721" i="1"/>
  <c r="AS722" i="1" s="1"/>
  <c r="AY421" i="1"/>
  <c r="BV566" i="1"/>
  <c r="BW551" i="1"/>
  <c r="BW555" i="1" s="1"/>
  <c r="BW711" i="1" s="1"/>
  <c r="BF113" i="1"/>
  <c r="BF531" i="1" s="1"/>
  <c r="M936" i="1"/>
  <c r="M938" i="1"/>
  <c r="BA936" i="1"/>
  <c r="T937" i="1"/>
  <c r="BH937" i="1"/>
  <c r="BH933" i="1"/>
  <c r="AK941" i="1"/>
  <c r="AK117" i="1"/>
  <c r="AK399" i="1" s="1"/>
  <c r="AK925" i="1" s="1"/>
  <c r="AT941" i="1"/>
  <c r="AT117" i="1"/>
  <c r="AT399" i="1" s="1"/>
  <c r="AT925" i="1" s="1"/>
  <c r="I32" i="9"/>
  <c r="I377" i="1"/>
  <c r="Q32" i="9"/>
  <c r="Q377" i="1"/>
  <c r="Q378" i="1" s="1"/>
  <c r="Y32" i="9"/>
  <c r="Y377" i="1"/>
  <c r="Y378" i="1" s="1"/>
  <c r="AG32" i="9"/>
  <c r="AG377" i="1"/>
  <c r="AO32" i="9"/>
  <c r="AO377" i="1"/>
  <c r="AF122" i="1"/>
  <c r="AF383" i="1" s="1"/>
  <c r="AO122" i="1"/>
  <c r="AO383" i="1" s="1"/>
  <c r="O721" i="1"/>
  <c r="O722" i="1" s="1"/>
  <c r="AF721" i="1"/>
  <c r="AF722" i="1" s="1"/>
  <c r="AN721" i="1"/>
  <c r="AN722" i="1" s="1"/>
  <c r="BM721" i="1"/>
  <c r="AT175" i="1"/>
  <c r="AG190" i="1"/>
  <c r="AO190" i="1"/>
  <c r="J189" i="1"/>
  <c r="AD201" i="1"/>
  <c r="BR201" i="1"/>
  <c r="BR204" i="1" s="1"/>
  <c r="AL201" i="1"/>
  <c r="BH210" i="1"/>
  <c r="U201" i="1"/>
  <c r="AU201" i="1"/>
  <c r="AU210" i="1" s="1"/>
  <c r="BF205" i="1"/>
  <c r="BF211" i="1"/>
  <c r="BF204" i="1"/>
  <c r="BQ203" i="1"/>
  <c r="BG204" i="1"/>
  <c r="W205" i="1"/>
  <c r="AC210" i="1"/>
  <c r="G211" i="1"/>
  <c r="C651" i="1"/>
  <c r="AT651" i="1"/>
  <c r="Q651" i="1"/>
  <c r="Q283" i="1"/>
  <c r="R38" i="9"/>
  <c r="R97" i="9" s="1"/>
  <c r="R294" i="1"/>
  <c r="R61" i="9" s="1"/>
  <c r="R400" i="1"/>
  <c r="AZ313" i="1"/>
  <c r="AZ315" i="1" s="1"/>
  <c r="AZ360" i="1"/>
  <c r="AZ362" i="1" s="1"/>
  <c r="AZ396" i="1" s="1"/>
  <c r="E29" i="9"/>
  <c r="E948" i="1"/>
  <c r="E951" i="1"/>
  <c r="E282" i="1"/>
  <c r="E292" i="1"/>
  <c r="E59" i="9" s="1"/>
  <c r="E277" i="1"/>
  <c r="E278" i="1" s="1"/>
  <c r="E280" i="1"/>
  <c r="E581" i="1"/>
  <c r="N29" i="9"/>
  <c r="N581" i="1"/>
  <c r="N282" i="1"/>
  <c r="W29" i="9"/>
  <c r="W1026" i="1"/>
  <c r="W581" i="1"/>
  <c r="W277" i="1"/>
  <c r="W278" i="1" s="1"/>
  <c r="AE29" i="9"/>
  <c r="AE1026" i="1"/>
  <c r="AE581" i="1"/>
  <c r="AE948" i="1"/>
  <c r="AM29" i="9"/>
  <c r="AM951" i="1"/>
  <c r="AM948" i="1"/>
  <c r="AM1026" i="1"/>
  <c r="AM581" i="1"/>
  <c r="AU29" i="9"/>
  <c r="AU1026" i="1"/>
  <c r="AU948" i="1"/>
  <c r="AU951" i="1"/>
  <c r="AU581" i="1"/>
  <c r="AU277" i="1"/>
  <c r="AU278" i="1" s="1"/>
  <c r="BC29" i="9"/>
  <c r="BC1026" i="1"/>
  <c r="BC581" i="1"/>
  <c r="BE587" i="1" s="1"/>
  <c r="BC951" i="1"/>
  <c r="BC378" i="1"/>
  <c r="BC285" i="1" s="1"/>
  <c r="BC277" i="1"/>
  <c r="BC278" i="1" s="1"/>
  <c r="BK29" i="9"/>
  <c r="BK948" i="1"/>
  <c r="BK1026" i="1"/>
  <c r="BK951" i="1"/>
  <c r="BK581" i="1"/>
  <c r="BK280" i="1"/>
  <c r="AA32" i="9"/>
  <c r="AA377" i="1"/>
  <c r="BO33" i="9"/>
  <c r="BK378" i="1"/>
  <c r="BK285" i="1" s="1"/>
  <c r="F385" i="1"/>
  <c r="X385" i="1"/>
  <c r="BD385" i="1"/>
  <c r="BL385" i="1"/>
  <c r="AU35" i="9"/>
  <c r="AU290" i="1"/>
  <c r="AU58" i="9" s="1"/>
  <c r="AP36" i="9"/>
  <c r="AP292" i="1"/>
  <c r="AP59" i="9" s="1"/>
  <c r="I936" i="1"/>
  <c r="M744" i="1"/>
  <c r="M745" i="1"/>
  <c r="M746" i="1" s="1"/>
  <c r="Z414" i="1"/>
  <c r="AH414" i="1"/>
  <c r="AP414" i="1"/>
  <c r="AX414" i="1"/>
  <c r="AX429" i="1" s="1"/>
  <c r="BF414" i="1"/>
  <c r="BN414" i="1"/>
  <c r="BV414" i="1"/>
  <c r="AY42" i="9"/>
  <c r="BW42" i="9"/>
  <c r="BW429" i="1"/>
  <c r="AW721" i="1"/>
  <c r="AW722" i="1" s="1"/>
  <c r="AE450" i="1"/>
  <c r="AD444" i="1"/>
  <c r="AK497" i="1"/>
  <c r="AK492" i="1"/>
  <c r="G721" i="1"/>
  <c r="G722" i="1" s="1"/>
  <c r="L745" i="1"/>
  <c r="L746" i="1" s="1"/>
  <c r="L742" i="1"/>
  <c r="E927" i="1"/>
  <c r="E936" i="1"/>
  <c r="BB936" i="1"/>
  <c r="BB938" i="1"/>
  <c r="Y937" i="1"/>
  <c r="X122" i="1"/>
  <c r="X383" i="1" s="1"/>
  <c r="X71" i="1" s="1"/>
  <c r="X72" i="1" s="1"/>
  <c r="H721" i="1"/>
  <c r="H722" i="1" s="1"/>
  <c r="AP721" i="1"/>
  <c r="AP722" i="1" s="1"/>
  <c r="BF721" i="1"/>
  <c r="BF722" i="1" s="1"/>
  <c r="BN721" i="1"/>
  <c r="BN722" i="1" s="1"/>
  <c r="BV721" i="1"/>
  <c r="BV722" i="1" s="1"/>
  <c r="BI135" i="1"/>
  <c r="BD135" i="1"/>
  <c r="BH161" i="1"/>
  <c r="BH162" i="1" s="1"/>
  <c r="BH166" i="1" s="1"/>
  <c r="Q190" i="1"/>
  <c r="Z190" i="1"/>
  <c r="AH190" i="1"/>
  <c r="AP190" i="1"/>
  <c r="J204" i="1"/>
  <c r="N201" i="1"/>
  <c r="V201" i="1"/>
  <c r="BM200" i="1"/>
  <c r="BJ201" i="1"/>
  <c r="AX201" i="1"/>
  <c r="AX210" i="1" s="1"/>
  <c r="BS210" i="1"/>
  <c r="BS203" i="1"/>
  <c r="BF203" i="1"/>
  <c r="W204" i="1"/>
  <c r="AV204" i="1"/>
  <c r="BQ210" i="1"/>
  <c r="BG211" i="1"/>
  <c r="G651" i="1"/>
  <c r="G652" i="1" s="1"/>
  <c r="U651" i="1"/>
  <c r="U283" i="1"/>
  <c r="T370" i="1"/>
  <c r="W948" i="1" s="1"/>
  <c r="I309" i="1"/>
  <c r="I313" i="1" s="1"/>
  <c r="I315" i="1" s="1"/>
  <c r="I329" i="1"/>
  <c r="I339" i="1" s="1"/>
  <c r="I396" i="1" s="1"/>
  <c r="BG360" i="1"/>
  <c r="BG362" i="1" s="1"/>
  <c r="BG396" i="1" s="1"/>
  <c r="BG313" i="1"/>
  <c r="BG315" i="1" s="1"/>
  <c r="BP309" i="1"/>
  <c r="BP329" i="1"/>
  <c r="BP339" i="1" s="1"/>
  <c r="BY309" i="1"/>
  <c r="BY329" i="1"/>
  <c r="BY339" i="1" s="1"/>
  <c r="AI341" i="1"/>
  <c r="AI352" i="1" s="1"/>
  <c r="AI309" i="1"/>
  <c r="AY360" i="1"/>
  <c r="AY362" i="1" s="1"/>
  <c r="AY396" i="1" s="1"/>
  <c r="AY313" i="1"/>
  <c r="AY315" i="1" s="1"/>
  <c r="AA309" i="1"/>
  <c r="BB317" i="1"/>
  <c r="Y313" i="1"/>
  <c r="Y315" i="1" s="1"/>
  <c r="AY341" i="1"/>
  <c r="AY352" i="1" s="1"/>
  <c r="F29" i="9"/>
  <c r="F948" i="1"/>
  <c r="F951" i="1"/>
  <c r="F581" i="1"/>
  <c r="F277" i="1"/>
  <c r="F278" i="1" s="1"/>
  <c r="F281" i="1"/>
  <c r="O29" i="9"/>
  <c r="O951" i="1"/>
  <c r="O581" i="1"/>
  <c r="O281" i="1"/>
  <c r="O277" i="1"/>
  <c r="O278" i="1" s="1"/>
  <c r="X29" i="9"/>
  <c r="X1026" i="1"/>
  <c r="X282" i="1"/>
  <c r="X581" i="1"/>
  <c r="X281" i="1"/>
  <c r="X378" i="1"/>
  <c r="AF29" i="9"/>
  <c r="AF948" i="1"/>
  <c r="AF951" i="1"/>
  <c r="AF1026" i="1"/>
  <c r="AF282" i="1"/>
  <c r="AF281" i="1"/>
  <c r="AF277" i="1"/>
  <c r="AF278" i="1" s="1"/>
  <c r="AN29" i="9"/>
  <c r="AN948" i="1"/>
  <c r="AN1026" i="1"/>
  <c r="AN581" i="1"/>
  <c r="AN282" i="1"/>
  <c r="AN280" i="1"/>
  <c r="AV29" i="9"/>
  <c r="AV1026" i="1"/>
  <c r="AV948" i="1"/>
  <c r="AV282" i="1"/>
  <c r="AV581" i="1"/>
  <c r="AV277" i="1"/>
  <c r="AV278" i="1" s="1"/>
  <c r="AV281" i="1"/>
  <c r="AV280" i="1"/>
  <c r="BD29" i="9"/>
  <c r="BD948" i="1"/>
  <c r="BD581" i="1"/>
  <c r="BD951" i="1"/>
  <c r="BD282" i="1"/>
  <c r="BD281" i="1"/>
  <c r="BL29" i="9"/>
  <c r="BL948" i="1"/>
  <c r="BL1026" i="1"/>
  <c r="BL951" i="1"/>
  <c r="BL956" i="1" s="1"/>
  <c r="BL581" i="1"/>
  <c r="BL282" i="1"/>
  <c r="BL277" i="1"/>
  <c r="BL278" i="1" s="1"/>
  <c r="BN30" i="9"/>
  <c r="BN949" i="1"/>
  <c r="BN950" i="1"/>
  <c r="BN277" i="1"/>
  <c r="BN278" i="1" s="1"/>
  <c r="BV30" i="9"/>
  <c r="BV950" i="1"/>
  <c r="BV949" i="1"/>
  <c r="BV277" i="1"/>
  <c r="BV278" i="1" s="1"/>
  <c r="AH32" i="9"/>
  <c r="AH377" i="1"/>
  <c r="AH378" i="1" s="1"/>
  <c r="AD33" i="9"/>
  <c r="BP33" i="9"/>
  <c r="BP55" i="1"/>
  <c r="BP56" i="1" s="1"/>
  <c r="H390" i="1"/>
  <c r="H280" i="1"/>
  <c r="H283" i="1" s="1"/>
  <c r="AC35" i="9"/>
  <c r="AC290" i="1"/>
  <c r="AC58" i="9" s="1"/>
  <c r="E35" i="9"/>
  <c r="E290" i="1"/>
  <c r="E58" i="9" s="1"/>
  <c r="AY35" i="9"/>
  <c r="AY290" i="1"/>
  <c r="AY58" i="9" s="1"/>
  <c r="BK292" i="1"/>
  <c r="BK59" i="9" s="1"/>
  <c r="P36" i="9"/>
  <c r="P292" i="1"/>
  <c r="P59" i="9" s="1"/>
  <c r="BV36" i="9"/>
  <c r="BV292" i="1"/>
  <c r="BV59" i="9" s="1"/>
  <c r="AW936" i="1"/>
  <c r="AW927" i="1"/>
  <c r="Z741" i="1"/>
  <c r="Z405" i="1"/>
  <c r="Z407" i="1" s="1"/>
  <c r="Z39" i="9" s="1"/>
  <c r="AH741" i="1"/>
  <c r="AH405" i="1"/>
  <c r="AH407" i="1" s="1"/>
  <c r="AH39" i="9" s="1"/>
  <c r="AP741" i="1"/>
  <c r="AP405" i="1"/>
  <c r="AP407" i="1" s="1"/>
  <c r="AP39" i="9" s="1"/>
  <c r="AX741" i="1"/>
  <c r="AX405" i="1"/>
  <c r="AX407" i="1" s="1"/>
  <c r="AX39" i="9" s="1"/>
  <c r="BF741" i="1"/>
  <c r="BF405" i="1"/>
  <c r="BF407" i="1" s="1"/>
  <c r="BF39" i="9" s="1"/>
  <c r="BN741" i="1"/>
  <c r="BN405" i="1"/>
  <c r="BN407" i="1" s="1"/>
  <c r="BN39" i="9" s="1"/>
  <c r="BV741" i="1"/>
  <c r="BV405" i="1"/>
  <c r="BV407" i="1" s="1"/>
  <c r="BV39" i="9" s="1"/>
  <c r="BT744" i="1"/>
  <c r="I414" i="1"/>
  <c r="R414" i="1"/>
  <c r="R429" i="1" s="1"/>
  <c r="F42" i="9"/>
  <c r="F429" i="1"/>
  <c r="AA42" i="9"/>
  <c r="AA429" i="1"/>
  <c r="AZ42" i="9"/>
  <c r="AZ429" i="1"/>
  <c r="BB721" i="1"/>
  <c r="BB722" i="1" s="1"/>
  <c r="W429" i="1"/>
  <c r="V450" i="1"/>
  <c r="V449" i="1"/>
  <c r="AF449" i="1"/>
  <c r="AF450" i="1"/>
  <c r="K475" i="1"/>
  <c r="J469" i="1"/>
  <c r="BX551" i="1"/>
  <c r="BR573" i="1"/>
  <c r="AQ102" i="9"/>
  <c r="AQ87" i="9"/>
  <c r="F441" i="1"/>
  <c r="N441" i="1"/>
  <c r="V441" i="1"/>
  <c r="V939" i="1"/>
  <c r="AE441" i="1"/>
  <c r="AM441" i="1"/>
  <c r="AU441" i="1"/>
  <c r="BK441" i="1"/>
  <c r="A4" i="13"/>
  <c r="AN1" i="9"/>
  <c r="BZ1" i="9"/>
  <c r="Y21" i="9"/>
  <c r="Y34" i="1"/>
  <c r="Y9" i="1"/>
  <c r="Y14" i="9" s="1"/>
  <c r="BN21" i="9"/>
  <c r="CA22" i="9"/>
  <c r="CA12" i="1"/>
  <c r="BI13" i="1"/>
  <c r="BI15" i="9" s="1"/>
  <c r="AA23" i="1"/>
  <c r="BD24" i="9"/>
  <c r="BD28" i="1"/>
  <c r="BD17" i="9" s="1"/>
  <c r="CD27" i="1"/>
  <c r="Y28" i="1"/>
  <c r="Y17" i="9" s="1"/>
  <c r="AI32" i="1"/>
  <c r="AI18" i="9" s="1"/>
  <c r="BX32" i="1"/>
  <c r="BX18" i="9" s="1"/>
  <c r="BN34" i="1"/>
  <c r="AR37" i="1"/>
  <c r="R44" i="1"/>
  <c r="AA44" i="1"/>
  <c r="AA52" i="1" s="1"/>
  <c r="BH45" i="1"/>
  <c r="E53" i="1"/>
  <c r="E54" i="1" s="1"/>
  <c r="AG53" i="1"/>
  <c r="AG54" i="1" s="1"/>
  <c r="AX53" i="1"/>
  <c r="AX54" i="1" s="1"/>
  <c r="BF53" i="1"/>
  <c r="BN53" i="1"/>
  <c r="BV53" i="1"/>
  <c r="L65" i="1"/>
  <c r="U65" i="1"/>
  <c r="BX65" i="1"/>
  <c r="AJ74" i="1"/>
  <c r="AS74" i="1"/>
  <c r="BB74" i="1"/>
  <c r="BU80" i="1"/>
  <c r="D81" i="1"/>
  <c r="D82" i="1" s="1"/>
  <c r="AX81" i="1"/>
  <c r="AX82" i="1" s="1"/>
  <c r="BG81" i="1"/>
  <c r="BP81" i="1"/>
  <c r="H85" i="1"/>
  <c r="P85" i="1"/>
  <c r="BF95" i="1"/>
  <c r="G96" i="1"/>
  <c r="L97" i="1" s="1"/>
  <c r="P96" i="1"/>
  <c r="P97" i="1" s="1"/>
  <c r="BA96" i="1"/>
  <c r="BR113" i="1"/>
  <c r="BR531" i="1" s="1"/>
  <c r="F117" i="1"/>
  <c r="F399" i="1" s="1"/>
  <c r="F925" i="1" s="1"/>
  <c r="O117" i="1"/>
  <c r="O399" i="1" s="1"/>
  <c r="O925" i="1" s="1"/>
  <c r="AH936" i="1"/>
  <c r="AS117" i="1"/>
  <c r="AS399" i="1" s="1"/>
  <c r="AS925" i="1" s="1"/>
  <c r="BY117" i="1"/>
  <c r="AD937" i="1"/>
  <c r="C32" i="9"/>
  <c r="C377" i="1"/>
  <c r="K32" i="9"/>
  <c r="K377" i="1"/>
  <c r="AI32" i="9"/>
  <c r="AI377" i="1"/>
  <c r="AI378" i="1" s="1"/>
  <c r="Y122" i="1"/>
  <c r="Y383" i="1" s="1"/>
  <c r="AQ122" i="1"/>
  <c r="AQ383" i="1" s="1"/>
  <c r="AQ71" i="1" s="1"/>
  <c r="AQ72" i="1" s="1"/>
  <c r="R721" i="1"/>
  <c r="R722" i="1" s="1"/>
  <c r="AH721" i="1"/>
  <c r="AH722" i="1" s="1"/>
  <c r="AQ721" i="1"/>
  <c r="AQ722" i="1" s="1"/>
  <c r="BG721" i="1"/>
  <c r="BG722" i="1" s="1"/>
  <c r="BO721" i="1"/>
  <c r="BO722" i="1" s="1"/>
  <c r="BW721" i="1"/>
  <c r="BW722" i="1" s="1"/>
  <c r="BN135" i="1"/>
  <c r="AX162" i="1"/>
  <c r="AX166" i="1" s="1"/>
  <c r="BP166" i="1"/>
  <c r="J190" i="1"/>
  <c r="AI189" i="1"/>
  <c r="R190" i="1"/>
  <c r="AI185" i="1"/>
  <c r="AI190" i="1" s="1"/>
  <c r="F201" i="1"/>
  <c r="W210" i="1"/>
  <c r="AE210" i="1"/>
  <c r="L201" i="1"/>
  <c r="L210" i="1" s="1"/>
  <c r="Z205" i="1"/>
  <c r="Z211" i="1"/>
  <c r="Z204" i="1"/>
  <c r="AK201" i="1"/>
  <c r="I203" i="1"/>
  <c r="AH203" i="1"/>
  <c r="AV203" i="1"/>
  <c r="BG203" i="1"/>
  <c r="K204" i="1"/>
  <c r="X204" i="1"/>
  <c r="BK204" i="1"/>
  <c r="BX204" i="1"/>
  <c r="BP206" i="1"/>
  <c r="H210" i="1"/>
  <c r="AG210" i="1"/>
  <c r="BF210" i="1"/>
  <c r="W211" i="1"/>
  <c r="AV211" i="1"/>
  <c r="BR248" i="1"/>
  <c r="X277" i="1"/>
  <c r="X278" i="1" s="1"/>
  <c r="BD280" i="1"/>
  <c r="BM30" i="9"/>
  <c r="BM950" i="1"/>
  <c r="K309" i="1"/>
  <c r="K313" i="1" s="1"/>
  <c r="K315" i="1" s="1"/>
  <c r="K329" i="1"/>
  <c r="K339" i="1" s="1"/>
  <c r="K396" i="1" s="1"/>
  <c r="T302" i="1"/>
  <c r="AB309" i="1"/>
  <c r="AB329" i="1"/>
  <c r="AB339" i="1" s="1"/>
  <c r="BH302" i="1"/>
  <c r="BQ329" i="1"/>
  <c r="BQ339" i="1" s="1"/>
  <c r="BQ309" i="1"/>
  <c r="J308" i="1"/>
  <c r="J341" i="1" s="1"/>
  <c r="J352" i="1" s="1"/>
  <c r="J381" i="1"/>
  <c r="BR393" i="1"/>
  <c r="AD360" i="1"/>
  <c r="AD362" i="1" s="1"/>
  <c r="AD396" i="1" s="1"/>
  <c r="AD313" i="1"/>
  <c r="AD315" i="1" s="1"/>
  <c r="BF313" i="1"/>
  <c r="BF315" i="1" s="1"/>
  <c r="BF360" i="1"/>
  <c r="BF362" i="1" s="1"/>
  <c r="BF396" i="1" s="1"/>
  <c r="T414" i="1"/>
  <c r="AC329" i="1"/>
  <c r="AC339" i="1" s="1"/>
  <c r="G29" i="9"/>
  <c r="G581" i="1"/>
  <c r="G281" i="1"/>
  <c r="G283" i="1" s="1"/>
  <c r="G292" i="1"/>
  <c r="G59" i="9" s="1"/>
  <c r="G282" i="1"/>
  <c r="P29" i="9"/>
  <c r="P951" i="1"/>
  <c r="P1026" i="1"/>
  <c r="P581" i="1"/>
  <c r="P948" i="1"/>
  <c r="P282" i="1"/>
  <c r="P277" i="1"/>
  <c r="P278" i="1" s="1"/>
  <c r="P280" i="1"/>
  <c r="U31" i="9"/>
  <c r="AC31" i="9"/>
  <c r="BA32" i="9"/>
  <c r="BA377" i="1"/>
  <c r="BI32" i="9"/>
  <c r="BI377" i="1"/>
  <c r="BQ32" i="9"/>
  <c r="BQ377" i="1"/>
  <c r="BY32" i="9"/>
  <c r="BY377" i="1"/>
  <c r="AQ377" i="1"/>
  <c r="AF378" i="1"/>
  <c r="N36" i="9"/>
  <c r="N292" i="1"/>
  <c r="N59" i="9" s="1"/>
  <c r="W393" i="1"/>
  <c r="W282" i="1"/>
  <c r="AM393" i="1"/>
  <c r="AM282" i="1"/>
  <c r="AU36" i="9"/>
  <c r="AU292" i="1"/>
  <c r="AU59" i="9" s="1"/>
  <c r="BC282" i="1"/>
  <c r="BL36" i="9"/>
  <c r="BL292" i="1"/>
  <c r="BL59" i="9" s="1"/>
  <c r="AD36" i="9"/>
  <c r="AD292" i="1"/>
  <c r="AD59" i="9" s="1"/>
  <c r="CI36" i="9"/>
  <c r="CI391" i="1"/>
  <c r="R741" i="1"/>
  <c r="R405" i="1"/>
  <c r="R407" i="1" s="1"/>
  <c r="R39" i="9" s="1"/>
  <c r="AE42" i="9"/>
  <c r="AA417" i="1"/>
  <c r="W444" i="1"/>
  <c r="AJ512" i="1"/>
  <c r="BN744" i="1"/>
  <c r="G441" i="1"/>
  <c r="W939" i="1"/>
  <c r="W441" i="1"/>
  <c r="AF441" i="1"/>
  <c r="AN3" i="1"/>
  <c r="AV441" i="1"/>
  <c r="BD441" i="1"/>
  <c r="BB744" i="1"/>
  <c r="BA744" i="1"/>
  <c r="BL441" i="1"/>
  <c r="AS1" i="9"/>
  <c r="CA4" i="1"/>
  <c r="AD21" i="9"/>
  <c r="AD1026" i="1"/>
  <c r="AF8" i="1"/>
  <c r="BS21" i="9"/>
  <c r="BS1026" i="1"/>
  <c r="AT13" i="1"/>
  <c r="AT15" i="9" s="1"/>
  <c r="T24" i="9"/>
  <c r="T27" i="1"/>
  <c r="BZ25" i="9"/>
  <c r="BZ31" i="1"/>
  <c r="BW26" i="9"/>
  <c r="BW37" i="1"/>
  <c r="AH37" i="1"/>
  <c r="BF37" i="1"/>
  <c r="BQ37" i="1"/>
  <c r="BF38" i="1"/>
  <c r="BF19" i="9" s="1"/>
  <c r="BO38" i="1"/>
  <c r="BO19" i="9" s="1"/>
  <c r="S44" i="1"/>
  <c r="BV44" i="1"/>
  <c r="Y53" i="1"/>
  <c r="AH53" i="1"/>
  <c r="AH54" i="1" s="1"/>
  <c r="AD55" i="1"/>
  <c r="AD56" i="1" s="1"/>
  <c r="J89" i="1"/>
  <c r="J91" i="1" s="1"/>
  <c r="R89" i="1"/>
  <c r="Z89" i="1"/>
  <c r="BV80" i="1"/>
  <c r="AP81" i="1"/>
  <c r="AX95" i="1"/>
  <c r="H96" i="1"/>
  <c r="M97" i="1" s="1"/>
  <c r="AS96" i="1"/>
  <c r="BB96" i="1"/>
  <c r="BB97" i="1" s="1"/>
  <c r="BL101" i="1"/>
  <c r="CD101" i="1"/>
  <c r="Y117" i="1"/>
  <c r="Y399" i="1" s="1"/>
  <c r="Y925" i="1" s="1"/>
  <c r="AU117" i="1"/>
  <c r="AU399" i="1" s="1"/>
  <c r="AU925" i="1" s="1"/>
  <c r="AU936" i="1" s="1"/>
  <c r="BF117" i="1"/>
  <c r="BQ117" i="1"/>
  <c r="BQ399" i="1" s="1"/>
  <c r="BQ925" i="1" s="1"/>
  <c r="BQ936" i="1" s="1"/>
  <c r="AI937" i="1"/>
  <c r="D122" i="1"/>
  <c r="D383" i="1" s="1"/>
  <c r="D71" i="1" s="1"/>
  <c r="D376" i="1"/>
  <c r="L376" i="1"/>
  <c r="L122" i="1"/>
  <c r="L383" i="1" s="1"/>
  <c r="L71" i="1" s="1"/>
  <c r="L72" i="1" s="1"/>
  <c r="AB376" i="1"/>
  <c r="AB122" i="1"/>
  <c r="AB383" i="1" s="1"/>
  <c r="AB71" i="1" s="1"/>
  <c r="AB74" i="1" s="1"/>
  <c r="AJ32" i="9"/>
  <c r="AJ377" i="1"/>
  <c r="AU32" i="9"/>
  <c r="AU377" i="1"/>
  <c r="AU378" i="1" s="1"/>
  <c r="H122" i="1"/>
  <c r="H383" i="1" s="1"/>
  <c r="Q122" i="1"/>
  <c r="Q383" i="1" s="1"/>
  <c r="Q71" i="1" s="1"/>
  <c r="Q72" i="1" s="1"/>
  <c r="AI122" i="1"/>
  <c r="AI383" i="1" s="1"/>
  <c r="AI71" i="1" s="1"/>
  <c r="AJ388" i="1"/>
  <c r="AJ122" i="1"/>
  <c r="AJ383" i="1" s="1"/>
  <c r="AJ71" i="1" s="1"/>
  <c r="AU122" i="1"/>
  <c r="AU383" i="1" s="1"/>
  <c r="AU417" i="1"/>
  <c r="AY417" i="1" s="1"/>
  <c r="J721" i="1"/>
  <c r="S721" i="1"/>
  <c r="S722" i="1" s="1"/>
  <c r="AA721" i="1"/>
  <c r="AA722" i="1" s="1"/>
  <c r="AI721" i="1"/>
  <c r="AI722" i="1" s="1"/>
  <c r="AR721" i="1"/>
  <c r="AR722" i="1" s="1"/>
  <c r="AZ721" i="1"/>
  <c r="AZ722" i="1" s="1"/>
  <c r="BH721" i="1"/>
  <c r="BH722" i="1" s="1"/>
  <c r="BP721" i="1"/>
  <c r="BP722" i="1" s="1"/>
  <c r="BX721" i="1"/>
  <c r="BX722" i="1" s="1"/>
  <c r="AS153" i="1"/>
  <c r="AS161" i="1" s="1"/>
  <c r="AS162" i="1" s="1"/>
  <c r="AS166" i="1" s="1"/>
  <c r="O187" i="1"/>
  <c r="O185" i="1"/>
  <c r="O190" i="1" s="1"/>
  <c r="AO175" i="1"/>
  <c r="I190" i="1"/>
  <c r="J187" i="1"/>
  <c r="BH204" i="1"/>
  <c r="G210" i="1"/>
  <c r="BR210" i="1"/>
  <c r="AM201" i="1"/>
  <c r="AM210" i="1" s="1"/>
  <c r="BI211" i="1"/>
  <c r="BI204" i="1"/>
  <c r="X203" i="1"/>
  <c r="AW203" i="1"/>
  <c r="BI203" i="1"/>
  <c r="AY204" i="1"/>
  <c r="BL204" i="1"/>
  <c r="BP205" i="1"/>
  <c r="BQ206" i="1"/>
  <c r="I210" i="1"/>
  <c r="AH210" i="1"/>
  <c r="AV210" i="1"/>
  <c r="BG210" i="1"/>
  <c r="K211" i="1"/>
  <c r="X211" i="1"/>
  <c r="BW222" i="1"/>
  <c r="BW223" i="1" s="1"/>
  <c r="AM277" i="1"/>
  <c r="AM278" i="1" s="1"/>
  <c r="BA651" i="1"/>
  <c r="BA283" i="1"/>
  <c r="Y283" i="1"/>
  <c r="Y651" i="1"/>
  <c r="AF280" i="1"/>
  <c r="AL281" i="1"/>
  <c r="F285" i="1"/>
  <c r="BM302" i="1"/>
  <c r="BM370" i="1"/>
  <c r="C396" i="1"/>
  <c r="L329" i="1"/>
  <c r="L339" i="1" s="1"/>
  <c r="L396" i="1" s="1"/>
  <c r="L309" i="1"/>
  <c r="L313" i="1" s="1"/>
  <c r="L315" i="1" s="1"/>
  <c r="U329" i="1"/>
  <c r="U339" i="1" s="1"/>
  <c r="U309" i="1"/>
  <c r="AC360" i="1"/>
  <c r="AC362" i="1" s="1"/>
  <c r="AC396" i="1" s="1"/>
  <c r="AC313" i="1"/>
  <c r="AC315" i="1" s="1"/>
  <c r="AK360" i="1"/>
  <c r="AK362" i="1" s="1"/>
  <c r="AK396" i="1" s="1"/>
  <c r="AK313" i="1"/>
  <c r="AK315" i="1" s="1"/>
  <c r="BA329" i="1"/>
  <c r="BA339" i="1" s="1"/>
  <c r="BA309" i="1"/>
  <c r="BR329" i="1"/>
  <c r="BR339" i="1" s="1"/>
  <c r="BW282" i="1"/>
  <c r="BR308" i="1"/>
  <c r="BR341" i="1" s="1"/>
  <c r="BR352" i="1" s="1"/>
  <c r="C309" i="1"/>
  <c r="C313" i="1" s="1"/>
  <c r="C315" i="1" s="1"/>
  <c r="AG313" i="1"/>
  <c r="AG315" i="1" s="1"/>
  <c r="AG360" i="1"/>
  <c r="AG362" i="1" s="1"/>
  <c r="AG396" i="1" s="1"/>
  <c r="T744" i="1"/>
  <c r="AS32" i="9"/>
  <c r="AS377" i="1"/>
  <c r="AS378" i="1" s="1"/>
  <c r="BB32" i="9"/>
  <c r="BB377" i="1"/>
  <c r="BB378" i="1" s="1"/>
  <c r="BJ32" i="9"/>
  <c r="BJ377" i="1"/>
  <c r="BR32" i="9"/>
  <c r="BR377" i="1"/>
  <c r="AR33" i="9"/>
  <c r="AR55" i="1"/>
  <c r="AR56" i="1" s="1"/>
  <c r="BX33" i="9"/>
  <c r="BX55" i="1"/>
  <c r="BX56" i="1" s="1"/>
  <c r="CI33" i="9"/>
  <c r="CI418" i="1"/>
  <c r="AA385" i="1"/>
  <c r="AI385" i="1"/>
  <c r="AQ385" i="1"/>
  <c r="AY34" i="9"/>
  <c r="AY291" i="1"/>
  <c r="BO34" i="9"/>
  <c r="BO291" i="1"/>
  <c r="BW34" i="9"/>
  <c r="M390" i="1"/>
  <c r="BJ35" i="9"/>
  <c r="BJ290" i="1"/>
  <c r="BJ58" i="9" s="1"/>
  <c r="F282" i="1"/>
  <c r="F393" i="1"/>
  <c r="O391" i="1"/>
  <c r="BX393" i="1"/>
  <c r="BX282" i="1"/>
  <c r="X36" i="9"/>
  <c r="X292" i="1"/>
  <c r="X59" i="9" s="1"/>
  <c r="BC393" i="1"/>
  <c r="G744" i="1"/>
  <c r="BQ42" i="9"/>
  <c r="BQ429" i="1"/>
  <c r="K414" i="1"/>
  <c r="BI42" i="9"/>
  <c r="BI429" i="1"/>
  <c r="X444" i="1"/>
  <c r="N449" i="1"/>
  <c r="BM485" i="1"/>
  <c r="BM490" i="1" s="1"/>
  <c r="BM497" i="1" s="1"/>
  <c r="BN490" i="1"/>
  <c r="AI651" i="1"/>
  <c r="S71" i="9"/>
  <c r="S944" i="1"/>
  <c r="S1036" i="1"/>
  <c r="AL71" i="9"/>
  <c r="AL1036" i="1"/>
  <c r="AL944" i="1"/>
  <c r="AU745" i="1"/>
  <c r="AU746" i="1" s="1"/>
  <c r="AU742" i="1"/>
  <c r="AZ910" i="1"/>
  <c r="AZ718" i="1"/>
  <c r="AZ73" i="9" s="1"/>
  <c r="BK910" i="1"/>
  <c r="BK718" i="1"/>
  <c r="BK73" i="9" s="1"/>
  <c r="BF910" i="1"/>
  <c r="BF717" i="1"/>
  <c r="BF74" i="9" s="1"/>
  <c r="AO902" i="1"/>
  <c r="AO714" i="1" s="1"/>
  <c r="AO69" i="9" s="1"/>
  <c r="AK714" i="1"/>
  <c r="BM937" i="1"/>
  <c r="R32" i="9"/>
  <c r="R377" i="1"/>
  <c r="AG122" i="1"/>
  <c r="AG383" i="1" s="1"/>
  <c r="H441" i="1"/>
  <c r="P441" i="1"/>
  <c r="X441" i="1"/>
  <c r="J1" i="9"/>
  <c r="AX1" i="9"/>
  <c r="AI21" i="9"/>
  <c r="AI1026" i="1"/>
  <c r="BX21" i="9"/>
  <c r="AI8" i="1"/>
  <c r="BR20" i="1"/>
  <c r="BR21" i="1"/>
  <c r="CD23" i="9"/>
  <c r="CH22" i="1"/>
  <c r="AT25" i="9"/>
  <c r="AT32" i="1"/>
  <c r="AT18" i="9" s="1"/>
  <c r="AI34" i="1"/>
  <c r="AR26" i="9"/>
  <c r="AR44" i="1"/>
  <c r="AZ26" i="9"/>
  <c r="AZ44" i="1"/>
  <c r="BH26" i="9"/>
  <c r="BH44" i="1"/>
  <c r="BP26" i="9"/>
  <c r="BP44" i="1"/>
  <c r="BP87" i="1" s="1"/>
  <c r="BX34" i="1"/>
  <c r="BP38" i="1"/>
  <c r="BP19" i="9" s="1"/>
  <c r="Q53" i="1"/>
  <c r="Q54" i="1" s="1"/>
  <c r="BO55" i="1"/>
  <c r="BO56" i="1" s="1"/>
  <c r="N65" i="1"/>
  <c r="V65" i="1"/>
  <c r="AD65" i="1"/>
  <c r="AL65" i="1"/>
  <c r="AT65" i="1"/>
  <c r="BB65" i="1"/>
  <c r="BJ65" i="1"/>
  <c r="BR65" i="1"/>
  <c r="AU70" i="1"/>
  <c r="AQ81" i="1"/>
  <c r="AR87" i="1"/>
  <c r="F101" i="1"/>
  <c r="Q936" i="1"/>
  <c r="AL117" i="1"/>
  <c r="AL399" i="1" s="1"/>
  <c r="AL925" i="1" s="1"/>
  <c r="AL936" i="1" s="1"/>
  <c r="BV941" i="1"/>
  <c r="BV117" i="1"/>
  <c r="BV399" i="1" s="1"/>
  <c r="BV925" i="1" s="1"/>
  <c r="BV936" i="1" s="1"/>
  <c r="M32" i="9"/>
  <c r="M377" i="1"/>
  <c r="U32" i="9"/>
  <c r="U377" i="1"/>
  <c r="U378" i="1" s="1"/>
  <c r="AC32" i="9"/>
  <c r="AC377" i="1"/>
  <c r="AC378" i="1" s="1"/>
  <c r="AK32" i="9"/>
  <c r="AK377" i="1"/>
  <c r="I122" i="1"/>
  <c r="I383" i="1" s="1"/>
  <c r="I71" i="1" s="1"/>
  <c r="I72" i="1" s="1"/>
  <c r="AK122" i="1"/>
  <c r="AK383" i="1" s="1"/>
  <c r="AO721" i="1"/>
  <c r="AO722" i="1" s="1"/>
  <c r="K390" i="1"/>
  <c r="C721" i="1"/>
  <c r="C722" i="1" s="1"/>
  <c r="K721" i="1"/>
  <c r="K722" i="1" s="1"/>
  <c r="T721" i="1"/>
  <c r="AB721" i="1"/>
  <c r="AB722" i="1" s="1"/>
  <c r="AJ129" i="1"/>
  <c r="AJ416" i="1" s="1"/>
  <c r="BA721" i="1"/>
  <c r="BA722" i="1" s="1"/>
  <c r="BI721" i="1"/>
  <c r="BI722" i="1" s="1"/>
  <c r="BQ721" i="1"/>
  <c r="BQ722" i="1" s="1"/>
  <c r="AY135" i="1"/>
  <c r="BX135" i="1"/>
  <c r="BX166" i="1" s="1"/>
  <c r="BI166" i="1"/>
  <c r="T185" i="1"/>
  <c r="T190" i="1" s="1"/>
  <c r="AS185" i="1"/>
  <c r="AS190" i="1" s="1"/>
  <c r="AT187" i="1"/>
  <c r="AZ210" i="1"/>
  <c r="AB201" i="1"/>
  <c r="AB210" i="1" s="1"/>
  <c r="AP205" i="1"/>
  <c r="AP211" i="1"/>
  <c r="AP204" i="1"/>
  <c r="BA211" i="1"/>
  <c r="BA204" i="1"/>
  <c r="BK210" i="1"/>
  <c r="BK203" i="1"/>
  <c r="BV205" i="1"/>
  <c r="BV204" i="1"/>
  <c r="K203" i="1"/>
  <c r="BQ205" i="1"/>
  <c r="BS206" i="1"/>
  <c r="BV210" i="1"/>
  <c r="AN222" i="1"/>
  <c r="AN223" i="1" s="1"/>
  <c r="AN277" i="1"/>
  <c r="AN278" i="1" s="1"/>
  <c r="BD277" i="1"/>
  <c r="BD278" i="1" s="1"/>
  <c r="BT277" i="1"/>
  <c r="BT278" i="1" s="1"/>
  <c r="AW651" i="1"/>
  <c r="AW283" i="1"/>
  <c r="AN281" i="1"/>
  <c r="BB281" i="1"/>
  <c r="BT281" i="1"/>
  <c r="BK282" i="1"/>
  <c r="S283" i="1"/>
  <c r="AT292" i="1"/>
  <c r="AT59" i="9" s="1"/>
  <c r="H309" i="1"/>
  <c r="H313" i="1" s="1"/>
  <c r="H315" i="1" s="1"/>
  <c r="AJ309" i="1"/>
  <c r="BI309" i="1"/>
  <c r="BO313" i="1"/>
  <c r="BO315" i="1" s="1"/>
  <c r="Q396" i="1"/>
  <c r="BE38" i="9"/>
  <c r="BE97" i="9" s="1"/>
  <c r="BE400" i="1"/>
  <c r="BE294" i="1"/>
  <c r="BE61" i="9" s="1"/>
  <c r="BP29" i="9"/>
  <c r="BP1026" i="1"/>
  <c r="BP581" i="1"/>
  <c r="BQ587" i="1" s="1"/>
  <c r="BP280" i="1"/>
  <c r="BP281" i="1"/>
  <c r="BP378" i="1"/>
  <c r="L30" i="9"/>
  <c r="L277" i="1"/>
  <c r="L278" i="1" s="1"/>
  <c r="T30" i="9"/>
  <c r="T950" i="1"/>
  <c r="T949" i="1"/>
  <c r="AB30" i="9"/>
  <c r="AB949" i="1"/>
  <c r="AB950" i="1"/>
  <c r="AB277" i="1"/>
  <c r="AB278" i="1" s="1"/>
  <c r="AJ30" i="9"/>
  <c r="AJ949" i="1"/>
  <c r="AJ950" i="1"/>
  <c r="AJ277" i="1"/>
  <c r="AJ278" i="1" s="1"/>
  <c r="AR30" i="9"/>
  <c r="AR950" i="1"/>
  <c r="AR949" i="1"/>
  <c r="AR954" i="1" s="1"/>
  <c r="AR277" i="1"/>
  <c r="AR278" i="1" s="1"/>
  <c r="AZ30" i="9"/>
  <c r="AZ950" i="1"/>
  <c r="AZ955" i="1" s="1"/>
  <c r="AZ949" i="1"/>
  <c r="AZ954" i="1" s="1"/>
  <c r="AZ277" i="1"/>
  <c r="AZ278" i="1" s="1"/>
  <c r="BE34" i="9"/>
  <c r="BE291" i="1"/>
  <c r="BY393" i="1"/>
  <c r="BY282" i="1"/>
  <c r="AN36" i="9"/>
  <c r="AN292" i="1"/>
  <c r="AN59" i="9" s="1"/>
  <c r="BD36" i="9"/>
  <c r="BD292" i="1"/>
  <c r="BD59" i="9" s="1"/>
  <c r="AC745" i="1"/>
  <c r="AC746" i="1" s="1"/>
  <c r="AC742" i="1"/>
  <c r="BF744" i="1"/>
  <c r="BO744" i="1"/>
  <c r="AL42" i="9"/>
  <c r="AL429" i="1"/>
  <c r="Q450" i="1"/>
  <c r="Q449" i="1"/>
  <c r="O444" i="1"/>
  <c r="T461" i="1"/>
  <c r="U467" i="1"/>
  <c r="CD585" i="1"/>
  <c r="CD588" i="1"/>
  <c r="BU651" i="1"/>
  <c r="X80" i="9"/>
  <c r="Z715" i="1"/>
  <c r="Z80" i="9" s="1"/>
  <c r="BC744" i="1"/>
  <c r="BC714" i="1"/>
  <c r="BC69" i="9" s="1"/>
  <c r="BD902" i="1"/>
  <c r="BD714" i="1" s="1"/>
  <c r="BD69" i="9" s="1"/>
  <c r="BS857" i="1"/>
  <c r="BO868" i="1"/>
  <c r="G877" i="1"/>
  <c r="G703" i="1"/>
  <c r="P877" i="1"/>
  <c r="P705" i="1" s="1"/>
  <c r="P703" i="1"/>
  <c r="Z441" i="1"/>
  <c r="AH441" i="1"/>
  <c r="AP441" i="1"/>
  <c r="AX3" i="1"/>
  <c r="BF441" i="1"/>
  <c r="O1" i="9"/>
  <c r="BC1" i="9"/>
  <c r="B2" i="9"/>
  <c r="A5" i="13"/>
  <c r="C4" i="13"/>
  <c r="BZ21" i="9"/>
  <c r="AK8" i="1"/>
  <c r="CB12" i="1"/>
  <c r="BD13" i="1"/>
  <c r="BD15" i="9" s="1"/>
  <c r="BT16" i="1"/>
  <c r="BN23" i="9"/>
  <c r="BN24" i="1"/>
  <c r="BN16" i="9" s="1"/>
  <c r="CE23" i="9"/>
  <c r="CE23" i="1"/>
  <c r="T23" i="1"/>
  <c r="CB23" i="1"/>
  <c r="Y24" i="1"/>
  <c r="Y16" i="9" s="1"/>
  <c r="AI31" i="1"/>
  <c r="AB26" i="9"/>
  <c r="AB44" i="1"/>
  <c r="AJ26" i="9"/>
  <c r="AJ44" i="1"/>
  <c r="AJ54" i="1" s="1"/>
  <c r="AS26" i="9"/>
  <c r="AS37" i="1"/>
  <c r="BY26" i="9"/>
  <c r="BY7" i="1"/>
  <c r="BH37" i="1"/>
  <c r="X38" i="1"/>
  <c r="X19" i="9" s="1"/>
  <c r="AG38" i="1"/>
  <c r="AG19" i="9" s="1"/>
  <c r="AP38" i="1"/>
  <c r="AP19" i="9" s="1"/>
  <c r="BH38" i="1"/>
  <c r="BH19" i="9" s="1"/>
  <c r="BQ38" i="1"/>
  <c r="BQ19" i="9" s="1"/>
  <c r="BF44" i="1"/>
  <c r="BO44" i="1"/>
  <c r="BY44" i="1"/>
  <c r="BC56" i="1"/>
  <c r="BS56" i="1"/>
  <c r="I53" i="1"/>
  <c r="I54" i="1" s="1"/>
  <c r="R53" i="1"/>
  <c r="AA53" i="1"/>
  <c r="G66" i="1"/>
  <c r="L67" i="1" s="1"/>
  <c r="O66" i="1"/>
  <c r="W66" i="1"/>
  <c r="AE66" i="1"/>
  <c r="AU66" i="1"/>
  <c r="BS65" i="1"/>
  <c r="AD74" i="1"/>
  <c r="AW80" i="1"/>
  <c r="BF80" i="1"/>
  <c r="Z81" i="1"/>
  <c r="AR81" i="1"/>
  <c r="AC86" i="1"/>
  <c r="P95" i="1"/>
  <c r="X95" i="1"/>
  <c r="AF95" i="1"/>
  <c r="AN95" i="1"/>
  <c r="AV95" i="1"/>
  <c r="BD95" i="1"/>
  <c r="BL95" i="1"/>
  <c r="BT95" i="1"/>
  <c r="CB95" i="1"/>
  <c r="CJ95" i="1"/>
  <c r="AH95" i="1"/>
  <c r="AC96" i="1"/>
  <c r="AC97" i="1" s="1"/>
  <c r="AU96" i="1"/>
  <c r="AU97" i="1" s="1"/>
  <c r="BD100" i="1"/>
  <c r="AC117" i="1"/>
  <c r="AC399" i="1" s="1"/>
  <c r="AC925" i="1" s="1"/>
  <c r="AC936" i="1" s="1"/>
  <c r="AM936" i="1"/>
  <c r="AS937" i="1"/>
  <c r="N32" i="9"/>
  <c r="N377" i="1"/>
  <c r="V32" i="9"/>
  <c r="V377" i="1"/>
  <c r="V378" i="1" s="1"/>
  <c r="AL32" i="9"/>
  <c r="AL377" i="1"/>
  <c r="S122" i="1"/>
  <c r="S383" i="1" s="1"/>
  <c r="S71" i="1" s="1"/>
  <c r="AC122" i="1"/>
  <c r="AC383" i="1" s="1"/>
  <c r="AC71" i="1" s="1"/>
  <c r="AC72" i="1" s="1"/>
  <c r="AL122" i="1"/>
  <c r="AL383" i="1" s="1"/>
  <c r="Q382" i="1"/>
  <c r="U127" i="1"/>
  <c r="D721" i="1"/>
  <c r="D722" i="1" s="1"/>
  <c r="L721" i="1"/>
  <c r="L722" i="1" s="1"/>
  <c r="AK721" i="1"/>
  <c r="AK722" i="1" s="1"/>
  <c r="AR166" i="1"/>
  <c r="BI164" i="1"/>
  <c r="Y185" i="1"/>
  <c r="Y190" i="1" s="1"/>
  <c r="J178" i="1"/>
  <c r="AR210" i="1"/>
  <c r="D201" i="1"/>
  <c r="R211" i="1"/>
  <c r="R204" i="1"/>
  <c r="BN205" i="1"/>
  <c r="BN211" i="1"/>
  <c r="BN204" i="1"/>
  <c r="Z203" i="1"/>
  <c r="AY203" i="1"/>
  <c r="C204" i="1"/>
  <c r="P204" i="1"/>
  <c r="BV206" i="1"/>
  <c r="K210" i="1"/>
  <c r="BL210" i="1"/>
  <c r="BX210" i="1"/>
  <c r="AA211" i="1"/>
  <c r="AU214" i="1"/>
  <c r="I651" i="1"/>
  <c r="I652" i="1" s="1"/>
  <c r="W280" i="1"/>
  <c r="BO294" i="1"/>
  <c r="BO61" i="9" s="1"/>
  <c r="D30" i="9"/>
  <c r="D950" i="1"/>
  <c r="D949" i="1"/>
  <c r="D277" i="1"/>
  <c r="D278" i="1" s="1"/>
  <c r="E377" i="1"/>
  <c r="C385" i="1"/>
  <c r="U281" i="1"/>
  <c r="AC385" i="1"/>
  <c r="AC281" i="1"/>
  <c r="AC283" i="1" s="1"/>
  <c r="AS385" i="1"/>
  <c r="AS281" i="1"/>
  <c r="BA281" i="1"/>
  <c r="BA385" i="1"/>
  <c r="BQ281" i="1"/>
  <c r="BQ283" i="1" s="1"/>
  <c r="BQ385" i="1"/>
  <c r="BY281" i="1"/>
  <c r="BY283" i="1" s="1"/>
  <c r="BY385" i="1"/>
  <c r="BI385" i="1"/>
  <c r="AE390" i="1"/>
  <c r="AE280" i="1"/>
  <c r="AM35" i="9"/>
  <c r="AM290" i="1"/>
  <c r="AM58" i="9" s="1"/>
  <c r="AU280" i="1"/>
  <c r="BL35" i="9"/>
  <c r="BL290" i="1"/>
  <c r="BL58" i="9" s="1"/>
  <c r="BT390" i="1"/>
  <c r="BT280" i="1"/>
  <c r="BI35" i="9"/>
  <c r="BI290" i="1"/>
  <c r="BI58" i="9" s="1"/>
  <c r="CC389" i="1"/>
  <c r="BY390" i="1"/>
  <c r="BX35" i="9"/>
  <c r="BX290" i="1"/>
  <c r="BX58" i="9" s="1"/>
  <c r="Y36" i="9"/>
  <c r="Y292" i="1"/>
  <c r="Y59" i="9" s="1"/>
  <c r="AO36" i="9"/>
  <c r="AO292" i="1"/>
  <c r="AO59" i="9" s="1"/>
  <c r="AW36" i="9"/>
  <c r="AW292" i="1"/>
  <c r="AW59" i="9" s="1"/>
  <c r="BU36" i="9"/>
  <c r="BU292" i="1"/>
  <c r="BU59" i="9" s="1"/>
  <c r="AD745" i="1"/>
  <c r="AD746" i="1" s="1"/>
  <c r="AD742" i="1"/>
  <c r="BP744" i="1"/>
  <c r="P512" i="1"/>
  <c r="P507" i="1" s="1"/>
  <c r="L507" i="1"/>
  <c r="AF581" i="1"/>
  <c r="BB7" i="9"/>
  <c r="BB1024" i="1"/>
  <c r="BJ7" i="9"/>
  <c r="BJ1024" i="1"/>
  <c r="BR7" i="9"/>
  <c r="BR1024" i="1"/>
  <c r="BR739" i="1"/>
  <c r="AD744" i="1"/>
  <c r="AP497" i="1"/>
  <c r="AP492" i="1"/>
  <c r="BO497" i="1"/>
  <c r="T507" i="1"/>
  <c r="K9" i="9"/>
  <c r="K739" i="1"/>
  <c r="BW9" i="9"/>
  <c r="BW739" i="1"/>
  <c r="AV745" i="1"/>
  <c r="AV746" i="1" s="1"/>
  <c r="AV742" i="1"/>
  <c r="AF744" i="1"/>
  <c r="AW746" i="1"/>
  <c r="C877" i="1"/>
  <c r="C705" i="1" s="1"/>
  <c r="C703" i="1"/>
  <c r="S910" i="1"/>
  <c r="S718" i="1"/>
  <c r="S73" i="9" s="1"/>
  <c r="AN910" i="1"/>
  <c r="Y949" i="1"/>
  <c r="Y970" i="1"/>
  <c r="BK949" i="1"/>
  <c r="BK970" i="1"/>
  <c r="BU970" i="1"/>
  <c r="BU949" i="1"/>
  <c r="CF588" i="1"/>
  <c r="CF585" i="1"/>
  <c r="CF372" i="1"/>
  <c r="BF587" i="1"/>
  <c r="G67" i="9"/>
  <c r="G942" i="1"/>
  <c r="G556" i="1"/>
  <c r="G557" i="1" s="1"/>
  <c r="P67" i="9"/>
  <c r="P942" i="1"/>
  <c r="P1032" i="1"/>
  <c r="P556" i="1"/>
  <c r="X67" i="9"/>
  <c r="X1032" i="1"/>
  <c r="X556" i="1"/>
  <c r="C71" i="9"/>
  <c r="C944" i="1"/>
  <c r="C1036" i="1"/>
  <c r="D877" i="1"/>
  <c r="D705" i="1" s="1"/>
  <c r="D703" i="1"/>
  <c r="AM890" i="1"/>
  <c r="AE949" i="1"/>
  <c r="AE970" i="1"/>
  <c r="BL970" i="1"/>
  <c r="BL990" i="1" s="1"/>
  <c r="BL949" i="1"/>
  <c r="BL954" i="1" s="1"/>
  <c r="BR268" i="1"/>
  <c r="D309" i="1"/>
  <c r="D313" i="1" s="1"/>
  <c r="D315" i="1" s="1"/>
  <c r="D329" i="1"/>
  <c r="D339" i="1" s="1"/>
  <c r="D396" i="1" s="1"/>
  <c r="M309" i="1"/>
  <c r="M313" i="1" s="1"/>
  <c r="M315" i="1" s="1"/>
  <c r="M329" i="1"/>
  <c r="M339" i="1" s="1"/>
  <c r="M396" i="1" s="1"/>
  <c r="V309" i="1"/>
  <c r="V329" i="1"/>
  <c r="V339" i="1" s="1"/>
  <c r="E309" i="1"/>
  <c r="E313" i="1" s="1"/>
  <c r="E315" i="1" s="1"/>
  <c r="R309" i="1"/>
  <c r="R313" i="1" s="1"/>
  <c r="R315" i="1" s="1"/>
  <c r="AH309" i="1"/>
  <c r="AW309" i="1"/>
  <c r="BJ309" i="1"/>
  <c r="J404" i="1"/>
  <c r="J743" i="1" s="1"/>
  <c r="J744" i="1" s="1"/>
  <c r="J354" i="1"/>
  <c r="J358" i="1" s="1"/>
  <c r="BE313" i="1"/>
  <c r="BE315" i="1" s="1"/>
  <c r="AO341" i="1"/>
  <c r="AO352" i="1" s="1"/>
  <c r="BT950" i="1"/>
  <c r="BT30" i="9"/>
  <c r="M281" i="1"/>
  <c r="M385" i="1"/>
  <c r="BB385" i="1"/>
  <c r="BR385" i="1"/>
  <c r="BJ280" i="1"/>
  <c r="BJ283" i="1" s="1"/>
  <c r="BR390" i="1"/>
  <c r="H282" i="1"/>
  <c r="H393" i="1"/>
  <c r="CA36" i="9"/>
  <c r="CA391" i="1"/>
  <c r="CJ36" i="9"/>
  <c r="CJ391" i="1"/>
  <c r="BI936" i="1"/>
  <c r="AT400" i="1"/>
  <c r="BD745" i="1"/>
  <c r="BD746" i="1" s="1"/>
  <c r="BD742" i="1"/>
  <c r="AA744" i="1"/>
  <c r="AI744" i="1"/>
  <c r="AQ744" i="1"/>
  <c r="BG744" i="1"/>
  <c r="BW744" i="1"/>
  <c r="AB405" i="1"/>
  <c r="AB407" i="1" s="1"/>
  <c r="AB39" i="9" s="1"/>
  <c r="AZ405" i="1"/>
  <c r="AZ407" i="1" s="1"/>
  <c r="AZ39" i="9" s="1"/>
  <c r="J414" i="1"/>
  <c r="S414" i="1"/>
  <c r="AI414" i="1"/>
  <c r="AQ414" i="1"/>
  <c r="BO414" i="1"/>
  <c r="L42" i="9"/>
  <c r="L429" i="1"/>
  <c r="AJ414" i="1"/>
  <c r="BX414" i="1"/>
  <c r="CH420" i="1"/>
  <c r="I444" i="1"/>
  <c r="AG444" i="1"/>
  <c r="AH444" i="1" s="1"/>
  <c r="BC444" i="1"/>
  <c r="J466" i="1"/>
  <c r="K466" i="1" s="1"/>
  <c r="S466" i="1"/>
  <c r="S478" i="1" s="1"/>
  <c r="P517" i="1"/>
  <c r="BM551" i="1"/>
  <c r="BM555" i="1" s="1"/>
  <c r="BM711" i="1" s="1"/>
  <c r="BL566" i="1"/>
  <c r="BU551" i="1"/>
  <c r="BU555" i="1" s="1"/>
  <c r="BU711" i="1" s="1"/>
  <c r="BT566" i="1"/>
  <c r="CG588" i="1"/>
  <c r="CG585" i="1"/>
  <c r="CG372" i="1"/>
  <c r="BW67" i="9"/>
  <c r="BW942" i="1"/>
  <c r="BW556" i="1"/>
  <c r="BW557" i="1" s="1"/>
  <c r="BW558" i="1" s="1"/>
  <c r="BJ71" i="9"/>
  <c r="BJ1036" i="1"/>
  <c r="BJ944" i="1"/>
  <c r="BT71" i="9"/>
  <c r="BT1036" i="1"/>
  <c r="BT944" i="1"/>
  <c r="AF80" i="9"/>
  <c r="AJ715" i="1"/>
  <c r="AJ80" i="9" s="1"/>
  <c r="AP80" i="9"/>
  <c r="AT715" i="1"/>
  <c r="AT80" i="9" s="1"/>
  <c r="I742" i="1"/>
  <c r="AS714" i="1"/>
  <c r="AS69" i="9" s="1"/>
  <c r="AT902" i="1"/>
  <c r="AT714" i="1" s="1"/>
  <c r="AT69" i="9" s="1"/>
  <c r="BT205" i="1"/>
  <c r="AO651" i="1"/>
  <c r="AO283" i="1"/>
  <c r="K283" i="1"/>
  <c r="BW302" i="1"/>
  <c r="BW370" i="1"/>
  <c r="E396" i="1"/>
  <c r="N396" i="1"/>
  <c r="W360" i="1"/>
  <c r="W362" i="1" s="1"/>
  <c r="W396" i="1" s="1"/>
  <c r="W313" i="1"/>
  <c r="W315" i="1" s="1"/>
  <c r="J390" i="1"/>
  <c r="BL309" i="1"/>
  <c r="AT313" i="1"/>
  <c r="AT315" i="1" s="1"/>
  <c r="Y341" i="1"/>
  <c r="Y352" i="1" s="1"/>
  <c r="BX29" i="9"/>
  <c r="BX948" i="1"/>
  <c r="BX581" i="1"/>
  <c r="BX280" i="1"/>
  <c r="BX281" i="1"/>
  <c r="P30" i="9"/>
  <c r="P950" i="1"/>
  <c r="P955" i="1" s="1"/>
  <c r="P949" i="1"/>
  <c r="X30" i="9"/>
  <c r="X950" i="1"/>
  <c r="X949" i="1"/>
  <c r="AF30" i="9"/>
  <c r="AF950" i="1"/>
  <c r="AF949" i="1"/>
  <c r="AN30" i="9"/>
  <c r="AN949" i="1"/>
  <c r="AV30" i="9"/>
  <c r="AV950" i="1"/>
  <c r="AV949" i="1"/>
  <c r="BD30" i="9"/>
  <c r="BD950" i="1"/>
  <c r="BD949" i="1"/>
  <c r="BD954" i="1" s="1"/>
  <c r="BL30" i="9"/>
  <c r="BL950" i="1"/>
  <c r="CG33" i="9"/>
  <c r="CG418" i="1"/>
  <c r="CH377" i="1"/>
  <c r="CH33" i="9" s="1"/>
  <c r="E281" i="1"/>
  <c r="N385" i="1"/>
  <c r="W281" i="1"/>
  <c r="AE385" i="1"/>
  <c r="AE281" i="1"/>
  <c r="AE283" i="1" s="1"/>
  <c r="AM281" i="1"/>
  <c r="AU281" i="1"/>
  <c r="BC281" i="1"/>
  <c r="BK281" i="1"/>
  <c r="BK385" i="1"/>
  <c r="BS281" i="1"/>
  <c r="BS385" i="1"/>
  <c r="BB35" i="9"/>
  <c r="BB290" i="1"/>
  <c r="BB58" i="9" s="1"/>
  <c r="AF36" i="9"/>
  <c r="AF292" i="1"/>
  <c r="AF59" i="9" s="1"/>
  <c r="CB36" i="9"/>
  <c r="CB391" i="1"/>
  <c r="CK36" i="9"/>
  <c r="CK391" i="1"/>
  <c r="AG746" i="1"/>
  <c r="BM407" i="1"/>
  <c r="BM39" i="9" s="1"/>
  <c r="L744" i="1"/>
  <c r="AB744" i="1"/>
  <c r="AR744" i="1"/>
  <c r="AZ744" i="1"/>
  <c r="BH404" i="1"/>
  <c r="BH743" i="1" s="1"/>
  <c r="BH744" i="1" s="1"/>
  <c r="L405" i="1"/>
  <c r="L407" i="1" s="1"/>
  <c r="L39" i="9" s="1"/>
  <c r="C414" i="1"/>
  <c r="AB414" i="1"/>
  <c r="AR42" i="9"/>
  <c r="AR429" i="1"/>
  <c r="BH42" i="9"/>
  <c r="BH429" i="1"/>
  <c r="BP414" i="1"/>
  <c r="AD42" i="9"/>
  <c r="AD429" i="1"/>
  <c r="AT42" i="9"/>
  <c r="BB42" i="9"/>
  <c r="BB426" i="1"/>
  <c r="BB429" i="1"/>
  <c r="AK42" i="9"/>
  <c r="BG414" i="1"/>
  <c r="BY42" i="9"/>
  <c r="U492" i="1"/>
  <c r="AL492" i="1"/>
  <c r="AL450" i="1"/>
  <c r="AL449" i="1"/>
  <c r="AU492" i="1"/>
  <c r="AU450" i="1"/>
  <c r="F467" i="1"/>
  <c r="H464" i="1"/>
  <c r="I476" i="1"/>
  <c r="H476" i="1"/>
  <c r="Y465" i="1"/>
  <c r="P466" i="1"/>
  <c r="T466" i="1"/>
  <c r="AE464" i="1"/>
  <c r="U512" i="1"/>
  <c r="Q507" i="1"/>
  <c r="BG512" i="1"/>
  <c r="BG507" i="1" s="1"/>
  <c r="BI590" i="1"/>
  <c r="BF608" i="1"/>
  <c r="I67" i="9"/>
  <c r="I1032" i="1"/>
  <c r="I942" i="1"/>
  <c r="I556" i="1"/>
  <c r="I557" i="1" s="1"/>
  <c r="AA67" i="9"/>
  <c r="AA942" i="1"/>
  <c r="AA556" i="1"/>
  <c r="BK71" i="9"/>
  <c r="BK1036" i="1"/>
  <c r="BK944" i="1"/>
  <c r="BU71" i="9"/>
  <c r="BU944" i="1"/>
  <c r="BU1036" i="1"/>
  <c r="BA80" i="9"/>
  <c r="BD715" i="1"/>
  <c r="BD80" i="9" s="1"/>
  <c r="BJ80" i="9"/>
  <c r="BN715" i="1"/>
  <c r="BN80" i="9" s="1"/>
  <c r="AP102" i="9"/>
  <c r="AP87" i="9"/>
  <c r="K741" i="1"/>
  <c r="AG939" i="1"/>
  <c r="AM937" i="1"/>
  <c r="AL937" i="1"/>
  <c r="AI1" i="9"/>
  <c r="BW1" i="9"/>
  <c r="AO21" i="9"/>
  <c r="AO9" i="1"/>
  <c r="AO14" i="9" s="1"/>
  <c r="AD27" i="1"/>
  <c r="AO34" i="1"/>
  <c r="BM37" i="1"/>
  <c r="AX933" i="1"/>
  <c r="J32" i="9"/>
  <c r="J377" i="1"/>
  <c r="Z32" i="9"/>
  <c r="Z377" i="1"/>
  <c r="AP32" i="9"/>
  <c r="AP377" i="1"/>
  <c r="Y721" i="1"/>
  <c r="Y722" i="1" s="1"/>
  <c r="BE721" i="1"/>
  <c r="BE722" i="1" s="1"/>
  <c r="BU721" i="1"/>
  <c r="BU722" i="1" s="1"/>
  <c r="BM218" i="1"/>
  <c r="BM220" i="1" s="1"/>
  <c r="BE651" i="1"/>
  <c r="BE283" i="1"/>
  <c r="M283" i="1"/>
  <c r="AA283" i="1"/>
  <c r="BN329" i="1"/>
  <c r="BN339" i="1" s="1"/>
  <c r="BN309" i="1"/>
  <c r="BV329" i="1"/>
  <c r="BV339" i="1" s="1"/>
  <c r="BV309" i="1"/>
  <c r="AO360" i="1"/>
  <c r="AO362" i="1" s="1"/>
  <c r="AO396" i="1" s="1"/>
  <c r="AO313" i="1"/>
  <c r="AO315" i="1" s="1"/>
  <c r="AT329" i="1"/>
  <c r="AT339" i="1" s="1"/>
  <c r="BB360" i="1"/>
  <c r="BB362" i="1" s="1"/>
  <c r="BB396" i="1" s="1"/>
  <c r="C29" i="9"/>
  <c r="C951" i="1"/>
  <c r="C948" i="1"/>
  <c r="C581" i="1"/>
  <c r="C280" i="1"/>
  <c r="C283" i="1" s="1"/>
  <c r="L29" i="9"/>
  <c r="L581" i="1"/>
  <c r="L280" i="1"/>
  <c r="L281" i="1"/>
  <c r="AB29" i="9"/>
  <c r="AB1026" i="1"/>
  <c r="AB948" i="1"/>
  <c r="AB951" i="1"/>
  <c r="AB581" i="1"/>
  <c r="AB280" i="1"/>
  <c r="AB281" i="1"/>
  <c r="AJ29" i="9"/>
  <c r="AJ948" i="1"/>
  <c r="AJ1026" i="1"/>
  <c r="AJ951" i="1"/>
  <c r="AJ956" i="1" s="1"/>
  <c r="AJ581" i="1"/>
  <c r="AJ378" i="1"/>
  <c r="AJ280" i="1"/>
  <c r="AJ281" i="1"/>
  <c r="AR29" i="9"/>
  <c r="AR948" i="1"/>
  <c r="AR1026" i="1"/>
  <c r="AR951" i="1"/>
  <c r="AR956" i="1" s="1"/>
  <c r="AR581" i="1"/>
  <c r="AR280" i="1"/>
  <c r="AR378" i="1"/>
  <c r="AR281" i="1"/>
  <c r="AZ29" i="9"/>
  <c r="AZ951" i="1"/>
  <c r="AZ1026" i="1"/>
  <c r="AZ948" i="1"/>
  <c r="AZ953" i="1" s="1"/>
  <c r="AZ581" i="1"/>
  <c r="AZ280" i="1"/>
  <c r="AZ281" i="1"/>
  <c r="BH29" i="9"/>
  <c r="BH951" i="1"/>
  <c r="BH948" i="1"/>
  <c r="BH1026" i="1"/>
  <c r="BH581" i="1"/>
  <c r="BH281" i="1"/>
  <c r="BQ378" i="1"/>
  <c r="R30" i="9"/>
  <c r="R949" i="1"/>
  <c r="R950" i="1"/>
  <c r="R277" i="1"/>
  <c r="R278" i="1" s="1"/>
  <c r="Z30" i="9"/>
  <c r="Z950" i="1"/>
  <c r="Z949" i="1"/>
  <c r="Z277" i="1"/>
  <c r="Z278" i="1" s="1"/>
  <c r="AH30" i="9"/>
  <c r="AH950" i="1"/>
  <c r="AH949" i="1"/>
  <c r="AM954" i="1" s="1"/>
  <c r="AH277" i="1"/>
  <c r="AH278" i="1" s="1"/>
  <c r="AP30" i="9"/>
  <c r="AP950" i="1"/>
  <c r="AP277" i="1"/>
  <c r="AP278" i="1" s="1"/>
  <c r="AX30" i="9"/>
  <c r="AX950" i="1"/>
  <c r="AX949" i="1"/>
  <c r="AX277" i="1"/>
  <c r="AX278" i="1" s="1"/>
  <c r="BF30" i="9"/>
  <c r="BF950" i="1"/>
  <c r="BF949" i="1"/>
  <c r="BF277" i="1"/>
  <c r="BF278" i="1" s="1"/>
  <c r="BO30" i="9"/>
  <c r="BO950" i="1"/>
  <c r="BZ33" i="9"/>
  <c r="BZ418" i="1"/>
  <c r="BM34" i="9"/>
  <c r="E385" i="1"/>
  <c r="BU34" i="9"/>
  <c r="BU291" i="1"/>
  <c r="F390" i="1"/>
  <c r="F280" i="1"/>
  <c r="X35" i="9"/>
  <c r="X290" i="1"/>
  <c r="X58" i="9" s="1"/>
  <c r="AF35" i="9"/>
  <c r="AF290" i="1"/>
  <c r="AF58" i="9" s="1"/>
  <c r="AN35" i="9"/>
  <c r="AN290" i="1"/>
  <c r="AN58" i="9" s="1"/>
  <c r="BD290" i="1"/>
  <c r="BD58" i="9" s="1"/>
  <c r="AL35" i="9"/>
  <c r="AL290" i="1"/>
  <c r="AL58" i="9" s="1"/>
  <c r="BJ393" i="1"/>
  <c r="BT282" i="1"/>
  <c r="BT393" i="1"/>
  <c r="Z36" i="9"/>
  <c r="Z292" i="1"/>
  <c r="Z59" i="9" s="1"/>
  <c r="BN36" i="9"/>
  <c r="BN292" i="1"/>
  <c r="BN59" i="9" s="1"/>
  <c r="J741" i="1"/>
  <c r="J405" i="1"/>
  <c r="J407" i="1" s="1"/>
  <c r="J39" i="9" s="1"/>
  <c r="S405" i="1"/>
  <c r="S407" i="1" s="1"/>
  <c r="S39" i="9" s="1"/>
  <c r="S741" i="1"/>
  <c r="AA741" i="1"/>
  <c r="AA405" i="1"/>
  <c r="AA407" i="1" s="1"/>
  <c r="AA39" i="9" s="1"/>
  <c r="AI741" i="1"/>
  <c r="AI405" i="1"/>
  <c r="AI407" i="1" s="1"/>
  <c r="AI39" i="9" s="1"/>
  <c r="AQ405" i="1"/>
  <c r="AQ407" i="1" s="1"/>
  <c r="AQ39" i="9" s="1"/>
  <c r="AQ741" i="1"/>
  <c r="AY741" i="1"/>
  <c r="AY405" i="1"/>
  <c r="AY407" i="1" s="1"/>
  <c r="AY39" i="9" s="1"/>
  <c r="BG741" i="1"/>
  <c r="BG405" i="1"/>
  <c r="BG407" i="1" s="1"/>
  <c r="BG39" i="9" s="1"/>
  <c r="BO405" i="1"/>
  <c r="BO407" i="1" s="1"/>
  <c r="BO39" i="9" s="1"/>
  <c r="BO741" i="1"/>
  <c r="BW741" i="1"/>
  <c r="BW405" i="1"/>
  <c r="BW407" i="1" s="1"/>
  <c r="BW39" i="9" s="1"/>
  <c r="BJ744" i="1"/>
  <c r="E42" i="9"/>
  <c r="E429" i="1"/>
  <c r="BY429" i="1"/>
  <c r="L450" i="1"/>
  <c r="L449" i="1"/>
  <c r="AB444" i="1"/>
  <c r="F450" i="1"/>
  <c r="AW492" i="1"/>
  <c r="AW450" i="1"/>
  <c r="AV449" i="1"/>
  <c r="M478" i="1"/>
  <c r="BX517" i="1"/>
  <c r="AA520" i="1"/>
  <c r="AA511" i="1" s="1"/>
  <c r="AA519" i="1"/>
  <c r="BP573" i="1"/>
  <c r="BS553" i="1"/>
  <c r="CA588" i="1"/>
  <c r="CA585" i="1"/>
  <c r="CA372" i="1"/>
  <c r="AH582" i="1"/>
  <c r="AH587" i="1"/>
  <c r="I721" i="1"/>
  <c r="I722" i="1" s="1"/>
  <c r="AG283" i="1"/>
  <c r="AX329" i="1"/>
  <c r="AX339" i="1" s="1"/>
  <c r="AX309" i="1"/>
  <c r="BH386" i="1"/>
  <c r="BH308" i="1"/>
  <c r="BH341" i="1" s="1"/>
  <c r="BH352" i="1" s="1"/>
  <c r="Z309" i="1"/>
  <c r="AP309" i="1"/>
  <c r="BR370" i="1"/>
  <c r="C30" i="9"/>
  <c r="C950" i="1"/>
  <c r="C949" i="1"/>
  <c r="K30" i="9"/>
  <c r="K949" i="1"/>
  <c r="K950" i="1"/>
  <c r="S30" i="9"/>
  <c r="S949" i="1"/>
  <c r="S950" i="1"/>
  <c r="AA30" i="9"/>
  <c r="AA949" i="1"/>
  <c r="AA950" i="1"/>
  <c r="AQ30" i="9"/>
  <c r="AQ949" i="1"/>
  <c r="AQ950" i="1"/>
  <c r="AY30" i="9"/>
  <c r="AY949" i="1"/>
  <c r="AY950" i="1"/>
  <c r="BG30" i="9"/>
  <c r="BG949" i="1"/>
  <c r="BG950" i="1"/>
  <c r="BP30" i="9"/>
  <c r="BP950" i="1"/>
  <c r="BP949" i="1"/>
  <c r="BP277" i="1"/>
  <c r="BP278" i="1" s="1"/>
  <c r="BX30" i="9"/>
  <c r="BX950" i="1"/>
  <c r="BX955" i="1" s="1"/>
  <c r="BX949" i="1"/>
  <c r="BX277" i="1"/>
  <c r="BX278" i="1" s="1"/>
  <c r="AZ32" i="9"/>
  <c r="AZ377" i="1"/>
  <c r="BH32" i="9"/>
  <c r="BH377" i="1"/>
  <c r="CA33" i="9"/>
  <c r="CA418" i="1"/>
  <c r="BC34" i="9"/>
  <c r="BC291" i="1"/>
  <c r="P390" i="1"/>
  <c r="AS390" i="1"/>
  <c r="V393" i="1"/>
  <c r="C741" i="1"/>
  <c r="C745" i="1" s="1"/>
  <c r="C405" i="1"/>
  <c r="C407" i="1" s="1"/>
  <c r="C39" i="9" s="1"/>
  <c r="AB745" i="1"/>
  <c r="AB746" i="1" s="1"/>
  <c r="AB742" i="1"/>
  <c r="AJ741" i="1"/>
  <c r="AJ405" i="1"/>
  <c r="AJ407" i="1" s="1"/>
  <c r="AJ39" i="9" s="1"/>
  <c r="AR741" i="1"/>
  <c r="AR405" i="1"/>
  <c r="AR407" i="1" s="1"/>
  <c r="AR39" i="9" s="1"/>
  <c r="AZ745" i="1"/>
  <c r="AZ746" i="1" s="1"/>
  <c r="AZ742" i="1"/>
  <c r="BH745" i="1"/>
  <c r="BH746" i="1" s="1"/>
  <c r="BP741" i="1"/>
  <c r="BP405" i="1"/>
  <c r="BP407" i="1" s="1"/>
  <c r="BP39" i="9" s="1"/>
  <c r="BX745" i="1"/>
  <c r="BX746" i="1" s="1"/>
  <c r="BX742" i="1"/>
  <c r="AE746" i="1"/>
  <c r="BS744" i="1"/>
  <c r="BH405" i="1"/>
  <c r="BH407" i="1" s="1"/>
  <c r="BH39" i="9" s="1"/>
  <c r="V42" i="9"/>
  <c r="V429" i="1"/>
  <c r="AS429" i="1"/>
  <c r="M449" i="1"/>
  <c r="AC444" i="1"/>
  <c r="G492" i="1"/>
  <c r="G449" i="1"/>
  <c r="H444" i="1"/>
  <c r="AO450" i="1"/>
  <c r="I477" i="1"/>
  <c r="AM497" i="1"/>
  <c r="AM492" i="1"/>
  <c r="U502" i="1"/>
  <c r="AI590" i="1"/>
  <c r="AG651" i="1"/>
  <c r="L102" i="9"/>
  <c r="L87" i="9"/>
  <c r="U102" i="9"/>
  <c r="U87" i="9"/>
  <c r="U750" i="1"/>
  <c r="AK102" i="9"/>
  <c r="AK87" i="9"/>
  <c r="F87" i="9"/>
  <c r="F102" i="9"/>
  <c r="F749" i="1"/>
  <c r="F750" i="1"/>
  <c r="AT745" i="1"/>
  <c r="AC744" i="1"/>
  <c r="N746" i="1"/>
  <c r="BF877" i="1"/>
  <c r="BF705" i="1" s="1"/>
  <c r="BF703" i="1"/>
  <c r="X942" i="1"/>
  <c r="Q948" i="1"/>
  <c r="Q1026" i="1"/>
  <c r="Q29" i="9"/>
  <c r="Q951" i="1"/>
  <c r="Q581" i="1"/>
  <c r="Y29" i="9"/>
  <c r="Y951" i="1"/>
  <c r="Y581" i="1"/>
  <c r="AG29" i="9"/>
  <c r="AG951" i="1"/>
  <c r="AG948" i="1"/>
  <c r="AG1026" i="1"/>
  <c r="AG378" i="1"/>
  <c r="AO29" i="9"/>
  <c r="AO948" i="1"/>
  <c r="AO951" i="1"/>
  <c r="AO581" i="1"/>
  <c r="AW29" i="9"/>
  <c r="AW1026" i="1"/>
  <c r="AW948" i="1"/>
  <c r="BE29" i="9"/>
  <c r="BE951" i="1"/>
  <c r="BE948" i="1"/>
  <c r="BE1026" i="1"/>
  <c r="BU29" i="9"/>
  <c r="BU1026" i="1"/>
  <c r="Z390" i="1"/>
  <c r="C393" i="1"/>
  <c r="CD36" i="9"/>
  <c r="CD391" i="1"/>
  <c r="D745" i="1"/>
  <c r="D746" i="1" s="1"/>
  <c r="D742" i="1"/>
  <c r="U745" i="1"/>
  <c r="U746" i="1" s="1"/>
  <c r="U742" i="1"/>
  <c r="AK742" i="1"/>
  <c r="AK745" i="1"/>
  <c r="AK746" i="1" s="1"/>
  <c r="AS745" i="1"/>
  <c r="BQ742" i="1"/>
  <c r="BY741" i="1"/>
  <c r="AS744" i="1"/>
  <c r="BQ744" i="1"/>
  <c r="BY743" i="1"/>
  <c r="D405" i="1"/>
  <c r="D407" i="1" s="1"/>
  <c r="D39" i="9" s="1"/>
  <c r="O405" i="1"/>
  <c r="O407" i="1" s="1"/>
  <c r="O39" i="9" s="1"/>
  <c r="AC405" i="1"/>
  <c r="AC407" i="1" s="1"/>
  <c r="AC39" i="9" s="1"/>
  <c r="CH408" i="1"/>
  <c r="BA414" i="1"/>
  <c r="BJ492" i="1"/>
  <c r="BJ450" i="1"/>
  <c r="I464" i="1"/>
  <c r="J465" i="1"/>
  <c r="R465" i="1"/>
  <c r="AE465" i="1"/>
  <c r="P477" i="1"/>
  <c r="O471" i="1"/>
  <c r="O477" i="1" s="1"/>
  <c r="AN507" i="1"/>
  <c r="AQ548" i="1"/>
  <c r="AT528" i="1"/>
  <c r="BD527" i="1"/>
  <c r="AZ548" i="1"/>
  <c r="AS581" i="1"/>
  <c r="AW67" i="9"/>
  <c r="AW942" i="1"/>
  <c r="AW556" i="1"/>
  <c r="BG67" i="9"/>
  <c r="BG942" i="1"/>
  <c r="BG1032" i="1"/>
  <c r="BG556" i="1"/>
  <c r="CH67" i="9"/>
  <c r="CH942" i="1"/>
  <c r="AQ71" i="9"/>
  <c r="AQ944" i="1"/>
  <c r="AQ1036" i="1"/>
  <c r="BL71" i="9"/>
  <c r="BL944" i="1"/>
  <c r="BL1036" i="1"/>
  <c r="G80" i="9"/>
  <c r="K715" i="1"/>
  <c r="K80" i="9" s="1"/>
  <c r="F7" i="9"/>
  <c r="F1024" i="1"/>
  <c r="N7" i="9"/>
  <c r="N1024" i="1"/>
  <c r="V7" i="9"/>
  <c r="V1024" i="1"/>
  <c r="AD7" i="9"/>
  <c r="AD1024" i="1"/>
  <c r="AL7" i="9"/>
  <c r="AL1024" i="1"/>
  <c r="AT7" i="9"/>
  <c r="AT1024" i="1"/>
  <c r="BC7" i="9"/>
  <c r="BC1024" i="1"/>
  <c r="BK7" i="9"/>
  <c r="BK1024" i="1"/>
  <c r="BS7" i="9"/>
  <c r="BS1024" i="1"/>
  <c r="AJ9" i="9"/>
  <c r="AJ739" i="1"/>
  <c r="AZ9" i="9"/>
  <c r="AZ739" i="1"/>
  <c r="T739" i="1"/>
  <c r="AR739" i="1"/>
  <c r="BI741" i="1"/>
  <c r="H744" i="1"/>
  <c r="AE744" i="1"/>
  <c r="Q108" i="9"/>
  <c r="Q1006" i="1"/>
  <c r="Q1017" i="1" s="1"/>
  <c r="Q1019" i="1" s="1"/>
  <c r="Z108" i="9"/>
  <c r="Z109" i="9" s="1"/>
  <c r="Z1006" i="1"/>
  <c r="Z1017" i="1" s="1"/>
  <c r="Z1019" i="1" s="1"/>
  <c r="AI108" i="9"/>
  <c r="AM109" i="9" s="1"/>
  <c r="AI1006" i="1"/>
  <c r="G309" i="1"/>
  <c r="G313" i="1" s="1"/>
  <c r="G315" i="1" s="1"/>
  <c r="T308" i="1"/>
  <c r="T341" i="1" s="1"/>
  <c r="T352" i="1" s="1"/>
  <c r="BG329" i="1"/>
  <c r="BG339" i="1" s="1"/>
  <c r="I29" i="9"/>
  <c r="I378" i="1"/>
  <c r="F30" i="9"/>
  <c r="F949" i="1"/>
  <c r="F950" i="1"/>
  <c r="N30" i="9"/>
  <c r="V30" i="9"/>
  <c r="V950" i="1"/>
  <c r="V949" i="1"/>
  <c r="AD30" i="9"/>
  <c r="AD950" i="1"/>
  <c r="AD955" i="1" s="1"/>
  <c r="AD949" i="1"/>
  <c r="AL30" i="9"/>
  <c r="AL950" i="1"/>
  <c r="AL949" i="1"/>
  <c r="AT30" i="9"/>
  <c r="AT950" i="1"/>
  <c r="AT949" i="1"/>
  <c r="BB30" i="9"/>
  <c r="BB949" i="1"/>
  <c r="BB950" i="1"/>
  <c r="BJ30" i="9"/>
  <c r="BJ950" i="1"/>
  <c r="BJ949" i="1"/>
  <c r="BR30" i="9"/>
  <c r="BR950" i="1"/>
  <c r="BR955" i="1" s="1"/>
  <c r="BR949" i="1"/>
  <c r="AT377" i="1"/>
  <c r="AT378" i="1" s="1"/>
  <c r="BS33" i="9"/>
  <c r="R390" i="1"/>
  <c r="BI393" i="1"/>
  <c r="CD37" i="9"/>
  <c r="CH395" i="1"/>
  <c r="CH37" i="9" s="1"/>
  <c r="E742" i="1"/>
  <c r="E745" i="1"/>
  <c r="E746" i="1" s="1"/>
  <c r="M742" i="1"/>
  <c r="V742" i="1"/>
  <c r="V745" i="1"/>
  <c r="V746" i="1" s="1"/>
  <c r="AL745" i="1"/>
  <c r="AL746" i="1" s="1"/>
  <c r="AL742" i="1"/>
  <c r="BB746" i="1"/>
  <c r="BJ745" i="1"/>
  <c r="BJ746" i="1" s="1"/>
  <c r="N744" i="1"/>
  <c r="V744" i="1"/>
  <c r="AL744" i="1"/>
  <c r="BR744" i="1"/>
  <c r="E405" i="1"/>
  <c r="E407" i="1" s="1"/>
  <c r="E39" i="9" s="1"/>
  <c r="AD405" i="1"/>
  <c r="AD407" i="1" s="1"/>
  <c r="AD39" i="9" s="1"/>
  <c r="BC405" i="1"/>
  <c r="BC407" i="1" s="1"/>
  <c r="BC39" i="9" s="1"/>
  <c r="BQ405" i="1"/>
  <c r="BQ407" i="1" s="1"/>
  <c r="BQ39" i="9" s="1"/>
  <c r="D414" i="1"/>
  <c r="O414" i="1"/>
  <c r="AC414" i="1"/>
  <c r="BC429" i="1"/>
  <c r="BB492" i="1"/>
  <c r="BB450" i="1"/>
  <c r="BB449" i="1"/>
  <c r="BP450" i="1"/>
  <c r="BK449" i="1"/>
  <c r="J464" i="1"/>
  <c r="J476" i="1" s="1"/>
  <c r="Y466" i="1"/>
  <c r="Z466" i="1" s="1"/>
  <c r="Y478" i="1"/>
  <c r="Z475" i="1"/>
  <c r="Y469" i="1"/>
  <c r="K478" i="1"/>
  <c r="J472" i="1"/>
  <c r="AJ479" i="1"/>
  <c r="AI475" i="1"/>
  <c r="AI479" i="1"/>
  <c r="AR497" i="1"/>
  <c r="AZ497" i="1"/>
  <c r="AT529" i="1"/>
  <c r="AT530" i="1" s="1"/>
  <c r="AT114" i="1" s="1"/>
  <c r="AR548" i="1"/>
  <c r="BA548" i="1"/>
  <c r="BD528" i="1"/>
  <c r="CC527" i="1"/>
  <c r="BY548" i="1"/>
  <c r="BU581" i="1"/>
  <c r="AF67" i="9"/>
  <c r="AF1032" i="1"/>
  <c r="AF942" i="1"/>
  <c r="Q71" i="9"/>
  <c r="Q944" i="1"/>
  <c r="Q1036" i="1"/>
  <c r="Y71" i="9"/>
  <c r="Y1036" i="1"/>
  <c r="Y944" i="1"/>
  <c r="AI71" i="9"/>
  <c r="AI944" i="1"/>
  <c r="AI1036" i="1"/>
  <c r="BB71" i="9"/>
  <c r="BB1036" i="1"/>
  <c r="BB944" i="1"/>
  <c r="BM71" i="9"/>
  <c r="BM1036" i="1"/>
  <c r="BM944" i="1"/>
  <c r="G7" i="9"/>
  <c r="G1024" i="1"/>
  <c r="O7" i="9"/>
  <c r="O1024" i="1"/>
  <c r="W7" i="9"/>
  <c r="W1024" i="1"/>
  <c r="AE7" i="9"/>
  <c r="AE1024" i="1"/>
  <c r="AM7" i="9"/>
  <c r="AM1024" i="1"/>
  <c r="AU7" i="9"/>
  <c r="AU1024" i="1"/>
  <c r="BD1024" i="1"/>
  <c r="BD7" i="9"/>
  <c r="BL7" i="9"/>
  <c r="BL1024" i="1"/>
  <c r="BT7" i="9"/>
  <c r="BT1024" i="1"/>
  <c r="W739" i="1"/>
  <c r="BL742" i="1"/>
  <c r="AV744" i="1"/>
  <c r="AZ753" i="1"/>
  <c r="AN838" i="1"/>
  <c r="AN841" i="1" s="1"/>
  <c r="BR717" i="1"/>
  <c r="BR74" i="9" s="1"/>
  <c r="J838" i="1"/>
  <c r="AB841" i="1"/>
  <c r="R843" i="1"/>
  <c r="S843" i="1" s="1"/>
  <c r="T843" i="1" s="1"/>
  <c r="AE870" i="1"/>
  <c r="BI907" i="1"/>
  <c r="BE717" i="1"/>
  <c r="BE74" i="9" s="1"/>
  <c r="O302" i="1"/>
  <c r="AF329" i="1"/>
  <c r="AF339" i="1" s="1"/>
  <c r="K29" i="9"/>
  <c r="K951" i="1"/>
  <c r="K378" i="1"/>
  <c r="K581" i="1"/>
  <c r="K948" i="1"/>
  <c r="K953" i="1" s="1"/>
  <c r="S29" i="9"/>
  <c r="S1026" i="1"/>
  <c r="S948" i="1"/>
  <c r="S951" i="1"/>
  <c r="S378" i="1"/>
  <c r="AA29" i="9"/>
  <c r="AA948" i="1"/>
  <c r="AA1026" i="1"/>
  <c r="AA951" i="1"/>
  <c r="AA581" i="1"/>
  <c r="AA378" i="1"/>
  <c r="AI29" i="9"/>
  <c r="AI948" i="1"/>
  <c r="AQ29" i="9"/>
  <c r="AQ1026" i="1"/>
  <c r="AQ948" i="1"/>
  <c r="AQ953" i="1" s="1"/>
  <c r="AY29" i="9"/>
  <c r="AY948" i="1"/>
  <c r="AY378" i="1"/>
  <c r="AY581" i="1"/>
  <c r="BG29" i="9"/>
  <c r="BG948" i="1"/>
  <c r="BG1026" i="1"/>
  <c r="BG378" i="1"/>
  <c r="BG951" i="1"/>
  <c r="BO29" i="9"/>
  <c r="BO1026" i="1"/>
  <c r="BO581" i="1"/>
  <c r="BO948" i="1"/>
  <c r="BO378" i="1"/>
  <c r="O30" i="9"/>
  <c r="O949" i="1"/>
  <c r="W30" i="9"/>
  <c r="W949" i="1"/>
  <c r="W950" i="1"/>
  <c r="W955" i="1" s="1"/>
  <c r="AE30" i="9"/>
  <c r="AE950" i="1"/>
  <c r="AM30" i="9"/>
  <c r="AM950" i="1"/>
  <c r="AM955" i="1" s="1"/>
  <c r="AU30" i="9"/>
  <c r="AU949" i="1"/>
  <c r="AU950" i="1"/>
  <c r="BC30" i="9"/>
  <c r="BC949" i="1"/>
  <c r="BC954" i="1" s="1"/>
  <c r="BC950" i="1"/>
  <c r="BC955" i="1" s="1"/>
  <c r="BK30" i="9"/>
  <c r="BK950" i="1"/>
  <c r="BK955" i="1" s="1"/>
  <c r="BS30" i="9"/>
  <c r="BS950" i="1"/>
  <c r="BS949" i="1"/>
  <c r="BU31" i="9"/>
  <c r="BU377" i="1"/>
  <c r="BW377" i="1"/>
  <c r="AH385" i="1"/>
  <c r="AX385" i="1"/>
  <c r="BF385" i="1"/>
  <c r="BN385" i="1"/>
  <c r="BV385" i="1"/>
  <c r="N742" i="1"/>
  <c r="AM745" i="1"/>
  <c r="AM746" i="1" s="1"/>
  <c r="AM742" i="1"/>
  <c r="BC742" i="1"/>
  <c r="BC745" i="1"/>
  <c r="BC746" i="1" s="1"/>
  <c r="O744" i="1"/>
  <c r="W744" i="1"/>
  <c r="AM744" i="1"/>
  <c r="AU744" i="1"/>
  <c r="BK744" i="1"/>
  <c r="F405" i="1"/>
  <c r="F407" i="1" s="1"/>
  <c r="F39" i="9" s="1"/>
  <c r="AE405" i="1"/>
  <c r="AE407" i="1" s="1"/>
  <c r="AE39" i="9" s="1"/>
  <c r="AS405" i="1"/>
  <c r="AS407" i="1" s="1"/>
  <c r="AS39" i="9" s="1"/>
  <c r="BR405" i="1"/>
  <c r="BR407" i="1" s="1"/>
  <c r="BR39" i="9" s="1"/>
  <c r="AT421" i="1"/>
  <c r="U480" i="1"/>
  <c r="U490" i="1" s="1"/>
  <c r="U497" i="1" s="1"/>
  <c r="AK450" i="1"/>
  <c r="AT492" i="1"/>
  <c r="AT450" i="1"/>
  <c r="AS444" i="1"/>
  <c r="BL492" i="1"/>
  <c r="BQ450" i="1"/>
  <c r="BL449" i="1"/>
  <c r="BK450" i="1"/>
  <c r="S465" i="1"/>
  <c r="S477" i="1" s="1"/>
  <c r="AI467" i="1"/>
  <c r="AJ482" i="1"/>
  <c r="I480" i="1"/>
  <c r="I490" i="1" s="1"/>
  <c r="I497" i="1" s="1"/>
  <c r="J502" i="1"/>
  <c r="K502" i="1" s="1"/>
  <c r="AD512" i="1"/>
  <c r="AD507" i="1" s="1"/>
  <c r="BT512" i="1"/>
  <c r="AO527" i="1"/>
  <c r="AK548" i="1"/>
  <c r="AS548" i="1"/>
  <c r="AY526" i="1"/>
  <c r="AJ555" i="1"/>
  <c r="CH556" i="1"/>
  <c r="AW581" i="1"/>
  <c r="BV590" i="1"/>
  <c r="F67" i="9"/>
  <c r="F942" i="1"/>
  <c r="O67" i="9"/>
  <c r="O942" i="1"/>
  <c r="O556" i="1"/>
  <c r="W67" i="9"/>
  <c r="W942" i="1"/>
  <c r="W556" i="1"/>
  <c r="AG556" i="1"/>
  <c r="BJ67" i="9"/>
  <c r="BJ942" i="1"/>
  <c r="BR67" i="9"/>
  <c r="BR942" i="1"/>
  <c r="BR556" i="1"/>
  <c r="BR557" i="1" s="1"/>
  <c r="BR558" i="1" s="1"/>
  <c r="I71" i="9"/>
  <c r="I1036" i="1"/>
  <c r="I944" i="1"/>
  <c r="AA71" i="9"/>
  <c r="AA944" i="1"/>
  <c r="AA1036" i="1"/>
  <c r="BC71" i="9"/>
  <c r="BC1036" i="1"/>
  <c r="BC944" i="1"/>
  <c r="R80" i="9"/>
  <c r="U715" i="1"/>
  <c r="U80" i="9" s="1"/>
  <c r="H7" i="9"/>
  <c r="H1024" i="1"/>
  <c r="P7" i="9"/>
  <c r="P1024" i="1"/>
  <c r="X7" i="9"/>
  <c r="X1024" i="1"/>
  <c r="AF7" i="9"/>
  <c r="AF1024" i="1"/>
  <c r="AV7" i="9"/>
  <c r="AV1024" i="1"/>
  <c r="BE7" i="9"/>
  <c r="BE1024" i="1"/>
  <c r="BM1024" i="1"/>
  <c r="BM7" i="9"/>
  <c r="BU7" i="9"/>
  <c r="BU1024" i="1"/>
  <c r="X739" i="1"/>
  <c r="BD739" i="1"/>
  <c r="BM742" i="1"/>
  <c r="BA742" i="1"/>
  <c r="AW744" i="1"/>
  <c r="BQ745" i="1"/>
  <c r="BQ746" i="1" s="1"/>
  <c r="AI770" i="1"/>
  <c r="AI753" i="1" s="1"/>
  <c r="BW770" i="1"/>
  <c r="BW753" i="1" s="1"/>
  <c r="AS893" i="1"/>
  <c r="AS838" i="1"/>
  <c r="BM718" i="1"/>
  <c r="BM73" i="9" s="1"/>
  <c r="T838" i="1"/>
  <c r="AU868" i="1"/>
  <c r="AT861" i="1"/>
  <c r="BD861" i="1"/>
  <c r="G890" i="1"/>
  <c r="G712" i="1"/>
  <c r="O71" i="9"/>
  <c r="O1036" i="1"/>
  <c r="O944" i="1"/>
  <c r="BR71" i="9"/>
  <c r="BR1036" i="1"/>
  <c r="BR944" i="1"/>
  <c r="J1025" i="1"/>
  <c r="J739" i="1"/>
  <c r="S8" i="9"/>
  <c r="S1025" i="1"/>
  <c r="S739" i="1"/>
  <c r="AA8" i="9"/>
  <c r="AA1025" i="1"/>
  <c r="AA739" i="1"/>
  <c r="AI8" i="9"/>
  <c r="AI1025" i="1"/>
  <c r="AI739" i="1"/>
  <c r="AQ8" i="9"/>
  <c r="AQ1025" i="1"/>
  <c r="AY8" i="9"/>
  <c r="AY1025" i="1"/>
  <c r="AY739" i="1"/>
  <c r="BH8" i="9"/>
  <c r="BH1025" i="1"/>
  <c r="BP8" i="9"/>
  <c r="BP1025" i="1"/>
  <c r="BP739" i="1"/>
  <c r="BX8" i="9"/>
  <c r="BX1025" i="1"/>
  <c r="BX739" i="1"/>
  <c r="Z102" i="9"/>
  <c r="Z87" i="9"/>
  <c r="Z750" i="1"/>
  <c r="BH739" i="1"/>
  <c r="BB742" i="1"/>
  <c r="J718" i="1"/>
  <c r="J73" i="9" s="1"/>
  <c r="J910" i="1"/>
  <c r="AX893" i="1"/>
  <c r="AX838" i="1"/>
  <c r="T717" i="1"/>
  <c r="T74" i="9" s="1"/>
  <c r="BH894" i="1"/>
  <c r="BH910" i="1" s="1"/>
  <c r="BH838" i="1"/>
  <c r="AN717" i="1"/>
  <c r="AN74" i="9" s="1"/>
  <c r="D841" i="1"/>
  <c r="L841" i="1"/>
  <c r="L844" i="1" s="1"/>
  <c r="U841" i="1"/>
  <c r="U844" i="1" s="1"/>
  <c r="V843" i="1" s="1"/>
  <c r="W843" i="1" s="1"/>
  <c r="BR868" i="1"/>
  <c r="BS851" i="1"/>
  <c r="BH71" i="9"/>
  <c r="BH1036" i="1"/>
  <c r="BH944" i="1"/>
  <c r="BD887" i="1"/>
  <c r="AZ890" i="1"/>
  <c r="AO904" i="1"/>
  <c r="AM718" i="1"/>
  <c r="AM73" i="9" s="1"/>
  <c r="E99" i="9"/>
  <c r="AW291" i="1"/>
  <c r="G396" i="1"/>
  <c r="D29" i="9"/>
  <c r="D948" i="1"/>
  <c r="D951" i="1"/>
  <c r="D581" i="1"/>
  <c r="M29" i="9"/>
  <c r="M581" i="1"/>
  <c r="U29" i="9"/>
  <c r="U1026" i="1"/>
  <c r="U951" i="1"/>
  <c r="U956" i="1" s="1"/>
  <c r="U948" i="1"/>
  <c r="AC29" i="9"/>
  <c r="AC1026" i="1"/>
  <c r="AC951" i="1"/>
  <c r="AC948" i="1"/>
  <c r="AC581" i="1"/>
  <c r="AH590" i="1" s="1"/>
  <c r="AK29" i="9"/>
  <c r="AK1026" i="1"/>
  <c r="AK951" i="1"/>
  <c r="AK956" i="1" s="1"/>
  <c r="AK948" i="1"/>
  <c r="AK581" i="1"/>
  <c r="AS29" i="9"/>
  <c r="AS1026" i="1"/>
  <c r="BA29" i="9"/>
  <c r="BA1026" i="1"/>
  <c r="BA948" i="1"/>
  <c r="BA953" i="1" s="1"/>
  <c r="BA581" i="1"/>
  <c r="BF590" i="1" s="1"/>
  <c r="BI29" i="9"/>
  <c r="BI948" i="1"/>
  <c r="BQ29" i="9"/>
  <c r="BQ1026" i="1"/>
  <c r="BY29" i="9"/>
  <c r="BY948" i="1"/>
  <c r="BY581" i="1"/>
  <c r="Q30" i="9"/>
  <c r="Q950" i="1"/>
  <c r="Q949" i="1"/>
  <c r="Y30" i="9"/>
  <c r="Y950" i="1"/>
  <c r="AG30" i="9"/>
  <c r="AG949" i="1"/>
  <c r="AG954" i="1" s="1"/>
  <c r="AG950" i="1"/>
  <c r="AG955" i="1" s="1"/>
  <c r="AO30" i="9"/>
  <c r="AO950" i="1"/>
  <c r="AO955" i="1" s="1"/>
  <c r="AO949" i="1"/>
  <c r="AW30" i="9"/>
  <c r="AW950" i="1"/>
  <c r="AW949" i="1"/>
  <c r="AW954" i="1" s="1"/>
  <c r="BE30" i="9"/>
  <c r="BE950" i="1"/>
  <c r="BE955" i="1" s="1"/>
  <c r="BE949" i="1"/>
  <c r="BE954" i="1" s="1"/>
  <c r="BU30" i="9"/>
  <c r="BU950" i="1"/>
  <c r="BI378" i="1"/>
  <c r="K385" i="1"/>
  <c r="S385" i="1"/>
  <c r="AB385" i="1"/>
  <c r="AJ385" i="1"/>
  <c r="AR385" i="1"/>
  <c r="AZ385" i="1"/>
  <c r="BH385" i="1"/>
  <c r="BP385" i="1"/>
  <c r="BX385" i="1"/>
  <c r="BE745" i="1"/>
  <c r="BE746" i="1" s="1"/>
  <c r="BE742" i="1"/>
  <c r="BU742" i="1"/>
  <c r="BU745" i="1"/>
  <c r="BU746" i="1" s="1"/>
  <c r="Q744" i="1"/>
  <c r="BE744" i="1"/>
  <c r="V405" i="1"/>
  <c r="V407" i="1" s="1"/>
  <c r="V39" i="9" s="1"/>
  <c r="AU405" i="1"/>
  <c r="AU407" i="1" s="1"/>
  <c r="AU39" i="9" s="1"/>
  <c r="Q414" i="1"/>
  <c r="Y414" i="1"/>
  <c r="AG414" i="1"/>
  <c r="AO414" i="1"/>
  <c r="AW414" i="1"/>
  <c r="BE414" i="1"/>
  <c r="BM414" i="1"/>
  <c r="BU414" i="1"/>
  <c r="CE418" i="1"/>
  <c r="CH418" i="1" s="1"/>
  <c r="CH419" i="1"/>
  <c r="H429" i="1"/>
  <c r="R444" i="1"/>
  <c r="AV492" i="1"/>
  <c r="BE492" i="1"/>
  <c r="K477" i="1"/>
  <c r="J471" i="1"/>
  <c r="J477" i="1" s="1"/>
  <c r="AZ492" i="1"/>
  <c r="BY492" i="1"/>
  <c r="R512" i="1"/>
  <c r="R507" i="1" s="1"/>
  <c r="BF512" i="1"/>
  <c r="BF517" i="1"/>
  <c r="BI517" i="1" s="1"/>
  <c r="CD557" i="1"/>
  <c r="CD558" i="1" s="1"/>
  <c r="BM566" i="1"/>
  <c r="BO551" i="1"/>
  <c r="BO555" i="1" s="1"/>
  <c r="BO711" i="1" s="1"/>
  <c r="BU566" i="1"/>
  <c r="BV551" i="1"/>
  <c r="BV555" i="1" s="1"/>
  <c r="H581" i="1"/>
  <c r="AG581" i="1"/>
  <c r="H67" i="9"/>
  <c r="H942" i="1"/>
  <c r="H1032" i="1"/>
  <c r="Q67" i="9"/>
  <c r="Q942" i="1"/>
  <c r="Q1032" i="1"/>
  <c r="Q556" i="1"/>
  <c r="Y67" i="9"/>
  <c r="Y942" i="1"/>
  <c r="Y556" i="1"/>
  <c r="AI67" i="9"/>
  <c r="AI942" i="1"/>
  <c r="AI556" i="1"/>
  <c r="AQ67" i="9"/>
  <c r="AQ942" i="1"/>
  <c r="K71" i="9"/>
  <c r="K944" i="1"/>
  <c r="K1036" i="1"/>
  <c r="CH71" i="9"/>
  <c r="CH944" i="1"/>
  <c r="AB739" i="1"/>
  <c r="BI749" i="1"/>
  <c r="Z744" i="1"/>
  <c r="C770" i="1"/>
  <c r="C753" i="1" s="1"/>
  <c r="C442" i="1"/>
  <c r="C480" i="1" s="1"/>
  <c r="C490" i="1" s="1"/>
  <c r="K442" i="1"/>
  <c r="K480" i="1" s="1"/>
  <c r="K490" i="1" s="1"/>
  <c r="K770" i="1"/>
  <c r="K753" i="1" s="1"/>
  <c r="S770" i="1"/>
  <c r="S753" i="1" s="1"/>
  <c r="S442" i="1"/>
  <c r="AA770" i="1"/>
  <c r="AA753" i="1" s="1"/>
  <c r="AA442" i="1"/>
  <c r="AQ442" i="1"/>
  <c r="AQ770" i="1"/>
  <c r="AQ753" i="1" s="1"/>
  <c r="BG770" i="1"/>
  <c r="BG753" i="1" s="1"/>
  <c r="BG442" i="1"/>
  <c r="BO770" i="1"/>
  <c r="BO753" i="1" s="1"/>
  <c r="BO442" i="1"/>
  <c r="T753" i="1"/>
  <c r="AS851" i="1"/>
  <c r="AS317" i="1" s="1"/>
  <c r="AS796" i="1"/>
  <c r="AS805" i="1" s="1"/>
  <c r="O868" i="1"/>
  <c r="BC796" i="1"/>
  <c r="BC805" i="1" s="1"/>
  <c r="BC852" i="1"/>
  <c r="BD852" i="1" s="1"/>
  <c r="J429" i="1"/>
  <c r="T861" i="1"/>
  <c r="T868" i="1" s="1"/>
  <c r="T796" i="1"/>
  <c r="T805" i="1" s="1"/>
  <c r="AL868" i="1"/>
  <c r="AI429" i="1"/>
  <c r="AT866" i="1"/>
  <c r="BT65" i="9"/>
  <c r="BX869" i="1"/>
  <c r="AE944" i="1"/>
  <c r="AX712" i="1"/>
  <c r="AY886" i="1"/>
  <c r="AY712" i="1" s="1"/>
  <c r="AY900" i="1"/>
  <c r="AU718" i="1"/>
  <c r="AU73" i="9" s="1"/>
  <c r="BT949" i="1"/>
  <c r="BT970" i="1"/>
  <c r="Y108" i="9"/>
  <c r="Y109" i="9" s="1"/>
  <c r="AH108" i="9"/>
  <c r="AH1006" i="1"/>
  <c r="AH1017" i="1" s="1"/>
  <c r="AH1019" i="1" s="1"/>
  <c r="AQ108" i="9"/>
  <c r="AQ1006" i="1"/>
  <c r="AQ1017" i="1" s="1"/>
  <c r="Q868" i="1"/>
  <c r="AZ868" i="1"/>
  <c r="BD853" i="1"/>
  <c r="AY860" i="1"/>
  <c r="AY429" i="1" s="1"/>
  <c r="BN865" i="1"/>
  <c r="L877" i="1"/>
  <c r="L703" i="1"/>
  <c r="AA65" i="9"/>
  <c r="AE869" i="1"/>
  <c r="AT901" i="1"/>
  <c r="Q938" i="1"/>
  <c r="Q927" i="1"/>
  <c r="AD938" i="1"/>
  <c r="BU938" i="1"/>
  <c r="H4" i="9"/>
  <c r="H770" i="1"/>
  <c r="P4" i="9"/>
  <c r="X4" i="9"/>
  <c r="AF4" i="9"/>
  <c r="AN4" i="9"/>
  <c r="AN770" i="1"/>
  <c r="AV4" i="9"/>
  <c r="AV770" i="1"/>
  <c r="BD4" i="9"/>
  <c r="BL4" i="9"/>
  <c r="BL770" i="1"/>
  <c r="BT4" i="9"/>
  <c r="BT770" i="1"/>
  <c r="CB764" i="1"/>
  <c r="CB766" i="1"/>
  <c r="CJ764" i="1"/>
  <c r="CJ766" i="1"/>
  <c r="AV377" i="1"/>
  <c r="BD377" i="1"/>
  <c r="BD378" i="1" s="1"/>
  <c r="BD285" i="1" s="1"/>
  <c r="BL377" i="1"/>
  <c r="BT377" i="1"/>
  <c r="Z936" i="1"/>
  <c r="Z938" i="1"/>
  <c r="G745" i="1"/>
  <c r="G746" i="1" s="1"/>
  <c r="W742" i="1"/>
  <c r="AE742" i="1"/>
  <c r="BK745" i="1"/>
  <c r="BK746" i="1" s="1"/>
  <c r="BS745" i="1"/>
  <c r="BS746" i="1" s="1"/>
  <c r="X744" i="1"/>
  <c r="BD744" i="1"/>
  <c r="Q405" i="1"/>
  <c r="Q407" i="1" s="1"/>
  <c r="Q39" i="9" s="1"/>
  <c r="Y405" i="1"/>
  <c r="Y407" i="1" s="1"/>
  <c r="Y39" i="9" s="1"/>
  <c r="AG405" i="1"/>
  <c r="AG407" i="1" s="1"/>
  <c r="AG39" i="9" s="1"/>
  <c r="AO405" i="1"/>
  <c r="AO407" i="1" s="1"/>
  <c r="AO39" i="9" s="1"/>
  <c r="AW405" i="1"/>
  <c r="AW407" i="1" s="1"/>
  <c r="AW39" i="9" s="1"/>
  <c r="BE405" i="1"/>
  <c r="BE407" i="1" s="1"/>
  <c r="BE39" i="9" s="1"/>
  <c r="BU405" i="1"/>
  <c r="BU407" i="1" s="1"/>
  <c r="BU39" i="9" s="1"/>
  <c r="J444" i="1"/>
  <c r="AX444" i="1"/>
  <c r="AP449" i="1"/>
  <c r="K450" i="1"/>
  <c r="AQ450" i="1"/>
  <c r="AY450" i="1"/>
  <c r="BG450" i="1"/>
  <c r="BO450" i="1"/>
  <c r="BW450" i="1"/>
  <c r="H465" i="1"/>
  <c r="K465" i="1" s="1"/>
  <c r="AE466" i="1"/>
  <c r="O476" i="1"/>
  <c r="P478" i="1"/>
  <c r="AR492" i="1"/>
  <c r="BT497" i="1"/>
  <c r="Y502" i="1"/>
  <c r="Y507" i="1" s="1"/>
  <c r="AG502" i="1"/>
  <c r="AV548" i="1"/>
  <c r="AY528" i="1"/>
  <c r="BT548" i="1"/>
  <c r="BX527" i="1"/>
  <c r="BX530" i="1" s="1"/>
  <c r="BX114" i="1" s="1"/>
  <c r="CH607" i="1"/>
  <c r="AM703" i="1"/>
  <c r="K67" i="9"/>
  <c r="K942" i="1"/>
  <c r="S67" i="9"/>
  <c r="S942" i="1"/>
  <c r="BB67" i="9"/>
  <c r="BB942" i="1"/>
  <c r="BK67" i="9"/>
  <c r="BK942" i="1"/>
  <c r="BK556" i="1"/>
  <c r="AD71" i="9"/>
  <c r="AD1036" i="1"/>
  <c r="AD944" i="1"/>
  <c r="AM71" i="9"/>
  <c r="AM1036" i="1"/>
  <c r="AM944" i="1"/>
  <c r="AU71" i="9"/>
  <c r="AU1036" i="1"/>
  <c r="AU944" i="1"/>
  <c r="BO71" i="9"/>
  <c r="BO944" i="1"/>
  <c r="BO1036" i="1"/>
  <c r="BW71" i="9"/>
  <c r="BW944" i="1"/>
  <c r="BW1036" i="1"/>
  <c r="AK80" i="9"/>
  <c r="AO715" i="1"/>
  <c r="AO80" i="9" s="1"/>
  <c r="AK717" i="1"/>
  <c r="AK74" i="9" s="1"/>
  <c r="I7" i="9"/>
  <c r="I1024" i="1"/>
  <c r="Q7" i="9"/>
  <c r="Q1024" i="1"/>
  <c r="Y7" i="9"/>
  <c r="Y1024" i="1"/>
  <c r="AG7" i="9"/>
  <c r="AG1024" i="1"/>
  <c r="AO7" i="9"/>
  <c r="AO1024" i="1"/>
  <c r="AW7" i="9"/>
  <c r="AW1024" i="1"/>
  <c r="F8" i="9"/>
  <c r="F1025" i="1"/>
  <c r="N8" i="9"/>
  <c r="N1025" i="1"/>
  <c r="BD8" i="9"/>
  <c r="BD1025" i="1"/>
  <c r="BL8" i="9"/>
  <c r="BL1025" i="1"/>
  <c r="BL739" i="1"/>
  <c r="BT8" i="9"/>
  <c r="BT1025" i="1"/>
  <c r="BT739" i="1"/>
  <c r="AE9" i="9"/>
  <c r="AE739" i="1"/>
  <c r="AM9" i="9"/>
  <c r="AM739" i="1"/>
  <c r="BC9" i="9"/>
  <c r="BC739" i="1"/>
  <c r="BK9" i="9"/>
  <c r="BK739" i="1"/>
  <c r="AU739" i="1"/>
  <c r="BN102" i="9"/>
  <c r="BN87" i="9"/>
  <c r="BN750" i="1"/>
  <c r="L753" i="1"/>
  <c r="BX753" i="1"/>
  <c r="BH753" i="1"/>
  <c r="AS880" i="1"/>
  <c r="AS818" i="1"/>
  <c r="BC818" i="1"/>
  <c r="BC881" i="1"/>
  <c r="BW883" i="1"/>
  <c r="BW818" i="1"/>
  <c r="AS926" i="1"/>
  <c r="AS709" i="1"/>
  <c r="AT884" i="1"/>
  <c r="BP888" i="1"/>
  <c r="BP818" i="1"/>
  <c r="BP841" i="1" s="1"/>
  <c r="O75" i="9"/>
  <c r="O818" i="1"/>
  <c r="R868" i="1"/>
  <c r="AQ868" i="1"/>
  <c r="Z857" i="1"/>
  <c r="AJ857" i="1"/>
  <c r="Z859" i="1"/>
  <c r="H65" i="9"/>
  <c r="R65" i="9"/>
  <c r="BY926" i="1"/>
  <c r="CC884" i="1"/>
  <c r="BY709" i="1"/>
  <c r="CH1032" i="1"/>
  <c r="AM910" i="1"/>
  <c r="Z897" i="1"/>
  <c r="AJ906" i="1"/>
  <c r="BO910" i="1"/>
  <c r="J370" i="1"/>
  <c r="R29" i="9"/>
  <c r="R948" i="1"/>
  <c r="R1026" i="1"/>
  <c r="R951" i="1"/>
  <c r="Z29" i="9"/>
  <c r="Z948" i="1"/>
  <c r="Z1026" i="1"/>
  <c r="Z951" i="1"/>
  <c r="AH29" i="9"/>
  <c r="AH951" i="1"/>
  <c r="AH1026" i="1"/>
  <c r="AH948" i="1"/>
  <c r="AH953" i="1" s="1"/>
  <c r="AP29" i="9"/>
  <c r="AP948" i="1"/>
  <c r="AP1026" i="1"/>
  <c r="AX29" i="9"/>
  <c r="AX1026" i="1"/>
  <c r="BF29" i="9"/>
  <c r="BF951" i="1"/>
  <c r="BF956" i="1" s="1"/>
  <c r="BF948" i="1"/>
  <c r="BF1026" i="1"/>
  <c r="BN29" i="9"/>
  <c r="BN951" i="1"/>
  <c r="BN948" i="1"/>
  <c r="BV29" i="9"/>
  <c r="BV1026" i="1"/>
  <c r="E30" i="9"/>
  <c r="E950" i="1"/>
  <c r="E949" i="1"/>
  <c r="M30" i="9"/>
  <c r="M950" i="1"/>
  <c r="U30" i="9"/>
  <c r="U950" i="1"/>
  <c r="U955" i="1" s="1"/>
  <c r="U949" i="1"/>
  <c r="U954" i="1" s="1"/>
  <c r="AC30" i="9"/>
  <c r="AC949" i="1"/>
  <c r="AK30" i="9"/>
  <c r="AK949" i="1"/>
  <c r="AP954" i="1" s="1"/>
  <c r="AK950" i="1"/>
  <c r="BA30" i="9"/>
  <c r="BA950" i="1"/>
  <c r="BA955" i="1" s="1"/>
  <c r="BA949" i="1"/>
  <c r="BI30" i="9"/>
  <c r="BI950" i="1"/>
  <c r="BI949" i="1"/>
  <c r="BQ30" i="9"/>
  <c r="BQ949" i="1"/>
  <c r="BQ954" i="1" s="1"/>
  <c r="BY30" i="9"/>
  <c r="BY950" i="1"/>
  <c r="BY949" i="1"/>
  <c r="AW377" i="1"/>
  <c r="BE377" i="1"/>
  <c r="BM377" i="1"/>
  <c r="Z378" i="1"/>
  <c r="AP378" i="1"/>
  <c r="BN378" i="1"/>
  <c r="AY936" i="1"/>
  <c r="H745" i="1"/>
  <c r="H746" i="1" s="1"/>
  <c r="P746" i="1"/>
  <c r="AF742" i="1"/>
  <c r="AN742" i="1"/>
  <c r="BT745" i="1"/>
  <c r="BT746" i="1" s="1"/>
  <c r="I744" i="1"/>
  <c r="AG744" i="1"/>
  <c r="BM744" i="1"/>
  <c r="BU744" i="1"/>
  <c r="J480" i="1"/>
  <c r="J490" i="1" s="1"/>
  <c r="J497" i="1" s="1"/>
  <c r="AI444" i="1"/>
  <c r="BA449" i="1"/>
  <c r="AJ450" i="1"/>
  <c r="AR450" i="1"/>
  <c r="AZ450" i="1"/>
  <c r="Z464" i="1"/>
  <c r="Y473" i="1"/>
  <c r="Y479" i="1" s="1"/>
  <c r="W477" i="1"/>
  <c r="R478" i="1"/>
  <c r="U517" i="1"/>
  <c r="X512" i="1"/>
  <c r="CC530" i="1"/>
  <c r="CC114" i="1" s="1"/>
  <c r="BL551" i="1"/>
  <c r="BL555" i="1" s="1"/>
  <c r="BL711" i="1" s="1"/>
  <c r="BS552" i="1"/>
  <c r="AT555" i="1"/>
  <c r="AT711" i="1" s="1"/>
  <c r="CH555" i="1"/>
  <c r="CH711" i="1" s="1"/>
  <c r="BQ557" i="1"/>
  <c r="BQ558" i="1" s="1"/>
  <c r="CA557" i="1"/>
  <c r="CA558" i="1" s="1"/>
  <c r="Z581" i="1"/>
  <c r="C67" i="9"/>
  <c r="C942" i="1"/>
  <c r="BC67" i="9"/>
  <c r="BC942" i="1"/>
  <c r="BC556" i="1"/>
  <c r="BL67" i="9"/>
  <c r="BL1032" i="1"/>
  <c r="BL942" i="1"/>
  <c r="BT67" i="9"/>
  <c r="BT942" i="1"/>
  <c r="BT1032" i="1"/>
  <c r="F71" i="9"/>
  <c r="F1036" i="1"/>
  <c r="F944" i="1"/>
  <c r="N71" i="9"/>
  <c r="N1036" i="1"/>
  <c r="N944" i="1"/>
  <c r="V71" i="9"/>
  <c r="V1036" i="1"/>
  <c r="V944" i="1"/>
  <c r="AN71" i="9"/>
  <c r="AN944" i="1"/>
  <c r="AN1036" i="1"/>
  <c r="AV71" i="9"/>
  <c r="AV944" i="1"/>
  <c r="AV1036" i="1"/>
  <c r="BE71" i="9"/>
  <c r="BE1036" i="1"/>
  <c r="BE944" i="1"/>
  <c r="AU80" i="9"/>
  <c r="AY715" i="1"/>
  <c r="AY80" i="9" s="1"/>
  <c r="AY7" i="9"/>
  <c r="AY1024" i="1"/>
  <c r="BG7" i="9"/>
  <c r="BG1024" i="1"/>
  <c r="BO7" i="9"/>
  <c r="BO1024" i="1"/>
  <c r="BW7" i="9"/>
  <c r="BW1024" i="1"/>
  <c r="P8" i="9"/>
  <c r="P1025" i="1"/>
  <c r="X8" i="9"/>
  <c r="X1025" i="1"/>
  <c r="AF8" i="9"/>
  <c r="AF1025" i="1"/>
  <c r="AN8" i="9"/>
  <c r="AN1025" i="1"/>
  <c r="AV8" i="9"/>
  <c r="AV1025" i="1"/>
  <c r="AV739" i="1"/>
  <c r="BE8" i="9"/>
  <c r="BE1025" i="1"/>
  <c r="BE739" i="1"/>
  <c r="BM8" i="9"/>
  <c r="BM739" i="1"/>
  <c r="BM1025" i="1"/>
  <c r="BU8" i="9"/>
  <c r="BU739" i="1"/>
  <c r="BU1025" i="1"/>
  <c r="N739" i="1"/>
  <c r="AF739" i="1"/>
  <c r="BQ102" i="9"/>
  <c r="AN745" i="1"/>
  <c r="AN746" i="1" s="1"/>
  <c r="BN749" i="1"/>
  <c r="BI753" i="1"/>
  <c r="Y868" i="1"/>
  <c r="AN65" i="9"/>
  <c r="AO869" i="1"/>
  <c r="J880" i="1"/>
  <c r="J890" i="1" s="1"/>
  <c r="J818" i="1"/>
  <c r="T818" i="1"/>
  <c r="T881" i="1"/>
  <c r="BH881" i="1"/>
  <c r="BH818" i="1"/>
  <c r="J926" i="1"/>
  <c r="J709" i="1"/>
  <c r="AX926" i="1"/>
  <c r="AX927" i="1" s="1"/>
  <c r="AX1032" i="1"/>
  <c r="AX709" i="1"/>
  <c r="BQ888" i="1"/>
  <c r="BQ818" i="1"/>
  <c r="BQ841" i="1" s="1"/>
  <c r="T75" i="9"/>
  <c r="BH75" i="9"/>
  <c r="I877" i="1"/>
  <c r="I705" i="1" s="1"/>
  <c r="I703" i="1"/>
  <c r="AO852" i="1"/>
  <c r="AR868" i="1"/>
  <c r="AY864" i="1"/>
  <c r="BN866" i="1"/>
  <c r="BX866" i="1"/>
  <c r="I65" i="9"/>
  <c r="Y890" i="1"/>
  <c r="AT882" i="1"/>
  <c r="BS898" i="1"/>
  <c r="I938" i="1"/>
  <c r="AX938" i="1"/>
  <c r="AY99" i="9"/>
  <c r="AY1030" i="1"/>
  <c r="Q745" i="1"/>
  <c r="Q746" i="1" s="1"/>
  <c r="AO742" i="1"/>
  <c r="AW742" i="1"/>
  <c r="AH744" i="1"/>
  <c r="AP744" i="1"/>
  <c r="T444" i="1"/>
  <c r="BH444" i="1"/>
  <c r="BJ449" i="1" s="1"/>
  <c r="BR492" i="1"/>
  <c r="U450" i="1"/>
  <c r="BA450" i="1"/>
  <c r="BI450" i="1"/>
  <c r="X465" i="1"/>
  <c r="J473" i="1"/>
  <c r="J479" i="1" s="1"/>
  <c r="M477" i="1"/>
  <c r="BV492" i="1"/>
  <c r="BM502" i="1"/>
  <c r="AO502" i="1"/>
  <c r="AE517" i="1"/>
  <c r="BD517" i="1"/>
  <c r="AO530" i="1"/>
  <c r="AO114" i="1" s="1"/>
  <c r="AY555" i="1"/>
  <c r="AY711" i="1" s="1"/>
  <c r="CB557" i="1"/>
  <c r="CB558" i="1" s="1"/>
  <c r="CH580" i="1"/>
  <c r="BN581" i="1"/>
  <c r="AD67" i="9"/>
  <c r="AD942" i="1"/>
  <c r="AL67" i="9"/>
  <c r="AL942" i="1"/>
  <c r="AU67" i="9"/>
  <c r="AU942" i="1"/>
  <c r="AU556" i="1"/>
  <c r="AU557" i="1" s="1"/>
  <c r="AU558" i="1" s="1"/>
  <c r="BM67" i="9"/>
  <c r="BM942" i="1"/>
  <c r="BM556" i="1"/>
  <c r="BM557" i="1" s="1"/>
  <c r="BM558" i="1" s="1"/>
  <c r="BU67" i="9"/>
  <c r="BU942" i="1"/>
  <c r="BU556" i="1"/>
  <c r="W71" i="9"/>
  <c r="W1036" i="1"/>
  <c r="W944" i="1"/>
  <c r="AF71" i="9"/>
  <c r="AF1036" i="1"/>
  <c r="AF944" i="1"/>
  <c r="AO71" i="9"/>
  <c r="AW71" i="9"/>
  <c r="AW944" i="1"/>
  <c r="AW1036" i="1"/>
  <c r="C7" i="9"/>
  <c r="C1024" i="1"/>
  <c r="K7" i="9"/>
  <c r="K1024" i="1"/>
  <c r="S7" i="9"/>
  <c r="S1024" i="1"/>
  <c r="AA7" i="9"/>
  <c r="AA1024" i="1"/>
  <c r="AI7" i="9"/>
  <c r="AI1024" i="1"/>
  <c r="AQ7" i="9"/>
  <c r="AQ1024" i="1"/>
  <c r="O739" i="1"/>
  <c r="AH739" i="1"/>
  <c r="G742" i="1"/>
  <c r="W745" i="1"/>
  <c r="W746" i="1" s="1"/>
  <c r="AO745" i="1"/>
  <c r="AO746" i="1" s="1"/>
  <c r="CB765" i="1"/>
  <c r="CJ765" i="1"/>
  <c r="AF770" i="1"/>
  <c r="BR888" i="1"/>
  <c r="AU841" i="1"/>
  <c r="X868" i="1"/>
  <c r="AT858" i="1"/>
  <c r="BS860" i="1"/>
  <c r="BS429" i="1" s="1"/>
  <c r="BN862" i="1"/>
  <c r="AE871" i="1"/>
  <c r="BG890" i="1"/>
  <c r="BI880" i="1"/>
  <c r="H75" i="9"/>
  <c r="AM75" i="9"/>
  <c r="BB910" i="1"/>
  <c r="BB717" i="1"/>
  <c r="BB74" i="9" s="1"/>
  <c r="BX717" i="1"/>
  <c r="BX74" i="9" s="1"/>
  <c r="Z906" i="1"/>
  <c r="V717" i="1"/>
  <c r="V74" i="9" s="1"/>
  <c r="AP939" i="1"/>
  <c r="AZ939" i="1"/>
  <c r="BL939" i="1"/>
  <c r="AC950" i="1"/>
  <c r="AC955" i="1" s="1"/>
  <c r="D99" i="9"/>
  <c r="D1030" i="1"/>
  <c r="D1019" i="1"/>
  <c r="L99" i="9"/>
  <c r="X99" i="9"/>
  <c r="AZ99" i="9"/>
  <c r="Y94" i="9"/>
  <c r="AC95" i="9" s="1"/>
  <c r="L480" i="1"/>
  <c r="L490" i="1" s="1"/>
  <c r="BW449" i="1"/>
  <c r="H477" i="1"/>
  <c r="M464" i="1"/>
  <c r="P464" i="1" s="1"/>
  <c r="BO502" i="1"/>
  <c r="AY502" i="1"/>
  <c r="BD512" i="1"/>
  <c r="BT557" i="1"/>
  <c r="BT558" i="1" s="1"/>
  <c r="AP581" i="1"/>
  <c r="V67" i="9"/>
  <c r="V942" i="1"/>
  <c r="AM67" i="9"/>
  <c r="AM942" i="1"/>
  <c r="AM556" i="1"/>
  <c r="AV67" i="9"/>
  <c r="AV942" i="1"/>
  <c r="AV1032" i="1"/>
  <c r="BE67" i="9"/>
  <c r="BE942" i="1"/>
  <c r="BE556" i="1"/>
  <c r="H71" i="9"/>
  <c r="H1036" i="1"/>
  <c r="H944" i="1"/>
  <c r="P71" i="9"/>
  <c r="P1036" i="1"/>
  <c r="P1043" i="1"/>
  <c r="P944" i="1"/>
  <c r="X71" i="9"/>
  <c r="X1036" i="1"/>
  <c r="X944" i="1"/>
  <c r="AG71" i="9"/>
  <c r="BG71" i="9"/>
  <c r="BG944" i="1"/>
  <c r="BG1036" i="1"/>
  <c r="AE715" i="1"/>
  <c r="AE80" i="9" s="1"/>
  <c r="AK718" i="1"/>
  <c r="AK73" i="9" s="1"/>
  <c r="R9" i="9"/>
  <c r="R739" i="1"/>
  <c r="P739" i="1"/>
  <c r="BA102" i="9"/>
  <c r="BS739" i="1"/>
  <c r="H742" i="1"/>
  <c r="BK742" i="1"/>
  <c r="H769" i="1"/>
  <c r="P769" i="1"/>
  <c r="P753" i="1" s="1"/>
  <c r="X769" i="1"/>
  <c r="X753" i="1" s="1"/>
  <c r="AF769" i="1"/>
  <c r="AN769" i="1"/>
  <c r="AV769" i="1"/>
  <c r="BD769" i="1"/>
  <c r="BD753" i="1" s="1"/>
  <c r="BL769" i="1"/>
  <c r="BT769" i="1"/>
  <c r="AI796" i="1"/>
  <c r="AI805" i="1" s="1"/>
  <c r="BW796" i="1"/>
  <c r="BW805" i="1" s="1"/>
  <c r="J65" i="9"/>
  <c r="AT841" i="1"/>
  <c r="BD841" i="1"/>
  <c r="BN841" i="1"/>
  <c r="BX841" i="1"/>
  <c r="BI852" i="1"/>
  <c r="BI868" i="1" s="1"/>
  <c r="AJ858" i="1"/>
  <c r="AO863" i="1"/>
  <c r="BD866" i="1"/>
  <c r="Z875" i="1"/>
  <c r="AX880" i="1"/>
  <c r="AO881" i="1"/>
  <c r="AK890" i="1"/>
  <c r="BT890" i="1"/>
  <c r="BX881" i="1"/>
  <c r="Z882" i="1"/>
  <c r="AC75" i="9"/>
  <c r="AE889" i="1"/>
  <c r="BL75" i="9"/>
  <c r="AO893" i="1"/>
  <c r="AL910" i="1"/>
  <c r="AW910" i="1"/>
  <c r="AW913" i="1" s="1"/>
  <c r="AW718" i="1"/>
  <c r="AW73" i="9" s="1"/>
  <c r="BJ910" i="1"/>
  <c r="BN893" i="1"/>
  <c r="BP910" i="1"/>
  <c r="BP717" i="1"/>
  <c r="BP74" i="9" s="1"/>
  <c r="BY910" i="1"/>
  <c r="CC894" i="1"/>
  <c r="BX903" i="1"/>
  <c r="BU718" i="1"/>
  <c r="BU73" i="9" s="1"/>
  <c r="V937" i="1"/>
  <c r="BT937" i="1"/>
  <c r="AO944" i="1"/>
  <c r="BQ950" i="1"/>
  <c r="BQ955" i="1" s="1"/>
  <c r="O99" i="9"/>
  <c r="O1030" i="1"/>
  <c r="M99" i="9"/>
  <c r="BI99" i="9"/>
  <c r="BI1030" i="1"/>
  <c r="BN1030" i="1"/>
  <c r="H8" i="9"/>
  <c r="H1025" i="1"/>
  <c r="Q8" i="9"/>
  <c r="Q1025" i="1"/>
  <c r="Q739" i="1"/>
  <c r="Y8" i="9"/>
  <c r="Y1025" i="1"/>
  <c r="Y739" i="1"/>
  <c r="AG8" i="9"/>
  <c r="AG1025" i="1"/>
  <c r="AG739" i="1"/>
  <c r="AO8" i="9"/>
  <c r="AO1025" i="1"/>
  <c r="AO739" i="1"/>
  <c r="AW8" i="9"/>
  <c r="AW1025" i="1"/>
  <c r="AW739" i="1"/>
  <c r="BF8" i="9"/>
  <c r="BF1025" i="1"/>
  <c r="BN8" i="9"/>
  <c r="BN1025" i="1"/>
  <c r="BV8" i="9"/>
  <c r="BV1025" i="1"/>
  <c r="H739" i="1"/>
  <c r="AS739" i="1"/>
  <c r="J796" i="1"/>
  <c r="J805" i="1" s="1"/>
  <c r="AX796" i="1"/>
  <c r="AX805" i="1" s="1"/>
  <c r="AX851" i="1"/>
  <c r="BH852" i="1"/>
  <c r="BH796" i="1"/>
  <c r="BH805" i="1" s="1"/>
  <c r="AN796" i="1"/>
  <c r="AN805" i="1" s="1"/>
  <c r="AX65" i="9"/>
  <c r="T890" i="1"/>
  <c r="BH926" i="1"/>
  <c r="BH1032" i="1"/>
  <c r="J851" i="1"/>
  <c r="J868" i="1" s="1"/>
  <c r="AC868" i="1"/>
  <c r="AE851" i="1"/>
  <c r="AP868" i="1"/>
  <c r="BJ868" i="1"/>
  <c r="BN851" i="1"/>
  <c r="AE862" i="1"/>
  <c r="AY867" i="1"/>
  <c r="S65" i="9"/>
  <c r="AY869" i="1"/>
  <c r="AE875" i="1"/>
  <c r="BI875" i="1"/>
  <c r="CC880" i="1"/>
  <c r="BY890" i="1"/>
  <c r="H890" i="1"/>
  <c r="AB890" i="1"/>
  <c r="AE881" i="1"/>
  <c r="BS882" i="1"/>
  <c r="BE1032" i="1"/>
  <c r="BN886" i="1"/>
  <c r="BN712" i="1" s="1"/>
  <c r="BB75" i="9"/>
  <c r="BD889" i="1"/>
  <c r="T910" i="1"/>
  <c r="AD910" i="1"/>
  <c r="BV910" i="1"/>
  <c r="BL910" i="1"/>
  <c r="AJ901" i="1"/>
  <c r="BX906" i="1"/>
  <c r="AF937" i="1"/>
  <c r="AF939" i="1"/>
  <c r="AF933" i="1"/>
  <c r="AQ939" i="1"/>
  <c r="BB939" i="1"/>
  <c r="AR937" i="1"/>
  <c r="AR939" i="1"/>
  <c r="BB937" i="1"/>
  <c r="BL937" i="1"/>
  <c r="BM970" i="1"/>
  <c r="BM990" i="1" s="1"/>
  <c r="BM949" i="1"/>
  <c r="BM954" i="1" s="1"/>
  <c r="BF99" i="9"/>
  <c r="BD99" i="9"/>
  <c r="BD1030" i="1"/>
  <c r="AT99" i="9"/>
  <c r="AT1019" i="1"/>
  <c r="AT1030" i="1"/>
  <c r="R476" i="1"/>
  <c r="I478" i="1"/>
  <c r="AO490" i="1"/>
  <c r="CC607" i="1"/>
  <c r="R67" i="9"/>
  <c r="R1032" i="1"/>
  <c r="R942" i="1"/>
  <c r="AH67" i="9"/>
  <c r="AH942" i="1"/>
  <c r="BF67" i="9"/>
  <c r="BF942" i="1"/>
  <c r="BN67" i="9"/>
  <c r="BN942" i="1"/>
  <c r="BV67" i="9"/>
  <c r="BV942" i="1"/>
  <c r="J71" i="9"/>
  <c r="J944" i="1"/>
  <c r="R71" i="9"/>
  <c r="R944" i="1"/>
  <c r="R1036" i="1"/>
  <c r="AH71" i="9"/>
  <c r="AH1036" i="1"/>
  <c r="AH944" i="1"/>
  <c r="AP71" i="9"/>
  <c r="AP1036" i="1"/>
  <c r="AP944" i="1"/>
  <c r="BF71" i="9"/>
  <c r="BF1036" i="1"/>
  <c r="BF944" i="1"/>
  <c r="BV71" i="9"/>
  <c r="BV944" i="1"/>
  <c r="BV1036" i="1"/>
  <c r="J7" i="9"/>
  <c r="J1024" i="1"/>
  <c r="R7" i="9"/>
  <c r="R1024" i="1"/>
  <c r="Z7" i="9"/>
  <c r="Z1024" i="1"/>
  <c r="AH7" i="9"/>
  <c r="AH1024" i="1"/>
  <c r="AP7" i="9"/>
  <c r="AP1024" i="1"/>
  <c r="BF7" i="9"/>
  <c r="BF1024" i="1"/>
  <c r="BN7" i="9"/>
  <c r="BN1024" i="1"/>
  <c r="BV7" i="9"/>
  <c r="BV1024" i="1"/>
  <c r="CA736" i="1"/>
  <c r="I8" i="9"/>
  <c r="I1025" i="1"/>
  <c r="I739" i="1"/>
  <c r="Z8" i="9"/>
  <c r="Z1025" i="1"/>
  <c r="AH8" i="9"/>
  <c r="AH1025" i="1"/>
  <c r="AP8" i="9"/>
  <c r="AP1025" i="1"/>
  <c r="AX8" i="9"/>
  <c r="AX1025" i="1"/>
  <c r="BG8" i="9"/>
  <c r="BG1025" i="1"/>
  <c r="BO8" i="9"/>
  <c r="BO1025" i="1"/>
  <c r="BW8" i="9"/>
  <c r="BW1025" i="1"/>
  <c r="BV739" i="1"/>
  <c r="BM796" i="1"/>
  <c r="BM805" i="1" s="1"/>
  <c r="BR796" i="1"/>
  <c r="BR805" i="1" s="1"/>
  <c r="O65" i="9"/>
  <c r="BC65" i="9"/>
  <c r="AG841" i="1"/>
  <c r="AP841" i="1"/>
  <c r="U868" i="1"/>
  <c r="BA868" i="1"/>
  <c r="BK868" i="1"/>
  <c r="BT868" i="1"/>
  <c r="K868" i="1"/>
  <c r="S868" i="1"/>
  <c r="AB868" i="1"/>
  <c r="Z855" i="1"/>
  <c r="Z856" i="1"/>
  <c r="AJ856" i="1"/>
  <c r="BS858" i="1"/>
  <c r="C65" i="9"/>
  <c r="AZ65" i="9"/>
  <c r="BD869" i="1"/>
  <c r="BK65" i="9"/>
  <c r="BN869" i="1"/>
  <c r="BX870" i="1"/>
  <c r="AT871" i="1"/>
  <c r="AY872" i="1"/>
  <c r="BD876" i="1"/>
  <c r="AQ890" i="1"/>
  <c r="AC890" i="1"/>
  <c r="BL890" i="1"/>
  <c r="G1032" i="1"/>
  <c r="G926" i="1"/>
  <c r="AU1032" i="1"/>
  <c r="AY884" i="1"/>
  <c r="AU926" i="1"/>
  <c r="AU927" i="1" s="1"/>
  <c r="BI884" i="1"/>
  <c r="BF1032" i="1"/>
  <c r="AY885" i="1"/>
  <c r="AY713" i="1" s="1"/>
  <c r="AY72" i="9" s="1"/>
  <c r="AT886" i="1"/>
  <c r="AT712" i="1" s="1"/>
  <c r="AT888" i="1"/>
  <c r="BI895" i="1"/>
  <c r="BS896" i="1"/>
  <c r="AO897" i="1"/>
  <c r="BK938" i="1"/>
  <c r="I927" i="1"/>
  <c r="J924" i="1"/>
  <c r="AO924" i="1"/>
  <c r="AO938" i="1" s="1"/>
  <c r="AK924" i="1"/>
  <c r="BL938" i="1"/>
  <c r="BX924" i="1"/>
  <c r="BT924" i="1"/>
  <c r="AQ933" i="1"/>
  <c r="J930" i="1"/>
  <c r="I933" i="1"/>
  <c r="R930" i="1"/>
  <c r="R937" i="1" s="1"/>
  <c r="Y933" i="1"/>
  <c r="AP933" i="1"/>
  <c r="BC970" i="1"/>
  <c r="BC990" i="1" s="1"/>
  <c r="AV99" i="9"/>
  <c r="BG99" i="9"/>
  <c r="AS933" i="1"/>
  <c r="BQ930" i="1"/>
  <c r="BP933" i="1"/>
  <c r="AI950" i="1"/>
  <c r="AI955" i="1" s="1"/>
  <c r="BW950" i="1"/>
  <c r="R1025" i="1"/>
  <c r="BH868" i="1"/>
  <c r="T65" i="9"/>
  <c r="AD818" i="1"/>
  <c r="AD1032" i="1"/>
  <c r="BR1032" i="1"/>
  <c r="BR926" i="1"/>
  <c r="BS884" i="1"/>
  <c r="AH841" i="1"/>
  <c r="AQ841" i="1"/>
  <c r="AZ841" i="1"/>
  <c r="BI841" i="1"/>
  <c r="AG868" i="1"/>
  <c r="BB868" i="1"/>
  <c r="BL868" i="1"/>
  <c r="BU868" i="1"/>
  <c r="BS856" i="1"/>
  <c r="AT860" i="1"/>
  <c r="AT429" i="1" s="1"/>
  <c r="AE861" i="1"/>
  <c r="BX863" i="1"/>
  <c r="BN864" i="1"/>
  <c r="AG65" i="9"/>
  <c r="AP65" i="9"/>
  <c r="AT869" i="1"/>
  <c r="BD870" i="1"/>
  <c r="Z873" i="1"/>
  <c r="AT876" i="1"/>
  <c r="BS880" i="1"/>
  <c r="K890" i="1"/>
  <c r="AE884" i="1"/>
  <c r="AA926" i="1"/>
  <c r="AA1032" i="1"/>
  <c r="AK926" i="1"/>
  <c r="AO884" i="1"/>
  <c r="AK1032" i="1"/>
  <c r="AJ886" i="1"/>
  <c r="AJ712" i="1" s="1"/>
  <c r="AJ887" i="1"/>
  <c r="BO890" i="1"/>
  <c r="AY894" i="1"/>
  <c r="AJ896" i="1"/>
  <c r="AY899" i="1"/>
  <c r="BD900" i="1"/>
  <c r="BI903" i="1"/>
  <c r="BA927" i="1"/>
  <c r="BA938" i="1"/>
  <c r="AV924" i="1"/>
  <c r="AV927" i="1" s="1"/>
  <c r="BE924" i="1"/>
  <c r="BI924" i="1"/>
  <c r="BL927" i="1"/>
  <c r="BM924" i="1"/>
  <c r="AH930" i="1"/>
  <c r="AT939" i="1"/>
  <c r="AT933" i="1"/>
  <c r="BF939" i="1"/>
  <c r="BF933" i="1"/>
  <c r="BF937" i="1"/>
  <c r="BP939" i="1"/>
  <c r="S939" i="1"/>
  <c r="AB937" i="1"/>
  <c r="BO937" i="1"/>
  <c r="AP942" i="1"/>
  <c r="CD932" i="1"/>
  <c r="CH932" i="1" s="1"/>
  <c r="CD926" i="1"/>
  <c r="R99" i="9"/>
  <c r="AC99" i="9"/>
  <c r="AC1030" i="1"/>
  <c r="AH1030" i="1"/>
  <c r="AC1019" i="1"/>
  <c r="AM99" i="9"/>
  <c r="AW990" i="1"/>
  <c r="AV1030" i="1" s="1"/>
  <c r="BV108" i="9"/>
  <c r="BV1006" i="1"/>
  <c r="CB606" i="1"/>
  <c r="D67" i="9"/>
  <c r="D942" i="1"/>
  <c r="D1032" i="1"/>
  <c r="L67" i="9"/>
  <c r="L942" i="1"/>
  <c r="T67" i="9"/>
  <c r="T942" i="1"/>
  <c r="AB67" i="9"/>
  <c r="AB942" i="1"/>
  <c r="AJ67" i="9"/>
  <c r="AZ67" i="9"/>
  <c r="AZ942" i="1"/>
  <c r="BH67" i="9"/>
  <c r="BH942" i="1"/>
  <c r="BP67" i="9"/>
  <c r="BP942" i="1"/>
  <c r="BP1032" i="1"/>
  <c r="D71" i="9"/>
  <c r="D944" i="1"/>
  <c r="D1036" i="1"/>
  <c r="L71" i="9"/>
  <c r="L1036" i="1"/>
  <c r="L944" i="1"/>
  <c r="T71" i="9"/>
  <c r="T1036" i="1"/>
  <c r="AB71" i="9"/>
  <c r="AB1036" i="1"/>
  <c r="AB944" i="1"/>
  <c r="AR71" i="9"/>
  <c r="AR1036" i="1"/>
  <c r="AR944" i="1"/>
  <c r="AZ71" i="9"/>
  <c r="AZ1036" i="1"/>
  <c r="BP71" i="9"/>
  <c r="BP944" i="1"/>
  <c r="BP1036" i="1"/>
  <c r="BX71" i="9"/>
  <c r="BX944" i="1"/>
  <c r="D7" i="9"/>
  <c r="D1024" i="1"/>
  <c r="L7" i="9"/>
  <c r="L1024" i="1"/>
  <c r="T7" i="9"/>
  <c r="T1024" i="1"/>
  <c r="AB7" i="9"/>
  <c r="AB1024" i="1"/>
  <c r="AJ7" i="9"/>
  <c r="AJ1024" i="1"/>
  <c r="AR7" i="9"/>
  <c r="AR1024" i="1"/>
  <c r="AZ7" i="9"/>
  <c r="AZ1024" i="1"/>
  <c r="BH7" i="9"/>
  <c r="BH1024" i="1"/>
  <c r="BP7" i="9"/>
  <c r="BP1024" i="1"/>
  <c r="BX7" i="9"/>
  <c r="BX1024" i="1"/>
  <c r="C8" i="9"/>
  <c r="C1025" i="1"/>
  <c r="K8" i="9"/>
  <c r="K1025" i="1"/>
  <c r="T8" i="9"/>
  <c r="T1025" i="1"/>
  <c r="AB8" i="9"/>
  <c r="AB1025" i="1"/>
  <c r="AJ8" i="9"/>
  <c r="AJ1025" i="1"/>
  <c r="AR8" i="9"/>
  <c r="AR1025" i="1"/>
  <c r="AZ8" i="9"/>
  <c r="AZ1025" i="1"/>
  <c r="BI8" i="9"/>
  <c r="BI1025" i="1"/>
  <c r="BQ8" i="9"/>
  <c r="BQ1025" i="1"/>
  <c r="BY8" i="9"/>
  <c r="BY1025" i="1"/>
  <c r="C739" i="1"/>
  <c r="BF739" i="1"/>
  <c r="BO739" i="1"/>
  <c r="Y65" i="9"/>
  <c r="BM65" i="9"/>
  <c r="AI890" i="1"/>
  <c r="BW890" i="1"/>
  <c r="AI838" i="1"/>
  <c r="AR841" i="1"/>
  <c r="BA841" i="1"/>
  <c r="BJ841" i="1"/>
  <c r="W868" i="1"/>
  <c r="BM868" i="1"/>
  <c r="BV868" i="1"/>
  <c r="Z852" i="1"/>
  <c r="BX852" i="1"/>
  <c r="AE854" i="1"/>
  <c r="AE119" i="1" s="1"/>
  <c r="AO854" i="1"/>
  <c r="AO119" i="1" s="1"/>
  <c r="AO941" i="1" s="1"/>
  <c r="BI855" i="1"/>
  <c r="BG868" i="1"/>
  <c r="AJ860" i="1"/>
  <c r="AJ429" i="1" s="1"/>
  <c r="BD860" i="1"/>
  <c r="BD429" i="1" s="1"/>
  <c r="BN860" i="1"/>
  <c r="AE867" i="1"/>
  <c r="BN867" i="1"/>
  <c r="AO872" i="1"/>
  <c r="AY873" i="1"/>
  <c r="BI873" i="1"/>
  <c r="BX876" i="1"/>
  <c r="F890" i="1"/>
  <c r="O890" i="1"/>
  <c r="AJ880" i="1"/>
  <c r="AG890" i="1"/>
  <c r="AU890" i="1"/>
  <c r="BN882" i="1"/>
  <c r="AB1032" i="1"/>
  <c r="AL1032" i="1"/>
  <c r="AL926" i="1"/>
  <c r="AW1032" i="1"/>
  <c r="BX884" i="1"/>
  <c r="Z885" i="1"/>
  <c r="Z713" i="1" s="1"/>
  <c r="Z72" i="9" s="1"/>
  <c r="F75" i="9"/>
  <c r="P75" i="9"/>
  <c r="Y75" i="9"/>
  <c r="AK75" i="9"/>
  <c r="AO889" i="1"/>
  <c r="AU75" i="9"/>
  <c r="AY889" i="1"/>
  <c r="N910" i="1"/>
  <c r="R910" i="1"/>
  <c r="AC910" i="1"/>
  <c r="E910" i="1"/>
  <c r="M910" i="1"/>
  <c r="AV910" i="1"/>
  <c r="AJ904" i="1"/>
  <c r="BD906" i="1"/>
  <c r="BN908" i="1"/>
  <c r="AO909" i="1"/>
  <c r="O938" i="1"/>
  <c r="AP938" i="1"/>
  <c r="G939" i="1"/>
  <c r="G937" i="1"/>
  <c r="G933" i="1"/>
  <c r="W937" i="1"/>
  <c r="W933" i="1"/>
  <c r="AJ939" i="1"/>
  <c r="BR933" i="1"/>
  <c r="T944" i="1"/>
  <c r="J990" i="1"/>
  <c r="J927" i="1"/>
  <c r="CC988" i="1"/>
  <c r="AN989" i="1"/>
  <c r="AN951" i="1"/>
  <c r="AW108" i="9"/>
  <c r="AW1006" i="1"/>
  <c r="CF1012" i="1"/>
  <c r="CG1012" i="1" s="1"/>
  <c r="CH1012" i="1" s="1"/>
  <c r="CI1012" i="1" s="1"/>
  <c r="CJ1012" i="1" s="1"/>
  <c r="CK1012" i="1" s="1"/>
  <c r="E67" i="9"/>
  <c r="E942" i="1"/>
  <c r="E1032" i="1"/>
  <c r="M67" i="9"/>
  <c r="M942" i="1"/>
  <c r="U67" i="9"/>
  <c r="U942" i="1"/>
  <c r="AC67" i="9"/>
  <c r="AC942" i="1"/>
  <c r="AK67" i="9"/>
  <c r="AK942" i="1"/>
  <c r="BA67" i="9"/>
  <c r="BA942" i="1"/>
  <c r="E71" i="9"/>
  <c r="E1036" i="1"/>
  <c r="M71" i="9"/>
  <c r="M944" i="1"/>
  <c r="M1036" i="1"/>
  <c r="U71" i="9"/>
  <c r="U1043" i="1"/>
  <c r="U1036" i="1"/>
  <c r="U944" i="1"/>
  <c r="AC71" i="9"/>
  <c r="AC1036" i="1"/>
  <c r="AC944" i="1"/>
  <c r="AK71" i="9"/>
  <c r="AK944" i="1"/>
  <c r="AS71" i="9"/>
  <c r="AS944" i="1"/>
  <c r="BA71" i="9"/>
  <c r="BA1036" i="1"/>
  <c r="BA944" i="1"/>
  <c r="BQ71" i="9"/>
  <c r="BQ1036" i="1"/>
  <c r="BQ944" i="1"/>
  <c r="BY71" i="9"/>
  <c r="E7" i="9"/>
  <c r="E1024" i="1"/>
  <c r="M7" i="9"/>
  <c r="M1024" i="1"/>
  <c r="U7" i="9"/>
  <c r="U1024" i="1"/>
  <c r="AC7" i="9"/>
  <c r="AC1024" i="1"/>
  <c r="AK7" i="9"/>
  <c r="AK1024" i="1"/>
  <c r="AS7" i="9"/>
  <c r="AS1024" i="1"/>
  <c r="BA7" i="9"/>
  <c r="BA1024" i="1"/>
  <c r="BI7" i="9"/>
  <c r="BI1024" i="1"/>
  <c r="BQ7" i="9"/>
  <c r="BQ1024" i="1"/>
  <c r="BY7" i="9"/>
  <c r="BY1024" i="1"/>
  <c r="D8" i="9"/>
  <c r="D1025" i="1"/>
  <c r="L8" i="9"/>
  <c r="L1025" i="1"/>
  <c r="U8" i="9"/>
  <c r="U1025" i="1"/>
  <c r="AC8" i="9"/>
  <c r="AC1025" i="1"/>
  <c r="AK8" i="9"/>
  <c r="AK1025" i="1"/>
  <c r="AS8" i="9"/>
  <c r="AS1025" i="1"/>
  <c r="BA8" i="9"/>
  <c r="BA1025" i="1"/>
  <c r="BJ8" i="9"/>
  <c r="BJ1025" i="1"/>
  <c r="BR8" i="9"/>
  <c r="BR1025" i="1"/>
  <c r="BZ8" i="9"/>
  <c r="BZ1025" i="1"/>
  <c r="CA737" i="1"/>
  <c r="D739" i="1"/>
  <c r="BG739" i="1"/>
  <c r="BY739" i="1"/>
  <c r="AD868" i="1"/>
  <c r="AI910" i="1"/>
  <c r="BW893" i="1"/>
  <c r="BX893" i="1" s="1"/>
  <c r="BW838" i="1"/>
  <c r="BW841" i="1" s="1"/>
  <c r="BB841" i="1"/>
  <c r="AK868" i="1"/>
  <c r="AO851" i="1"/>
  <c r="BD851" i="1"/>
  <c r="AE855" i="1"/>
  <c r="AO855" i="1"/>
  <c r="AY856" i="1"/>
  <c r="AN857" i="1"/>
  <c r="AO857" i="1" s="1"/>
  <c r="BD857" i="1"/>
  <c r="Z858" i="1"/>
  <c r="AJ859" i="1"/>
  <c r="AT859" i="1"/>
  <c r="BX862" i="1"/>
  <c r="BX867" i="1"/>
  <c r="AA868" i="1"/>
  <c r="BS875" i="1"/>
  <c r="BQ890" i="1"/>
  <c r="M890" i="1"/>
  <c r="BI881" i="1"/>
  <c r="K1032" i="1"/>
  <c r="K926" i="1"/>
  <c r="S1032" i="1"/>
  <c r="S926" i="1"/>
  <c r="AC926" i="1"/>
  <c r="AC927" i="1" s="1"/>
  <c r="AC1032" i="1"/>
  <c r="BV1032" i="1"/>
  <c r="CG1032" i="1"/>
  <c r="CG890" i="1"/>
  <c r="Z886" i="1"/>
  <c r="Z712" i="1" s="1"/>
  <c r="AL75" i="9"/>
  <c r="BR910" i="1"/>
  <c r="AP910" i="1"/>
  <c r="Z895" i="1"/>
  <c r="Z896" i="1"/>
  <c r="AJ897" i="1"/>
  <c r="Z903" i="1"/>
  <c r="BN906" i="1"/>
  <c r="BN717" i="1" s="1"/>
  <c r="BN74" i="9" s="1"/>
  <c r="BQ927" i="1"/>
  <c r="W924" i="1"/>
  <c r="AM927" i="1"/>
  <c r="I939" i="1"/>
  <c r="X937" i="1"/>
  <c r="X933" i="1"/>
  <c r="X939" i="1"/>
  <c r="AW939" i="1"/>
  <c r="E930" i="1"/>
  <c r="E939" i="1" s="1"/>
  <c r="D933" i="1"/>
  <c r="M930" i="1"/>
  <c r="M933" i="1" s="1"/>
  <c r="L933" i="1"/>
  <c r="T933" i="1"/>
  <c r="AC930" i="1"/>
  <c r="AB933" i="1"/>
  <c r="BD937" i="1"/>
  <c r="Y948" i="1"/>
  <c r="BM948" i="1"/>
  <c r="AP99" i="9"/>
  <c r="BR989" i="1"/>
  <c r="AF99" i="9"/>
  <c r="AR1030" i="1"/>
  <c r="BM94" i="9"/>
  <c r="BD859" i="1"/>
  <c r="BN863" i="1"/>
  <c r="BX864" i="1"/>
  <c r="AO866" i="1"/>
  <c r="P65" i="9"/>
  <c r="AI65" i="9"/>
  <c r="AR65" i="9"/>
  <c r="BP65" i="9"/>
  <c r="Z871" i="1"/>
  <c r="AJ871" i="1"/>
  <c r="AE873" i="1"/>
  <c r="AY874" i="1"/>
  <c r="BX874" i="1"/>
  <c r="C890" i="1"/>
  <c r="AD890" i="1"/>
  <c r="BH890" i="1"/>
  <c r="BB1032" i="1"/>
  <c r="BB926" i="1"/>
  <c r="BN1032" i="1"/>
  <c r="BN926" i="1"/>
  <c r="BN927" i="1" s="1"/>
  <c r="BZ890" i="1"/>
  <c r="BZ1032" i="1"/>
  <c r="CI1032" i="1"/>
  <c r="CI890" i="1"/>
  <c r="BW75" i="9"/>
  <c r="C910" i="1"/>
  <c r="L910" i="1"/>
  <c r="AF910" i="1"/>
  <c r="AJ893" i="1"/>
  <c r="BG910" i="1"/>
  <c r="BD897" i="1"/>
  <c r="BS901" i="1"/>
  <c r="AE902" i="1"/>
  <c r="AE714" i="1" s="1"/>
  <c r="AE69" i="9" s="1"/>
  <c r="AY908" i="1"/>
  <c r="AE909" i="1"/>
  <c r="BD912" i="1"/>
  <c r="V938" i="1"/>
  <c r="AY938" i="1"/>
  <c r="K939" i="1"/>
  <c r="BJ937" i="1"/>
  <c r="J933" i="1"/>
  <c r="Z933" i="1"/>
  <c r="AE930" i="1"/>
  <c r="AA930" i="1"/>
  <c r="AI939" i="1"/>
  <c r="BA930" i="1"/>
  <c r="AZ933" i="1"/>
  <c r="BS99" i="9"/>
  <c r="BT989" i="1"/>
  <c r="BT934" i="1"/>
  <c r="AL99" i="9"/>
  <c r="AG99" i="9"/>
  <c r="AG1030" i="1"/>
  <c r="J997" i="1"/>
  <c r="O8" i="9"/>
  <c r="O1025" i="1"/>
  <c r="BC8" i="9"/>
  <c r="BC1025" i="1"/>
  <c r="BD108" i="9"/>
  <c r="BD1006" i="1"/>
  <c r="BD1017" i="1" s="1"/>
  <c r="BD1019" i="1" s="1"/>
  <c r="BO94" i="9"/>
  <c r="AO873" i="1"/>
  <c r="BN874" i="1"/>
  <c r="V890" i="1"/>
  <c r="Z880" i="1"/>
  <c r="AT880" i="1"/>
  <c r="AT890" i="1" s="1"/>
  <c r="AP890" i="1"/>
  <c r="P890" i="1"/>
  <c r="AI1032" i="1"/>
  <c r="BC1032" i="1"/>
  <c r="BC926" i="1"/>
  <c r="BO1032" i="1"/>
  <c r="CK890" i="1"/>
  <c r="BI888" i="1"/>
  <c r="BO75" i="9"/>
  <c r="BS889" i="1"/>
  <c r="D910" i="1"/>
  <c r="Z893" i="1"/>
  <c r="V910" i="1"/>
  <c r="AE894" i="1"/>
  <c r="AO895" i="1"/>
  <c r="AE896" i="1"/>
  <c r="Z904" i="1"/>
  <c r="BD905" i="1"/>
  <c r="BI906" i="1"/>
  <c r="AE907" i="1"/>
  <c r="BI908" i="1"/>
  <c r="BS908" i="1"/>
  <c r="AK910" i="1"/>
  <c r="Z912" i="1"/>
  <c r="AM938" i="1"/>
  <c r="BJ938" i="1"/>
  <c r="BV938" i="1"/>
  <c r="AS924" i="1"/>
  <c r="L939" i="1"/>
  <c r="AW937" i="1"/>
  <c r="K933" i="1"/>
  <c r="T939" i="1"/>
  <c r="AB939" i="1"/>
  <c r="AK930" i="1"/>
  <c r="AK939" i="1" s="1"/>
  <c r="AO930" i="1"/>
  <c r="AJ933" i="1"/>
  <c r="AS930" i="1"/>
  <c r="AS939" i="1" s="1"/>
  <c r="AR933" i="1"/>
  <c r="T970" i="1"/>
  <c r="BH990" i="1"/>
  <c r="AU99" i="9"/>
  <c r="AU1030" i="1"/>
  <c r="BE99" i="9"/>
  <c r="J989" i="1"/>
  <c r="BP989" i="1"/>
  <c r="BP990" i="1" s="1"/>
  <c r="K99" i="9"/>
  <c r="K1019" i="1"/>
  <c r="AN94" i="9"/>
  <c r="AW94" i="9"/>
  <c r="AW1017" i="1"/>
  <c r="BF94" i="9"/>
  <c r="BG10" i="9"/>
  <c r="AE898" i="1"/>
  <c r="BS899" i="1"/>
  <c r="AT903" i="1"/>
  <c r="Z908" i="1"/>
  <c r="E938" i="1"/>
  <c r="AC938" i="1"/>
  <c r="AW938" i="1"/>
  <c r="BC933" i="1"/>
  <c r="BO939" i="1"/>
  <c r="BO933" i="1"/>
  <c r="AQ937" i="1"/>
  <c r="BX933" i="1"/>
  <c r="BC939" i="1"/>
  <c r="O948" i="1"/>
  <c r="BC948" i="1"/>
  <c r="AI949" i="1"/>
  <c r="AI954" i="1" s="1"/>
  <c r="AI970" i="1"/>
  <c r="AI990" i="1" s="1"/>
  <c r="BV990" i="1"/>
  <c r="C99" i="9"/>
  <c r="C100" i="9" s="1"/>
  <c r="C1030" i="1"/>
  <c r="U990" i="1"/>
  <c r="Z1030" i="1" s="1"/>
  <c r="W99" i="9"/>
  <c r="AN950" i="1"/>
  <c r="AN997" i="1"/>
  <c r="BE108" i="9"/>
  <c r="BE1006" i="1"/>
  <c r="BE1017" i="1" s="1"/>
  <c r="BE1019" i="1" s="1"/>
  <c r="AI951" i="1"/>
  <c r="AV997" i="1"/>
  <c r="AV951" i="1"/>
  <c r="BF108" i="9"/>
  <c r="BF1006" i="1"/>
  <c r="BF1017" i="1" s="1"/>
  <c r="BN108" i="9"/>
  <c r="BN1006" i="1"/>
  <c r="BN1017" i="1" s="1"/>
  <c r="BX997" i="1"/>
  <c r="BW995" i="1"/>
  <c r="BW951" i="1" s="1"/>
  <c r="BX951" i="1"/>
  <c r="AI1015" i="1"/>
  <c r="CA1010" i="1"/>
  <c r="BH94" i="9"/>
  <c r="BJ95" i="9" s="1"/>
  <c r="AF94" i="9"/>
  <c r="AF95" i="9" s="1"/>
  <c r="AF1017" i="1"/>
  <c r="AF1019" i="1" s="1"/>
  <c r="AO94" i="9"/>
  <c r="AO95" i="9" s="1"/>
  <c r="AX94" i="9"/>
  <c r="G99" i="9"/>
  <c r="G1030" i="1"/>
  <c r="BA99" i="9"/>
  <c r="AP951" i="1"/>
  <c r="AP956" i="1" s="1"/>
  <c r="AY951" i="1"/>
  <c r="AY956" i="1" s="1"/>
  <c r="AX995" i="1"/>
  <c r="BO997" i="1"/>
  <c r="BO951" i="1"/>
  <c r="BO956" i="1" s="1"/>
  <c r="I108" i="9"/>
  <c r="I1006" i="1"/>
  <c r="I1017" i="1" s="1"/>
  <c r="I1019" i="1" s="1"/>
  <c r="R108" i="9"/>
  <c r="R1006" i="1"/>
  <c r="R1017" i="1" s="1"/>
  <c r="R1019" i="1" s="1"/>
  <c r="AA108" i="9"/>
  <c r="AA1006" i="1"/>
  <c r="AA1017" i="1" s="1"/>
  <c r="AA1019" i="1" s="1"/>
  <c r="BH108" i="9"/>
  <c r="BH1006" i="1"/>
  <c r="BH1017" i="1" s="1"/>
  <c r="Y1005" i="1"/>
  <c r="Y1006" i="1" s="1"/>
  <c r="Y1017" i="1" s="1"/>
  <c r="AU1006" i="1"/>
  <c r="AU1017" i="1" s="1"/>
  <c r="AU1019" i="1" s="1"/>
  <c r="J94" i="9"/>
  <c r="N95" i="9" s="1"/>
  <c r="O94" i="9"/>
  <c r="O95" i="9" s="1"/>
  <c r="X94" i="9"/>
  <c r="X1017" i="1"/>
  <c r="X1019" i="1" s="1"/>
  <c r="AG94" i="9"/>
  <c r="AP94" i="9"/>
  <c r="AU1025" i="1"/>
  <c r="AQ951" i="1"/>
  <c r="S108" i="9"/>
  <c r="S1006" i="1"/>
  <c r="S1017" i="1" s="1"/>
  <c r="S1019" i="1" s="1"/>
  <c r="BC94" i="9"/>
  <c r="BC95" i="9" s="1"/>
  <c r="G94" i="9"/>
  <c r="G1017" i="1"/>
  <c r="G1019" i="1" s="1"/>
  <c r="AX10" i="9"/>
  <c r="BF10" i="9"/>
  <c r="BN10" i="9"/>
  <c r="BV10" i="9"/>
  <c r="BH774" i="1"/>
  <c r="BH10" i="9" s="1"/>
  <c r="O796" i="1"/>
  <c r="O805" i="1" s="1"/>
  <c r="AD65" i="9"/>
  <c r="BR65" i="9"/>
  <c r="Y818" i="1"/>
  <c r="BM818" i="1"/>
  <c r="Y1032" i="1"/>
  <c r="BM1032" i="1"/>
  <c r="AI75" i="9"/>
  <c r="AI818" i="1"/>
  <c r="O838" i="1"/>
  <c r="O841" i="1" s="1"/>
  <c r="O844" i="1" s="1"/>
  <c r="O893" i="1"/>
  <c r="BC838" i="1"/>
  <c r="E841" i="1"/>
  <c r="M841" i="1"/>
  <c r="M844" i="1" s="1"/>
  <c r="V841" i="1"/>
  <c r="E868" i="1"/>
  <c r="M868" i="1"/>
  <c r="V868" i="1"/>
  <c r="BS855" i="1"/>
  <c r="AE860" i="1"/>
  <c r="AE429" i="1" s="1"/>
  <c r="BI864" i="1"/>
  <c r="D65" i="9"/>
  <c r="L65" i="9"/>
  <c r="AB65" i="9"/>
  <c r="AU65" i="9"/>
  <c r="BL65" i="9"/>
  <c r="BU65" i="9"/>
  <c r="AE872" i="1"/>
  <c r="BS873" i="1"/>
  <c r="I890" i="1"/>
  <c r="Q890" i="1"/>
  <c r="AR890" i="1"/>
  <c r="BK890" i="1"/>
  <c r="BD882" i="1"/>
  <c r="C1032" i="1"/>
  <c r="L1032" i="1"/>
  <c r="T1032" i="1"/>
  <c r="T926" i="1"/>
  <c r="T927" i="1" s="1"/>
  <c r="CA1032" i="1"/>
  <c r="CA890" i="1"/>
  <c r="AJ885" i="1"/>
  <c r="AJ713" i="1" s="1"/>
  <c r="AJ72" i="9" s="1"/>
  <c r="AE887" i="1"/>
  <c r="K75" i="9"/>
  <c r="U75" i="9"/>
  <c r="AD75" i="9"/>
  <c r="BF75" i="9"/>
  <c r="AH910" i="1"/>
  <c r="AQ910" i="1"/>
  <c r="BX897" i="1"/>
  <c r="AO898" i="1"/>
  <c r="AT899" i="1"/>
  <c r="BX904" i="1"/>
  <c r="AE905" i="1"/>
  <c r="BT910" i="1"/>
  <c r="AO912" i="1"/>
  <c r="U938" i="1"/>
  <c r="BM926" i="1"/>
  <c r="AJ924" i="1"/>
  <c r="AJ938" i="1" s="1"/>
  <c r="AF924" i="1"/>
  <c r="BU927" i="1"/>
  <c r="N937" i="1"/>
  <c r="AL939" i="1"/>
  <c r="BX937" i="1"/>
  <c r="AV930" i="1"/>
  <c r="AU933" i="1"/>
  <c r="F939" i="1"/>
  <c r="CA932" i="1"/>
  <c r="CC932" i="1" s="1"/>
  <c r="AN970" i="1"/>
  <c r="AN990" i="1" s="1"/>
  <c r="BX990" i="1"/>
  <c r="BH989" i="1"/>
  <c r="AO99" i="9"/>
  <c r="AO100" i="9" s="1"/>
  <c r="AO1030" i="1"/>
  <c r="O997" i="1"/>
  <c r="BC997" i="1"/>
  <c r="K109" i="9"/>
  <c r="BR1005" i="1"/>
  <c r="CC1001" i="1"/>
  <c r="C1006" i="1"/>
  <c r="C1017" i="1" s="1"/>
  <c r="C1019" i="1" s="1"/>
  <c r="T1006" i="1"/>
  <c r="BP1006" i="1"/>
  <c r="BP1017" i="1" s="1"/>
  <c r="Z95" i="9"/>
  <c r="BQ1032" i="1"/>
  <c r="G8" i="9"/>
  <c r="G1025" i="1"/>
  <c r="W8" i="9"/>
  <c r="W1025" i="1"/>
  <c r="AE8" i="9"/>
  <c r="AE1025" i="1"/>
  <c r="BK8" i="9"/>
  <c r="BK1025" i="1"/>
  <c r="BS8" i="9"/>
  <c r="BS1025" i="1"/>
  <c r="C10" i="9"/>
  <c r="K10" i="9"/>
  <c r="S10" i="9"/>
  <c r="AA10" i="9"/>
  <c r="AI10" i="9"/>
  <c r="AQ10" i="9"/>
  <c r="AY10" i="9"/>
  <c r="BO10" i="9"/>
  <c r="BW10" i="9"/>
  <c r="BV888" i="1"/>
  <c r="BV890" i="1" s="1"/>
  <c r="BR818" i="1"/>
  <c r="F841" i="1"/>
  <c r="N841" i="1"/>
  <c r="N844" i="1" s="1"/>
  <c r="BM838" i="1"/>
  <c r="F868" i="1"/>
  <c r="N868" i="1"/>
  <c r="BY868" i="1"/>
  <c r="AJ852" i="1"/>
  <c r="BI853" i="1"/>
  <c r="BD856" i="1"/>
  <c r="BN857" i="1"/>
  <c r="Z862" i="1"/>
  <c r="Z866" i="1"/>
  <c r="AV65" i="9"/>
  <c r="BV65" i="9"/>
  <c r="AJ873" i="1"/>
  <c r="AE874" i="1"/>
  <c r="R890" i="1"/>
  <c r="AA890" i="1"/>
  <c r="E890" i="1"/>
  <c r="Z881" i="1"/>
  <c r="M1032" i="1"/>
  <c r="M926" i="1"/>
  <c r="M927" i="1" s="1"/>
  <c r="U1032" i="1"/>
  <c r="BI886" i="1"/>
  <c r="BI712" i="1" s="1"/>
  <c r="BS887" i="1"/>
  <c r="C75" i="9"/>
  <c r="V75" i="9"/>
  <c r="Z889" i="1"/>
  <c r="AP75" i="9"/>
  <c r="CH75" i="9"/>
  <c r="F910" i="1"/>
  <c r="P910" i="1"/>
  <c r="X910" i="1"/>
  <c r="AR910" i="1"/>
  <c r="BC893" i="1"/>
  <c r="CH895" i="1"/>
  <c r="CH717" i="1" s="1"/>
  <c r="CH74" i="9" s="1"/>
  <c r="BS903" i="1"/>
  <c r="BS718" i="1" s="1"/>
  <c r="BS73" i="9" s="1"/>
  <c r="BS905" i="1"/>
  <c r="BD907" i="1"/>
  <c r="AY909" i="1"/>
  <c r="AG938" i="1"/>
  <c r="BN938" i="1"/>
  <c r="Y926" i="1"/>
  <c r="BG924" i="1"/>
  <c r="BO924" i="1"/>
  <c r="BV927" i="1"/>
  <c r="BW924" i="1"/>
  <c r="AM939" i="1"/>
  <c r="BG937" i="1"/>
  <c r="BP937" i="1"/>
  <c r="BI930" i="1"/>
  <c r="BE930" i="1"/>
  <c r="BD933" i="1"/>
  <c r="BM939" i="1"/>
  <c r="BV939" i="1"/>
  <c r="AS949" i="1"/>
  <c r="AS954" i="1" s="1"/>
  <c r="AH99" i="9"/>
  <c r="AX988" i="1"/>
  <c r="AX989" i="1" s="1"/>
  <c r="AQ99" i="9"/>
  <c r="AQ1019" i="1"/>
  <c r="BR995" i="1"/>
  <c r="BS951" i="1"/>
  <c r="BS956" i="1" s="1"/>
  <c r="AD109" i="9"/>
  <c r="AY997" i="1"/>
  <c r="BW1005" i="1"/>
  <c r="BP10" i="9"/>
  <c r="BX10" i="9"/>
  <c r="Y796" i="1"/>
  <c r="Y805" i="1" s="1"/>
  <c r="BW1032" i="1"/>
  <c r="BW926" i="1"/>
  <c r="Y910" i="1"/>
  <c r="BS854" i="1"/>
  <c r="BS119" i="1" s="1"/>
  <c r="AE856" i="1"/>
  <c r="BX858" i="1"/>
  <c r="BS861" i="1"/>
  <c r="AJ863" i="1"/>
  <c r="BS865" i="1"/>
  <c r="AJ867" i="1"/>
  <c r="AF868" i="1"/>
  <c r="AM65" i="9"/>
  <c r="AW65" i="9"/>
  <c r="BE65" i="9"/>
  <c r="BI869" i="1"/>
  <c r="BW65" i="9"/>
  <c r="AO871" i="1"/>
  <c r="AT873" i="1"/>
  <c r="BS876" i="1"/>
  <c r="BM880" i="1"/>
  <c r="BM75" i="9" s="1"/>
  <c r="AE882" i="1"/>
  <c r="AO882" i="1"/>
  <c r="N1032" i="1"/>
  <c r="N926" i="1"/>
  <c r="N927" i="1" s="1"/>
  <c r="V1032" i="1"/>
  <c r="Z884" i="1"/>
  <c r="V926" i="1"/>
  <c r="V927" i="1" s="1"/>
  <c r="BD884" i="1"/>
  <c r="AZ1032" i="1"/>
  <c r="BJ1032" i="1"/>
  <c r="BI885" i="1"/>
  <c r="BI713" i="1" s="1"/>
  <c r="BI72" i="9" s="1"/>
  <c r="BS886" i="1"/>
  <c r="BS712" i="1" s="1"/>
  <c r="AJ888" i="1"/>
  <c r="BU888" i="1"/>
  <c r="BU75" i="9" s="1"/>
  <c r="M75" i="9"/>
  <c r="W75" i="9"/>
  <c r="BJ75" i="9"/>
  <c r="BN889" i="1"/>
  <c r="G910" i="1"/>
  <c r="AE893" i="1"/>
  <c r="AT893" i="1"/>
  <c r="BE910" i="1"/>
  <c r="BI893" i="1"/>
  <c r="BD894" i="1"/>
  <c r="AT896" i="1"/>
  <c r="BN898" i="1"/>
  <c r="AE899" i="1"/>
  <c r="Z900" i="1"/>
  <c r="Z902" i="1"/>
  <c r="Z714" i="1" s="1"/>
  <c r="Z69" i="9" s="1"/>
  <c r="AY906" i="1"/>
  <c r="BN907" i="1"/>
  <c r="BX908" i="1"/>
  <c r="AU938" i="1"/>
  <c r="BD938" i="1"/>
  <c r="G927" i="1"/>
  <c r="H924" i="1"/>
  <c r="P927" i="1"/>
  <c r="AH938" i="1"/>
  <c r="AP927" i="1"/>
  <c r="AQ924" i="1"/>
  <c r="AD939" i="1"/>
  <c r="BJ939" i="1"/>
  <c r="BT939" i="1"/>
  <c r="H937" i="1"/>
  <c r="AG937" i="1"/>
  <c r="AP937" i="1"/>
  <c r="H939" i="1"/>
  <c r="BM933" i="1"/>
  <c r="BW930" i="1"/>
  <c r="BV933" i="1"/>
  <c r="AS948" i="1"/>
  <c r="AS953" i="1" s="1"/>
  <c r="AA99" i="9"/>
  <c r="H99" i="9"/>
  <c r="Z99" i="9"/>
  <c r="AI933" i="1"/>
  <c r="BB1019" i="1"/>
  <c r="P99" i="9"/>
  <c r="P1030" i="1"/>
  <c r="AR99" i="9"/>
  <c r="BJ99" i="9"/>
  <c r="BJ1019" i="1"/>
  <c r="BK108" i="9"/>
  <c r="BK109" i="9" s="1"/>
  <c r="BK1006" i="1"/>
  <c r="BT108" i="9"/>
  <c r="BT1006" i="1"/>
  <c r="BT1017" i="1" s="1"/>
  <c r="AO108" i="9"/>
  <c r="AO1006" i="1"/>
  <c r="AO1017" i="1" s="1"/>
  <c r="AO1019" i="1" s="1"/>
  <c r="AZ108" i="9"/>
  <c r="AZ1006" i="1"/>
  <c r="AZ1017" i="1" s="1"/>
  <c r="AZ1019" i="1" s="1"/>
  <c r="V1006" i="1"/>
  <c r="V1017" i="1" s="1"/>
  <c r="V1019" i="1" s="1"/>
  <c r="AL1006" i="1"/>
  <c r="AL1017" i="1" s="1"/>
  <c r="BD94" i="9"/>
  <c r="BD95" i="9" s="1"/>
  <c r="BV94" i="9"/>
  <c r="BV1017" i="1"/>
  <c r="AS65" i="9"/>
  <c r="AN880" i="1"/>
  <c r="AN818" i="1"/>
  <c r="AD838" i="1"/>
  <c r="BR838" i="1"/>
  <c r="Y838" i="1"/>
  <c r="BQ868" i="1"/>
  <c r="AT853" i="1"/>
  <c r="BD855" i="1"/>
  <c r="AY858" i="1"/>
  <c r="AT864" i="1"/>
  <c r="W65" i="9"/>
  <c r="AF65" i="9"/>
  <c r="BF65" i="9"/>
  <c r="BO65" i="9"/>
  <c r="BN875" i="1"/>
  <c r="AL890" i="1"/>
  <c r="BN881" i="1"/>
  <c r="F1032" i="1"/>
  <c r="AH1032" i="1"/>
  <c r="AQ1032" i="1"/>
  <c r="BA1032" i="1"/>
  <c r="BK1032" i="1"/>
  <c r="E75" i="9"/>
  <c r="N75" i="9"/>
  <c r="AG75" i="9"/>
  <c r="BA75" i="9"/>
  <c r="BK75" i="9"/>
  <c r="BX889" i="1"/>
  <c r="AY893" i="1"/>
  <c r="BA910" i="1"/>
  <c r="BD896" i="1"/>
  <c r="AY897" i="1"/>
  <c r="BI897" i="1"/>
  <c r="BN900" i="1"/>
  <c r="BX900" i="1"/>
  <c r="CH900" i="1"/>
  <c r="CH718" i="1" s="1"/>
  <c r="BX902" i="1"/>
  <c r="BX714" i="1" s="1"/>
  <c r="BX69" i="9" s="1"/>
  <c r="AY904" i="1"/>
  <c r="BS906" i="1"/>
  <c r="BX907" i="1"/>
  <c r="BX909" i="1"/>
  <c r="AU910" i="1"/>
  <c r="N938" i="1"/>
  <c r="AL927" i="1"/>
  <c r="AL938" i="1"/>
  <c r="BQ938" i="1"/>
  <c r="L926" i="1"/>
  <c r="L927" i="1" s="1"/>
  <c r="BK937" i="1"/>
  <c r="I937" i="1"/>
  <c r="AZ937" i="1"/>
  <c r="BI937" i="1"/>
  <c r="N933" i="1"/>
  <c r="BS933" i="1"/>
  <c r="H933" i="1"/>
  <c r="U930" i="1"/>
  <c r="U933" i="1" s="1"/>
  <c r="Q930" i="1"/>
  <c r="Q939" i="1" s="1"/>
  <c r="N939" i="1"/>
  <c r="BZ926" i="1"/>
  <c r="CI926" i="1"/>
  <c r="AS950" i="1"/>
  <c r="AS955" i="1" s="1"/>
  <c r="AX948" i="1"/>
  <c r="I99" i="9"/>
  <c r="AK99" i="9"/>
  <c r="AK1019" i="1"/>
  <c r="AK1030" i="1"/>
  <c r="AE951" i="1"/>
  <c r="BL108" i="9"/>
  <c r="BL1006" i="1"/>
  <c r="BL1017" i="1" s="1"/>
  <c r="BU108" i="9"/>
  <c r="BU1006" i="1"/>
  <c r="BU1017" i="1" s="1"/>
  <c r="F108" i="9"/>
  <c r="F109" i="9" s="1"/>
  <c r="F1006" i="1"/>
  <c r="F1017" i="1" s="1"/>
  <c r="N108" i="9"/>
  <c r="N1006" i="1"/>
  <c r="N1017" i="1" s="1"/>
  <c r="N1019" i="1" s="1"/>
  <c r="AG108" i="9"/>
  <c r="AG109" i="9" s="1"/>
  <c r="AG1006" i="1"/>
  <c r="AG1017" i="1" s="1"/>
  <c r="AG1019" i="1" s="1"/>
  <c r="AP108" i="9"/>
  <c r="AP1006" i="1"/>
  <c r="AP1017" i="1" s="1"/>
  <c r="BS997" i="1"/>
  <c r="AE94" i="9"/>
  <c r="AE1017" i="1"/>
  <c r="U95" i="9"/>
  <c r="AV94" i="9"/>
  <c r="BE94" i="9"/>
  <c r="BE95" i="9" s="1"/>
  <c r="BN94" i="9"/>
  <c r="BN95" i="9" s="1"/>
  <c r="P1017" i="1"/>
  <c r="P1019" i="1" s="1"/>
  <c r="CB926" i="1"/>
  <c r="CJ926" i="1"/>
  <c r="BW949" i="1"/>
  <c r="BY989" i="1"/>
  <c r="BY990" i="1" s="1"/>
  <c r="Q99" i="9"/>
  <c r="Q1030" i="1"/>
  <c r="D109" i="9"/>
  <c r="AJ109" i="9"/>
  <c r="BU1032" i="1"/>
  <c r="O1032" i="1"/>
  <c r="W1032" i="1"/>
  <c r="AM1032" i="1"/>
  <c r="BD886" i="1"/>
  <c r="BD712" i="1" s="1"/>
  <c r="G75" i="9"/>
  <c r="X75" i="9"/>
  <c r="AF75" i="9"/>
  <c r="AJ889" i="1"/>
  <c r="AW75" i="9"/>
  <c r="BE75" i="9"/>
  <c r="BM910" i="1"/>
  <c r="BU910" i="1"/>
  <c r="AO896" i="1"/>
  <c r="BI904" i="1"/>
  <c r="AY907" i="1"/>
  <c r="BE926" i="1"/>
  <c r="R927" i="1"/>
  <c r="AH927" i="1"/>
  <c r="Z939" i="1"/>
  <c r="D937" i="1"/>
  <c r="L937" i="1"/>
  <c r="BB933" i="1"/>
  <c r="BK939" i="1"/>
  <c r="AW951" i="1"/>
  <c r="BO949" i="1"/>
  <c r="BO954" i="1" s="1"/>
  <c r="Y989" i="1"/>
  <c r="T1015" i="1"/>
  <c r="S95" i="9"/>
  <c r="K1017" i="1"/>
  <c r="AP1032" i="1"/>
  <c r="BI106" i="13"/>
  <c r="U1017" i="1"/>
  <c r="AD1017" i="1"/>
  <c r="AB1030" i="1"/>
  <c r="BS10" i="9"/>
  <c r="CA10" i="9"/>
  <c r="AI851" i="1"/>
  <c r="AI868" i="1" s="1"/>
  <c r="BW851" i="1"/>
  <c r="E65" i="9"/>
  <c r="M65" i="9"/>
  <c r="U65" i="9"/>
  <c r="AC65" i="9"/>
  <c r="AK65" i="9"/>
  <c r="BA65" i="9"/>
  <c r="BQ65" i="9"/>
  <c r="BY65" i="9"/>
  <c r="BS874" i="1"/>
  <c r="BJ890" i="1"/>
  <c r="BD885" i="1"/>
  <c r="BD713" i="1" s="1"/>
  <c r="BD72" i="9" s="1"/>
  <c r="I75" i="9"/>
  <c r="Q75" i="9"/>
  <c r="AH75" i="9"/>
  <c r="AQ75" i="9"/>
  <c r="BG75" i="9"/>
  <c r="BY75" i="9"/>
  <c r="I910" i="1"/>
  <c r="Q910" i="1"/>
  <c r="AG910" i="1"/>
  <c r="CC895" i="1"/>
  <c r="BI898" i="1"/>
  <c r="AO901" i="1"/>
  <c r="BS909" i="1"/>
  <c r="S933" i="1"/>
  <c r="AL933" i="1"/>
  <c r="O950" i="1"/>
  <c r="AX960" i="1"/>
  <c r="BO970" i="1"/>
  <c r="BO990" i="1" s="1"/>
  <c r="BY997" i="1"/>
  <c r="BY951" i="1"/>
  <c r="H1006" i="1"/>
  <c r="H1017" i="1" s="1"/>
  <c r="H1019" i="1" s="1"/>
  <c r="AJ1006" i="1"/>
  <c r="AJ1017" i="1" s="1"/>
  <c r="BB1006" i="1"/>
  <c r="BB1017" i="1" s="1"/>
  <c r="AD95" i="9"/>
  <c r="BK94" i="9"/>
  <c r="BK1017" i="1"/>
  <c r="BS94" i="9"/>
  <c r="M1017" i="1"/>
  <c r="BG1017" i="1"/>
  <c r="BG1019" i="1" s="1"/>
  <c r="AJ1019" i="1"/>
  <c r="F65" i="9"/>
  <c r="N65" i="9"/>
  <c r="V65" i="9"/>
  <c r="AL65" i="9"/>
  <c r="BB65" i="9"/>
  <c r="BJ65" i="9"/>
  <c r="BB890" i="1"/>
  <c r="CH890" i="1"/>
  <c r="AJ882" i="1"/>
  <c r="BN888" i="1"/>
  <c r="R75" i="9"/>
  <c r="AA75" i="9"/>
  <c r="BI889" i="1"/>
  <c r="BQ75" i="9"/>
  <c r="CC900" i="1"/>
  <c r="CC718" i="1" s="1"/>
  <c r="AY903" i="1"/>
  <c r="AO906" i="1"/>
  <c r="S924" i="1"/>
  <c r="AA924" i="1"/>
  <c r="AI924" i="1"/>
  <c r="W926" i="1"/>
  <c r="BN939" i="1"/>
  <c r="AD933" i="1"/>
  <c r="BR970" i="1"/>
  <c r="BR990" i="1" s="1"/>
  <c r="AS951" i="1"/>
  <c r="AS956" i="1" s="1"/>
  <c r="BA997" i="1"/>
  <c r="BA951" i="1"/>
  <c r="BI997" i="1"/>
  <c r="BI951" i="1"/>
  <c r="BQ997" i="1"/>
  <c r="BQ951" i="1"/>
  <c r="BQ956" i="1" s="1"/>
  <c r="P109" i="9"/>
  <c r="X109" i="9"/>
  <c r="AF109" i="9"/>
  <c r="AB1006" i="1"/>
  <c r="AB1017" i="1" s="1"/>
  <c r="AT1006" i="1"/>
  <c r="AT1017" i="1" s="1"/>
  <c r="F95" i="9"/>
  <c r="W94" i="9"/>
  <c r="W1017" i="1"/>
  <c r="W1019" i="1" s="1"/>
  <c r="AM94" i="9"/>
  <c r="AM1017" i="1"/>
  <c r="AM1019" i="1" s="1"/>
  <c r="AU94" i="9"/>
  <c r="E1017" i="1"/>
  <c r="E1019" i="1" s="1"/>
  <c r="AB1019" i="1"/>
  <c r="L4" i="9"/>
  <c r="AJ4" i="9"/>
  <c r="AZ4" i="9"/>
  <c r="K113" i="10"/>
  <c r="K309" i="10"/>
  <c r="K192" i="10"/>
  <c r="K266" i="10"/>
  <c r="BN106" i="13"/>
  <c r="D75" i="9"/>
  <c r="L75" i="9"/>
  <c r="AB75" i="9"/>
  <c r="AR75" i="9"/>
  <c r="AZ75" i="9"/>
  <c r="E109" i="9"/>
  <c r="D95" i="9"/>
  <c r="C3" i="13"/>
  <c r="K52" i="10"/>
  <c r="BS106" i="13"/>
  <c r="E4" i="9"/>
  <c r="M4" i="9"/>
  <c r="U4" i="9"/>
  <c r="AC4" i="9"/>
  <c r="AK4" i="9"/>
  <c r="AS4" i="9"/>
  <c r="BA4" i="9"/>
  <c r="BI4" i="9"/>
  <c r="K322" i="10"/>
  <c r="AJ303" i="11"/>
  <c r="AJ193" i="11"/>
  <c r="F4" i="11"/>
  <c r="E3" i="11"/>
  <c r="AE5" i="11"/>
  <c r="AA5" i="11"/>
  <c r="AB5" i="11" s="1"/>
  <c r="AC5" i="11" s="1"/>
  <c r="AD5" i="11" s="1"/>
  <c r="O137" i="11"/>
  <c r="O115" i="11"/>
  <c r="AD18" i="11"/>
  <c r="AD7" i="11"/>
  <c r="AI7" i="11"/>
  <c r="Y10" i="11"/>
  <c r="T10" i="11"/>
  <c r="V11" i="11"/>
  <c r="Q11" i="11"/>
  <c r="C68" i="11"/>
  <c r="C70" i="11" s="1"/>
  <c r="C103" i="11"/>
  <c r="C109" i="11" s="1"/>
  <c r="C160" i="11" s="1"/>
  <c r="L68" i="11"/>
  <c r="L70" i="11" s="1"/>
  <c r="L103" i="11"/>
  <c r="L109" i="11" s="1"/>
  <c r="L160" i="11" s="1"/>
  <c r="O157" i="11"/>
  <c r="O48" i="11" s="1"/>
  <c r="O47" i="11"/>
  <c r="AB95" i="11"/>
  <c r="AB101" i="11" s="1"/>
  <c r="AB65" i="11"/>
  <c r="AK95" i="11"/>
  <c r="AK101" i="11" s="1"/>
  <c r="AK65" i="11"/>
  <c r="L45" i="11"/>
  <c r="L411" i="11" s="1"/>
  <c r="L152" i="11"/>
  <c r="L46" i="11" s="1"/>
  <c r="AF152" i="11"/>
  <c r="AF45" i="11"/>
  <c r="AF411" i="11" s="1"/>
  <c r="Z158" i="11"/>
  <c r="D152" i="11"/>
  <c r="D46" i="11" s="1"/>
  <c r="M152" i="11"/>
  <c r="M46" i="11" s="1"/>
  <c r="AG152" i="11"/>
  <c r="AG46" i="11" s="1"/>
  <c r="AG45" i="11"/>
  <c r="AG411" i="11" s="1"/>
  <c r="L40" i="11"/>
  <c r="E152" i="11"/>
  <c r="E46" i="11" s="1"/>
  <c r="N152" i="11"/>
  <c r="N46" i="11" s="1"/>
  <c r="X152" i="11"/>
  <c r="X45" i="11"/>
  <c r="X411" i="11" s="1"/>
  <c r="S65" i="11"/>
  <c r="Y152" i="11"/>
  <c r="Y45" i="11"/>
  <c r="Y411" i="11" s="1"/>
  <c r="AA95" i="11"/>
  <c r="AA101" i="11" s="1"/>
  <c r="AA65" i="11"/>
  <c r="AJ95" i="11"/>
  <c r="AJ101" i="11" s="1"/>
  <c r="AJ65" i="11"/>
  <c r="J115" i="11"/>
  <c r="J137" i="11"/>
  <c r="E404" i="11"/>
  <c r="E342" i="11"/>
  <c r="E341" i="11"/>
  <c r="E340" i="11"/>
  <c r="E339" i="11"/>
  <c r="E344" i="11" s="1"/>
  <c r="E45" i="11"/>
  <c r="E411" i="11" s="1"/>
  <c r="E141" i="11"/>
  <c r="E40" i="11" s="1"/>
  <c r="AE342" i="11"/>
  <c r="AE341" i="11"/>
  <c r="AE340" i="11"/>
  <c r="AE339" i="11"/>
  <c r="AE404" i="11"/>
  <c r="AE141" i="11"/>
  <c r="AE40" i="11" s="1"/>
  <c r="AE45" i="11"/>
  <c r="AE411" i="11" s="1"/>
  <c r="AE49" i="11"/>
  <c r="AE39" i="11"/>
  <c r="AE41" i="11" s="1"/>
  <c r="T404" i="11"/>
  <c r="T18" i="11"/>
  <c r="T11" i="11" s="1"/>
  <c r="T7" i="11"/>
  <c r="Y7" i="11"/>
  <c r="AI8" i="11"/>
  <c r="AD8" i="11"/>
  <c r="F11" i="11"/>
  <c r="E11" i="11"/>
  <c r="V68" i="11"/>
  <c r="V70" i="11" s="1"/>
  <c r="V103" i="11"/>
  <c r="V109" i="11" s="1"/>
  <c r="V160" i="11" s="1"/>
  <c r="AD88" i="11"/>
  <c r="AD93" i="11" s="1"/>
  <c r="AL68" i="11"/>
  <c r="AL70" i="11" s="1"/>
  <c r="AL103" i="11"/>
  <c r="AL109" i="11" s="1"/>
  <c r="AL160" i="11" s="1"/>
  <c r="T157" i="11"/>
  <c r="T48" i="11" s="1"/>
  <c r="Y181" i="11"/>
  <c r="AG297" i="11"/>
  <c r="AG163" i="11"/>
  <c r="AG11" i="11"/>
  <c r="AL11" i="11"/>
  <c r="AL88" i="11"/>
  <c r="AL93" i="11" s="1"/>
  <c r="X193" i="11"/>
  <c r="X303" i="11"/>
  <c r="X331" i="11" s="1"/>
  <c r="J18" i="11"/>
  <c r="O11" i="11" s="1"/>
  <c r="AF42" i="11"/>
  <c r="AD157" i="11"/>
  <c r="AD48" i="11" s="1"/>
  <c r="I103" i="11"/>
  <c r="I109" i="11" s="1"/>
  <c r="I160" i="11" s="1"/>
  <c r="I68" i="11"/>
  <c r="I70" i="11" s="1"/>
  <c r="J175" i="11"/>
  <c r="AH40" i="11"/>
  <c r="H147" i="11"/>
  <c r="H50" i="11" s="1"/>
  <c r="H49" i="11"/>
  <c r="AJ147" i="11"/>
  <c r="AJ50" i="11" s="1"/>
  <c r="AJ49" i="11"/>
  <c r="P181" i="11"/>
  <c r="O303" i="11"/>
  <c r="O193" i="11"/>
  <c r="AJ42" i="11"/>
  <c r="T64" i="11"/>
  <c r="T95" i="11" s="1"/>
  <c r="T101" i="11" s="1"/>
  <c r="K404" i="11"/>
  <c r="K341" i="11"/>
  <c r="K346" i="11" s="1"/>
  <c r="K339" i="11"/>
  <c r="K340" i="11"/>
  <c r="K342" i="11"/>
  <c r="K40" i="11"/>
  <c r="K47" i="11"/>
  <c r="K49" i="11"/>
  <c r="K45" i="11"/>
  <c r="K411" i="11" s="1"/>
  <c r="S342" i="11"/>
  <c r="S341" i="11"/>
  <c r="S340" i="11"/>
  <c r="S339" i="11"/>
  <c r="S404" i="11"/>
  <c r="S141" i="11"/>
  <c r="S158" i="11" s="1"/>
  <c r="S39" i="11"/>
  <c r="S41" i="11" s="1"/>
  <c r="S47" i="11"/>
  <c r="S40" i="11"/>
  <c r="S45" i="11"/>
  <c r="S411" i="11" s="1"/>
  <c r="AA404" i="11"/>
  <c r="AA341" i="11"/>
  <c r="AA340" i="11"/>
  <c r="AA345" i="11" s="1"/>
  <c r="AA141" i="11"/>
  <c r="AA47" i="11"/>
  <c r="AA39" i="11"/>
  <c r="AA41" i="11" s="1"/>
  <c r="AJ404" i="11"/>
  <c r="AJ342" i="11"/>
  <c r="AJ341" i="11"/>
  <c r="AJ340" i="11"/>
  <c r="AJ345" i="11" s="1"/>
  <c r="AJ339" i="11"/>
  <c r="AI40" i="11"/>
  <c r="I147" i="11"/>
  <c r="I50" i="11" s="1"/>
  <c r="AK49" i="11"/>
  <c r="AK147" i="11"/>
  <c r="AK50" i="11" s="1"/>
  <c r="T147" i="11"/>
  <c r="D211" i="11"/>
  <c r="D212" i="11"/>
  <c r="U11" i="11"/>
  <c r="Z11" i="11"/>
  <c r="H88" i="11"/>
  <c r="H93" i="11" s="1"/>
  <c r="H65" i="11"/>
  <c r="P103" i="11"/>
  <c r="P109" i="11" s="1"/>
  <c r="P160" i="11" s="1"/>
  <c r="P68" i="11"/>
  <c r="P70" i="11" s="1"/>
  <c r="AL347" i="11"/>
  <c r="AC49" i="11"/>
  <c r="AC147" i="11"/>
  <c r="AC50" i="11" s="1"/>
  <c r="S152" i="11"/>
  <c r="S46" i="11" s="1"/>
  <c r="AL152" i="11"/>
  <c r="AL46" i="11" s="1"/>
  <c r="AB157" i="11"/>
  <c r="AB48" i="11" s="1"/>
  <c r="AB47" i="11"/>
  <c r="AJ211" i="11"/>
  <c r="P212" i="11"/>
  <c r="P211" i="11"/>
  <c r="AI306" i="11"/>
  <c r="AI317" i="11" s="1"/>
  <c r="AI267" i="11"/>
  <c r="O267" i="11"/>
  <c r="O308" i="11"/>
  <c r="T414" i="11"/>
  <c r="D3" i="11"/>
  <c r="D449" i="11" s="1"/>
  <c r="G5" i="11"/>
  <c r="H5" i="11" s="1"/>
  <c r="I5" i="11" s="1"/>
  <c r="J5" i="11" s="1"/>
  <c r="AB49" i="11"/>
  <c r="Q65" i="11"/>
  <c r="D404" i="11"/>
  <c r="D342" i="11"/>
  <c r="D341" i="11"/>
  <c r="D346" i="11" s="1"/>
  <c r="D340" i="11"/>
  <c r="D339" i="11"/>
  <c r="D141" i="11"/>
  <c r="D49" i="11"/>
  <c r="D39" i="11"/>
  <c r="D41" i="11" s="1"/>
  <c r="D40" i="11"/>
  <c r="M404" i="11"/>
  <c r="M342" i="11"/>
  <c r="M45" i="11"/>
  <c r="M411" i="11" s="1"/>
  <c r="M141" i="11"/>
  <c r="U404" i="11"/>
  <c r="U342" i="11"/>
  <c r="U341" i="11"/>
  <c r="U340" i="11"/>
  <c r="U345" i="11" s="1"/>
  <c r="U339" i="11"/>
  <c r="U45" i="11"/>
  <c r="U411" i="11" s="1"/>
  <c r="U141" i="11"/>
  <c r="AC404" i="11"/>
  <c r="AC45" i="11"/>
  <c r="AC411" i="11" s="1"/>
  <c r="AC141" i="11"/>
  <c r="AC158" i="11" s="1"/>
  <c r="K141" i="11"/>
  <c r="K158" i="11" s="1"/>
  <c r="AE50" i="11"/>
  <c r="AC47" i="11"/>
  <c r="AC157" i="11"/>
  <c r="AC48" i="11" s="1"/>
  <c r="O8" i="11"/>
  <c r="AI10" i="11"/>
  <c r="AJ11" i="11"/>
  <c r="AD28" i="11"/>
  <c r="AD31" i="11" s="1"/>
  <c r="J28" i="11"/>
  <c r="J31" i="11" s="1"/>
  <c r="AD413" i="11"/>
  <c r="AD133" i="11"/>
  <c r="E65" i="11"/>
  <c r="E88" i="11"/>
  <c r="E93" i="11" s="1"/>
  <c r="N65" i="11"/>
  <c r="N88" i="11"/>
  <c r="N93" i="11" s="1"/>
  <c r="W65" i="11"/>
  <c r="W88" i="11"/>
  <c r="W93" i="11" s="1"/>
  <c r="AE103" i="11"/>
  <c r="AE109" i="11" s="1"/>
  <c r="AE160" i="11" s="1"/>
  <c r="AE68" i="11"/>
  <c r="AE70" i="11" s="1"/>
  <c r="J147" i="11"/>
  <c r="Y153" i="11"/>
  <c r="Y64" i="11"/>
  <c r="AE88" i="11"/>
  <c r="AE93" i="11" s="1"/>
  <c r="M95" i="11"/>
  <c r="M101" i="11" s="1"/>
  <c r="C50" i="11"/>
  <c r="L147" i="11"/>
  <c r="L50" i="11" s="1"/>
  <c r="L49" i="11"/>
  <c r="F152" i="11"/>
  <c r="F46" i="11" s="1"/>
  <c r="AI152" i="11"/>
  <c r="AI46" i="11" s="1"/>
  <c r="C157" i="11"/>
  <c r="C48" i="11" s="1"/>
  <c r="L47" i="11"/>
  <c r="U47" i="11"/>
  <c r="AL157" i="11"/>
  <c r="AL48" i="11" s="1"/>
  <c r="AL47" i="11"/>
  <c r="L181" i="11"/>
  <c r="AF181" i="11"/>
  <c r="J307" i="11"/>
  <c r="T308" i="11"/>
  <c r="T317" i="11" s="1"/>
  <c r="T267" i="11"/>
  <c r="R42" i="11"/>
  <c r="F65" i="11"/>
  <c r="F88" i="11"/>
  <c r="F93" i="11" s="1"/>
  <c r="O65" i="11"/>
  <c r="O88" i="11"/>
  <c r="O93" i="11" s="1"/>
  <c r="X88" i="11"/>
  <c r="X93" i="11" s="1"/>
  <c r="X65" i="11"/>
  <c r="AF88" i="11"/>
  <c r="AF93" i="11" s="1"/>
  <c r="AF65" i="11"/>
  <c r="O143" i="11"/>
  <c r="O64" i="11"/>
  <c r="O95" i="11" s="1"/>
  <c r="O101" i="11" s="1"/>
  <c r="U75" i="11"/>
  <c r="U72" i="11"/>
  <c r="G68" i="11"/>
  <c r="G70" i="11" s="1"/>
  <c r="G103" i="11"/>
  <c r="G109" i="11" s="1"/>
  <c r="G160" i="11" s="1"/>
  <c r="Q141" i="11"/>
  <c r="D50" i="11"/>
  <c r="G152" i="11"/>
  <c r="G46" i="11" s="1"/>
  <c r="AA45" i="11"/>
  <c r="AA411" i="11" s="1"/>
  <c r="AJ45" i="11"/>
  <c r="AJ411" i="11" s="1"/>
  <c r="H152" i="11"/>
  <c r="H46" i="11" s="1"/>
  <c r="D47" i="11"/>
  <c r="D157" i="11"/>
  <c r="D48" i="11" s="1"/>
  <c r="M47" i="11"/>
  <c r="M157" i="11"/>
  <c r="M48" i="11" s="1"/>
  <c r="AE47" i="11"/>
  <c r="AB175" i="11"/>
  <c r="L11" i="11"/>
  <c r="AB11" i="11"/>
  <c r="AG65" i="11"/>
  <c r="AG88" i="11"/>
  <c r="AG93" i="11" s="1"/>
  <c r="J152" i="11"/>
  <c r="P141" i="11"/>
  <c r="P39" i="11"/>
  <c r="P41" i="11" s="1"/>
  <c r="AD50" i="11"/>
  <c r="R152" i="11"/>
  <c r="E47" i="11"/>
  <c r="E157" i="11"/>
  <c r="E48" i="11" s="1"/>
  <c r="N47" i="11"/>
  <c r="N157" i="11"/>
  <c r="N48" i="11" s="1"/>
  <c r="V157" i="11"/>
  <c r="V48" i="11" s="1"/>
  <c r="X181" i="11"/>
  <c r="T152" i="11"/>
  <c r="T46" i="11" s="1"/>
  <c r="T45" i="11"/>
  <c r="T411" i="11" s="1"/>
  <c r="C342" i="11"/>
  <c r="C341" i="11"/>
  <c r="C340" i="11"/>
  <c r="C339" i="11"/>
  <c r="C404" i="11"/>
  <c r="C45" i="11"/>
  <c r="C411" i="11" s="1"/>
  <c r="C47" i="11"/>
  <c r="C141" i="11"/>
  <c r="C49" i="11"/>
  <c r="L404" i="11"/>
  <c r="L342" i="11"/>
  <c r="L341" i="11"/>
  <c r="T340" i="11"/>
  <c r="AB404" i="11"/>
  <c r="AB141" i="11"/>
  <c r="AK404" i="11"/>
  <c r="AK342" i="11"/>
  <c r="AK341" i="11"/>
  <c r="AK340" i="11"/>
  <c r="AK339" i="11"/>
  <c r="AK45" i="11"/>
  <c r="AK411" i="11" s="1"/>
  <c r="AK141" i="11"/>
  <c r="H141" i="11"/>
  <c r="AB39" i="11"/>
  <c r="AB41" i="11" s="1"/>
  <c r="Q147" i="11"/>
  <c r="Q50" i="11" s="1"/>
  <c r="U152" i="11"/>
  <c r="U46" i="11" s="1"/>
  <c r="AE152" i="11"/>
  <c r="AE46" i="11" s="1"/>
  <c r="AE157" i="11"/>
  <c r="AE48" i="11" s="1"/>
  <c r="F212" i="11"/>
  <c r="F211" i="11"/>
  <c r="U212" i="11"/>
  <c r="U211" i="11"/>
  <c r="J404" i="11"/>
  <c r="R45" i="11"/>
  <c r="R411" i="11" s="1"/>
  <c r="J413" i="11"/>
  <c r="J58" i="11"/>
  <c r="J34" i="11"/>
  <c r="R65" i="11"/>
  <c r="Z65" i="11"/>
  <c r="Y147" i="11"/>
  <c r="O152" i="11"/>
  <c r="O46" i="11" s="1"/>
  <c r="O171" i="11"/>
  <c r="G404" i="11"/>
  <c r="G141" i="11"/>
  <c r="O341" i="11"/>
  <c r="O339" i="11"/>
  <c r="O340" i="11"/>
  <c r="O342" i="11"/>
  <c r="O141" i="11"/>
  <c r="W404" i="11"/>
  <c r="W341" i="11"/>
  <c r="W141" i="11"/>
  <c r="W339" i="11"/>
  <c r="AC39" i="11"/>
  <c r="AC41" i="11" s="1"/>
  <c r="AK39" i="11"/>
  <c r="AK41" i="11" s="1"/>
  <c r="M49" i="11"/>
  <c r="U49" i="11"/>
  <c r="AJ181" i="11"/>
  <c r="F414" i="11"/>
  <c r="Z414" i="11"/>
  <c r="AH414" i="11"/>
  <c r="G281" i="11"/>
  <c r="AI278" i="11"/>
  <c r="C297" i="11"/>
  <c r="P414" i="11"/>
  <c r="P421" i="11"/>
  <c r="AD358" i="11"/>
  <c r="AD369" i="11" s="1"/>
  <c r="AD208" i="11"/>
  <c r="AD210" i="11" s="1"/>
  <c r="AD340" i="11"/>
  <c r="H399" i="11"/>
  <c r="H407" i="11"/>
  <c r="AA399" i="11"/>
  <c r="AK407" i="11"/>
  <c r="AK399" i="11"/>
  <c r="AD64" i="11"/>
  <c r="AD95" i="11" s="1"/>
  <c r="AD101" i="11" s="1"/>
  <c r="AG404" i="11"/>
  <c r="AG342" i="11"/>
  <c r="M39" i="11"/>
  <c r="M41" i="11" s="1"/>
  <c r="U39" i="11"/>
  <c r="U41" i="11" s="1"/>
  <c r="E49" i="11"/>
  <c r="AG157" i="11"/>
  <c r="AG48" i="11" s="1"/>
  <c r="G414" i="11"/>
  <c r="R414" i="11"/>
  <c r="AI414" i="11"/>
  <c r="Z212" i="11"/>
  <c r="AJ281" i="11"/>
  <c r="AF303" i="11"/>
  <c r="AF193" i="11"/>
  <c r="AK414" i="11"/>
  <c r="AI340" i="11"/>
  <c r="I399" i="11"/>
  <c r="S399" i="11"/>
  <c r="T413" i="11"/>
  <c r="T58" i="11"/>
  <c r="J157" i="11"/>
  <c r="I404" i="11"/>
  <c r="I40" i="11"/>
  <c r="Q342" i="11"/>
  <c r="Q341" i="11"/>
  <c r="Q340" i="11"/>
  <c r="Q339" i="11"/>
  <c r="Q404" i="11"/>
  <c r="Q40" i="11"/>
  <c r="AH404" i="11"/>
  <c r="AH342" i="11"/>
  <c r="E39" i="11"/>
  <c r="E41" i="11" s="1"/>
  <c r="Q157" i="11"/>
  <c r="Q48" i="11" s="1"/>
  <c r="Z157" i="11"/>
  <c r="Z48" i="11" s="1"/>
  <c r="AH157" i="11"/>
  <c r="AH48" i="11" s="1"/>
  <c r="Z181" i="11"/>
  <c r="I414" i="11"/>
  <c r="S414" i="11"/>
  <c r="AD247" i="11"/>
  <c r="AD253" i="11" s="1"/>
  <c r="AD288" i="11"/>
  <c r="AD297" i="11" s="1"/>
  <c r="K267" i="11"/>
  <c r="J266" i="11"/>
  <c r="J316" i="11" s="1"/>
  <c r="J198" i="11" s="1"/>
  <c r="J414" i="11" s="1"/>
  <c r="K316" i="11"/>
  <c r="K198" i="11" s="1"/>
  <c r="AB281" i="11"/>
  <c r="AK281" i="11"/>
  <c r="K399" i="11"/>
  <c r="Y404" i="11"/>
  <c r="AG49" i="11"/>
  <c r="Y413" i="11"/>
  <c r="AD152" i="11"/>
  <c r="AD46" i="11" s="1"/>
  <c r="O175" i="11"/>
  <c r="J133" i="11"/>
  <c r="J47" i="11" s="1"/>
  <c r="R342" i="11"/>
  <c r="R341" i="11"/>
  <c r="R340" i="11"/>
  <c r="R339" i="11"/>
  <c r="R404" i="11"/>
  <c r="Z404" i="11"/>
  <c r="Z342" i="11"/>
  <c r="Z347" i="11" s="1"/>
  <c r="Z340" i="11"/>
  <c r="Z339" i="11"/>
  <c r="Z341" i="11"/>
  <c r="AI341" i="11"/>
  <c r="AI342" i="11"/>
  <c r="AG141" i="11"/>
  <c r="AG147" i="11"/>
  <c r="AG50" i="11" s="1"/>
  <c r="AK152" i="11"/>
  <c r="AK46" i="11" s="1"/>
  <c r="I157" i="11"/>
  <c r="I48" i="11" s="1"/>
  <c r="R157" i="11"/>
  <c r="R48" i="11" s="1"/>
  <c r="AA157" i="11"/>
  <c r="AA48" i="11" s="1"/>
  <c r="AI157" i="11"/>
  <c r="AI48" i="11" s="1"/>
  <c r="AA181" i="11"/>
  <c r="AD306" i="11"/>
  <c r="AD317" i="11" s="1"/>
  <c r="AD267" i="11"/>
  <c r="J278" i="11"/>
  <c r="U317" i="11"/>
  <c r="P345" i="11"/>
  <c r="M317" i="11"/>
  <c r="P419" i="11" s="1"/>
  <c r="S317" i="11"/>
  <c r="AK317" i="11"/>
  <c r="AB414" i="11"/>
  <c r="I210" i="11"/>
  <c r="AI247" i="11"/>
  <c r="AI253" i="11" s="1"/>
  <c r="AI288" i="11"/>
  <c r="O247" i="11"/>
  <c r="O253" i="11" s="1"/>
  <c r="K281" i="11"/>
  <c r="U281" i="11"/>
  <c r="AE281" i="11"/>
  <c r="S297" i="11"/>
  <c r="AB297" i="11"/>
  <c r="AK297" i="11"/>
  <c r="E317" i="11"/>
  <c r="AF317" i="11"/>
  <c r="AJ419" i="11" s="1"/>
  <c r="C328" i="11"/>
  <c r="AE328" i="11"/>
  <c r="K328" i="11"/>
  <c r="F404" i="11"/>
  <c r="F342" i="11"/>
  <c r="F341" i="11"/>
  <c r="F340" i="11"/>
  <c r="F339" i="11"/>
  <c r="F344" i="11" s="1"/>
  <c r="N404" i="11"/>
  <c r="N341" i="11"/>
  <c r="N339" i="11"/>
  <c r="N340" i="11"/>
  <c r="V340" i="11"/>
  <c r="V339" i="11"/>
  <c r="V344" i="11" s="1"/>
  <c r="V404" i="11"/>
  <c r="AL404" i="11"/>
  <c r="AL341" i="11"/>
  <c r="AL339" i="11"/>
  <c r="AL340" i="11"/>
  <c r="C414" i="11"/>
  <c r="AC414" i="11"/>
  <c r="J247" i="11"/>
  <c r="J253" i="11" s="1"/>
  <c r="J289" i="11"/>
  <c r="AL281" i="11"/>
  <c r="O278" i="11"/>
  <c r="O321" i="11"/>
  <c r="D281" i="11"/>
  <c r="D284" i="11" s="1"/>
  <c r="E283" i="11" s="1"/>
  <c r="L281" i="11"/>
  <c r="K297" i="11"/>
  <c r="T297" i="11"/>
  <c r="AC297" i="11"/>
  <c r="AL297" i="11"/>
  <c r="N193" i="11"/>
  <c r="N303" i="11"/>
  <c r="H414" i="11"/>
  <c r="AF328" i="11"/>
  <c r="F141" i="11"/>
  <c r="N141" i="11"/>
  <c r="V141" i="11"/>
  <c r="AL141" i="11"/>
  <c r="V414" i="11"/>
  <c r="AD414" i="11"/>
  <c r="AL414" i="11"/>
  <c r="J328" i="11"/>
  <c r="T321" i="11"/>
  <c r="T328" i="11" s="1"/>
  <c r="T278" i="11"/>
  <c r="L297" i="11"/>
  <c r="U297" i="11"/>
  <c r="N328" i="11"/>
  <c r="W328" i="11"/>
  <c r="N342" i="11"/>
  <c r="O413" i="11"/>
  <c r="O411" i="11"/>
  <c r="P404" i="11"/>
  <c r="P341" i="11"/>
  <c r="P339" i="11"/>
  <c r="P344" i="11" s="1"/>
  <c r="P342" i="11"/>
  <c r="P347" i="11" s="1"/>
  <c r="X404" i="11"/>
  <c r="X342" i="11"/>
  <c r="X340" i="11"/>
  <c r="X345" i="11" s="1"/>
  <c r="AF342" i="11"/>
  <c r="AF341" i="11"/>
  <c r="AF340" i="11"/>
  <c r="AF345" i="11" s="1"/>
  <c r="AF339" i="11"/>
  <c r="AF404" i="11"/>
  <c r="N414" i="11"/>
  <c r="D297" i="11"/>
  <c r="M297" i="11"/>
  <c r="V297" i="11"/>
  <c r="AJ407" i="11"/>
  <c r="C210" i="11"/>
  <c r="K210" i="11"/>
  <c r="S210" i="11"/>
  <c r="AA210" i="11"/>
  <c r="AI210" i="11"/>
  <c r="AC281" i="11"/>
  <c r="E297" i="11"/>
  <c r="O317" i="11"/>
  <c r="W317" i="11"/>
  <c r="AG317" i="11"/>
  <c r="F328" i="11"/>
  <c r="O328" i="11"/>
  <c r="AH328" i="11"/>
  <c r="O358" i="11"/>
  <c r="O369" i="11" s="1"/>
  <c r="Y358" i="11"/>
  <c r="AI339" i="11"/>
  <c r="C399" i="11"/>
  <c r="T397" i="11"/>
  <c r="F303" i="11"/>
  <c r="P297" i="11"/>
  <c r="G317" i="11"/>
  <c r="P317" i="11"/>
  <c r="P328" i="11"/>
  <c r="Z328" i="11"/>
  <c r="E281" i="11"/>
  <c r="M281" i="11"/>
  <c r="H328" i="11"/>
  <c r="Q328" i="11"/>
  <c r="AA328" i="11"/>
  <c r="W414" i="11"/>
  <c r="AE421" i="11"/>
  <c r="AE414" i="11"/>
  <c r="Y288" i="11"/>
  <c r="Y297" i="11" s="1"/>
  <c r="Y247" i="11"/>
  <c r="Y253" i="11" s="1"/>
  <c r="Y306" i="11"/>
  <c r="Y317" i="11" s="1"/>
  <c r="Y267" i="11"/>
  <c r="N281" i="11"/>
  <c r="V281" i="11"/>
  <c r="W281" i="11"/>
  <c r="H297" i="11"/>
  <c r="AA297" i="11"/>
  <c r="R317" i="11"/>
  <c r="H317" i="11"/>
  <c r="N317" i="11"/>
  <c r="I328" i="11"/>
  <c r="AB328" i="11"/>
  <c r="R328" i="11"/>
  <c r="W407" i="11"/>
  <c r="AD278" i="11"/>
  <c r="G297" i="11"/>
  <c r="W297" i="11"/>
  <c r="AE297" i="11"/>
  <c r="AE407" i="11"/>
  <c r="AI378" i="11"/>
  <c r="T388" i="11"/>
  <c r="AC388" i="11"/>
  <c r="AC397" i="11" s="1"/>
  <c r="Q297" i="11"/>
  <c r="AK328" i="11"/>
  <c r="P407" i="11"/>
  <c r="L388" i="11"/>
  <c r="L397" i="11" s="1"/>
  <c r="L399" i="11" s="1"/>
  <c r="AI387" i="11"/>
  <c r="Y328" i="11"/>
  <c r="AJ317" i="11"/>
  <c r="AL317" i="11"/>
  <c r="AC328" i="11"/>
  <c r="AG399" i="11"/>
  <c r="AG407" i="11"/>
  <c r="AL399" i="11"/>
  <c r="D388" i="11"/>
  <c r="D397" i="11" s="1"/>
  <c r="AE397" i="11"/>
  <c r="Y278" i="11"/>
  <c r="R297" i="11"/>
  <c r="Z297" i="11"/>
  <c r="AH297" i="11"/>
  <c r="I297" i="11"/>
  <c r="V317" i="11"/>
  <c r="Z419" i="11" s="1"/>
  <c r="U328" i="11"/>
  <c r="Q399" i="11"/>
  <c r="W388" i="11"/>
  <c r="W397" i="11" s="1"/>
  <c r="W399" i="11" s="1"/>
  <c r="V397" i="11"/>
  <c r="V399" i="11" s="1"/>
  <c r="J358" i="11"/>
  <c r="J369" i="11" s="1"/>
  <c r="D369" i="11"/>
  <c r="I407" i="11" s="1"/>
  <c r="M369" i="11"/>
  <c r="U369" i="11"/>
  <c r="AC369" i="11"/>
  <c r="AH407" i="11" s="1"/>
  <c r="AA397" i="11"/>
  <c r="P399" i="11"/>
  <c r="G388" i="11"/>
  <c r="G397" i="11" s="1"/>
  <c r="AF399" i="11"/>
  <c r="AF407" i="11"/>
  <c r="R399" i="11"/>
  <c r="Y378" i="11"/>
  <c r="G369" i="11"/>
  <c r="Y368" i="11"/>
  <c r="AD378" i="11"/>
  <c r="AD388" i="11" s="1"/>
  <c r="AD397" i="11" s="1"/>
  <c r="M397" i="11"/>
  <c r="J378" i="11"/>
  <c r="T342" i="11"/>
  <c r="Y387" i="11"/>
  <c r="AB397" i="11"/>
  <c r="AB399" i="11" s="1"/>
  <c r="AJ397" i="11"/>
  <c r="BI95" i="9" l="1"/>
  <c r="M95" i="9"/>
  <c r="AA95" i="9"/>
  <c r="AV95" i="9"/>
  <c r="AB95" i="9"/>
  <c r="L95" i="9"/>
  <c r="BS95" i="9"/>
  <c r="BK95" i="9"/>
  <c r="R95" i="9"/>
  <c r="AT95" i="9"/>
  <c r="Q95" i="9"/>
  <c r="BC75" i="9"/>
  <c r="BD881" i="1"/>
  <c r="BC890" i="1"/>
  <c r="CB282" i="1"/>
  <c r="Q69" i="1"/>
  <c r="Q70" i="1" s="1"/>
  <c r="Q385" i="1"/>
  <c r="Q34" i="9" s="1"/>
  <c r="AD38" i="1"/>
  <c r="AD19" i="9" s="1"/>
  <c r="AA37" i="1"/>
  <c r="Y205" i="1"/>
  <c r="Y210" i="1"/>
  <c r="BK70" i="1"/>
  <c r="BK66" i="1"/>
  <c r="BK54" i="1"/>
  <c r="BR75" i="9"/>
  <c r="BR890" i="1"/>
  <c r="Z465" i="1"/>
  <c r="X477" i="1"/>
  <c r="AL71" i="1"/>
  <c r="AL72" i="1" s="1"/>
  <c r="AL385" i="1"/>
  <c r="AL34" i="9" s="1"/>
  <c r="AZ54" i="1"/>
  <c r="AZ87" i="1"/>
  <c r="AK69" i="9"/>
  <c r="AK1036" i="1"/>
  <c r="Z71" i="1"/>
  <c r="Z385" i="1"/>
  <c r="BJ81" i="1"/>
  <c r="BJ87" i="1"/>
  <c r="BJ54" i="1"/>
  <c r="BJ96" i="1"/>
  <c r="BW868" i="1"/>
  <c r="BX1039" i="1" s="1"/>
  <c r="BX851" i="1"/>
  <c r="BT948" i="1"/>
  <c r="BT953" i="1" s="1"/>
  <c r="BR282" i="1"/>
  <c r="BU951" i="1"/>
  <c r="BV948" i="1"/>
  <c r="BV951" i="1"/>
  <c r="CA951" i="1" s="1"/>
  <c r="CF951" i="1" s="1"/>
  <c r="BT951" i="1"/>
  <c r="BY956" i="1" s="1"/>
  <c r="N99" i="9"/>
  <c r="O100" i="9" s="1"/>
  <c r="O110" i="9" s="1"/>
  <c r="N1030" i="1"/>
  <c r="BR429" i="1"/>
  <c r="BR42" i="9"/>
  <c r="BD44" i="1"/>
  <c r="BD38" i="1"/>
  <c r="BD19" i="9" s="1"/>
  <c r="AB407" i="11"/>
  <c r="AJ927" i="1"/>
  <c r="S100" i="9"/>
  <c r="AH109" i="9"/>
  <c r="BQ35" i="9"/>
  <c r="AL953" i="1"/>
  <c r="V951" i="1"/>
  <c r="V956" i="1" s="1"/>
  <c r="AX205" i="1"/>
  <c r="BQ80" i="1"/>
  <c r="BL87" i="1"/>
  <c r="BL85" i="1"/>
  <c r="BL52" i="1"/>
  <c r="K407" i="11"/>
  <c r="F407" i="11"/>
  <c r="F99" i="9"/>
  <c r="F100" i="9" s="1"/>
  <c r="F110" i="9" s="1"/>
  <c r="F1030" i="1"/>
  <c r="K1030" i="1"/>
  <c r="AE1042" i="1"/>
  <c r="BK954" i="1"/>
  <c r="BM449" i="1"/>
  <c r="BO449" i="1"/>
  <c r="C91" i="1"/>
  <c r="C113" i="1"/>
  <c r="C531" i="1" s="1"/>
  <c r="AK36" i="9"/>
  <c r="AK292" i="1"/>
  <c r="AK59" i="9" s="1"/>
  <c r="BJ85" i="1"/>
  <c r="Y35" i="9"/>
  <c r="Y290" i="1"/>
  <c r="Y58" i="9" s="1"/>
  <c r="U42" i="9"/>
  <c r="U429" i="1"/>
  <c r="BF35" i="9"/>
  <c r="BF290" i="1"/>
  <c r="BF58" i="9" s="1"/>
  <c r="AX95" i="9"/>
  <c r="AI956" i="1"/>
  <c r="J478" i="1"/>
  <c r="W67" i="1"/>
  <c r="AD204" i="1"/>
  <c r="AD210" i="1"/>
  <c r="D927" i="1"/>
  <c r="V948" i="1"/>
  <c r="AA953" i="1" s="1"/>
  <c r="BY211" i="1"/>
  <c r="BL80" i="1"/>
  <c r="AR90" i="1"/>
  <c r="S407" i="11"/>
  <c r="BX555" i="1"/>
  <c r="BX711" i="1" s="1"/>
  <c r="O71" i="1"/>
  <c r="O385" i="1"/>
  <c r="O291" i="1" s="1"/>
  <c r="AL52" i="1"/>
  <c r="AL66" i="1"/>
  <c r="AL67" i="1" s="1"/>
  <c r="AL54" i="1"/>
  <c r="AL87" i="1"/>
  <c r="BK87" i="1"/>
  <c r="Y71" i="1"/>
  <c r="Y74" i="1" s="1"/>
  <c r="Y113" i="1" s="1"/>
  <c r="Y531" i="1" s="1"/>
  <c r="Y385" i="1"/>
  <c r="Y34" i="9" s="1"/>
  <c r="AN211" i="1"/>
  <c r="AN204" i="1"/>
  <c r="AN203" i="1"/>
  <c r="AN205" i="1"/>
  <c r="S38" i="9"/>
  <c r="S97" i="9" s="1"/>
  <c r="S294" i="1"/>
  <c r="S61" i="9" s="1"/>
  <c r="CG25" i="9"/>
  <c r="CG31" i="1"/>
  <c r="X936" i="1"/>
  <c r="X927" i="1"/>
  <c r="X938" i="1"/>
  <c r="AH101" i="1"/>
  <c r="AC101" i="1"/>
  <c r="AC102" i="1"/>
  <c r="AC103" i="1" s="1"/>
  <c r="AO65" i="9"/>
  <c r="BH717" i="1"/>
  <c r="BH74" i="9" s="1"/>
  <c r="BI894" i="1"/>
  <c r="BI717" i="1" s="1"/>
  <c r="BI74" i="9" s="1"/>
  <c r="L950" i="1"/>
  <c r="L949" i="1"/>
  <c r="N949" i="1"/>
  <c r="N950" i="1"/>
  <c r="BC54" i="1"/>
  <c r="BC91" i="1"/>
  <c r="BC72" i="1"/>
  <c r="BC81" i="1"/>
  <c r="BC82" i="1" s="1"/>
  <c r="BQ939" i="1"/>
  <c r="BQ937" i="1"/>
  <c r="CC1041" i="1"/>
  <c r="BN868" i="1"/>
  <c r="BN877" i="1" s="1"/>
  <c r="BN705" i="1" s="1"/>
  <c r="AG953" i="1"/>
  <c r="AD203" i="1"/>
  <c r="D938" i="1"/>
  <c r="AM71" i="1"/>
  <c r="AM74" i="1" s="1"/>
  <c r="AM113" i="1" s="1"/>
  <c r="AM531" i="1" s="1"/>
  <c r="AM385" i="1"/>
  <c r="BL81" i="1"/>
  <c r="AF46" i="11"/>
  <c r="AF158" i="11"/>
  <c r="AF51" i="11" s="1"/>
  <c r="AF410" i="11" s="1"/>
  <c r="BV75" i="9"/>
  <c r="BI1041" i="1"/>
  <c r="BN954" i="1"/>
  <c r="AA72" i="1"/>
  <c r="AI201" i="1"/>
  <c r="AI205" i="1" s="1"/>
  <c r="AY36" i="9"/>
  <c r="AY292" i="1"/>
  <c r="AY59" i="9" s="1"/>
  <c r="T71" i="1"/>
  <c r="T74" i="1" s="1"/>
  <c r="Y75" i="1" s="1"/>
  <c r="T385" i="1"/>
  <c r="T291" i="1" s="1"/>
  <c r="AJ1041" i="1"/>
  <c r="BM95" i="9"/>
  <c r="CC890" i="1"/>
  <c r="CC75" i="9"/>
  <c r="AK955" i="1"/>
  <c r="M949" i="1"/>
  <c r="R954" i="1" s="1"/>
  <c r="Z956" i="1"/>
  <c r="M951" i="1"/>
  <c r="R956" i="1" s="1"/>
  <c r="M948" i="1"/>
  <c r="BU948" i="1"/>
  <c r="BM492" i="1"/>
  <c r="W953" i="1"/>
  <c r="P429" i="1"/>
  <c r="AQ360" i="1"/>
  <c r="AQ362" i="1" s="1"/>
  <c r="AQ396" i="1" s="1"/>
  <c r="AQ400" i="1" s="1"/>
  <c r="BJ936" i="1"/>
  <c r="BJ927" i="1"/>
  <c r="M414" i="11"/>
  <c r="BM108" i="9"/>
  <c r="BM1006" i="1"/>
  <c r="BM1017" i="1" s="1"/>
  <c r="P936" i="1"/>
  <c r="P938" i="1"/>
  <c r="M72" i="11"/>
  <c r="M75" i="11"/>
  <c r="M86" i="11" s="1"/>
  <c r="M172" i="11" s="1"/>
  <c r="M185" i="11" s="1"/>
  <c r="AF409" i="11"/>
  <c r="AF414" i="11"/>
  <c r="Y39" i="11"/>
  <c r="Y41" i="11" s="1"/>
  <c r="Y141" i="11"/>
  <c r="Y49" i="11"/>
  <c r="AC342" i="11"/>
  <c r="AC347" i="11" s="1"/>
  <c r="AB342" i="11"/>
  <c r="AG347" i="11" s="1"/>
  <c r="AC341" i="11"/>
  <c r="AB341" i="11"/>
  <c r="AB346" i="11" s="1"/>
  <c r="Y339" i="11"/>
  <c r="AA342" i="11"/>
  <c r="AC340" i="11"/>
  <c r="AC345" i="11" s="1"/>
  <c r="AB340" i="11"/>
  <c r="BR95" i="9"/>
  <c r="BT95" i="9"/>
  <c r="AI407" i="11"/>
  <c r="AN556" i="1"/>
  <c r="AN67" i="9"/>
  <c r="AN942" i="1"/>
  <c r="AN1032" i="1"/>
  <c r="E212" i="11"/>
  <c r="E211" i="11"/>
  <c r="L35" i="9"/>
  <c r="L290" i="1"/>
  <c r="L58" i="9" s="1"/>
  <c r="J210" i="1"/>
  <c r="J203" i="1"/>
  <c r="AX35" i="9"/>
  <c r="AX290" i="1"/>
  <c r="AX58" i="9" s="1"/>
  <c r="BO36" i="9"/>
  <c r="BO292" i="1"/>
  <c r="BO59" i="9" s="1"/>
  <c r="Y477" i="1"/>
  <c r="BL65" i="1"/>
  <c r="BQ65" i="1"/>
  <c r="BL74" i="1"/>
  <c r="U464" i="1"/>
  <c r="BV35" i="9"/>
  <c r="BV290" i="1"/>
  <c r="BV58" i="9" s="1"/>
  <c r="Q36" i="9"/>
  <c r="Q292" i="1"/>
  <c r="Q59" i="9" s="1"/>
  <c r="AP35" i="9"/>
  <c r="AP290" i="1"/>
  <c r="AP58" i="9" s="1"/>
  <c r="CB26" i="9"/>
  <c r="CB370" i="1"/>
  <c r="CB292" i="1" s="1"/>
  <c r="CB59" i="9" s="1"/>
  <c r="CB44" i="1"/>
  <c r="BG35" i="9"/>
  <c r="BG290" i="1"/>
  <c r="BG58" i="9" s="1"/>
  <c r="K72" i="1"/>
  <c r="K74" i="1"/>
  <c r="P75" i="1" s="1"/>
  <c r="AD113" i="1"/>
  <c r="AD531" i="1" s="1"/>
  <c r="AE419" i="11"/>
  <c r="AI103" i="11"/>
  <c r="AI109" i="11" s="1"/>
  <c r="AI160" i="11" s="1"/>
  <c r="AI68" i="11"/>
  <c r="AI70" i="11" s="1"/>
  <c r="AS108" i="9"/>
  <c r="AS1006" i="1"/>
  <c r="AS1017" i="1" s="1"/>
  <c r="AS1019" i="1" s="1"/>
  <c r="AY939" i="1"/>
  <c r="AY937" i="1"/>
  <c r="U421" i="11"/>
  <c r="Q346" i="11"/>
  <c r="BB99" i="9"/>
  <c r="AI35" i="9"/>
  <c r="AI290" i="1"/>
  <c r="AI58" i="9" s="1"/>
  <c r="AG95" i="9"/>
  <c r="AH95" i="9"/>
  <c r="BG953" i="1"/>
  <c r="AT85" i="1"/>
  <c r="AT76" i="1"/>
  <c r="AT52" i="1"/>
  <c r="AT72" i="1"/>
  <c r="E1030" i="1"/>
  <c r="AC103" i="11"/>
  <c r="AC109" i="11" s="1"/>
  <c r="AC160" i="11" s="1"/>
  <c r="AC68" i="11"/>
  <c r="AC70" i="11" s="1"/>
  <c r="AC72" i="11" s="1"/>
  <c r="P465" i="1"/>
  <c r="AU360" i="1"/>
  <c r="AU362" i="1" s="1"/>
  <c r="AU396" i="1" s="1"/>
  <c r="AU313" i="1"/>
  <c r="AU315" i="1" s="1"/>
  <c r="AJ36" i="9"/>
  <c r="AJ292" i="1"/>
  <c r="AJ59" i="9" s="1"/>
  <c r="AJ399" i="11"/>
  <c r="U419" i="11"/>
  <c r="T399" i="11"/>
  <c r="E414" i="11"/>
  <c r="Y341" i="11"/>
  <c r="Y346" i="11" s="1"/>
  <c r="AI158" i="11"/>
  <c r="AI159" i="11" s="1"/>
  <c r="AO717" i="1"/>
  <c r="AO74" i="9" s="1"/>
  <c r="AN890" i="1"/>
  <c r="AN75" i="9"/>
  <c r="BU95" i="9"/>
  <c r="Z75" i="9"/>
  <c r="BU890" i="1"/>
  <c r="BN1019" i="1"/>
  <c r="BS1030" i="1"/>
  <c r="P1041" i="1"/>
  <c r="BM938" i="1"/>
  <c r="AT100" i="9"/>
  <c r="AG1036" i="1"/>
  <c r="AY100" i="9"/>
  <c r="BP890" i="1"/>
  <c r="BS1041" i="1" s="1"/>
  <c r="BP75" i="9"/>
  <c r="AG942" i="1"/>
  <c r="AE955" i="1"/>
  <c r="BO953" i="1"/>
  <c r="BE956" i="1"/>
  <c r="AA954" i="1"/>
  <c r="AE990" i="1"/>
  <c r="AJ1030" i="1" s="1"/>
  <c r="AX441" i="1"/>
  <c r="AX937" i="1"/>
  <c r="AX939" i="1"/>
  <c r="AX1140" i="1"/>
  <c r="AN441" i="1"/>
  <c r="AN1140" i="1"/>
  <c r="E956" i="1"/>
  <c r="AT87" i="1"/>
  <c r="CB38" i="1"/>
  <c r="CB19" i="9" s="1"/>
  <c r="X409" i="11"/>
  <c r="X414" i="11"/>
  <c r="H703" i="1"/>
  <c r="H877" i="1"/>
  <c r="H705" i="1" s="1"/>
  <c r="AZ35" i="9"/>
  <c r="AZ290" i="1"/>
  <c r="AZ58" i="9" s="1"/>
  <c r="BQ66" i="1"/>
  <c r="BQ96" i="1"/>
  <c r="BQ46" i="1"/>
  <c r="BQ48" i="1" s="1"/>
  <c r="BQ87" i="1"/>
  <c r="Z70" i="1"/>
  <c r="Z66" i="1"/>
  <c r="Z87" i="1"/>
  <c r="Z85" i="1"/>
  <c r="Z80" i="1"/>
  <c r="U80" i="1"/>
  <c r="AX76" i="1"/>
  <c r="Y40" i="11"/>
  <c r="S347" i="11"/>
  <c r="BW939" i="1"/>
  <c r="BW933" i="1"/>
  <c r="F936" i="1"/>
  <c r="F927" i="1"/>
  <c r="AU937" i="1"/>
  <c r="AU939" i="1"/>
  <c r="AR556" i="1"/>
  <c r="AR557" i="1" s="1"/>
  <c r="AR558" i="1" s="1"/>
  <c r="AR67" i="9"/>
  <c r="AR942" i="1"/>
  <c r="BI102" i="9"/>
  <c r="BI87" i="9"/>
  <c r="BI750" i="1"/>
  <c r="Y340" i="11"/>
  <c r="Y345" i="11" s="1"/>
  <c r="J317" i="11"/>
  <c r="K419" i="11" s="1"/>
  <c r="F1019" i="1"/>
  <c r="AA109" i="9"/>
  <c r="BS100" i="9"/>
  <c r="AR1032" i="1"/>
  <c r="BM953" i="1"/>
  <c r="M1019" i="1"/>
  <c r="BF953" i="1"/>
  <c r="AS890" i="1"/>
  <c r="AT1041" i="1" s="1"/>
  <c r="AS75" i="9"/>
  <c r="AC87" i="9"/>
  <c r="Q955" i="1"/>
  <c r="AK953" i="1"/>
  <c r="AG67" i="9"/>
  <c r="K956" i="1"/>
  <c r="X742" i="1"/>
  <c r="AY955" i="1"/>
  <c r="AJ954" i="1"/>
  <c r="AU71" i="1"/>
  <c r="AU72" i="1" s="1"/>
  <c r="AU385" i="1"/>
  <c r="BW937" i="1"/>
  <c r="CA1170" i="1"/>
  <c r="CA1140" i="1"/>
  <c r="BH608" i="1"/>
  <c r="BI608" i="1"/>
  <c r="BG608" i="1"/>
  <c r="E953" i="1"/>
  <c r="S936" i="1"/>
  <c r="AK103" i="1"/>
  <c r="AM87" i="1"/>
  <c r="AM70" i="1"/>
  <c r="AC82" i="1"/>
  <c r="BT91" i="1"/>
  <c r="AH68" i="11"/>
  <c r="AH70" i="11" s="1"/>
  <c r="AH103" i="11"/>
  <c r="AH109" i="11" s="1"/>
  <c r="AH160" i="11" s="1"/>
  <c r="T39" i="11"/>
  <c r="T41" i="11" s="1"/>
  <c r="T339" i="11"/>
  <c r="T344" i="11" s="1"/>
  <c r="X339" i="11"/>
  <c r="X344" i="11" s="1"/>
  <c r="X341" i="11"/>
  <c r="X346" i="11" s="1"/>
  <c r="W342" i="11"/>
  <c r="W347" i="11" s="1"/>
  <c r="V342" i="11"/>
  <c r="V347" i="11" s="1"/>
  <c r="T49" i="11"/>
  <c r="T47" i="11"/>
  <c r="W340" i="11"/>
  <c r="W345" i="11" s="1"/>
  <c r="V341" i="11"/>
  <c r="AA346" i="11" s="1"/>
  <c r="T341" i="11"/>
  <c r="T346" i="11" s="1"/>
  <c r="T141" i="11"/>
  <c r="T40" i="11" s="1"/>
  <c r="T42" i="11" s="1"/>
  <c r="AD99" i="9"/>
  <c r="AD100" i="9" s="1"/>
  <c r="AD110" i="9" s="1"/>
  <c r="AD1019" i="1"/>
  <c r="AF1030" i="1"/>
  <c r="BO557" i="1"/>
  <c r="BO558" i="1" s="1"/>
  <c r="BG34" i="9"/>
  <c r="BG291" i="1"/>
  <c r="J96" i="1"/>
  <c r="J100" i="1"/>
  <c r="J102" i="1" s="1"/>
  <c r="BE52" i="1"/>
  <c r="BE85" i="1"/>
  <c r="BE70" i="1"/>
  <c r="BE87" i="1"/>
  <c r="BE46" i="1"/>
  <c r="BE66" i="1"/>
  <c r="BE81" i="1"/>
  <c r="BE54" i="1"/>
  <c r="BE96" i="1"/>
  <c r="BE72" i="1"/>
  <c r="BR1140" i="1"/>
  <c r="F345" i="11"/>
  <c r="M103" i="11"/>
  <c r="M109" i="11" s="1"/>
  <c r="M160" i="11" s="1"/>
  <c r="AE346" i="11"/>
  <c r="AY933" i="1"/>
  <c r="BN502" i="1"/>
  <c r="BM507" i="1"/>
  <c r="BD492" i="1"/>
  <c r="T954" i="1"/>
  <c r="G936" i="1"/>
  <c r="AV877" i="1"/>
  <c r="AV705" i="1" s="1"/>
  <c r="AV703" i="1"/>
  <c r="CC71" i="9"/>
  <c r="CC944" i="1"/>
  <c r="CC945" i="1" s="1"/>
  <c r="AN927" i="1"/>
  <c r="AE399" i="11"/>
  <c r="AJ421" i="11"/>
  <c r="Y342" i="11"/>
  <c r="Y347" i="11" s="1"/>
  <c r="AB339" i="11"/>
  <c r="AB344" i="11" s="1"/>
  <c r="J267" i="11"/>
  <c r="J281" i="11" s="1"/>
  <c r="AC339" i="11"/>
  <c r="AC344" i="11" s="1"/>
  <c r="AJ158" i="11"/>
  <c r="AJ344" i="11"/>
  <c r="AA339" i="11"/>
  <c r="AF344" i="11" s="1"/>
  <c r="Z868" i="1"/>
  <c r="AH913" i="1"/>
  <c r="BF1019" i="1"/>
  <c r="M1030" i="1"/>
  <c r="BU557" i="1"/>
  <c r="BU558" i="1" s="1"/>
  <c r="AW703" i="1"/>
  <c r="U953" i="1"/>
  <c r="AW953" i="1"/>
  <c r="S955" i="1"/>
  <c r="U507" i="1"/>
  <c r="BK990" i="1"/>
  <c r="BJ1030" i="1" s="1"/>
  <c r="BP703" i="1"/>
  <c r="BP706" i="1" s="1"/>
  <c r="AT66" i="1"/>
  <c r="AJ72" i="1"/>
  <c r="P400" i="1"/>
  <c r="R103" i="1"/>
  <c r="BT85" i="1"/>
  <c r="N283" i="1"/>
  <c r="Y441" i="1"/>
  <c r="Y746" i="1"/>
  <c r="Y744" i="1"/>
  <c r="Y742" i="1"/>
  <c r="Y1140" i="1"/>
  <c r="Y939" i="1"/>
  <c r="Y938" i="1"/>
  <c r="AV35" i="9"/>
  <c r="AV290" i="1"/>
  <c r="AV58" i="9" s="1"/>
  <c r="BQ82" i="1"/>
  <c r="BK55" i="1"/>
  <c r="BK56" i="1" s="1"/>
  <c r="BK33" i="9"/>
  <c r="BQ36" i="9"/>
  <c r="BQ292" i="1"/>
  <c r="BQ59" i="9" s="1"/>
  <c r="AE360" i="1"/>
  <c r="AE362" i="1" s="1"/>
  <c r="AE396" i="1" s="1"/>
  <c r="AE313" i="1"/>
  <c r="AE315" i="1" s="1"/>
  <c r="AE320" i="1" s="1"/>
  <c r="AE327" i="1" s="1"/>
  <c r="AE415" i="1" s="1"/>
  <c r="AX96" i="1"/>
  <c r="AX97" i="1" s="1"/>
  <c r="AX46" i="1"/>
  <c r="AX87" i="1"/>
  <c r="AX66" i="1"/>
  <c r="AX67" i="1" s="1"/>
  <c r="AX70" i="1"/>
  <c r="AX72" i="1"/>
  <c r="R936" i="1"/>
  <c r="R938" i="1"/>
  <c r="AX91" i="1"/>
  <c r="AX92" i="1" s="1"/>
  <c r="BC90" i="1"/>
  <c r="AX102" i="1"/>
  <c r="BX635" i="1"/>
  <c r="BX285" i="1"/>
  <c r="AO204" i="1"/>
  <c r="AO211" i="1"/>
  <c r="AO203" i="1"/>
  <c r="AO210" i="1"/>
  <c r="AO205" i="1"/>
  <c r="F67" i="1"/>
  <c r="K68" i="11"/>
  <c r="K70" i="11" s="1"/>
  <c r="K103" i="11"/>
  <c r="K109" i="11" s="1"/>
  <c r="K160" i="11" s="1"/>
  <c r="BN35" i="9"/>
  <c r="BN290" i="1"/>
  <c r="BN58" i="9" s="1"/>
  <c r="I36" i="9"/>
  <c r="I292" i="1"/>
  <c r="I59" i="9" s="1"/>
  <c r="AH35" i="9"/>
  <c r="AH290" i="1"/>
  <c r="AH58" i="9" s="1"/>
  <c r="AM218" i="1"/>
  <c r="AM220" i="1" s="1"/>
  <c r="AN214" i="1"/>
  <c r="P74" i="1"/>
  <c r="P76" i="1" s="1"/>
  <c r="P66" i="1"/>
  <c r="P67" i="1" s="1"/>
  <c r="BK42" i="9"/>
  <c r="BK429" i="1"/>
  <c r="BC360" i="1"/>
  <c r="BC362" i="1" s="1"/>
  <c r="BC396" i="1" s="1"/>
  <c r="BC313" i="1"/>
  <c r="BC315" i="1" s="1"/>
  <c r="AG52" i="1"/>
  <c r="AG46" i="1"/>
  <c r="AG48" i="1" s="1"/>
  <c r="BF101" i="1"/>
  <c r="D68" i="11"/>
  <c r="D70" i="11" s="1"/>
  <c r="D103" i="11"/>
  <c r="D109" i="11" s="1"/>
  <c r="D160" i="11" s="1"/>
  <c r="CH288" i="1"/>
  <c r="CH61" i="1"/>
  <c r="BS360" i="1"/>
  <c r="BS362" i="1" s="1"/>
  <c r="BS396" i="1" s="1"/>
  <c r="BS313" i="1"/>
  <c r="BS315" i="1" s="1"/>
  <c r="BS320" i="1" s="1"/>
  <c r="BS327" i="1" s="1"/>
  <c r="BG33" i="9"/>
  <c r="BG55" i="1"/>
  <c r="BG56" i="1" s="1"/>
  <c r="BG57" i="1" s="1"/>
  <c r="AM360" i="1"/>
  <c r="AM362" i="1" s="1"/>
  <c r="AM396" i="1" s="1"/>
  <c r="AM313" i="1"/>
  <c r="AM315" i="1" s="1"/>
  <c r="BJ42" i="9"/>
  <c r="BJ429" i="1"/>
  <c r="BO35" i="9"/>
  <c r="BO290" i="1"/>
  <c r="BO58" i="9" s="1"/>
  <c r="AW211" i="1"/>
  <c r="AW205" i="1"/>
  <c r="R210" i="1"/>
  <c r="C35" i="9"/>
  <c r="C290" i="1"/>
  <c r="C58" i="9" s="1"/>
  <c r="AB36" i="9"/>
  <c r="AB292" i="1"/>
  <c r="AB59" i="9" s="1"/>
  <c r="BK313" i="1"/>
  <c r="BK315" i="1" s="1"/>
  <c r="BK360" i="1"/>
  <c r="BK362" i="1" s="1"/>
  <c r="BK396" i="1" s="1"/>
  <c r="J388" i="11"/>
  <c r="J397" i="11" s="1"/>
  <c r="Y369" i="11"/>
  <c r="AD407" i="11" s="1"/>
  <c r="AF346" i="11"/>
  <c r="F346" i="11"/>
  <c r="Z344" i="11"/>
  <c r="O414" i="11"/>
  <c r="U103" i="11"/>
  <c r="U109" i="11" s="1"/>
  <c r="U160" i="11" s="1"/>
  <c r="Y46" i="11"/>
  <c r="BI956" i="1"/>
  <c r="AW956" i="1"/>
  <c r="Y841" i="1"/>
  <c r="BI65" i="9"/>
  <c r="BS65" i="9"/>
  <c r="J95" i="9"/>
  <c r="T990" i="1"/>
  <c r="V1030" i="1" s="1"/>
  <c r="D913" i="1"/>
  <c r="Q933" i="1"/>
  <c r="AJ1032" i="1"/>
  <c r="BI100" i="9"/>
  <c r="BI955" i="1"/>
  <c r="AC954" i="1"/>
  <c r="E954" i="1"/>
  <c r="BE703" i="1"/>
  <c r="T478" i="1"/>
  <c r="AN1024" i="1"/>
  <c r="BA290" i="1"/>
  <c r="BA58" i="9" s="1"/>
  <c r="BC33" i="9"/>
  <c r="R205" i="1"/>
  <c r="AW204" i="1"/>
  <c r="AT283" i="1"/>
  <c r="AK101" i="1"/>
  <c r="X74" i="1"/>
  <c r="AG70" i="1"/>
  <c r="L90" i="1"/>
  <c r="D49" i="1"/>
  <c r="AX113" i="1"/>
  <c r="AX531" i="1" s="1"/>
  <c r="AQ46" i="1"/>
  <c r="AF37" i="1"/>
  <c r="BG52" i="1"/>
  <c r="BG85" i="1"/>
  <c r="E449" i="11"/>
  <c r="CD1016" i="1"/>
  <c r="CC773" i="1"/>
  <c r="CC10" i="9" s="1"/>
  <c r="BW990" i="1"/>
  <c r="BW99" i="9" s="1"/>
  <c r="AW35" i="9"/>
  <c r="AW290" i="1"/>
  <c r="AW58" i="9" s="1"/>
  <c r="AA35" i="9"/>
  <c r="AA290" i="1"/>
  <c r="AA58" i="9" s="1"/>
  <c r="BK35" i="9"/>
  <c r="BK290" i="1"/>
  <c r="BK58" i="9" s="1"/>
  <c r="AQ35" i="9"/>
  <c r="AQ290" i="1"/>
  <c r="AQ58" i="9" s="1"/>
  <c r="AQ205" i="1"/>
  <c r="AQ204" i="1"/>
  <c r="AQ203" i="1"/>
  <c r="AQ211" i="1"/>
  <c r="BC74" i="1"/>
  <c r="BC75" i="1" s="1"/>
  <c r="BC65" i="1"/>
  <c r="K36" i="9"/>
  <c r="K292" i="1"/>
  <c r="K59" i="9" s="1"/>
  <c r="N74" i="1"/>
  <c r="N76" i="1" s="1"/>
  <c r="N66" i="1"/>
  <c r="N67" i="1" s="1"/>
  <c r="AW85" i="1"/>
  <c r="BG80" i="1"/>
  <c r="N407" i="11"/>
  <c r="AF347" i="11"/>
  <c r="F347" i="11"/>
  <c r="Z345" i="11"/>
  <c r="I158" i="11"/>
  <c r="AP1019" i="1"/>
  <c r="I1030" i="1"/>
  <c r="BN933" i="1"/>
  <c r="AT717" i="1"/>
  <c r="AT74" i="9" s="1"/>
  <c r="BR951" i="1"/>
  <c r="BC841" i="1"/>
  <c r="BB927" i="1"/>
  <c r="AJ717" i="1"/>
  <c r="AJ74" i="9" s="1"/>
  <c r="AJ926" i="1"/>
  <c r="BN512" i="1"/>
  <c r="E955" i="1"/>
  <c r="AP953" i="1"/>
  <c r="Z953" i="1"/>
  <c r="AO744" i="1"/>
  <c r="D844" i="1"/>
  <c r="E843" i="1" s="1"/>
  <c r="E844" i="1" s="1"/>
  <c r="F843" i="1" s="1"/>
  <c r="F844" i="1" s="1"/>
  <c r="G843" i="1" s="1"/>
  <c r="BS954" i="1"/>
  <c r="AU955" i="1"/>
  <c r="AY953" i="1"/>
  <c r="BB955" i="1"/>
  <c r="AS742" i="1"/>
  <c r="AO956" i="1"/>
  <c r="AT746" i="1"/>
  <c r="BG955" i="1"/>
  <c r="K954" i="1"/>
  <c r="AH955" i="1"/>
  <c r="M42" i="9"/>
  <c r="AN7" i="9"/>
  <c r="AV292" i="1"/>
  <c r="AV59" i="9" s="1"/>
  <c r="AM956" i="1"/>
  <c r="AL956" i="1"/>
  <c r="K936" i="1"/>
  <c r="L92" i="1"/>
  <c r="AQ87" i="1"/>
  <c r="BS290" i="1"/>
  <c r="BS58" i="9" s="1"/>
  <c r="BG72" i="1"/>
  <c r="BG46" i="1"/>
  <c r="BG48" i="1" s="1"/>
  <c r="BJ66" i="1"/>
  <c r="AO35" i="9"/>
  <c r="AO290" i="1"/>
  <c r="AO58" i="9" s="1"/>
  <c r="BH36" i="9"/>
  <c r="BH292" i="1"/>
  <c r="BH59" i="9" s="1"/>
  <c r="P205" i="1"/>
  <c r="P203" i="1"/>
  <c r="P211" i="1"/>
  <c r="BU35" i="9"/>
  <c r="BU290" i="1"/>
  <c r="BU58" i="9" s="1"/>
  <c r="I35" i="9"/>
  <c r="I290" i="1"/>
  <c r="I58" i="9" s="1"/>
  <c r="AQ210" i="1"/>
  <c r="AW54" i="1"/>
  <c r="AA36" i="9"/>
  <c r="AA292" i="1"/>
  <c r="AA59" i="9" s="1"/>
  <c r="AZ36" i="9"/>
  <c r="AZ292" i="1"/>
  <c r="AZ59" i="9" s="1"/>
  <c r="AW72" i="1"/>
  <c r="BH65" i="1"/>
  <c r="P939" i="1"/>
  <c r="P933" i="1"/>
  <c r="P937" i="1"/>
  <c r="AH877" i="1"/>
  <c r="AH705" i="1" s="1"/>
  <c r="AH703" i="1"/>
  <c r="BE35" i="9"/>
  <c r="BE290" i="1"/>
  <c r="BE58" i="9" s="1"/>
  <c r="BP36" i="9"/>
  <c r="BP292" i="1"/>
  <c r="BP59" i="9" s="1"/>
  <c r="Y388" i="11"/>
  <c r="Y397" i="11" s="1"/>
  <c r="Y281" i="11"/>
  <c r="K420" i="11"/>
  <c r="J46" i="11"/>
  <c r="AU95" i="9"/>
  <c r="BA956" i="1"/>
  <c r="AL1019" i="1"/>
  <c r="BD717" i="1"/>
  <c r="BD74" i="9" s="1"/>
  <c r="AE890" i="1"/>
  <c r="BJ109" i="9"/>
  <c r="AQ1030" i="1"/>
  <c r="AJ65" i="9"/>
  <c r="AJ942" i="1"/>
  <c r="CH926" i="1"/>
  <c r="BA954" i="1"/>
  <c r="M476" i="1"/>
  <c r="AO954" i="1"/>
  <c r="Q954" i="1"/>
  <c r="BI953" i="1"/>
  <c r="AU954" i="1"/>
  <c r="BB954" i="1"/>
  <c r="AD954" i="1"/>
  <c r="AS746" i="1"/>
  <c r="AO953" i="1"/>
  <c r="BX954" i="1"/>
  <c r="AA955" i="1"/>
  <c r="BO955" i="1"/>
  <c r="BU990" i="1"/>
  <c r="AS283" i="1"/>
  <c r="BX211" i="1"/>
  <c r="BV211" i="1"/>
  <c r="Y936" i="1"/>
  <c r="BK283" i="1"/>
  <c r="M67" i="1"/>
  <c r="D89" i="1"/>
  <c r="BG66" i="1"/>
  <c r="AF85" i="1"/>
  <c r="BW95" i="1"/>
  <c r="AJ480" i="1"/>
  <c r="AJ490" i="1" s="1"/>
  <c r="AJ497" i="1" s="1"/>
  <c r="T369" i="11"/>
  <c r="V407" i="11" s="1"/>
  <c r="AG35" i="9"/>
  <c r="AG290" i="1"/>
  <c r="AG58" i="9" s="1"/>
  <c r="D35" i="9"/>
  <c r="D290" i="1"/>
  <c r="D58" i="9" s="1"/>
  <c r="AN210" i="1"/>
  <c r="BP35" i="9"/>
  <c r="BP290" i="1"/>
  <c r="BP58" i="9" s="1"/>
  <c r="AP80" i="1"/>
  <c r="D36" i="9"/>
  <c r="D292" i="1"/>
  <c r="D59" i="9" s="1"/>
  <c r="AX52" i="1"/>
  <c r="AI1140" i="1"/>
  <c r="BA36" i="9"/>
  <c r="BA292" i="1"/>
  <c r="BA59" i="9" s="1"/>
  <c r="CG22" i="9"/>
  <c r="CG12" i="1"/>
  <c r="BO283" i="1"/>
  <c r="S65" i="1"/>
  <c r="AL360" i="1"/>
  <c r="AL362" i="1" s="1"/>
  <c r="AL396" i="1" s="1"/>
  <c r="AL313" i="1"/>
  <c r="AL315" i="1" s="1"/>
  <c r="AW66" i="1"/>
  <c r="E497" i="1"/>
  <c r="E492" i="1"/>
  <c r="AF753" i="1"/>
  <c r="C226" i="11"/>
  <c r="BL109" i="9"/>
  <c r="AB109" i="9"/>
  <c r="AE103" i="1"/>
  <c r="AH97" i="1"/>
  <c r="AE82" i="1"/>
  <c r="AU82" i="1"/>
  <c r="AE67" i="1"/>
  <c r="E103" i="1"/>
  <c r="AC109" i="9"/>
  <c r="AS109" i="9"/>
  <c r="L49" i="1"/>
  <c r="BW97" i="1"/>
  <c r="C227" i="11"/>
  <c r="C229" i="11" s="1"/>
  <c r="Z877" i="1"/>
  <c r="Z705" i="1" s="1"/>
  <c r="Z703" i="1"/>
  <c r="BI877" i="1"/>
  <c r="BI705" i="1" s="1"/>
  <c r="BI703" i="1"/>
  <c r="U407" i="11"/>
  <c r="U399" i="11"/>
  <c r="Z407" i="11"/>
  <c r="W193" i="11"/>
  <c r="W303" i="11"/>
  <c r="W331" i="11" s="1"/>
  <c r="V158" i="11"/>
  <c r="V40" i="11"/>
  <c r="G72" i="11"/>
  <c r="G75" i="11"/>
  <c r="G86" i="11" s="1"/>
  <c r="G172" i="11" s="1"/>
  <c r="S42" i="11"/>
  <c r="AH158" i="11"/>
  <c r="E227" i="11"/>
  <c r="E229" i="11" s="1"/>
  <c r="E226" i="11"/>
  <c r="E225" i="11"/>
  <c r="CB1010" i="1"/>
  <c r="BS75" i="9"/>
  <c r="Y953" i="1"/>
  <c r="W938" i="1"/>
  <c r="W927" i="1"/>
  <c r="W936" i="1"/>
  <c r="BQ913" i="1"/>
  <c r="AO926" i="1"/>
  <c r="AO927" i="1" s="1"/>
  <c r="AO709" i="1"/>
  <c r="BT938" i="1"/>
  <c r="BT927" i="1"/>
  <c r="BT936" i="1"/>
  <c r="AO497" i="1"/>
  <c r="AO492" i="1"/>
  <c r="CC717" i="1"/>
  <c r="CC74" i="9" s="1"/>
  <c r="BS502" i="1"/>
  <c r="BS507" i="1" s="1"/>
  <c r="BO507" i="1"/>
  <c r="L497" i="1"/>
  <c r="L492" i="1"/>
  <c r="I728" i="1"/>
  <c r="I729" i="1" s="1"/>
  <c r="I730" i="1" s="1"/>
  <c r="I731" i="1" s="1"/>
  <c r="I707" i="1"/>
  <c r="I704" i="1"/>
  <c r="BF285" i="1"/>
  <c r="BF394" i="1"/>
  <c r="BF635" i="1"/>
  <c r="BY954" i="1"/>
  <c r="CD949" i="1"/>
  <c r="H707" i="1"/>
  <c r="H728" i="1"/>
  <c r="H729" i="1" s="1"/>
  <c r="H730" i="1" s="1"/>
  <c r="H731" i="1" s="1"/>
  <c r="H704" i="1"/>
  <c r="AJ502" i="1"/>
  <c r="AJ507" i="1" s="1"/>
  <c r="AG507" i="1"/>
  <c r="AO42" i="9"/>
  <c r="AO429" i="1"/>
  <c r="K1041" i="1"/>
  <c r="AH34" i="9"/>
  <c r="AH291" i="1"/>
  <c r="AA510" i="1"/>
  <c r="AA509" i="1"/>
  <c r="AA512" i="1" s="1"/>
  <c r="BY87" i="1"/>
  <c r="BY54" i="1"/>
  <c r="BY96" i="1"/>
  <c r="BY72" i="1"/>
  <c r="BY66" i="1"/>
  <c r="BY46" i="1"/>
  <c r="BY85" i="1"/>
  <c r="BY81" i="1"/>
  <c r="BY82" i="1" s="1"/>
  <c r="BY102" i="1"/>
  <c r="BY70" i="1"/>
  <c r="BY52" i="1"/>
  <c r="AB46" i="1"/>
  <c r="AB66" i="1"/>
  <c r="AB52" i="1"/>
  <c r="AB81" i="1"/>
  <c r="AB82" i="1" s="1"/>
  <c r="AB70" i="1"/>
  <c r="AB85" i="1"/>
  <c r="AB91" i="1"/>
  <c r="AB87" i="1"/>
  <c r="AB96" i="1"/>
  <c r="AB97" i="1" s="1"/>
  <c r="AP95" i="9"/>
  <c r="AR95" i="9"/>
  <c r="M399" i="11"/>
  <c r="M407" i="11"/>
  <c r="G303" i="11"/>
  <c r="G193" i="11"/>
  <c r="H303" i="11"/>
  <c r="H331" i="11" s="1"/>
  <c r="H193" i="11"/>
  <c r="M303" i="11"/>
  <c r="M331" i="11" s="1"/>
  <c r="M193" i="11"/>
  <c r="N158" i="11"/>
  <c r="N40" i="11"/>
  <c r="AL303" i="11"/>
  <c r="AL331" i="11" s="1"/>
  <c r="AL405" i="11" s="1"/>
  <c r="AL193" i="11"/>
  <c r="AF194" i="11"/>
  <c r="AF203" i="11"/>
  <c r="AF204" i="11" s="1"/>
  <c r="AF205" i="11" s="1"/>
  <c r="G158" i="11"/>
  <c r="G40" i="11"/>
  <c r="J65" i="11"/>
  <c r="J88" i="11"/>
  <c r="J93" i="11" s="1"/>
  <c r="AB345" i="11"/>
  <c r="D347" i="11"/>
  <c r="AI42" i="11"/>
  <c r="AA158" i="11"/>
  <c r="AA40" i="11"/>
  <c r="AH42" i="11"/>
  <c r="E347" i="11"/>
  <c r="BO99" i="9"/>
  <c r="BO1030" i="1"/>
  <c r="E933" i="1"/>
  <c r="U1042" i="1"/>
  <c r="BU913" i="1"/>
  <c r="AY910" i="1"/>
  <c r="AY718" i="1"/>
  <c r="AY73" i="9" s="1"/>
  <c r="BQ877" i="1"/>
  <c r="BQ705" i="1" s="1"/>
  <c r="BQ703" i="1"/>
  <c r="BC910" i="1"/>
  <c r="BC718" i="1"/>
  <c r="BC73" i="9" s="1"/>
  <c r="BD893" i="1"/>
  <c r="N877" i="1"/>
  <c r="N705" i="1" s="1"/>
  <c r="N703" i="1"/>
  <c r="BC108" i="9"/>
  <c r="BC1006" i="1"/>
  <c r="BC1017" i="1" s="1"/>
  <c r="AU109" i="9"/>
  <c r="AO933" i="1"/>
  <c r="AO939" i="1"/>
  <c r="AO937" i="1"/>
  <c r="BA939" i="1"/>
  <c r="BA937" i="1"/>
  <c r="BA933" i="1"/>
  <c r="CA8" i="9"/>
  <c r="CA1025" i="1"/>
  <c r="CA735" i="1"/>
  <c r="CA996" i="1" s="1"/>
  <c r="CB737" i="1"/>
  <c r="BD890" i="1"/>
  <c r="BV877" i="1"/>
  <c r="BV705" i="1" s="1"/>
  <c r="BV703" i="1"/>
  <c r="CH945" i="1"/>
  <c r="CH943" i="1"/>
  <c r="BE938" i="1"/>
  <c r="BE927" i="1"/>
  <c r="BE936" i="1"/>
  <c r="CA1000" i="1"/>
  <c r="CA1005" i="1" s="1"/>
  <c r="CB736" i="1"/>
  <c r="CB1000" i="1" s="1"/>
  <c r="AD913" i="1"/>
  <c r="AX868" i="1"/>
  <c r="AY851" i="1"/>
  <c r="AY868" i="1" s="1"/>
  <c r="Q102" i="9"/>
  <c r="Q87" i="9"/>
  <c r="AO1041" i="1"/>
  <c r="D497" i="1"/>
  <c r="D492" i="1"/>
  <c r="J67" i="9"/>
  <c r="J942" i="1"/>
  <c r="J556" i="1"/>
  <c r="J557" i="1" s="1"/>
  <c r="J1036" i="1"/>
  <c r="J1032" i="1"/>
  <c r="AX635" i="1"/>
  <c r="AX285" i="1"/>
  <c r="AX394" i="1"/>
  <c r="BY955" i="1"/>
  <c r="CD950" i="1"/>
  <c r="AE87" i="9"/>
  <c r="AE102" i="9"/>
  <c r="AE103" i="9" s="1"/>
  <c r="AE750" i="1"/>
  <c r="AE749" i="1"/>
  <c r="AX492" i="1"/>
  <c r="AX450" i="1"/>
  <c r="AX449" i="1"/>
  <c r="AZ449" i="1"/>
  <c r="K497" i="1"/>
  <c r="K492" i="1"/>
  <c r="BP102" i="9"/>
  <c r="BP87" i="9"/>
  <c r="S102" i="9"/>
  <c r="S87" i="9"/>
  <c r="BT507" i="1"/>
  <c r="BX512" i="1"/>
  <c r="BX507" i="1" s="1"/>
  <c r="I635" i="1"/>
  <c r="I636" i="1" s="1"/>
  <c r="I637" i="1" s="1"/>
  <c r="I285" i="1"/>
  <c r="K464" i="1"/>
  <c r="AU635" i="1"/>
  <c r="AU394" i="1"/>
  <c r="AU285" i="1"/>
  <c r="D407" i="11"/>
  <c r="D399" i="11"/>
  <c r="I303" i="11"/>
  <c r="I193" i="11"/>
  <c r="AD281" i="11"/>
  <c r="I331" i="11"/>
  <c r="Y399" i="11"/>
  <c r="Y407" i="11"/>
  <c r="P346" i="11"/>
  <c r="F158" i="11"/>
  <c r="F40" i="11"/>
  <c r="AG158" i="11"/>
  <c r="AG40" i="11"/>
  <c r="AK344" i="11"/>
  <c r="R46" i="11"/>
  <c r="R158" i="11"/>
  <c r="U86" i="11"/>
  <c r="U172" i="11" s="1"/>
  <c r="U346" i="11"/>
  <c r="D42" i="11"/>
  <c r="P72" i="11"/>
  <c r="P75" i="11"/>
  <c r="AA344" i="11"/>
  <c r="I159" i="11"/>
  <c r="I51" i="11"/>
  <c r="I410" i="11" s="1"/>
  <c r="AD65" i="11"/>
  <c r="AE42" i="11"/>
  <c r="AE347" i="11"/>
  <c r="L164" i="11"/>
  <c r="L52" i="11"/>
  <c r="BR99" i="9"/>
  <c r="BR1030" i="1"/>
  <c r="BW1030" i="1"/>
  <c r="AX734" i="1"/>
  <c r="AX970" i="1"/>
  <c r="AX990" i="1" s="1"/>
  <c r="BC1030" i="1" s="1"/>
  <c r="I913" i="1"/>
  <c r="BQ95" i="9"/>
  <c r="BD71" i="9"/>
  <c r="BD944" i="1"/>
  <c r="CH73" i="9"/>
  <c r="AQ938" i="1"/>
  <c r="AQ927" i="1"/>
  <c r="AQ936" i="1"/>
  <c r="BW927" i="1"/>
  <c r="BW938" i="1"/>
  <c r="F877" i="1"/>
  <c r="F705" i="1" s="1"/>
  <c r="F703" i="1"/>
  <c r="O108" i="9"/>
  <c r="O109" i="9" s="1"/>
  <c r="O1006" i="1"/>
  <c r="O1017" i="1" s="1"/>
  <c r="O1019" i="1" s="1"/>
  <c r="O910" i="1"/>
  <c r="O718" i="1"/>
  <c r="O73" i="9" s="1"/>
  <c r="AS938" i="1"/>
  <c r="AS927" i="1"/>
  <c r="AO1042" i="1"/>
  <c r="BM877" i="1"/>
  <c r="BM705" i="1" s="1"/>
  <c r="BM703" i="1"/>
  <c r="BD65" i="9"/>
  <c r="S877" i="1"/>
  <c r="S705" i="1" s="1"/>
  <c r="S703" i="1"/>
  <c r="H913" i="1"/>
  <c r="N87" i="9"/>
  <c r="N102" i="9"/>
  <c r="AP285" i="1"/>
  <c r="AP635" i="1"/>
  <c r="AM64" i="9"/>
  <c r="AM66" i="9" s="1"/>
  <c r="AM706" i="1"/>
  <c r="AM724" i="1"/>
  <c r="AM725" i="1" s="1"/>
  <c r="AM726" i="1" s="1"/>
  <c r="AM727" i="1" s="1"/>
  <c r="J492" i="1"/>
  <c r="J450" i="1"/>
  <c r="J449" i="1"/>
  <c r="AL877" i="1"/>
  <c r="AL705" i="1" s="1"/>
  <c r="AL703" i="1"/>
  <c r="O877" i="1"/>
  <c r="O705" i="1" s="1"/>
  <c r="O703" i="1"/>
  <c r="C497" i="1"/>
  <c r="C492" i="1"/>
  <c r="BU42" i="9"/>
  <c r="BU429" i="1"/>
  <c r="BU955" i="1"/>
  <c r="BZ950" i="1"/>
  <c r="CE950" i="1" s="1"/>
  <c r="AK590" i="1"/>
  <c r="AK587" i="1"/>
  <c r="BD1041" i="1"/>
  <c r="AW587" i="1"/>
  <c r="AW590" i="1"/>
  <c r="AX587" i="1"/>
  <c r="AI635" i="1"/>
  <c r="AI394" i="1"/>
  <c r="AI285" i="1"/>
  <c r="K635" i="1"/>
  <c r="K636" i="1" s="1"/>
  <c r="K637" i="1" s="1"/>
  <c r="K394" i="1"/>
  <c r="K285" i="1"/>
  <c r="BG42" i="9"/>
  <c r="BG429" i="1"/>
  <c r="W317" i="1"/>
  <c r="W320" i="1"/>
  <c r="W327" i="1" s="1"/>
  <c r="W415" i="1" s="1"/>
  <c r="V635" i="1"/>
  <c r="V394" i="1"/>
  <c r="V285" i="1"/>
  <c r="AC87" i="1"/>
  <c r="AC89" i="1"/>
  <c r="Y303" i="11"/>
  <c r="Y331" i="11" s="1"/>
  <c r="Y193" i="11"/>
  <c r="F194" i="11"/>
  <c r="F203" i="11"/>
  <c r="Y42" i="11"/>
  <c r="AK158" i="11"/>
  <c r="AK40" i="11"/>
  <c r="U164" i="11"/>
  <c r="U52" i="11"/>
  <c r="X103" i="11"/>
  <c r="X109" i="11" s="1"/>
  <c r="X160" i="11" s="1"/>
  <c r="X68" i="11"/>
  <c r="X70" i="11" s="1"/>
  <c r="Y65" i="11"/>
  <c r="Y95" i="11"/>
  <c r="Y101" i="11" s="1"/>
  <c r="N68" i="11"/>
  <c r="N70" i="11" s="1"/>
  <c r="N103" i="11"/>
  <c r="N109" i="11" s="1"/>
  <c r="N160" i="11" s="1"/>
  <c r="AJ51" i="11"/>
  <c r="AJ410" i="11" s="1"/>
  <c r="O194" i="11"/>
  <c r="O203" i="11"/>
  <c r="O204" i="11" s="1"/>
  <c r="O205" i="11" s="1"/>
  <c r="X46" i="11"/>
  <c r="X158" i="11"/>
  <c r="BY108" i="9"/>
  <c r="BY1006" i="1"/>
  <c r="BY1017" i="1" s="1"/>
  <c r="BY1019" i="1" s="1"/>
  <c r="AQ95" i="9"/>
  <c r="BY877" i="1"/>
  <c r="BY703" i="1"/>
  <c r="J407" i="11"/>
  <c r="J399" i="11"/>
  <c r="AH303" i="11"/>
  <c r="AH331" i="11" s="1"/>
  <c r="AH193" i="11"/>
  <c r="O407" i="11"/>
  <c r="O399" i="11"/>
  <c r="Q407" i="11"/>
  <c r="T407" i="11"/>
  <c r="E193" i="11"/>
  <c r="E303" i="11"/>
  <c r="E331" i="11" s="1"/>
  <c r="E405" i="11" s="1"/>
  <c r="K211" i="11"/>
  <c r="K212" i="11"/>
  <c r="D303" i="11"/>
  <c r="D331" i="11" s="1"/>
  <c r="D193" i="11"/>
  <c r="N331" i="11"/>
  <c r="P420" i="11"/>
  <c r="T303" i="11"/>
  <c r="T331" i="11" s="1"/>
  <c r="T193" i="11"/>
  <c r="K421" i="11"/>
  <c r="K414" i="11"/>
  <c r="O181" i="11"/>
  <c r="AK345" i="11"/>
  <c r="O68" i="11"/>
  <c r="O70" i="11" s="1"/>
  <c r="O103" i="11"/>
  <c r="O109" i="11" s="1"/>
  <c r="O160" i="11" s="1"/>
  <c r="M164" i="11"/>
  <c r="M52" i="11"/>
  <c r="AE75" i="11"/>
  <c r="AE72" i="11"/>
  <c r="U347" i="11"/>
  <c r="Q103" i="11"/>
  <c r="Q109" i="11" s="1"/>
  <c r="Q160" i="11" s="1"/>
  <c r="Q68" i="11"/>
  <c r="Q70" i="11" s="1"/>
  <c r="P52" i="11"/>
  <c r="P164" i="11"/>
  <c r="T50" i="11"/>
  <c r="S51" i="11"/>
  <c r="S410" i="11" s="1"/>
  <c r="V164" i="11"/>
  <c r="V52" i="11"/>
  <c r="E42" i="11"/>
  <c r="L158" i="11"/>
  <c r="L75" i="11"/>
  <c r="L86" i="11" s="1"/>
  <c r="L172" i="11" s="1"/>
  <c r="L72" i="11"/>
  <c r="AJ203" i="11"/>
  <c r="AJ194" i="11"/>
  <c r="AK109" i="9"/>
  <c r="CC73" i="9"/>
  <c r="BW954" i="1"/>
  <c r="CB949" i="1"/>
  <c r="CG949" i="1" s="1"/>
  <c r="BV95" i="9"/>
  <c r="BY95" i="9"/>
  <c r="BE939" i="1"/>
  <c r="BE937" i="1"/>
  <c r="BM841" i="1"/>
  <c r="CD1001" i="1"/>
  <c r="CC738" i="1"/>
  <c r="CC9" i="9" s="1"/>
  <c r="AV939" i="1"/>
  <c r="AV937" i="1"/>
  <c r="AF938" i="1"/>
  <c r="AF927" i="1"/>
  <c r="AF936" i="1"/>
  <c r="BX910" i="1"/>
  <c r="BX718" i="1"/>
  <c r="BX73" i="9" s="1"/>
  <c r="Z1039" i="1"/>
  <c r="V877" i="1"/>
  <c r="V703" i="1"/>
  <c r="S109" i="9"/>
  <c r="W109" i="9"/>
  <c r="U99" i="9"/>
  <c r="U100" i="9" s="1"/>
  <c r="U1030" i="1"/>
  <c r="U1019" i="1"/>
  <c r="AA939" i="1"/>
  <c r="AA933" i="1"/>
  <c r="AA937" i="1"/>
  <c r="AC939" i="1"/>
  <c r="AC937" i="1"/>
  <c r="BX709" i="1"/>
  <c r="BX926" i="1"/>
  <c r="BG877" i="1"/>
  <c r="BG705" i="1" s="1"/>
  <c r="BG703" i="1"/>
  <c r="BC868" i="1"/>
  <c r="AV938" i="1"/>
  <c r="AV936" i="1"/>
  <c r="AY717" i="1"/>
  <c r="AY74" i="9" s="1"/>
  <c r="T877" i="1"/>
  <c r="T705" i="1" s="1"/>
  <c r="T703" i="1"/>
  <c r="BS717" i="1"/>
  <c r="BS74" i="9" s="1"/>
  <c r="BS910" i="1"/>
  <c r="AY926" i="1"/>
  <c r="AY927" i="1" s="1"/>
  <c r="AY709" i="1"/>
  <c r="K877" i="1"/>
  <c r="K705" i="1" s="1"/>
  <c r="K703" i="1"/>
  <c r="BM99" i="9"/>
  <c r="BM1030" i="1"/>
  <c r="BM1019" i="1"/>
  <c r="BD75" i="9"/>
  <c r="AG102" i="9"/>
  <c r="AG87" i="9"/>
  <c r="AY880" i="1"/>
  <c r="AY890" i="1" s="1"/>
  <c r="AX890" i="1"/>
  <c r="AX75" i="9"/>
  <c r="Y877" i="1"/>
  <c r="Y705" i="1" s="1"/>
  <c r="Y703" i="1"/>
  <c r="CA948" i="1"/>
  <c r="CF948" i="1" s="1"/>
  <c r="BT33" i="9"/>
  <c r="BT55" i="1"/>
  <c r="BT56" i="1" s="1"/>
  <c r="BT57" i="1" s="1"/>
  <c r="BT378" i="1"/>
  <c r="BP99" i="9"/>
  <c r="BP1019" i="1"/>
  <c r="BF507" i="1"/>
  <c r="BI512" i="1"/>
  <c r="BI507" i="1" s="1"/>
  <c r="X843" i="1"/>
  <c r="W844" i="1"/>
  <c r="AX841" i="1"/>
  <c r="AI102" i="9"/>
  <c r="AI87" i="9"/>
  <c r="AU877" i="1"/>
  <c r="AU703" i="1"/>
  <c r="BU33" i="9"/>
  <c r="BU55" i="1"/>
  <c r="BU56" i="1" s="1"/>
  <c r="BU57" i="1" s="1"/>
  <c r="BO590" i="1"/>
  <c r="BO587" i="1"/>
  <c r="AU608" i="1"/>
  <c r="AX608" i="1"/>
  <c r="AW608" i="1"/>
  <c r="AV608" i="1"/>
  <c r="AY608" i="1"/>
  <c r="AY590" i="1"/>
  <c r="BX651" i="1"/>
  <c r="BX283" i="1"/>
  <c r="Z313" i="1"/>
  <c r="Z315" i="1" s="1"/>
  <c r="Z360" i="1"/>
  <c r="Z362" i="1" s="1"/>
  <c r="Z396" i="1" s="1"/>
  <c r="BI1039" i="1"/>
  <c r="BP42" i="9"/>
  <c r="BP429" i="1"/>
  <c r="U382" i="1"/>
  <c r="U129" i="1"/>
  <c r="U416" i="1" s="1"/>
  <c r="BD101" i="1"/>
  <c r="BI101" i="1"/>
  <c r="BD113" i="1"/>
  <c r="BD531" i="1" s="1"/>
  <c r="BD532" i="1" s="1"/>
  <c r="BD533" i="1" s="1"/>
  <c r="AE420" i="11"/>
  <c r="C211" i="11"/>
  <c r="C212" i="11"/>
  <c r="K303" i="11"/>
  <c r="K193" i="11"/>
  <c r="J163" i="11"/>
  <c r="J297" i="11"/>
  <c r="AK303" i="11"/>
  <c r="AK193" i="11"/>
  <c r="AI346" i="11"/>
  <c r="Q42" i="11"/>
  <c r="O40" i="11"/>
  <c r="AK346" i="11"/>
  <c r="C158" i="11"/>
  <c r="C40" i="11"/>
  <c r="AC75" i="11"/>
  <c r="AC86" i="11" s="1"/>
  <c r="AC172" i="11" s="1"/>
  <c r="AE164" i="11"/>
  <c r="AE52" i="11"/>
  <c r="AD342" i="11"/>
  <c r="AD341" i="11"/>
  <c r="AD339" i="11"/>
  <c r="AD344" i="11" s="1"/>
  <c r="AD141" i="11"/>
  <c r="AD158" i="11" s="1"/>
  <c r="AD45" i="11"/>
  <c r="AD411" i="11" s="1"/>
  <c r="AH340" i="11"/>
  <c r="AH345" i="11" s="1"/>
  <c r="AD39" i="11"/>
  <c r="AD41" i="11" s="1"/>
  <c r="AG340" i="11"/>
  <c r="AG345" i="11" s="1"/>
  <c r="AJ346" i="11"/>
  <c r="K42" i="11"/>
  <c r="V75" i="11"/>
  <c r="V86" i="11" s="1"/>
  <c r="V172" i="11" s="1"/>
  <c r="V72" i="11"/>
  <c r="E158" i="11"/>
  <c r="L42" i="11"/>
  <c r="BQ108" i="9"/>
  <c r="BQ1006" i="1"/>
  <c r="BQ1017" i="1" s="1"/>
  <c r="BQ1019" i="1" s="1"/>
  <c r="BQ933" i="1"/>
  <c r="AO109" i="9"/>
  <c r="AT109" i="9"/>
  <c r="AT110" i="9" s="1"/>
  <c r="BS941" i="1"/>
  <c r="BS117" i="1"/>
  <c r="V109" i="9"/>
  <c r="BI939" i="1"/>
  <c r="BI933" i="1"/>
  <c r="BO938" i="1"/>
  <c r="BO927" i="1"/>
  <c r="BO936" i="1"/>
  <c r="P913" i="1"/>
  <c r="AE1041" i="1"/>
  <c r="BW956" i="1"/>
  <c r="CB951" i="1"/>
  <c r="CG951" i="1" s="1"/>
  <c r="K100" i="9"/>
  <c r="AE717" i="1"/>
  <c r="AE74" i="9" s="1"/>
  <c r="Z1041" i="1"/>
  <c r="BT933" i="1"/>
  <c r="BU930" i="1"/>
  <c r="AE937" i="1"/>
  <c r="AE939" i="1"/>
  <c r="AE933" i="1"/>
  <c r="BG913" i="1"/>
  <c r="BS888" i="1"/>
  <c r="AD877" i="1"/>
  <c r="AD705" i="1" s="1"/>
  <c r="AD703" i="1"/>
  <c r="J99" i="9"/>
  <c r="J100" i="9" s="1"/>
  <c r="J1030" i="1"/>
  <c r="L1030" i="1"/>
  <c r="W877" i="1"/>
  <c r="W703" i="1"/>
  <c r="AK937" i="1"/>
  <c r="AE926" i="1"/>
  <c r="AE709" i="1"/>
  <c r="AE1032" i="1" s="1"/>
  <c r="BL877" i="1"/>
  <c r="BL705" i="1" s="1"/>
  <c r="BL703" i="1"/>
  <c r="BT877" i="1"/>
  <c r="BT703" i="1"/>
  <c r="BN1039" i="1"/>
  <c r="BJ877" i="1"/>
  <c r="BJ703" i="1"/>
  <c r="O87" i="9"/>
  <c r="O102" i="9"/>
  <c r="AW728" i="1"/>
  <c r="AW729" i="1" s="1"/>
  <c r="AW730" i="1" s="1"/>
  <c r="AW731" i="1" s="1"/>
  <c r="AW704" i="1"/>
  <c r="AW707" i="1"/>
  <c r="X507" i="1"/>
  <c r="Z512" i="1"/>
  <c r="Z635" i="1"/>
  <c r="Z285" i="1"/>
  <c r="Z394" i="1"/>
  <c r="BR997" i="1"/>
  <c r="BY67" i="9"/>
  <c r="BY942" i="1"/>
  <c r="BY556" i="1"/>
  <c r="BY557" i="1" s="1"/>
  <c r="BY558" i="1" s="1"/>
  <c r="BY1036" i="1"/>
  <c r="BL33" i="9"/>
  <c r="BL55" i="1"/>
  <c r="BL56" i="1" s="1"/>
  <c r="BL378" i="1"/>
  <c r="BT753" i="1"/>
  <c r="BT990" i="1"/>
  <c r="Q42" i="9"/>
  <c r="Q429" i="1"/>
  <c r="AJ34" i="9"/>
  <c r="AJ291" i="1"/>
  <c r="BA590" i="1"/>
  <c r="BA587" i="1"/>
  <c r="AX910" i="1"/>
  <c r="AX718" i="1"/>
  <c r="AX73" i="9" s="1"/>
  <c r="J102" i="9"/>
  <c r="J87" i="9"/>
  <c r="BV34" i="9"/>
  <c r="BV291" i="1"/>
  <c r="U465" i="1"/>
  <c r="R477" i="1"/>
  <c r="Y635" i="1"/>
  <c r="Y285" i="1"/>
  <c r="BS34" i="9"/>
  <c r="BS291" i="1"/>
  <c r="R320" i="1"/>
  <c r="R327" i="1" s="1"/>
  <c r="R415" i="1" s="1"/>
  <c r="R317" i="1"/>
  <c r="E407" i="11"/>
  <c r="U420" i="11"/>
  <c r="O331" i="11"/>
  <c r="P417" i="11"/>
  <c r="L303" i="11"/>
  <c r="L193" i="11"/>
  <c r="AI297" i="11"/>
  <c r="K317" i="11"/>
  <c r="AH339" i="11"/>
  <c r="J48" i="11"/>
  <c r="AI345" i="11"/>
  <c r="AG339" i="11"/>
  <c r="AG344" i="11" s="1"/>
  <c r="AA407" i="11"/>
  <c r="Y50" i="11"/>
  <c r="AK347" i="11"/>
  <c r="K159" i="11"/>
  <c r="K51" i="11"/>
  <c r="K410" i="11" s="1"/>
  <c r="M158" i="11"/>
  <c r="M40" i="11"/>
  <c r="D158" i="11"/>
  <c r="H103" i="11"/>
  <c r="H109" i="11" s="1"/>
  <c r="H160" i="11" s="1"/>
  <c r="H68" i="11"/>
  <c r="H70" i="11" s="1"/>
  <c r="X203" i="11"/>
  <c r="X204" i="11" s="1"/>
  <c r="X205" i="11" s="1"/>
  <c r="X194" i="11"/>
  <c r="AG303" i="11"/>
  <c r="AG193" i="11"/>
  <c r="AE158" i="11"/>
  <c r="AJ103" i="11"/>
  <c r="AJ109" i="11" s="1"/>
  <c r="AJ160" i="11" s="1"/>
  <c r="AJ68" i="11"/>
  <c r="AJ70" i="11" s="1"/>
  <c r="S103" i="11"/>
  <c r="S109" i="11" s="1"/>
  <c r="S160" i="11" s="1"/>
  <c r="S159" i="11" s="1"/>
  <c r="S68" i="11"/>
  <c r="S70" i="11" s="1"/>
  <c r="Z51" i="11"/>
  <c r="Z410" i="11" s="1"/>
  <c r="AD404" i="11"/>
  <c r="AF5" i="11"/>
  <c r="AG5" i="11" s="1"/>
  <c r="AH5" i="11" s="1"/>
  <c r="AI5" i="11" s="1"/>
  <c r="AJ5" i="11"/>
  <c r="BX95" i="9"/>
  <c r="BL95" i="9"/>
  <c r="BB95" i="9"/>
  <c r="AK933" i="1"/>
  <c r="AI703" i="1"/>
  <c r="AI877" i="1"/>
  <c r="AI705" i="1" s="1"/>
  <c r="BN100" i="9"/>
  <c r="J75" i="9"/>
  <c r="AT910" i="1"/>
  <c r="AT718" i="1"/>
  <c r="AT73" i="9" s="1"/>
  <c r="Z926" i="1"/>
  <c r="Z927" i="1" s="1"/>
  <c r="Z709" i="1"/>
  <c r="Z1032" i="1" s="1"/>
  <c r="AF877" i="1"/>
  <c r="AF913" i="1" s="1"/>
  <c r="AF703" i="1"/>
  <c r="AJ851" i="1"/>
  <c r="AJ868" i="1" s="1"/>
  <c r="AH100" i="9"/>
  <c r="AV933" i="1"/>
  <c r="AS95" i="9"/>
  <c r="BX108" i="9"/>
  <c r="BX1006" i="1"/>
  <c r="BX1017" i="1" s="1"/>
  <c r="BX1019" i="1" s="1"/>
  <c r="C110" i="9"/>
  <c r="BF95" i="9"/>
  <c r="T99" i="9"/>
  <c r="T1030" i="1"/>
  <c r="Z65" i="9"/>
  <c r="BY87" i="9"/>
  <c r="BY102" i="9"/>
  <c r="AN956" i="1"/>
  <c r="AS99" i="9"/>
  <c r="AS100" i="9" s="1"/>
  <c r="AS1030" i="1"/>
  <c r="AK927" i="1"/>
  <c r="AK938" i="1"/>
  <c r="AT75" i="9"/>
  <c r="BX868" i="1"/>
  <c r="AT101" i="9"/>
  <c r="BK608" i="1"/>
  <c r="BJ608" i="1"/>
  <c r="BN590" i="1"/>
  <c r="BL608" i="1"/>
  <c r="BN608" i="1"/>
  <c r="BM608" i="1"/>
  <c r="CC709" i="1"/>
  <c r="AQ877" i="1"/>
  <c r="AQ705" i="1" s="1"/>
  <c r="AQ703" i="1"/>
  <c r="AT1032" i="1"/>
  <c r="AT709" i="1"/>
  <c r="AT926" i="1"/>
  <c r="AT927" i="1" s="1"/>
  <c r="BT954" i="1"/>
  <c r="BV711" i="1"/>
  <c r="BV557" i="1"/>
  <c r="BV558" i="1" s="1"/>
  <c r="AB34" i="9"/>
  <c r="AB291" i="1"/>
  <c r="BY590" i="1"/>
  <c r="AT635" i="1"/>
  <c r="AT394" i="1"/>
  <c r="AT285" i="1"/>
  <c r="AX954" i="1"/>
  <c r="I492" i="1"/>
  <c r="I449" i="1"/>
  <c r="N450" i="1"/>
  <c r="AO880" i="1"/>
  <c r="AO890" i="1" s="1"/>
  <c r="BC56" i="9"/>
  <c r="BC286" i="1"/>
  <c r="R407" i="11"/>
  <c r="R303" i="11"/>
  <c r="R331" i="11" s="1"/>
  <c r="R193" i="11"/>
  <c r="U417" i="11"/>
  <c r="Q303" i="11"/>
  <c r="Q331" i="11" s="1"/>
  <c r="Q193" i="11"/>
  <c r="AE303" i="11"/>
  <c r="AE331" i="11" s="1"/>
  <c r="AE193" i="11"/>
  <c r="AE417" i="11"/>
  <c r="AA303" i="11"/>
  <c r="AA193" i="11"/>
  <c r="G331" i="11"/>
  <c r="L407" i="11"/>
  <c r="F331" i="11"/>
  <c r="AB303" i="11"/>
  <c r="AB331" i="11" s="1"/>
  <c r="AB193" i="11"/>
  <c r="AH341" i="11"/>
  <c r="T88" i="11"/>
  <c r="T93" i="11" s="1"/>
  <c r="T65" i="11"/>
  <c r="Y344" i="11"/>
  <c r="AG341" i="11"/>
  <c r="C193" i="11"/>
  <c r="C303" i="11"/>
  <c r="C331" i="11" s="1"/>
  <c r="W344" i="11"/>
  <c r="Z68" i="11"/>
  <c r="Z70" i="11" s="1"/>
  <c r="Z103" i="11"/>
  <c r="Z109" i="11" s="1"/>
  <c r="Z160" i="11" s="1"/>
  <c r="W68" i="11"/>
  <c r="W70" i="11" s="1"/>
  <c r="W103" i="11"/>
  <c r="W109" i="11" s="1"/>
  <c r="W160" i="11" s="1"/>
  <c r="AC40" i="11"/>
  <c r="U158" i="11"/>
  <c r="U40" i="11"/>
  <c r="I52" i="11"/>
  <c r="I164" i="11"/>
  <c r="Z420" i="11"/>
  <c r="AB103" i="11"/>
  <c r="AB109" i="11" s="1"/>
  <c r="AB160" i="11" s="1"/>
  <c r="AB68" i="11"/>
  <c r="AB70" i="11" s="1"/>
  <c r="BP95" i="9"/>
  <c r="BI108" i="9"/>
  <c r="BI109" i="9" s="1"/>
  <c r="BI1006" i="1"/>
  <c r="BI1017" i="1" s="1"/>
  <c r="BI1019" i="1" s="1"/>
  <c r="AI927" i="1"/>
  <c r="AI938" i="1"/>
  <c r="BI75" i="9"/>
  <c r="AC933" i="1"/>
  <c r="BG95" i="9"/>
  <c r="AE95" i="9"/>
  <c r="AJ95" i="9"/>
  <c r="H938" i="1"/>
  <c r="H927" i="1"/>
  <c r="H936" i="1"/>
  <c r="AE910" i="1"/>
  <c r="AE718" i="1"/>
  <c r="AE73" i="9" s="1"/>
  <c r="BS71" i="9"/>
  <c r="BS944" i="1"/>
  <c r="BY99" i="9"/>
  <c r="BG938" i="1"/>
  <c r="BG927" i="1"/>
  <c r="BG936" i="1"/>
  <c r="BM109" i="9"/>
  <c r="BX99" i="9"/>
  <c r="BX100" i="9" s="1"/>
  <c r="BX1030" i="1"/>
  <c r="U1041" i="1"/>
  <c r="V844" i="1"/>
  <c r="BV99" i="9"/>
  <c r="BV1030" i="1"/>
  <c r="BV1019" i="1"/>
  <c r="Z910" i="1"/>
  <c r="Z718" i="1"/>
  <c r="Z73" i="9" s="1"/>
  <c r="AJ1042" i="1"/>
  <c r="M939" i="1"/>
  <c r="M937" i="1"/>
  <c r="AO868" i="1"/>
  <c r="BG102" i="9"/>
  <c r="BG87" i="9"/>
  <c r="AE941" i="1"/>
  <c r="AE117" i="1"/>
  <c r="AE399" i="1" s="1"/>
  <c r="BF102" i="9"/>
  <c r="BF87" i="9"/>
  <c r="BW997" i="1"/>
  <c r="J939" i="1"/>
  <c r="J937" i="1"/>
  <c r="I102" i="9"/>
  <c r="AE868" i="1"/>
  <c r="H102" i="9"/>
  <c r="Y102" i="9"/>
  <c r="Y87" i="9"/>
  <c r="BN1042" i="1"/>
  <c r="BJ913" i="1"/>
  <c r="X877" i="1"/>
  <c r="X705" i="1" s="1"/>
  <c r="X703" i="1"/>
  <c r="CH588" i="1"/>
  <c r="CH372" i="1"/>
  <c r="CH36" i="1"/>
  <c r="BE33" i="9"/>
  <c r="BE55" i="1"/>
  <c r="BE56" i="1" s="1"/>
  <c r="BE57" i="1" s="1"/>
  <c r="BE378" i="1"/>
  <c r="BN953" i="1"/>
  <c r="J29" i="9"/>
  <c r="J378" i="1"/>
  <c r="J581" i="1"/>
  <c r="J282" i="1"/>
  <c r="J280" i="1"/>
  <c r="N948" i="1"/>
  <c r="S953" i="1" s="1"/>
  <c r="N951" i="1"/>
  <c r="S956" i="1" s="1"/>
  <c r="J292" i="1"/>
  <c r="J59" i="9" s="1"/>
  <c r="L951" i="1"/>
  <c r="Q956" i="1" s="1"/>
  <c r="L948" i="1"/>
  <c r="CC926" i="1"/>
  <c r="AN868" i="1"/>
  <c r="AV33" i="9"/>
  <c r="AV55" i="1"/>
  <c r="AV56" i="1" s="1"/>
  <c r="AV57" i="1" s="1"/>
  <c r="AV378" i="1"/>
  <c r="BL753" i="1"/>
  <c r="AN753" i="1"/>
  <c r="L705" i="1"/>
  <c r="AH449" i="1"/>
  <c r="AM450" i="1"/>
  <c r="AH450" i="1"/>
  <c r="AW42" i="9"/>
  <c r="AW429" i="1"/>
  <c r="S34" i="9"/>
  <c r="S291" i="1"/>
  <c r="AS449" i="1"/>
  <c r="AS450" i="1"/>
  <c r="AS492" i="1"/>
  <c r="AU449" i="1"/>
  <c r="BL557" i="1"/>
  <c r="BL558" i="1" s="1"/>
  <c r="BR34" i="9"/>
  <c r="BR291" i="1"/>
  <c r="AJ331" i="11"/>
  <c r="P303" i="11"/>
  <c r="P331" i="11" s="1"/>
  <c r="P193" i="11"/>
  <c r="C407" i="11"/>
  <c r="AG331" i="11"/>
  <c r="T281" i="11"/>
  <c r="AL158" i="11"/>
  <c r="AL40" i="11"/>
  <c r="N203" i="11"/>
  <c r="N204" i="11" s="1"/>
  <c r="N205" i="11" s="1"/>
  <c r="N194" i="11"/>
  <c r="K331" i="11"/>
  <c r="K405" i="11" s="1"/>
  <c r="J49" i="11"/>
  <c r="J141" i="11"/>
  <c r="J158" i="11" s="1"/>
  <c r="J45" i="11"/>
  <c r="J411" i="11" s="1"/>
  <c r="M341" i="11"/>
  <c r="J39" i="11"/>
  <c r="J41" i="11" s="1"/>
  <c r="L339" i="11"/>
  <c r="Q344" i="11" s="1"/>
  <c r="M340" i="11"/>
  <c r="R345" i="11" s="1"/>
  <c r="AD303" i="11"/>
  <c r="AD331" i="11" s="1"/>
  <c r="AD193" i="11"/>
  <c r="X407" i="11"/>
  <c r="AI281" i="11"/>
  <c r="L340" i="11"/>
  <c r="Q345" i="11" s="1"/>
  <c r="AD49" i="11"/>
  <c r="G164" i="11"/>
  <c r="G52" i="11"/>
  <c r="AC51" i="11"/>
  <c r="AC159" i="11"/>
  <c r="M339" i="11"/>
  <c r="R344" i="11" s="1"/>
  <c r="S346" i="11"/>
  <c r="K344" i="11"/>
  <c r="AD47" i="11"/>
  <c r="AL164" i="11"/>
  <c r="AL52" i="11"/>
  <c r="Y11" i="11"/>
  <c r="F3" i="11"/>
  <c r="F449" i="11" s="1"/>
  <c r="G4" i="11"/>
  <c r="AZ95" i="9"/>
  <c r="CD951" i="1"/>
  <c r="BA95" i="9"/>
  <c r="T94" i="9"/>
  <c r="T1017" i="1"/>
  <c r="T1019" i="1" s="1"/>
  <c r="BS108" i="9"/>
  <c r="BS109" i="9" s="1"/>
  <c r="BS110" i="9" s="1"/>
  <c r="BS1006" i="1"/>
  <c r="BS1017" i="1" s="1"/>
  <c r="BS1019" i="1" s="1"/>
  <c r="BE933" i="1"/>
  <c r="G913" i="1"/>
  <c r="K1042" i="1"/>
  <c r="T109" i="9"/>
  <c r="AL109" i="9"/>
  <c r="AN99" i="9"/>
  <c r="AN100" i="9" s="1"/>
  <c r="AN1030" i="1"/>
  <c r="AP1030" i="1"/>
  <c r="AM1030" i="1"/>
  <c r="R109" i="9"/>
  <c r="BH95" i="9"/>
  <c r="AN108" i="9"/>
  <c r="AN109" i="9" s="1"/>
  <c r="AN1006" i="1"/>
  <c r="AN1017" i="1" s="1"/>
  <c r="AN1019" i="1" s="1"/>
  <c r="E937" i="1"/>
  <c r="J108" i="9"/>
  <c r="J1006" i="1"/>
  <c r="J1017" i="1" s="1"/>
  <c r="J1019" i="1" s="1"/>
  <c r="AO1039" i="1"/>
  <c r="AK877" i="1"/>
  <c r="AK703" i="1"/>
  <c r="J938" i="1"/>
  <c r="J936" i="1"/>
  <c r="BA877" i="1"/>
  <c r="BA705" i="1" s="1"/>
  <c r="BA703" i="1"/>
  <c r="BD100" i="9"/>
  <c r="P102" i="9"/>
  <c r="P87" i="9"/>
  <c r="P749" i="1"/>
  <c r="P750" i="1"/>
  <c r="D100" i="9"/>
  <c r="I64" i="9"/>
  <c r="I66" i="9" s="1"/>
  <c r="I724" i="1"/>
  <c r="I725" i="1" s="1"/>
  <c r="I726" i="1" s="1"/>
  <c r="I727" i="1" s="1"/>
  <c r="I706" i="1"/>
  <c r="BM102" i="9"/>
  <c r="BM87" i="9"/>
  <c r="AN102" i="9"/>
  <c r="AN87" i="9"/>
  <c r="BN635" i="1"/>
  <c r="BN285" i="1"/>
  <c r="BN394" i="1"/>
  <c r="AW33" i="9"/>
  <c r="AW55" i="1"/>
  <c r="AW56" i="1" s="1"/>
  <c r="AW57" i="1" s="1"/>
  <c r="AW378" i="1"/>
  <c r="BN956" i="1"/>
  <c r="BS1042" i="1"/>
  <c r="BY1032" i="1"/>
  <c r="AM102" i="9"/>
  <c r="AM87" i="9"/>
  <c r="H753" i="1"/>
  <c r="K1043" i="1"/>
  <c r="R449" i="1"/>
  <c r="R450" i="1"/>
  <c r="S444" i="1"/>
  <c r="T449" i="1" s="1"/>
  <c r="BX34" i="9"/>
  <c r="BX291" i="1"/>
  <c r="BX394" i="1"/>
  <c r="K34" i="9"/>
  <c r="K291" i="1"/>
  <c r="E100" i="9"/>
  <c r="AT954" i="1"/>
  <c r="BU378" i="1"/>
  <c r="AY742" i="1"/>
  <c r="AY745" i="1"/>
  <c r="AY746" i="1" s="1"/>
  <c r="BU57" i="9"/>
  <c r="BU1033" i="1"/>
  <c r="BS1039" i="1"/>
  <c r="BO877" i="1"/>
  <c r="BO703" i="1"/>
  <c r="AJ955" i="1"/>
  <c r="BP394" i="1"/>
  <c r="BP635" i="1"/>
  <c r="BI313" i="1"/>
  <c r="BI315" i="1" s="1"/>
  <c r="BI360" i="1"/>
  <c r="BI362" i="1" s="1"/>
  <c r="BI396" i="1" s="1"/>
  <c r="AK71" i="1"/>
  <c r="AK385" i="1"/>
  <c r="M33" i="9"/>
  <c r="M55" i="1"/>
  <c r="M56" i="1" s="1"/>
  <c r="M57" i="1" s="1"/>
  <c r="M378" i="1"/>
  <c r="BH66" i="1"/>
  <c r="BM67" i="1" s="1"/>
  <c r="BH46" i="1"/>
  <c r="BH96" i="1"/>
  <c r="BH52" i="1"/>
  <c r="AG71" i="1"/>
  <c r="AG385" i="1"/>
  <c r="X449" i="1"/>
  <c r="X450" i="1"/>
  <c r="BR33" i="9"/>
  <c r="BR55" i="1"/>
  <c r="BR56" i="1" s="1"/>
  <c r="BR57" i="1" s="1"/>
  <c r="AG317" i="1"/>
  <c r="AG320" i="1"/>
  <c r="AG327" i="1" s="1"/>
  <c r="AG415" i="1" s="1"/>
  <c r="L38" i="9"/>
  <c r="L97" i="9" s="1"/>
  <c r="L400" i="1"/>
  <c r="L294" i="1"/>
  <c r="L61" i="9" s="1"/>
  <c r="BV46" i="1"/>
  <c r="BV96" i="1"/>
  <c r="BV97" i="1" s="1"/>
  <c r="BV72" i="1"/>
  <c r="BV81" i="1"/>
  <c r="BV82" i="1" s="1"/>
  <c r="BV70" i="1"/>
  <c r="BV85" i="1"/>
  <c r="BV87" i="1"/>
  <c r="AF635" i="1"/>
  <c r="P651" i="1"/>
  <c r="P283" i="1"/>
  <c r="BR36" i="9"/>
  <c r="BR292" i="1"/>
  <c r="BR59" i="9" s="1"/>
  <c r="AB360" i="1"/>
  <c r="AB362" i="1" s="1"/>
  <c r="AB396" i="1" s="1"/>
  <c r="AB313" i="1"/>
  <c r="AB315" i="1" s="1"/>
  <c r="AI33" i="9"/>
  <c r="AI55" i="1"/>
  <c r="AI56" i="1" s="1"/>
  <c r="BH56" i="1"/>
  <c r="BH57" i="1" s="1"/>
  <c r="B4" i="1"/>
  <c r="A2" i="1"/>
  <c r="BK764" i="1"/>
  <c r="BK766" i="1"/>
  <c r="BK765" i="1"/>
  <c r="BN745" i="1"/>
  <c r="BN746" i="1" s="1"/>
  <c r="BN742" i="1"/>
  <c r="AH745" i="1"/>
  <c r="AH746" i="1" s="1"/>
  <c r="AH742" i="1"/>
  <c r="CA950" i="1"/>
  <c r="CF950" i="1" s="1"/>
  <c r="BV955" i="1"/>
  <c r="BD56" i="9"/>
  <c r="BD286" i="1"/>
  <c r="AF651" i="1"/>
  <c r="AF283" i="1"/>
  <c r="X635" i="1"/>
  <c r="X394" i="1"/>
  <c r="BY360" i="1"/>
  <c r="BY362" i="1" s="1"/>
  <c r="BY396" i="1" s="1"/>
  <c r="BY313" i="1"/>
  <c r="BY315" i="1" s="1"/>
  <c r="X34" i="9"/>
  <c r="X291" i="1"/>
  <c r="BC651" i="1"/>
  <c r="BC283" i="1"/>
  <c r="AE953" i="1"/>
  <c r="R51" i="9"/>
  <c r="R297" i="1"/>
  <c r="AF385" i="1"/>
  <c r="AF394" i="1" s="1"/>
  <c r="AF71" i="1"/>
  <c r="BB635" i="1"/>
  <c r="BB394" i="1"/>
  <c r="AD953" i="1"/>
  <c r="AD87" i="9"/>
  <c r="AD102" i="9"/>
  <c r="F91" i="1"/>
  <c r="K90" i="1"/>
  <c r="F90" i="1"/>
  <c r="AQ67" i="1"/>
  <c r="BA48" i="1"/>
  <c r="CA26" i="9"/>
  <c r="CA370" i="1"/>
  <c r="CB995" i="1" s="1"/>
  <c r="CA38" i="1"/>
  <c r="CA19" i="9" s="1"/>
  <c r="CA37" i="1"/>
  <c r="CA44" i="1"/>
  <c r="BC113" i="1"/>
  <c r="BC531" i="1" s="1"/>
  <c r="BC101" i="1"/>
  <c r="BC102" i="1"/>
  <c r="BC103" i="1" s="1"/>
  <c r="BI75" i="1"/>
  <c r="BV75" i="1"/>
  <c r="BV76" i="1"/>
  <c r="BM48" i="1"/>
  <c r="AR766" i="1"/>
  <c r="AR765" i="1"/>
  <c r="AR764" i="1"/>
  <c r="BX399" i="1"/>
  <c r="BW117" i="1"/>
  <c r="BW399" i="1" s="1"/>
  <c r="BW925" i="1" s="1"/>
  <c r="BW936" i="1" s="1"/>
  <c r="BY90" i="1"/>
  <c r="BY91" i="1"/>
  <c r="BL220" i="1"/>
  <c r="W385" i="1"/>
  <c r="W71" i="1"/>
  <c r="N48" i="1"/>
  <c r="N49" i="1" s="1"/>
  <c r="N47" i="1"/>
  <c r="U66" i="1"/>
  <c r="U46" i="1"/>
  <c r="U81" i="1"/>
  <c r="U82" i="1" s="1"/>
  <c r="U96" i="1"/>
  <c r="U97" i="1" s="1"/>
  <c r="CE26" i="9"/>
  <c r="CE370" i="1"/>
  <c r="CE44" i="1"/>
  <c r="CE38" i="1"/>
  <c r="CE19" i="9" s="1"/>
  <c r="BP102" i="1"/>
  <c r="BP113" i="1"/>
  <c r="BP531" i="1" s="1"/>
  <c r="BP101" i="1"/>
  <c r="AJ102" i="1"/>
  <c r="AJ103" i="1" s="1"/>
  <c r="AJ101" i="1"/>
  <c r="AO507" i="1"/>
  <c r="N35" i="9"/>
  <c r="N290" i="1"/>
  <c r="N58" i="9" s="1"/>
  <c r="AO101" i="1"/>
  <c r="AN90" i="1"/>
  <c r="AN91" i="1"/>
  <c r="AZ72" i="1"/>
  <c r="AB76" i="1"/>
  <c r="O211" i="1"/>
  <c r="O204" i="1"/>
  <c r="O205" i="1"/>
  <c r="AI101" i="1"/>
  <c r="AI102" i="1"/>
  <c r="AI103" i="1" s="1"/>
  <c r="AN101" i="1"/>
  <c r="M47" i="1"/>
  <c r="BP76" i="1"/>
  <c r="BP75" i="1"/>
  <c r="BM765" i="1"/>
  <c r="BM766" i="1"/>
  <c r="BM764" i="1"/>
  <c r="AP48" i="1"/>
  <c r="AT766" i="1"/>
  <c r="AT765" i="1"/>
  <c r="AT764" i="1"/>
  <c r="AZ76" i="1"/>
  <c r="AS841" i="1"/>
  <c r="CH557" i="1"/>
  <c r="CH558" i="1" s="1"/>
  <c r="Z34" i="9"/>
  <c r="Z291" i="1"/>
  <c r="BO635" i="1"/>
  <c r="BO394" i="1"/>
  <c r="BO285" i="1"/>
  <c r="AT33" i="9"/>
  <c r="AT55" i="1"/>
  <c r="AT56" i="1" s="1"/>
  <c r="AR102" i="9"/>
  <c r="AR87" i="9"/>
  <c r="BY745" i="1"/>
  <c r="BZ951" i="1"/>
  <c r="CE951" i="1" s="1"/>
  <c r="Q953" i="1"/>
  <c r="BG954" i="1"/>
  <c r="BE705" i="1"/>
  <c r="AH589" i="1"/>
  <c r="AH583" i="1"/>
  <c r="AH620" i="1"/>
  <c r="AH586" i="1"/>
  <c r="AQ745" i="1"/>
  <c r="AQ746" i="1" s="1"/>
  <c r="AQ742" i="1"/>
  <c r="BJ36" i="9"/>
  <c r="BJ292" i="1"/>
  <c r="BJ59" i="9" s="1"/>
  <c r="AX955" i="1"/>
  <c r="AR394" i="1"/>
  <c r="AR285" i="1"/>
  <c r="AR635" i="1"/>
  <c r="BN313" i="1"/>
  <c r="BN315" i="1" s="1"/>
  <c r="BN360" i="1"/>
  <c r="BN362" i="1" s="1"/>
  <c r="BN396" i="1" s="1"/>
  <c r="BN162" i="1"/>
  <c r="BN166" i="1" s="1"/>
  <c r="AI766" i="1"/>
  <c r="AI765" i="1"/>
  <c r="AI764" i="1"/>
  <c r="AO765" i="1"/>
  <c r="AO764" i="1"/>
  <c r="AO766" i="1"/>
  <c r="K745" i="1"/>
  <c r="K746" i="1" s="1"/>
  <c r="K742" i="1"/>
  <c r="AB42" i="9"/>
  <c r="AB429" i="1"/>
  <c r="AU34" i="9"/>
  <c r="AU291" i="1"/>
  <c r="BL955" i="1"/>
  <c r="AN954" i="1"/>
  <c r="P954" i="1"/>
  <c r="W38" i="9"/>
  <c r="W97" i="9" s="1"/>
  <c r="W400" i="1"/>
  <c r="W294" i="1"/>
  <c r="W61" i="9" s="1"/>
  <c r="AI42" i="9"/>
  <c r="CA282" i="1"/>
  <c r="BB34" i="9"/>
  <c r="BB291" i="1"/>
  <c r="BE317" i="1"/>
  <c r="BE320" i="1"/>
  <c r="BE327" i="1" s="1"/>
  <c r="BE415" i="1" s="1"/>
  <c r="E317" i="1"/>
  <c r="E320" i="1"/>
  <c r="E327" i="1" s="1"/>
  <c r="E415" i="1" s="1"/>
  <c r="BL99" i="9"/>
  <c r="BL1019" i="1"/>
  <c r="BL1030" i="1"/>
  <c r="D64" i="9"/>
  <c r="D66" i="9" s="1"/>
  <c r="D724" i="1"/>
  <c r="D725" i="1" s="1"/>
  <c r="D726" i="1" s="1"/>
  <c r="D727" i="1" s="1"/>
  <c r="D706" i="1"/>
  <c r="Y990" i="1"/>
  <c r="K102" i="9"/>
  <c r="K103" i="9" s="1"/>
  <c r="K104" i="9" s="1"/>
  <c r="K87" i="9"/>
  <c r="K749" i="1"/>
  <c r="K750" i="1"/>
  <c r="AC34" i="9"/>
  <c r="AC291" i="1"/>
  <c r="E33" i="9"/>
  <c r="E55" i="1"/>
  <c r="E56" i="1" s="1"/>
  <c r="E57" i="1" s="1"/>
  <c r="D211" i="1"/>
  <c r="D204" i="1"/>
  <c r="D203" i="1"/>
  <c r="D205" i="1"/>
  <c r="N33" i="9"/>
  <c r="N55" i="1"/>
  <c r="N56" i="1" s="1"/>
  <c r="N57" i="1" s="1"/>
  <c r="AW82" i="1"/>
  <c r="BO57" i="1"/>
  <c r="BO46" i="1"/>
  <c r="BO81" i="1"/>
  <c r="BO82" i="1" s="1"/>
  <c r="BO85" i="1"/>
  <c r="BO96" i="1"/>
  <c r="BO97" i="1" s="1"/>
  <c r="BO66" i="1"/>
  <c r="BO67" i="1" s="1"/>
  <c r="BO54" i="1"/>
  <c r="BO87" i="1"/>
  <c r="BC764" i="1"/>
  <c r="BC766" i="1"/>
  <c r="BC765" i="1"/>
  <c r="Z766" i="1"/>
  <c r="Z765" i="1"/>
  <c r="Z764" i="1"/>
  <c r="O449" i="1"/>
  <c r="O450" i="1"/>
  <c r="T955" i="1"/>
  <c r="BE51" i="9"/>
  <c r="BE748" i="1"/>
  <c r="BE297" i="1"/>
  <c r="AJ313" i="1"/>
  <c r="AJ315" i="1" s="1"/>
  <c r="AJ360" i="1"/>
  <c r="AJ362" i="1" s="1"/>
  <c r="AJ396" i="1" s="1"/>
  <c r="CH23" i="9"/>
  <c r="CH24" i="1"/>
  <c r="CH16" i="9" s="1"/>
  <c r="CI22" i="1"/>
  <c r="R33" i="9"/>
  <c r="R55" i="1"/>
  <c r="R56" i="1" s="1"/>
  <c r="R57" i="1" s="1"/>
  <c r="K42" i="9"/>
  <c r="K429" i="1"/>
  <c r="AY57" i="9"/>
  <c r="AY1033" i="1"/>
  <c r="C320" i="1"/>
  <c r="C327" i="1" s="1"/>
  <c r="C415" i="1" s="1"/>
  <c r="C317" i="1"/>
  <c r="AK320" i="1"/>
  <c r="AK327" i="1" s="1"/>
  <c r="AK415" i="1" s="1"/>
  <c r="AK317" i="1"/>
  <c r="C38" i="9"/>
  <c r="C97" i="9" s="1"/>
  <c r="C98" i="9" s="1"/>
  <c r="C101" i="9" s="1"/>
  <c r="C400" i="1"/>
  <c r="C294" i="1"/>
  <c r="C61" i="9" s="1"/>
  <c r="J722" i="1"/>
  <c r="H385" i="1"/>
  <c r="H71" i="1"/>
  <c r="L32" i="9"/>
  <c r="L377" i="1"/>
  <c r="L53" i="1"/>
  <c r="Z91" i="1"/>
  <c r="S46" i="1"/>
  <c r="S81" i="1"/>
  <c r="S70" i="1"/>
  <c r="S85" i="1"/>
  <c r="S87" i="1"/>
  <c r="AV765" i="1"/>
  <c r="AV766" i="1"/>
  <c r="AV764" i="1"/>
  <c r="G764" i="1"/>
  <c r="G766" i="1"/>
  <c r="G765" i="1"/>
  <c r="AM36" i="9"/>
  <c r="AM292" i="1"/>
  <c r="AM59" i="9" s="1"/>
  <c r="AQ33" i="9"/>
  <c r="AQ55" i="1"/>
  <c r="AQ56" i="1" s="1"/>
  <c r="AQ57" i="1" s="1"/>
  <c r="BA33" i="9"/>
  <c r="BA378" i="1"/>
  <c r="BA55" i="1"/>
  <c r="BA56" i="1" s="1"/>
  <c r="BA57" i="1" s="1"/>
  <c r="P635" i="1"/>
  <c r="P394" i="1"/>
  <c r="T309" i="1"/>
  <c r="T329" i="1"/>
  <c r="T339" i="1" s="1"/>
  <c r="X651" i="1"/>
  <c r="X283" i="1"/>
  <c r="F203" i="1"/>
  <c r="F205" i="1"/>
  <c r="F211" i="1"/>
  <c r="F204" i="1"/>
  <c r="BY399" i="1"/>
  <c r="AA46" i="1"/>
  <c r="AA87" i="1"/>
  <c r="AA70" i="1"/>
  <c r="AA81" i="1"/>
  <c r="V764" i="1"/>
  <c r="V766" i="1"/>
  <c r="V765" i="1"/>
  <c r="R42" i="9"/>
  <c r="BD394" i="1"/>
  <c r="BD635" i="1"/>
  <c r="AV283" i="1"/>
  <c r="AV651" i="1"/>
  <c r="AN635" i="1"/>
  <c r="O651" i="1"/>
  <c r="O652" i="1" s="1"/>
  <c r="F651" i="1"/>
  <c r="F283" i="1"/>
  <c r="AA360" i="1"/>
  <c r="AA362" i="1" s="1"/>
  <c r="AA396" i="1" s="1"/>
  <c r="AA313" i="1"/>
  <c r="AA315" i="1" s="1"/>
  <c r="I38" i="9"/>
  <c r="I97" i="9" s="1"/>
  <c r="I294" i="1"/>
  <c r="I61" i="9" s="1"/>
  <c r="I400" i="1"/>
  <c r="BV42" i="9"/>
  <c r="BV429" i="1"/>
  <c r="AP42" i="9"/>
  <c r="AP429" i="1"/>
  <c r="O34" i="9"/>
  <c r="BK56" i="9"/>
  <c r="BK286" i="1"/>
  <c r="AM587" i="1"/>
  <c r="AM590" i="1"/>
  <c r="AL203" i="1"/>
  <c r="AL211" i="1"/>
  <c r="AL204" i="1"/>
  <c r="AL205" i="1"/>
  <c r="AO33" i="9"/>
  <c r="AO55" i="1"/>
  <c r="AO56" i="1" s="1"/>
  <c r="I33" i="9"/>
  <c r="I55" i="1"/>
  <c r="I56" i="1" s="1"/>
  <c r="I57" i="1" s="1"/>
  <c r="BF33" i="9"/>
  <c r="BF55" i="1"/>
  <c r="BF56" i="1" s="1"/>
  <c r="BF57" i="1" s="1"/>
  <c r="BJ587" i="1"/>
  <c r="BJ590" i="1"/>
  <c r="AL283" i="1"/>
  <c r="AL651" i="1"/>
  <c r="AT203" i="1"/>
  <c r="AT211" i="1"/>
  <c r="AT204" i="1"/>
  <c r="AT205" i="1"/>
  <c r="AF33" i="9"/>
  <c r="AF55" i="1"/>
  <c r="P415" i="1"/>
  <c r="BB203" i="1"/>
  <c r="BB211" i="1"/>
  <c r="BB204" i="1"/>
  <c r="BB205" i="1"/>
  <c r="AN936" i="1"/>
  <c r="BS90" i="1"/>
  <c r="BS91" i="1"/>
  <c r="BX90" i="1"/>
  <c r="AA75" i="1"/>
  <c r="AA76" i="1"/>
  <c r="S52" i="1"/>
  <c r="AI936" i="1"/>
  <c r="AU101" i="1"/>
  <c r="AU102" i="1"/>
  <c r="AU103" i="1" s="1"/>
  <c r="BR90" i="1"/>
  <c r="BR91" i="1"/>
  <c r="AQ76" i="1"/>
  <c r="BV66" i="1"/>
  <c r="AQ320" i="1"/>
  <c r="AQ327" i="1" s="1"/>
  <c r="AQ415" i="1" s="1"/>
  <c r="AQ317" i="1"/>
  <c r="BU75" i="1"/>
  <c r="BU76" i="1"/>
  <c r="I74" i="1"/>
  <c r="V46" i="1"/>
  <c r="V70" i="1"/>
  <c r="V66" i="1"/>
  <c r="V67" i="1" s="1"/>
  <c r="V96" i="1"/>
  <c r="V97" i="1" s="1"/>
  <c r="V85" i="1"/>
  <c r="P51" i="9"/>
  <c r="P748" i="1"/>
  <c r="P297" i="1"/>
  <c r="BN214" i="1"/>
  <c r="BN218" i="1" s="1"/>
  <c r="BJ218" i="1"/>
  <c r="BJ220" i="1" s="1"/>
  <c r="W32" i="9"/>
  <c r="W53" i="1"/>
  <c r="W377" i="1"/>
  <c r="BV113" i="1"/>
  <c r="BV531" i="1" s="1"/>
  <c r="AV66" i="1"/>
  <c r="AV46" i="1"/>
  <c r="BA47" i="1" s="1"/>
  <c r="AV96" i="1"/>
  <c r="AV97" i="1" s="1"/>
  <c r="AV70" i="1"/>
  <c r="AV54" i="1"/>
  <c r="Z47" i="1"/>
  <c r="Z48" i="1"/>
  <c r="AY721" i="1"/>
  <c r="AY722" i="1" s="1"/>
  <c r="BM101" i="1"/>
  <c r="BM102" i="1"/>
  <c r="BR101" i="1"/>
  <c r="BM113" i="1"/>
  <c r="BM531" i="1" s="1"/>
  <c r="AG102" i="1"/>
  <c r="AG101" i="1"/>
  <c r="P90" i="1"/>
  <c r="P91" i="1"/>
  <c r="P92" i="1" s="1"/>
  <c r="F76" i="1"/>
  <c r="F75" i="1"/>
  <c r="S766" i="1"/>
  <c r="S765" i="1"/>
  <c r="S764" i="1"/>
  <c r="CG24" i="9"/>
  <c r="CG27" i="1"/>
  <c r="BS953" i="1"/>
  <c r="O210" i="1"/>
  <c r="BH72" i="1"/>
  <c r="M49" i="1"/>
  <c r="CE22" i="9"/>
  <c r="CE12" i="1"/>
  <c r="CH11" i="1"/>
  <c r="CF12" i="1"/>
  <c r="D4" i="13"/>
  <c r="D3" i="13"/>
  <c r="I102" i="1"/>
  <c r="Y765" i="1"/>
  <c r="Y766" i="1"/>
  <c r="Y764" i="1"/>
  <c r="X48" i="1"/>
  <c r="AD46" i="1"/>
  <c r="AD52" i="1"/>
  <c r="AD57" i="1"/>
  <c r="AD70" i="1"/>
  <c r="AD96" i="1"/>
  <c r="AD66" i="1"/>
  <c r="AD87" i="1"/>
  <c r="AD54" i="1"/>
  <c r="T26" i="9"/>
  <c r="T44" i="1"/>
  <c r="T91" i="1" s="1"/>
  <c r="T38" i="1"/>
  <c r="T19" i="9" s="1"/>
  <c r="T37" i="1"/>
  <c r="E764" i="1"/>
  <c r="E766" i="1"/>
  <c r="E765" i="1"/>
  <c r="AS910" i="1"/>
  <c r="AS718" i="1"/>
  <c r="AS73" i="9" s="1"/>
  <c r="BW33" i="9"/>
  <c r="BW55" i="1"/>
  <c r="BW56" i="1" s="1"/>
  <c r="BW57" i="1" s="1"/>
  <c r="BU587" i="1"/>
  <c r="BU590" i="1"/>
  <c r="BR954" i="1"/>
  <c r="F955" i="1"/>
  <c r="R844" i="1"/>
  <c r="T102" i="9"/>
  <c r="T87" i="9"/>
  <c r="AC450" i="1"/>
  <c r="AC449" i="1"/>
  <c r="BH280" i="1"/>
  <c r="BH283" i="1" s="1"/>
  <c r="BH390" i="1"/>
  <c r="BH79" i="1"/>
  <c r="BW745" i="1"/>
  <c r="BW746" i="1" s="1"/>
  <c r="BW742" i="1"/>
  <c r="J745" i="1"/>
  <c r="J746" i="1" s="1"/>
  <c r="J742" i="1"/>
  <c r="E34" i="9"/>
  <c r="E291" i="1"/>
  <c r="Z651" i="1"/>
  <c r="Z283" i="1"/>
  <c r="BQ635" i="1"/>
  <c r="BQ394" i="1"/>
  <c r="BQ285" i="1"/>
  <c r="AJ635" i="1"/>
  <c r="AJ285" i="1"/>
  <c r="AP33" i="9"/>
  <c r="AP55" i="1"/>
  <c r="AP56" i="1" s="1"/>
  <c r="AP57" i="1" s="1"/>
  <c r="AE34" i="9"/>
  <c r="AE291" i="1"/>
  <c r="AT320" i="1"/>
  <c r="AT327" i="1" s="1"/>
  <c r="N38" i="9"/>
  <c r="N97" i="9" s="1"/>
  <c r="N294" i="1"/>
  <c r="N61" i="9" s="1"/>
  <c r="N400" i="1"/>
  <c r="BC449" i="1"/>
  <c r="BE449" i="1"/>
  <c r="BC492" i="1"/>
  <c r="BC450" i="1"/>
  <c r="AE1030" i="1"/>
  <c r="D704" i="1"/>
  <c r="D728" i="1"/>
  <c r="D707" i="1"/>
  <c r="D760" i="1" s="1"/>
  <c r="Y954" i="1"/>
  <c r="BR87" i="9"/>
  <c r="BR102" i="9"/>
  <c r="BQ34" i="9"/>
  <c r="BQ291" i="1"/>
  <c r="AU400" i="1"/>
  <c r="BF85" i="1"/>
  <c r="BF96" i="1"/>
  <c r="BF97" i="1" s="1"/>
  <c r="BF87" i="1"/>
  <c r="BF72" i="1"/>
  <c r="BF46" i="1"/>
  <c r="BF81" i="1"/>
  <c r="BF82" i="1" s="1"/>
  <c r="BY21" i="9"/>
  <c r="BY1026" i="1"/>
  <c r="BY8" i="1"/>
  <c r="BY9" i="1"/>
  <c r="BY14" i="9" s="1"/>
  <c r="CC7" i="1"/>
  <c r="BZ8" i="1"/>
  <c r="CD7" i="1"/>
  <c r="BF765" i="1"/>
  <c r="BF764" i="1"/>
  <c r="BF766" i="1"/>
  <c r="BP64" i="9"/>
  <c r="BP66" i="9" s="1"/>
  <c r="BP724" i="1"/>
  <c r="BP725" i="1" s="1"/>
  <c r="BP726" i="1" s="1"/>
  <c r="BP727" i="1" s="1"/>
  <c r="CC391" i="1"/>
  <c r="H317" i="1"/>
  <c r="H320" i="1"/>
  <c r="H327" i="1" s="1"/>
  <c r="H415" i="1" s="1"/>
  <c r="AK33" i="9"/>
  <c r="AK55" i="1"/>
  <c r="AK56" i="1" s="1"/>
  <c r="AK57" i="1" s="1"/>
  <c r="AZ81" i="1"/>
  <c r="AZ46" i="1"/>
  <c r="AZ52" i="1"/>
  <c r="AZ91" i="1"/>
  <c r="AZ66" i="1"/>
  <c r="AZ67" i="1" s="1"/>
  <c r="BJ33" i="9"/>
  <c r="BJ55" i="1"/>
  <c r="BJ56" i="1" s="1"/>
  <c r="AK38" i="9"/>
  <c r="AK97" i="9" s="1"/>
  <c r="AK400" i="1"/>
  <c r="AK294" i="1"/>
  <c r="AK61" i="9" s="1"/>
  <c r="BM29" i="9"/>
  <c r="BM1026" i="1"/>
  <c r="BM951" i="1"/>
  <c r="BM956" i="1" s="1"/>
  <c r="BM581" i="1"/>
  <c r="BM378" i="1"/>
  <c r="BM290" i="1"/>
  <c r="BM58" i="9" s="1"/>
  <c r="BM285" i="1"/>
  <c r="BM281" i="1"/>
  <c r="BM280" i="1"/>
  <c r="F56" i="9"/>
  <c r="F286" i="1"/>
  <c r="AM283" i="1"/>
  <c r="AM651" i="1"/>
  <c r="T204" i="1"/>
  <c r="AU33" i="9"/>
  <c r="AU55" i="1"/>
  <c r="AU56" i="1" s="1"/>
  <c r="AU57" i="1" s="1"/>
  <c r="D32" i="9"/>
  <c r="D377" i="1"/>
  <c r="D53" i="1"/>
  <c r="R91" i="1"/>
  <c r="R90" i="1"/>
  <c r="AN744" i="1"/>
  <c r="BY33" i="9"/>
  <c r="CC377" i="1"/>
  <c r="CC33" i="9" s="1"/>
  <c r="BY378" i="1"/>
  <c r="BY55" i="1"/>
  <c r="P285" i="1"/>
  <c r="T42" i="9"/>
  <c r="T429" i="1"/>
  <c r="J385" i="1"/>
  <c r="J281" i="1"/>
  <c r="J64" i="1"/>
  <c r="K38" i="9"/>
  <c r="K97" i="9" s="1"/>
  <c r="K98" i="9" s="1"/>
  <c r="K400" i="1"/>
  <c r="K294" i="1"/>
  <c r="K61" i="9" s="1"/>
  <c r="AK211" i="1"/>
  <c r="AK204" i="1"/>
  <c r="AK203" i="1"/>
  <c r="AK205" i="1"/>
  <c r="F210" i="1"/>
  <c r="K33" i="9"/>
  <c r="K55" i="1"/>
  <c r="K56" i="1" s="1"/>
  <c r="K57" i="1" s="1"/>
  <c r="BI113" i="1"/>
  <c r="BI531" i="1" s="1"/>
  <c r="BI532" i="1" s="1"/>
  <c r="BI533" i="1" s="1"/>
  <c r="BB75" i="1"/>
  <c r="BB76" i="1"/>
  <c r="BV54" i="1"/>
  <c r="R46" i="1"/>
  <c r="R96" i="1"/>
  <c r="R97" i="1" s="1"/>
  <c r="R81" i="1"/>
  <c r="R82" i="1" s="1"/>
  <c r="R87" i="1"/>
  <c r="Y26" i="9"/>
  <c r="Y37" i="1"/>
  <c r="Y38" i="1"/>
  <c r="Y19" i="9" s="1"/>
  <c r="Y44" i="1"/>
  <c r="Y102" i="1" s="1"/>
  <c r="AU764" i="1"/>
  <c r="AU765" i="1"/>
  <c r="AU766" i="1"/>
  <c r="BF742" i="1"/>
  <c r="BF745" i="1"/>
  <c r="BF746" i="1" s="1"/>
  <c r="Z745" i="1"/>
  <c r="Z746" i="1" s="1"/>
  <c r="Z742" i="1"/>
  <c r="BN651" i="1"/>
  <c r="BN283" i="1"/>
  <c r="BL590" i="1"/>
  <c r="BL587" i="1"/>
  <c r="AV590" i="1"/>
  <c r="AV587" i="1"/>
  <c r="AN285" i="1"/>
  <c r="AF285" i="1"/>
  <c r="X285" i="1"/>
  <c r="F635" i="1"/>
  <c r="F394" i="1"/>
  <c r="AY317" i="1"/>
  <c r="AY320" i="1"/>
  <c r="AY327" i="1" s="1"/>
  <c r="BP360" i="1"/>
  <c r="BP362" i="1" s="1"/>
  <c r="BP396" i="1" s="1"/>
  <c r="BP313" i="1"/>
  <c r="BP315" i="1" s="1"/>
  <c r="I317" i="1"/>
  <c r="I320" i="1"/>
  <c r="I327" i="1" s="1"/>
  <c r="I415" i="1" s="1"/>
  <c r="V203" i="1"/>
  <c r="V211" i="1"/>
  <c r="V204" i="1"/>
  <c r="V205" i="1"/>
  <c r="AD450" i="1"/>
  <c r="AD449" i="1"/>
  <c r="F34" i="9"/>
  <c r="F291" i="1"/>
  <c r="BK587" i="1"/>
  <c r="BK590" i="1"/>
  <c r="BC635" i="1"/>
  <c r="BC394" i="1"/>
  <c r="AU590" i="1"/>
  <c r="AU587" i="1"/>
  <c r="AL210" i="1"/>
  <c r="AD56" i="9"/>
  <c r="AD286" i="1"/>
  <c r="V651" i="1"/>
  <c r="V283" i="1"/>
  <c r="AT210" i="1"/>
  <c r="H33" i="9"/>
  <c r="H55" i="1"/>
  <c r="H56" i="1" s="1"/>
  <c r="H57" i="1" s="1"/>
  <c r="AT87" i="9"/>
  <c r="AT102" i="9"/>
  <c r="AT750" i="1"/>
  <c r="AT749" i="1"/>
  <c r="E102" i="9"/>
  <c r="F103" i="9" s="1"/>
  <c r="F104" i="9" s="1"/>
  <c r="E87" i="9"/>
  <c r="E749" i="1"/>
  <c r="E750" i="1"/>
  <c r="BH651" i="1"/>
  <c r="BB210" i="1"/>
  <c r="AV34" i="9"/>
  <c r="AV291" i="1"/>
  <c r="N103" i="1"/>
  <c r="AT91" i="1"/>
  <c r="AT90" i="1"/>
  <c r="M82" i="1"/>
  <c r="X76" i="1"/>
  <c r="BN75" i="1"/>
  <c r="BV52" i="1"/>
  <c r="AH48" i="1"/>
  <c r="CC23" i="9"/>
  <c r="CC24" i="1"/>
  <c r="CC16" i="9" s="1"/>
  <c r="AA766" i="1"/>
  <c r="AA764" i="1"/>
  <c r="AA765" i="1"/>
  <c r="AS51" i="9"/>
  <c r="AS748" i="1"/>
  <c r="AS297" i="1"/>
  <c r="AQ294" i="1"/>
  <c r="AQ61" i="9" s="1"/>
  <c r="T205" i="1"/>
  <c r="BT76" i="1"/>
  <c r="BT75" i="1"/>
  <c r="AN66" i="1"/>
  <c r="AN46" i="1"/>
  <c r="AN96" i="1"/>
  <c r="O72" i="1"/>
  <c r="O74" i="1"/>
  <c r="AP103" i="1"/>
  <c r="BE91" i="1"/>
  <c r="BE90" i="1"/>
  <c r="AG91" i="1"/>
  <c r="AG90" i="1"/>
  <c r="AY766" i="1"/>
  <c r="AY764" i="1"/>
  <c r="AY765" i="1"/>
  <c r="BD360" i="1"/>
  <c r="BD362" i="1" s="1"/>
  <c r="BD396" i="1" s="1"/>
  <c r="BD313" i="1"/>
  <c r="BD315" i="1" s="1"/>
  <c r="T203" i="1"/>
  <c r="F33" i="9"/>
  <c r="F55" i="1"/>
  <c r="AZ96" i="1"/>
  <c r="AB102" i="1"/>
  <c r="AB103" i="1" s="1"/>
  <c r="AB113" i="1"/>
  <c r="AB531" i="1" s="1"/>
  <c r="AB101" i="1"/>
  <c r="BF91" i="1"/>
  <c r="AL46" i="1"/>
  <c r="AL70" i="1"/>
  <c r="AL81" i="1"/>
  <c r="AL82" i="1" s="1"/>
  <c r="AS43" i="9"/>
  <c r="AS52" i="9"/>
  <c r="AS411" i="1"/>
  <c r="AS433" i="1"/>
  <c r="AS53" i="9" s="1"/>
  <c r="AS82" i="9" s="1"/>
  <c r="V102" i="1"/>
  <c r="AV102" i="1"/>
  <c r="BD90" i="1"/>
  <c r="AN81" i="1"/>
  <c r="L74" i="1"/>
  <c r="V52" i="1"/>
  <c r="BB766" i="1"/>
  <c r="BB765" i="1"/>
  <c r="BB764" i="1"/>
  <c r="BS608" i="1"/>
  <c r="BR608" i="1"/>
  <c r="BP608" i="1"/>
  <c r="BS590" i="1"/>
  <c r="BO608" i="1"/>
  <c r="BQ608" i="1"/>
  <c r="BW113" i="1"/>
  <c r="BW531" i="1" s="1"/>
  <c r="BW101" i="1"/>
  <c r="BW102" i="1"/>
  <c r="BW103" i="1" s="1"/>
  <c r="CB101" i="1"/>
  <c r="AY113" i="1"/>
  <c r="AY531" i="1" s="1"/>
  <c r="AY101" i="1"/>
  <c r="AA96" i="1"/>
  <c r="AE90" i="1"/>
  <c r="AE91" i="1"/>
  <c r="U52" i="1"/>
  <c r="BS85" i="1"/>
  <c r="BS46" i="1"/>
  <c r="BS57" i="1"/>
  <c r="BS52" i="1"/>
  <c r="BS72" i="1"/>
  <c r="BR97" i="1"/>
  <c r="BB91" i="1"/>
  <c r="BG92" i="1" s="1"/>
  <c r="BB90" i="1"/>
  <c r="D764" i="1"/>
  <c r="D766" i="1"/>
  <c r="D765" i="1"/>
  <c r="AC67" i="1"/>
  <c r="W103" i="1"/>
  <c r="AK46" i="1"/>
  <c r="AK96" i="1"/>
  <c r="AK66" i="1"/>
  <c r="AP67" i="1" s="1"/>
  <c r="AK81" i="1"/>
  <c r="AK70" i="1"/>
  <c r="AK85" i="1"/>
  <c r="AK87" i="1"/>
  <c r="X313" i="1"/>
  <c r="X315" i="1" s="1"/>
  <c r="X360" i="1"/>
  <c r="X362" i="1" s="1"/>
  <c r="X396" i="1" s="1"/>
  <c r="AC765" i="1"/>
  <c r="AC766" i="1"/>
  <c r="AC764" i="1"/>
  <c r="CB53" i="1"/>
  <c r="CB71" i="1"/>
  <c r="CB51" i="1"/>
  <c r="CB69" i="1"/>
  <c r="CB86" i="1"/>
  <c r="CB102" i="1"/>
  <c r="CB84" i="1"/>
  <c r="F5" i="13"/>
  <c r="F2" i="9"/>
  <c r="E683" i="1"/>
  <c r="K5" i="1"/>
  <c r="G5" i="1"/>
  <c r="F954" i="1"/>
  <c r="Q109" i="9"/>
  <c r="AZ102" i="9"/>
  <c r="AZ87" i="9"/>
  <c r="AS590" i="1"/>
  <c r="AS587" i="1"/>
  <c r="CH391" i="1"/>
  <c r="BZ948" i="1"/>
  <c r="CE948" i="1" s="1"/>
  <c r="BU953" i="1"/>
  <c r="AG394" i="1"/>
  <c r="AG635" i="1"/>
  <c r="AG285" i="1"/>
  <c r="U103" i="9"/>
  <c r="U104" i="9" s="1"/>
  <c r="V36" i="9"/>
  <c r="V292" i="1"/>
  <c r="V59" i="9" s="1"/>
  <c r="AX313" i="1"/>
  <c r="AX315" i="1" s="1"/>
  <c r="AX360" i="1"/>
  <c r="AX362" i="1" s="1"/>
  <c r="AX396" i="1" s="1"/>
  <c r="BO742" i="1"/>
  <c r="BO745" i="1"/>
  <c r="BO746" i="1" s="1"/>
  <c r="BM291" i="1"/>
  <c r="BF651" i="1"/>
  <c r="BF283" i="1"/>
  <c r="AP651" i="1"/>
  <c r="AP283" i="1"/>
  <c r="Z954" i="1"/>
  <c r="AZ590" i="1"/>
  <c r="AZ587" i="1"/>
  <c r="AR590" i="1"/>
  <c r="AR587" i="1"/>
  <c r="AJ590" i="1"/>
  <c r="AJ608" i="1"/>
  <c r="AI608" i="1"/>
  <c r="AH608" i="1"/>
  <c r="BB38" i="9"/>
  <c r="BB97" i="9" s="1"/>
  <c r="BB294" i="1"/>
  <c r="BB61" i="9" s="1"/>
  <c r="BB410" i="1"/>
  <c r="BB400" i="1"/>
  <c r="BW766" i="1"/>
  <c r="BW765" i="1"/>
  <c r="BW764" i="1"/>
  <c r="AG765" i="1"/>
  <c r="AG764" i="1"/>
  <c r="AG766" i="1"/>
  <c r="G463" i="1"/>
  <c r="G467" i="1" s="1"/>
  <c r="H463" i="1" s="1"/>
  <c r="H467" i="1" s="1"/>
  <c r="I463" i="1" s="1"/>
  <c r="I467" i="1" s="1"/>
  <c r="J463" i="1" s="1"/>
  <c r="J467" i="1" s="1"/>
  <c r="K463" i="1"/>
  <c r="BK34" i="9"/>
  <c r="BK291" i="1"/>
  <c r="AF954" i="1"/>
  <c r="BL360" i="1"/>
  <c r="BL362" i="1" s="1"/>
  <c r="BL396" i="1" s="1"/>
  <c r="BL313" i="1"/>
  <c r="BL315" i="1" s="1"/>
  <c r="E38" i="9"/>
  <c r="E97" i="9" s="1"/>
  <c r="E98" i="9" s="1"/>
  <c r="E400" i="1"/>
  <c r="E294" i="1"/>
  <c r="E61" i="9" s="1"/>
  <c r="BO42" i="9"/>
  <c r="BO429" i="1"/>
  <c r="AT51" i="9"/>
  <c r="AT748" i="1"/>
  <c r="AT297" i="1"/>
  <c r="H36" i="9"/>
  <c r="H292" i="1"/>
  <c r="H59" i="9" s="1"/>
  <c r="M34" i="9"/>
  <c r="M291" i="1"/>
  <c r="V360" i="1"/>
  <c r="V362" i="1" s="1"/>
  <c r="V396" i="1" s="1"/>
  <c r="V313" i="1"/>
  <c r="V315" i="1" s="1"/>
  <c r="AE954" i="1"/>
  <c r="C64" i="9"/>
  <c r="C66" i="9" s="1"/>
  <c r="C724" i="1"/>
  <c r="C725" i="1" s="1"/>
  <c r="C726" i="1" s="1"/>
  <c r="C727" i="1" s="1"/>
  <c r="C706" i="1"/>
  <c r="BQ590" i="1"/>
  <c r="D651" i="1"/>
  <c r="D283" i="1"/>
  <c r="AL96" i="1"/>
  <c r="AL97" i="1" s="1"/>
  <c r="BS66" i="1"/>
  <c r="P64" i="9"/>
  <c r="P66" i="9" s="1"/>
  <c r="P724" i="1"/>
  <c r="P725" i="1" s="1"/>
  <c r="P726" i="1" s="1"/>
  <c r="P727" i="1" s="1"/>
  <c r="P706" i="1"/>
  <c r="BP728" i="1"/>
  <c r="BP729" i="1" s="1"/>
  <c r="BP730" i="1" s="1"/>
  <c r="BP731" i="1" s="1"/>
  <c r="BP707" i="1"/>
  <c r="BY36" i="9"/>
  <c r="BY292" i="1"/>
  <c r="BY59" i="9" s="1"/>
  <c r="AR651" i="1"/>
  <c r="AR283" i="1"/>
  <c r="AB651" i="1"/>
  <c r="AB283" i="1"/>
  <c r="L651" i="1"/>
  <c r="L652" i="1" s="1"/>
  <c r="L283" i="1"/>
  <c r="BP590" i="1"/>
  <c r="BP587" i="1"/>
  <c r="Q38" i="9"/>
  <c r="Q97" i="9" s="1"/>
  <c r="Q400" i="1"/>
  <c r="Q294" i="1"/>
  <c r="Q61" i="9" s="1"/>
  <c r="J765" i="1"/>
  <c r="J766" i="1"/>
  <c r="J764" i="1"/>
  <c r="X764" i="1"/>
  <c r="X765" i="1"/>
  <c r="X766" i="1"/>
  <c r="BX36" i="9"/>
  <c r="BX292" i="1"/>
  <c r="BX59" i="9" s="1"/>
  <c r="M35" i="9"/>
  <c r="M290" i="1"/>
  <c r="M58" i="9" s="1"/>
  <c r="AQ34" i="9"/>
  <c r="AQ291" i="1"/>
  <c r="AC317" i="1"/>
  <c r="AC320" i="1"/>
  <c r="AC327" i="1" s="1"/>
  <c r="AC415" i="1" s="1"/>
  <c r="BM309" i="1"/>
  <c r="BM329" i="1"/>
  <c r="BM339" i="1" s="1"/>
  <c r="D72" i="1"/>
  <c r="D74" i="1"/>
  <c r="CA1" i="9"/>
  <c r="CB4" i="1"/>
  <c r="CA3" i="1"/>
  <c r="BL766" i="1"/>
  <c r="BL765" i="1"/>
  <c r="BL764" i="1"/>
  <c r="W36" i="9"/>
  <c r="W292" i="1"/>
  <c r="W59" i="9" s="1"/>
  <c r="AC635" i="1"/>
  <c r="AC394" i="1"/>
  <c r="AC285" i="1"/>
  <c r="K317" i="1"/>
  <c r="K320" i="1"/>
  <c r="K327" i="1" s="1"/>
  <c r="AS936" i="1"/>
  <c r="X113" i="1"/>
  <c r="X531" i="1" s="1"/>
  <c r="AS75" i="1"/>
  <c r="AS76" i="1"/>
  <c r="Y1026" i="1"/>
  <c r="N764" i="1"/>
  <c r="N766" i="1"/>
  <c r="N765" i="1"/>
  <c r="I42" i="9"/>
  <c r="I429" i="1"/>
  <c r="H35" i="9"/>
  <c r="H290" i="1"/>
  <c r="H58" i="9" s="1"/>
  <c r="BN955" i="1"/>
  <c r="BD956" i="1"/>
  <c r="AY38" i="9"/>
  <c r="AY97" i="9" s="1"/>
  <c r="AY98" i="9" s="1"/>
  <c r="AY101" i="9" s="1"/>
  <c r="AY400" i="1"/>
  <c r="AY294" i="1"/>
  <c r="AY61" i="9" s="1"/>
  <c r="BG320" i="1"/>
  <c r="BG327" i="1" s="1"/>
  <c r="BG415" i="1" s="1"/>
  <c r="BG317" i="1"/>
  <c r="T29" i="9"/>
  <c r="T951" i="1"/>
  <c r="T956" i="1" s="1"/>
  <c r="T948" i="1"/>
  <c r="T953" i="1" s="1"/>
  <c r="T581" i="1"/>
  <c r="T378" i="1"/>
  <c r="T280" i="1"/>
  <c r="T281" i="1"/>
  <c r="T290" i="1"/>
  <c r="T58" i="9" s="1"/>
  <c r="T292" i="1"/>
  <c r="T59" i="9" s="1"/>
  <c r="T282" i="1"/>
  <c r="V210" i="1"/>
  <c r="BN42" i="9"/>
  <c r="AH42" i="9"/>
  <c r="AH429" i="1"/>
  <c r="BK635" i="1"/>
  <c r="BK394" i="1"/>
  <c r="BK956" i="1"/>
  <c r="AU956" i="1"/>
  <c r="AM953" i="1"/>
  <c r="N378" i="1"/>
  <c r="E651" i="1"/>
  <c r="E283" i="1"/>
  <c r="D210" i="1"/>
  <c r="AG33" i="9"/>
  <c r="AG55" i="1"/>
  <c r="AT936" i="1"/>
  <c r="AT938" i="1"/>
  <c r="BY113" i="1"/>
  <c r="BY531" i="1" s="1"/>
  <c r="AX33" i="9"/>
  <c r="AX55" i="1"/>
  <c r="AX56" i="1" s="1"/>
  <c r="AX57" i="1" s="1"/>
  <c r="BJ956" i="1"/>
  <c r="BB587" i="1"/>
  <c r="BB590" i="1"/>
  <c r="BG590" i="1"/>
  <c r="AD635" i="1"/>
  <c r="AD394" i="1"/>
  <c r="S320" i="1"/>
  <c r="S327" i="1" s="1"/>
  <c r="S415" i="1" s="1"/>
  <c r="S317" i="1"/>
  <c r="Q721" i="1"/>
  <c r="Q722" i="1" s="1"/>
  <c r="V87" i="9"/>
  <c r="V102" i="9"/>
  <c r="BH955" i="1"/>
  <c r="BH85" i="1"/>
  <c r="V81" i="1"/>
  <c r="V82" i="1" s="1"/>
  <c r="BW75" i="1"/>
  <c r="BW76" i="1"/>
  <c r="AA66" i="1"/>
  <c r="CF24" i="9"/>
  <c r="CF27" i="1"/>
  <c r="AV72" i="1"/>
  <c r="AH72" i="1"/>
  <c r="AH74" i="1"/>
  <c r="BP936" i="1"/>
  <c r="BP927" i="1"/>
  <c r="BP938" i="1"/>
  <c r="Y90" i="1"/>
  <c r="BJ90" i="1"/>
  <c r="BJ91" i="1"/>
  <c r="BJ92" i="1" s="1"/>
  <c r="M90" i="1"/>
  <c r="M91" i="1"/>
  <c r="M92" i="1" s="1"/>
  <c r="AH82" i="1"/>
  <c r="CG21" i="9"/>
  <c r="CG34" i="1"/>
  <c r="CG8" i="1"/>
  <c r="Y449" i="1"/>
  <c r="O95" i="1"/>
  <c r="O100" i="1"/>
  <c r="O96" i="1"/>
  <c r="O97" i="1" s="1"/>
  <c r="AS211" i="1"/>
  <c r="AS203" i="1"/>
  <c r="M113" i="1"/>
  <c r="M531" i="1" s="1"/>
  <c r="BK91" i="1"/>
  <c r="BK90" i="1"/>
  <c r="BQ90" i="1"/>
  <c r="BV90" i="1"/>
  <c r="BQ91" i="1"/>
  <c r="D90" i="1"/>
  <c r="D91" i="1"/>
  <c r="BM75" i="1"/>
  <c r="BM76" i="1"/>
  <c r="AD72" i="1"/>
  <c r="O32" i="9"/>
  <c r="O53" i="1"/>
  <c r="O377" i="1"/>
  <c r="BX101" i="1"/>
  <c r="BX113" i="1"/>
  <c r="BX531" i="1" s="1"/>
  <c r="BX532" i="1" s="1"/>
  <c r="BX533" i="1" s="1"/>
  <c r="BH70" i="1"/>
  <c r="AV52" i="1"/>
  <c r="F48" i="1"/>
  <c r="F47" i="1"/>
  <c r="K47" i="1"/>
  <c r="BS415" i="1"/>
  <c r="AV360" i="1"/>
  <c r="AV362" i="1" s="1"/>
  <c r="AV396" i="1" s="1"/>
  <c r="AV313" i="1"/>
  <c r="AV315" i="1" s="1"/>
  <c r="AZ102" i="1"/>
  <c r="AZ113" i="1"/>
  <c r="AZ531" i="1" s="1"/>
  <c r="AZ101" i="1"/>
  <c r="AK210" i="1"/>
  <c r="U390" i="1"/>
  <c r="U84" i="1"/>
  <c r="AG97" i="1"/>
  <c r="CB89" i="1"/>
  <c r="BS54" i="1"/>
  <c r="K766" i="1"/>
  <c r="K765" i="1"/>
  <c r="K764" i="1"/>
  <c r="AA113" i="1"/>
  <c r="AA531" i="1" s="1"/>
  <c r="AA101" i="1"/>
  <c r="AA102" i="1"/>
  <c r="E76" i="1"/>
  <c r="BJ766" i="1"/>
  <c r="BJ765" i="1"/>
  <c r="BJ764" i="1"/>
  <c r="AS90" i="1"/>
  <c r="BF66" i="1"/>
  <c r="BF67" i="1" s="1"/>
  <c r="BY76" i="1"/>
  <c r="BY75" i="1"/>
  <c r="AD91" i="1"/>
  <c r="AD90" i="1"/>
  <c r="BU48" i="1"/>
  <c r="V76" i="1"/>
  <c r="BO70" i="1"/>
  <c r="AN87" i="1"/>
  <c r="R70" i="1"/>
  <c r="BD70" i="1"/>
  <c r="BD54" i="1"/>
  <c r="AK54" i="1"/>
  <c r="BC46" i="1"/>
  <c r="BC57" i="1"/>
  <c r="BC85" i="1"/>
  <c r="CB37" i="1"/>
  <c r="AN955" i="1"/>
  <c r="AI99" i="9"/>
  <c r="AI100" i="9" s="1"/>
  <c r="AI1030" i="1"/>
  <c r="AW95" i="9"/>
  <c r="BH99" i="9"/>
  <c r="BH100" i="9" s="1"/>
  <c r="BH1030" i="1"/>
  <c r="BH1019" i="1"/>
  <c r="BO95" i="9"/>
  <c r="AJ910" i="1"/>
  <c r="AJ718" i="1"/>
  <c r="AJ73" i="9" s="1"/>
  <c r="AE1039" i="1"/>
  <c r="AA877" i="1"/>
  <c r="AA703" i="1"/>
  <c r="BW910" i="1"/>
  <c r="BW718" i="1"/>
  <c r="BW73" i="9" s="1"/>
  <c r="D87" i="9"/>
  <c r="D102" i="9"/>
  <c r="D749" i="1"/>
  <c r="D750" i="1"/>
  <c r="AO75" i="9"/>
  <c r="BO102" i="9"/>
  <c r="BO87" i="9"/>
  <c r="AW99" i="9"/>
  <c r="AW1030" i="1"/>
  <c r="AW1019" i="1"/>
  <c r="BB1030" i="1"/>
  <c r="AH939" i="1"/>
  <c r="AH937" i="1"/>
  <c r="AH933" i="1"/>
  <c r="AT65" i="9"/>
  <c r="BU877" i="1"/>
  <c r="BU705" i="1" s="1"/>
  <c r="BU703" i="1"/>
  <c r="BH877" i="1"/>
  <c r="BH705" i="1" s="1"/>
  <c r="BH703" i="1"/>
  <c r="BC99" i="9"/>
  <c r="BC1019" i="1"/>
  <c r="AT71" i="9"/>
  <c r="AT1036" i="1"/>
  <c r="AT944" i="1"/>
  <c r="AT1043" i="1"/>
  <c r="BK877" i="1"/>
  <c r="BK705" i="1" s="1"/>
  <c r="BK703" i="1"/>
  <c r="BN71" i="9"/>
  <c r="BN1043" i="1"/>
  <c r="BN1036" i="1"/>
  <c r="BN944" i="1"/>
  <c r="AP877" i="1"/>
  <c r="AP913" i="1" s="1"/>
  <c r="AP703" i="1"/>
  <c r="AS87" i="9"/>
  <c r="AS102" i="9"/>
  <c r="AW102" i="9"/>
  <c r="AW87" i="9"/>
  <c r="AO910" i="1"/>
  <c r="AO718" i="1"/>
  <c r="AO73" i="9" s="1"/>
  <c r="R102" i="9"/>
  <c r="R87" i="9"/>
  <c r="AP587" i="1"/>
  <c r="AP590" i="1"/>
  <c r="Y95" i="9"/>
  <c r="BQ1030" i="1"/>
  <c r="BI890" i="1"/>
  <c r="AH102" i="9"/>
  <c r="AH87" i="9"/>
  <c r="AW64" i="9"/>
  <c r="AW66" i="9" s="1"/>
  <c r="AW706" i="1"/>
  <c r="AW724" i="1"/>
  <c r="AW725" i="1" s="1"/>
  <c r="AW726" i="1" s="1"/>
  <c r="AW727" i="1" s="1"/>
  <c r="AF102" i="9"/>
  <c r="AF87" i="9"/>
  <c r="BE102" i="9"/>
  <c r="BE87" i="9"/>
  <c r="AH285" i="1"/>
  <c r="AH635" i="1"/>
  <c r="AH394" i="1"/>
  <c r="R877" i="1"/>
  <c r="R705" i="1" s="1"/>
  <c r="R703" i="1"/>
  <c r="AS67" i="9"/>
  <c r="AS942" i="1"/>
  <c r="AS556" i="1"/>
  <c r="BK87" i="9"/>
  <c r="BK102" i="9"/>
  <c r="BT102" i="9"/>
  <c r="BT87" i="9"/>
  <c r="BD33" i="9"/>
  <c r="BD55" i="1"/>
  <c r="BD56" i="1" s="1"/>
  <c r="BD57" i="1" s="1"/>
  <c r="AE65" i="9"/>
  <c r="BD1039" i="1"/>
  <c r="AZ877" i="1"/>
  <c r="AZ703" i="1"/>
  <c r="BX65" i="9"/>
  <c r="AS868" i="1"/>
  <c r="AT851" i="1"/>
  <c r="AT868" i="1" s="1"/>
  <c r="C760" i="1"/>
  <c r="BM42" i="9"/>
  <c r="BM429" i="1"/>
  <c r="AG42" i="9"/>
  <c r="AG429" i="1"/>
  <c r="BP34" i="9"/>
  <c r="BP291" i="1"/>
  <c r="BI635" i="1"/>
  <c r="BI394" i="1"/>
  <c r="BI285" i="1"/>
  <c r="CD948" i="1"/>
  <c r="BY953" i="1"/>
  <c r="D956" i="1"/>
  <c r="Z103" i="9"/>
  <c r="Z104" i="9" s="1"/>
  <c r="BN34" i="9"/>
  <c r="BN291" i="1"/>
  <c r="AY635" i="1"/>
  <c r="AY394" i="1"/>
  <c r="AY285" i="1"/>
  <c r="AI953" i="1"/>
  <c r="S635" i="1"/>
  <c r="S394" i="1"/>
  <c r="S285" i="1"/>
  <c r="AI480" i="1"/>
  <c r="AI490" i="1" s="1"/>
  <c r="AI497" i="1" s="1"/>
  <c r="AC42" i="9"/>
  <c r="AC429" i="1"/>
  <c r="AT955" i="1"/>
  <c r="V954" i="1"/>
  <c r="Q635" i="1"/>
  <c r="Q285" i="1"/>
  <c r="BF64" i="9"/>
  <c r="BF66" i="9" s="1"/>
  <c r="BF724" i="1"/>
  <c r="BF725" i="1" s="1"/>
  <c r="BF726" i="1" s="1"/>
  <c r="BF727" i="1" s="1"/>
  <c r="BF706" i="1"/>
  <c r="H492" i="1"/>
  <c r="H449" i="1"/>
  <c r="AR745" i="1"/>
  <c r="AR746" i="1" s="1"/>
  <c r="AR742" i="1"/>
  <c r="AS35" i="9"/>
  <c r="AS290" i="1"/>
  <c r="AS58" i="9" s="1"/>
  <c r="BH33" i="9"/>
  <c r="BH55" i="1"/>
  <c r="BH378" i="1"/>
  <c r="BP651" i="1"/>
  <c r="BP283" i="1"/>
  <c r="AY954" i="1"/>
  <c r="AB450" i="1"/>
  <c r="AB449" i="1"/>
  <c r="AI745" i="1"/>
  <c r="AI746" i="1" s="1"/>
  <c r="AI742" i="1"/>
  <c r="BF954" i="1"/>
  <c r="AP955" i="1"/>
  <c r="Z955" i="1"/>
  <c r="BH590" i="1"/>
  <c r="BH587" i="1"/>
  <c r="AB953" i="1"/>
  <c r="Z33" i="9"/>
  <c r="Z55" i="1"/>
  <c r="Z56" i="1" s="1"/>
  <c r="Z57" i="1" s="1"/>
  <c r="AO26" i="9"/>
  <c r="AO38" i="1"/>
  <c r="AO19" i="9" s="1"/>
  <c r="AO44" i="1"/>
  <c r="AO91" i="1" s="1"/>
  <c r="C42" i="9"/>
  <c r="C429" i="1"/>
  <c r="N34" i="9"/>
  <c r="N291" i="1"/>
  <c r="BD955" i="1"/>
  <c r="AF955" i="1"/>
  <c r="J35" i="9"/>
  <c r="J290" i="1"/>
  <c r="J58" i="9" s="1"/>
  <c r="BW29" i="9"/>
  <c r="BW1026" i="1"/>
  <c r="BW948" i="1"/>
  <c r="BW378" i="1"/>
  <c r="BW581" i="1"/>
  <c r="BY587" i="1" s="1"/>
  <c r="BW280" i="1"/>
  <c r="BW281" i="1"/>
  <c r="BW290" i="1"/>
  <c r="BW58" i="9" s="1"/>
  <c r="BW277" i="1"/>
  <c r="BW278" i="1" s="1"/>
  <c r="BX42" i="9"/>
  <c r="BX429" i="1"/>
  <c r="S42" i="9"/>
  <c r="S429" i="1"/>
  <c r="M38" i="9"/>
  <c r="M97" i="9" s="1"/>
  <c r="M400" i="1"/>
  <c r="M294" i="1"/>
  <c r="M61" i="9" s="1"/>
  <c r="C707" i="1"/>
  <c r="C728" i="1"/>
  <c r="C704" i="1"/>
  <c r="BA34" i="9"/>
  <c r="BA291" i="1"/>
  <c r="L385" i="1"/>
  <c r="D954" i="1"/>
  <c r="O203" i="1"/>
  <c r="S72" i="1"/>
  <c r="AA54" i="1"/>
  <c r="P707" i="1"/>
  <c r="P760" i="1" s="1"/>
  <c r="P728" i="1"/>
  <c r="P704" i="1"/>
  <c r="BE57" i="9"/>
  <c r="BE1033" i="1"/>
  <c r="AB955" i="1"/>
  <c r="BP951" i="1"/>
  <c r="BP956" i="1" s="1"/>
  <c r="BO320" i="1"/>
  <c r="BO327" i="1" s="1"/>
  <c r="BO415" i="1" s="1"/>
  <c r="BO317" i="1"/>
  <c r="AJ721" i="1"/>
  <c r="AJ722" i="1" s="1"/>
  <c r="AC33" i="9"/>
  <c r="AC55" i="1"/>
  <c r="AC56" i="1" s="1"/>
  <c r="AC57" i="1" s="1"/>
  <c r="AN937" i="1"/>
  <c r="BC96" i="1"/>
  <c r="BC97" i="1" s="1"/>
  <c r="AR46" i="1"/>
  <c r="AR91" i="1"/>
  <c r="AR57" i="1"/>
  <c r="AR72" i="1"/>
  <c r="AR70" i="1"/>
  <c r="AR52" i="1"/>
  <c r="BF913" i="1"/>
  <c r="I385" i="1"/>
  <c r="AI34" i="9"/>
  <c r="AI291" i="1"/>
  <c r="BB33" i="9"/>
  <c r="BB55" i="1"/>
  <c r="BB56" i="1" s="1"/>
  <c r="BB57" i="1" s="1"/>
  <c r="BW36" i="9"/>
  <c r="BW292" i="1"/>
  <c r="BW59" i="9" s="1"/>
  <c r="AC38" i="9"/>
  <c r="AC97" i="9" s="1"/>
  <c r="AC400" i="1"/>
  <c r="AC294" i="1"/>
  <c r="AC61" i="9" s="1"/>
  <c r="AM203" i="1"/>
  <c r="AM211" i="1"/>
  <c r="AM204" i="1"/>
  <c r="AM205" i="1"/>
  <c r="AJ33" i="9"/>
  <c r="AJ55" i="1"/>
  <c r="AJ56" i="1" s="1"/>
  <c r="AJ57" i="1" s="1"/>
  <c r="AZ85" i="1"/>
  <c r="BC70" i="1"/>
  <c r="AS766" i="1"/>
  <c r="AS765" i="1"/>
  <c r="AS764" i="1"/>
  <c r="AF764" i="1"/>
  <c r="AF766" i="1"/>
  <c r="AF765" i="1"/>
  <c r="R742" i="1"/>
  <c r="R745" i="1"/>
  <c r="R746" i="1" s="1"/>
  <c r="P953" i="1"/>
  <c r="BF38" i="9"/>
  <c r="BF97" i="9" s="1"/>
  <c r="BF294" i="1"/>
  <c r="BF61" i="9" s="1"/>
  <c r="BQ360" i="1"/>
  <c r="BQ362" i="1" s="1"/>
  <c r="BQ396" i="1" s="1"/>
  <c r="BQ313" i="1"/>
  <c r="BQ315" i="1" s="1"/>
  <c r="BM277" i="1"/>
  <c r="BM278" i="1" s="1"/>
  <c r="C33" i="9"/>
  <c r="C55" i="1"/>
  <c r="C56" i="1" s="1"/>
  <c r="C57" i="1" s="1"/>
  <c r="F113" i="1"/>
  <c r="F531" i="1" s="1"/>
  <c r="AJ76" i="1"/>
  <c r="BF54" i="1"/>
  <c r="BN26" i="9"/>
  <c r="BN44" i="1"/>
  <c r="BN76" i="1" s="1"/>
  <c r="BN38" i="1"/>
  <c r="BN19" i="9" s="1"/>
  <c r="AM764" i="1"/>
  <c r="AM765" i="1"/>
  <c r="AM766" i="1"/>
  <c r="AX742" i="1"/>
  <c r="AX745" i="1"/>
  <c r="AX746" i="1" s="1"/>
  <c r="BX56" i="9"/>
  <c r="BX286" i="1"/>
  <c r="AH33" i="9"/>
  <c r="AH55" i="1"/>
  <c r="AH56" i="1" s="1"/>
  <c r="AH57" i="1" s="1"/>
  <c r="BC608" i="1"/>
  <c r="BB608" i="1"/>
  <c r="AZ608" i="1"/>
  <c r="BD590" i="1"/>
  <c r="BD608" i="1"/>
  <c r="BA608" i="1"/>
  <c r="BE608" i="1"/>
  <c r="AN587" i="1"/>
  <c r="AN590" i="1"/>
  <c r="F956" i="1"/>
  <c r="AI360" i="1"/>
  <c r="AI362" i="1" s="1"/>
  <c r="AI396" i="1" s="1"/>
  <c r="AI313" i="1"/>
  <c r="AI315" i="1" s="1"/>
  <c r="BG38" i="9"/>
  <c r="BG97" i="9" s="1"/>
  <c r="BG400" i="1"/>
  <c r="BG294" i="1"/>
  <c r="BG61" i="9" s="1"/>
  <c r="BS211" i="1"/>
  <c r="N203" i="1"/>
  <c r="N211" i="1"/>
  <c r="N204" i="1"/>
  <c r="N205" i="1"/>
  <c r="BC587" i="1"/>
  <c r="BC590" i="1"/>
  <c r="AU953" i="1"/>
  <c r="W283" i="1"/>
  <c r="W651" i="1"/>
  <c r="AU203" i="1"/>
  <c r="AU211" i="1"/>
  <c r="AU204" i="1"/>
  <c r="AU205" i="1"/>
  <c r="AS204" i="1"/>
  <c r="BJ378" i="1"/>
  <c r="BB956" i="1"/>
  <c r="AT608" i="1"/>
  <c r="AR608" i="1"/>
  <c r="AT590" i="1"/>
  <c r="AS608" i="1"/>
  <c r="AP608" i="1"/>
  <c r="AQ608" i="1"/>
  <c r="AL587" i="1"/>
  <c r="AL590" i="1"/>
  <c r="BO51" i="9"/>
  <c r="BO748" i="1"/>
  <c r="BO297" i="1"/>
  <c r="AE721" i="1"/>
  <c r="AE722" i="1" s="1"/>
  <c r="AN72" i="1"/>
  <c r="X33" i="9"/>
  <c r="X55" i="1"/>
  <c r="AB927" i="1"/>
  <c r="AB936" i="1"/>
  <c r="AB938" i="1"/>
  <c r="BH954" i="1"/>
  <c r="AJ211" i="1"/>
  <c r="AJ204" i="1"/>
  <c r="AJ203" i="1"/>
  <c r="AJ205" i="1"/>
  <c r="AN102" i="1"/>
  <c r="AS103" i="1" s="1"/>
  <c r="G102" i="1"/>
  <c r="V91" i="1"/>
  <c r="AA90" i="1"/>
  <c r="S74" i="1"/>
  <c r="S113" i="1" s="1"/>
  <c r="S531" i="1" s="1"/>
  <c r="BH54" i="1"/>
  <c r="Q47" i="1"/>
  <c r="Q48" i="1"/>
  <c r="Q49" i="1" s="1"/>
  <c r="AT57" i="9"/>
  <c r="AT1033" i="1"/>
  <c r="BF52" i="1"/>
  <c r="BI765" i="1"/>
  <c r="BI766" i="1"/>
  <c r="BI764" i="1"/>
  <c r="R766" i="1"/>
  <c r="R765" i="1"/>
  <c r="R764" i="1"/>
  <c r="M103" i="1"/>
  <c r="AA91" i="1"/>
  <c r="AA92" i="1" s="1"/>
  <c r="BC76" i="1"/>
  <c r="AZ70" i="1"/>
  <c r="BE67" i="1"/>
  <c r="AE46" i="1"/>
  <c r="AE96" i="1"/>
  <c r="AE97" i="1" s="1"/>
  <c r="AE85" i="1"/>
  <c r="CF21" i="9"/>
  <c r="CF34" i="1"/>
  <c r="CF8" i="1"/>
  <c r="BY764" i="1"/>
  <c r="BY766" i="1"/>
  <c r="BY765" i="1"/>
  <c r="AZ764" i="1"/>
  <c r="AZ766" i="1"/>
  <c r="AZ765" i="1"/>
  <c r="F38" i="9"/>
  <c r="F97" i="9" s="1"/>
  <c r="F98" i="9" s="1"/>
  <c r="F400" i="1"/>
  <c r="F294" i="1"/>
  <c r="F61" i="9" s="1"/>
  <c r="AM33" i="9"/>
  <c r="AM55" i="1"/>
  <c r="AM56" i="1" s="1"/>
  <c r="G385" i="1"/>
  <c r="G71" i="1"/>
  <c r="BE101" i="1"/>
  <c r="BE102" i="1"/>
  <c r="BE113" i="1"/>
  <c r="BE531" i="1" s="1"/>
  <c r="AN52" i="1"/>
  <c r="AM52" i="1"/>
  <c r="AM57" i="1"/>
  <c r="AM85" i="1"/>
  <c r="AM96" i="1"/>
  <c r="AM97" i="1" s="1"/>
  <c r="AM46" i="1"/>
  <c r="AM81" i="1"/>
  <c r="AM82" i="1" s="1"/>
  <c r="AF360" i="1"/>
  <c r="AF362" i="1" s="1"/>
  <c r="AF396" i="1" s="1"/>
  <c r="AF313" i="1"/>
  <c r="AF315" i="1" s="1"/>
  <c r="T113" i="1"/>
  <c r="T531" i="1" s="1"/>
  <c r="CH25" i="9"/>
  <c r="CH32" i="1"/>
  <c r="CH18" i="9" s="1"/>
  <c r="CI30" i="1"/>
  <c r="Q85" i="1"/>
  <c r="Q89" i="1"/>
  <c r="V90" i="1" s="1"/>
  <c r="AW102" i="1"/>
  <c r="BB103" i="1" s="1"/>
  <c r="AW113" i="1"/>
  <c r="AW531" i="1" s="1"/>
  <c r="AW101" i="1"/>
  <c r="Y101" i="1"/>
  <c r="BD81" i="1"/>
  <c r="AF90" i="1"/>
  <c r="AF91" i="1"/>
  <c r="AF92" i="1" s="1"/>
  <c r="AV74" i="1"/>
  <c r="AT113" i="1"/>
  <c r="AT531" i="1" s="1"/>
  <c r="AT532" i="1" s="1"/>
  <c r="AT533" i="1" s="1"/>
  <c r="BO113" i="1"/>
  <c r="BO531" i="1" s="1"/>
  <c r="BO101" i="1"/>
  <c r="BO102" i="1"/>
  <c r="BL90" i="1"/>
  <c r="BL91" i="1"/>
  <c r="BL92" i="1" s="1"/>
  <c r="AU91" i="1"/>
  <c r="AU92" i="1" s="1"/>
  <c r="AU90" i="1"/>
  <c r="W82" i="1"/>
  <c r="BS38" i="1"/>
  <c r="BS19" i="9" s="1"/>
  <c r="AD765" i="1"/>
  <c r="AD764" i="1"/>
  <c r="AD766" i="1"/>
  <c r="AC74" i="1"/>
  <c r="BR48" i="1"/>
  <c r="BW49" i="1" s="1"/>
  <c r="BR47" i="1"/>
  <c r="AD85" i="1"/>
  <c r="AR38" i="9"/>
  <c r="AR97" i="9" s="1"/>
  <c r="AR400" i="1"/>
  <c r="AR294" i="1"/>
  <c r="AR61" i="9" s="1"/>
  <c r="U72" i="1"/>
  <c r="V72" i="1"/>
  <c r="N320" i="1"/>
  <c r="N327" i="1" s="1"/>
  <c r="N415" i="1" s="1"/>
  <c r="N317" i="1"/>
  <c r="V54" i="1"/>
  <c r="AK91" i="1"/>
  <c r="AL91" i="1"/>
  <c r="AL90" i="1"/>
  <c r="U54" i="1"/>
  <c r="T1026" i="1"/>
  <c r="L765" i="1"/>
  <c r="L764" i="1"/>
  <c r="L766" i="1"/>
  <c r="CB29" i="9"/>
  <c r="CB581" i="1"/>
  <c r="E3" i="13"/>
  <c r="E4" i="13"/>
  <c r="AM707" i="1"/>
  <c r="AM728" i="1"/>
  <c r="AM729" i="1" s="1"/>
  <c r="AM730" i="1" s="1"/>
  <c r="AM731" i="1" s="1"/>
  <c r="AM704" i="1"/>
  <c r="BH34" i="9"/>
  <c r="BH291" i="1"/>
  <c r="H378" i="1"/>
  <c r="D953" i="1"/>
  <c r="AW57" i="9"/>
  <c r="AW1033" i="1"/>
  <c r="BS868" i="1"/>
  <c r="BH841" i="1"/>
  <c r="BX102" i="9"/>
  <c r="BX87" i="9"/>
  <c r="BX750" i="1"/>
  <c r="BX749" i="1"/>
  <c r="AY102" i="9"/>
  <c r="AY87" i="9"/>
  <c r="AY749" i="1"/>
  <c r="AY750" i="1"/>
  <c r="AA102" i="9"/>
  <c r="AA87" i="9"/>
  <c r="Z502" i="1"/>
  <c r="BF34" i="9"/>
  <c r="BF291" i="1"/>
  <c r="W954" i="1"/>
  <c r="S844" i="1"/>
  <c r="W102" i="9"/>
  <c r="W87" i="9"/>
  <c r="O42" i="9"/>
  <c r="O429" i="1"/>
  <c r="BI36" i="9"/>
  <c r="BI292" i="1"/>
  <c r="BI59" i="9" s="1"/>
  <c r="BJ954" i="1"/>
  <c r="V955" i="1"/>
  <c r="G317" i="1"/>
  <c r="G320" i="1"/>
  <c r="G327" i="1" s="1"/>
  <c r="G415" i="1" s="1"/>
  <c r="AJ102" i="9"/>
  <c r="AJ87" i="9"/>
  <c r="AJ750" i="1"/>
  <c r="AJ749" i="1"/>
  <c r="C36" i="9"/>
  <c r="C292" i="1"/>
  <c r="C59" i="9" s="1"/>
  <c r="BF704" i="1"/>
  <c r="BF728" i="1"/>
  <c r="BF729" i="1" s="1"/>
  <c r="BF730" i="1" s="1"/>
  <c r="BF731" i="1" s="1"/>
  <c r="BF707" i="1"/>
  <c r="M450" i="1"/>
  <c r="P35" i="9"/>
  <c r="P290" i="1"/>
  <c r="P58" i="9" s="1"/>
  <c r="BP954" i="1"/>
  <c r="S954" i="1"/>
  <c r="BR948" i="1"/>
  <c r="BR953" i="1" s="1"/>
  <c r="BR29" i="9"/>
  <c r="BR1026" i="1"/>
  <c r="BR581" i="1"/>
  <c r="BR378" i="1"/>
  <c r="BR277" i="1"/>
  <c r="BR278" i="1" s="1"/>
  <c r="BR281" i="1"/>
  <c r="BF955" i="1"/>
  <c r="AO317" i="1"/>
  <c r="AO320" i="1"/>
  <c r="AO327" i="1" s="1"/>
  <c r="AJ42" i="9"/>
  <c r="BR280" i="1"/>
  <c r="D385" i="1"/>
  <c r="BJ313" i="1"/>
  <c r="BJ315" i="1" s="1"/>
  <c r="BJ360" i="1"/>
  <c r="BJ362" i="1" s="1"/>
  <c r="BJ396" i="1" s="1"/>
  <c r="M320" i="1"/>
  <c r="M327" i="1" s="1"/>
  <c r="M415" i="1" s="1"/>
  <c r="M317" i="1"/>
  <c r="BZ949" i="1"/>
  <c r="CE949" i="1" s="1"/>
  <c r="BU954" i="1"/>
  <c r="BY35" i="9"/>
  <c r="BY290" i="1"/>
  <c r="BY58" i="9" s="1"/>
  <c r="AE35" i="9"/>
  <c r="AE290" i="1"/>
  <c r="AE58" i="9" s="1"/>
  <c r="C34" i="9"/>
  <c r="C291" i="1"/>
  <c r="D955" i="1"/>
  <c r="BC201" i="1"/>
  <c r="BC210" i="1" s="1"/>
  <c r="AL33" i="9"/>
  <c r="AL55" i="1"/>
  <c r="AL56" i="1" s="1"/>
  <c r="AL57" i="1" s="1"/>
  <c r="BC66" i="1"/>
  <c r="BC67" i="1" s="1"/>
  <c r="R54" i="1"/>
  <c r="O764" i="1"/>
  <c r="O766" i="1"/>
  <c r="O765" i="1"/>
  <c r="AP764" i="1"/>
  <c r="AP766" i="1"/>
  <c r="AP765" i="1"/>
  <c r="G64" i="9"/>
  <c r="G66" i="9" s="1"/>
  <c r="G706" i="1"/>
  <c r="G724" i="1"/>
  <c r="G725" i="1" s="1"/>
  <c r="G726" i="1" s="1"/>
  <c r="G727" i="1" s="1"/>
  <c r="AR955" i="1"/>
  <c r="AB954" i="1"/>
  <c r="BT651" i="1"/>
  <c r="BT283" i="1"/>
  <c r="K35" i="9"/>
  <c r="K290" i="1"/>
  <c r="K58" i="9" s="1"/>
  <c r="AN939" i="1"/>
  <c r="AU74" i="1"/>
  <c r="AU113" i="1" s="1"/>
  <c r="AU531" i="1" s="1"/>
  <c r="BX26" i="9"/>
  <c r="BX44" i="1"/>
  <c r="BX38" i="1"/>
  <c r="BX19" i="9" s="1"/>
  <c r="P766" i="1"/>
  <c r="P764" i="1"/>
  <c r="P765" i="1"/>
  <c r="BW291" i="1"/>
  <c r="AA34" i="9"/>
  <c r="AA291" i="1"/>
  <c r="U360" i="1"/>
  <c r="U362" i="1" s="1"/>
  <c r="U396" i="1" s="1"/>
  <c r="U313" i="1"/>
  <c r="U315" i="1" s="1"/>
  <c r="AT101" i="1"/>
  <c r="BQ33" i="9"/>
  <c r="BQ55" i="1"/>
  <c r="BQ56" i="1" s="1"/>
  <c r="BQ57" i="1" s="1"/>
  <c r="U635" i="1"/>
  <c r="U285" i="1"/>
  <c r="BF320" i="1"/>
  <c r="BF327" i="1" s="1"/>
  <c r="BF415" i="1" s="1"/>
  <c r="BF317" i="1"/>
  <c r="BM955" i="1"/>
  <c r="BS96" i="1"/>
  <c r="BU82" i="1"/>
  <c r="F766" i="1"/>
  <c r="F765" i="1"/>
  <c r="F764" i="1"/>
  <c r="BL953" i="1"/>
  <c r="BD953" i="1"/>
  <c r="AV953" i="1"/>
  <c r="AF956" i="1"/>
  <c r="F953" i="1"/>
  <c r="AX211" i="1"/>
  <c r="AX203" i="1"/>
  <c r="N210" i="1"/>
  <c r="BF42" i="9"/>
  <c r="BF429" i="1"/>
  <c r="Z42" i="9"/>
  <c r="BL34" i="9"/>
  <c r="BL291" i="1"/>
  <c r="BK953" i="1"/>
  <c r="AI211" i="1"/>
  <c r="AI204" i="1"/>
  <c r="Y33" i="9"/>
  <c r="Y55" i="1"/>
  <c r="Y56" i="1" s="1"/>
  <c r="AK936" i="1"/>
  <c r="BV33" i="9"/>
  <c r="BV55" i="1"/>
  <c r="BV56" i="1" s="1"/>
  <c r="BV57" i="1" s="1"/>
  <c r="T33" i="9"/>
  <c r="T55" i="1"/>
  <c r="T56" i="1" s="1"/>
  <c r="AT956" i="1"/>
  <c r="T745" i="1"/>
  <c r="T746" i="1" s="1"/>
  <c r="T742" i="1"/>
  <c r="BM201" i="1"/>
  <c r="BM210" i="1" s="1"/>
  <c r="AN54" i="1"/>
  <c r="AL87" i="9"/>
  <c r="AL102" i="9"/>
  <c r="BM292" i="1"/>
  <c r="BM59" i="9" s="1"/>
  <c r="AJ210" i="1"/>
  <c r="BW90" i="1"/>
  <c r="AR85" i="1"/>
  <c r="N89" i="1"/>
  <c r="N81" i="1"/>
  <c r="N82" i="1" s="1"/>
  <c r="N80" i="1"/>
  <c r="BO72" i="1"/>
  <c r="AZ399" i="1"/>
  <c r="AZ925" i="1" s="1"/>
  <c r="BC117" i="1"/>
  <c r="BC399" i="1" s="1"/>
  <c r="T95" i="1"/>
  <c r="BA90" i="1"/>
  <c r="BA91" i="1"/>
  <c r="BF90" i="1"/>
  <c r="E82" i="1"/>
  <c r="BF75" i="1"/>
  <c r="BF76" i="1"/>
  <c r="BF77" i="1" s="1"/>
  <c r="R52" i="1"/>
  <c r="P47" i="1"/>
  <c r="P48" i="1"/>
  <c r="P49" i="1" s="1"/>
  <c r="CB1026" i="1"/>
  <c r="E97" i="1"/>
  <c r="BB113" i="1"/>
  <c r="BB531" i="1" s="1"/>
  <c r="AD81" i="1"/>
  <c r="BH76" i="1"/>
  <c r="BE75" i="1"/>
  <c r="BE76" i="1"/>
  <c r="BE77" i="1" s="1"/>
  <c r="BJ75" i="1"/>
  <c r="F320" i="1"/>
  <c r="F327" i="1" s="1"/>
  <c r="F415" i="1" s="1"/>
  <c r="F317" i="1"/>
  <c r="G32" i="9"/>
  <c r="G377" i="1"/>
  <c r="G53" i="1"/>
  <c r="L102" i="1"/>
  <c r="L103" i="1" s="1"/>
  <c r="L101" i="1"/>
  <c r="L113" i="1"/>
  <c r="L531" i="1" s="1"/>
  <c r="BP90" i="1"/>
  <c r="BG76" i="1"/>
  <c r="BG75" i="1"/>
  <c r="AF96" i="1"/>
  <c r="AF52" i="1"/>
  <c r="AF66" i="1"/>
  <c r="AF46" i="1"/>
  <c r="AR96" i="1"/>
  <c r="AW97" i="1" s="1"/>
  <c r="K97" i="1"/>
  <c r="BS76" i="1"/>
  <c r="BK75" i="1"/>
  <c r="BT38" i="9"/>
  <c r="BT97" i="9" s="1"/>
  <c r="BT400" i="1"/>
  <c r="BT294" i="1"/>
  <c r="BT61" i="9" s="1"/>
  <c r="AY166" i="1"/>
  <c r="P57" i="9"/>
  <c r="P1033" i="1"/>
  <c r="BO91" i="1"/>
  <c r="BO92" i="1" s="1"/>
  <c r="BU360" i="1"/>
  <c r="BU362" i="1" s="1"/>
  <c r="BU396" i="1" s="1"/>
  <c r="BU313" i="1"/>
  <c r="BU315" i="1" s="1"/>
  <c r="AV90" i="1"/>
  <c r="AV91" i="1"/>
  <c r="AV92" i="1" s="1"/>
  <c r="AF81" i="1"/>
  <c r="AF82" i="1" s="1"/>
  <c r="BX75" i="1"/>
  <c r="BX76" i="1"/>
  <c r="AR54" i="1"/>
  <c r="BT54" i="1"/>
  <c r="BT46" i="1"/>
  <c r="BT66" i="1"/>
  <c r="BT67" i="1" s="1"/>
  <c r="BT52" i="1"/>
  <c r="BT70" i="1"/>
  <c r="BK85" i="1"/>
  <c r="BK46" i="1"/>
  <c r="BK81" i="1"/>
  <c r="BP82" i="1" s="1"/>
  <c r="BK57" i="1"/>
  <c r="BK52" i="1"/>
  <c r="BK76" i="1"/>
  <c r="AJ766" i="1"/>
  <c r="AJ764" i="1"/>
  <c r="AJ765" i="1"/>
  <c r="BS394" i="1"/>
  <c r="BS635" i="1"/>
  <c r="BX644" i="1" s="1"/>
  <c r="BG97" i="1"/>
  <c r="AQ113" i="1"/>
  <c r="AQ531" i="1" s="1"/>
  <c r="AQ101" i="1"/>
  <c r="AQ102" i="1"/>
  <c r="S96" i="1"/>
  <c r="S97" i="1" s="1"/>
  <c r="W90" i="1"/>
  <c r="W91" i="1"/>
  <c r="W92" i="1" s="1"/>
  <c r="AB90" i="1"/>
  <c r="AH67" i="1"/>
  <c r="BQ113" i="1"/>
  <c r="BQ531" i="1" s="1"/>
  <c r="S91" i="1"/>
  <c r="AT38" i="1"/>
  <c r="AT19" i="9" s="1"/>
  <c r="BR742" i="1"/>
  <c r="BW82" i="1"/>
  <c r="AR317" i="1"/>
  <c r="AR320" i="1"/>
  <c r="AR327" i="1" s="1"/>
  <c r="AR415" i="1" s="1"/>
  <c r="BN113" i="1"/>
  <c r="BN531" i="1" s="1"/>
  <c r="BN532" i="1" s="1"/>
  <c r="BN533" i="1" s="1"/>
  <c r="AW48" i="1"/>
  <c r="AW47" i="1"/>
  <c r="BV91" i="1"/>
  <c r="AM102" i="1"/>
  <c r="AM103" i="1" s="1"/>
  <c r="BG59" i="1"/>
  <c r="AL85" i="1"/>
  <c r="BJ67" i="1"/>
  <c r="BW47" i="1"/>
  <c r="U765" i="1"/>
  <c r="U764" i="1"/>
  <c r="U766" i="1"/>
  <c r="AV87" i="1"/>
  <c r="G407" i="11"/>
  <c r="G399" i="11"/>
  <c r="AI388" i="11"/>
  <c r="AI397" i="11" s="1"/>
  <c r="AI399" i="11" s="1"/>
  <c r="E284" i="11"/>
  <c r="F283" i="11" s="1"/>
  <c r="F284" i="11" s="1"/>
  <c r="G283" i="11" s="1"/>
  <c r="H283" i="11" s="1"/>
  <c r="X347" i="11"/>
  <c r="U303" i="11"/>
  <c r="U331" i="11" s="1"/>
  <c r="U405" i="11" s="1"/>
  <c r="U193" i="11"/>
  <c r="AC303" i="11"/>
  <c r="AC193" i="11"/>
  <c r="V345" i="11"/>
  <c r="Z346" i="11"/>
  <c r="R346" i="11"/>
  <c r="Q347" i="11"/>
  <c r="W158" i="11"/>
  <c r="W40" i="11"/>
  <c r="R103" i="11"/>
  <c r="R109" i="11" s="1"/>
  <c r="R160" i="11" s="1"/>
  <c r="R68" i="11"/>
  <c r="R70" i="11" s="1"/>
  <c r="T345" i="11"/>
  <c r="P158" i="11"/>
  <c r="P40" i="11"/>
  <c r="AG68" i="11"/>
  <c r="AG70" i="11" s="1"/>
  <c r="AG103" i="11"/>
  <c r="AG109" i="11" s="1"/>
  <c r="AG160" i="11" s="1"/>
  <c r="O49" i="11"/>
  <c r="O147" i="11"/>
  <c r="O50" i="11" s="1"/>
  <c r="F68" i="11"/>
  <c r="F70" i="11" s="1"/>
  <c r="F103" i="11"/>
  <c r="F109" i="11" s="1"/>
  <c r="F160" i="11" s="1"/>
  <c r="Y157" i="11"/>
  <c r="Y48" i="11" s="1"/>
  <c r="Y47" i="11"/>
  <c r="B4" i="11"/>
  <c r="B3" i="11" s="1"/>
  <c r="A2" i="11"/>
  <c r="U344" i="11"/>
  <c r="D344" i="11"/>
  <c r="AJ347" i="11"/>
  <c r="AA347" i="11"/>
  <c r="S344" i="11"/>
  <c r="K347" i="11"/>
  <c r="AL72" i="11"/>
  <c r="AL75" i="11"/>
  <c r="AL86" i="11" s="1"/>
  <c r="AL172" i="11" s="1"/>
  <c r="AE344" i="11"/>
  <c r="E345" i="11"/>
  <c r="AA103" i="11"/>
  <c r="AA109" i="11" s="1"/>
  <c r="AA160" i="11" s="1"/>
  <c r="AA68" i="11"/>
  <c r="AA70" i="11" s="1"/>
  <c r="AK103" i="11"/>
  <c r="AK109" i="11" s="1"/>
  <c r="AK160" i="11" s="1"/>
  <c r="AK68" i="11"/>
  <c r="AK70" i="11" s="1"/>
  <c r="C164" i="11"/>
  <c r="C52" i="11"/>
  <c r="AA938" i="1"/>
  <c r="AA927" i="1"/>
  <c r="AJ75" i="9"/>
  <c r="AE956" i="1"/>
  <c r="BR841" i="1"/>
  <c r="Q937" i="1"/>
  <c r="BI718" i="1"/>
  <c r="BI73" i="9" s="1"/>
  <c r="BD926" i="1"/>
  <c r="BD927" i="1" s="1"/>
  <c r="BD1032" i="1"/>
  <c r="BD709" i="1"/>
  <c r="BN880" i="1"/>
  <c r="BN890" i="1" s="1"/>
  <c r="BM890" i="1"/>
  <c r="K938" i="1"/>
  <c r="BI71" i="9"/>
  <c r="BI944" i="1"/>
  <c r="AO110" i="9"/>
  <c r="M877" i="1"/>
  <c r="M705" i="1" s="1"/>
  <c r="M703" i="1"/>
  <c r="AQ956" i="1"/>
  <c r="BH109" i="9"/>
  <c r="BO108" i="9"/>
  <c r="BO1006" i="1"/>
  <c r="BO1017" i="1" s="1"/>
  <c r="BO1019" i="1" s="1"/>
  <c r="AI94" i="9"/>
  <c r="AI1017" i="1"/>
  <c r="AI1019" i="1" s="1"/>
  <c r="AV956" i="1"/>
  <c r="BC953" i="1"/>
  <c r="AN95" i="9"/>
  <c r="L913" i="1"/>
  <c r="P1042" i="1"/>
  <c r="Z71" i="9"/>
  <c r="Z1043" i="1"/>
  <c r="Z1036" i="1"/>
  <c r="Z944" i="1"/>
  <c r="CD988" i="1"/>
  <c r="AJ890" i="1"/>
  <c r="C102" i="9"/>
  <c r="C103" i="9" s="1"/>
  <c r="C104" i="9" s="1"/>
  <c r="C87" i="9"/>
  <c r="C750" i="1"/>
  <c r="C749" i="1"/>
  <c r="AN938" i="1"/>
  <c r="BB877" i="1"/>
  <c r="BB705" i="1" s="1"/>
  <c r="BB703" i="1"/>
  <c r="BS926" i="1"/>
  <c r="BS709" i="1"/>
  <c r="BS1032" i="1" s="1"/>
  <c r="BN65" i="9"/>
  <c r="U877" i="1"/>
  <c r="U703" i="1"/>
  <c r="BV102" i="9"/>
  <c r="BV87" i="9"/>
  <c r="AY65" i="9"/>
  <c r="AC877" i="1"/>
  <c r="AC705" i="1" s="1"/>
  <c r="AC703" i="1"/>
  <c r="AE75" i="9"/>
  <c r="BS102" i="9"/>
  <c r="BS103" i="9" s="1"/>
  <c r="BS87" i="9"/>
  <c r="BS749" i="1"/>
  <c r="BS750" i="1"/>
  <c r="BH492" i="1"/>
  <c r="BH450" i="1"/>
  <c r="BH449" i="1"/>
  <c r="AJ936" i="1"/>
  <c r="AR877" i="1"/>
  <c r="AR705" i="1" s="1"/>
  <c r="AR703" i="1"/>
  <c r="AI449" i="1"/>
  <c r="AI450" i="1"/>
  <c r="R378" i="1"/>
  <c r="AK954" i="1"/>
  <c r="AH956" i="1"/>
  <c r="R953" i="1"/>
  <c r="AM913" i="1"/>
  <c r="AS1032" i="1"/>
  <c r="BN103" i="9"/>
  <c r="BN104" i="9" s="1"/>
  <c r="BC102" i="9"/>
  <c r="BC87" i="9"/>
  <c r="L64" i="9"/>
  <c r="L66" i="9" s="1"/>
  <c r="L724" i="1"/>
  <c r="L725" i="1" s="1"/>
  <c r="L726" i="1" s="1"/>
  <c r="L727" i="1" s="1"/>
  <c r="L706" i="1"/>
  <c r="Q877" i="1"/>
  <c r="U1039" i="1"/>
  <c r="Q703" i="1"/>
  <c r="AY71" i="9"/>
  <c r="AY944" i="1"/>
  <c r="AY1036" i="1"/>
  <c r="AY1043" i="1"/>
  <c r="AB102" i="9"/>
  <c r="AB87" i="9"/>
  <c r="BE42" i="9"/>
  <c r="BE429" i="1"/>
  <c r="Y42" i="9"/>
  <c r="Y429" i="1"/>
  <c r="AZ34" i="9"/>
  <c r="AZ291" i="1"/>
  <c r="AW955" i="1"/>
  <c r="Y955" i="1"/>
  <c r="BQ948" i="1"/>
  <c r="BQ953" i="1" s="1"/>
  <c r="BR877" i="1"/>
  <c r="BR705" i="1" s="1"/>
  <c r="BR703" i="1"/>
  <c r="T841" i="1"/>
  <c r="T844" i="1" s="1"/>
  <c r="BD102" i="9"/>
  <c r="BD103" i="9" s="1"/>
  <c r="BD104" i="9" s="1"/>
  <c r="BD87" i="9"/>
  <c r="BD749" i="1"/>
  <c r="BD750" i="1"/>
  <c r="BV587" i="1"/>
  <c r="AX34" i="9"/>
  <c r="AX291" i="1"/>
  <c r="BS955" i="1"/>
  <c r="BG956" i="1"/>
  <c r="AA635" i="1"/>
  <c r="AA394" i="1"/>
  <c r="AA285" i="1"/>
  <c r="J841" i="1"/>
  <c r="D42" i="9"/>
  <c r="D429" i="1"/>
  <c r="R35" i="9"/>
  <c r="R290" i="1"/>
  <c r="R58" i="9" s="1"/>
  <c r="BJ955" i="1"/>
  <c r="AL954" i="1"/>
  <c r="BI745" i="1"/>
  <c r="BI746" i="1" s="1"/>
  <c r="BI742" i="1"/>
  <c r="BA42" i="9"/>
  <c r="BA429" i="1"/>
  <c r="Z35" i="9"/>
  <c r="Z290" i="1"/>
  <c r="Z58" i="9" s="1"/>
  <c r="AO378" i="1"/>
  <c r="AG956" i="1"/>
  <c r="Z429" i="1"/>
  <c r="BP745" i="1"/>
  <c r="BP746" i="1" s="1"/>
  <c r="BP742" i="1"/>
  <c r="AJ745" i="1"/>
  <c r="AJ746" i="1" s="1"/>
  <c r="AJ742" i="1"/>
  <c r="BC57" i="9"/>
  <c r="BC1033" i="1"/>
  <c r="AZ33" i="9"/>
  <c r="AZ55" i="1"/>
  <c r="AZ56" i="1" s="1"/>
  <c r="AZ57" i="1" s="1"/>
  <c r="BP955" i="1"/>
  <c r="AQ955" i="1"/>
  <c r="AS635" i="1"/>
  <c r="AS394" i="1"/>
  <c r="AS285" i="1"/>
  <c r="BS555" i="1"/>
  <c r="BS711" i="1" s="1"/>
  <c r="BG742" i="1"/>
  <c r="BG745" i="1"/>
  <c r="BG746" i="1" s="1"/>
  <c r="AA742" i="1"/>
  <c r="AA745" i="1"/>
  <c r="AA746" i="1" s="1"/>
  <c r="AZ378" i="1"/>
  <c r="AH651" i="1"/>
  <c r="AH283" i="1"/>
  <c r="R651" i="1"/>
  <c r="R283" i="1"/>
  <c r="BH953" i="1"/>
  <c r="AZ956" i="1"/>
  <c r="AR953" i="1"/>
  <c r="AJ953" i="1"/>
  <c r="C378" i="1"/>
  <c r="AO38" i="9"/>
  <c r="AO97" i="9" s="1"/>
  <c r="AO98" i="9" s="1"/>
  <c r="AO101" i="9" s="1"/>
  <c r="AO400" i="1"/>
  <c r="AO294" i="1"/>
  <c r="AO61" i="9" s="1"/>
  <c r="J33" i="9"/>
  <c r="J55" i="1"/>
  <c r="J56" i="1" s="1"/>
  <c r="J57" i="1" s="1"/>
  <c r="AV954" i="1"/>
  <c r="X954" i="1"/>
  <c r="BX590" i="1"/>
  <c r="BX608" i="1"/>
  <c r="BW608" i="1"/>
  <c r="BV608" i="1"/>
  <c r="BU608" i="1"/>
  <c r="BT608" i="1"/>
  <c r="BW309" i="1"/>
  <c r="BW329" i="1"/>
  <c r="BW339" i="1" s="1"/>
  <c r="BM450" i="1"/>
  <c r="BR35" i="9"/>
  <c r="BR290" i="1"/>
  <c r="BR58" i="9" s="1"/>
  <c r="AW313" i="1"/>
  <c r="AW315" i="1" s="1"/>
  <c r="AW360" i="1"/>
  <c r="AW362" i="1" s="1"/>
  <c r="AW396" i="1" s="1"/>
  <c r="D38" i="9"/>
  <c r="D97" i="9" s="1"/>
  <c r="D98" i="9" s="1"/>
  <c r="D400" i="1"/>
  <c r="D294" i="1"/>
  <c r="D61" i="9" s="1"/>
  <c r="BU99" i="9"/>
  <c r="BU1030" i="1"/>
  <c r="BU1019" i="1"/>
  <c r="BE590" i="1"/>
  <c r="BT35" i="9"/>
  <c r="BT290" i="1"/>
  <c r="BT58" i="9" s="1"/>
  <c r="BI34" i="9"/>
  <c r="BI291" i="1"/>
  <c r="AM76" i="1"/>
  <c r="AR75" i="1"/>
  <c r="AU67" i="1"/>
  <c r="AJ46" i="1"/>
  <c r="AJ52" i="1"/>
  <c r="AJ81" i="1"/>
  <c r="AJ82" i="1" s="1"/>
  <c r="AJ70" i="1"/>
  <c r="G705" i="1"/>
  <c r="Z463" i="1"/>
  <c r="Z467" i="1" s="1"/>
  <c r="V463" i="1"/>
  <c r="V467" i="1" s="1"/>
  <c r="AL378" i="1"/>
  <c r="BP948" i="1"/>
  <c r="BP953" i="1" s="1"/>
  <c r="BD651" i="1"/>
  <c r="BD283" i="1"/>
  <c r="AB211" i="1"/>
  <c r="AB204" i="1"/>
  <c r="AB203" i="1"/>
  <c r="AB205" i="1"/>
  <c r="U33" i="9"/>
  <c r="U55" i="1"/>
  <c r="U56" i="1" s="1"/>
  <c r="U57" i="1" s="1"/>
  <c r="AL74" i="1"/>
  <c r="AQ75" i="1" s="1"/>
  <c r="BP57" i="1"/>
  <c r="BP85" i="1"/>
  <c r="BP52" i="1"/>
  <c r="BP46" i="1"/>
  <c r="BU47" i="1" s="1"/>
  <c r="BP66" i="1"/>
  <c r="BP54" i="1"/>
  <c r="BP91" i="1"/>
  <c r="BP92" i="1" s="1"/>
  <c r="BP96" i="1"/>
  <c r="BP72" i="1"/>
  <c r="AI26" i="9"/>
  <c r="AI37" i="1"/>
  <c r="AI44" i="1"/>
  <c r="AI38" i="1"/>
  <c r="AI19" i="9" s="1"/>
  <c r="BX1026" i="1"/>
  <c r="BN497" i="1"/>
  <c r="BN492" i="1"/>
  <c r="O282" i="1"/>
  <c r="O393" i="1"/>
  <c r="R385" i="1"/>
  <c r="AS33" i="9"/>
  <c r="AS55" i="1"/>
  <c r="AS56" i="1" s="1"/>
  <c r="AS57" i="1" s="1"/>
  <c r="BR309" i="1"/>
  <c r="AJ390" i="1"/>
  <c r="AJ394" i="1" s="1"/>
  <c r="AJ86" i="1"/>
  <c r="AB72" i="1"/>
  <c r="BT96" i="1"/>
  <c r="AD320" i="1"/>
  <c r="AD327" i="1" s="1"/>
  <c r="AD415" i="1" s="1"/>
  <c r="AD317" i="1"/>
  <c r="BH329" i="1"/>
  <c r="BH339" i="1" s="1"/>
  <c r="BH309" i="1"/>
  <c r="L211" i="1"/>
  <c r="L204" i="1"/>
  <c r="L203" i="1"/>
  <c r="L205" i="1"/>
  <c r="BR939" i="1"/>
  <c r="BG82" i="1"/>
  <c r="AE764" i="1"/>
  <c r="AE766" i="1"/>
  <c r="AE765" i="1"/>
  <c r="BV745" i="1"/>
  <c r="BV746" i="1" s="1"/>
  <c r="BV742" i="1"/>
  <c r="AP745" i="1"/>
  <c r="AP746" i="1" s="1"/>
  <c r="AP742" i="1"/>
  <c r="BV651" i="1"/>
  <c r="BV283" i="1"/>
  <c r="BL651" i="1"/>
  <c r="BL283" i="1"/>
  <c r="AN953" i="1"/>
  <c r="AF953" i="1"/>
  <c r="X948" i="1"/>
  <c r="X953" i="1" s="1"/>
  <c r="Y317" i="1"/>
  <c r="Y320" i="1"/>
  <c r="Y327" i="1" s="1"/>
  <c r="Y415" i="1" s="1"/>
  <c r="BM282" i="1"/>
  <c r="S400" i="1"/>
  <c r="BJ203" i="1"/>
  <c r="BJ211" i="1"/>
  <c r="BJ204" i="1"/>
  <c r="BJ205" i="1"/>
  <c r="AX204" i="1"/>
  <c r="AQ590" i="1"/>
  <c r="AL400" i="1"/>
  <c r="BD34" i="9"/>
  <c r="BD291" i="1"/>
  <c r="AA33" i="9"/>
  <c r="AA55" i="1"/>
  <c r="AA56" i="1" s="1"/>
  <c r="AA57" i="1" s="1"/>
  <c r="W951" i="1"/>
  <c r="W956" i="1" s="1"/>
  <c r="AZ38" i="9"/>
  <c r="AZ97" i="9" s="1"/>
  <c r="AZ294" i="1"/>
  <c r="AZ61" i="9" s="1"/>
  <c r="U211" i="1"/>
  <c r="U204" i="1"/>
  <c r="U203" i="1"/>
  <c r="U205" i="1"/>
  <c r="BR203" i="1"/>
  <c r="BM722" i="1"/>
  <c r="BB651" i="1"/>
  <c r="BB283" i="1"/>
  <c r="BB953" i="1"/>
  <c r="AT953" i="1"/>
  <c r="Y211" i="1"/>
  <c r="Y203" i="1"/>
  <c r="Y204" i="1"/>
  <c r="AN33" i="9"/>
  <c r="AN55" i="1"/>
  <c r="H51" i="9"/>
  <c r="H748" i="1"/>
  <c r="H297" i="1"/>
  <c r="BR205" i="1"/>
  <c r="Z721" i="1"/>
  <c r="Z722" i="1" s="1"/>
  <c r="U102" i="1"/>
  <c r="U103" i="1" s="1"/>
  <c r="CB96" i="1"/>
  <c r="CB97" i="1" s="1"/>
  <c r="AJ85" i="1"/>
  <c r="BL75" i="1"/>
  <c r="BO75" i="1"/>
  <c r="BO76" i="1"/>
  <c r="BO77" i="1" s="1"/>
  <c r="S66" i="1"/>
  <c r="S67" i="1" s="1"/>
  <c r="F56" i="1"/>
  <c r="F57" i="1" s="1"/>
  <c r="BT34" i="9"/>
  <c r="BT291" i="1"/>
  <c r="AD34" i="9"/>
  <c r="AD291" i="1"/>
  <c r="CC101" i="1"/>
  <c r="BS113" i="1"/>
  <c r="BS531" i="1" s="1"/>
  <c r="BS532" i="1" s="1"/>
  <c r="BS533" i="1" s="1"/>
  <c r="BS101" i="1"/>
  <c r="BS102" i="1"/>
  <c r="E91" i="1"/>
  <c r="E92" i="1" s="1"/>
  <c r="E90" i="1"/>
  <c r="CC24" i="9"/>
  <c r="CC28" i="1"/>
  <c r="CC17" i="9" s="1"/>
  <c r="AY26" i="9"/>
  <c r="AY38" i="1"/>
  <c r="AY19" i="9" s="1"/>
  <c r="AY44" i="1"/>
  <c r="BA766" i="1"/>
  <c r="BA764" i="1"/>
  <c r="BA765" i="1"/>
  <c r="S33" i="9"/>
  <c r="S55" i="1"/>
  <c r="S56" i="1" s="1"/>
  <c r="S57" i="1" s="1"/>
  <c r="AL102" i="1"/>
  <c r="BI90" i="1"/>
  <c r="BN90" i="1"/>
  <c r="AP74" i="1"/>
  <c r="AQ766" i="1"/>
  <c r="AQ765" i="1"/>
  <c r="AQ764" i="1"/>
  <c r="BJ57" i="9"/>
  <c r="BJ1033" i="1"/>
  <c r="J30" i="9"/>
  <c r="J277" i="1"/>
  <c r="J278" i="1" s="1"/>
  <c r="AE74" i="1"/>
  <c r="AJ75" i="1" s="1"/>
  <c r="AE72" i="1"/>
  <c r="AX936" i="1"/>
  <c r="BG90" i="1"/>
  <c r="AF70" i="1"/>
  <c r="BX765" i="1"/>
  <c r="BX764" i="1"/>
  <c r="BX766" i="1"/>
  <c r="BG766" i="1"/>
  <c r="BG764" i="1"/>
  <c r="BG765" i="1"/>
  <c r="Y400" i="1"/>
  <c r="AR102" i="1"/>
  <c r="AR113" i="1"/>
  <c r="AR531" i="1" s="1"/>
  <c r="AR101" i="1"/>
  <c r="K101" i="1"/>
  <c r="K102" i="1"/>
  <c r="BS75" i="1"/>
  <c r="AU46" i="1"/>
  <c r="AU54" i="1"/>
  <c r="AU85" i="1"/>
  <c r="AC46" i="1"/>
  <c r="AH47" i="1" s="1"/>
  <c r="AC70" i="1"/>
  <c r="AC54" i="1"/>
  <c r="J507" i="1"/>
  <c r="BT317" i="1"/>
  <c r="BT320" i="1"/>
  <c r="BT327" i="1" s="1"/>
  <c r="BT415" i="1" s="1"/>
  <c r="BM936" i="1"/>
  <c r="BC87" i="1"/>
  <c r="X90" i="1"/>
  <c r="X91" i="1"/>
  <c r="BR75" i="1"/>
  <c r="AR66" i="1"/>
  <c r="AQ92" i="1"/>
  <c r="BS651" i="1"/>
  <c r="BS283" i="1"/>
  <c r="CH95" i="1"/>
  <c r="CH100" i="1"/>
  <c r="S101" i="1"/>
  <c r="S102" i="1"/>
  <c r="X101" i="1"/>
  <c r="BJ46" i="1"/>
  <c r="BJ102" i="1"/>
  <c r="BJ57" i="1"/>
  <c r="BJ52" i="1"/>
  <c r="BJ72" i="1"/>
  <c r="BJ70" i="1"/>
  <c r="BZ26" i="9"/>
  <c r="BZ370" i="1"/>
  <c r="BZ38" i="1"/>
  <c r="BZ19" i="9" s="1"/>
  <c r="BZ37" i="1"/>
  <c r="BZ44" i="1"/>
  <c r="BR67" i="1"/>
  <c r="BS764" i="1"/>
  <c r="BS766" i="1"/>
  <c r="BS765" i="1"/>
  <c r="AM54" i="1"/>
  <c r="D103" i="1"/>
  <c r="AF56" i="1"/>
  <c r="AF57" i="1" s="1"/>
  <c r="AN360" i="1"/>
  <c r="AN362" i="1" s="1"/>
  <c r="AN396" i="1" s="1"/>
  <c r="AN313" i="1"/>
  <c r="AN315" i="1" s="1"/>
  <c r="BF70" i="1"/>
  <c r="T765" i="1"/>
  <c r="T764" i="1"/>
  <c r="T766" i="1"/>
  <c r="AG56" i="1"/>
  <c r="AG57" i="1" s="1"/>
  <c r="O390" i="1"/>
  <c r="O280" i="1"/>
  <c r="O283" i="1" s="1"/>
  <c r="O79" i="1"/>
  <c r="BB46" i="1"/>
  <c r="BB52" i="1"/>
  <c r="BB70" i="1"/>
  <c r="BD87" i="1"/>
  <c r="AK766" i="1"/>
  <c r="AK765" i="1"/>
  <c r="AK764" i="1"/>
  <c r="BM91" i="1"/>
  <c r="BB66" i="1"/>
  <c r="BI26" i="9"/>
  <c r="BI44" i="1"/>
  <c r="BI76" i="1" s="1"/>
  <c r="BI38" i="1"/>
  <c r="BI19" i="9" s="1"/>
  <c r="AE87" i="1"/>
  <c r="T347" i="11"/>
  <c r="AC399" i="11"/>
  <c r="AC407" i="11"/>
  <c r="Z303" i="11"/>
  <c r="Z331" i="11" s="1"/>
  <c r="Z193" i="11"/>
  <c r="AC331" i="11"/>
  <c r="AK331" i="11"/>
  <c r="AI344" i="11"/>
  <c r="Z417" i="11"/>
  <c r="V193" i="11"/>
  <c r="V303" i="11"/>
  <c r="AJ420" i="11"/>
  <c r="AF331" i="11"/>
  <c r="O281" i="11"/>
  <c r="V346" i="11"/>
  <c r="S303" i="11"/>
  <c r="S331" i="11" s="1"/>
  <c r="S193" i="11"/>
  <c r="R347" i="11"/>
  <c r="I42" i="11"/>
  <c r="AD399" i="11"/>
  <c r="W346" i="11"/>
  <c r="H158" i="11"/>
  <c r="H40" i="11"/>
  <c r="AB158" i="11"/>
  <c r="AB40" i="11"/>
  <c r="Q158" i="11"/>
  <c r="AF103" i="11"/>
  <c r="AF109" i="11" s="1"/>
  <c r="AF160" i="11" s="1"/>
  <c r="AF68" i="11"/>
  <c r="AF70" i="11" s="1"/>
  <c r="J50" i="11"/>
  <c r="E68" i="11"/>
  <c r="E70" i="11" s="1"/>
  <c r="E103" i="11"/>
  <c r="E109" i="11" s="1"/>
  <c r="E160" i="11" s="1"/>
  <c r="D345" i="11"/>
  <c r="D227" i="11"/>
  <c r="D229" i="11" s="1"/>
  <c r="D226" i="11"/>
  <c r="D225" i="11"/>
  <c r="S345" i="11"/>
  <c r="K345" i="11"/>
  <c r="I72" i="11"/>
  <c r="I75" i="11"/>
  <c r="I86" i="11" s="1"/>
  <c r="I172" i="11" s="1"/>
  <c r="AE345" i="11"/>
  <c r="E346" i="11"/>
  <c r="C75" i="11"/>
  <c r="C86" i="11" s="1"/>
  <c r="C172" i="11" s="1"/>
  <c r="C72" i="11"/>
  <c r="AD11" i="11"/>
  <c r="AI11" i="11"/>
  <c r="BA108" i="9"/>
  <c r="BE109" i="9" s="1"/>
  <c r="BA1006" i="1"/>
  <c r="BA1017" i="1" s="1"/>
  <c r="BA1019" i="1" s="1"/>
  <c r="S927" i="1"/>
  <c r="S938" i="1"/>
  <c r="AE109" i="9"/>
  <c r="AX953" i="1"/>
  <c r="U939" i="1"/>
  <c r="U937" i="1"/>
  <c r="AY1042" i="1"/>
  <c r="AU913" i="1"/>
  <c r="AD841" i="1"/>
  <c r="P100" i="9"/>
  <c r="Y927" i="1"/>
  <c r="BE913" i="1"/>
  <c r="BX888" i="1"/>
  <c r="BX890" i="1" s="1"/>
  <c r="AY108" i="9"/>
  <c r="AY109" i="9" s="1"/>
  <c r="AY1006" i="1"/>
  <c r="AY1017" i="1" s="1"/>
  <c r="AY1019" i="1" s="1"/>
  <c r="K927" i="1"/>
  <c r="E877" i="1"/>
  <c r="E705" i="1" s="1"/>
  <c r="E703" i="1"/>
  <c r="AX951" i="1"/>
  <c r="AX956" i="1" s="1"/>
  <c r="AX997" i="1"/>
  <c r="BX956" i="1"/>
  <c r="AV108" i="9"/>
  <c r="AV109" i="9" s="1"/>
  <c r="AV1006" i="1"/>
  <c r="AV1017" i="1" s="1"/>
  <c r="AV1019" i="1" s="1"/>
  <c r="BE1030" i="1"/>
  <c r="Z1042" i="1"/>
  <c r="V913" i="1"/>
  <c r="Z890" i="1"/>
  <c r="C913" i="1"/>
  <c r="Z717" i="1"/>
  <c r="Z74" i="9" s="1"/>
  <c r="BD868" i="1"/>
  <c r="AS1036" i="1"/>
  <c r="BN429" i="1"/>
  <c r="AI841" i="1"/>
  <c r="BI938" i="1"/>
  <c r="AJ71" i="9"/>
  <c r="AJ1043" i="1"/>
  <c r="AJ1036" i="1"/>
  <c r="AJ944" i="1"/>
  <c r="BS890" i="1"/>
  <c r="AG877" i="1"/>
  <c r="AG705" i="1" s="1"/>
  <c r="AG703" i="1"/>
  <c r="CB950" i="1"/>
  <c r="CG950" i="1" s="1"/>
  <c r="BW955" i="1"/>
  <c r="BG1030" i="1"/>
  <c r="R939" i="1"/>
  <c r="R933" i="1"/>
  <c r="BI926" i="1"/>
  <c r="BI927" i="1" s="1"/>
  <c r="BI709" i="1"/>
  <c r="BI1036" i="1" s="1"/>
  <c r="AB877" i="1"/>
  <c r="AB705" i="1" s="1"/>
  <c r="AB703" i="1"/>
  <c r="J877" i="1"/>
  <c r="J705" i="1" s="1"/>
  <c r="J703" i="1"/>
  <c r="AO102" i="9"/>
  <c r="AO87" i="9"/>
  <c r="AO749" i="1"/>
  <c r="AO750" i="1"/>
  <c r="BN910" i="1"/>
  <c r="BN718" i="1"/>
  <c r="BN73" i="9" s="1"/>
  <c r="T450" i="1"/>
  <c r="AX67" i="9"/>
  <c r="AX556" i="1"/>
  <c r="AX557" i="1" s="1"/>
  <c r="AX558" i="1" s="1"/>
  <c r="AX942" i="1"/>
  <c r="BU102" i="9"/>
  <c r="BU87" i="9"/>
  <c r="AV102" i="9"/>
  <c r="AV87" i="9"/>
  <c r="BV378" i="1"/>
  <c r="BM33" i="9"/>
  <c r="BM55" i="1"/>
  <c r="BM56" i="1" s="1"/>
  <c r="BM57" i="1" s="1"/>
  <c r="BI954" i="1"/>
  <c r="BW95" i="9"/>
  <c r="AU87" i="9"/>
  <c r="AU102" i="9"/>
  <c r="BL102" i="9"/>
  <c r="BL87" i="9"/>
  <c r="AV753" i="1"/>
  <c r="F938" i="1"/>
  <c r="P1039" i="1"/>
  <c r="AX71" i="9"/>
  <c r="AX1036" i="1"/>
  <c r="AX944" i="1"/>
  <c r="AR34" i="9"/>
  <c r="AR291" i="1"/>
  <c r="G38" i="9"/>
  <c r="G97" i="9" s="1"/>
  <c r="G400" i="1"/>
  <c r="G294" i="1"/>
  <c r="G61" i="9" s="1"/>
  <c r="BH102" i="9"/>
  <c r="BH87" i="9"/>
  <c r="G71" i="9"/>
  <c r="G1036" i="1"/>
  <c r="G944" i="1"/>
  <c r="X102" i="9"/>
  <c r="X87" i="9"/>
  <c r="AP385" i="1"/>
  <c r="BG635" i="1"/>
  <c r="BG394" i="1"/>
  <c r="BG285" i="1"/>
  <c r="AQ378" i="1"/>
  <c r="O309" i="1"/>
  <c r="O313" i="1" s="1"/>
  <c r="O315" i="1" s="1"/>
  <c r="O329" i="1"/>
  <c r="O339" i="1" s="1"/>
  <c r="O396" i="1" s="1"/>
  <c r="AL955" i="1"/>
  <c r="AX590" i="1"/>
  <c r="AI109" i="9"/>
  <c r="Q390" i="1"/>
  <c r="BE953" i="1"/>
  <c r="AM608" i="1"/>
  <c r="AL608" i="1"/>
  <c r="AK608" i="1"/>
  <c r="AO590" i="1"/>
  <c r="AO608" i="1"/>
  <c r="AN608" i="1"/>
  <c r="BH742" i="1"/>
  <c r="AQ954" i="1"/>
  <c r="K955" i="1"/>
  <c r="AP313" i="1"/>
  <c r="AP315" i="1" s="1"/>
  <c r="AP360" i="1"/>
  <c r="AP362" i="1" s="1"/>
  <c r="AP396" i="1" s="1"/>
  <c r="BE64" i="9"/>
  <c r="BE66" i="9" s="1"/>
  <c r="BE724" i="1"/>
  <c r="BE725" i="1" s="1"/>
  <c r="BE726" i="1" s="1"/>
  <c r="BE727" i="1" s="1"/>
  <c r="BE706" i="1"/>
  <c r="S745" i="1"/>
  <c r="S746" i="1" s="1"/>
  <c r="S742" i="1"/>
  <c r="BT36" i="9"/>
  <c r="BT292" i="1"/>
  <c r="BT59" i="9" s="1"/>
  <c r="F35" i="9"/>
  <c r="F290" i="1"/>
  <c r="F58" i="9" s="1"/>
  <c r="AX651" i="1"/>
  <c r="AX283" i="1"/>
  <c r="AH954" i="1"/>
  <c r="R955" i="1"/>
  <c r="BH956" i="1"/>
  <c r="BV313" i="1"/>
  <c r="BV315" i="1" s="1"/>
  <c r="BV360" i="1"/>
  <c r="BV362" i="1" s="1"/>
  <c r="BV396" i="1" s="1"/>
  <c r="AO1026" i="1"/>
  <c r="AM34" i="9"/>
  <c r="AM291" i="1"/>
  <c r="AV955" i="1"/>
  <c r="X955" i="1"/>
  <c r="BX953" i="1"/>
  <c r="U466" i="1"/>
  <c r="AG449" i="1"/>
  <c r="AG450" i="1"/>
  <c r="AQ42" i="9"/>
  <c r="AQ429" i="1"/>
  <c r="J42" i="9"/>
  <c r="BT955" i="1"/>
  <c r="AH313" i="1"/>
  <c r="AH315" i="1" s="1"/>
  <c r="AH360" i="1"/>
  <c r="AH362" i="1" s="1"/>
  <c r="AH396" i="1" s="1"/>
  <c r="D320" i="1"/>
  <c r="D327" i="1" s="1"/>
  <c r="D415" i="1" s="1"/>
  <c r="D317" i="1"/>
  <c r="BW102" i="9"/>
  <c r="BW87" i="9"/>
  <c r="BY34" i="9"/>
  <c r="BY291" i="1"/>
  <c r="AS34" i="9"/>
  <c r="AS291" i="1"/>
  <c r="AU218" i="1"/>
  <c r="AU220" i="1" s="1"/>
  <c r="AV214" i="1"/>
  <c r="AY214" i="1"/>
  <c r="AY218" i="1" s="1"/>
  <c r="V33" i="9"/>
  <c r="V55" i="1"/>
  <c r="V56" i="1" s="1"/>
  <c r="V57" i="1" s="1"/>
  <c r="AD76" i="1"/>
  <c r="AM66" i="1"/>
  <c r="AM67" i="1" s="1"/>
  <c r="AH766" i="1"/>
  <c r="AH765" i="1"/>
  <c r="AH764" i="1"/>
  <c r="K1039" i="1"/>
  <c r="AZ651" i="1"/>
  <c r="AZ283" i="1"/>
  <c r="AJ651" i="1"/>
  <c r="AJ283" i="1"/>
  <c r="T277" i="1"/>
  <c r="T278" i="1" s="1"/>
  <c r="BP285" i="1"/>
  <c r="AN651" i="1"/>
  <c r="AN283" i="1"/>
  <c r="T722" i="1"/>
  <c r="BH87" i="1"/>
  <c r="H766" i="1"/>
  <c r="H764" i="1"/>
  <c r="H765" i="1"/>
  <c r="F480" i="1"/>
  <c r="F490" i="1" s="1"/>
  <c r="BC36" i="9"/>
  <c r="BC292" i="1"/>
  <c r="BC59" i="9" s="1"/>
  <c r="F36" i="9"/>
  <c r="F292" i="1"/>
  <c r="F59" i="9" s="1"/>
  <c r="BO57" i="9"/>
  <c r="BO1033" i="1"/>
  <c r="AK378" i="1"/>
  <c r="AG38" i="9"/>
  <c r="AG97" i="9" s="1"/>
  <c r="AG400" i="1"/>
  <c r="AG294" i="1"/>
  <c r="AG61" i="9" s="1"/>
  <c r="BA313" i="1"/>
  <c r="BA315" i="1" s="1"/>
  <c r="BA360" i="1"/>
  <c r="BA362" i="1" s="1"/>
  <c r="BA396" i="1" s="1"/>
  <c r="L317" i="1"/>
  <c r="L320" i="1"/>
  <c r="L327" i="1" s="1"/>
  <c r="L415" i="1" s="1"/>
  <c r="BR206" i="1"/>
  <c r="AI72" i="1"/>
  <c r="AI74" i="1"/>
  <c r="AI113" i="1" s="1"/>
  <c r="AI531" i="1" s="1"/>
  <c r="AB32" i="9"/>
  <c r="AB377" i="1"/>
  <c r="AB53" i="1"/>
  <c r="BF399" i="1"/>
  <c r="BF925" i="1" s="1"/>
  <c r="BH117" i="1"/>
  <c r="BH399" i="1" s="1"/>
  <c r="BH925" i="1" s="1"/>
  <c r="BK96" i="1"/>
  <c r="AP82" i="1"/>
  <c r="Y54" i="1"/>
  <c r="BD765" i="1"/>
  <c r="BD766" i="1"/>
  <c r="BD764" i="1"/>
  <c r="W764" i="1"/>
  <c r="W765" i="1"/>
  <c r="W766" i="1"/>
  <c r="W449" i="1"/>
  <c r="W450" i="1"/>
  <c r="BI33" i="9"/>
  <c r="BI55" i="1"/>
  <c r="BI56" i="1" s="1"/>
  <c r="P956" i="1"/>
  <c r="AD38" i="9"/>
  <c r="AD97" i="9" s="1"/>
  <c r="AD400" i="1"/>
  <c r="AD294" i="1"/>
  <c r="AD61" i="9" s="1"/>
  <c r="Y72" i="1"/>
  <c r="BR937" i="1"/>
  <c r="O936" i="1"/>
  <c r="O927" i="1"/>
  <c r="BA97" i="1"/>
  <c r="BN1026" i="1"/>
  <c r="BV954" i="1"/>
  <c r="CA949" i="1"/>
  <c r="CF949" i="1" s="1"/>
  <c r="X951" i="1"/>
  <c r="X956" i="1" s="1"/>
  <c r="BQ211" i="1"/>
  <c r="BJ210" i="1"/>
  <c r="AQ587" i="1"/>
  <c r="AX42" i="9"/>
  <c r="AO936" i="1"/>
  <c r="AN385" i="1"/>
  <c r="AN394" i="1" s="1"/>
  <c r="AU651" i="1"/>
  <c r="AU283" i="1"/>
  <c r="AM378" i="1"/>
  <c r="E378" i="1"/>
  <c r="AZ317" i="1"/>
  <c r="AZ320" i="1"/>
  <c r="AZ327" i="1" s="1"/>
  <c r="AZ415" i="1" s="1"/>
  <c r="AD205" i="1"/>
  <c r="AD211" i="1"/>
  <c r="AO385" i="1"/>
  <c r="AO71" i="1"/>
  <c r="Q33" i="9"/>
  <c r="Q55" i="1"/>
  <c r="Q56" i="1" s="1"/>
  <c r="Q57" i="1" s="1"/>
  <c r="BH939" i="1"/>
  <c r="BN33" i="9"/>
  <c r="BN55" i="1"/>
  <c r="BT590" i="1"/>
  <c r="BB285" i="1"/>
  <c r="AD956" i="1"/>
  <c r="BX320" i="1"/>
  <c r="BX327" i="1" s="1"/>
  <c r="BX317" i="1"/>
  <c r="P33" i="9"/>
  <c r="P55" i="1"/>
  <c r="P56" i="1" s="1"/>
  <c r="P57" i="1" s="1"/>
  <c r="BB87" i="9"/>
  <c r="BB102" i="9"/>
  <c r="M87" i="9"/>
  <c r="M102" i="9"/>
  <c r="Q52" i="9"/>
  <c r="Q43" i="9"/>
  <c r="Q433" i="1"/>
  <c r="Q53" i="9" s="1"/>
  <c r="Q82" i="9" s="1"/>
  <c r="Q411" i="1"/>
  <c r="Q41" i="9" s="1"/>
  <c r="Q106" i="9" s="1"/>
  <c r="BT102" i="1"/>
  <c r="AA85" i="1"/>
  <c r="F82" i="1"/>
  <c r="K82" i="1"/>
  <c r="K75" i="1"/>
  <c r="K76" i="1"/>
  <c r="BO52" i="1"/>
  <c r="BT72" i="1"/>
  <c r="V57" i="9"/>
  <c r="V1033" i="1"/>
  <c r="AI203" i="1"/>
  <c r="AR936" i="1"/>
  <c r="AR938" i="1"/>
  <c r="BH102" i="1"/>
  <c r="BH101" i="1"/>
  <c r="BK113" i="1"/>
  <c r="BK531" i="1" s="1"/>
  <c r="BK101" i="1"/>
  <c r="BK102" i="1"/>
  <c r="R74" i="1"/>
  <c r="R113" i="1" s="1"/>
  <c r="R531" i="1" s="1"/>
  <c r="CE24" i="9"/>
  <c r="CE27" i="1"/>
  <c r="CH26" i="1"/>
  <c r="AY1026" i="1"/>
  <c r="AN450" i="1"/>
  <c r="BB130" i="9"/>
  <c r="BB92" i="9"/>
  <c r="T210" i="1"/>
  <c r="AM72" i="1"/>
  <c r="BF102" i="1"/>
  <c r="BF103" i="1" s="1"/>
  <c r="AL101" i="1"/>
  <c r="AW75" i="1"/>
  <c r="AW76" i="1"/>
  <c r="AW77" i="1" s="1"/>
  <c r="V37" i="1"/>
  <c r="J329" i="1"/>
  <c r="J339" i="1" s="1"/>
  <c r="J396" i="1" s="1"/>
  <c r="J309" i="1"/>
  <c r="J313" i="1" s="1"/>
  <c r="J315" i="1" s="1"/>
  <c r="AE32" i="9"/>
  <c r="AE377" i="1"/>
  <c r="AE53" i="1"/>
  <c r="BV102" i="1"/>
  <c r="BV103" i="1" s="1"/>
  <c r="BA113" i="1"/>
  <c r="BA531" i="1" s="1"/>
  <c r="BO90" i="1"/>
  <c r="AW91" i="1"/>
  <c r="AW90" i="1"/>
  <c r="AY90" i="1"/>
  <c r="BK72" i="1"/>
  <c r="U210" i="1"/>
  <c r="AX103" i="1"/>
  <c r="AJ96" i="1"/>
  <c r="AV85" i="1"/>
  <c r="BC52" i="1"/>
  <c r="K507" i="1"/>
  <c r="BL113" i="1"/>
  <c r="BL531" i="1" s="1"/>
  <c r="BU113" i="1"/>
  <c r="BU531" i="1" s="1"/>
  <c r="BU101" i="1"/>
  <c r="BU102" i="1"/>
  <c r="BU103" i="1" s="1"/>
  <c r="BZ101" i="1"/>
  <c r="Q101" i="1"/>
  <c r="Q102" i="1"/>
  <c r="V101" i="1"/>
  <c r="BS87" i="1"/>
  <c r="AU87" i="1"/>
  <c r="AV81" i="1"/>
  <c r="AV82" i="1" s="1"/>
  <c r="X82" i="1"/>
  <c r="BR77" i="1"/>
  <c r="AJ66" i="1"/>
  <c r="AJ67" i="1" s="1"/>
  <c r="S54" i="1"/>
  <c r="AB766" i="1"/>
  <c r="AB765" i="1"/>
  <c r="AB764" i="1"/>
  <c r="AQ47" i="1"/>
  <c r="AQ48" i="1"/>
  <c r="BS285" i="1"/>
  <c r="BG113" i="1"/>
  <c r="BG531" i="1" s="1"/>
  <c r="BG101" i="1"/>
  <c r="BG102" i="1"/>
  <c r="BG103" i="1" s="1"/>
  <c r="BU91" i="1"/>
  <c r="BU90" i="1"/>
  <c r="BL82" i="1"/>
  <c r="AM91" i="1"/>
  <c r="AM92" i="1" s="1"/>
  <c r="AM90" i="1"/>
  <c r="AK52" i="1"/>
  <c r="BE48" i="1"/>
  <c r="CC22" i="9"/>
  <c r="CC13" i="1"/>
  <c r="CC15" i="9" s="1"/>
  <c r="BN56" i="1"/>
  <c r="AN74" i="1"/>
  <c r="AN113" i="1" s="1"/>
  <c r="AN531" i="1" s="1"/>
  <c r="W48" i="1"/>
  <c r="W47" i="1"/>
  <c r="X56" i="1"/>
  <c r="X57" i="1" s="1"/>
  <c r="V87" i="1"/>
  <c r="U87" i="1"/>
  <c r="R85" i="1"/>
  <c r="AT46" i="1"/>
  <c r="AT96" i="1"/>
  <c r="AT102" i="1"/>
  <c r="AT81" i="1"/>
  <c r="AT57" i="1"/>
  <c r="AT70" i="1"/>
  <c r="AL765" i="1"/>
  <c r="AL766" i="1"/>
  <c r="AL764" i="1"/>
  <c r="M764" i="1"/>
  <c r="M766" i="1"/>
  <c r="M765" i="1"/>
  <c r="BL57" i="1"/>
  <c r="BL96" i="1"/>
  <c r="BL46" i="1"/>
  <c r="BL66" i="1"/>
  <c r="BL102" i="1"/>
  <c r="BQ103" i="1" s="1"/>
  <c r="BL54" i="1"/>
  <c r="BL70" i="1"/>
  <c r="AN56" i="1"/>
  <c r="AN57" i="1" s="1"/>
  <c r="L100" i="9" l="1"/>
  <c r="BS104" i="9"/>
  <c r="M100" i="9"/>
  <c r="AJ103" i="9"/>
  <c r="AJ104" i="9" s="1"/>
  <c r="BC100" i="9"/>
  <c r="L103" i="9"/>
  <c r="L104" i="9" s="1"/>
  <c r="AM100" i="9"/>
  <c r="AM110" i="9" s="1"/>
  <c r="BQ103" i="9"/>
  <c r="BQ104" i="9" s="1"/>
  <c r="S110" i="9"/>
  <c r="BJ103" i="9"/>
  <c r="BJ104" i="9" s="1"/>
  <c r="AL103" i="9"/>
  <c r="AK103" i="9"/>
  <c r="T103" i="9"/>
  <c r="AL317" i="1"/>
  <c r="AL320" i="1"/>
  <c r="AL327" i="1" s="1"/>
  <c r="AL415" i="1" s="1"/>
  <c r="AV707" i="1"/>
  <c r="AV728" i="1"/>
  <c r="AV729" i="1" s="1"/>
  <c r="AV730" i="1" s="1"/>
  <c r="AV731" i="1" s="1"/>
  <c r="AV704" i="1"/>
  <c r="BG1033" i="1"/>
  <c r="BG57" i="9"/>
  <c r="BD96" i="1"/>
  <c r="BD52" i="1"/>
  <c r="BD76" i="1"/>
  <c r="BD72" i="1"/>
  <c r="AB913" i="1"/>
  <c r="BI1042" i="1"/>
  <c r="AB956" i="1"/>
  <c r="AR913" i="1"/>
  <c r="CD773" i="1"/>
  <c r="CD10" i="9" s="1"/>
  <c r="CE1016" i="1"/>
  <c r="D52" i="11"/>
  <c r="D164" i="11"/>
  <c r="AQ97" i="1"/>
  <c r="AE38" i="9"/>
  <c r="AE97" i="9" s="1"/>
  <c r="AE98" i="9" s="1"/>
  <c r="AE294" i="1"/>
  <c r="AE61" i="9" s="1"/>
  <c r="BR211" i="1"/>
  <c r="BK913" i="1"/>
  <c r="BK1030" i="1"/>
  <c r="AC953" i="1"/>
  <c r="BP97" i="1"/>
  <c r="AI492" i="1"/>
  <c r="BT103" i="9"/>
  <c r="BT104" i="9" s="1"/>
  <c r="BP913" i="1"/>
  <c r="P113" i="1"/>
  <c r="P531" i="1" s="1"/>
  <c r="BP704" i="1"/>
  <c r="AA97" i="1"/>
  <c r="AQ38" i="9"/>
  <c r="AQ97" i="9" s="1"/>
  <c r="AU98" i="9" s="1"/>
  <c r="AT92" i="1"/>
  <c r="AE1019" i="1"/>
  <c r="AO102" i="1"/>
  <c r="AO103" i="1" s="1"/>
  <c r="U67" i="1"/>
  <c r="AH344" i="11"/>
  <c r="Y394" i="1"/>
  <c r="AD347" i="11"/>
  <c r="BN703" i="1"/>
  <c r="BN64" i="9" s="1"/>
  <c r="BN66" i="9" s="1"/>
  <c r="BJ100" i="9"/>
  <c r="BJ110" i="9" s="1"/>
  <c r="AB347" i="11"/>
  <c r="O913" i="1"/>
  <c r="N1028" i="1" s="1"/>
  <c r="BA913" i="1"/>
  <c r="BA1028" i="1" s="1"/>
  <c r="AL38" i="9"/>
  <c r="AL97" i="9" s="1"/>
  <c r="AL294" i="1"/>
  <c r="AL61" i="9" s="1"/>
  <c r="BK38" i="9"/>
  <c r="BK97" i="9" s="1"/>
  <c r="BK294" i="1"/>
  <c r="BK61" i="9" s="1"/>
  <c r="BK400" i="1"/>
  <c r="AN218" i="1"/>
  <c r="AO214" i="1"/>
  <c r="AO218" i="1" s="1"/>
  <c r="AT220" i="1" s="1"/>
  <c r="K52" i="11"/>
  <c r="K164" i="11"/>
  <c r="BS317" i="1"/>
  <c r="BJ82" i="1"/>
  <c r="BS77" i="1"/>
  <c r="N100" i="9"/>
  <c r="X913" i="1"/>
  <c r="T913" i="1"/>
  <c r="AC346" i="11"/>
  <c r="M103" i="9"/>
  <c r="M104" i="9" s="1"/>
  <c r="K113" i="1"/>
  <c r="K531" i="1" s="1"/>
  <c r="R100" i="9"/>
  <c r="AG100" i="9"/>
  <c r="AG110" i="9" s="1"/>
  <c r="BC77" i="1"/>
  <c r="Q291" i="1"/>
  <c r="Q57" i="9" s="1"/>
  <c r="AM400" i="1"/>
  <c r="AM38" i="9"/>
  <c r="AM97" i="9" s="1"/>
  <c r="AM294" i="1"/>
  <c r="AM61" i="9" s="1"/>
  <c r="AA956" i="1"/>
  <c r="BC92" i="1"/>
  <c r="BK97" i="1"/>
  <c r="BI1032" i="1"/>
  <c r="BW703" i="1"/>
  <c r="BW704" i="1" s="1"/>
  <c r="BI77" i="1"/>
  <c r="BC103" i="9"/>
  <c r="BC104" i="9" s="1"/>
  <c r="AW100" i="9"/>
  <c r="AQ103" i="1"/>
  <c r="BT103" i="1"/>
  <c r="BK99" i="9"/>
  <c r="BK100" i="9" s="1"/>
  <c r="BL103" i="9"/>
  <c r="BL104" i="9" s="1"/>
  <c r="BB67" i="1"/>
  <c r="AR103" i="1"/>
  <c r="S913" i="1"/>
  <c r="BK77" i="1"/>
  <c r="BA92" i="1"/>
  <c r="T34" i="9"/>
  <c r="BK103" i="9"/>
  <c r="BK104" i="9" s="1"/>
  <c r="BV956" i="1"/>
  <c r="BW913" i="1"/>
  <c r="BD46" i="1"/>
  <c r="BD48" i="1" s="1"/>
  <c r="BM77" i="1"/>
  <c r="K467" i="1"/>
  <c r="AG82" i="1"/>
  <c r="V953" i="1"/>
  <c r="AE99" i="9"/>
  <c r="AJ100" i="9" s="1"/>
  <c r="AV100" i="9"/>
  <c r="AV110" i="9" s="1"/>
  <c r="P405" i="11"/>
  <c r="AR109" i="9"/>
  <c r="O158" i="11"/>
  <c r="AI51" i="11"/>
  <c r="AI410" i="11" s="1"/>
  <c r="M176" i="11"/>
  <c r="AD345" i="11"/>
  <c r="BK320" i="1"/>
  <c r="BK327" i="1" s="1"/>
  <c r="BK415" i="1" s="1"/>
  <c r="BK317" i="1"/>
  <c r="K75" i="11"/>
  <c r="K86" i="11" s="1"/>
  <c r="K172" i="11" s="1"/>
  <c r="K185" i="11" s="1"/>
  <c r="K72" i="11"/>
  <c r="AH52" i="11"/>
  <c r="AH164" i="11"/>
  <c r="AI72" i="11"/>
  <c r="AI75" i="11"/>
  <c r="AI86" i="11" s="1"/>
  <c r="AI172" i="11" s="1"/>
  <c r="AI210" i="1"/>
  <c r="BT97" i="1"/>
  <c r="AF100" i="9"/>
  <c r="AF110" i="9" s="1"/>
  <c r="G449" i="11"/>
  <c r="BJ97" i="1"/>
  <c r="BI1043" i="1"/>
  <c r="BT956" i="1"/>
  <c r="BN507" i="1"/>
  <c r="D72" i="11"/>
  <c r="D75" i="11"/>
  <c r="D86" i="11" s="1"/>
  <c r="D172" i="11" s="1"/>
  <c r="AV706" i="1"/>
  <c r="AV64" i="9"/>
  <c r="AV66" i="9" s="1"/>
  <c r="AV68" i="9" s="1"/>
  <c r="AV724" i="1"/>
  <c r="AV725" i="1" s="1"/>
  <c r="AV726" i="1" s="1"/>
  <c r="AV727" i="1" s="1"/>
  <c r="AC52" i="11"/>
  <c r="AC164" i="11"/>
  <c r="BI910" i="1"/>
  <c r="Y76" i="1"/>
  <c r="F101" i="9"/>
  <c r="BK1019" i="1"/>
  <c r="R913" i="1"/>
  <c r="BW877" i="1"/>
  <c r="BW705" i="1" s="1"/>
  <c r="BD66" i="1"/>
  <c r="F105" i="9"/>
  <c r="BV913" i="1"/>
  <c r="BV1028" i="1" s="1"/>
  <c r="AY110" i="9"/>
  <c r="Z418" i="11"/>
  <c r="BP67" i="1"/>
  <c r="BL913" i="1"/>
  <c r="AF97" i="1"/>
  <c r="Y291" i="1"/>
  <c r="AY1041" i="1"/>
  <c r="AZ103" i="1"/>
  <c r="V103" i="9"/>
  <c r="AL291" i="1"/>
  <c r="AL57" i="9" s="1"/>
  <c r="AQ109" i="9"/>
  <c r="BI110" i="9"/>
  <c r="F913" i="1"/>
  <c r="AD40" i="11"/>
  <c r="BP1030" i="1"/>
  <c r="T158" i="11"/>
  <c r="T51" i="11" s="1"/>
  <c r="T410" i="11" s="1"/>
  <c r="M169" i="11"/>
  <c r="AH103" i="1"/>
  <c r="AJ492" i="1"/>
  <c r="AH706" i="1"/>
  <c r="AH724" i="1"/>
  <c r="AH725" i="1" s="1"/>
  <c r="AH726" i="1" s="1"/>
  <c r="AH727" i="1" s="1"/>
  <c r="AH64" i="9"/>
  <c r="AH66" i="9" s="1"/>
  <c r="AH68" i="9" s="1"/>
  <c r="AH70" i="9" s="1"/>
  <c r="AH76" i="9" s="1"/>
  <c r="AH132" i="9" s="1"/>
  <c r="AH347" i="11"/>
  <c r="BS38" i="9"/>
  <c r="BS97" i="9" s="1"/>
  <c r="BS98" i="9" s="1"/>
  <c r="BS101" i="9" s="1"/>
  <c r="BS294" i="1"/>
  <c r="BS61" i="9" s="1"/>
  <c r="BC320" i="1"/>
  <c r="BC327" i="1" s="1"/>
  <c r="BC415" i="1" s="1"/>
  <c r="BC317" i="1"/>
  <c r="AH75" i="11"/>
  <c r="AH86" i="11" s="1"/>
  <c r="AH172" i="11" s="1"/>
  <c r="AH72" i="11"/>
  <c r="H706" i="1"/>
  <c r="H64" i="9"/>
  <c r="H66" i="9" s="1"/>
  <c r="H68" i="9" s="1"/>
  <c r="H724" i="1"/>
  <c r="H725" i="1" s="1"/>
  <c r="H726" i="1" s="1"/>
  <c r="H727" i="1" s="1"/>
  <c r="AU320" i="1"/>
  <c r="AU327" i="1" s="1"/>
  <c r="AU415" i="1" s="1"/>
  <c r="AU317" i="1"/>
  <c r="AI52" i="11"/>
  <c r="AI164" i="11"/>
  <c r="S1030" i="1"/>
  <c r="Z72" i="1"/>
  <c r="Z74" i="1"/>
  <c r="CB1170" i="1"/>
  <c r="AM317" i="1"/>
  <c r="AM320" i="1"/>
  <c r="AM327" i="1" s="1"/>
  <c r="AM415" i="1" s="1"/>
  <c r="BK67" i="1"/>
  <c r="AG92" i="1"/>
  <c r="BV67" i="1"/>
  <c r="AD405" i="11"/>
  <c r="J40" i="11"/>
  <c r="J42" i="11" s="1"/>
  <c r="AH346" i="11"/>
  <c r="R405" i="11"/>
  <c r="AD346" i="11"/>
  <c r="AL344" i="11"/>
  <c r="Q74" i="1"/>
  <c r="AD75" i="1"/>
  <c r="BD85" i="1"/>
  <c r="Q100" i="9"/>
  <c r="Q110" i="9" s="1"/>
  <c r="BH75" i="1"/>
  <c r="W103" i="9"/>
  <c r="AS103" i="9"/>
  <c r="AS104" i="9" s="1"/>
  <c r="D92" i="1"/>
  <c r="AA67" i="1"/>
  <c r="BD91" i="1"/>
  <c r="R748" i="1"/>
  <c r="AE317" i="1"/>
  <c r="AG346" i="11"/>
  <c r="K913" i="1"/>
  <c r="P1028" i="1" s="1"/>
  <c r="BD102" i="1"/>
  <c r="BD103" i="1" s="1"/>
  <c r="BP100" i="9"/>
  <c r="N913" i="1"/>
  <c r="H405" i="11"/>
  <c r="AH707" i="1"/>
  <c r="AH704" i="1"/>
  <c r="AH728" i="1"/>
  <c r="AH729" i="1" s="1"/>
  <c r="AH730" i="1" s="1"/>
  <c r="AH731" i="1" s="1"/>
  <c r="BC294" i="1"/>
  <c r="BC61" i="9" s="1"/>
  <c r="BC38" i="9"/>
  <c r="BC97" i="9" s="1"/>
  <c r="BG98" i="9" s="1"/>
  <c r="AX48" i="1"/>
  <c r="AX49" i="1" s="1"/>
  <c r="AX47" i="1"/>
  <c r="AU38" i="9"/>
  <c r="AU97" i="9" s="1"/>
  <c r="AU294" i="1"/>
  <c r="AU61" i="9" s="1"/>
  <c r="BQ75" i="1"/>
  <c r="BL76" i="1"/>
  <c r="BQ77" i="1" s="1"/>
  <c r="AV913" i="1"/>
  <c r="D228" i="11"/>
  <c r="D215" i="11" s="1"/>
  <c r="E228" i="11"/>
  <c r="E215" i="11" s="1"/>
  <c r="F228" i="11"/>
  <c r="A2" i="13"/>
  <c r="AA77" i="1"/>
  <c r="BH97" i="1"/>
  <c r="V103" i="1"/>
  <c r="AW92" i="1"/>
  <c r="AR97" i="1"/>
  <c r="BA82" i="1"/>
  <c r="AQ82" i="1"/>
  <c r="BF92" i="1"/>
  <c r="F77" i="1"/>
  <c r="BH67" i="1"/>
  <c r="BB77" i="1"/>
  <c r="AJ97" i="1"/>
  <c r="AF67" i="1"/>
  <c r="S82" i="1"/>
  <c r="BE103" i="1"/>
  <c r="CB103" i="1"/>
  <c r="BE92" i="1"/>
  <c r="BP103" i="1"/>
  <c r="AG103" i="1"/>
  <c r="W97" i="1"/>
  <c r="BQ109" i="9"/>
  <c r="BG67" i="1"/>
  <c r="K105" i="9"/>
  <c r="BN109" i="9"/>
  <c r="P59" i="1"/>
  <c r="P58" i="1"/>
  <c r="AJ293" i="1"/>
  <c r="AJ60" i="9" s="1"/>
  <c r="AJ395" i="1"/>
  <c r="U58" i="1"/>
  <c r="U59" i="1"/>
  <c r="BT59" i="1"/>
  <c r="BT58" i="1"/>
  <c r="AN59" i="1"/>
  <c r="S405" i="11"/>
  <c r="X405" i="11"/>
  <c r="AA59" i="1"/>
  <c r="AA58" i="1"/>
  <c r="AZ59" i="1"/>
  <c r="AZ58" i="1"/>
  <c r="T405" i="11"/>
  <c r="AJ59" i="1"/>
  <c r="R59" i="1"/>
  <c r="R58" i="1"/>
  <c r="AX58" i="1"/>
  <c r="AX59" i="1"/>
  <c r="AK59" i="1"/>
  <c r="AK62" i="1" s="1"/>
  <c r="AK58" i="1"/>
  <c r="AE405" i="11"/>
  <c r="AF293" i="1"/>
  <c r="AF60" i="9" s="1"/>
  <c r="AF395" i="1"/>
  <c r="BH58" i="1"/>
  <c r="BH59" i="1"/>
  <c r="Y405" i="11"/>
  <c r="V58" i="1"/>
  <c r="V59" i="1"/>
  <c r="Z405" i="11"/>
  <c r="BV59" i="1"/>
  <c r="BV58" i="1"/>
  <c r="BD59" i="1"/>
  <c r="AC58" i="1"/>
  <c r="AC59" i="1"/>
  <c r="BF58" i="1"/>
  <c r="BF59" i="1"/>
  <c r="BL97" i="1"/>
  <c r="BQ97" i="1"/>
  <c r="AE33" i="9"/>
  <c r="AE55" i="1"/>
  <c r="AE378" i="1"/>
  <c r="AO34" i="9"/>
  <c r="AO291" i="1"/>
  <c r="AM635" i="1"/>
  <c r="AN641" i="1" s="1"/>
  <c r="AM394" i="1"/>
  <c r="AM285" i="1"/>
  <c r="AD51" i="9"/>
  <c r="AD748" i="1"/>
  <c r="AD297" i="1"/>
  <c r="AG51" i="9"/>
  <c r="AG748" i="1"/>
  <c r="AG297" i="1"/>
  <c r="T651" i="1"/>
  <c r="T283" i="1"/>
  <c r="BE68" i="9"/>
  <c r="BG641" i="1"/>
  <c r="BG644" i="1"/>
  <c r="AO103" i="9"/>
  <c r="AO104" i="9" s="1"/>
  <c r="AO105" i="9" s="1"/>
  <c r="AG64" i="9"/>
  <c r="AG66" i="9" s="1"/>
  <c r="AG724" i="1"/>
  <c r="AG725" i="1" s="1"/>
  <c r="AG726" i="1" s="1"/>
  <c r="AG727" i="1" s="1"/>
  <c r="AG706" i="1"/>
  <c r="C1028" i="1"/>
  <c r="C916" i="1"/>
  <c r="AF52" i="11"/>
  <c r="AF164" i="11"/>
  <c r="BB58" i="1"/>
  <c r="BB59" i="1"/>
  <c r="S103" i="1"/>
  <c r="X103" i="1"/>
  <c r="BT52" i="9"/>
  <c r="BT43" i="9"/>
  <c r="BT433" i="1"/>
  <c r="BT53" i="9" s="1"/>
  <c r="BT82" i="9" s="1"/>
  <c r="BT411" i="1"/>
  <c r="AY57" i="1"/>
  <c r="BD58" i="1" s="1"/>
  <c r="AY87" i="1"/>
  <c r="AY46" i="1"/>
  <c r="AY91" i="1"/>
  <c r="AY92" i="1" s="1"/>
  <c r="AY66" i="1"/>
  <c r="AY67" i="1" s="1"/>
  <c r="AY52" i="1"/>
  <c r="AY81" i="1"/>
  <c r="AY82" i="1" s="1"/>
  <c r="AY54" i="1"/>
  <c r="AY70" i="1"/>
  <c r="AY72" i="1"/>
  <c r="AY76" i="1"/>
  <c r="AY85" i="1"/>
  <c r="AY96" i="1"/>
  <c r="BT57" i="9"/>
  <c r="BT1033" i="1"/>
  <c r="H129" i="9"/>
  <c r="AL51" i="9"/>
  <c r="AL748" i="1"/>
  <c r="AL297" i="1"/>
  <c r="BH360" i="1"/>
  <c r="BH362" i="1" s="1"/>
  <c r="BH396" i="1" s="1"/>
  <c r="BH313" i="1"/>
  <c r="BH315" i="1" s="1"/>
  <c r="O36" i="9"/>
  <c r="O292" i="1"/>
  <c r="O59" i="9" s="1"/>
  <c r="G707" i="1"/>
  <c r="G728" i="1"/>
  <c r="G729" i="1" s="1"/>
  <c r="G730" i="1" s="1"/>
  <c r="G731" i="1" s="1"/>
  <c r="G704" i="1"/>
  <c r="AP103" i="9"/>
  <c r="AP104" i="9" s="1"/>
  <c r="C635" i="1"/>
  <c r="C394" i="1"/>
  <c r="C285" i="1"/>
  <c r="AS56" i="9"/>
  <c r="AS1035" i="1"/>
  <c r="AS286" i="1"/>
  <c r="AX57" i="9"/>
  <c r="AX1033" i="1"/>
  <c r="U1040" i="1"/>
  <c r="Q705" i="1"/>
  <c r="BS67" i="9"/>
  <c r="BS942" i="1"/>
  <c r="BS556" i="1"/>
  <c r="BS557" i="1" s="1"/>
  <c r="BS558" i="1" s="1"/>
  <c r="CE988" i="1"/>
  <c r="H843" i="1"/>
  <c r="G844" i="1"/>
  <c r="BX75" i="9"/>
  <c r="A228" i="11"/>
  <c r="A227" i="11"/>
  <c r="A225" i="11"/>
  <c r="A226" i="11"/>
  <c r="A229" i="11"/>
  <c r="A3" i="11"/>
  <c r="AF159" i="11"/>
  <c r="W42" i="11"/>
  <c r="BV92" i="1"/>
  <c r="CA91" i="1"/>
  <c r="BK47" i="1"/>
  <c r="BK48" i="1"/>
  <c r="BU38" i="9"/>
  <c r="BU97" i="9" s="1"/>
  <c r="BU400" i="1"/>
  <c r="BU294" i="1"/>
  <c r="BU61" i="9" s="1"/>
  <c r="AZ938" i="1"/>
  <c r="AZ936" i="1"/>
  <c r="AZ927" i="1"/>
  <c r="U317" i="1"/>
  <c r="U320" i="1"/>
  <c r="U327" i="1" s="1"/>
  <c r="D34" i="9"/>
  <c r="D291" i="1"/>
  <c r="BR635" i="1"/>
  <c r="BR394" i="1"/>
  <c r="BF57" i="9"/>
  <c r="BF1033" i="1"/>
  <c r="AA103" i="9"/>
  <c r="AA104" i="9" s="1"/>
  <c r="BS877" i="1"/>
  <c r="BS705" i="1" s="1"/>
  <c r="BS703" i="1"/>
  <c r="AK92" i="1"/>
  <c r="AC75" i="1"/>
  <c r="AC76" i="1"/>
  <c r="AC77" i="1" s="1"/>
  <c r="CI25" i="9"/>
  <c r="CJ30" i="1"/>
  <c r="AF38" i="9"/>
  <c r="AF97" i="9" s="1"/>
  <c r="AF400" i="1"/>
  <c r="AF294" i="1"/>
  <c r="AF61" i="9" s="1"/>
  <c r="BQ317" i="1"/>
  <c r="BQ320" i="1"/>
  <c r="BQ327" i="1" s="1"/>
  <c r="BQ415" i="1" s="1"/>
  <c r="AC51" i="9"/>
  <c r="AC748" i="1"/>
  <c r="AC297" i="1"/>
  <c r="BW635" i="1"/>
  <c r="BW394" i="1"/>
  <c r="N57" i="9"/>
  <c r="N1033" i="1"/>
  <c r="Z59" i="1"/>
  <c r="Z58" i="1"/>
  <c r="S56" i="9"/>
  <c r="S286" i="1"/>
  <c r="BP57" i="9"/>
  <c r="BP1033" i="1"/>
  <c r="BI103" i="9"/>
  <c r="BI104" i="9" s="1"/>
  <c r="BD1040" i="1"/>
  <c r="AZ705" i="1"/>
  <c r="M913" i="1"/>
  <c r="M1028" i="1" s="1"/>
  <c r="O54" i="1"/>
  <c r="CB76" i="1"/>
  <c r="BW77" i="1"/>
  <c r="BG52" i="9"/>
  <c r="BG43" i="9"/>
  <c r="BG411" i="1"/>
  <c r="BG433" i="1"/>
  <c r="BG53" i="9" s="1"/>
  <c r="BG82" i="9" s="1"/>
  <c r="AC395" i="1"/>
  <c r="AC293" i="1"/>
  <c r="AC60" i="9" s="1"/>
  <c r="P89" i="9"/>
  <c r="P86" i="9" s="1"/>
  <c r="P68" i="9"/>
  <c r="BK57" i="9"/>
  <c r="BK1033" i="1"/>
  <c r="BB51" i="9"/>
  <c r="BB748" i="1"/>
  <c r="BB297" i="1"/>
  <c r="AX38" i="9"/>
  <c r="AX97" i="9" s="1"/>
  <c r="AX400" i="1"/>
  <c r="AX294" i="1"/>
  <c r="AX61" i="9" s="1"/>
  <c r="G5" i="13"/>
  <c r="G2" i="9"/>
  <c r="H5" i="1"/>
  <c r="CB127" i="1"/>
  <c r="CB382" i="1"/>
  <c r="X317" i="1"/>
  <c r="X320" i="1"/>
  <c r="X327" i="1" s="1"/>
  <c r="X415" i="1" s="1"/>
  <c r="AK48" i="1"/>
  <c r="AK47" i="1"/>
  <c r="AS82" i="1"/>
  <c r="AL58" i="1"/>
  <c r="AL59" i="1"/>
  <c r="BC395" i="1"/>
  <c r="BC293" i="1"/>
  <c r="BC60" i="9" s="1"/>
  <c r="AZ47" i="1"/>
  <c r="AZ48" i="1"/>
  <c r="AE57" i="9"/>
  <c r="AE1033" i="1"/>
  <c r="AJ56" i="9"/>
  <c r="AJ286" i="1"/>
  <c r="E57" i="9"/>
  <c r="E1033" i="1"/>
  <c r="AV67" i="1"/>
  <c r="BA67" i="1"/>
  <c r="V48" i="1"/>
  <c r="V49" i="1" s="1"/>
  <c r="V47" i="1"/>
  <c r="AN395" i="1"/>
  <c r="AN293" i="1"/>
  <c r="AN60" i="9" s="1"/>
  <c r="BA59" i="1"/>
  <c r="BA58" i="1"/>
  <c r="S59" i="1"/>
  <c r="S58" i="1"/>
  <c r="AC57" i="9"/>
  <c r="AC1033" i="1"/>
  <c r="E43" i="9"/>
  <c r="E52" i="9"/>
  <c r="E411" i="1"/>
  <c r="E433" i="1"/>
  <c r="BN38" i="9"/>
  <c r="BN97" i="9" s="1"/>
  <c r="BN98" i="9" s="1"/>
  <c r="BN400" i="1"/>
  <c r="BN294" i="1"/>
  <c r="BN61" i="9" s="1"/>
  <c r="B4" i="13"/>
  <c r="B3" i="1"/>
  <c r="L51" i="9"/>
  <c r="L748" i="1"/>
  <c r="L297" i="1"/>
  <c r="AK34" i="9"/>
  <c r="AK291" i="1"/>
  <c r="BU285" i="1"/>
  <c r="BU394" i="1"/>
  <c r="BU635" i="1"/>
  <c r="BX395" i="1"/>
  <c r="BX293" i="1"/>
  <c r="BD110" i="9"/>
  <c r="AK705" i="1"/>
  <c r="AN110" i="9"/>
  <c r="J635" i="1"/>
  <c r="J636" i="1" s="1"/>
  <c r="J637" i="1" s="1"/>
  <c r="J394" i="1"/>
  <c r="AP100" i="9"/>
  <c r="U51" i="11"/>
  <c r="U410" i="11" s="1"/>
  <c r="U159" i="11"/>
  <c r="C203" i="11"/>
  <c r="C194" i="11"/>
  <c r="AB203" i="11"/>
  <c r="AB204" i="11" s="1"/>
  <c r="AB205" i="11" s="1"/>
  <c r="AB194" i="11"/>
  <c r="AE418" i="11"/>
  <c r="R194" i="11"/>
  <c r="R203" i="11"/>
  <c r="R204" i="11" s="1"/>
  <c r="R205" i="11" s="1"/>
  <c r="AT56" i="9"/>
  <c r="AT286" i="1"/>
  <c r="AQ64" i="9"/>
  <c r="AQ66" i="9" s="1"/>
  <c r="AQ724" i="1"/>
  <c r="AQ725" i="1" s="1"/>
  <c r="AQ726" i="1" s="1"/>
  <c r="AQ727" i="1" s="1"/>
  <c r="AQ706" i="1"/>
  <c r="T100" i="9"/>
  <c r="V100" i="9"/>
  <c r="BN101" i="9"/>
  <c r="BN110" i="9"/>
  <c r="AJ75" i="11"/>
  <c r="AJ72" i="11"/>
  <c r="H72" i="11"/>
  <c r="H75" i="11"/>
  <c r="H86" i="11" s="1"/>
  <c r="H172" i="11" s="1"/>
  <c r="R43" i="9"/>
  <c r="R52" i="9"/>
  <c r="R411" i="1"/>
  <c r="R433" i="1"/>
  <c r="R53" i="9" s="1"/>
  <c r="R82" i="9" s="1"/>
  <c r="Y56" i="9"/>
  <c r="Y286" i="1"/>
  <c r="BT64" i="9"/>
  <c r="BT66" i="9" s="1"/>
  <c r="BT724" i="1"/>
  <c r="BT725" i="1" s="1"/>
  <c r="BT726" i="1" s="1"/>
  <c r="BT727" i="1" s="1"/>
  <c r="BT706" i="1"/>
  <c r="K101" i="9"/>
  <c r="K110" i="9"/>
  <c r="C159" i="11"/>
  <c r="C51" i="11"/>
  <c r="BV953" i="1"/>
  <c r="BC877" i="1"/>
  <c r="BC705" i="1" s="1"/>
  <c r="BC703" i="1"/>
  <c r="O75" i="11"/>
  <c r="O86" i="11" s="1"/>
  <c r="O172" i="11" s="1"/>
  <c r="O72" i="11"/>
  <c r="T203" i="11"/>
  <c r="T204" i="11" s="1"/>
  <c r="T205" i="11" s="1"/>
  <c r="T194" i="11"/>
  <c r="AG913" i="1"/>
  <c r="AG1028" i="1" s="1"/>
  <c r="X75" i="11"/>
  <c r="X86" i="11" s="1"/>
  <c r="X172" i="11" s="1"/>
  <c r="X72" i="11"/>
  <c r="V56" i="9"/>
  <c r="V286" i="1"/>
  <c r="AI56" i="9"/>
  <c r="AI286" i="1"/>
  <c r="AP641" i="1"/>
  <c r="BM64" i="9"/>
  <c r="BM66" i="9" s="1"/>
  <c r="BM706" i="1"/>
  <c r="BM724" i="1"/>
  <c r="BM725" i="1" s="1"/>
  <c r="BM726" i="1" s="1"/>
  <c r="BM727" i="1" s="1"/>
  <c r="U185" i="11"/>
  <c r="U176" i="11"/>
  <c r="U169" i="11"/>
  <c r="AG159" i="11"/>
  <c r="AG51" i="11"/>
  <c r="AG410" i="11" s="1"/>
  <c r="AU56" i="9"/>
  <c r="AU286" i="1"/>
  <c r="AC103" i="9"/>
  <c r="AC104" i="9" s="1"/>
  <c r="AX877" i="1"/>
  <c r="AX705" i="1" s="1"/>
  <c r="AX703" i="1"/>
  <c r="BC913" i="1"/>
  <c r="AA159" i="11"/>
  <c r="AA51" i="11"/>
  <c r="C405" i="11"/>
  <c r="C334" i="11"/>
  <c r="BY103" i="1"/>
  <c r="BX1041" i="1"/>
  <c r="BL59" i="1"/>
  <c r="BL62" i="1" s="1"/>
  <c r="BL58" i="1"/>
  <c r="CH24" i="9"/>
  <c r="CI26" i="1"/>
  <c r="CH28" i="1"/>
  <c r="CH17" i="9" s="1"/>
  <c r="AY220" i="1"/>
  <c r="AZ214" i="1"/>
  <c r="D43" i="9"/>
  <c r="D52" i="9"/>
  <c r="D411" i="1"/>
  <c r="D433" i="1"/>
  <c r="AP38" i="9"/>
  <c r="AP97" i="9" s="1"/>
  <c r="AP400" i="1"/>
  <c r="AP294" i="1"/>
  <c r="AP61" i="9" s="1"/>
  <c r="AP34" i="9"/>
  <c r="AP291" i="1"/>
  <c r="G51" i="9"/>
  <c r="G748" i="1"/>
  <c r="G297" i="1"/>
  <c r="J64" i="9"/>
  <c r="J66" i="9" s="1"/>
  <c r="J724" i="1"/>
  <c r="J725" i="1" s="1"/>
  <c r="J726" i="1" s="1"/>
  <c r="J727" i="1" s="1"/>
  <c r="J706" i="1"/>
  <c r="AG728" i="1"/>
  <c r="AG729" i="1" s="1"/>
  <c r="AG730" i="1" s="1"/>
  <c r="AG731" i="1" s="1"/>
  <c r="AG704" i="1"/>
  <c r="AG707" i="1"/>
  <c r="AX108" i="9"/>
  <c r="BA109" i="9" s="1"/>
  <c r="AX1006" i="1"/>
  <c r="AX1017" i="1" s="1"/>
  <c r="Q159" i="11"/>
  <c r="Q51" i="11"/>
  <c r="Q410" i="11" s="1"/>
  <c r="AC405" i="11"/>
  <c r="BI96" i="1"/>
  <c r="BI46" i="1"/>
  <c r="BI72" i="1"/>
  <c r="BI66" i="1"/>
  <c r="BI67" i="1" s="1"/>
  <c r="BI57" i="1"/>
  <c r="BI87" i="1"/>
  <c r="BI81" i="1"/>
  <c r="BI82" i="1" s="1"/>
  <c r="BI85" i="1"/>
  <c r="BI70" i="1"/>
  <c r="BI102" i="1"/>
  <c r="BI103" i="1" s="1"/>
  <c r="BI52" i="1"/>
  <c r="BI54" i="1"/>
  <c r="BB47" i="1"/>
  <c r="BB48" i="1"/>
  <c r="BB49" i="1" s="1"/>
  <c r="AR67" i="1"/>
  <c r="AW67" i="1"/>
  <c r="AP76" i="1"/>
  <c r="AP75" i="1"/>
  <c r="AP113" i="1"/>
  <c r="AP531" i="1" s="1"/>
  <c r="Y43" i="9"/>
  <c r="Y52" i="9"/>
  <c r="Y433" i="1"/>
  <c r="Y53" i="9" s="1"/>
  <c r="Y82" i="9" s="1"/>
  <c r="Y411" i="1"/>
  <c r="AJ87" i="1"/>
  <c r="AJ89" i="1"/>
  <c r="BP58" i="1"/>
  <c r="BP59" i="1"/>
  <c r="K1040" i="1"/>
  <c r="J59" i="1"/>
  <c r="AS395" i="1"/>
  <c r="AS293" i="1"/>
  <c r="AS60" i="9" s="1"/>
  <c r="AO635" i="1"/>
  <c r="AT644" i="1" s="1"/>
  <c r="AO394" i="1"/>
  <c r="AO285" i="1"/>
  <c r="R285" i="1"/>
  <c r="R394" i="1"/>
  <c r="R635" i="1"/>
  <c r="M64" i="9"/>
  <c r="M66" i="9" s="1"/>
  <c r="M724" i="1"/>
  <c r="M725" i="1" s="1"/>
  <c r="M726" i="1" s="1"/>
  <c r="M727" i="1" s="1"/>
  <c r="M706" i="1"/>
  <c r="BD67" i="9"/>
  <c r="BD942" i="1"/>
  <c r="BD556" i="1"/>
  <c r="BD557" i="1" s="1"/>
  <c r="BD558" i="1" s="1"/>
  <c r="AG52" i="11"/>
  <c r="AG164" i="11"/>
  <c r="W51" i="11"/>
  <c r="W410" i="11" s="1"/>
  <c r="W159" i="11"/>
  <c r="U203" i="11"/>
  <c r="U194" i="11"/>
  <c r="C764" i="1"/>
  <c r="BX77" i="1"/>
  <c r="AF58" i="1"/>
  <c r="AF59" i="1"/>
  <c r="G54" i="1"/>
  <c r="U38" i="9"/>
  <c r="U97" i="9" s="1"/>
  <c r="U98" i="9" s="1"/>
  <c r="U105" i="9" s="1"/>
  <c r="U400" i="1"/>
  <c r="U294" i="1"/>
  <c r="U61" i="9" s="1"/>
  <c r="BC205" i="1"/>
  <c r="BC211" i="1"/>
  <c r="BC204" i="1"/>
  <c r="BC203" i="1"/>
  <c r="BR590" i="1"/>
  <c r="BR587" i="1"/>
  <c r="CB590" i="1"/>
  <c r="CB582" i="1"/>
  <c r="AR51" i="9"/>
  <c r="AR748" i="1"/>
  <c r="AR297" i="1"/>
  <c r="AV76" i="1"/>
  <c r="AV75" i="1"/>
  <c r="AV113" i="1"/>
  <c r="AV531" i="1" s="1"/>
  <c r="BA75" i="1"/>
  <c r="F51" i="9"/>
  <c r="F748" i="1"/>
  <c r="F297" i="1"/>
  <c r="CF26" i="9"/>
  <c r="CF370" i="1"/>
  <c r="CF44" i="1"/>
  <c r="CF38" i="1"/>
  <c r="CF19" i="9" s="1"/>
  <c r="CF37" i="1"/>
  <c r="S75" i="1"/>
  <c r="S76" i="1"/>
  <c r="S77" i="1" s="1"/>
  <c r="BJ635" i="1"/>
  <c r="BK641" i="1" s="1"/>
  <c r="BJ394" i="1"/>
  <c r="BJ285" i="1"/>
  <c r="AI317" i="1"/>
  <c r="AI320" i="1"/>
  <c r="AI327" i="1" s="1"/>
  <c r="AI415" i="1" s="1"/>
  <c r="BQ38" i="9"/>
  <c r="BQ97" i="9" s="1"/>
  <c r="BQ400" i="1"/>
  <c r="BQ294" i="1"/>
  <c r="BQ61" i="9" s="1"/>
  <c r="AI57" i="9"/>
  <c r="AI1033" i="1"/>
  <c r="L34" i="9"/>
  <c r="L291" i="1"/>
  <c r="BW953" i="1"/>
  <c r="CB948" i="1"/>
  <c r="CG948" i="1" s="1"/>
  <c r="BF68" i="9"/>
  <c r="S293" i="1"/>
  <c r="S60" i="9" s="1"/>
  <c r="S395" i="1"/>
  <c r="AH56" i="9"/>
  <c r="AH286" i="1"/>
  <c r="AI110" i="9"/>
  <c r="X97" i="1"/>
  <c r="BY77" i="1"/>
  <c r="CD76" i="1"/>
  <c r="F49" i="1"/>
  <c r="K49" i="1"/>
  <c r="O102" i="1"/>
  <c r="O103" i="1" s="1"/>
  <c r="O101" i="1"/>
  <c r="AQ57" i="9"/>
  <c r="AQ1033" i="1"/>
  <c r="BB40" i="9"/>
  <c r="BB409" i="1"/>
  <c r="BB420" i="1" s="1"/>
  <c r="AX320" i="1"/>
  <c r="AX327" i="1" s="1"/>
  <c r="AX415" i="1" s="1"/>
  <c r="AX317" i="1"/>
  <c r="AG293" i="1"/>
  <c r="AG60" i="9" s="1"/>
  <c r="AG395" i="1"/>
  <c r="K2" i="9"/>
  <c r="K5" i="13"/>
  <c r="H683" i="1"/>
  <c r="I683" i="1"/>
  <c r="G683" i="1"/>
  <c r="F683" i="1"/>
  <c r="L5" i="1"/>
  <c r="P5" i="1"/>
  <c r="AL47" i="1"/>
  <c r="AL48" i="1"/>
  <c r="AL49" i="1" s="1"/>
  <c r="BC641" i="1"/>
  <c r="BC644" i="1"/>
  <c r="X56" i="9"/>
  <c r="X286" i="1"/>
  <c r="J34" i="9"/>
  <c r="J291" i="1"/>
  <c r="AZ82" i="1"/>
  <c r="BE82" i="1"/>
  <c r="CC393" i="1"/>
  <c r="AE100" i="9"/>
  <c r="N51" i="9"/>
  <c r="N748" i="1"/>
  <c r="N297" i="1"/>
  <c r="AV58" i="1"/>
  <c r="AV59" i="1"/>
  <c r="I76" i="1"/>
  <c r="N77" i="1" s="1"/>
  <c r="N75" i="1"/>
  <c r="AN644" i="1"/>
  <c r="BA635" i="1"/>
  <c r="BA394" i="1"/>
  <c r="BA285" i="1"/>
  <c r="H72" i="1"/>
  <c r="H74" i="1"/>
  <c r="BO48" i="1"/>
  <c r="BO47" i="1"/>
  <c r="Y99" i="9"/>
  <c r="Y1030" i="1"/>
  <c r="Y1019" i="1"/>
  <c r="AD1030" i="1"/>
  <c r="X1030" i="1"/>
  <c r="AA1030" i="1"/>
  <c r="BN320" i="1"/>
  <c r="BN327" i="1" s="1"/>
  <c r="BN317" i="1"/>
  <c r="CD91" i="1"/>
  <c r="BY92" i="1"/>
  <c r="BH47" i="1"/>
  <c r="BH48" i="1"/>
  <c r="BM49" i="1" s="1"/>
  <c r="AK72" i="1"/>
  <c r="AK74" i="1"/>
  <c r="BO64" i="9"/>
  <c r="BO66" i="9" s="1"/>
  <c r="BO724" i="1"/>
  <c r="BO725" i="1" s="1"/>
  <c r="BO726" i="1" s="1"/>
  <c r="BO727" i="1" s="1"/>
  <c r="BO706" i="1"/>
  <c r="BX57" i="9"/>
  <c r="BX1033" i="1"/>
  <c r="AM103" i="9"/>
  <c r="BA64" i="9"/>
  <c r="BA66" i="9" s="1"/>
  <c r="BA724" i="1"/>
  <c r="BA725" i="1" s="1"/>
  <c r="BA726" i="1" s="1"/>
  <c r="BA727" i="1" s="1"/>
  <c r="BA706" i="1"/>
  <c r="AG405" i="11"/>
  <c r="AE877" i="1"/>
  <c r="AE705" i="1" s="1"/>
  <c r="AE703" i="1"/>
  <c r="BS1043" i="1"/>
  <c r="AB75" i="11"/>
  <c r="AB86" i="11" s="1"/>
  <c r="AB172" i="11" s="1"/>
  <c r="AB72" i="11"/>
  <c r="AC410" i="11"/>
  <c r="AC42" i="11"/>
  <c r="AT395" i="1"/>
  <c r="AT293" i="1"/>
  <c r="AT60" i="9" s="1"/>
  <c r="AQ728" i="1"/>
  <c r="AQ729" i="1" s="1"/>
  <c r="AQ730" i="1" s="1"/>
  <c r="AQ731" i="1" s="1"/>
  <c r="AQ704" i="1"/>
  <c r="AQ707" i="1"/>
  <c r="AI707" i="1"/>
  <c r="AI728" i="1"/>
  <c r="AI729" i="1" s="1"/>
  <c r="AI730" i="1" s="1"/>
  <c r="AI731" i="1" s="1"/>
  <c r="AI704" i="1"/>
  <c r="AO5" i="11"/>
  <c r="AO436" i="11" s="1"/>
  <c r="AO437" i="11" s="1"/>
  <c r="AK5" i="11"/>
  <c r="AL5" i="11" s="1"/>
  <c r="B491" i="11" s="1"/>
  <c r="B492" i="11" s="1"/>
  <c r="AJ164" i="11"/>
  <c r="AJ52" i="11"/>
  <c r="H52" i="11"/>
  <c r="H164" i="11"/>
  <c r="BX1040" i="1"/>
  <c r="BT705" i="1"/>
  <c r="AK203" i="11"/>
  <c r="AK204" i="11" s="1"/>
  <c r="AK205" i="11" s="1"/>
  <c r="AK194" i="11"/>
  <c r="Y64" i="9"/>
  <c r="Y66" i="9" s="1"/>
  <c r="Y706" i="1"/>
  <c r="Y724" i="1"/>
  <c r="Y725" i="1" s="1"/>
  <c r="Y726" i="1" s="1"/>
  <c r="Y727" i="1" s="1"/>
  <c r="BG64" i="9"/>
  <c r="BG66" i="9" s="1"/>
  <c r="BG724" i="1"/>
  <c r="BG725" i="1" s="1"/>
  <c r="BG726" i="1" s="1"/>
  <c r="BG727" i="1" s="1"/>
  <c r="BG706" i="1"/>
  <c r="U110" i="9"/>
  <c r="X52" i="11"/>
  <c r="X164" i="11"/>
  <c r="F204" i="11"/>
  <c r="F205" i="11" s="1"/>
  <c r="V395" i="1"/>
  <c r="V293" i="1"/>
  <c r="V60" i="9" s="1"/>
  <c r="AI293" i="1"/>
  <c r="AI60" i="9" s="1"/>
  <c r="AI395" i="1"/>
  <c r="AP56" i="9"/>
  <c r="AP286" i="1"/>
  <c r="H1028" i="1"/>
  <c r="BM728" i="1"/>
  <c r="BM729" i="1" s="1"/>
  <c r="BM730" i="1" s="1"/>
  <c r="BM731" i="1" s="1"/>
  <c r="BM707" i="1"/>
  <c r="BM704" i="1"/>
  <c r="BM913" i="1"/>
  <c r="AU395" i="1"/>
  <c r="AU293" i="1"/>
  <c r="AU60" i="9" s="1"/>
  <c r="CB8" i="9"/>
  <c r="CB1025" i="1"/>
  <c r="CB735" i="1"/>
  <c r="CB996" i="1" s="1"/>
  <c r="CC996" i="1" s="1"/>
  <c r="J103" i="11"/>
  <c r="J109" i="11" s="1"/>
  <c r="J160" i="11" s="1"/>
  <c r="J68" i="11"/>
  <c r="J70" i="11" s="1"/>
  <c r="AL194" i="11"/>
  <c r="AL203" i="11"/>
  <c r="AL204" i="11" s="1"/>
  <c r="AL205" i="11" s="1"/>
  <c r="H194" i="11"/>
  <c r="H203" i="11"/>
  <c r="H204" i="11" s="1"/>
  <c r="H205" i="11" s="1"/>
  <c r="AK100" i="9"/>
  <c r="G176" i="11"/>
  <c r="G185" i="11"/>
  <c r="G169" i="11"/>
  <c r="W203" i="11"/>
  <c r="W204" i="11" s="1"/>
  <c r="W205" i="11" s="1"/>
  <c r="W194" i="11"/>
  <c r="BU92" i="1"/>
  <c r="BZ91" i="1"/>
  <c r="J320" i="1"/>
  <c r="J327" i="1" s="1"/>
  <c r="J415" i="1" s="1"/>
  <c r="J317" i="1"/>
  <c r="BH938" i="1"/>
  <c r="BH936" i="1"/>
  <c r="BH927" i="1"/>
  <c r="L43" i="9"/>
  <c r="L52" i="9"/>
  <c r="L411" i="1"/>
  <c r="L433" i="1"/>
  <c r="L53" i="9" s="1"/>
  <c r="L82" i="9" s="1"/>
  <c r="F497" i="1"/>
  <c r="F492" i="1"/>
  <c r="AW214" i="1"/>
  <c r="AV218" i="1"/>
  <c r="AV220" i="1" s="1"/>
  <c r="AP320" i="1"/>
  <c r="AP327" i="1" s="1"/>
  <c r="AP415" i="1" s="1"/>
  <c r="AP317" i="1"/>
  <c r="Q35" i="9"/>
  <c r="Q290" i="1"/>
  <c r="Q58" i="9" s="1"/>
  <c r="BV635" i="1"/>
  <c r="BV394" i="1"/>
  <c r="BV285" i="1"/>
  <c r="J704" i="1"/>
  <c r="J707" i="1"/>
  <c r="J728" i="1"/>
  <c r="J729" i="1" s="1"/>
  <c r="J730" i="1" s="1"/>
  <c r="J731" i="1" s="1"/>
  <c r="BI913" i="1"/>
  <c r="AB42" i="11"/>
  <c r="Z194" i="11"/>
  <c r="Z203" i="11"/>
  <c r="O80" i="1"/>
  <c r="O89" i="1"/>
  <c r="O113" i="1" s="1"/>
  <c r="O531" i="1" s="1"/>
  <c r="O81" i="1"/>
  <c r="O82" i="1" s="1"/>
  <c r="T80" i="1"/>
  <c r="Q59" i="1"/>
  <c r="AU59" i="1"/>
  <c r="AU58" i="1"/>
  <c r="F59" i="1"/>
  <c r="F58" i="1"/>
  <c r="AJ35" i="9"/>
  <c r="AJ290" i="1"/>
  <c r="AJ58" i="9" s="1"/>
  <c r="AL76" i="1"/>
  <c r="AQ77" i="1" s="1"/>
  <c r="D51" i="9"/>
  <c r="D748" i="1"/>
  <c r="D297" i="1"/>
  <c r="AZ635" i="1"/>
  <c r="AZ394" i="1"/>
  <c r="AZ285" i="1"/>
  <c r="AS644" i="1"/>
  <c r="AS641" i="1"/>
  <c r="AA56" i="9"/>
  <c r="AA286" i="1"/>
  <c r="BN105" i="9"/>
  <c r="AI95" i="9"/>
  <c r="AL95" i="9"/>
  <c r="AK95" i="9"/>
  <c r="M704" i="1"/>
  <c r="M707" i="1"/>
  <c r="M728" i="1"/>
  <c r="M729" i="1" s="1"/>
  <c r="M730" i="1" s="1"/>
  <c r="M731" i="1" s="1"/>
  <c r="AL169" i="11"/>
  <c r="AL176" i="11"/>
  <c r="AL185" i="11"/>
  <c r="AG72" i="11"/>
  <c r="AG75" i="11"/>
  <c r="AG86" i="11" s="1"/>
  <c r="AG172" i="11" s="1"/>
  <c r="G33" i="9"/>
  <c r="G378" i="1"/>
  <c r="G55" i="1"/>
  <c r="G56" i="1" s="1"/>
  <c r="G57" i="1" s="1"/>
  <c r="BQ58" i="1"/>
  <c r="BQ59" i="1"/>
  <c r="AA57" i="9"/>
  <c r="AA1033" i="1"/>
  <c r="CC995" i="1"/>
  <c r="AM48" i="1"/>
  <c r="AM49" i="1" s="1"/>
  <c r="AM47" i="1"/>
  <c r="AI38" i="9"/>
  <c r="AI97" i="9" s="1"/>
  <c r="AI400" i="1"/>
  <c r="AI294" i="1"/>
  <c r="AI61" i="9" s="1"/>
  <c r="AR59" i="1"/>
  <c r="AR58" i="1"/>
  <c r="P729" i="1"/>
  <c r="P730" i="1" s="1"/>
  <c r="P731" i="1" s="1"/>
  <c r="BA57" i="9"/>
  <c r="BA1033" i="1"/>
  <c r="M51" i="9"/>
  <c r="M748" i="1"/>
  <c r="M297" i="1"/>
  <c r="BW651" i="1"/>
  <c r="BW283" i="1"/>
  <c r="Q56" i="9"/>
  <c r="Q286" i="1"/>
  <c r="R64" i="9"/>
  <c r="R66" i="9" s="1"/>
  <c r="R724" i="1"/>
  <c r="R725" i="1" s="1"/>
  <c r="R726" i="1" s="1"/>
  <c r="R727" i="1" s="1"/>
  <c r="R706" i="1"/>
  <c r="AA64" i="9"/>
  <c r="AA66" i="9" s="1"/>
  <c r="AA724" i="1"/>
  <c r="AA725" i="1" s="1"/>
  <c r="AA726" i="1" s="1"/>
  <c r="AA727" i="1" s="1"/>
  <c r="AA706" i="1"/>
  <c r="AH76" i="1"/>
  <c r="AH75" i="1"/>
  <c r="AH113" i="1"/>
  <c r="AH531" i="1" s="1"/>
  <c r="AH532" i="1" s="1"/>
  <c r="AH533" i="1" s="1"/>
  <c r="AR77" i="1"/>
  <c r="AD395" i="1"/>
  <c r="AD293" i="1"/>
  <c r="AD60" i="9" s="1"/>
  <c r="BC956" i="1"/>
  <c r="T394" i="1"/>
  <c r="T635" i="1"/>
  <c r="D76" i="1"/>
  <c r="D77" i="1" s="1"/>
  <c r="D75" i="1"/>
  <c r="D117" i="9"/>
  <c r="C89" i="9"/>
  <c r="C86" i="9" s="1"/>
  <c r="C68" i="9"/>
  <c r="P463" i="1"/>
  <c r="P467" i="1" s="1"/>
  <c r="L463" i="1"/>
  <c r="L467" i="1" s="1"/>
  <c r="M463" i="1" s="1"/>
  <c r="M467" i="1" s="1"/>
  <c r="AY102" i="1"/>
  <c r="AY103" i="1" s="1"/>
  <c r="O76" i="1"/>
  <c r="T75" i="1"/>
  <c r="AQ51" i="9"/>
  <c r="AQ748" i="1"/>
  <c r="AQ297" i="1"/>
  <c r="BP320" i="1"/>
  <c r="BP327" i="1" s="1"/>
  <c r="BP415" i="1" s="1"/>
  <c r="BP317" i="1"/>
  <c r="AF56" i="9"/>
  <c r="AF286" i="1"/>
  <c r="AZ913" i="1"/>
  <c r="AL1033" i="1"/>
  <c r="AD59" i="1"/>
  <c r="AD103" i="1"/>
  <c r="P129" i="9"/>
  <c r="P88" i="9"/>
  <c r="P85" i="9" s="1"/>
  <c r="BZ76" i="1"/>
  <c r="CE76" i="1" s="1"/>
  <c r="CE74" i="1" s="1"/>
  <c r="BU77" i="1"/>
  <c r="BR92" i="1"/>
  <c r="BW92" i="1"/>
  <c r="AA317" i="1"/>
  <c r="AA320" i="1"/>
  <c r="AA327" i="1" s="1"/>
  <c r="AA47" i="1"/>
  <c r="AA48" i="1"/>
  <c r="S47" i="1"/>
  <c r="S48" i="1"/>
  <c r="S49" i="1" s="1"/>
  <c r="H34" i="9"/>
  <c r="H291" i="1"/>
  <c r="AK43" i="9"/>
  <c r="AK52" i="9"/>
  <c r="AK411" i="1"/>
  <c r="AK433" i="1"/>
  <c r="AK53" i="9" s="1"/>
  <c r="AK82" i="9" s="1"/>
  <c r="BO58" i="1"/>
  <c r="BO59" i="1"/>
  <c r="AU57" i="9"/>
  <c r="AU1033" i="1"/>
  <c r="AR644" i="1"/>
  <c r="AD103" i="9"/>
  <c r="AD104" i="9" s="1"/>
  <c r="R129" i="9"/>
  <c r="BI38" i="9"/>
  <c r="BI97" i="9" s="1"/>
  <c r="BI98" i="9" s="1"/>
  <c r="BI101" i="9" s="1"/>
  <c r="BI400" i="1"/>
  <c r="BI294" i="1"/>
  <c r="BI61" i="9" s="1"/>
  <c r="BS1040" i="1"/>
  <c r="BO705" i="1"/>
  <c r="BN293" i="1"/>
  <c r="BN60" i="9" s="1"/>
  <c r="BN395" i="1"/>
  <c r="AN103" i="9"/>
  <c r="AN104" i="9" s="1"/>
  <c r="BA704" i="1"/>
  <c r="BA707" i="1"/>
  <c r="BA728" i="1"/>
  <c r="BA729" i="1" s="1"/>
  <c r="BA730" i="1" s="1"/>
  <c r="BA731" i="1" s="1"/>
  <c r="BS1036" i="1"/>
  <c r="AB164" i="11"/>
  <c r="AB52" i="11"/>
  <c r="W164" i="11"/>
  <c r="W52" i="11"/>
  <c r="F405" i="11"/>
  <c r="AE194" i="11"/>
  <c r="AE203" i="11"/>
  <c r="CC67" i="9"/>
  <c r="CC942" i="1"/>
  <c r="CC943" i="1" s="1"/>
  <c r="CC556" i="1"/>
  <c r="CC557" i="1" s="1"/>
  <c r="CC558" i="1" s="1"/>
  <c r="BY103" i="9"/>
  <c r="BY104" i="9" s="1"/>
  <c r="AH110" i="9"/>
  <c r="AI64" i="9"/>
  <c r="AI66" i="9" s="1"/>
  <c r="AI724" i="1"/>
  <c r="AI725" i="1" s="1"/>
  <c r="AI726" i="1" s="1"/>
  <c r="AI727" i="1" s="1"/>
  <c r="AI706" i="1"/>
  <c r="AE159" i="11"/>
  <c r="AE51" i="11"/>
  <c r="AE410" i="11" s="1"/>
  <c r="D51" i="11"/>
  <c r="D410" i="11" s="1"/>
  <c r="D159" i="11"/>
  <c r="Y158" i="11"/>
  <c r="AJ57" i="9"/>
  <c r="AJ1033" i="1"/>
  <c r="BL635" i="1"/>
  <c r="BQ644" i="1" s="1"/>
  <c r="BL394" i="1"/>
  <c r="BL285" i="1"/>
  <c r="BR108" i="9"/>
  <c r="BR1006" i="1"/>
  <c r="BR1017" i="1" s="1"/>
  <c r="BR1019" i="1" s="1"/>
  <c r="AD42" i="11"/>
  <c r="O410" i="11"/>
  <c r="O42" i="11"/>
  <c r="BU59" i="1"/>
  <c r="BU58" i="1"/>
  <c r="BT635" i="1"/>
  <c r="BT394" i="1"/>
  <c r="BT285" i="1"/>
  <c r="Y728" i="1"/>
  <c r="Y729" i="1" s="1"/>
  <c r="Y730" i="1" s="1"/>
  <c r="Y731" i="1" s="1"/>
  <c r="Y707" i="1"/>
  <c r="Y704" i="1"/>
  <c r="BG728" i="1"/>
  <c r="BG729" i="1" s="1"/>
  <c r="BG730" i="1" s="1"/>
  <c r="BG731" i="1" s="1"/>
  <c r="BG704" i="1"/>
  <c r="BG707" i="1"/>
  <c r="AE86" i="11"/>
  <c r="AE172" i="11" s="1"/>
  <c r="E194" i="11"/>
  <c r="E203" i="11"/>
  <c r="AI644" i="1"/>
  <c r="AI641" i="1"/>
  <c r="P86" i="11"/>
  <c r="P172" i="11" s="1"/>
  <c r="R159" i="11"/>
  <c r="R51" i="11"/>
  <c r="R410" i="11" s="1"/>
  <c r="I405" i="11"/>
  <c r="AU644" i="1"/>
  <c r="AU641" i="1"/>
  <c r="BP103" i="9"/>
  <c r="BP104" i="9" s="1"/>
  <c r="BQ64" i="9"/>
  <c r="BQ66" i="9" s="1"/>
  <c r="BQ724" i="1"/>
  <c r="BQ725" i="1" s="1"/>
  <c r="BQ726" i="1" s="1"/>
  <c r="BQ727" i="1" s="1"/>
  <c r="BQ706" i="1"/>
  <c r="AM95" i="9"/>
  <c r="G42" i="11"/>
  <c r="AA507" i="1"/>
  <c r="AE512" i="1"/>
  <c r="AE507" i="1" s="1"/>
  <c r="AT48" i="1"/>
  <c r="BH764" i="1"/>
  <c r="BH765" i="1"/>
  <c r="BH766" i="1"/>
  <c r="BE47" i="1"/>
  <c r="J38" i="9"/>
  <c r="J97" i="9" s="1"/>
  <c r="J98" i="9" s="1"/>
  <c r="J294" i="1"/>
  <c r="J61" i="9" s="1"/>
  <c r="J400" i="1"/>
  <c r="BH103" i="1"/>
  <c r="K77" i="1"/>
  <c r="P77" i="1"/>
  <c r="AN34" i="9"/>
  <c r="AN291" i="1"/>
  <c r="BF936" i="1"/>
  <c r="BF927" i="1"/>
  <c r="BF938" i="1"/>
  <c r="AK635" i="1"/>
  <c r="AK394" i="1"/>
  <c r="AK285" i="1"/>
  <c r="AH38" i="9"/>
  <c r="AH97" i="9" s="1"/>
  <c r="AH294" i="1"/>
  <c r="AH61" i="9" s="1"/>
  <c r="AH400" i="1"/>
  <c r="O38" i="9"/>
  <c r="O97" i="9" s="1"/>
  <c r="Q98" i="9" s="1"/>
  <c r="O400" i="1"/>
  <c r="O294" i="1"/>
  <c r="O61" i="9" s="1"/>
  <c r="E64" i="9"/>
  <c r="E66" i="9" s="1"/>
  <c r="E117" i="9" s="1"/>
  <c r="E724" i="1"/>
  <c r="E725" i="1" s="1"/>
  <c r="E726" i="1" s="1"/>
  <c r="E727" i="1" s="1"/>
  <c r="E706" i="1"/>
  <c r="C185" i="11"/>
  <c r="C176" i="11"/>
  <c r="C169" i="11"/>
  <c r="AB159" i="11"/>
  <c r="AB51" i="11"/>
  <c r="AB410" i="11" s="1"/>
  <c r="V203" i="11"/>
  <c r="V204" i="11" s="1"/>
  <c r="V205" i="11" s="1"/>
  <c r="V194" i="11"/>
  <c r="BR766" i="1"/>
  <c r="BR765" i="1"/>
  <c r="BR764" i="1"/>
  <c r="X92" i="1"/>
  <c r="AU47" i="1"/>
  <c r="AU48" i="1"/>
  <c r="AU49" i="1" s="1"/>
  <c r="BI91" i="1"/>
  <c r="BI92" i="1" s="1"/>
  <c r="AD43" i="9"/>
  <c r="AD52" i="9"/>
  <c r="AD411" i="1"/>
  <c r="AD433" i="1"/>
  <c r="AD53" i="9" s="1"/>
  <c r="AD82" i="9" s="1"/>
  <c r="BR313" i="1"/>
  <c r="BR315" i="1" s="1"/>
  <c r="BR360" i="1"/>
  <c r="BR362" i="1" s="1"/>
  <c r="BR396" i="1" s="1"/>
  <c r="AM75" i="1"/>
  <c r="AA293" i="1"/>
  <c r="AA60" i="9" s="1"/>
  <c r="AA395" i="1"/>
  <c r="BR64" i="9"/>
  <c r="BR66" i="9" s="1"/>
  <c r="BR706" i="1"/>
  <c r="BR724" i="1"/>
  <c r="BR725" i="1" s="1"/>
  <c r="BR726" i="1" s="1"/>
  <c r="BR727" i="1" s="1"/>
  <c r="AZ57" i="9"/>
  <c r="AZ1033" i="1"/>
  <c r="L68" i="9"/>
  <c r="AR64" i="9"/>
  <c r="AR66" i="9" s="1"/>
  <c r="AR117" i="9" s="1"/>
  <c r="AR724" i="1"/>
  <c r="AR725" i="1" s="1"/>
  <c r="AR726" i="1" s="1"/>
  <c r="AR727" i="1" s="1"/>
  <c r="AR706" i="1"/>
  <c r="BB64" i="9"/>
  <c r="BB66" i="9" s="1"/>
  <c r="BB117" i="9" s="1"/>
  <c r="BB706" i="1"/>
  <c r="BB724" i="1"/>
  <c r="BB725" i="1" s="1"/>
  <c r="BB726" i="1" s="1"/>
  <c r="BB727" i="1" s="1"/>
  <c r="AQ913" i="1"/>
  <c r="F164" i="11"/>
  <c r="F52" i="11"/>
  <c r="P42" i="11"/>
  <c r="BG62" i="1"/>
  <c r="C765" i="1"/>
  <c r="BG77" i="1"/>
  <c r="C57" i="9"/>
  <c r="C1033" i="1"/>
  <c r="Y57" i="9"/>
  <c r="Y1033" i="1"/>
  <c r="G43" i="9"/>
  <c r="G52" i="9"/>
  <c r="G411" i="1"/>
  <c r="G433" i="1"/>
  <c r="G53" i="9" s="1"/>
  <c r="G82" i="9" s="1"/>
  <c r="G74" i="1"/>
  <c r="G72" i="1"/>
  <c r="AN764" i="1"/>
  <c r="AN766" i="1"/>
  <c r="AN765" i="1"/>
  <c r="BF400" i="1"/>
  <c r="I34" i="9"/>
  <c r="I291" i="1"/>
  <c r="AR92" i="1"/>
  <c r="Q394" i="1"/>
  <c r="R704" i="1"/>
  <c r="R728" i="1"/>
  <c r="R729" i="1" s="1"/>
  <c r="R730" i="1" s="1"/>
  <c r="R731" i="1" s="1"/>
  <c r="R707" i="1"/>
  <c r="AF103" i="9"/>
  <c r="AF104" i="9" s="1"/>
  <c r="AH103" i="9"/>
  <c r="AH104" i="9" s="1"/>
  <c r="BK64" i="9"/>
  <c r="BK66" i="9" s="1"/>
  <c r="BK117" i="9" s="1"/>
  <c r="BK706" i="1"/>
  <c r="BK724" i="1"/>
  <c r="BK725" i="1" s="1"/>
  <c r="BK726" i="1" s="1"/>
  <c r="BK727" i="1" s="1"/>
  <c r="AE1040" i="1"/>
  <c r="AA705" i="1"/>
  <c r="BD67" i="1"/>
  <c r="CB390" i="1"/>
  <c r="CB90" i="1"/>
  <c r="CB79" i="1"/>
  <c r="AV317" i="1"/>
  <c r="AV320" i="1"/>
  <c r="AV327" i="1" s="1"/>
  <c r="AV415" i="1" s="1"/>
  <c r="BK92" i="1"/>
  <c r="AY51" i="9"/>
  <c r="AY748" i="1"/>
  <c r="AY297" i="1"/>
  <c r="CB1" i="9"/>
  <c r="CC4" i="1"/>
  <c r="CB3" i="1"/>
  <c r="CB1140" i="1" s="1"/>
  <c r="Z82" i="1"/>
  <c r="E51" i="9"/>
  <c r="E748" i="1"/>
  <c r="E297" i="1"/>
  <c r="BG47" i="1"/>
  <c r="BS59" i="1"/>
  <c r="AV103" i="1"/>
  <c r="AS41" i="9"/>
  <c r="AS106" i="9" s="1"/>
  <c r="AS426" i="1"/>
  <c r="AS410" i="1"/>
  <c r="BD317" i="1"/>
  <c r="BD320" i="1"/>
  <c r="BD327" i="1" s="1"/>
  <c r="BN77" i="1"/>
  <c r="AV57" i="9"/>
  <c r="AV1033" i="1"/>
  <c r="AT103" i="9"/>
  <c r="AT104" i="9" s="1"/>
  <c r="AT105" i="9" s="1"/>
  <c r="BP38" i="9"/>
  <c r="BP97" i="9" s="1"/>
  <c r="BP400" i="1"/>
  <c r="BP294" i="1"/>
  <c r="BP61" i="9" s="1"/>
  <c r="AN56" i="9"/>
  <c r="AN1035" i="1"/>
  <c r="AN286" i="1"/>
  <c r="K58" i="1"/>
  <c r="K59" i="1"/>
  <c r="BD1042" i="1"/>
  <c r="AU51" i="9"/>
  <c r="AU748" i="1"/>
  <c r="AU297" i="1"/>
  <c r="BQ56" i="9"/>
  <c r="BQ1035" i="1"/>
  <c r="BQ286" i="1"/>
  <c r="T52" i="1"/>
  <c r="T57" i="1"/>
  <c r="T70" i="1"/>
  <c r="T81" i="1"/>
  <c r="T46" i="1"/>
  <c r="T72" i="1"/>
  <c r="T54" i="1"/>
  <c r="T96" i="1"/>
  <c r="T97" i="1" s="1"/>
  <c r="T87" i="1"/>
  <c r="T76" i="1"/>
  <c r="T77" i="1" s="1"/>
  <c r="T85" i="1"/>
  <c r="T66" i="1"/>
  <c r="T67" i="1" s="1"/>
  <c r="CH22" i="9"/>
  <c r="CH13" i="1"/>
  <c r="CH15" i="9" s="1"/>
  <c r="CI11" i="1"/>
  <c r="W33" i="9"/>
  <c r="W55" i="1"/>
  <c r="W378" i="1"/>
  <c r="AA38" i="9"/>
  <c r="AA97" i="9" s="1"/>
  <c r="AA400" i="1"/>
  <c r="AA294" i="1"/>
  <c r="AA61" i="9" s="1"/>
  <c r="AJ38" i="9"/>
  <c r="AJ97" i="9" s="1"/>
  <c r="AJ98" i="9" s="1"/>
  <c r="AJ105" i="9" s="1"/>
  <c r="AJ400" i="1"/>
  <c r="AJ294" i="1"/>
  <c r="AJ61" i="9" s="1"/>
  <c r="BE43" i="9"/>
  <c r="BE52" i="9"/>
  <c r="BE433" i="1"/>
  <c r="BE53" i="9" s="1"/>
  <c r="BE82" i="9" s="1"/>
  <c r="BE411" i="1"/>
  <c r="AR56" i="9"/>
  <c r="AR286" i="1"/>
  <c r="BO56" i="9"/>
  <c r="BO286" i="1"/>
  <c r="U48" i="1"/>
  <c r="U49" i="1" s="1"/>
  <c r="U47" i="1"/>
  <c r="W72" i="1"/>
  <c r="W74" i="1"/>
  <c r="BY320" i="1"/>
  <c r="BY327" i="1" s="1"/>
  <c r="BY415" i="1" s="1"/>
  <c r="BY317" i="1"/>
  <c r="AG52" i="9"/>
  <c r="AG43" i="9"/>
  <c r="AG433" i="1"/>
  <c r="AG53" i="9" s="1"/>
  <c r="AG82" i="9" s="1"/>
  <c r="AG411" i="1"/>
  <c r="BI317" i="1"/>
  <c r="BI320" i="1"/>
  <c r="BI327" i="1" s="1"/>
  <c r="S450" i="1"/>
  <c r="S449" i="1"/>
  <c r="AA913" i="1"/>
  <c r="BO913" i="1"/>
  <c r="BN56" i="9"/>
  <c r="BN286" i="1"/>
  <c r="I68" i="9"/>
  <c r="P103" i="9"/>
  <c r="P104" i="9" s="1"/>
  <c r="P105" i="9" s="1"/>
  <c r="J109" i="9"/>
  <c r="J110" i="9" s="1"/>
  <c r="M109" i="9"/>
  <c r="M110" i="9" s="1"/>
  <c r="L109" i="9"/>
  <c r="L110" i="9" s="1"/>
  <c r="P203" i="11"/>
  <c r="P194" i="11"/>
  <c r="L704" i="1"/>
  <c r="L707" i="1"/>
  <c r="L728" i="1"/>
  <c r="L729" i="1" s="1"/>
  <c r="L730" i="1" s="1"/>
  <c r="L731" i="1" s="1"/>
  <c r="X64" i="9"/>
  <c r="X66" i="9" s="1"/>
  <c r="X706" i="1"/>
  <c r="X724" i="1"/>
  <c r="X725" i="1" s="1"/>
  <c r="X726" i="1" s="1"/>
  <c r="X727" i="1" s="1"/>
  <c r="BF103" i="9"/>
  <c r="BF104" i="9" s="1"/>
  <c r="W75" i="11"/>
  <c r="W86" i="11" s="1"/>
  <c r="W172" i="11" s="1"/>
  <c r="W72" i="11"/>
  <c r="T103" i="11"/>
  <c r="T109" i="11" s="1"/>
  <c r="T160" i="11" s="1"/>
  <c r="T159" i="11" s="1"/>
  <c r="T68" i="11"/>
  <c r="T70" i="11" s="1"/>
  <c r="J913" i="1"/>
  <c r="L1028" i="1" s="1"/>
  <c r="CC1032" i="1"/>
  <c r="K1028" i="1"/>
  <c r="AJ703" i="1"/>
  <c r="AJ877" i="1"/>
  <c r="AJ705" i="1" s="1"/>
  <c r="V331" i="11"/>
  <c r="V405" i="11" s="1"/>
  <c r="M42" i="11"/>
  <c r="BS57" i="9"/>
  <c r="BS1033" i="1"/>
  <c r="Z395" i="1"/>
  <c r="Z293" i="1"/>
  <c r="Z60" i="9" s="1"/>
  <c r="BG100" i="9"/>
  <c r="O51" i="11"/>
  <c r="O159" i="11"/>
  <c r="T64" i="9"/>
  <c r="T66" i="9" s="1"/>
  <c r="T724" i="1"/>
  <c r="T725" i="1" s="1"/>
  <c r="T726" i="1" s="1"/>
  <c r="T727" i="1" s="1"/>
  <c r="T706" i="1"/>
  <c r="AJ204" i="11"/>
  <c r="AJ205" i="11" s="1"/>
  <c r="N405" i="11"/>
  <c r="BY64" i="9"/>
  <c r="BY66" i="9" s="1"/>
  <c r="BY724" i="1"/>
  <c r="BY725" i="1" s="1"/>
  <c r="BY726" i="1" s="1"/>
  <c r="BY727" i="1" s="1"/>
  <c r="BY706" i="1"/>
  <c r="AJ159" i="11"/>
  <c r="Y203" i="11"/>
  <c r="Y204" i="11" s="1"/>
  <c r="Y205" i="11" s="1"/>
  <c r="Y194" i="11"/>
  <c r="W43" i="9"/>
  <c r="W52" i="9"/>
  <c r="W411" i="1"/>
  <c r="W433" i="1"/>
  <c r="W53" i="9" s="1"/>
  <c r="W82" i="9" s="1"/>
  <c r="O64" i="9"/>
  <c r="O66" i="9" s="1"/>
  <c r="O706" i="1"/>
  <c r="O724" i="1"/>
  <c r="O725" i="1" s="1"/>
  <c r="O726" i="1" s="1"/>
  <c r="O727" i="1" s="1"/>
  <c r="N103" i="9"/>
  <c r="N104" i="9" s="1"/>
  <c r="AK913" i="1"/>
  <c r="BN1041" i="1"/>
  <c r="BR100" i="9"/>
  <c r="F410" i="11"/>
  <c r="F42" i="11"/>
  <c r="AC956" i="1"/>
  <c r="BF100" i="9"/>
  <c r="BC109" i="9"/>
  <c r="BC110" i="9" s="1"/>
  <c r="BQ704" i="1"/>
  <c r="BQ707" i="1"/>
  <c r="BQ728" i="1"/>
  <c r="BQ729" i="1" s="1"/>
  <c r="BQ730" i="1" s="1"/>
  <c r="BQ731" i="1" s="1"/>
  <c r="G51" i="11"/>
  <c r="G410" i="11" s="1"/>
  <c r="G159" i="11"/>
  <c r="N42" i="11"/>
  <c r="BY48" i="1"/>
  <c r="BY47" i="1"/>
  <c r="X100" i="9"/>
  <c r="BE100" i="9"/>
  <c r="BI64" i="9"/>
  <c r="BI66" i="9" s="1"/>
  <c r="BI724" i="1"/>
  <c r="BI725" i="1" s="1"/>
  <c r="BI726" i="1" s="1"/>
  <c r="BI727" i="1" s="1"/>
  <c r="BI706" i="1"/>
  <c r="BE49" i="1"/>
  <c r="R75" i="1"/>
  <c r="R76" i="1"/>
  <c r="R77" i="1" s="1"/>
  <c r="BB56" i="9"/>
  <c r="BB286" i="1"/>
  <c r="AZ43" i="9"/>
  <c r="AZ52" i="9"/>
  <c r="AZ433" i="1"/>
  <c r="AZ53" i="9" s="1"/>
  <c r="AZ82" i="9" s="1"/>
  <c r="AZ411" i="1"/>
  <c r="AB54" i="1"/>
  <c r="AD77" i="1"/>
  <c r="AS57" i="9"/>
  <c r="AS1033" i="1"/>
  <c r="BW103" i="9"/>
  <c r="BW104" i="9" s="1"/>
  <c r="AH320" i="1"/>
  <c r="AH327" i="1" s="1"/>
  <c r="AH415" i="1" s="1"/>
  <c r="AH317" i="1"/>
  <c r="O320" i="1"/>
  <c r="O327" i="1" s="1"/>
  <c r="O415" i="1" s="1"/>
  <c r="O317" i="1"/>
  <c r="AR57" i="9"/>
  <c r="AR1033" i="1"/>
  <c r="AU103" i="9"/>
  <c r="AU104" i="9" s="1"/>
  <c r="BU103" i="9"/>
  <c r="BU104" i="9" s="1"/>
  <c r="AB64" i="9"/>
  <c r="AB66" i="9" s="1"/>
  <c r="AB724" i="1"/>
  <c r="AB725" i="1" s="1"/>
  <c r="AB726" i="1" s="1"/>
  <c r="AB727" i="1" s="1"/>
  <c r="AB706" i="1"/>
  <c r="E704" i="1"/>
  <c r="E707" i="1"/>
  <c r="E760" i="1" s="1"/>
  <c r="E728" i="1"/>
  <c r="BB109" i="9"/>
  <c r="E164" i="11"/>
  <c r="E52" i="11"/>
  <c r="H410" i="11"/>
  <c r="H42" i="11"/>
  <c r="S194" i="11"/>
  <c r="S203" i="11"/>
  <c r="S204" i="11" s="1"/>
  <c r="S205" i="11" s="1"/>
  <c r="O35" i="9"/>
  <c r="O290" i="1"/>
  <c r="O58" i="9" s="1"/>
  <c r="BZ69" i="1"/>
  <c r="BZ102" i="1"/>
  <c r="BZ103" i="1" s="1"/>
  <c r="BZ71" i="1"/>
  <c r="BZ51" i="1"/>
  <c r="BZ86" i="1"/>
  <c r="BZ53" i="1"/>
  <c r="BZ96" i="1"/>
  <c r="BZ97" i="1" s="1"/>
  <c r="BZ84" i="1"/>
  <c r="BJ58" i="1"/>
  <c r="BJ59" i="1"/>
  <c r="BJ62" i="1" s="1"/>
  <c r="CI101" i="1"/>
  <c r="CH101" i="1"/>
  <c r="AZ400" i="1"/>
  <c r="AS59" i="1"/>
  <c r="AS58" i="1"/>
  <c r="BI57" i="9"/>
  <c r="BI1033" i="1"/>
  <c r="BR728" i="1"/>
  <c r="BR729" i="1" s="1"/>
  <c r="BR730" i="1" s="1"/>
  <c r="BR731" i="1" s="1"/>
  <c r="BR704" i="1"/>
  <c r="BR707" i="1"/>
  <c r="AR704" i="1"/>
  <c r="AR728" i="1"/>
  <c r="AR729" i="1" s="1"/>
  <c r="AR730" i="1" s="1"/>
  <c r="AR731" i="1" s="1"/>
  <c r="AR707" i="1"/>
  <c r="AC64" i="9"/>
  <c r="AC66" i="9" s="1"/>
  <c r="AC724" i="1"/>
  <c r="AC725" i="1" s="1"/>
  <c r="AC726" i="1" s="1"/>
  <c r="AC727" i="1" s="1"/>
  <c r="AC706" i="1"/>
  <c r="BV103" i="9"/>
  <c r="BV104" i="9" s="1"/>
  <c r="BB728" i="1"/>
  <c r="BB729" i="1" s="1"/>
  <c r="BB730" i="1" s="1"/>
  <c r="BB731" i="1" s="1"/>
  <c r="BB707" i="1"/>
  <c r="BB704" i="1"/>
  <c r="C105" i="9"/>
  <c r="BT913" i="1"/>
  <c r="AK75" i="11"/>
  <c r="AK86" i="11" s="1"/>
  <c r="AK172" i="11" s="1"/>
  <c r="AK72" i="11"/>
  <c r="F75" i="11"/>
  <c r="F86" i="11" s="1"/>
  <c r="F172" i="11" s="1"/>
  <c r="F72" i="11"/>
  <c r="P51" i="11"/>
  <c r="P410" i="11" s="1"/>
  <c r="P159" i="11"/>
  <c r="I283" i="11"/>
  <c r="H284" i="11"/>
  <c r="AR43" i="9"/>
  <c r="AR52" i="9"/>
  <c r="AR433" i="1"/>
  <c r="AR53" i="9" s="1"/>
  <c r="AR82" i="9" s="1"/>
  <c r="AR411" i="1"/>
  <c r="N90" i="1"/>
  <c r="N91" i="1"/>
  <c r="N92" i="1" s="1"/>
  <c r="S90" i="1"/>
  <c r="N113" i="1"/>
  <c r="N531" i="1" s="1"/>
  <c r="BW57" i="9"/>
  <c r="BW1033" i="1"/>
  <c r="BX52" i="1"/>
  <c r="BX57" i="1"/>
  <c r="BX85" i="1"/>
  <c r="BX54" i="1"/>
  <c r="BX66" i="1"/>
  <c r="BX67" i="1" s="1"/>
  <c r="BX46" i="1"/>
  <c r="BX81" i="1"/>
  <c r="BX82" i="1" s="1"/>
  <c r="BX70" i="1"/>
  <c r="BX87" i="1"/>
  <c r="BX72" i="1"/>
  <c r="BX96" i="1"/>
  <c r="BX97" i="1" s="1"/>
  <c r="BX91" i="1"/>
  <c r="BX92" i="1" s="1"/>
  <c r="M43" i="9"/>
  <c r="M52" i="9"/>
  <c r="M411" i="1"/>
  <c r="M433" i="1"/>
  <c r="M53" i="9" s="1"/>
  <c r="M82" i="9" s="1"/>
  <c r="N43" i="9"/>
  <c r="N52" i="9"/>
  <c r="N411" i="1"/>
  <c r="N433" i="1"/>
  <c r="N53" i="9" s="1"/>
  <c r="N82" i="9" s="1"/>
  <c r="T101" i="1"/>
  <c r="G34" i="9"/>
  <c r="G291" i="1"/>
  <c r="AH59" i="1"/>
  <c r="AH58" i="1"/>
  <c r="AQ103" i="9"/>
  <c r="AQ104" i="9" s="1"/>
  <c r="C59" i="1"/>
  <c r="AE43" i="9"/>
  <c r="AE52" i="9"/>
  <c r="AE411" i="1"/>
  <c r="AE433" i="1"/>
  <c r="AR47" i="1"/>
  <c r="AR48" i="1"/>
  <c r="BH394" i="1"/>
  <c r="BH635" i="1"/>
  <c r="BH285" i="1"/>
  <c r="AY56" i="9"/>
  <c r="AY286" i="1"/>
  <c r="AT877" i="1"/>
  <c r="AT705" i="1" s="1"/>
  <c r="AT703" i="1"/>
  <c r="AP64" i="9"/>
  <c r="AP66" i="9" s="1"/>
  <c r="AP724" i="1"/>
  <c r="AP725" i="1" s="1"/>
  <c r="AP726" i="1" s="1"/>
  <c r="AP727" i="1" s="1"/>
  <c r="AP706" i="1"/>
  <c r="BK707" i="1"/>
  <c r="BK728" i="1"/>
  <c r="BK729" i="1" s="1"/>
  <c r="BK730" i="1" s="1"/>
  <c r="BK731" i="1" s="1"/>
  <c r="BK704" i="1"/>
  <c r="BH64" i="9"/>
  <c r="BH66" i="9" s="1"/>
  <c r="BH724" i="1"/>
  <c r="BH725" i="1" s="1"/>
  <c r="BH726" i="1" s="1"/>
  <c r="BH727" i="1" s="1"/>
  <c r="BH706" i="1"/>
  <c r="BO103" i="9"/>
  <c r="BO104" i="9" s="1"/>
  <c r="E75" i="1"/>
  <c r="AV38" i="9"/>
  <c r="AV97" i="9" s="1"/>
  <c r="AV98" i="9" s="1"/>
  <c r="AV294" i="1"/>
  <c r="AV61" i="9" s="1"/>
  <c r="AV400" i="1"/>
  <c r="BK395" i="1"/>
  <c r="BK293" i="1"/>
  <c r="BK60" i="9" s="1"/>
  <c r="K1034" i="1"/>
  <c r="K415" i="1"/>
  <c r="V320" i="1"/>
  <c r="V327" i="1" s="1"/>
  <c r="V415" i="1" s="1"/>
  <c r="V317" i="1"/>
  <c r="AT129" i="9"/>
  <c r="AT88" i="9"/>
  <c r="AT85" i="9" s="1"/>
  <c r="F4" i="13"/>
  <c r="F3" i="13"/>
  <c r="CB375" i="1"/>
  <c r="CB126" i="1"/>
  <c r="X67" i="1"/>
  <c r="BS47" i="1"/>
  <c r="BS48" i="1"/>
  <c r="AS130" i="9"/>
  <c r="AS92" i="9"/>
  <c r="BD38" i="9"/>
  <c r="BD97" i="9" s="1"/>
  <c r="BD98" i="9" s="1"/>
  <c r="BD105" i="9" s="1"/>
  <c r="BD294" i="1"/>
  <c r="BD61" i="9" s="1"/>
  <c r="BD400" i="1"/>
  <c r="BT77" i="1"/>
  <c r="AY415" i="1"/>
  <c r="K51" i="9"/>
  <c r="K748" i="1"/>
  <c r="K297" i="1"/>
  <c r="BM56" i="9"/>
  <c r="BM286" i="1"/>
  <c r="CD21" i="9"/>
  <c r="CD8" i="1"/>
  <c r="CH7" i="1"/>
  <c r="CE8" i="1"/>
  <c r="CD34" i="1"/>
  <c r="BF48" i="1"/>
  <c r="BF49" i="1" s="1"/>
  <c r="BF47" i="1"/>
  <c r="BQ57" i="9"/>
  <c r="BQ1033" i="1"/>
  <c r="AP58" i="1"/>
  <c r="AP59" i="1"/>
  <c r="BQ395" i="1"/>
  <c r="BQ293" i="1"/>
  <c r="BQ60" i="9" s="1"/>
  <c r="AD48" i="1"/>
  <c r="BM103" i="1"/>
  <c r="W54" i="1"/>
  <c r="W56" i="1"/>
  <c r="W57" i="1" s="1"/>
  <c r="P52" i="9"/>
  <c r="P43" i="9"/>
  <c r="P433" i="1"/>
  <c r="P411" i="1"/>
  <c r="BK1035" i="1"/>
  <c r="BD644" i="1"/>
  <c r="AQ59" i="1"/>
  <c r="AQ58" i="1"/>
  <c r="AJ317" i="1"/>
  <c r="AJ320" i="1"/>
  <c r="AJ327" i="1" s="1"/>
  <c r="AR82" i="1"/>
  <c r="D89" i="9"/>
  <c r="D86" i="9" s="1"/>
  <c r="D68" i="9"/>
  <c r="AR395" i="1"/>
  <c r="AR293" i="1"/>
  <c r="AR60" i="9" s="1"/>
  <c r="BO293" i="1"/>
  <c r="BO60" i="9" s="1"/>
  <c r="BO395" i="1"/>
  <c r="BT92" i="1"/>
  <c r="AS92" i="1"/>
  <c r="W34" i="9"/>
  <c r="W291" i="1"/>
  <c r="BX925" i="1"/>
  <c r="BX400" i="1"/>
  <c r="BM47" i="1"/>
  <c r="CA84" i="1"/>
  <c r="CA102" i="1"/>
  <c r="CA103" i="1" s="1"/>
  <c r="CA71" i="1"/>
  <c r="CA96" i="1"/>
  <c r="CA97" i="1" s="1"/>
  <c r="CA51" i="1"/>
  <c r="CA86" i="1"/>
  <c r="CA53" i="1"/>
  <c r="CA69" i="1"/>
  <c r="BB395" i="1"/>
  <c r="BB293" i="1"/>
  <c r="BB60" i="9" s="1"/>
  <c r="BY38" i="9"/>
  <c r="BY97" i="9" s="1"/>
  <c r="BY400" i="1"/>
  <c r="BY294" i="1"/>
  <c r="BY61" i="9" s="1"/>
  <c r="M635" i="1"/>
  <c r="M636" i="1" s="1"/>
  <c r="M637" i="1" s="1"/>
  <c r="M394" i="1"/>
  <c r="M285" i="1"/>
  <c r="BP641" i="1"/>
  <c r="BP644" i="1"/>
  <c r="BN644" i="1"/>
  <c r="D101" i="9"/>
  <c r="D110" i="9"/>
  <c r="D1028" i="1"/>
  <c r="T95" i="9"/>
  <c r="V95" i="9"/>
  <c r="V104" i="9" s="1"/>
  <c r="P1040" i="1"/>
  <c r="BE394" i="1"/>
  <c r="BE285" i="1"/>
  <c r="BE635" i="1"/>
  <c r="BF641" i="1" s="1"/>
  <c r="X707" i="1"/>
  <c r="X728" i="1"/>
  <c r="X729" i="1" s="1"/>
  <c r="X730" i="1" s="1"/>
  <c r="X731" i="1" s="1"/>
  <c r="X704" i="1"/>
  <c r="BG103" i="9"/>
  <c r="BG104" i="9" s="1"/>
  <c r="Z913" i="1"/>
  <c r="Z1028" i="1" s="1"/>
  <c r="Z164" i="11"/>
  <c r="Z52" i="11"/>
  <c r="G405" i="11"/>
  <c r="Q194" i="11"/>
  <c r="Q203" i="11"/>
  <c r="Q204" i="11" s="1"/>
  <c r="Q205" i="11" s="1"/>
  <c r="AF64" i="9"/>
  <c r="AF66" i="9" s="1"/>
  <c r="AF724" i="1"/>
  <c r="AF725" i="1" s="1"/>
  <c r="AF726" i="1" s="1"/>
  <c r="AF727" i="1" s="1"/>
  <c r="AF706" i="1"/>
  <c r="Z100" i="9"/>
  <c r="AG194" i="11"/>
  <c r="AG203" i="11"/>
  <c r="AG204" i="11" s="1"/>
  <c r="AG205" i="11" s="1"/>
  <c r="M51" i="11"/>
  <c r="M410" i="11" s="1"/>
  <c r="M159" i="11"/>
  <c r="AI303" i="11"/>
  <c r="AI331" i="11" s="1"/>
  <c r="AI405" i="11" s="1"/>
  <c r="AI193" i="11"/>
  <c r="BV57" i="9"/>
  <c r="BV1033" i="1"/>
  <c r="J103" i="9"/>
  <c r="J104" i="9" s="1"/>
  <c r="Z56" i="9"/>
  <c r="Z1035" i="1"/>
  <c r="Z286" i="1"/>
  <c r="BL64" i="9"/>
  <c r="BL66" i="9" s="1"/>
  <c r="BL706" i="1"/>
  <c r="BL724" i="1"/>
  <c r="BL725" i="1" s="1"/>
  <c r="BL726" i="1" s="1"/>
  <c r="BL727" i="1" s="1"/>
  <c r="AW109" i="9"/>
  <c r="BU939" i="1"/>
  <c r="BU933" i="1"/>
  <c r="BU937" i="1"/>
  <c r="BR117" i="1"/>
  <c r="BR399" i="1" s="1"/>
  <c r="BR925" i="1" s="1"/>
  <c r="BS399" i="1"/>
  <c r="E51" i="11"/>
  <c r="E410" i="11" s="1"/>
  <c r="E159" i="11"/>
  <c r="J303" i="11"/>
  <c r="J331" i="11" s="1"/>
  <c r="J405" i="11" s="1"/>
  <c r="J193" i="11"/>
  <c r="Z38" i="9"/>
  <c r="Z97" i="9" s="1"/>
  <c r="Z98" i="9" s="1"/>
  <c r="Z105" i="9" s="1"/>
  <c r="Z294" i="1"/>
  <c r="Z61" i="9" s="1"/>
  <c r="Z400" i="1"/>
  <c r="AI103" i="9"/>
  <c r="BB913" i="1"/>
  <c r="BB1028" i="1" s="1"/>
  <c r="K64" i="9"/>
  <c r="K66" i="9" s="1"/>
  <c r="K706" i="1"/>
  <c r="K724" i="1"/>
  <c r="K725" i="1" s="1"/>
  <c r="K726" i="1" s="1"/>
  <c r="K727" i="1" s="1"/>
  <c r="T704" i="1"/>
  <c r="T728" i="1"/>
  <c r="T729" i="1" s="1"/>
  <c r="T730" i="1" s="1"/>
  <c r="T731" i="1" s="1"/>
  <c r="T707" i="1"/>
  <c r="BX67" i="9"/>
  <c r="BX942" i="1"/>
  <c r="BX556" i="1"/>
  <c r="BX557" i="1" s="1"/>
  <c r="BX558" i="1" s="1"/>
  <c r="BX1043" i="1"/>
  <c r="BX1036" i="1"/>
  <c r="V64" i="9"/>
  <c r="V66" i="9" s="1"/>
  <c r="V706" i="1"/>
  <c r="V724" i="1"/>
  <c r="V725" i="1" s="1"/>
  <c r="V726" i="1" s="1"/>
  <c r="V727" i="1" s="1"/>
  <c r="AI347" i="11"/>
  <c r="D203" i="11"/>
  <c r="D194" i="11"/>
  <c r="BY705" i="1"/>
  <c r="X51" i="11"/>
  <c r="X410" i="11" s="1"/>
  <c r="X159" i="11"/>
  <c r="N164" i="11"/>
  <c r="N52" i="11"/>
  <c r="K56" i="9"/>
  <c r="K286" i="1"/>
  <c r="O707" i="1"/>
  <c r="O728" i="1"/>
  <c r="O729" i="1" s="1"/>
  <c r="O730" i="1" s="1"/>
  <c r="O731" i="1" s="1"/>
  <c r="O704" i="1"/>
  <c r="S64" i="9"/>
  <c r="S66" i="9" s="1"/>
  <c r="S724" i="1"/>
  <c r="S725" i="1" s="1"/>
  <c r="S726" i="1" s="1"/>
  <c r="S727" i="1" s="1"/>
  <c r="S706" i="1"/>
  <c r="I1028" i="1"/>
  <c r="F51" i="11"/>
  <c r="F159" i="11"/>
  <c r="I203" i="11"/>
  <c r="I204" i="11" s="1"/>
  <c r="I205" i="11" s="1"/>
  <c r="I194" i="11"/>
  <c r="I56" i="9"/>
  <c r="I286" i="1"/>
  <c r="AE104" i="9"/>
  <c r="AE105" i="9" s="1"/>
  <c r="CB1005" i="1"/>
  <c r="CC1000" i="1"/>
  <c r="N64" i="9"/>
  <c r="N66" i="9" s="1"/>
  <c r="N117" i="9" s="1"/>
  <c r="N706" i="1"/>
  <c r="N724" i="1"/>
  <c r="N725" i="1" s="1"/>
  <c r="N726" i="1" s="1"/>
  <c r="N727" i="1" s="1"/>
  <c r="Q913" i="1"/>
  <c r="M183" i="11"/>
  <c r="M178" i="11"/>
  <c r="M184" i="11" s="1"/>
  <c r="M403" i="11"/>
  <c r="M402" i="11"/>
  <c r="N51" i="11"/>
  <c r="N410" i="11" s="1"/>
  <c r="N159" i="11"/>
  <c r="G203" i="11"/>
  <c r="G204" i="11" s="1"/>
  <c r="G205" i="11" s="1"/>
  <c r="G194" i="11"/>
  <c r="AB67" i="1"/>
  <c r="AG67" i="1"/>
  <c r="BY67" i="1"/>
  <c r="AH57" i="9"/>
  <c r="AH1033" i="1"/>
  <c r="AO67" i="9"/>
  <c r="AO942" i="1"/>
  <c r="AO556" i="1"/>
  <c r="AO1043" i="1"/>
  <c r="AO1036" i="1"/>
  <c r="AT1042" i="1"/>
  <c r="CC1010" i="1"/>
  <c r="CD1010" i="1" s="1"/>
  <c r="G284" i="11"/>
  <c r="BI704" i="1"/>
  <c r="BI707" i="1"/>
  <c r="BI760" i="1" s="1"/>
  <c r="BI728" i="1"/>
  <c r="BL103" i="1"/>
  <c r="AN76" i="1"/>
  <c r="AN77" i="1" s="1"/>
  <c r="AN75" i="1"/>
  <c r="Q76" i="1"/>
  <c r="Q75" i="1"/>
  <c r="AB33" i="9"/>
  <c r="AB55" i="1"/>
  <c r="AB56" i="1" s="1"/>
  <c r="AB57" i="1" s="1"/>
  <c r="AB378" i="1"/>
  <c r="BA38" i="9"/>
  <c r="BA97" i="9" s="1"/>
  <c r="BA400" i="1"/>
  <c r="BA294" i="1"/>
  <c r="BA61" i="9" s="1"/>
  <c r="BV38" i="9"/>
  <c r="BV97" i="9" s="1"/>
  <c r="BV294" i="1"/>
  <c r="BV61" i="9" s="1"/>
  <c r="BV400" i="1"/>
  <c r="AQ635" i="1"/>
  <c r="AR641" i="1" s="1"/>
  <c r="AQ394" i="1"/>
  <c r="AQ285" i="1"/>
  <c r="AB704" i="1"/>
  <c r="AB707" i="1"/>
  <c r="AB728" i="1"/>
  <c r="AB729" i="1" s="1"/>
  <c r="AB730" i="1" s="1"/>
  <c r="AB731" i="1" s="1"/>
  <c r="W100" i="9"/>
  <c r="P101" i="9"/>
  <c r="P110" i="9"/>
  <c r="N109" i="9"/>
  <c r="E75" i="11"/>
  <c r="E86" i="11" s="1"/>
  <c r="E172" i="11" s="1"/>
  <c r="E72" i="11"/>
  <c r="H159" i="11"/>
  <c r="H51" i="11"/>
  <c r="AG59" i="1"/>
  <c r="AN320" i="1"/>
  <c r="AN327" i="1" s="1"/>
  <c r="AN415" i="1" s="1"/>
  <c r="AN317" i="1"/>
  <c r="BJ103" i="1"/>
  <c r="Y51" i="9"/>
  <c r="Y297" i="1"/>
  <c r="Y748" i="1"/>
  <c r="AL103" i="1"/>
  <c r="Z67" i="1"/>
  <c r="AL635" i="1"/>
  <c r="AL394" i="1"/>
  <c r="AL285" i="1"/>
  <c r="AW38" i="9"/>
  <c r="AW97" i="9" s="1"/>
  <c r="AW400" i="1"/>
  <c r="AW294" i="1"/>
  <c r="AW61" i="9" s="1"/>
  <c r="AO51" i="9"/>
  <c r="AO748" i="1"/>
  <c r="AO297" i="1"/>
  <c r="AC704" i="1"/>
  <c r="AC707" i="1"/>
  <c r="AC728" i="1"/>
  <c r="AC729" i="1" s="1"/>
  <c r="AC730" i="1" s="1"/>
  <c r="AC731" i="1" s="1"/>
  <c r="U64" i="9"/>
  <c r="U66" i="9" s="1"/>
  <c r="U724" i="1"/>
  <c r="U725" i="1" s="1"/>
  <c r="U726" i="1" s="1"/>
  <c r="U727" i="1" s="1"/>
  <c r="U706" i="1"/>
  <c r="BD109" i="9"/>
  <c r="BO109" i="9"/>
  <c r="BP109" i="9"/>
  <c r="BP110" i="9" s="1"/>
  <c r="BX1042" i="1"/>
  <c r="AK164" i="11"/>
  <c r="AK52" i="11"/>
  <c r="BG58" i="1"/>
  <c r="C766" i="1"/>
  <c r="BT47" i="1"/>
  <c r="BT48" i="1"/>
  <c r="AF48" i="1"/>
  <c r="AF49" i="1" s="1"/>
  <c r="AF47" i="1"/>
  <c r="Z103" i="1"/>
  <c r="F43" i="9"/>
  <c r="F52" i="9"/>
  <c r="F411" i="1"/>
  <c r="F433" i="1"/>
  <c r="BH77" i="1"/>
  <c r="BL57" i="9"/>
  <c r="BL1033" i="1"/>
  <c r="BF52" i="9"/>
  <c r="BF43" i="9"/>
  <c r="BF433" i="1"/>
  <c r="BF53" i="9" s="1"/>
  <c r="BF82" i="9" s="1"/>
  <c r="BF411" i="1"/>
  <c r="BR285" i="1"/>
  <c r="AL113" i="1"/>
  <c r="AL531" i="1" s="1"/>
  <c r="D113" i="1"/>
  <c r="D531" i="1" s="1"/>
  <c r="BO103" i="1"/>
  <c r="AW103" i="1"/>
  <c r="T102" i="1"/>
  <c r="AM59" i="1"/>
  <c r="AM58" i="1"/>
  <c r="BO129" i="9"/>
  <c r="BN96" i="1"/>
  <c r="BS97" i="1" s="1"/>
  <c r="BN72" i="1"/>
  <c r="BN91" i="1"/>
  <c r="BN57" i="1"/>
  <c r="BS58" i="1" s="1"/>
  <c r="BN46" i="1"/>
  <c r="BN81" i="1"/>
  <c r="BN70" i="1"/>
  <c r="BN85" i="1"/>
  <c r="BN87" i="1"/>
  <c r="BN102" i="1"/>
  <c r="BS103" i="1" s="1"/>
  <c r="BN52" i="1"/>
  <c r="BN66" i="1"/>
  <c r="BN67" i="1" s="1"/>
  <c r="C729" i="1"/>
  <c r="C730" i="1" s="1"/>
  <c r="C731" i="1" s="1"/>
  <c r="BW285" i="1"/>
  <c r="AO57" i="1"/>
  <c r="AT58" i="1" s="1"/>
  <c r="AO81" i="1"/>
  <c r="AO82" i="1" s="1"/>
  <c r="AO52" i="1"/>
  <c r="AO46" i="1"/>
  <c r="AT47" i="1" s="1"/>
  <c r="AO85" i="1"/>
  <c r="AO87" i="1"/>
  <c r="AO66" i="1"/>
  <c r="AO70" i="1"/>
  <c r="AO54" i="1"/>
  <c r="AO96" i="1"/>
  <c r="AO97" i="1" s="1"/>
  <c r="AY395" i="1"/>
  <c r="AY293" i="1"/>
  <c r="AY60" i="9" s="1"/>
  <c r="BI56" i="9"/>
  <c r="BI286" i="1"/>
  <c r="AS877" i="1"/>
  <c r="AS705" i="1" s="1"/>
  <c r="AS703" i="1"/>
  <c r="AP705" i="1"/>
  <c r="BH704" i="1"/>
  <c r="BH707" i="1"/>
  <c r="BH728" i="1"/>
  <c r="BH729" i="1" s="1"/>
  <c r="BH730" i="1" s="1"/>
  <c r="BH731" i="1" s="1"/>
  <c r="D103" i="9"/>
  <c r="D104" i="9" s="1"/>
  <c r="D105" i="9" s="1"/>
  <c r="BH913" i="1"/>
  <c r="BH110" i="9"/>
  <c r="BC59" i="1"/>
  <c r="BC62" i="1" s="1"/>
  <c r="BC58" i="1"/>
  <c r="U85" i="1"/>
  <c r="U89" i="1"/>
  <c r="BS43" i="9"/>
  <c r="BS52" i="9"/>
  <c r="BS411" i="1"/>
  <c r="BS433" i="1"/>
  <c r="BK644" i="1"/>
  <c r="T285" i="1"/>
  <c r="BM360" i="1"/>
  <c r="BM362" i="1" s="1"/>
  <c r="BM396" i="1" s="1"/>
  <c r="BM313" i="1"/>
  <c r="BM315" i="1" s="1"/>
  <c r="BM162" i="1"/>
  <c r="BM166" i="1" s="1"/>
  <c r="Q51" i="9"/>
  <c r="Q748" i="1"/>
  <c r="Q297" i="1"/>
  <c r="V38" i="9"/>
  <c r="V97" i="9" s="1"/>
  <c r="V400" i="1"/>
  <c r="V294" i="1"/>
  <c r="V61" i="9" s="1"/>
  <c r="BL320" i="1"/>
  <c r="BL327" i="1" s="1"/>
  <c r="BL415" i="1" s="1"/>
  <c r="BL317" i="1"/>
  <c r="BM57" i="9"/>
  <c r="BM1033" i="1"/>
  <c r="CH393" i="1"/>
  <c r="CB128" i="1"/>
  <c r="CB387" i="1"/>
  <c r="CB383" i="1"/>
  <c r="CB122" i="1"/>
  <c r="AK82" i="1"/>
  <c r="AN48" i="1"/>
  <c r="AS47" i="1"/>
  <c r="X75" i="1"/>
  <c r="BJ77" i="1"/>
  <c r="F57" i="9"/>
  <c r="F1033" i="1"/>
  <c r="P56" i="9"/>
  <c r="P286" i="1"/>
  <c r="R92" i="1"/>
  <c r="AK51" i="9"/>
  <c r="AK297" i="1"/>
  <c r="AK748" i="1"/>
  <c r="AZ92" i="1"/>
  <c r="H52" i="9"/>
  <c r="H43" i="9"/>
  <c r="H433" i="1"/>
  <c r="H53" i="9" s="1"/>
  <c r="H82" i="9" s="1"/>
  <c r="H411" i="1"/>
  <c r="BP68" i="9"/>
  <c r="D729" i="1"/>
  <c r="D730" i="1" s="1"/>
  <c r="D731" i="1" s="1"/>
  <c r="AT317" i="1"/>
  <c r="BQ641" i="1"/>
  <c r="Y956" i="1"/>
  <c r="X47" i="1"/>
  <c r="AQ52" i="9"/>
  <c r="AQ43" i="9"/>
  <c r="AQ411" i="1"/>
  <c r="AQ433" i="1"/>
  <c r="AQ53" i="9" s="1"/>
  <c r="AQ82" i="9" s="1"/>
  <c r="BD293" i="1"/>
  <c r="BD395" i="1"/>
  <c r="BY925" i="1"/>
  <c r="T360" i="1"/>
  <c r="T362" i="1" s="1"/>
  <c r="T396" i="1" s="1"/>
  <c r="T313" i="1"/>
  <c r="T315" i="1" s="1"/>
  <c r="AS97" i="1"/>
  <c r="C43" i="9"/>
  <c r="C52" i="9"/>
  <c r="C411" i="1"/>
  <c r="C433" i="1"/>
  <c r="E59" i="1"/>
  <c r="W51" i="9"/>
  <c r="W748" i="1"/>
  <c r="W297" i="1"/>
  <c r="BU956" i="1"/>
  <c r="BO641" i="1"/>
  <c r="BO644" i="1"/>
  <c r="AP47" i="1"/>
  <c r="Z97" i="1"/>
  <c r="CE86" i="1"/>
  <c r="CE69" i="1"/>
  <c r="CE102" i="1"/>
  <c r="CE84" i="1"/>
  <c r="CE53" i="1"/>
  <c r="CE51" i="1"/>
  <c r="CE71" i="1"/>
  <c r="CE96" i="1"/>
  <c r="CE97" i="1" s="1"/>
  <c r="CA76" i="1"/>
  <c r="CF76" i="1" s="1"/>
  <c r="BV77" i="1"/>
  <c r="BB641" i="1"/>
  <c r="AB320" i="1"/>
  <c r="AB327" i="1" s="1"/>
  <c r="AB415" i="1" s="1"/>
  <c r="AB317" i="1"/>
  <c r="AG34" i="9"/>
  <c r="AG291" i="1"/>
  <c r="M58" i="1"/>
  <c r="M59" i="1"/>
  <c r="BP293" i="1"/>
  <c r="BP60" i="9" s="1"/>
  <c r="BP395" i="1"/>
  <c r="E101" i="9"/>
  <c r="E110" i="9"/>
  <c r="G3" i="11"/>
  <c r="H4" i="11"/>
  <c r="AL42" i="11"/>
  <c r="AJ405" i="11"/>
  <c r="AN877" i="1"/>
  <c r="AO1040" i="1" s="1"/>
  <c r="AN703" i="1"/>
  <c r="BE58" i="1"/>
  <c r="BE59" i="1"/>
  <c r="Y103" i="9"/>
  <c r="Y104" i="9" s="1"/>
  <c r="AE925" i="1"/>
  <c r="AE400" i="1"/>
  <c r="AO877" i="1"/>
  <c r="AO705" i="1" s="1"/>
  <c r="AO703" i="1"/>
  <c r="BX101" i="9"/>
  <c r="BY100" i="9"/>
  <c r="Z75" i="11"/>
  <c r="Z72" i="11"/>
  <c r="U418" i="11"/>
  <c r="BX109" i="9"/>
  <c r="BX110" i="9" s="1"/>
  <c r="AJ1040" i="1"/>
  <c r="AF705" i="1"/>
  <c r="AR100" i="9"/>
  <c r="Z159" i="11"/>
  <c r="AL346" i="11"/>
  <c r="Q426" i="1"/>
  <c r="BJ64" i="9"/>
  <c r="BJ66" i="9" s="1"/>
  <c r="BJ117" i="9" s="1"/>
  <c r="BJ706" i="1"/>
  <c r="BJ724" i="1"/>
  <c r="BJ725" i="1" s="1"/>
  <c r="BJ726" i="1" s="1"/>
  <c r="BJ727" i="1" s="1"/>
  <c r="BL707" i="1"/>
  <c r="BL728" i="1"/>
  <c r="BL729" i="1" s="1"/>
  <c r="BL730" i="1" s="1"/>
  <c r="BL731" i="1" s="1"/>
  <c r="BL704" i="1"/>
  <c r="W64" i="9"/>
  <c r="W66" i="9" s="1"/>
  <c r="W706" i="1"/>
  <c r="W724" i="1"/>
  <c r="W725" i="1" s="1"/>
  <c r="W726" i="1" s="1"/>
  <c r="W727" i="1" s="1"/>
  <c r="AD64" i="9"/>
  <c r="AD66" i="9" s="1"/>
  <c r="AD706" i="1"/>
  <c r="AD724" i="1"/>
  <c r="AD725" i="1" s="1"/>
  <c r="AD726" i="1" s="1"/>
  <c r="AD727" i="1" s="1"/>
  <c r="AD51" i="11"/>
  <c r="AD410" i="11" s="1"/>
  <c r="AC176" i="11"/>
  <c r="AC169" i="11"/>
  <c r="AC185" i="11"/>
  <c r="Z320" i="1"/>
  <c r="Z327" i="1" s="1"/>
  <c r="Z317" i="1"/>
  <c r="AU64" i="9"/>
  <c r="AU66" i="9" s="1"/>
  <c r="AU706" i="1"/>
  <c r="AU724" i="1"/>
  <c r="AU725" i="1" s="1"/>
  <c r="AU726" i="1" s="1"/>
  <c r="AU727" i="1" s="1"/>
  <c r="AG103" i="9"/>
  <c r="AG104" i="9" s="1"/>
  <c r="K707" i="1"/>
  <c r="K760" i="1" s="1"/>
  <c r="K728" i="1"/>
  <c r="K704" i="1"/>
  <c r="BX1032" i="1"/>
  <c r="AL100" i="9"/>
  <c r="Z1040" i="1"/>
  <c r="V705" i="1"/>
  <c r="W95" i="9"/>
  <c r="L185" i="11"/>
  <c r="L176" i="11"/>
  <c r="L169" i="11"/>
  <c r="D405" i="11"/>
  <c r="N72" i="11"/>
  <c r="N75" i="11"/>
  <c r="N86" i="11" s="1"/>
  <c r="N172" i="11" s="1"/>
  <c r="P416" i="11" s="1"/>
  <c r="AK42" i="11"/>
  <c r="K293" i="1"/>
  <c r="K60" i="9" s="1"/>
  <c r="K395" i="1"/>
  <c r="AL64" i="9"/>
  <c r="AL66" i="9" s="1"/>
  <c r="AL706" i="1"/>
  <c r="AL724" i="1"/>
  <c r="AL725" i="1" s="1"/>
  <c r="AL726" i="1" s="1"/>
  <c r="AL727" i="1" s="1"/>
  <c r="S728" i="1"/>
  <c r="S729" i="1" s="1"/>
  <c r="S730" i="1" s="1"/>
  <c r="S731" i="1" s="1"/>
  <c r="S704" i="1"/>
  <c r="S707" i="1"/>
  <c r="AX99" i="9"/>
  <c r="AX1030" i="1"/>
  <c r="AX1019" i="1"/>
  <c r="AZ1030" i="1"/>
  <c r="I394" i="1"/>
  <c r="S103" i="9"/>
  <c r="S104" i="9" s="1"/>
  <c r="AX293" i="1"/>
  <c r="AX60" i="9" s="1"/>
  <c r="AX395" i="1"/>
  <c r="AL913" i="1"/>
  <c r="AL1028" i="1" s="1"/>
  <c r="BV64" i="9"/>
  <c r="BV66" i="9" s="1"/>
  <c r="BV724" i="1"/>
  <c r="BV725" i="1" s="1"/>
  <c r="BV726" i="1" s="1"/>
  <c r="BV727" i="1" s="1"/>
  <c r="BV706" i="1"/>
  <c r="N728" i="1"/>
  <c r="N729" i="1" s="1"/>
  <c r="N730" i="1" s="1"/>
  <c r="N731" i="1" s="1"/>
  <c r="N707" i="1"/>
  <c r="N704" i="1"/>
  <c r="K418" i="11"/>
  <c r="AB47" i="1"/>
  <c r="AB48" i="1"/>
  <c r="AG47" i="1"/>
  <c r="BF644" i="1"/>
  <c r="AO1032" i="1"/>
  <c r="Z64" i="9"/>
  <c r="Z66" i="9" s="1"/>
  <c r="Z724" i="1"/>
  <c r="Z725" i="1" s="1"/>
  <c r="Z726" i="1" s="1"/>
  <c r="Z727" i="1" s="1"/>
  <c r="Z706" i="1"/>
  <c r="BL67" i="1"/>
  <c r="BQ67" i="1"/>
  <c r="BS56" i="9"/>
  <c r="BS286" i="1"/>
  <c r="BK103" i="1"/>
  <c r="Q130" i="9"/>
  <c r="Q92" i="9"/>
  <c r="BX415" i="1"/>
  <c r="BA317" i="1"/>
  <c r="BA320" i="1"/>
  <c r="BA327" i="1" s="1"/>
  <c r="BA415" i="1" s="1"/>
  <c r="BY57" i="9"/>
  <c r="BY1033" i="1"/>
  <c r="AM57" i="9"/>
  <c r="AM1033" i="1"/>
  <c r="BV320" i="1"/>
  <c r="BV327" i="1" s="1"/>
  <c r="BV415" i="1" s="1"/>
  <c r="BV317" i="1"/>
  <c r="BG56" i="9"/>
  <c r="BG286" i="1"/>
  <c r="X103" i="9"/>
  <c r="BH103" i="9"/>
  <c r="BH104" i="9" s="1"/>
  <c r="BI67" i="9"/>
  <c r="BI942" i="1"/>
  <c r="BI556" i="1"/>
  <c r="BI557" i="1" s="1"/>
  <c r="BI558" i="1" s="1"/>
  <c r="BD877" i="1"/>
  <c r="BD705" i="1" s="1"/>
  <c r="BD703" i="1"/>
  <c r="AN38" i="9"/>
  <c r="AN97" i="9" s="1"/>
  <c r="AN98" i="9" s="1"/>
  <c r="AN101" i="9" s="1"/>
  <c r="AN400" i="1"/>
  <c r="AN294" i="1"/>
  <c r="AN61" i="9" s="1"/>
  <c r="BJ47" i="1"/>
  <c r="BJ48" i="1"/>
  <c r="BJ49" i="1" s="1"/>
  <c r="AC48" i="1"/>
  <c r="AC49" i="1" s="1"/>
  <c r="AC47" i="1"/>
  <c r="K103" i="1"/>
  <c r="P103" i="1"/>
  <c r="AE75" i="1"/>
  <c r="AE76" i="1"/>
  <c r="AE113" i="1"/>
  <c r="AE531" i="1" s="1"/>
  <c r="AD57" i="9"/>
  <c r="AD1033" i="1"/>
  <c r="BD57" i="9"/>
  <c r="BD1033" i="1"/>
  <c r="AI87" i="1"/>
  <c r="AI85" i="1"/>
  <c r="AI46" i="1"/>
  <c r="AN47" i="1" s="1"/>
  <c r="AI57" i="1"/>
  <c r="AN58" i="1" s="1"/>
  <c r="AI70" i="1"/>
  <c r="AI96" i="1"/>
  <c r="AI97" i="1" s="1"/>
  <c r="AI54" i="1"/>
  <c r="AI91" i="1"/>
  <c r="AI92" i="1" s="1"/>
  <c r="AI52" i="1"/>
  <c r="AI81" i="1"/>
  <c r="AI82" i="1" s="1"/>
  <c r="AI66" i="1"/>
  <c r="AI67" i="1" s="1"/>
  <c r="BP47" i="1"/>
  <c r="BP48" i="1"/>
  <c r="W463" i="1"/>
  <c r="W467" i="1" s="1"/>
  <c r="V480" i="1"/>
  <c r="V490" i="1" s="1"/>
  <c r="AW317" i="1"/>
  <c r="AW320" i="1"/>
  <c r="AW327" i="1" s="1"/>
  <c r="AW415" i="1" s="1"/>
  <c r="BW360" i="1"/>
  <c r="BW362" i="1" s="1"/>
  <c r="BW396" i="1" s="1"/>
  <c r="BW313" i="1"/>
  <c r="BW315" i="1" s="1"/>
  <c r="Q64" i="9"/>
  <c r="Q66" i="9" s="1"/>
  <c r="Q117" i="9" s="1"/>
  <c r="Q724" i="1"/>
  <c r="Q725" i="1" s="1"/>
  <c r="Q726" i="1" s="1"/>
  <c r="Q727" i="1" s="1"/>
  <c r="Q706" i="1"/>
  <c r="U705" i="1"/>
  <c r="U913" i="1"/>
  <c r="R110" i="9"/>
  <c r="AQ100" i="9"/>
  <c r="AA75" i="11"/>
  <c r="AA86" i="11" s="1"/>
  <c r="AA172" i="11" s="1"/>
  <c r="AA72" i="11"/>
  <c r="R75" i="11"/>
  <c r="R86" i="11" s="1"/>
  <c r="R172" i="11" s="1"/>
  <c r="R72" i="11"/>
  <c r="BS644" i="1"/>
  <c r="BK59" i="1"/>
  <c r="BK58" i="1"/>
  <c r="BT51" i="9"/>
  <c r="BT748" i="1"/>
  <c r="BT297" i="1"/>
  <c r="BA103" i="1"/>
  <c r="AU75" i="1"/>
  <c r="AU76" i="1"/>
  <c r="AZ75" i="1"/>
  <c r="L117" i="9"/>
  <c r="G68" i="9"/>
  <c r="BJ38" i="9"/>
  <c r="BJ97" i="9" s="1"/>
  <c r="BJ294" i="1"/>
  <c r="BJ61" i="9" s="1"/>
  <c r="BJ400" i="1"/>
  <c r="BX103" i="9"/>
  <c r="BX104" i="9" s="1"/>
  <c r="BX105" i="9" s="1"/>
  <c r="H394" i="1"/>
  <c r="H635" i="1"/>
  <c r="H636" i="1" s="1"/>
  <c r="H637" i="1" s="1"/>
  <c r="H285" i="1"/>
  <c r="Q91" i="1"/>
  <c r="Q92" i="1" s="1"/>
  <c r="Q90" i="1"/>
  <c r="BR103" i="1"/>
  <c r="AE48" i="1"/>
  <c r="AE49" i="1" s="1"/>
  <c r="AE47" i="1"/>
  <c r="BG51" i="9"/>
  <c r="BG297" i="1"/>
  <c r="BG748" i="1"/>
  <c r="AX764" i="1"/>
  <c r="AX766" i="1"/>
  <c r="AX765" i="1"/>
  <c r="T57" i="9"/>
  <c r="T1033" i="1"/>
  <c r="AY644" i="1"/>
  <c r="BI395" i="1"/>
  <c r="BI293" i="1"/>
  <c r="BI60" i="9" s="1"/>
  <c r="BE103" i="9"/>
  <c r="BE104" i="9" s="1"/>
  <c r="AW68" i="9"/>
  <c r="R103" i="9"/>
  <c r="R104" i="9" s="1"/>
  <c r="AW103" i="9"/>
  <c r="AW104" i="9" s="1"/>
  <c r="AT1039" i="1"/>
  <c r="BU64" i="9"/>
  <c r="BU66" i="9" s="1"/>
  <c r="BU117" i="9" s="1"/>
  <c r="BU724" i="1"/>
  <c r="BU725" i="1" s="1"/>
  <c r="BU726" i="1" s="1"/>
  <c r="BU727" i="1" s="1"/>
  <c r="BU706" i="1"/>
  <c r="BC47" i="1"/>
  <c r="BC48" i="1"/>
  <c r="BC49" i="1" s="1"/>
  <c r="BT82" i="1"/>
  <c r="U35" i="9"/>
  <c r="U290" i="1"/>
  <c r="U58" i="9" s="1"/>
  <c r="BX102" i="1"/>
  <c r="BX103" i="1" s="1"/>
  <c r="CG26" i="9"/>
  <c r="CG37" i="1"/>
  <c r="CG370" i="1"/>
  <c r="CG44" i="1"/>
  <c r="CG38" i="1"/>
  <c r="CG19" i="9" s="1"/>
  <c r="N635" i="1"/>
  <c r="N636" i="1" s="1"/>
  <c r="N637" i="1" s="1"/>
  <c r="N394" i="1"/>
  <c r="N285" i="1"/>
  <c r="AC43" i="9"/>
  <c r="AC52" i="9"/>
  <c r="AC411" i="1"/>
  <c r="AC433" i="1"/>
  <c r="AC53" i="9" s="1"/>
  <c r="AC82" i="9" s="1"/>
  <c r="Q410" i="1"/>
  <c r="M57" i="9"/>
  <c r="M1033" i="1"/>
  <c r="BL38" i="9"/>
  <c r="BL97" i="9" s="1"/>
  <c r="BL400" i="1"/>
  <c r="BL294" i="1"/>
  <c r="BL61" i="9" s="1"/>
  <c r="CB376" i="1"/>
  <c r="CB121" i="1"/>
  <c r="AX77" i="1"/>
  <c r="AK67" i="1"/>
  <c r="AZ97" i="1"/>
  <c r="BE97" i="1"/>
  <c r="AS67" i="1"/>
  <c r="Y81" i="1"/>
  <c r="AD82" i="1" s="1"/>
  <c r="Y46" i="1"/>
  <c r="AD47" i="1" s="1"/>
  <c r="Y66" i="1"/>
  <c r="Y67" i="1" s="1"/>
  <c r="Y57" i="1"/>
  <c r="Y52" i="1"/>
  <c r="Y70" i="1"/>
  <c r="Y96" i="1"/>
  <c r="Y85" i="1"/>
  <c r="Y91" i="1"/>
  <c r="Y92" i="1" s="1"/>
  <c r="Y87" i="1"/>
  <c r="R47" i="1"/>
  <c r="R48" i="1"/>
  <c r="R49" i="1" s="1"/>
  <c r="CC55" i="1"/>
  <c r="BY56" i="1"/>
  <c r="D54" i="1"/>
  <c r="BM635" i="1"/>
  <c r="BM394" i="1"/>
  <c r="AK98" i="9"/>
  <c r="CC21" i="9"/>
  <c r="CC34" i="1"/>
  <c r="CC9" i="1"/>
  <c r="CC14" i="9" s="1"/>
  <c r="AT415" i="1"/>
  <c r="BH89" i="1"/>
  <c r="BH81" i="1"/>
  <c r="BM80" i="1"/>
  <c r="BH80" i="1"/>
  <c r="BW58" i="1"/>
  <c r="BW59" i="1"/>
  <c r="I59" i="1"/>
  <c r="O57" i="9"/>
  <c r="O1033" i="1"/>
  <c r="AA82" i="1"/>
  <c r="P293" i="1"/>
  <c r="P60" i="9" s="1"/>
  <c r="P395" i="1"/>
  <c r="L54" i="1"/>
  <c r="C51" i="9"/>
  <c r="C748" i="1"/>
  <c r="C297" i="1"/>
  <c r="N58" i="1"/>
  <c r="N59" i="1"/>
  <c r="BB57" i="9"/>
  <c r="BB1033" i="1"/>
  <c r="BE728" i="1"/>
  <c r="BE729" i="1" s="1"/>
  <c r="BE730" i="1" s="1"/>
  <c r="BE731" i="1" s="1"/>
  <c r="BE704" i="1"/>
  <c r="BE707" i="1"/>
  <c r="BY746" i="1"/>
  <c r="AR103" i="9"/>
  <c r="AR104" i="9" s="1"/>
  <c r="Z57" i="9"/>
  <c r="Z1033" i="1"/>
  <c r="BP77" i="1"/>
  <c r="BU97" i="1"/>
  <c r="BK220" i="1"/>
  <c r="F92" i="1"/>
  <c r="K92" i="1"/>
  <c r="AF74" i="1"/>
  <c r="AF72" i="1"/>
  <c r="AB38" i="9"/>
  <c r="AB97" i="9" s="1"/>
  <c r="AC98" i="9" s="1"/>
  <c r="AB400" i="1"/>
  <c r="AB294" i="1"/>
  <c r="AB61" i="9" s="1"/>
  <c r="BV47" i="1"/>
  <c r="BV48" i="1"/>
  <c r="BV49" i="1" s="1"/>
  <c r="BR58" i="1"/>
  <c r="BR59" i="1"/>
  <c r="AG72" i="1"/>
  <c r="AG74" i="1"/>
  <c r="K57" i="9"/>
  <c r="K1033" i="1"/>
  <c r="AW635" i="1"/>
  <c r="BB644" i="1" s="1"/>
  <c r="AW394" i="1"/>
  <c r="AW285" i="1"/>
  <c r="J159" i="11"/>
  <c r="J51" i="11"/>
  <c r="J410" i="11" s="1"/>
  <c r="AL51" i="11"/>
  <c r="AL410" i="11" s="1"/>
  <c r="AL159" i="11"/>
  <c r="BW108" i="9"/>
  <c r="BW109" i="9" s="1"/>
  <c r="BW1006" i="1"/>
  <c r="BW1017" i="1" s="1"/>
  <c r="BW1019" i="1" s="1"/>
  <c r="BR956" i="1"/>
  <c r="AT67" i="9"/>
  <c r="AT942" i="1"/>
  <c r="AT556" i="1"/>
  <c r="AT557" i="1" s="1"/>
  <c r="AT558" i="1" s="1"/>
  <c r="AS110" i="9"/>
  <c r="AJ1039" i="1"/>
  <c r="S75" i="11"/>
  <c r="S86" i="11" s="1"/>
  <c r="S172" i="11" s="1"/>
  <c r="S72" i="11"/>
  <c r="L203" i="11"/>
  <c r="L204" i="11" s="1"/>
  <c r="L205" i="11" s="1"/>
  <c r="L194" i="11"/>
  <c r="AX913" i="1"/>
  <c r="Z507" i="1"/>
  <c r="O103" i="9"/>
  <c r="O104" i="9" s="1"/>
  <c r="BN1040" i="1"/>
  <c r="BJ705" i="1"/>
  <c r="AE67" i="9"/>
  <c r="AE556" i="1"/>
  <c r="AE942" i="1"/>
  <c r="AE1036" i="1"/>
  <c r="AE1043" i="1"/>
  <c r="W705" i="1"/>
  <c r="W913" i="1"/>
  <c r="AD728" i="1"/>
  <c r="AD729" i="1" s="1"/>
  <c r="AD730" i="1" s="1"/>
  <c r="AD731" i="1" s="1"/>
  <c r="AD704" i="1"/>
  <c r="AD707" i="1"/>
  <c r="V185" i="11"/>
  <c r="V169" i="11"/>
  <c r="V176" i="11"/>
  <c r="K203" i="11"/>
  <c r="K194" i="11"/>
  <c r="AA331" i="11"/>
  <c r="AF405" i="11" s="1"/>
  <c r="U721" i="1"/>
  <c r="U722" i="1" s="1"/>
  <c r="AU705" i="1"/>
  <c r="BN724" i="1"/>
  <c r="BN725" i="1" s="1"/>
  <c r="BN726" i="1" s="1"/>
  <c r="BN727" i="1" s="1"/>
  <c r="BN706" i="1"/>
  <c r="AY67" i="9"/>
  <c r="AY942" i="1"/>
  <c r="AY556" i="1"/>
  <c r="AY557" i="1" s="1"/>
  <c r="AY558" i="1" s="1"/>
  <c r="AY75" i="9"/>
  <c r="AU100" i="9"/>
  <c r="Q72" i="11"/>
  <c r="Q75" i="11"/>
  <c r="AL345" i="11"/>
  <c r="BN75" i="9"/>
  <c r="AK51" i="11"/>
  <c r="AK410" i="11" s="1"/>
  <c r="AK159" i="11"/>
  <c r="AC91" i="1"/>
  <c r="AH90" i="1"/>
  <c r="AC113" i="1"/>
  <c r="AC531" i="1" s="1"/>
  <c r="AC90" i="1"/>
  <c r="AL728" i="1"/>
  <c r="AL729" i="1" s="1"/>
  <c r="AL730" i="1" s="1"/>
  <c r="AL731" i="1" s="1"/>
  <c r="AL707" i="1"/>
  <c r="AL704" i="1"/>
  <c r="AM68" i="9"/>
  <c r="F64" i="9"/>
  <c r="F66" i="9" s="1"/>
  <c r="F706" i="1"/>
  <c r="F724" i="1"/>
  <c r="F725" i="1" s="1"/>
  <c r="F726" i="1" s="1"/>
  <c r="F727" i="1" s="1"/>
  <c r="BD1043" i="1"/>
  <c r="AX7" i="9"/>
  <c r="AX1024" i="1"/>
  <c r="AY744" i="1"/>
  <c r="AX744" i="1"/>
  <c r="AX739" i="1"/>
  <c r="AD68" i="11"/>
  <c r="AD70" i="11" s="1"/>
  <c r="AD103" i="11"/>
  <c r="AD109" i="11" s="1"/>
  <c r="AD160" i="11" s="1"/>
  <c r="AX56" i="9"/>
  <c r="AX1035" i="1"/>
  <c r="AX286" i="1"/>
  <c r="BY913" i="1"/>
  <c r="Q103" i="9"/>
  <c r="Q104" i="9" s="1"/>
  <c r="BV704" i="1"/>
  <c r="BV728" i="1"/>
  <c r="BV729" i="1" s="1"/>
  <c r="BV730" i="1" s="1"/>
  <c r="BV731" i="1" s="1"/>
  <c r="BV707" i="1"/>
  <c r="BG109" i="9"/>
  <c r="BD910" i="1"/>
  <c r="BD718" i="1"/>
  <c r="BD73" i="9" s="1"/>
  <c r="M203" i="11"/>
  <c r="M204" i="11" s="1"/>
  <c r="M205" i="11" s="1"/>
  <c r="M194" i="11"/>
  <c r="K417" i="11"/>
  <c r="AB92" i="1"/>
  <c r="BY97" i="1"/>
  <c r="BF395" i="1"/>
  <c r="BF293" i="1"/>
  <c r="BF60" i="9" s="1"/>
  <c r="AH159" i="11"/>
  <c r="AH51" i="11"/>
  <c r="AH410" i="11" s="1"/>
  <c r="V42" i="11"/>
  <c r="Z704" i="1"/>
  <c r="Z707" i="1"/>
  <c r="Z760" i="1" s="1"/>
  <c r="Z728" i="1"/>
  <c r="BL47" i="1"/>
  <c r="BL48" i="1"/>
  <c r="BQ47" i="1"/>
  <c r="AT59" i="1"/>
  <c r="X58" i="1"/>
  <c r="X59" i="1"/>
  <c r="Q103" i="1"/>
  <c r="AE54" i="1"/>
  <c r="AE56" i="1"/>
  <c r="AE57" i="1" s="1"/>
  <c r="AJ58" i="1" s="1"/>
  <c r="BT587" i="1"/>
  <c r="AO72" i="1"/>
  <c r="AO74" i="1"/>
  <c r="E635" i="1"/>
  <c r="E394" i="1"/>
  <c r="E285" i="1"/>
  <c r="AI76" i="1"/>
  <c r="AI77" i="1" s="1"/>
  <c r="AI75" i="1"/>
  <c r="BP56" i="9"/>
  <c r="BP286" i="1"/>
  <c r="BK110" i="9"/>
  <c r="BG293" i="1"/>
  <c r="BG60" i="9" s="1"/>
  <c r="BG395" i="1"/>
  <c r="BM59" i="1"/>
  <c r="BM58" i="1"/>
  <c r="AV103" i="9"/>
  <c r="AV104" i="9" s="1"/>
  <c r="AV105" i="9" s="1"/>
  <c r="BW707" i="1"/>
  <c r="BW728" i="1"/>
  <c r="BW729" i="1" s="1"/>
  <c r="BW730" i="1" s="1"/>
  <c r="BW731" i="1" s="1"/>
  <c r="I176" i="11"/>
  <c r="I185" i="11"/>
  <c r="I169" i="11"/>
  <c r="AF72" i="11"/>
  <c r="AF75" i="11"/>
  <c r="AF86" i="11" s="1"/>
  <c r="AF172" i="11" s="1"/>
  <c r="BZ29" i="9"/>
  <c r="BZ995" i="1"/>
  <c r="BZ875" i="1" s="1"/>
  <c r="BZ962" i="1"/>
  <c r="BZ581" i="1"/>
  <c r="CC370" i="1"/>
  <c r="CC282" i="1" s="1"/>
  <c r="BZ292" i="1"/>
  <c r="BZ59" i="9" s="1"/>
  <c r="BZ1026" i="1"/>
  <c r="BZ282" i="1"/>
  <c r="J651" i="1"/>
  <c r="J652" i="1" s="1"/>
  <c r="J283" i="1"/>
  <c r="S51" i="9"/>
  <c r="S748" i="1"/>
  <c r="S297" i="1"/>
  <c r="R34" i="9"/>
  <c r="R291" i="1"/>
  <c r="AE463" i="1"/>
  <c r="AE467" i="1" s="1"/>
  <c r="AA463" i="1"/>
  <c r="AA467" i="1" s="1"/>
  <c r="Z480" i="1"/>
  <c r="Z490" i="1" s="1"/>
  <c r="AJ47" i="1"/>
  <c r="AJ48" i="1"/>
  <c r="AB103" i="9"/>
  <c r="AB104" i="9" s="1"/>
  <c r="AC913" i="1"/>
  <c r="AB1028" i="1" s="1"/>
  <c r="X95" i="9"/>
  <c r="AA52" i="11"/>
  <c r="AA164" i="11"/>
  <c r="R164" i="11"/>
  <c r="R52" i="11"/>
  <c r="AC203" i="11"/>
  <c r="AC204" i="11" s="1"/>
  <c r="AC205" i="11" s="1"/>
  <c r="AC194" i="11"/>
  <c r="BS395" i="1"/>
  <c r="BS293" i="1"/>
  <c r="BS60" i="9" s="1"/>
  <c r="BK82" i="1"/>
  <c r="BU317" i="1"/>
  <c r="BU320" i="1"/>
  <c r="BU327" i="1" s="1"/>
  <c r="BU415" i="1" s="1"/>
  <c r="BC925" i="1"/>
  <c r="BC400" i="1"/>
  <c r="BM211" i="1"/>
  <c r="BM203" i="1"/>
  <c r="BM204" i="1"/>
  <c r="BM205" i="1"/>
  <c r="U56" i="9"/>
  <c r="U286" i="1"/>
  <c r="BJ317" i="1"/>
  <c r="BJ320" i="1"/>
  <c r="BJ327" i="1" s="1"/>
  <c r="BJ415" i="1" s="1"/>
  <c r="AO415" i="1"/>
  <c r="BR651" i="1"/>
  <c r="BR283" i="1"/>
  <c r="AY103" i="9"/>
  <c r="AY104" i="9" s="1"/>
  <c r="AY105" i="9" s="1"/>
  <c r="BH57" i="9"/>
  <c r="BH1033" i="1"/>
  <c r="AL92" i="1"/>
  <c r="BR49" i="1"/>
  <c r="AF317" i="1"/>
  <c r="AF320" i="1"/>
  <c r="AF327" i="1" s="1"/>
  <c r="AF415" i="1" s="1"/>
  <c r="AN103" i="1"/>
  <c r="BM651" i="1"/>
  <c r="BM283" i="1"/>
  <c r="BO43" i="9"/>
  <c r="BO52" i="9"/>
  <c r="BO411" i="1"/>
  <c r="BO433" i="1"/>
  <c r="BO53" i="9" s="1"/>
  <c r="BO82" i="9" s="1"/>
  <c r="BW590" i="1"/>
  <c r="BW587" i="1"/>
  <c r="BN57" i="9"/>
  <c r="BN1033" i="1"/>
  <c r="BI644" i="1"/>
  <c r="AZ64" i="9"/>
  <c r="AZ66" i="9" s="1"/>
  <c r="AZ724" i="1"/>
  <c r="AZ725" i="1" s="1"/>
  <c r="AZ726" i="1" s="1"/>
  <c r="AZ727" i="1" s="1"/>
  <c r="AZ706" i="1"/>
  <c r="AH395" i="1"/>
  <c r="AH293" i="1"/>
  <c r="AH60" i="9" s="1"/>
  <c r="BU728" i="1"/>
  <c r="BU729" i="1" s="1"/>
  <c r="BU730" i="1" s="1"/>
  <c r="BU731" i="1" s="1"/>
  <c r="BU704" i="1"/>
  <c r="BU707" i="1"/>
  <c r="AA103" i="1"/>
  <c r="O33" i="9"/>
  <c r="O55" i="1"/>
  <c r="O56" i="1" s="1"/>
  <c r="O57" i="1" s="1"/>
  <c r="O378" i="1"/>
  <c r="BQ92" i="1"/>
  <c r="S43" i="9"/>
  <c r="S52" i="9"/>
  <c r="S433" i="1"/>
  <c r="S53" i="9" s="1"/>
  <c r="S82" i="9" s="1"/>
  <c r="S411" i="1"/>
  <c r="BN54" i="1"/>
  <c r="AC56" i="9"/>
  <c r="AC286" i="1"/>
  <c r="AG56" i="9"/>
  <c r="AG286" i="1"/>
  <c r="CB388" i="1"/>
  <c r="CB123" i="1"/>
  <c r="X38" i="9"/>
  <c r="X97" i="9" s="1"/>
  <c r="X294" i="1"/>
  <c r="X61" i="9" s="1"/>
  <c r="X400" i="1"/>
  <c r="AK97" i="1"/>
  <c r="AP97" i="1"/>
  <c r="BB92" i="1"/>
  <c r="AE92" i="1"/>
  <c r="L75" i="1"/>
  <c r="L76" i="1"/>
  <c r="BM97" i="1"/>
  <c r="AF103" i="1"/>
  <c r="AS129" i="9"/>
  <c r="E103" i="9"/>
  <c r="E104" i="9" s="1"/>
  <c r="E105" i="9" s="1"/>
  <c r="H59" i="1"/>
  <c r="I43" i="9"/>
  <c r="I52" i="9"/>
  <c r="I433" i="1"/>
  <c r="I53" i="9" s="1"/>
  <c r="I82" i="9" s="1"/>
  <c r="I411" i="1"/>
  <c r="F395" i="1"/>
  <c r="F293" i="1"/>
  <c r="J66" i="1"/>
  <c r="O67" i="1" s="1"/>
  <c r="O65" i="1"/>
  <c r="J74" i="1"/>
  <c r="BY635" i="1"/>
  <c r="BY394" i="1"/>
  <c r="BY285" i="1"/>
  <c r="D33" i="9"/>
  <c r="D55" i="1"/>
  <c r="D56" i="1" s="1"/>
  <c r="D57" i="1" s="1"/>
  <c r="D378" i="1"/>
  <c r="BM590" i="1"/>
  <c r="BM587" i="1"/>
  <c r="BR103" i="9"/>
  <c r="BR104" i="9" s="1"/>
  <c r="BH35" i="9"/>
  <c r="BH290" i="1"/>
  <c r="BH58" i="9" s="1"/>
  <c r="AP92" i="1"/>
  <c r="I113" i="1"/>
  <c r="I531" i="1" s="1"/>
  <c r="AV48" i="1"/>
  <c r="AV49" i="1" s="1"/>
  <c r="AV47" i="1"/>
  <c r="BN220" i="1"/>
  <c r="BQ214" i="1"/>
  <c r="BP214" i="1"/>
  <c r="BP218" i="1" s="1"/>
  <c r="BO214" i="1"/>
  <c r="I51" i="9"/>
  <c r="I748" i="1"/>
  <c r="I297" i="1"/>
  <c r="L33" i="9"/>
  <c r="L55" i="1"/>
  <c r="L56" i="1" s="1"/>
  <c r="L57" i="1" s="1"/>
  <c r="L378" i="1"/>
  <c r="CI23" i="9"/>
  <c r="CJ22" i="1"/>
  <c r="BE129" i="9"/>
  <c r="BI1040" i="1"/>
  <c r="CE29" i="9"/>
  <c r="CE581" i="1"/>
  <c r="CE282" i="1"/>
  <c r="CE292" i="1"/>
  <c r="CE59" i="9" s="1"/>
  <c r="CE1026" i="1"/>
  <c r="BU67" i="1"/>
  <c r="CA29" i="9"/>
  <c r="CA995" i="1"/>
  <c r="CA875" i="1" s="1"/>
  <c r="CA962" i="1"/>
  <c r="CA581" i="1"/>
  <c r="CB587" i="1" s="1"/>
  <c r="CA1026" i="1"/>
  <c r="CA292" i="1"/>
  <c r="CA59" i="9" s="1"/>
  <c r="AF34" i="9"/>
  <c r="AF291" i="1"/>
  <c r="X57" i="9"/>
  <c r="X1033" i="1"/>
  <c r="X395" i="1"/>
  <c r="X293" i="1"/>
  <c r="X60" i="9" s="1"/>
  <c r="AW58" i="1"/>
  <c r="AW59" i="1"/>
  <c r="BM103" i="9"/>
  <c r="BM104" i="9" s="1"/>
  <c r="AK64" i="9"/>
  <c r="AK66" i="9" s="1"/>
  <c r="AK724" i="1"/>
  <c r="AK725" i="1" s="1"/>
  <c r="AK726" i="1" s="1"/>
  <c r="AK727" i="1" s="1"/>
  <c r="AK706" i="1"/>
  <c r="F226" i="11"/>
  <c r="F227" i="11"/>
  <c r="F229" i="11" s="1"/>
  <c r="F225" i="11"/>
  <c r="AD194" i="11"/>
  <c r="AD203" i="11"/>
  <c r="AD204" i="11" s="1"/>
  <c r="AD205" i="11" s="1"/>
  <c r="BR57" i="9"/>
  <c r="BR1033" i="1"/>
  <c r="S57" i="9"/>
  <c r="S1033" i="1"/>
  <c r="AV635" i="1"/>
  <c r="AV394" i="1"/>
  <c r="AV285" i="1"/>
  <c r="J285" i="1"/>
  <c r="BJ1028" i="1"/>
  <c r="E913" i="1"/>
  <c r="E1028" i="1" s="1"/>
  <c r="Y913" i="1"/>
  <c r="U42" i="11"/>
  <c r="AA203" i="11"/>
  <c r="AA204" i="11" s="1"/>
  <c r="AA205" i="11" s="1"/>
  <c r="AA194" i="11"/>
  <c r="AB57" i="9"/>
  <c r="AB1033" i="1"/>
  <c r="BX877" i="1"/>
  <c r="BX705" i="1" s="1"/>
  <c r="BX703" i="1"/>
  <c r="Z67" i="9"/>
  <c r="Z942" i="1"/>
  <c r="Z556" i="1"/>
  <c r="S164" i="11"/>
  <c r="S52" i="11"/>
  <c r="P418" i="11"/>
  <c r="L331" i="11"/>
  <c r="L405" i="11" s="1"/>
  <c r="Y293" i="1"/>
  <c r="Y60" i="9" s="1"/>
  <c r="Y395" i="1"/>
  <c r="BT99" i="9"/>
  <c r="BT100" i="9" s="1"/>
  <c r="BT1019" i="1"/>
  <c r="BT1030" i="1"/>
  <c r="C410" i="11"/>
  <c r="C42" i="11"/>
  <c r="U69" i="1"/>
  <c r="U385" i="1"/>
  <c r="AY1039" i="1"/>
  <c r="Y843" i="1"/>
  <c r="X844" i="1"/>
  <c r="BN704" i="1"/>
  <c r="BN707" i="1"/>
  <c r="BN760" i="1" s="1"/>
  <c r="BN728" i="1"/>
  <c r="AY1032" i="1"/>
  <c r="AI913" i="1"/>
  <c r="CE1001" i="1"/>
  <c r="CD738" i="1"/>
  <c r="CD9" i="9" s="1"/>
  <c r="L51" i="11"/>
  <c r="L410" i="11" s="1"/>
  <c r="L159" i="11"/>
  <c r="Q52" i="11"/>
  <c r="Q164" i="11"/>
  <c r="O164" i="11"/>
  <c r="O52" i="11"/>
  <c r="AJ417" i="11"/>
  <c r="AH194" i="11"/>
  <c r="AH203" i="11"/>
  <c r="AH204" i="11" s="1"/>
  <c r="AH205" i="11" s="1"/>
  <c r="Y68" i="11"/>
  <c r="Y70" i="11" s="1"/>
  <c r="Y103" i="11"/>
  <c r="Y109" i="11" s="1"/>
  <c r="Y160" i="11" s="1"/>
  <c r="BW100" i="9"/>
  <c r="AP394" i="1"/>
  <c r="BQ100" i="9"/>
  <c r="F728" i="1"/>
  <c r="F704" i="1"/>
  <c r="F707" i="1"/>
  <c r="F760" i="1" s="1"/>
  <c r="BD1036" i="1"/>
  <c r="AG42" i="11"/>
  <c r="AX644" i="1"/>
  <c r="AY877" i="1"/>
  <c r="AY705" i="1" s="1"/>
  <c r="AY703" i="1"/>
  <c r="BR913" i="1"/>
  <c r="BF109" i="9"/>
  <c r="AP109" i="9"/>
  <c r="AA410" i="11"/>
  <c r="AA42" i="11"/>
  <c r="M405" i="11"/>
  <c r="BF56" i="9"/>
  <c r="BF286" i="1"/>
  <c r="V159" i="11"/>
  <c r="V51" i="11"/>
  <c r="V410" i="11" s="1"/>
  <c r="W104" i="9" l="1"/>
  <c r="BM100" i="9"/>
  <c r="N110" i="9"/>
  <c r="AK104" i="9"/>
  <c r="AK105" i="9" s="1"/>
  <c r="T104" i="9"/>
  <c r="Q101" i="9"/>
  <c r="BO100" i="9"/>
  <c r="BO110" i="9" s="1"/>
  <c r="AV101" i="9"/>
  <c r="BL100" i="9"/>
  <c r="AI104" i="9"/>
  <c r="BU100" i="9"/>
  <c r="AW110" i="9"/>
  <c r="AL104" i="9"/>
  <c r="L89" i="9"/>
  <c r="L86" i="9" s="1"/>
  <c r="AE77" i="1"/>
  <c r="AM51" i="9"/>
  <c r="AM129" i="9" s="1"/>
  <c r="AM297" i="1"/>
  <c r="AM748" i="1"/>
  <c r="AH185" i="11"/>
  <c r="AH176" i="11"/>
  <c r="AH169" i="11"/>
  <c r="BI97" i="1"/>
  <c r="AY913" i="1"/>
  <c r="BD92" i="1"/>
  <c r="BG1028" i="1"/>
  <c r="F1028" i="1"/>
  <c r="BC52" i="9"/>
  <c r="BC43" i="9"/>
  <c r="BC411" i="1"/>
  <c r="BC433" i="1"/>
  <c r="BC53" i="9" s="1"/>
  <c r="BC82" i="9" s="1"/>
  <c r="D176" i="11"/>
  <c r="D169" i="11"/>
  <c r="D185" i="11"/>
  <c r="BK297" i="1"/>
  <c r="BK51" i="9"/>
  <c r="BK129" i="9" s="1"/>
  <c r="BK748" i="1"/>
  <c r="AN67" i="1"/>
  <c r="BW724" i="1"/>
  <c r="BW725" i="1" s="1"/>
  <c r="BW726" i="1" s="1"/>
  <c r="BW727" i="1" s="1"/>
  <c r="CE103" i="1"/>
  <c r="BF1028" i="1"/>
  <c r="Q1028" i="1"/>
  <c r="BC1035" i="1"/>
  <c r="AN97" i="1"/>
  <c r="T82" i="1"/>
  <c r="BQ62" i="1"/>
  <c r="AH405" i="11"/>
  <c r="AU52" i="9"/>
  <c r="AU411" i="1"/>
  <c r="AU433" i="1"/>
  <c r="AU53" i="9" s="1"/>
  <c r="AU82" i="9" s="1"/>
  <c r="AU43" i="9"/>
  <c r="M180" i="11"/>
  <c r="M168" i="11"/>
  <c r="BK52" i="9"/>
  <c r="BK411" i="1"/>
  <c r="BK433" i="1"/>
  <c r="BK53" i="9" s="1"/>
  <c r="BK82" i="9" s="1"/>
  <c r="BK43" i="9"/>
  <c r="AT103" i="1"/>
  <c r="BD47" i="1"/>
  <c r="CB962" i="1"/>
  <c r="CC962" i="1" s="1"/>
  <c r="Q1033" i="1"/>
  <c r="AK405" i="11"/>
  <c r="Y1028" i="1"/>
  <c r="BW64" i="9"/>
  <c r="BW66" i="9" s="1"/>
  <c r="BY89" i="9" s="1"/>
  <c r="BY86" i="9" s="1"/>
  <c r="K169" i="11"/>
  <c r="BL77" i="1"/>
  <c r="O1028" i="1"/>
  <c r="P412" i="11"/>
  <c r="Q405" i="11"/>
  <c r="BA117" i="9"/>
  <c r="Z113" i="1"/>
  <c r="Z531" i="1" s="1"/>
  <c r="Z76" i="1"/>
  <c r="AT1034" i="1"/>
  <c r="BW706" i="1"/>
  <c r="BF98" i="9"/>
  <c r="BF105" i="9" s="1"/>
  <c r="BS105" i="9"/>
  <c r="BV100" i="9"/>
  <c r="BP49" i="1"/>
  <c r="BG1035" i="1"/>
  <c r="K176" i="11"/>
  <c r="AM62" i="1"/>
  <c r="AS62" i="1"/>
  <c r="AA49" i="1"/>
  <c r="CB875" i="1"/>
  <c r="U101" i="9"/>
  <c r="AM104" i="9"/>
  <c r="AA62" i="1"/>
  <c r="U62" i="1"/>
  <c r="Q113" i="1"/>
  <c r="Q531" i="1" s="1"/>
  <c r="V75" i="1"/>
  <c r="BK1028" i="1"/>
  <c r="CE773" i="1"/>
  <c r="CE10" i="9" s="1"/>
  <c r="CF1016" i="1"/>
  <c r="AL433" i="1"/>
  <c r="AL53" i="9" s="1"/>
  <c r="AL82" i="9" s="1"/>
  <c r="AL52" i="9"/>
  <c r="AL411" i="1"/>
  <c r="AL43" i="9"/>
  <c r="AM43" i="9"/>
  <c r="AM52" i="9"/>
  <c r="AM411" i="1"/>
  <c r="AM433" i="1"/>
  <c r="AM53" i="9" s="1"/>
  <c r="AM82" i="9" s="1"/>
  <c r="AN220" i="1"/>
  <c r="AP220" i="1"/>
  <c r="BG105" i="9"/>
  <c r="AJ49" i="1"/>
  <c r="AI169" i="11"/>
  <c r="AI176" i="11"/>
  <c r="AI185" i="11"/>
  <c r="AG1035" i="1"/>
  <c r="BP1035" i="1"/>
  <c r="W1028" i="1"/>
  <c r="AE913" i="1"/>
  <c r="AE1028" i="1" s="1"/>
  <c r="T103" i="1"/>
  <c r="CC1170" i="1"/>
  <c r="CC951" i="1"/>
  <c r="CC956" i="1" s="1"/>
  <c r="BL1028" i="1"/>
  <c r="AM117" i="9"/>
  <c r="S1028" i="1"/>
  <c r="F768" i="1"/>
  <c r="N768" i="1"/>
  <c r="V768" i="1"/>
  <c r="AD768" i="1"/>
  <c r="AL768" i="1"/>
  <c r="AT768" i="1"/>
  <c r="BB768" i="1"/>
  <c r="BJ768" i="1"/>
  <c r="BR768" i="1"/>
  <c r="BZ768" i="1"/>
  <c r="G768" i="1"/>
  <c r="W768" i="1"/>
  <c r="AE768" i="1"/>
  <c r="AM768" i="1"/>
  <c r="AU768" i="1"/>
  <c r="BC768" i="1"/>
  <c r="BK768" i="1"/>
  <c r="BS768" i="1"/>
  <c r="P768" i="1"/>
  <c r="X768" i="1"/>
  <c r="AN768" i="1"/>
  <c r="AV768" i="1"/>
  <c r="BD768" i="1"/>
  <c r="BL768" i="1"/>
  <c r="CB768" i="1"/>
  <c r="I768" i="1"/>
  <c r="Q768" i="1"/>
  <c r="Y768" i="1"/>
  <c r="AG768" i="1"/>
  <c r="AO768" i="1"/>
  <c r="AW768" i="1"/>
  <c r="BE768" i="1"/>
  <c r="BM768" i="1"/>
  <c r="BU768" i="1"/>
  <c r="CC768" i="1"/>
  <c r="CC448" i="1" s="1"/>
  <c r="J768" i="1"/>
  <c r="R768" i="1"/>
  <c r="Z768" i="1"/>
  <c r="AH768" i="1"/>
  <c r="AP768" i="1"/>
  <c r="AX768" i="1"/>
  <c r="BF768" i="1"/>
  <c r="BN768" i="1"/>
  <c r="K768" i="1"/>
  <c r="S768" i="1"/>
  <c r="AA768" i="1"/>
  <c r="AI768" i="1"/>
  <c r="AQ768" i="1"/>
  <c r="AY768" i="1"/>
  <c r="BO768" i="1"/>
  <c r="BW768" i="1"/>
  <c r="D768" i="1"/>
  <c r="L768" i="1"/>
  <c r="T768" i="1"/>
  <c r="AB768" i="1"/>
  <c r="AJ768" i="1"/>
  <c r="AR768" i="1"/>
  <c r="AZ768" i="1"/>
  <c r="BH768" i="1"/>
  <c r="BP768" i="1"/>
  <c r="BX768" i="1"/>
  <c r="BI768" i="1"/>
  <c r="E768" i="1"/>
  <c r="BQ768" i="1"/>
  <c r="H768" i="1"/>
  <c r="BT768" i="1"/>
  <c r="M768" i="1"/>
  <c r="BY768" i="1"/>
  <c r="BA768" i="1"/>
  <c r="U768" i="1"/>
  <c r="AS768" i="1"/>
  <c r="AC768" i="1"/>
  <c r="AF768" i="1"/>
  <c r="AK768" i="1"/>
  <c r="CF4" i="9"/>
  <c r="BV768" i="1"/>
  <c r="O768" i="1"/>
  <c r="CA768" i="1"/>
  <c r="BG768" i="1"/>
  <c r="AD92" i="1"/>
  <c r="BE62" i="1"/>
  <c r="M62" i="1"/>
  <c r="AR49" i="1"/>
  <c r="BD101" i="9"/>
  <c r="AN82" i="1"/>
  <c r="AT82" i="1"/>
  <c r="AP62" i="1"/>
  <c r="AH62" i="1"/>
  <c r="AR62" i="1"/>
  <c r="AP98" i="9"/>
  <c r="AP101" i="9" s="1"/>
  <c r="S62" i="1"/>
  <c r="AK49" i="1"/>
  <c r="BN92" i="1"/>
  <c r="N98" i="9"/>
  <c r="N101" i="9" s="1"/>
  <c r="M98" i="9"/>
  <c r="M105" i="9" s="1"/>
  <c r="BF62" i="1"/>
  <c r="J105" i="9"/>
  <c r="AT97" i="1"/>
  <c r="BP62" i="1"/>
  <c r="AL62" i="1"/>
  <c r="AF98" i="9"/>
  <c r="AF101" i="9" s="1"/>
  <c r="BM62" i="1"/>
  <c r="AW98" i="9"/>
  <c r="AW101" i="9" s="1"/>
  <c r="AA98" i="9"/>
  <c r="F62" i="1"/>
  <c r="BT62" i="1"/>
  <c r="BP89" i="9"/>
  <c r="BP86" i="9" s="1"/>
  <c r="F215" i="11"/>
  <c r="F216" i="11" s="1"/>
  <c r="AB59" i="1"/>
  <c r="AG62" i="1" s="1"/>
  <c r="AB58" i="1"/>
  <c r="AG58" i="1"/>
  <c r="L58" i="1"/>
  <c r="L59" i="1"/>
  <c r="Q62" i="1" s="1"/>
  <c r="Q58" i="1"/>
  <c r="O59" i="1"/>
  <c r="O62" i="1" s="1"/>
  <c r="O58" i="1"/>
  <c r="E216" i="11"/>
  <c r="E217" i="11" s="1"/>
  <c r="E220" i="11" s="1"/>
  <c r="E221" i="11"/>
  <c r="D58" i="1"/>
  <c r="D59" i="1"/>
  <c r="D62" i="1" s="1"/>
  <c r="E58" i="1"/>
  <c r="AX641" i="1"/>
  <c r="BQ110" i="9"/>
  <c r="AF57" i="9"/>
  <c r="AF1033" i="1"/>
  <c r="CE590" i="1"/>
  <c r="CE582" i="1"/>
  <c r="F37" i="9"/>
  <c r="F105" i="1"/>
  <c r="F106" i="1" s="1"/>
  <c r="F418" i="1"/>
  <c r="Y98" i="9"/>
  <c r="Y105" i="9" s="1"/>
  <c r="S41" i="9"/>
  <c r="S106" i="9" s="1"/>
  <c r="S410" i="1"/>
  <c r="S426" i="1"/>
  <c r="BO41" i="9"/>
  <c r="BO106" i="9" s="1"/>
  <c r="BO410" i="1"/>
  <c r="BO426" i="1"/>
  <c r="BJ43" i="9"/>
  <c r="BJ52" i="9"/>
  <c r="BJ411" i="1"/>
  <c r="BJ433" i="1"/>
  <c r="BJ53" i="9" s="1"/>
  <c r="BJ82" i="9" s="1"/>
  <c r="AF185" i="11"/>
  <c r="AF176" i="11"/>
  <c r="AF169" i="11"/>
  <c r="BG37" i="9"/>
  <c r="BG105" i="1"/>
  <c r="BG106" i="1" s="1"/>
  <c r="BG418" i="1"/>
  <c r="X62" i="1"/>
  <c r="BN89" i="9"/>
  <c r="BN86" i="9" s="1"/>
  <c r="BN68" i="9"/>
  <c r="K204" i="11"/>
  <c r="K205" i="11" s="1"/>
  <c r="Y97" i="1"/>
  <c r="AW105" i="9"/>
  <c r="BW38" i="9"/>
  <c r="BW97" i="9" s="1"/>
  <c r="BW98" i="9" s="1"/>
  <c r="BW101" i="9" s="1"/>
  <c r="BW400" i="1"/>
  <c r="BW294" i="1"/>
  <c r="BW61" i="9" s="1"/>
  <c r="BD707" i="1"/>
  <c r="BD760" i="1" s="1"/>
  <c r="BD728" i="1"/>
  <c r="BD704" i="1"/>
  <c r="AC178" i="11"/>
  <c r="AC184" i="11" s="1"/>
  <c r="AC183" i="11"/>
  <c r="AC402" i="11"/>
  <c r="AC403" i="11"/>
  <c r="G1028" i="1"/>
  <c r="C130" i="9"/>
  <c r="C92" i="9"/>
  <c r="C93" i="9" s="1"/>
  <c r="C96" i="9" s="1"/>
  <c r="BD60" i="9"/>
  <c r="BD1035" i="1"/>
  <c r="H92" i="9"/>
  <c r="H130" i="9"/>
  <c r="P1035" i="1"/>
  <c r="AS49" i="1"/>
  <c r="CH36" i="9"/>
  <c r="U91" i="1"/>
  <c r="U90" i="1"/>
  <c r="Z90" i="1"/>
  <c r="BH1028" i="1"/>
  <c r="AS704" i="1"/>
  <c r="AS707" i="1"/>
  <c r="AS728" i="1"/>
  <c r="AS729" i="1" s="1"/>
  <c r="AS730" i="1" s="1"/>
  <c r="AS731" i="1" s="1"/>
  <c r="BW56" i="9"/>
  <c r="BW286" i="1"/>
  <c r="H70" i="9"/>
  <c r="H76" i="9" s="1"/>
  <c r="H132" i="9" s="1"/>
  <c r="BA98" i="9"/>
  <c r="BC98" i="9"/>
  <c r="BE98" i="9"/>
  <c r="BE105" i="9" s="1"/>
  <c r="Q77" i="1"/>
  <c r="D204" i="11"/>
  <c r="D205" i="11" s="1"/>
  <c r="CA376" i="1"/>
  <c r="CA121" i="1"/>
  <c r="AN92" i="1"/>
  <c r="AY43" i="9"/>
  <c r="AY52" i="9"/>
  <c r="AY1038" i="1"/>
  <c r="AY433" i="1"/>
  <c r="AY411" i="1"/>
  <c r="BU49" i="1"/>
  <c r="N41" i="9"/>
  <c r="N106" i="9" s="1"/>
  <c r="N426" i="1"/>
  <c r="N410" i="1"/>
  <c r="BX58" i="1"/>
  <c r="BX59" i="1"/>
  <c r="BX62" i="1" s="1"/>
  <c r="J283" i="11"/>
  <c r="I284" i="11"/>
  <c r="BG101" i="9"/>
  <c r="BG110" i="9"/>
  <c r="BS913" i="1"/>
  <c r="BO1028" i="1"/>
  <c r="CI22" i="9"/>
  <c r="CJ11" i="1"/>
  <c r="AS40" i="9"/>
  <c r="AS409" i="1"/>
  <c r="AS420" i="1" s="1"/>
  <c r="BB98" i="9"/>
  <c r="AA707" i="1"/>
  <c r="AA728" i="1"/>
  <c r="AA729" i="1" s="1"/>
  <c r="AA730" i="1" s="1"/>
  <c r="AA731" i="1" s="1"/>
  <c r="AA704" i="1"/>
  <c r="G76" i="1"/>
  <c r="G113" i="1"/>
  <c r="G531" i="1" s="1"/>
  <c r="L70" i="9"/>
  <c r="L76" i="9" s="1"/>
  <c r="L132" i="9" s="1"/>
  <c r="BR89" i="9"/>
  <c r="BR86" i="9" s="1"/>
  <c r="BR68" i="9"/>
  <c r="C180" i="11"/>
  <c r="C168" i="11"/>
  <c r="O51" i="9"/>
  <c r="O748" i="1"/>
  <c r="O297" i="1"/>
  <c r="Y159" i="11"/>
  <c r="Y51" i="11"/>
  <c r="Y410" i="11" s="1"/>
  <c r="BI51" i="9"/>
  <c r="BI748" i="1"/>
  <c r="BI297" i="1"/>
  <c r="BP43" i="9"/>
  <c r="BP52" i="9"/>
  <c r="BP411" i="1"/>
  <c r="BP433" i="1"/>
  <c r="BP53" i="9" s="1"/>
  <c r="BP82" i="9" s="1"/>
  <c r="BS67" i="1"/>
  <c r="AI98" i="9"/>
  <c r="AI101" i="9" s="1"/>
  <c r="AL98" i="9"/>
  <c r="AL101" i="9" s="1"/>
  <c r="AL178" i="11"/>
  <c r="AL184" i="11" s="1"/>
  <c r="AL183" i="11"/>
  <c r="AL402" i="11"/>
  <c r="AL403" i="11"/>
  <c r="AZ395" i="1"/>
  <c r="AZ293" i="1"/>
  <c r="AZ60" i="9" s="1"/>
  <c r="AU62" i="1"/>
  <c r="Z204" i="11"/>
  <c r="Z205" i="11" s="1"/>
  <c r="CE91" i="1"/>
  <c r="CE89" i="1" s="1"/>
  <c r="BZ89" i="1"/>
  <c r="G402" i="11"/>
  <c r="G178" i="11"/>
  <c r="G184" i="11" s="1"/>
  <c r="G183" i="11"/>
  <c r="G403" i="11"/>
  <c r="J75" i="11"/>
  <c r="J72" i="11"/>
  <c r="BL117" i="9"/>
  <c r="BG68" i="9"/>
  <c r="BT707" i="1"/>
  <c r="BT728" i="1"/>
  <c r="BT729" i="1" s="1"/>
  <c r="BT730" i="1" s="1"/>
  <c r="BT731" i="1" s="1"/>
  <c r="BT704" i="1"/>
  <c r="BA395" i="1"/>
  <c r="BA293" i="1"/>
  <c r="BA60" i="9" s="1"/>
  <c r="AV62" i="1"/>
  <c r="L5" i="13"/>
  <c r="L2" i="9"/>
  <c r="M5" i="1"/>
  <c r="AH1035" i="1"/>
  <c r="CF102" i="1"/>
  <c r="CF103" i="1" s="1"/>
  <c r="CF51" i="1"/>
  <c r="CF69" i="1"/>
  <c r="CF74" i="1"/>
  <c r="CF86" i="1"/>
  <c r="CF84" i="1"/>
  <c r="CF53" i="1"/>
  <c r="CF71" i="1"/>
  <c r="CF96" i="1"/>
  <c r="CF97" i="1" s="1"/>
  <c r="R117" i="9"/>
  <c r="M68" i="9"/>
  <c r="M89" i="9"/>
  <c r="M86" i="9" s="1"/>
  <c r="AO293" i="1"/>
  <c r="AO60" i="9" s="1"/>
  <c r="AO395" i="1"/>
  <c r="BI59" i="1"/>
  <c r="BI62" i="1" s="1"/>
  <c r="BI58" i="1"/>
  <c r="D333" i="11"/>
  <c r="D334" i="11" s="1"/>
  <c r="C408" i="11"/>
  <c r="C336" i="11"/>
  <c r="AC105" i="9"/>
  <c r="BC64" i="9"/>
  <c r="BC66" i="9" s="1"/>
  <c r="BG89" i="9" s="1"/>
  <c r="BG86" i="9" s="1"/>
  <c r="BC706" i="1"/>
  <c r="BC724" i="1"/>
  <c r="BC725" i="1" s="1"/>
  <c r="BC726" i="1" s="1"/>
  <c r="BC727" i="1" s="1"/>
  <c r="Y1035" i="1"/>
  <c r="V110" i="9"/>
  <c r="BU644" i="1"/>
  <c r="BU641" i="1"/>
  <c r="B3" i="13"/>
  <c r="CD770" i="1"/>
  <c r="CD767" i="1"/>
  <c r="CD442" i="1" s="1"/>
  <c r="CH770" i="1"/>
  <c r="CH767" i="1"/>
  <c r="CH442" i="1" s="1"/>
  <c r="CG770" i="1"/>
  <c r="CG767" i="1"/>
  <c r="CG442" i="1" s="1"/>
  <c r="CE770" i="1"/>
  <c r="CE767" i="1"/>
  <c r="CE442" i="1" s="1"/>
  <c r="CC770" i="1"/>
  <c r="CC767" i="1"/>
  <c r="CC442" i="1" s="1"/>
  <c r="CF770" i="1"/>
  <c r="CA767" i="1"/>
  <c r="CA442" i="1" s="1"/>
  <c r="BZ767" i="1"/>
  <c r="BZ442" i="1" s="1"/>
  <c r="CA770" i="1"/>
  <c r="BZ770" i="1"/>
  <c r="CK767" i="1"/>
  <c r="CK442" i="1" s="1"/>
  <c r="CJ770" i="1"/>
  <c r="CI770" i="1"/>
  <c r="CJ767" i="1"/>
  <c r="CJ442" i="1" s="1"/>
  <c r="CI767" i="1"/>
  <c r="CI442" i="1" s="1"/>
  <c r="CF767" i="1"/>
  <c r="CF442" i="1" s="1"/>
  <c r="CK770" i="1"/>
  <c r="CB767" i="1"/>
  <c r="CB442" i="1" s="1"/>
  <c r="CB770" i="1"/>
  <c r="AN37" i="9"/>
  <c r="AN105" i="1"/>
  <c r="AN106" i="1" s="1"/>
  <c r="AN418" i="1"/>
  <c r="BG41" i="9"/>
  <c r="BG106" i="9" s="1"/>
  <c r="BG410" i="1"/>
  <c r="BG426" i="1"/>
  <c r="BW293" i="1"/>
  <c r="BW60" i="9" s="1"/>
  <c r="BW395" i="1"/>
  <c r="CJ25" i="9"/>
  <c r="CK30" i="1"/>
  <c r="CK25" i="9" s="1"/>
  <c r="AA105" i="9"/>
  <c r="C228" i="11"/>
  <c r="C215" i="11" s="1"/>
  <c r="AM641" i="1"/>
  <c r="AM644" i="1"/>
  <c r="CA59" i="1"/>
  <c r="BV62" i="1"/>
  <c r="AM98" i="9"/>
  <c r="AM101" i="9" s="1"/>
  <c r="R62" i="1"/>
  <c r="AZ62" i="1"/>
  <c r="AP293" i="1"/>
  <c r="AP395" i="1"/>
  <c r="Z843" i="1"/>
  <c r="Z844" i="1" s="1"/>
  <c r="AA843" i="1" s="1"/>
  <c r="Y844" i="1"/>
  <c r="AW62" i="1"/>
  <c r="CJ23" i="9"/>
  <c r="CK22" i="1"/>
  <c r="CK23" i="9" s="1"/>
  <c r="I129" i="9"/>
  <c r="BY56" i="9"/>
  <c r="BY1035" i="1"/>
  <c r="BY286" i="1"/>
  <c r="I41" i="9"/>
  <c r="I106" i="9" s="1"/>
  <c r="I410" i="1"/>
  <c r="I426" i="1"/>
  <c r="S129" i="9"/>
  <c r="CC29" i="9"/>
  <c r="CC581" i="1"/>
  <c r="AO76" i="1"/>
  <c r="AO75" i="1"/>
  <c r="AT75" i="1"/>
  <c r="AO113" i="1"/>
  <c r="AO531" i="1" s="1"/>
  <c r="AO532" i="1" s="1"/>
  <c r="AO533" i="1" s="1"/>
  <c r="Z729" i="1"/>
  <c r="Z730" i="1" s="1"/>
  <c r="Z731" i="1" s="1"/>
  <c r="BF37" i="9"/>
  <c r="BF105" i="1"/>
  <c r="BF106" i="1" s="1"/>
  <c r="BF418" i="1"/>
  <c r="AU110" i="9"/>
  <c r="AU101" i="9"/>
  <c r="AU707" i="1"/>
  <c r="AU704" i="1"/>
  <c r="AU728" i="1"/>
  <c r="AU729" i="1" s="1"/>
  <c r="AU730" i="1" s="1"/>
  <c r="AU731" i="1" s="1"/>
  <c r="V183" i="11"/>
  <c r="V178" i="11"/>
  <c r="V184" i="11" s="1"/>
  <c r="V402" i="11"/>
  <c r="V403" i="11"/>
  <c r="W707" i="1"/>
  <c r="W704" i="1"/>
  <c r="W728" i="1"/>
  <c r="W729" i="1" s="1"/>
  <c r="W730" i="1" s="1"/>
  <c r="W731" i="1" s="1"/>
  <c r="BR62" i="1"/>
  <c r="AB98" i="9"/>
  <c r="CC26" i="9"/>
  <c r="CC38" i="1"/>
  <c r="CC19" i="9" s="1"/>
  <c r="CC44" i="1"/>
  <c r="BY57" i="1"/>
  <c r="BL51" i="9"/>
  <c r="BL748" i="1"/>
  <c r="BL297" i="1"/>
  <c r="BI37" i="9"/>
  <c r="BI105" i="1"/>
  <c r="BI106" i="1" s="1"/>
  <c r="BI418" i="1"/>
  <c r="AU77" i="1"/>
  <c r="AA185" i="11"/>
  <c r="AA176" i="11"/>
  <c r="AA169" i="11"/>
  <c r="AW52" i="9"/>
  <c r="AW43" i="9"/>
  <c r="AW433" i="1"/>
  <c r="AW53" i="9" s="1"/>
  <c r="AW82" i="9" s="1"/>
  <c r="AW411" i="1"/>
  <c r="V497" i="1"/>
  <c r="V492" i="1"/>
  <c r="BX43" i="9"/>
  <c r="BX52" i="9"/>
  <c r="BX433" i="1"/>
  <c r="BX411" i="1"/>
  <c r="BS1035" i="1"/>
  <c r="N185" i="11"/>
  <c r="N169" i="11"/>
  <c r="N176" i="11"/>
  <c r="L180" i="11"/>
  <c r="L168" i="11"/>
  <c r="AL110" i="9"/>
  <c r="AB117" i="9"/>
  <c r="W89" i="9"/>
  <c r="W86" i="9" s="1"/>
  <c r="W68" i="9"/>
  <c r="H3" i="11"/>
  <c r="H449" i="11" s="1"/>
  <c r="I4" i="11"/>
  <c r="CE376" i="1"/>
  <c r="CE121" i="1"/>
  <c r="W129" i="9"/>
  <c r="P1034" i="1"/>
  <c r="Q129" i="9"/>
  <c r="AO67" i="1"/>
  <c r="AT67" i="1"/>
  <c r="BN82" i="1"/>
  <c r="BS82" i="1"/>
  <c r="Z117" i="9"/>
  <c r="U68" i="9"/>
  <c r="U89" i="9"/>
  <c r="U86" i="9" s="1"/>
  <c r="AW51" i="9"/>
  <c r="AW748" i="1"/>
  <c r="AW297" i="1"/>
  <c r="AL56" i="9"/>
  <c r="AL1035" i="1"/>
  <c r="AL286" i="1"/>
  <c r="Y129" i="9"/>
  <c r="W110" i="9"/>
  <c r="AB635" i="1"/>
  <c r="AB394" i="1"/>
  <c r="AB285" i="1"/>
  <c r="X117" i="9"/>
  <c r="S68" i="9"/>
  <c r="S89" i="9"/>
  <c r="S86" i="9" s="1"/>
  <c r="P117" i="9"/>
  <c r="K89" i="9"/>
  <c r="K86" i="9" s="1"/>
  <c r="K68" i="9"/>
  <c r="J194" i="11"/>
  <c r="J203" i="11"/>
  <c r="J204" i="11" s="1"/>
  <c r="J205" i="11" s="1"/>
  <c r="CA388" i="1"/>
  <c r="CA123" i="1"/>
  <c r="CA387" i="1"/>
  <c r="CA128" i="1"/>
  <c r="P130" i="9"/>
  <c r="P92" i="9"/>
  <c r="P93" i="9" s="1"/>
  <c r="P96" i="9" s="1"/>
  <c r="AY1034" i="1"/>
  <c r="BG49" i="1"/>
  <c r="BK37" i="9"/>
  <c r="BK105" i="1"/>
  <c r="BK106" i="1" s="1"/>
  <c r="BK418" i="1"/>
  <c r="AY1035" i="1"/>
  <c r="AE130" i="9"/>
  <c r="AE92" i="9"/>
  <c r="AE93" i="9" s="1"/>
  <c r="AE96" i="9" s="1"/>
  <c r="G57" i="9"/>
  <c r="G1033" i="1"/>
  <c r="N130" i="9"/>
  <c r="N92" i="9"/>
  <c r="BT1028" i="1"/>
  <c r="BX913" i="1"/>
  <c r="BZ74" i="1"/>
  <c r="R1028" i="1"/>
  <c r="O89" i="9"/>
  <c r="O86" i="9" s="1"/>
  <c r="T117" i="9"/>
  <c r="O68" i="9"/>
  <c r="AJ704" i="1"/>
  <c r="AJ707" i="1"/>
  <c r="AJ760" i="1" s="1"/>
  <c r="AJ728" i="1"/>
  <c r="W185" i="11"/>
  <c r="W169" i="11"/>
  <c r="W176" i="11"/>
  <c r="AA1028" i="1"/>
  <c r="AG41" i="9"/>
  <c r="AG106" i="9" s="1"/>
  <c r="AG426" i="1"/>
  <c r="AG410" i="1"/>
  <c r="BO1035" i="1"/>
  <c r="BE130" i="9"/>
  <c r="BE92" i="9"/>
  <c r="AA51" i="9"/>
  <c r="AA748" i="1"/>
  <c r="AA297" i="1"/>
  <c r="AR98" i="9"/>
  <c r="AR101" i="9" s="1"/>
  <c r="AA37" i="9"/>
  <c r="AA105" i="1"/>
  <c r="AA106" i="1" s="1"/>
  <c r="AA418" i="1"/>
  <c r="C183" i="11"/>
  <c r="C402" i="11"/>
  <c r="C178" i="11"/>
  <c r="C184" i="11" s="1"/>
  <c r="C403" i="11"/>
  <c r="AN57" i="9"/>
  <c r="AN1033" i="1"/>
  <c r="AE185" i="11"/>
  <c r="AE176" i="11"/>
  <c r="AE169" i="11"/>
  <c r="BT56" i="9"/>
  <c r="BT1035" i="1"/>
  <c r="BT286" i="1"/>
  <c r="BR109" i="9"/>
  <c r="BR110" i="9" s="1"/>
  <c r="BU109" i="9"/>
  <c r="BV109" i="9"/>
  <c r="BV110" i="9" s="1"/>
  <c r="BT109" i="9"/>
  <c r="BT110" i="9" s="1"/>
  <c r="AN105" i="9"/>
  <c r="AH77" i="1"/>
  <c r="AL180" i="11"/>
  <c r="AL168" i="11"/>
  <c r="AZ641" i="1"/>
  <c r="AZ644" i="1"/>
  <c r="AG98" i="9"/>
  <c r="AG101" i="9" s="1"/>
  <c r="J164" i="11"/>
  <c r="J52" i="11"/>
  <c r="BA641" i="1"/>
  <c r="BA644" i="1"/>
  <c r="CC36" i="9"/>
  <c r="CC292" i="1"/>
  <c r="CC59" i="9" s="1"/>
  <c r="BJ56" i="9"/>
  <c r="BJ286" i="1"/>
  <c r="CF29" i="9"/>
  <c r="CF581" i="1"/>
  <c r="CF282" i="1"/>
  <c r="CF292" i="1"/>
  <c r="CF59" i="9" s="1"/>
  <c r="CF1026" i="1"/>
  <c r="AV77" i="1"/>
  <c r="BA77" i="1"/>
  <c r="AO644" i="1"/>
  <c r="AX109" i="9"/>
  <c r="AZ109" i="9"/>
  <c r="J89" i="9"/>
  <c r="J86" i="9" s="1"/>
  <c r="J68" i="9"/>
  <c r="O117" i="9"/>
  <c r="AP51" i="9"/>
  <c r="AP297" i="1"/>
  <c r="AP748" i="1"/>
  <c r="AZ218" i="1"/>
  <c r="BD214" i="1"/>
  <c r="BD218" i="1" s="1"/>
  <c r="BA214" i="1"/>
  <c r="AI1035" i="1"/>
  <c r="BC707" i="1"/>
  <c r="BC728" i="1"/>
  <c r="BC729" i="1" s="1"/>
  <c r="BC730" i="1" s="1"/>
  <c r="BC731" i="1" s="1"/>
  <c r="BC704" i="1"/>
  <c r="T110" i="9"/>
  <c r="AP110" i="9"/>
  <c r="AK704" i="1"/>
  <c r="AK707" i="1"/>
  <c r="AK728" i="1"/>
  <c r="AK729" i="1" s="1"/>
  <c r="AK730" i="1" s="1"/>
  <c r="AK731" i="1" s="1"/>
  <c r="BU293" i="1"/>
  <c r="BU60" i="9" s="1"/>
  <c r="BU395" i="1"/>
  <c r="BC37" i="9"/>
  <c r="BC105" i="1"/>
  <c r="BC106" i="1" s="1"/>
  <c r="BC418" i="1"/>
  <c r="AX98" i="9"/>
  <c r="U117" i="9"/>
  <c r="AJ913" i="1"/>
  <c r="AJ1028" i="1" s="1"/>
  <c r="S1035" i="1"/>
  <c r="BW644" i="1"/>
  <c r="BW641" i="1"/>
  <c r="BU51" i="9"/>
  <c r="BU748" i="1"/>
  <c r="BU297" i="1"/>
  <c r="AY58" i="1"/>
  <c r="AY59" i="1"/>
  <c r="AY62" i="1" s="1"/>
  <c r="BB62" i="1"/>
  <c r="D915" i="1"/>
  <c r="D916" i="1" s="1"/>
  <c r="C1031" i="1"/>
  <c r="C921" i="1"/>
  <c r="AO57" i="9"/>
  <c r="AO1033" i="1"/>
  <c r="W405" i="11"/>
  <c r="AF37" i="9"/>
  <c r="AF105" i="1"/>
  <c r="AF106" i="1" s="1"/>
  <c r="AF418" i="1"/>
  <c r="AX62" i="1"/>
  <c r="AB405" i="11"/>
  <c r="BW110" i="9"/>
  <c r="CF1001" i="1"/>
  <c r="CE738" i="1"/>
  <c r="CE9" i="9" s="1"/>
  <c r="BN913" i="1"/>
  <c r="BN1028" i="1" s="1"/>
  <c r="BS214" i="1"/>
  <c r="BS218" i="1" s="1"/>
  <c r="BO218" i="1"/>
  <c r="BO220" i="1" s="1"/>
  <c r="AD67" i="1"/>
  <c r="BY395" i="1"/>
  <c r="BY293" i="1"/>
  <c r="BY60" i="9" s="1"/>
  <c r="AH37" i="9"/>
  <c r="AH105" i="1"/>
  <c r="AH106" i="1" s="1"/>
  <c r="AH418" i="1"/>
  <c r="BO92" i="9"/>
  <c r="BO130" i="9"/>
  <c r="AF52" i="9"/>
  <c r="AF43" i="9"/>
  <c r="AF433" i="1"/>
  <c r="AF53" i="9" s="1"/>
  <c r="AF82" i="9" s="1"/>
  <c r="AF411" i="1"/>
  <c r="BC51" i="9"/>
  <c r="BC748" i="1"/>
  <c r="BC297" i="1"/>
  <c r="BS37" i="9"/>
  <c r="BS105" i="1"/>
  <c r="BS106" i="1" s="1"/>
  <c r="BS418" i="1"/>
  <c r="Z497" i="1"/>
  <c r="Z492" i="1"/>
  <c r="AD164" i="11"/>
  <c r="AD52" i="11"/>
  <c r="AY1040" i="1"/>
  <c r="V180" i="11"/>
  <c r="V168" i="11"/>
  <c r="AW56" i="9"/>
  <c r="AW286" i="1"/>
  <c r="AP49" i="1"/>
  <c r="CC1026" i="1"/>
  <c r="N56" i="9"/>
  <c r="N286" i="1"/>
  <c r="BJ51" i="9"/>
  <c r="BJ748" i="1"/>
  <c r="BJ297" i="1"/>
  <c r="L118" i="9"/>
  <c r="G70" i="9"/>
  <c r="G76" i="9" s="1"/>
  <c r="G132" i="9" s="1"/>
  <c r="BK62" i="1"/>
  <c r="U916" i="1"/>
  <c r="U1028" i="1"/>
  <c r="X463" i="1"/>
  <c r="X467" i="1" s="1"/>
  <c r="W480" i="1"/>
  <c r="W490" i="1" s="1"/>
  <c r="AZ98" i="9"/>
  <c r="I293" i="1"/>
  <c r="I395" i="1"/>
  <c r="L183" i="11"/>
  <c r="L178" i="11"/>
  <c r="L184" i="11" s="1"/>
  <c r="L402" i="11"/>
  <c r="L403" i="11"/>
  <c r="AZ117" i="9"/>
  <c r="AU68" i="9"/>
  <c r="AD159" i="11"/>
  <c r="AG57" i="9"/>
  <c r="AG1033" i="1"/>
  <c r="CE387" i="1"/>
  <c r="CE128" i="1"/>
  <c r="AZ77" i="1"/>
  <c r="E62" i="1"/>
  <c r="BP70" i="9"/>
  <c r="BP76" i="9" s="1"/>
  <c r="BP132" i="9" s="1"/>
  <c r="E77" i="1"/>
  <c r="BI1035" i="1"/>
  <c r="BN48" i="1"/>
  <c r="BN47" i="1"/>
  <c r="AL395" i="1"/>
  <c r="AL293" i="1"/>
  <c r="AL60" i="9" s="1"/>
  <c r="M117" i="9"/>
  <c r="CE1010" i="1"/>
  <c r="BY51" i="9"/>
  <c r="BY748" i="1"/>
  <c r="BY297" i="1"/>
  <c r="CA74" i="1"/>
  <c r="BO37" i="9"/>
  <c r="BO105" i="1"/>
  <c r="BO106" i="1" s="1"/>
  <c r="BO418" i="1"/>
  <c r="BS92" i="1"/>
  <c r="AQ98" i="9"/>
  <c r="AQ105" i="9" s="1"/>
  <c r="CB129" i="1"/>
  <c r="AR41" i="9"/>
  <c r="AR106" i="9" s="1"/>
  <c r="AR426" i="1"/>
  <c r="AR410" i="1"/>
  <c r="BZ382" i="1"/>
  <c r="BZ127" i="1"/>
  <c r="CC69" i="1"/>
  <c r="BB1035" i="1"/>
  <c r="BY49" i="1"/>
  <c r="Z37" i="9"/>
  <c r="Z105" i="1"/>
  <c r="Z106" i="1" s="1"/>
  <c r="Z418" i="1"/>
  <c r="AJ64" i="9"/>
  <c r="AJ66" i="9" s="1"/>
  <c r="AJ724" i="1"/>
  <c r="AJ725" i="1" s="1"/>
  <c r="AJ726" i="1" s="1"/>
  <c r="AJ727" i="1" s="1"/>
  <c r="AJ706" i="1"/>
  <c r="T47" i="1"/>
  <c r="T48" i="1"/>
  <c r="T49" i="1" s="1"/>
  <c r="CB81" i="1"/>
  <c r="CB82" i="1" s="1"/>
  <c r="CB80" i="1"/>
  <c r="BG117" i="9"/>
  <c r="BB68" i="9"/>
  <c r="BR38" i="9"/>
  <c r="BR97" i="9" s="1"/>
  <c r="BU98" i="9" s="1"/>
  <c r="BU105" i="9" s="1"/>
  <c r="BR400" i="1"/>
  <c r="BR294" i="1"/>
  <c r="BR61" i="9" s="1"/>
  <c r="O98" i="9"/>
  <c r="O101" i="9" s="1"/>
  <c r="R98" i="9"/>
  <c r="R101" i="9" s="1"/>
  <c r="S98" i="9"/>
  <c r="S101" i="9" s="1"/>
  <c r="T1028" i="1"/>
  <c r="BT293" i="1"/>
  <c r="BT60" i="9" s="1"/>
  <c r="BT395" i="1"/>
  <c r="BL56" i="9"/>
  <c r="BL286" i="1"/>
  <c r="BN37" i="9"/>
  <c r="BN105" i="1"/>
  <c r="BN106" i="1" s="1"/>
  <c r="BN418" i="1"/>
  <c r="L98" i="9"/>
  <c r="AZ1028" i="1"/>
  <c r="BD913" i="1"/>
  <c r="BD1028" i="1" s="1"/>
  <c r="N463" i="1"/>
  <c r="N467" i="1" s="1"/>
  <c r="M480" i="1"/>
  <c r="M490" i="1" s="1"/>
  <c r="T395" i="1"/>
  <c r="T293" i="1"/>
  <c r="T60" i="9" s="1"/>
  <c r="S92" i="1"/>
  <c r="AA1035" i="1"/>
  <c r="AP52" i="9"/>
  <c r="AP43" i="9"/>
  <c r="AP411" i="1"/>
  <c r="AP433" i="1"/>
  <c r="AP53" i="9" s="1"/>
  <c r="AP82" i="9" s="1"/>
  <c r="AD98" i="9"/>
  <c r="AD101" i="9" s="1"/>
  <c r="W49" i="1"/>
  <c r="AK110" i="9"/>
  <c r="AK101" i="9"/>
  <c r="BU1028" i="1"/>
  <c r="AU37" i="9"/>
  <c r="AU105" i="1"/>
  <c r="AU106" i="1" s="1"/>
  <c r="AU418" i="1"/>
  <c r="V37" i="9"/>
  <c r="V105" i="1"/>
  <c r="V106" i="1" s="1"/>
  <c r="V418" i="1"/>
  <c r="AB169" i="11"/>
  <c r="AB176" i="11"/>
  <c r="AB185" i="11"/>
  <c r="Y100" i="9"/>
  <c r="AA100" i="9"/>
  <c r="AB100" i="9"/>
  <c r="AC100" i="9"/>
  <c r="AX43" i="9"/>
  <c r="AX52" i="9"/>
  <c r="AX433" i="1"/>
  <c r="AX53" i="9" s="1"/>
  <c r="AX82" i="9" s="1"/>
  <c r="AX411" i="1"/>
  <c r="BJ395" i="1"/>
  <c r="BJ293" i="1"/>
  <c r="BJ60" i="9" s="1"/>
  <c r="U51" i="9"/>
  <c r="U748" i="1"/>
  <c r="U297" i="1"/>
  <c r="AJ91" i="1"/>
  <c r="AJ90" i="1"/>
  <c r="AJ113" i="1"/>
  <c r="AJ531" i="1" s="1"/>
  <c r="AJ532" i="1" s="1"/>
  <c r="AJ533" i="1" s="1"/>
  <c r="AO90" i="1"/>
  <c r="AU1035" i="1"/>
  <c r="J395" i="1"/>
  <c r="J293" i="1"/>
  <c r="J60" i="9" s="1"/>
  <c r="BU56" i="9"/>
  <c r="BU286" i="1"/>
  <c r="AJ1035" i="1"/>
  <c r="Y103" i="1"/>
  <c r="Q728" i="1"/>
  <c r="Q729" i="1" s="1"/>
  <c r="Q730" i="1" s="1"/>
  <c r="Q731" i="1" s="1"/>
  <c r="Q707" i="1"/>
  <c r="Q704" i="1"/>
  <c r="C56" i="9"/>
  <c r="C286" i="1"/>
  <c r="BT41" i="9"/>
  <c r="BT106" i="9" s="1"/>
  <c r="BT426" i="1"/>
  <c r="BT410" i="1"/>
  <c r="BE70" i="9"/>
  <c r="BE76" i="9" s="1"/>
  <c r="BE132" i="9" s="1"/>
  <c r="AG129" i="9"/>
  <c r="V62" i="1"/>
  <c r="Y52" i="11"/>
  <c r="Y164" i="11"/>
  <c r="AI1028" i="1"/>
  <c r="Y37" i="9"/>
  <c r="Y105" i="1"/>
  <c r="Y106" i="1" s="1"/>
  <c r="Y418" i="1"/>
  <c r="L635" i="1"/>
  <c r="L636" i="1" s="1"/>
  <c r="L637" i="1" s="1"/>
  <c r="L394" i="1"/>
  <c r="L285" i="1"/>
  <c r="BP220" i="1"/>
  <c r="AV70" i="9"/>
  <c r="AV76" i="9" s="1"/>
  <c r="AV132" i="9" s="1"/>
  <c r="BY644" i="1"/>
  <c r="BY641" i="1"/>
  <c r="S130" i="9"/>
  <c r="S92" i="9"/>
  <c r="BC936" i="1"/>
  <c r="BC927" i="1"/>
  <c r="BC938" i="1"/>
  <c r="AB463" i="1"/>
  <c r="AB467" i="1" s="1"/>
  <c r="AA480" i="1"/>
  <c r="AA490" i="1" s="1"/>
  <c r="BZ587" i="1"/>
  <c r="BZ590" i="1"/>
  <c r="D221" i="11"/>
  <c r="D219" i="11"/>
  <c r="D216" i="11"/>
  <c r="D217" i="11" s="1"/>
  <c r="D220" i="11" s="1"/>
  <c r="AD75" i="11"/>
  <c r="AD86" i="11" s="1"/>
  <c r="AD172" i="11" s="1"/>
  <c r="AD72" i="11"/>
  <c r="AW395" i="1"/>
  <c r="AW293" i="1"/>
  <c r="AW60" i="9" s="1"/>
  <c r="C129" i="9"/>
  <c r="C88" i="9"/>
  <c r="Y59" i="1"/>
  <c r="Y58" i="1"/>
  <c r="Q40" i="9"/>
  <c r="Q409" i="1"/>
  <c r="Q420" i="1" s="1"/>
  <c r="N395" i="1"/>
  <c r="N293" i="1"/>
  <c r="N60" i="9" s="1"/>
  <c r="AW70" i="9"/>
  <c r="AW76" i="9" s="1"/>
  <c r="AW132" i="9" s="1"/>
  <c r="AQ110" i="9"/>
  <c r="U704" i="1"/>
  <c r="U707" i="1"/>
  <c r="U760" i="1" s="1"/>
  <c r="U728" i="1"/>
  <c r="BV52" i="9"/>
  <c r="BV43" i="9"/>
  <c r="BV433" i="1"/>
  <c r="BV53" i="9" s="1"/>
  <c r="BV82" i="9" s="1"/>
  <c r="BV411" i="1"/>
  <c r="AO64" i="9"/>
  <c r="AO66" i="9" s="1"/>
  <c r="AO724" i="1"/>
  <c r="AO725" i="1" s="1"/>
  <c r="AO726" i="1" s="1"/>
  <c r="AO727" i="1" s="1"/>
  <c r="AO706" i="1"/>
  <c r="AN64" i="9"/>
  <c r="AN66" i="9" s="1"/>
  <c r="AN117" i="9" s="1"/>
  <c r="AN706" i="1"/>
  <c r="AN724" i="1"/>
  <c r="AN725" i="1" s="1"/>
  <c r="AN726" i="1" s="1"/>
  <c r="AN727" i="1" s="1"/>
  <c r="CE385" i="1"/>
  <c r="CE75" i="1"/>
  <c r="CE64" i="1"/>
  <c r="T320" i="1"/>
  <c r="T327" i="1" s="1"/>
  <c r="T415" i="1" s="1"/>
  <c r="T317" i="1"/>
  <c r="AQ41" i="9"/>
  <c r="AQ106" i="9" s="1"/>
  <c r="AQ410" i="1"/>
  <c r="AQ426" i="1"/>
  <c r="BM320" i="1"/>
  <c r="BM327" i="1" s="1"/>
  <c r="BM415" i="1" s="1"/>
  <c r="BM317" i="1"/>
  <c r="BS53" i="9"/>
  <c r="BS757" i="1"/>
  <c r="BN58" i="1"/>
  <c r="BN59" i="1"/>
  <c r="BF41" i="9"/>
  <c r="BF106" i="9" s="1"/>
  <c r="BF410" i="1"/>
  <c r="BF426" i="1"/>
  <c r="BT49" i="1"/>
  <c r="AL644" i="1"/>
  <c r="AL641" i="1"/>
  <c r="BV51" i="9"/>
  <c r="BV297" i="1"/>
  <c r="BV748" i="1"/>
  <c r="S117" i="9"/>
  <c r="N89" i="9"/>
  <c r="N86" i="9" s="1"/>
  <c r="N68" i="9"/>
  <c r="Z101" i="9"/>
  <c r="Z110" i="9"/>
  <c r="CA375" i="1"/>
  <c r="CA126" i="1"/>
  <c r="BX51" i="9"/>
  <c r="BX748" i="1"/>
  <c r="BX297" i="1"/>
  <c r="AJ1034" i="1"/>
  <c r="AJ415" i="1"/>
  <c r="BQ37" i="9"/>
  <c r="BQ105" i="1"/>
  <c r="BQ106" i="1" s="1"/>
  <c r="BQ418" i="1"/>
  <c r="CB31" i="9"/>
  <c r="CB416" i="1"/>
  <c r="K52" i="9"/>
  <c r="K43" i="9"/>
  <c r="K1038" i="1"/>
  <c r="K433" i="1"/>
  <c r="K411" i="1"/>
  <c r="BH56" i="9"/>
  <c r="BH286" i="1"/>
  <c r="AH117" i="9"/>
  <c r="AC68" i="9"/>
  <c r="AC89" i="9"/>
  <c r="AC86" i="9" s="1"/>
  <c r="BU110" i="9"/>
  <c r="BZ121" i="1"/>
  <c r="BZ376" i="1"/>
  <c r="CC53" i="1"/>
  <c r="BN117" i="9"/>
  <c r="BI68" i="9"/>
  <c r="BI89" i="9"/>
  <c r="BI86" i="9" s="1"/>
  <c r="Y117" i="9"/>
  <c r="T68" i="9"/>
  <c r="T89" i="9"/>
  <c r="T86" i="9" s="1"/>
  <c r="I70" i="9"/>
  <c r="I76" i="9" s="1"/>
  <c r="I132" i="9" s="1"/>
  <c r="W75" i="1"/>
  <c r="W76" i="1"/>
  <c r="W113" i="1"/>
  <c r="W531" i="1" s="1"/>
  <c r="AB75" i="1"/>
  <c r="E88" i="9"/>
  <c r="E85" i="9" s="1"/>
  <c r="E129" i="9"/>
  <c r="CC1" i="9"/>
  <c r="CC3" i="1"/>
  <c r="CB741" i="1" s="1"/>
  <c r="CD4" i="1"/>
  <c r="M101" i="9"/>
  <c r="BR320" i="1"/>
  <c r="BR327" i="1" s="1"/>
  <c r="BR317" i="1"/>
  <c r="AH51" i="9"/>
  <c r="AH748" i="1"/>
  <c r="AH297" i="1"/>
  <c r="AK56" i="9"/>
  <c r="AK286" i="1"/>
  <c r="BT644" i="1"/>
  <c r="BT641" i="1"/>
  <c r="BL293" i="1"/>
  <c r="BL60" i="9" s="1"/>
  <c r="BL395" i="1"/>
  <c r="AE204" i="11"/>
  <c r="AE205" i="11" s="1"/>
  <c r="AK41" i="9"/>
  <c r="AK106" i="9" s="1"/>
  <c r="AK426" i="1"/>
  <c r="AK410" i="1"/>
  <c r="AD58" i="1"/>
  <c r="Q463" i="1"/>
  <c r="Q467" i="1" s="1"/>
  <c r="U463" i="1"/>
  <c r="P480" i="1"/>
  <c r="P490" i="1" s="1"/>
  <c r="AW49" i="1"/>
  <c r="BV56" i="9"/>
  <c r="BV1035" i="1"/>
  <c r="BV286" i="1"/>
  <c r="L41" i="9"/>
  <c r="L106" i="9" s="1"/>
  <c r="L426" i="1"/>
  <c r="L410" i="1"/>
  <c r="AW1028" i="1"/>
  <c r="CC737" i="1"/>
  <c r="CC735" i="1"/>
  <c r="X1028" i="1"/>
  <c r="Y89" i="9"/>
  <c r="Y86" i="9" s="1"/>
  <c r="AD117" i="9"/>
  <c r="Y68" i="9"/>
  <c r="BN415" i="1"/>
  <c r="BQ51" i="9"/>
  <c r="BQ748" i="1"/>
  <c r="BQ297" i="1"/>
  <c r="BJ641" i="1"/>
  <c r="BJ644" i="1"/>
  <c r="R395" i="1"/>
  <c r="R293" i="1"/>
  <c r="R60" i="9" s="1"/>
  <c r="AS37" i="9"/>
  <c r="AS105" i="1"/>
  <c r="AS106" i="1" s="1"/>
  <c r="AS418" i="1"/>
  <c r="BI48" i="1"/>
  <c r="BI49" i="1" s="1"/>
  <c r="BI47" i="1"/>
  <c r="R41" i="9"/>
  <c r="R106" i="9" s="1"/>
  <c r="R410" i="1"/>
  <c r="R426" i="1"/>
  <c r="AJ412" i="11"/>
  <c r="AJ86" i="11"/>
  <c r="AJ172" i="11" s="1"/>
  <c r="AJ416" i="11" s="1"/>
  <c r="AK57" i="9"/>
  <c r="AK1033" i="1"/>
  <c r="E53" i="9"/>
  <c r="E757" i="1"/>
  <c r="AH49" i="1"/>
  <c r="H5" i="13"/>
  <c r="H2" i="9"/>
  <c r="I5" i="1"/>
  <c r="BG130" i="9"/>
  <c r="BG92" i="9"/>
  <c r="AZ704" i="1"/>
  <c r="AZ707" i="1"/>
  <c r="AZ728" i="1"/>
  <c r="AZ729" i="1" s="1"/>
  <c r="AZ730" i="1" s="1"/>
  <c r="AZ731" i="1" s="1"/>
  <c r="BR395" i="1"/>
  <c r="BR293" i="1"/>
  <c r="BR60" i="9" s="1"/>
  <c r="BK49" i="1"/>
  <c r="C293" i="1"/>
  <c r="C60" i="9" s="1"/>
  <c r="C395" i="1"/>
  <c r="BH320" i="1"/>
  <c r="BH327" i="1" s="1"/>
  <c r="BH415" i="1" s="1"/>
  <c r="BH317" i="1"/>
  <c r="AJ37" i="9"/>
  <c r="AJ105" i="1"/>
  <c r="AJ106" i="1" s="1"/>
  <c r="AJ418" i="1"/>
  <c r="Y75" i="11"/>
  <c r="Y86" i="11" s="1"/>
  <c r="Y172" i="11" s="1"/>
  <c r="Y72" i="11"/>
  <c r="U34" i="9"/>
  <c r="U291" i="1"/>
  <c r="U394" i="1"/>
  <c r="J56" i="9"/>
  <c r="J286" i="1"/>
  <c r="BR214" i="1"/>
  <c r="BR218" i="1" s="1"/>
  <c r="BQ218" i="1"/>
  <c r="BQ220" i="1" s="1"/>
  <c r="J76" i="1"/>
  <c r="O77" i="1" s="1"/>
  <c r="J113" i="1"/>
  <c r="J531" i="1" s="1"/>
  <c r="I130" i="9"/>
  <c r="I92" i="9"/>
  <c r="AF463" i="1"/>
  <c r="AF467" i="1" s="1"/>
  <c r="AE480" i="1"/>
  <c r="AE490" i="1" s="1"/>
  <c r="BZ869" i="1"/>
  <c r="CA869" i="1"/>
  <c r="I180" i="11"/>
  <c r="I168" i="11"/>
  <c r="AE59" i="1"/>
  <c r="AE62" i="1" s="1"/>
  <c r="AE58" i="1"/>
  <c r="AX102" i="9"/>
  <c r="AX87" i="9"/>
  <c r="K117" i="9"/>
  <c r="F89" i="9"/>
  <c r="F86" i="9" s="1"/>
  <c r="F68" i="9"/>
  <c r="Q86" i="11"/>
  <c r="Q172" i="11" s="1"/>
  <c r="U412" i="11"/>
  <c r="AW644" i="1"/>
  <c r="AW641" i="1"/>
  <c r="AF76" i="1"/>
  <c r="AF77" i="1" s="1"/>
  <c r="AF75" i="1"/>
  <c r="AF113" i="1"/>
  <c r="AF531" i="1" s="1"/>
  <c r="BH82" i="1"/>
  <c r="BM82" i="1"/>
  <c r="AI59" i="1"/>
  <c r="AI62" i="1" s="1"/>
  <c r="AI58" i="1"/>
  <c r="AQ117" i="9"/>
  <c r="AL89" i="9"/>
  <c r="AL86" i="9" s="1"/>
  <c r="AL68" i="9"/>
  <c r="K729" i="1"/>
  <c r="K730" i="1" s="1"/>
  <c r="K731" i="1" s="1"/>
  <c r="Z1034" i="1"/>
  <c r="Z415" i="1"/>
  <c r="Z86" i="11"/>
  <c r="Z172" i="11" s="1"/>
  <c r="AO728" i="1"/>
  <c r="AO707" i="1"/>
  <c r="AO760" i="1" s="1"/>
  <c r="AO704" i="1"/>
  <c r="AN705" i="1"/>
  <c r="AN913" i="1"/>
  <c r="T38" i="9"/>
  <c r="T97" i="9" s="1"/>
  <c r="T400" i="1"/>
  <c r="T294" i="1"/>
  <c r="T61" i="9" s="1"/>
  <c r="H41" i="9"/>
  <c r="H106" i="9" s="1"/>
  <c r="H426" i="1"/>
  <c r="H410" i="1"/>
  <c r="AK129" i="9"/>
  <c r="BL52" i="9"/>
  <c r="BL43" i="9"/>
  <c r="BL433" i="1"/>
  <c r="BL53" i="9" s="1"/>
  <c r="BL82" i="9" s="1"/>
  <c r="BL411" i="1"/>
  <c r="BM38" i="9"/>
  <c r="BM97" i="9" s="1"/>
  <c r="BM294" i="1"/>
  <c r="BM61" i="9" s="1"/>
  <c r="BM400" i="1"/>
  <c r="BS41" i="9"/>
  <c r="BS106" i="9" s="1"/>
  <c r="BS107" i="9" s="1"/>
  <c r="BS111" i="9" s="1"/>
  <c r="BS410" i="1"/>
  <c r="BS426" i="1"/>
  <c r="AO48" i="1"/>
  <c r="AO49" i="1" s="1"/>
  <c r="AO47" i="1"/>
  <c r="F53" i="9"/>
  <c r="F757" i="1"/>
  <c r="AN52" i="9"/>
  <c r="AN43" i="9"/>
  <c r="AN433" i="1"/>
  <c r="AN53" i="9" s="1"/>
  <c r="AN82" i="9" s="1"/>
  <c r="AN411" i="1"/>
  <c r="E185" i="11"/>
  <c r="E219" i="11" s="1"/>
  <c r="E176" i="11"/>
  <c r="E169" i="11"/>
  <c r="CC1005" i="1"/>
  <c r="CC736" i="1"/>
  <c r="CD736" i="1" s="1"/>
  <c r="Z51" i="9"/>
  <c r="Z748" i="1"/>
  <c r="Z297" i="1"/>
  <c r="AI194" i="11"/>
  <c r="AI203" i="11"/>
  <c r="AI204" i="11" s="1"/>
  <c r="AI205" i="11" s="1"/>
  <c r="BE644" i="1"/>
  <c r="BE641" i="1"/>
  <c r="M56" i="9"/>
  <c r="M1035" i="1"/>
  <c r="M286" i="1"/>
  <c r="BX936" i="1"/>
  <c r="BX938" i="1"/>
  <c r="BX927" i="1"/>
  <c r="W59" i="1"/>
  <c r="W62" i="1" s="1"/>
  <c r="W58" i="1"/>
  <c r="CD26" i="9"/>
  <c r="CD370" i="1"/>
  <c r="CD37" i="1"/>
  <c r="CD44" i="1"/>
  <c r="CD89" i="1" s="1"/>
  <c r="CD38" i="1"/>
  <c r="CD19" i="9" s="1"/>
  <c r="CE37" i="1"/>
  <c r="V43" i="9"/>
  <c r="V52" i="9"/>
  <c r="V411" i="1"/>
  <c r="V433" i="1"/>
  <c r="V53" i="9" s="1"/>
  <c r="V82" i="9" s="1"/>
  <c r="AV51" i="9"/>
  <c r="AV748" i="1"/>
  <c r="AV297" i="1"/>
  <c r="AP68" i="9"/>
  <c r="AU117" i="9"/>
  <c r="BH644" i="1"/>
  <c r="BH641" i="1"/>
  <c r="BX47" i="1"/>
  <c r="BX48" i="1"/>
  <c r="BX49" i="1" s="1"/>
  <c r="F185" i="11"/>
  <c r="F176" i="11"/>
  <c r="F169" i="11"/>
  <c r="BZ388" i="1"/>
  <c r="CC388" i="1" s="1"/>
  <c r="BZ123" i="1"/>
  <c r="CC86" i="1"/>
  <c r="AG117" i="9"/>
  <c r="AB89" i="9"/>
  <c r="AB86" i="9" s="1"/>
  <c r="AB68" i="9"/>
  <c r="O43" i="9"/>
  <c r="O52" i="9"/>
  <c r="O411" i="1"/>
  <c r="O433" i="1"/>
  <c r="O53" i="9" s="1"/>
  <c r="O82" i="9" s="1"/>
  <c r="BE110" i="9"/>
  <c r="BF101" i="9"/>
  <c r="BF110" i="9"/>
  <c r="W41" i="9"/>
  <c r="W106" i="9" s="1"/>
  <c r="W426" i="1"/>
  <c r="W410" i="1"/>
  <c r="BY68" i="9"/>
  <c r="BM110" i="9"/>
  <c r="P204" i="11"/>
  <c r="P205" i="11" s="1"/>
  <c r="AR1035" i="1"/>
  <c r="AJ51" i="9"/>
  <c r="AJ748" i="1"/>
  <c r="AJ297" i="1"/>
  <c r="W635" i="1"/>
  <c r="W394" i="1"/>
  <c r="W285" i="1"/>
  <c r="AU129" i="9"/>
  <c r="AU88" i="9"/>
  <c r="AU85" i="9" s="1"/>
  <c r="AY129" i="9"/>
  <c r="AY88" i="9"/>
  <c r="AY85" i="9" s="1"/>
  <c r="Q293" i="1"/>
  <c r="Q60" i="9" s="1"/>
  <c r="Q395" i="1"/>
  <c r="G41" i="9"/>
  <c r="G106" i="9" s="1"/>
  <c r="G426" i="1"/>
  <c r="G410" i="1"/>
  <c r="AK395" i="1"/>
  <c r="AK293" i="1"/>
  <c r="AK60" i="9" s="1"/>
  <c r="BQ1028" i="1"/>
  <c r="BL644" i="1"/>
  <c r="BL641" i="1"/>
  <c r="BO707" i="1"/>
  <c r="BO728" i="1"/>
  <c r="BO729" i="1" s="1"/>
  <c r="BO730" i="1" s="1"/>
  <c r="BO731" i="1" s="1"/>
  <c r="BO704" i="1"/>
  <c r="AK130" i="9"/>
  <c r="AK92" i="9"/>
  <c r="AQ129" i="9"/>
  <c r="AF117" i="9"/>
  <c r="AA89" i="9"/>
  <c r="AA86" i="9" s="1"/>
  <c r="AA68" i="9"/>
  <c r="AG185" i="11"/>
  <c r="AG176" i="11"/>
  <c r="AG169" i="11"/>
  <c r="D129" i="9"/>
  <c r="D88" i="9"/>
  <c r="D85" i="9" s="1"/>
  <c r="BI1028" i="1"/>
  <c r="BV395" i="1"/>
  <c r="BV293" i="1"/>
  <c r="BV60" i="9" s="1"/>
  <c r="AM5" i="11"/>
  <c r="AM436" i="11" s="1"/>
  <c r="AM437" i="11" s="1"/>
  <c r="AM438" i="11" s="1"/>
  <c r="BT117" i="9"/>
  <c r="BO68" i="9"/>
  <c r="BO89" i="9"/>
  <c r="BO86" i="9" s="1"/>
  <c r="BO49" i="1"/>
  <c r="J57" i="9"/>
  <c r="J1033" i="1"/>
  <c r="BW1028" i="1"/>
  <c r="S37" i="9"/>
  <c r="S105" i="1"/>
  <c r="S106" i="1" s="1"/>
  <c r="S418" i="1"/>
  <c r="L57" i="9"/>
  <c r="L1033" i="1"/>
  <c r="AR129" i="9"/>
  <c r="G59" i="1"/>
  <c r="R56" i="9"/>
  <c r="R286" i="1"/>
  <c r="Y41" i="9"/>
  <c r="Y106" i="9" s="1"/>
  <c r="Y410" i="1"/>
  <c r="Y426" i="1"/>
  <c r="BM89" i="9"/>
  <c r="BM86" i="9" s="1"/>
  <c r="BR117" i="9"/>
  <c r="BM68" i="9"/>
  <c r="AV117" i="9"/>
  <c r="AQ68" i="9"/>
  <c r="E41" i="9"/>
  <c r="E106" i="9" s="1"/>
  <c r="E107" i="9" s="1"/>
  <c r="E111" i="9" s="1"/>
  <c r="E426" i="1"/>
  <c r="E410" i="1"/>
  <c r="X52" i="9"/>
  <c r="X43" i="9"/>
  <c r="X433" i="1"/>
  <c r="X53" i="9" s="1"/>
  <c r="X82" i="9" s="1"/>
  <c r="X411" i="1"/>
  <c r="BB129" i="9"/>
  <c r="AC129" i="9"/>
  <c r="BR644" i="1"/>
  <c r="BR641" i="1"/>
  <c r="I843" i="1"/>
  <c r="H844" i="1"/>
  <c r="BH38" i="9"/>
  <c r="BH97" i="9" s="1"/>
  <c r="BH98" i="9" s="1"/>
  <c r="BH101" i="9" s="1"/>
  <c r="BH400" i="1"/>
  <c r="BH294" i="1"/>
  <c r="BH61" i="9" s="1"/>
  <c r="AE394" i="1"/>
  <c r="AE635" i="1"/>
  <c r="AJ644" i="1" s="1"/>
  <c r="AE285" i="1"/>
  <c r="BF1035" i="1"/>
  <c r="AY64" i="9"/>
  <c r="AY66" i="9" s="1"/>
  <c r="AY706" i="1"/>
  <c r="AY724" i="1"/>
  <c r="AY725" i="1" s="1"/>
  <c r="AY726" i="1" s="1"/>
  <c r="AY727" i="1" s="1"/>
  <c r="BN729" i="1"/>
  <c r="BN730" i="1" s="1"/>
  <c r="BN731" i="1" s="1"/>
  <c r="U70" i="1"/>
  <c r="U74" i="1"/>
  <c r="U113" i="1" s="1"/>
  <c r="U531" i="1" s="1"/>
  <c r="AV56" i="9"/>
  <c r="AV286" i="1"/>
  <c r="X37" i="9"/>
  <c r="X105" i="1"/>
  <c r="X106" i="1" s="1"/>
  <c r="X418" i="1"/>
  <c r="BL110" i="9"/>
  <c r="D394" i="1"/>
  <c r="D285" i="1"/>
  <c r="D635" i="1"/>
  <c r="X51" i="9"/>
  <c r="X748" i="1"/>
  <c r="X297" i="1"/>
  <c r="AC1035" i="1"/>
  <c r="BU43" i="9"/>
  <c r="BU52" i="9"/>
  <c r="BU433" i="1"/>
  <c r="BU53" i="9" s="1"/>
  <c r="BU82" i="9" s="1"/>
  <c r="BU411" i="1"/>
  <c r="AC1028" i="1"/>
  <c r="AH1028" i="1"/>
  <c r="R57" i="9"/>
  <c r="R1033" i="1"/>
  <c r="CC875" i="1"/>
  <c r="Q105" i="9"/>
  <c r="AM70" i="9"/>
  <c r="AM76" i="9" s="1"/>
  <c r="AM132" i="9" s="1"/>
  <c r="AR105" i="9"/>
  <c r="BH90" i="1"/>
  <c r="BH91" i="1"/>
  <c r="BM90" i="1"/>
  <c r="BH113" i="1"/>
  <c r="BH531" i="1" s="1"/>
  <c r="BM395" i="1"/>
  <c r="BM293" i="1"/>
  <c r="Y47" i="1"/>
  <c r="Y48" i="1"/>
  <c r="AD49" i="1" s="1"/>
  <c r="H56" i="9"/>
  <c r="H1035" i="1"/>
  <c r="H286" i="1"/>
  <c r="AI47" i="1"/>
  <c r="AI48" i="1"/>
  <c r="AI49" i="1" s="1"/>
  <c r="X104" i="9"/>
  <c r="AB49" i="1"/>
  <c r="AG49" i="1"/>
  <c r="BV89" i="9"/>
  <c r="BV86" i="9" s="1"/>
  <c r="BV68" i="9"/>
  <c r="K37" i="9"/>
  <c r="K105" i="1"/>
  <c r="K106" i="1" s="1"/>
  <c r="K418" i="1"/>
  <c r="AR110" i="9"/>
  <c r="AE51" i="9"/>
  <c r="AE748" i="1"/>
  <c r="AE297" i="1"/>
  <c r="BP37" i="9"/>
  <c r="BP105" i="1"/>
  <c r="BP106" i="1" s="1"/>
  <c r="BP418" i="1"/>
  <c r="AB43" i="9"/>
  <c r="AB52" i="9"/>
  <c r="AB411" i="1"/>
  <c r="AB433" i="1"/>
  <c r="AB53" i="9" s="1"/>
  <c r="AB82" i="9" s="1"/>
  <c r="CE382" i="1"/>
  <c r="CE127" i="1"/>
  <c r="C53" i="9"/>
  <c r="C757" i="1"/>
  <c r="AP704" i="1"/>
  <c r="AP707" i="1"/>
  <c r="AP728" i="1"/>
  <c r="AP729" i="1" s="1"/>
  <c r="AP730" i="1" s="1"/>
  <c r="AP731" i="1" s="1"/>
  <c r="AY37" i="9"/>
  <c r="AY105" i="1"/>
  <c r="AY106" i="1" s="1"/>
  <c r="BN103" i="1"/>
  <c r="BR56" i="9"/>
  <c r="BR286" i="1"/>
  <c r="F41" i="9"/>
  <c r="F106" i="9" s="1"/>
  <c r="F107" i="9" s="1"/>
  <c r="F111" i="9" s="1"/>
  <c r="F426" i="1"/>
  <c r="F410" i="1"/>
  <c r="AQ56" i="9"/>
  <c r="AQ286" i="1"/>
  <c r="BY704" i="1"/>
  <c r="BY707" i="1"/>
  <c r="BY728" i="1"/>
  <c r="BY729" i="1" s="1"/>
  <c r="BY730" i="1" s="1"/>
  <c r="BY731" i="1" s="1"/>
  <c r="BS925" i="1"/>
  <c r="BS400" i="1"/>
  <c r="BQ117" i="9"/>
  <c r="BL68" i="9"/>
  <c r="BL89" i="9"/>
  <c r="BL86" i="9" s="1"/>
  <c r="BE56" i="9"/>
  <c r="BE286" i="1"/>
  <c r="M395" i="1"/>
  <c r="M293" i="1"/>
  <c r="M60" i="9" s="1"/>
  <c r="BB37" i="9"/>
  <c r="BB105" i="1"/>
  <c r="BB106" i="1" s="1"/>
  <c r="BB418" i="1"/>
  <c r="CA383" i="1"/>
  <c r="CA122" i="1"/>
  <c r="W57" i="9"/>
  <c r="W1033" i="1"/>
  <c r="AR37" i="9"/>
  <c r="AR105" i="1"/>
  <c r="AR106" i="1" s="1"/>
  <c r="AR418" i="1"/>
  <c r="P41" i="9"/>
  <c r="P106" i="9" s="1"/>
  <c r="P107" i="9" s="1"/>
  <c r="P111" i="9" s="1"/>
  <c r="P426" i="1"/>
  <c r="P410" i="1"/>
  <c r="BD51" i="9"/>
  <c r="BD748" i="1"/>
  <c r="BD297" i="1"/>
  <c r="BH395" i="1"/>
  <c r="BH293" i="1"/>
  <c r="BH60" i="9" s="1"/>
  <c r="BD82" i="1"/>
  <c r="AR130" i="9"/>
  <c r="AR92" i="9"/>
  <c r="BZ375" i="1"/>
  <c r="BZ126" i="1"/>
  <c r="CC51" i="1"/>
  <c r="AZ41" i="9"/>
  <c r="AZ106" i="9" s="1"/>
  <c r="AZ426" i="1"/>
  <c r="AZ410" i="1"/>
  <c r="AK1028" i="1"/>
  <c r="W130" i="9"/>
  <c r="W92" i="9"/>
  <c r="J1028" i="1"/>
  <c r="AG130" i="9"/>
  <c r="AG92" i="9"/>
  <c r="T58" i="1"/>
  <c r="T59" i="1"/>
  <c r="BD1034" i="1"/>
  <c r="BD415" i="1"/>
  <c r="AS98" i="9"/>
  <c r="CB35" i="9"/>
  <c r="CB290" i="1"/>
  <c r="CB58" i="9" s="1"/>
  <c r="CB386" i="1"/>
  <c r="CB280" i="1" s="1"/>
  <c r="I57" i="9"/>
  <c r="I1033" i="1"/>
  <c r="G130" i="9"/>
  <c r="G92" i="9"/>
  <c r="F117" i="9"/>
  <c r="E68" i="9"/>
  <c r="E89" i="9"/>
  <c r="E86" i="9" s="1"/>
  <c r="AK641" i="1"/>
  <c r="AK644" i="1"/>
  <c r="BV117" i="9"/>
  <c r="BQ68" i="9"/>
  <c r="BQ89" i="9"/>
  <c r="BQ86" i="9" s="1"/>
  <c r="AA415" i="1"/>
  <c r="AE1034" i="1"/>
  <c r="AS913" i="1"/>
  <c r="AT913" i="1" s="1"/>
  <c r="AF1035" i="1"/>
  <c r="D118" i="9"/>
  <c r="C70" i="9"/>
  <c r="C76" i="9" s="1"/>
  <c r="C132" i="9" s="1"/>
  <c r="AD37" i="9"/>
  <c r="AD105" i="1"/>
  <c r="AD106" i="1" s="1"/>
  <c r="AD418" i="1"/>
  <c r="AM77" i="1"/>
  <c r="BE1028" i="1"/>
  <c r="BV644" i="1"/>
  <c r="BV641" i="1"/>
  <c r="AW218" i="1"/>
  <c r="AW220" i="1" s="1"/>
  <c r="AX214" i="1"/>
  <c r="AX218" i="1" s="1"/>
  <c r="AX220" i="1" s="1"/>
  <c r="L130" i="9"/>
  <c r="L92" i="9"/>
  <c r="O405" i="11"/>
  <c r="AP5" i="11"/>
  <c r="AP436" i="11" s="1"/>
  <c r="AP437" i="11" s="1"/>
  <c r="AT5" i="11"/>
  <c r="AT436" i="11" s="1"/>
  <c r="AT437" i="11" s="1"/>
  <c r="AF1028" i="1"/>
  <c r="AK75" i="1"/>
  <c r="AK76" i="1"/>
  <c r="AK77" i="1" s="1"/>
  <c r="AK113" i="1"/>
  <c r="AK531" i="1" s="1"/>
  <c r="H76" i="1"/>
  <c r="M77" i="1" s="1"/>
  <c r="M75" i="1"/>
  <c r="H113" i="1"/>
  <c r="H531" i="1" s="1"/>
  <c r="N129" i="9"/>
  <c r="N88" i="9"/>
  <c r="N85" i="9" s="1"/>
  <c r="AJ77" i="1"/>
  <c r="F129" i="9"/>
  <c r="F88" i="9"/>
  <c r="F85" i="9" s="1"/>
  <c r="U204" i="11"/>
  <c r="U205" i="11" s="1"/>
  <c r="G129" i="9"/>
  <c r="D53" i="9"/>
  <c r="D757" i="1"/>
  <c r="CI24" i="9"/>
  <c r="CJ26" i="1"/>
  <c r="BC1028" i="1"/>
  <c r="AP644" i="1"/>
  <c r="V1035" i="1"/>
  <c r="R92" i="9"/>
  <c r="R130" i="9"/>
  <c r="E130" i="9"/>
  <c r="E92" i="9"/>
  <c r="E93" i="9" s="1"/>
  <c r="E96" i="9" s="1"/>
  <c r="Z49" i="1"/>
  <c r="G3" i="13"/>
  <c r="G4" i="13"/>
  <c r="AC37" i="9"/>
  <c r="AC105" i="1"/>
  <c r="AC106" i="1" s="1"/>
  <c r="AC418" i="1"/>
  <c r="BI105" i="9"/>
  <c r="Z62" i="1"/>
  <c r="BQ43" i="9"/>
  <c r="BQ52" i="9"/>
  <c r="BQ411" i="1"/>
  <c r="BQ433" i="1"/>
  <c r="BQ53" i="9" s="1"/>
  <c r="BQ82" i="9" s="1"/>
  <c r="D57" i="9"/>
  <c r="D1033" i="1"/>
  <c r="Y77" i="1"/>
  <c r="CF91" i="1"/>
  <c r="CF89" i="1" s="1"/>
  <c r="CA89" i="1"/>
  <c r="CF988" i="1"/>
  <c r="AP105" i="9"/>
  <c r="AY97" i="1"/>
  <c r="BD97" i="1"/>
  <c r="AG89" i="9"/>
  <c r="AG86" i="9" s="1"/>
  <c r="AL117" i="9"/>
  <c r="AG68" i="9"/>
  <c r="AH89" i="9"/>
  <c r="AH86" i="9" s="1"/>
  <c r="AD129" i="9"/>
  <c r="BD62" i="1"/>
  <c r="AY707" i="1"/>
  <c r="AY760" i="1" s="1"/>
  <c r="AY704" i="1"/>
  <c r="AY728" i="1"/>
  <c r="BX64" i="9"/>
  <c r="BX66" i="9" s="1"/>
  <c r="BX724" i="1"/>
  <c r="BX725" i="1" s="1"/>
  <c r="BX726" i="1" s="1"/>
  <c r="BX727" i="1" s="1"/>
  <c r="BX706" i="1"/>
  <c r="AV395" i="1"/>
  <c r="AV293" i="1"/>
  <c r="AV60" i="9" s="1"/>
  <c r="CA582" i="1"/>
  <c r="CA587" i="1"/>
  <c r="CA590" i="1"/>
  <c r="AD1035" i="1"/>
  <c r="O635" i="1"/>
  <c r="O636" i="1" s="1"/>
  <c r="O637" i="1" s="1"/>
  <c r="O394" i="1"/>
  <c r="O285" i="1"/>
  <c r="BE117" i="9"/>
  <c r="AZ68" i="9"/>
  <c r="AO43" i="9"/>
  <c r="AO52" i="9"/>
  <c r="AO1038" i="1"/>
  <c r="AO433" i="1"/>
  <c r="AO411" i="1"/>
  <c r="I178" i="11"/>
  <c r="I184" i="11" s="1"/>
  <c r="I183" i="11"/>
  <c r="I402" i="11"/>
  <c r="I403" i="11"/>
  <c r="E56" i="9"/>
  <c r="E286" i="1"/>
  <c r="AA405" i="11"/>
  <c r="N62" i="1"/>
  <c r="P37" i="9"/>
  <c r="P105" i="1"/>
  <c r="P106" i="1" s="1"/>
  <c r="P418" i="1"/>
  <c r="X49" i="1"/>
  <c r="AT43" i="9"/>
  <c r="AT52" i="9"/>
  <c r="AT1038" i="1"/>
  <c r="AT411" i="1"/>
  <c r="AT433" i="1"/>
  <c r="BM644" i="1"/>
  <c r="BM641" i="1"/>
  <c r="Y82" i="1"/>
  <c r="CB124" i="1"/>
  <c r="AC41" i="9"/>
  <c r="AC106" i="9" s="1"/>
  <c r="AC410" i="1"/>
  <c r="AC426" i="1"/>
  <c r="CG86" i="1"/>
  <c r="CG84" i="1"/>
  <c r="CG53" i="1"/>
  <c r="CG102" i="1"/>
  <c r="CG103" i="1" s="1"/>
  <c r="CG96" i="1"/>
  <c r="CG97" i="1" s="1"/>
  <c r="CG71" i="1"/>
  <c r="CG69" i="1"/>
  <c r="CG51" i="1"/>
  <c r="CG89" i="1"/>
  <c r="BU89" i="9"/>
  <c r="BU86" i="9" s="1"/>
  <c r="BU68" i="9"/>
  <c r="BG129" i="9"/>
  <c r="R176" i="11"/>
  <c r="R185" i="11"/>
  <c r="R169" i="11"/>
  <c r="Q89" i="9"/>
  <c r="Q86" i="9" s="1"/>
  <c r="V117" i="9"/>
  <c r="Q68" i="9"/>
  <c r="BA43" i="9"/>
  <c r="BA52" i="9"/>
  <c r="BA411" i="1"/>
  <c r="BA433" i="1"/>
  <c r="BA53" i="9" s="1"/>
  <c r="BA82" i="9" s="1"/>
  <c r="AX100" i="9"/>
  <c r="BA100" i="9"/>
  <c r="AZ100" i="9"/>
  <c r="BB100" i="9"/>
  <c r="K168" i="11"/>
  <c r="K180" i="11"/>
  <c r="AG105" i="9"/>
  <c r="AI117" i="9"/>
  <c r="AD89" i="9"/>
  <c r="AD86" i="9" s="1"/>
  <c r="AD68" i="9"/>
  <c r="AF707" i="1"/>
  <c r="AF728" i="1"/>
  <c r="AF729" i="1" s="1"/>
  <c r="AF730" i="1" s="1"/>
  <c r="AF731" i="1" s="1"/>
  <c r="AF704" i="1"/>
  <c r="AE936" i="1"/>
  <c r="AE938" i="1"/>
  <c r="AE927" i="1"/>
  <c r="CE383" i="1"/>
  <c r="CE122" i="1"/>
  <c r="C41" i="9"/>
  <c r="C106" i="9" s="1"/>
  <c r="C107" i="9" s="1"/>
  <c r="C111" i="9" s="1"/>
  <c r="C410" i="1"/>
  <c r="C426" i="1"/>
  <c r="BY927" i="1"/>
  <c r="BY936" i="1"/>
  <c r="CC936" i="1" s="1"/>
  <c r="AQ92" i="9"/>
  <c r="AQ130" i="9"/>
  <c r="T56" i="9"/>
  <c r="T1035" i="1"/>
  <c r="T286" i="1"/>
  <c r="BS130" i="9"/>
  <c r="BS92" i="9"/>
  <c r="BS93" i="9" s="1"/>
  <c r="BS96" i="9" s="1"/>
  <c r="AT1040" i="1"/>
  <c r="BN97" i="1"/>
  <c r="F130" i="9"/>
  <c r="F92" i="9"/>
  <c r="F93" i="9" s="1"/>
  <c r="F96" i="9" s="1"/>
  <c r="AQ293" i="1"/>
  <c r="AQ60" i="9" s="1"/>
  <c r="AQ395" i="1"/>
  <c r="BI729" i="1"/>
  <c r="BI730" i="1" s="1"/>
  <c r="BI731" i="1" s="1"/>
  <c r="K1035" i="1"/>
  <c r="AA117" i="9"/>
  <c r="V89" i="9"/>
  <c r="V86" i="9" s="1"/>
  <c r="V68" i="9"/>
  <c r="BR936" i="1"/>
  <c r="BR938" i="1"/>
  <c r="BR927" i="1"/>
  <c r="AK117" i="9"/>
  <c r="AF68" i="9"/>
  <c r="AF89" i="9"/>
  <c r="AF86" i="9" s="1"/>
  <c r="BE293" i="1"/>
  <c r="BE60" i="9" s="1"/>
  <c r="BE395" i="1"/>
  <c r="P53" i="9"/>
  <c r="P757" i="1"/>
  <c r="CH21" i="9"/>
  <c r="CH34" i="1"/>
  <c r="CI7" i="1"/>
  <c r="CH9" i="1"/>
  <c r="CH14" i="9" s="1"/>
  <c r="BS49" i="1"/>
  <c r="BM117" i="9"/>
  <c r="BH89" i="9"/>
  <c r="BH86" i="9" s="1"/>
  <c r="BH68" i="9"/>
  <c r="AT64" i="9"/>
  <c r="AT66" i="9" s="1"/>
  <c r="AT706" i="1"/>
  <c r="AT724" i="1"/>
  <c r="AT725" i="1" s="1"/>
  <c r="AT726" i="1" s="1"/>
  <c r="AT727" i="1" s="1"/>
  <c r="AE53" i="9"/>
  <c r="AE757" i="1"/>
  <c r="M41" i="9"/>
  <c r="M106" i="9" s="1"/>
  <c r="M426" i="1"/>
  <c r="M410" i="1"/>
  <c r="AZ51" i="9"/>
  <c r="AZ748" i="1"/>
  <c r="AZ297" i="1"/>
  <c r="BZ383" i="1"/>
  <c r="CC383" i="1" s="1"/>
  <c r="BZ122" i="1"/>
  <c r="CC71" i="1"/>
  <c r="E729" i="1"/>
  <c r="E730" i="1" s="1"/>
  <c r="E731" i="1" s="1"/>
  <c r="AU105" i="9"/>
  <c r="AH43" i="9"/>
  <c r="AH52" i="9"/>
  <c r="AH411" i="1"/>
  <c r="AH433" i="1"/>
  <c r="AH53" i="9" s="1"/>
  <c r="AH82" i="9" s="1"/>
  <c r="N105" i="9"/>
  <c r="T75" i="11"/>
  <c r="T86" i="11" s="1"/>
  <c r="T172" i="11" s="1"/>
  <c r="T72" i="11"/>
  <c r="BN1035" i="1"/>
  <c r="BI415" i="1"/>
  <c r="BE41" i="9"/>
  <c r="BE106" i="9" s="1"/>
  <c r="BE410" i="1"/>
  <c r="BE426" i="1"/>
  <c r="K62" i="1"/>
  <c r="BP51" i="9"/>
  <c r="BP748" i="1"/>
  <c r="BP297" i="1"/>
  <c r="V77" i="1"/>
  <c r="BK89" i="9"/>
  <c r="BK86" i="9" s="1"/>
  <c r="BP117" i="9"/>
  <c r="BK68" i="9"/>
  <c r="V92" i="1"/>
  <c r="AD41" i="9"/>
  <c r="AD106" i="9" s="1"/>
  <c r="AD426" i="1"/>
  <c r="AD410" i="1"/>
  <c r="AH98" i="9"/>
  <c r="AH101" i="9" s="1"/>
  <c r="J51" i="9"/>
  <c r="J297" i="1"/>
  <c r="J748" i="1"/>
  <c r="AD1028" i="1"/>
  <c r="P176" i="11"/>
  <c r="P185" i="11"/>
  <c r="P169" i="11"/>
  <c r="BY109" i="9"/>
  <c r="BY110" i="9" s="1"/>
  <c r="BU62" i="1"/>
  <c r="BZ59" i="1"/>
  <c r="AD105" i="9"/>
  <c r="BO62" i="1"/>
  <c r="H57" i="9"/>
  <c r="H1033" i="1"/>
  <c r="AI51" i="9"/>
  <c r="AK88" i="9" s="1"/>
  <c r="AK85" i="9" s="1"/>
  <c r="AI748" i="1"/>
  <c r="AI297" i="1"/>
  <c r="O90" i="1"/>
  <c r="O91" i="1"/>
  <c r="T90" i="1"/>
  <c r="V1028" i="1"/>
  <c r="G180" i="11"/>
  <c r="G168" i="11"/>
  <c r="AT37" i="9"/>
  <c r="AT105" i="1"/>
  <c r="AT106" i="1" s="1"/>
  <c r="AT418" i="1"/>
  <c r="AE64" i="9"/>
  <c r="AE66" i="9" s="1"/>
  <c r="AE706" i="1"/>
  <c r="AE724" i="1"/>
  <c r="AE725" i="1" s="1"/>
  <c r="AE726" i="1" s="1"/>
  <c r="AE727" i="1" s="1"/>
  <c r="BF117" i="9"/>
  <c r="BA68" i="9"/>
  <c r="AJ110" i="9"/>
  <c r="AJ101" i="9"/>
  <c r="BP1028" i="1"/>
  <c r="BF70" i="9"/>
  <c r="BF76" i="9" s="1"/>
  <c r="BF132" i="9" s="1"/>
  <c r="AI43" i="9"/>
  <c r="AI52" i="9"/>
  <c r="AI433" i="1"/>
  <c r="AI53" i="9" s="1"/>
  <c r="AI82" i="9" s="1"/>
  <c r="AI411" i="1"/>
  <c r="CB589" i="1"/>
  <c r="CB586" i="1"/>
  <c r="CB583" i="1"/>
  <c r="AF62" i="1"/>
  <c r="AP57" i="9"/>
  <c r="AP1033" i="1"/>
  <c r="D41" i="9"/>
  <c r="D106" i="9" s="1"/>
  <c r="D107" i="9" s="1"/>
  <c r="D111" i="9" s="1"/>
  <c r="D426" i="1"/>
  <c r="D410" i="1"/>
  <c r="AX64" i="9"/>
  <c r="AX66" i="9" s="1"/>
  <c r="AX724" i="1"/>
  <c r="AX725" i="1" s="1"/>
  <c r="AX726" i="1" s="1"/>
  <c r="AX727" i="1" s="1"/>
  <c r="AX706" i="1"/>
  <c r="U180" i="11"/>
  <c r="U168" i="11"/>
  <c r="O185" i="11"/>
  <c r="O176" i="11"/>
  <c r="O169" i="11"/>
  <c r="BY117" i="9"/>
  <c r="BT89" i="9"/>
  <c r="BT86" i="9" s="1"/>
  <c r="BT68" i="9"/>
  <c r="AT1035" i="1"/>
  <c r="C204" i="11"/>
  <c r="C205" i="11" s="1"/>
  <c r="BX60" i="9"/>
  <c r="BX1035" i="1"/>
  <c r="BA62" i="1"/>
  <c r="AD97" i="1"/>
  <c r="AZ49" i="1"/>
  <c r="AS77" i="1"/>
  <c r="CG76" i="1"/>
  <c r="CG74" i="1" s="1"/>
  <c r="CB74" i="1"/>
  <c r="AF51" i="9"/>
  <c r="AF748" i="1"/>
  <c r="AF297" i="1"/>
  <c r="BS64" i="9"/>
  <c r="BS66" i="9" s="1"/>
  <c r="BS117" i="9" s="1"/>
  <c r="BS706" i="1"/>
  <c r="BS724" i="1"/>
  <c r="BS725" i="1" s="1"/>
  <c r="BS726" i="1" s="1"/>
  <c r="BS727" i="1" s="1"/>
  <c r="BT130" i="9"/>
  <c r="BT92" i="9"/>
  <c r="AM56" i="9"/>
  <c r="AM286" i="1"/>
  <c r="AC62" i="1"/>
  <c r="BH62" i="1"/>
  <c r="AJ418" i="11"/>
  <c r="P62" i="1"/>
  <c r="F729" i="1"/>
  <c r="F730" i="1" s="1"/>
  <c r="F731" i="1" s="1"/>
  <c r="BX704" i="1"/>
  <c r="BX707" i="1"/>
  <c r="BX760" i="1" s="1"/>
  <c r="BX728" i="1"/>
  <c r="AV644" i="1"/>
  <c r="AV641" i="1"/>
  <c r="AP117" i="9"/>
  <c r="AK68" i="9"/>
  <c r="AK89" i="9"/>
  <c r="AK86" i="9" s="1"/>
  <c r="F60" i="9"/>
  <c r="F1035" i="1"/>
  <c r="L77" i="1"/>
  <c r="AO1034" i="1"/>
  <c r="AB105" i="9"/>
  <c r="E395" i="1"/>
  <c r="E293" i="1"/>
  <c r="E60" i="9" s="1"/>
  <c r="AQ49" i="1"/>
  <c r="BL49" i="1"/>
  <c r="BQ49" i="1"/>
  <c r="AM89" i="9"/>
  <c r="AM86" i="9" s="1"/>
  <c r="AC92" i="1"/>
  <c r="AH92" i="1"/>
  <c r="BJ728" i="1"/>
  <c r="BJ729" i="1" s="1"/>
  <c r="BJ730" i="1" s="1"/>
  <c r="BJ731" i="1" s="1"/>
  <c r="BJ707" i="1"/>
  <c r="BJ704" i="1"/>
  <c r="S185" i="11"/>
  <c r="S176" i="11"/>
  <c r="S169" i="11"/>
  <c r="AG76" i="1"/>
  <c r="AG77" i="1" s="1"/>
  <c r="AG75" i="1"/>
  <c r="AG113" i="1"/>
  <c r="AG531" i="1" s="1"/>
  <c r="AB51" i="9"/>
  <c r="AB748" i="1"/>
  <c r="AB297" i="1"/>
  <c r="BW62" i="1"/>
  <c r="CB59" i="1"/>
  <c r="X77" i="1"/>
  <c r="CB32" i="9"/>
  <c r="CB417" i="1"/>
  <c r="AC130" i="9"/>
  <c r="AC92" i="9"/>
  <c r="CG29" i="9"/>
  <c r="CG292" i="1"/>
  <c r="CG59" i="9" s="1"/>
  <c r="CG581" i="1"/>
  <c r="CG282" i="1"/>
  <c r="CG1026" i="1"/>
  <c r="H293" i="1"/>
  <c r="H60" i="9" s="1"/>
  <c r="H395" i="1"/>
  <c r="BT129" i="9"/>
  <c r="BW320" i="1"/>
  <c r="BW327" i="1" s="1"/>
  <c r="BW415" i="1" s="1"/>
  <c r="BW317" i="1"/>
  <c r="AN51" i="9"/>
  <c r="AN748" i="1"/>
  <c r="AN297" i="1"/>
  <c r="BD64" i="9"/>
  <c r="BD66" i="9" s="1"/>
  <c r="BD724" i="1"/>
  <c r="BD725" i="1" s="1"/>
  <c r="BD726" i="1" s="1"/>
  <c r="BD727" i="1" s="1"/>
  <c r="BD706" i="1"/>
  <c r="Z89" i="9"/>
  <c r="Z86" i="9" s="1"/>
  <c r="Z68" i="9"/>
  <c r="AX37" i="9"/>
  <c r="AX105" i="1"/>
  <c r="AX106" i="1" s="1"/>
  <c r="AX418" i="1"/>
  <c r="K183" i="11"/>
  <c r="K178" i="11"/>
  <c r="K184" i="11" s="1"/>
  <c r="K402" i="11"/>
  <c r="K403" i="11"/>
  <c r="V728" i="1"/>
  <c r="V729" i="1" s="1"/>
  <c r="V730" i="1" s="1"/>
  <c r="V731" i="1" s="1"/>
  <c r="V704" i="1"/>
  <c r="V707" i="1"/>
  <c r="AC180" i="11"/>
  <c r="AC168" i="11"/>
  <c r="BO117" i="9"/>
  <c r="BJ89" i="9"/>
  <c r="BJ86" i="9" s="1"/>
  <c r="BJ68" i="9"/>
  <c r="CE375" i="1"/>
  <c r="CE126" i="1"/>
  <c r="CE123" i="1"/>
  <c r="CE388" i="1"/>
  <c r="BD37" i="9"/>
  <c r="BD105" i="1"/>
  <c r="BD106" i="1" s="1"/>
  <c r="BD418" i="1"/>
  <c r="V51" i="9"/>
  <c r="V297" i="1"/>
  <c r="V748" i="1"/>
  <c r="AS64" i="9"/>
  <c r="AS66" i="9" s="1"/>
  <c r="AS724" i="1"/>
  <c r="AS725" i="1" s="1"/>
  <c r="AS726" i="1" s="1"/>
  <c r="AS727" i="1" s="1"/>
  <c r="AS706" i="1"/>
  <c r="AO58" i="1"/>
  <c r="AO59" i="1"/>
  <c r="AO62" i="1" s="1"/>
  <c r="BF92" i="9"/>
  <c r="BF130" i="9"/>
  <c r="AO129" i="9"/>
  <c r="AO88" i="9"/>
  <c r="AO85" i="9" s="1"/>
  <c r="AQ641" i="1"/>
  <c r="AQ644" i="1"/>
  <c r="BA51" i="9"/>
  <c r="BA748" i="1"/>
  <c r="BA297" i="1"/>
  <c r="A770" i="1"/>
  <c r="A769" i="1"/>
  <c r="A768" i="1"/>
  <c r="A767" i="1"/>
  <c r="A766" i="1"/>
  <c r="A765" i="1"/>
  <c r="A764" i="1"/>
  <c r="A3" i="1"/>
  <c r="A3" i="13" s="1"/>
  <c r="CA382" i="1"/>
  <c r="CA127" i="1"/>
  <c r="D70" i="9"/>
  <c r="D76" i="9" s="1"/>
  <c r="D132" i="9" s="1"/>
  <c r="AQ62" i="1"/>
  <c r="P1038" i="1"/>
  <c r="K129" i="9"/>
  <c r="K88" i="9"/>
  <c r="K85" i="9" s="1"/>
  <c r="AT728" i="1"/>
  <c r="AT704" i="1"/>
  <c r="AT707" i="1"/>
  <c r="AT760" i="1" s="1"/>
  <c r="AE41" i="9"/>
  <c r="AE106" i="9" s="1"/>
  <c r="AE107" i="9" s="1"/>
  <c r="AE410" i="1"/>
  <c r="AE426" i="1"/>
  <c r="M130" i="9"/>
  <c r="M92" i="9"/>
  <c r="AK185" i="11"/>
  <c r="AK169" i="11"/>
  <c r="AK176" i="11"/>
  <c r="BZ387" i="1"/>
  <c r="CC387" i="1" s="1"/>
  <c r="BZ128" i="1"/>
  <c r="CC84" i="1"/>
  <c r="AZ130" i="9"/>
  <c r="AZ92" i="9"/>
  <c r="X110" i="9"/>
  <c r="T164" i="11"/>
  <c r="T52" i="11"/>
  <c r="AC117" i="9"/>
  <c r="X89" i="9"/>
  <c r="X86" i="9" s="1"/>
  <c r="X68" i="9"/>
  <c r="BY43" i="9"/>
  <c r="BY52" i="9"/>
  <c r="BY411" i="1"/>
  <c r="BY433" i="1"/>
  <c r="BY53" i="9" s="1"/>
  <c r="BY82" i="9" s="1"/>
  <c r="AV52" i="9"/>
  <c r="AV43" i="9"/>
  <c r="AV433" i="1"/>
  <c r="AV53" i="9" s="1"/>
  <c r="AV82" i="9" s="1"/>
  <c r="AV411" i="1"/>
  <c r="BF51" i="9"/>
  <c r="BF748" i="1"/>
  <c r="BF297" i="1"/>
  <c r="AQ1028" i="1"/>
  <c r="AV1028" i="1"/>
  <c r="AW117" i="9"/>
  <c r="AR68" i="9"/>
  <c r="AD130" i="9"/>
  <c r="AD92" i="9"/>
  <c r="E204" i="11"/>
  <c r="E205" i="11" s="1"/>
  <c r="AI68" i="9"/>
  <c r="AI89" i="9"/>
  <c r="AI86" i="9" s="1"/>
  <c r="BA49" i="1"/>
  <c r="O75" i="1"/>
  <c r="R89" i="9"/>
  <c r="R86" i="9" s="1"/>
  <c r="W117" i="9"/>
  <c r="R68" i="9"/>
  <c r="M129" i="9"/>
  <c r="M88" i="9"/>
  <c r="M85" i="9" s="1"/>
  <c r="G394" i="1"/>
  <c r="G635" i="1"/>
  <c r="G636" i="1" s="1"/>
  <c r="G637" i="1" s="1"/>
  <c r="G285" i="1"/>
  <c r="AZ56" i="9"/>
  <c r="AZ286" i="1"/>
  <c r="AL75" i="1"/>
  <c r="J52" i="9"/>
  <c r="J43" i="9"/>
  <c r="J433" i="1"/>
  <c r="J53" i="9" s="1"/>
  <c r="J82" i="9" s="1"/>
  <c r="J411" i="1"/>
  <c r="BM1028" i="1"/>
  <c r="AI37" i="9"/>
  <c r="AI105" i="1"/>
  <c r="AI106" i="1" s="1"/>
  <c r="AI418" i="1"/>
  <c r="AE707" i="1"/>
  <c r="AE760" i="1" s="1"/>
  <c r="AE728" i="1"/>
  <c r="AE704" i="1"/>
  <c r="BH49" i="1"/>
  <c r="BA56" i="9"/>
  <c r="BA1035" i="1"/>
  <c r="BA286" i="1"/>
  <c r="AE110" i="9"/>
  <c r="AE101" i="9"/>
  <c r="X1035" i="1"/>
  <c r="P2" i="9"/>
  <c r="P5" i="13"/>
  <c r="K683" i="1"/>
  <c r="J683" i="1"/>
  <c r="L683" i="1"/>
  <c r="M683" i="1"/>
  <c r="U5" i="1"/>
  <c r="N683" i="1"/>
  <c r="Q5" i="1"/>
  <c r="AG37" i="9"/>
  <c r="AG105" i="1"/>
  <c r="AG106" i="1" s="1"/>
  <c r="AG418" i="1"/>
  <c r="AO56" i="9"/>
  <c r="AO286" i="1"/>
  <c r="Y130" i="9"/>
  <c r="Y92" i="9"/>
  <c r="D130" i="9"/>
  <c r="D92" i="9"/>
  <c r="D93" i="9" s="1"/>
  <c r="D96" i="9" s="1"/>
  <c r="AX704" i="1"/>
  <c r="AX707" i="1"/>
  <c r="AX728" i="1"/>
  <c r="AX729" i="1" s="1"/>
  <c r="AX730" i="1" s="1"/>
  <c r="AX731" i="1" s="1"/>
  <c r="U183" i="11"/>
  <c r="U178" i="11"/>
  <c r="U184" i="11" s="1"/>
  <c r="U402" i="11"/>
  <c r="U403" i="11"/>
  <c r="X185" i="11"/>
  <c r="X176" i="11"/>
  <c r="X169" i="11"/>
  <c r="H185" i="11"/>
  <c r="H169" i="11"/>
  <c r="H176" i="11"/>
  <c r="BX37" i="9"/>
  <c r="BX105" i="1"/>
  <c r="BX106" i="1" s="1"/>
  <c r="BX418" i="1"/>
  <c r="L129" i="9"/>
  <c r="L88" i="9"/>
  <c r="L85" i="9" s="1"/>
  <c r="BN51" i="9"/>
  <c r="BN748" i="1"/>
  <c r="BN297" i="1"/>
  <c r="AX51" i="9"/>
  <c r="AX748" i="1"/>
  <c r="AX297" i="1"/>
  <c r="P70" i="9"/>
  <c r="P76" i="9" s="1"/>
  <c r="P132" i="9" s="1"/>
  <c r="BS707" i="1"/>
  <c r="BS760" i="1" s="1"/>
  <c r="BS728" i="1"/>
  <c r="BS704" i="1"/>
  <c r="U415" i="1"/>
  <c r="AL129" i="9"/>
  <c r="AY77" i="1"/>
  <c r="BD77" i="1"/>
  <c r="AY48" i="1"/>
  <c r="AY49" i="1" s="1"/>
  <c r="AY47" i="1"/>
  <c r="AM395" i="1"/>
  <c r="AM293" i="1"/>
  <c r="AM60" i="9" s="1"/>
  <c r="CC948" i="1"/>
  <c r="CC953" i="1" s="1"/>
  <c r="BW117" i="9" l="1"/>
  <c r="BW89" i="9"/>
  <c r="BW86" i="9" s="1"/>
  <c r="BW68" i="9"/>
  <c r="BW70" i="9" s="1"/>
  <c r="BW76" i="9" s="1"/>
  <c r="BW132" i="9" s="1"/>
  <c r="AM41" i="9"/>
  <c r="AM106" i="9" s="1"/>
  <c r="AM410" i="1"/>
  <c r="AM426" i="1"/>
  <c r="BK130" i="9"/>
  <c r="BK92" i="9"/>
  <c r="BC410" i="1"/>
  <c r="BC41" i="9"/>
  <c r="BC106" i="9" s="1"/>
  <c r="BF107" i="9" s="1"/>
  <c r="BF111" i="9" s="1"/>
  <c r="BC426" i="1"/>
  <c r="AI403" i="11"/>
  <c r="AI183" i="11"/>
  <c r="AI178" i="11"/>
  <c r="AI184" i="11" s="1"/>
  <c r="AI402" i="11"/>
  <c r="AM130" i="9"/>
  <c r="AM92" i="9"/>
  <c r="AH168" i="11"/>
  <c r="AH180" i="11"/>
  <c r="AC88" i="9"/>
  <c r="AC85" i="9" s="1"/>
  <c r="BE1035" i="1"/>
  <c r="Y62" i="1"/>
  <c r="BW105" i="9"/>
  <c r="CC1140" i="1"/>
  <c r="AI168" i="11"/>
  <c r="AI180" i="11"/>
  <c r="BC130" i="9"/>
  <c r="BC92" i="9"/>
  <c r="AH402" i="11"/>
  <c r="AH403" i="11"/>
  <c r="AH183" i="11"/>
  <c r="AH178" i="11"/>
  <c r="AH184" i="11" s="1"/>
  <c r="BI1034" i="1"/>
  <c r="AQ101" i="9"/>
  <c r="BU1035" i="1"/>
  <c r="AE412" i="11"/>
  <c r="BW1035" i="1"/>
  <c r="AL410" i="1"/>
  <c r="AL426" i="1"/>
  <c r="AL41" i="9"/>
  <c r="AL106" i="9" s="1"/>
  <c r="N1035" i="1"/>
  <c r="AF105" i="9"/>
  <c r="AL130" i="9"/>
  <c r="AL92" i="9"/>
  <c r="AU426" i="1"/>
  <c r="AU410" i="1"/>
  <c r="AU41" i="9"/>
  <c r="AU106" i="9" s="1"/>
  <c r="AU107" i="9" s="1"/>
  <c r="AU111" i="9" s="1"/>
  <c r="D168" i="11"/>
  <c r="D180" i="11"/>
  <c r="CB869" i="1"/>
  <c r="CC869" i="1" s="1"/>
  <c r="AU130" i="9"/>
  <c r="AU92" i="9"/>
  <c r="D178" i="11"/>
  <c r="D184" i="11" s="1"/>
  <c r="D183" i="11"/>
  <c r="D403" i="11"/>
  <c r="D402" i="11"/>
  <c r="U1034" i="1"/>
  <c r="BY938" i="1"/>
  <c r="AL105" i="9"/>
  <c r="CD1170" i="1"/>
  <c r="BN62" i="1"/>
  <c r="I449" i="11"/>
  <c r="CF773" i="1"/>
  <c r="CF10" i="9" s="1"/>
  <c r="CG1016" i="1"/>
  <c r="BK41" i="9"/>
  <c r="BK106" i="9" s="1"/>
  <c r="BK426" i="1"/>
  <c r="BK410" i="1"/>
  <c r="BF93" i="9"/>
  <c r="BF96" i="9" s="1"/>
  <c r="R105" i="9"/>
  <c r="AJ62" i="1"/>
  <c r="CC382" i="1"/>
  <c r="AN62" i="1"/>
  <c r="AH105" i="9"/>
  <c r="S105" i="9"/>
  <c r="CE129" i="1"/>
  <c r="T62" i="1"/>
  <c r="AM88" i="9"/>
  <c r="AM85" i="9" s="1"/>
  <c r="BN49" i="1"/>
  <c r="F219" i="11"/>
  <c r="F221" i="11"/>
  <c r="E223" i="11"/>
  <c r="AQ89" i="9"/>
  <c r="AQ86" i="9" s="1"/>
  <c r="AR89" i="9"/>
  <c r="AR86" i="9" s="1"/>
  <c r="AP89" i="9"/>
  <c r="AP86" i="9" s="1"/>
  <c r="AI1027" i="1"/>
  <c r="AI109" i="1"/>
  <c r="AI108" i="1"/>
  <c r="AY1027" i="1"/>
  <c r="AY109" i="1"/>
  <c r="AY108" i="1"/>
  <c r="BN1027" i="1"/>
  <c r="BN108" i="1"/>
  <c r="BN109" i="1"/>
  <c r="BX1027" i="1"/>
  <c r="BX108" i="1"/>
  <c r="BX109" i="1"/>
  <c r="CG75" i="1"/>
  <c r="CG64" i="1"/>
  <c r="CG385" i="1"/>
  <c r="CB403" i="1"/>
  <c r="H180" i="11"/>
  <c r="H168" i="11"/>
  <c r="J130" i="9"/>
  <c r="J92" i="9"/>
  <c r="J93" i="9" s="1"/>
  <c r="G395" i="1"/>
  <c r="G293" i="1"/>
  <c r="G60" i="9" s="1"/>
  <c r="AV41" i="9"/>
  <c r="AV106" i="9" s="1"/>
  <c r="AV426" i="1"/>
  <c r="AV410" i="1"/>
  <c r="BY130" i="9"/>
  <c r="BY92" i="9"/>
  <c r="AG1027" i="1"/>
  <c r="AG109" i="1"/>
  <c r="V129" i="9"/>
  <c r="AX89" i="9"/>
  <c r="AX86" i="9" s="1"/>
  <c r="BC117" i="9"/>
  <c r="AX68" i="9"/>
  <c r="P415" i="11"/>
  <c r="P183" i="11"/>
  <c r="P178" i="11"/>
  <c r="P184" i="11" s="1"/>
  <c r="P402" i="11"/>
  <c r="P403" i="11"/>
  <c r="BA110" i="9"/>
  <c r="BA101" i="9"/>
  <c r="R180" i="11"/>
  <c r="R168" i="11"/>
  <c r="CG390" i="1"/>
  <c r="CG79" i="1"/>
  <c r="CG113" i="1"/>
  <c r="CG531" i="1" s="1"/>
  <c r="CG532" i="1" s="1"/>
  <c r="CG533" i="1" s="1"/>
  <c r="CG90" i="1"/>
  <c r="CG376" i="1"/>
  <c r="CG121" i="1"/>
  <c r="AT53" i="9"/>
  <c r="AT757" i="1"/>
  <c r="AO130" i="9"/>
  <c r="AO92" i="9"/>
  <c r="AO93" i="9" s="1"/>
  <c r="AO96" i="9" s="1"/>
  <c r="O395" i="1"/>
  <c r="O293" i="1"/>
  <c r="O60" i="9" s="1"/>
  <c r="AT1028" i="1"/>
  <c r="BZ129" i="1"/>
  <c r="BD88" i="9"/>
  <c r="BD85" i="9" s="1"/>
  <c r="BD129" i="9"/>
  <c r="BS936" i="1"/>
  <c r="BS927" i="1"/>
  <c r="BS938" i="1"/>
  <c r="AE129" i="9"/>
  <c r="AE88" i="9"/>
  <c r="AE85" i="9" s="1"/>
  <c r="BV70" i="9"/>
  <c r="BV76" i="9" s="1"/>
  <c r="BV132" i="9" s="1"/>
  <c r="D293" i="1"/>
  <c r="D60" i="9" s="1"/>
  <c r="D395" i="1"/>
  <c r="BD117" i="9"/>
  <c r="AY68" i="9"/>
  <c r="AY89" i="9"/>
  <c r="AY86" i="9" s="1"/>
  <c r="AA70" i="9"/>
  <c r="AA76" i="9" s="1"/>
  <c r="AA132" i="9" s="1"/>
  <c r="F180" i="11"/>
  <c r="F168" i="11"/>
  <c r="CD29" i="9"/>
  <c r="CD962" i="1"/>
  <c r="CD995" i="1"/>
  <c r="CD875" i="1" s="1"/>
  <c r="CH370" i="1"/>
  <c r="CD292" i="1"/>
  <c r="CD59" i="9" s="1"/>
  <c r="CD581" i="1"/>
  <c r="CD282" i="1"/>
  <c r="CE995" i="1"/>
  <c r="CE962" i="1"/>
  <c r="CD1026" i="1"/>
  <c r="T98" i="9"/>
  <c r="W98" i="9"/>
  <c r="Z52" i="9"/>
  <c r="Z43" i="9"/>
  <c r="Z1038" i="1"/>
  <c r="Z433" i="1"/>
  <c r="Z411" i="1"/>
  <c r="U395" i="1"/>
  <c r="U293" i="1"/>
  <c r="AJ1027" i="1"/>
  <c r="AJ109" i="1"/>
  <c r="R40" i="9"/>
  <c r="R409" i="1"/>
  <c r="R420" i="1" s="1"/>
  <c r="BQ129" i="9"/>
  <c r="AK40" i="9"/>
  <c r="AK409" i="1"/>
  <c r="AK420" i="1" s="1"/>
  <c r="CC54" i="1"/>
  <c r="CC121" i="1"/>
  <c r="AJ43" i="9"/>
  <c r="AJ1038" i="1"/>
  <c r="AJ52" i="9"/>
  <c r="AJ433" i="1"/>
  <c r="AJ411" i="1"/>
  <c r="BF40" i="9"/>
  <c r="BF409" i="1"/>
  <c r="BF420" i="1" s="1"/>
  <c r="CE66" i="1"/>
  <c r="BV41" i="9"/>
  <c r="BV106" i="9" s="1"/>
  <c r="BV426" i="1"/>
  <c r="BV410" i="1"/>
  <c r="AJ92" i="1"/>
  <c r="AO92" i="1"/>
  <c r="AB183" i="11"/>
  <c r="AB178" i="11"/>
  <c r="AB184" i="11" s="1"/>
  <c r="AB402" i="11"/>
  <c r="AB403" i="11"/>
  <c r="BO44" i="9"/>
  <c r="BO422" i="1"/>
  <c r="AH1027" i="1"/>
  <c r="AH109" i="1"/>
  <c r="AH108" i="1"/>
  <c r="BV214" i="1"/>
  <c r="BU214" i="1"/>
  <c r="BU218" i="1" s="1"/>
  <c r="BS220" i="1"/>
  <c r="BT214" i="1"/>
  <c r="AP88" i="9"/>
  <c r="AP85" i="9" s="1"/>
  <c r="AP129" i="9"/>
  <c r="AS88" i="9"/>
  <c r="AS85" i="9" s="1"/>
  <c r="CF590" i="1"/>
  <c r="CF582" i="1"/>
  <c r="CF587" i="1"/>
  <c r="Q1035" i="1"/>
  <c r="K70" i="9"/>
  <c r="K76" i="9" s="1"/>
  <c r="K132" i="9" s="1"/>
  <c r="AB56" i="9"/>
  <c r="AB286" i="1"/>
  <c r="AW129" i="9"/>
  <c r="AW88" i="9"/>
  <c r="AW85" i="9" s="1"/>
  <c r="N180" i="11"/>
  <c r="N168" i="11"/>
  <c r="BX130" i="9"/>
  <c r="BX92" i="9"/>
  <c r="BX93" i="9" s="1"/>
  <c r="BX96" i="9" s="1"/>
  <c r="C221" i="11"/>
  <c r="C219" i="11"/>
  <c r="C216" i="11"/>
  <c r="BG40" i="9"/>
  <c r="BG409" i="1"/>
  <c r="BG420" i="1" s="1"/>
  <c r="BG422" i="1" s="1"/>
  <c r="BI1027" i="1"/>
  <c r="BI109" i="1"/>
  <c r="BI108" i="1"/>
  <c r="CF385" i="1"/>
  <c r="CF75" i="1"/>
  <c r="CF64" i="1"/>
  <c r="BR70" i="9"/>
  <c r="BR76" i="9" s="1"/>
  <c r="BR132" i="9" s="1"/>
  <c r="CJ22" i="9"/>
  <c r="CK11" i="1"/>
  <c r="CK22" i="9" s="1"/>
  <c r="BW51" i="9"/>
  <c r="BY88" i="9" s="1"/>
  <c r="BY85" i="9" s="1"/>
  <c r="BW748" i="1"/>
  <c r="BW297" i="1"/>
  <c r="BO40" i="9"/>
  <c r="BO409" i="1"/>
  <c r="BO420" i="1" s="1"/>
  <c r="BO427" i="1" s="1"/>
  <c r="AM37" i="9"/>
  <c r="AM105" i="1"/>
  <c r="AM106" i="1" s="1"/>
  <c r="AM418" i="1"/>
  <c r="U43" i="9"/>
  <c r="U52" i="9"/>
  <c r="U1038" i="1"/>
  <c r="U411" i="1"/>
  <c r="U433" i="1"/>
  <c r="AE40" i="9"/>
  <c r="AE409" i="1"/>
  <c r="AE420" i="1" s="1"/>
  <c r="BZ447" i="1"/>
  <c r="BZ444" i="1"/>
  <c r="CD769" i="1"/>
  <c r="CD753" i="1" s="1"/>
  <c r="CE769" i="1"/>
  <c r="CE753" i="1" s="1"/>
  <c r="CC769" i="1"/>
  <c r="CC753" i="1" s="1"/>
  <c r="CA769" i="1"/>
  <c r="CA753" i="1" s="1"/>
  <c r="CI769" i="1"/>
  <c r="CI753" i="1" s="1"/>
  <c r="BZ769" i="1"/>
  <c r="BZ753" i="1" s="1"/>
  <c r="CG769" i="1"/>
  <c r="CG753" i="1" s="1"/>
  <c r="CF769" i="1"/>
  <c r="CF753" i="1" s="1"/>
  <c r="CK769" i="1"/>
  <c r="CK753" i="1" s="1"/>
  <c r="CH769" i="1"/>
  <c r="CH753" i="1" s="1"/>
  <c r="CJ769" i="1"/>
  <c r="CJ753" i="1" s="1"/>
  <c r="CB769" i="1"/>
  <c r="CB753" i="1" s="1"/>
  <c r="BJ70" i="9"/>
  <c r="BJ76" i="9" s="1"/>
  <c r="BJ132" i="9" s="1"/>
  <c r="AX1027" i="1"/>
  <c r="AX109" i="1"/>
  <c r="AX108" i="1"/>
  <c r="BI117" i="9"/>
  <c r="BD89" i="9"/>
  <c r="BD86" i="9" s="1"/>
  <c r="BD68" i="9"/>
  <c r="CG590" i="1"/>
  <c r="CG587" i="1"/>
  <c r="CG582" i="1"/>
  <c r="AF129" i="9"/>
  <c r="AF88" i="9"/>
  <c r="AF85" i="9" s="1"/>
  <c r="O180" i="11"/>
  <c r="O168" i="11"/>
  <c r="D40" i="9"/>
  <c r="D409" i="1"/>
  <c r="D420" i="1" s="1"/>
  <c r="BK70" i="9"/>
  <c r="BK76" i="9" s="1"/>
  <c r="BK132" i="9" s="1"/>
  <c r="AH41" i="9"/>
  <c r="AH106" i="9" s="1"/>
  <c r="AK107" i="9" s="1"/>
  <c r="AK111" i="9" s="1"/>
  <c r="AH426" i="1"/>
  <c r="AH410" i="1"/>
  <c r="CC122" i="1"/>
  <c r="CC72" i="1"/>
  <c r="AX101" i="9"/>
  <c r="AX110" i="9"/>
  <c r="CG375" i="1"/>
  <c r="CG126" i="1"/>
  <c r="CG387" i="1"/>
  <c r="CG128" i="1"/>
  <c r="AT41" i="9"/>
  <c r="AT106" i="9" s="1"/>
  <c r="AT107" i="9" s="1"/>
  <c r="AT111" i="9" s="1"/>
  <c r="AT410" i="1"/>
  <c r="AT426" i="1"/>
  <c r="AV37" i="9"/>
  <c r="AV105" i="1"/>
  <c r="AV106" i="1" s="1"/>
  <c r="AV418" i="1"/>
  <c r="CJ24" i="9"/>
  <c r="CK26" i="1"/>
  <c r="CK24" i="9" s="1"/>
  <c r="AS1028" i="1"/>
  <c r="AU1028" i="1"/>
  <c r="AR1028" i="1"/>
  <c r="AZ40" i="9"/>
  <c r="AZ409" i="1"/>
  <c r="AZ420" i="1" s="1"/>
  <c r="BZ31" i="9"/>
  <c r="BZ416" i="1"/>
  <c r="CC375" i="1"/>
  <c r="CC31" i="9" s="1"/>
  <c r="P40" i="9"/>
  <c r="P409" i="1"/>
  <c r="P420" i="1" s="1"/>
  <c r="P422" i="1" s="1"/>
  <c r="AB130" i="9"/>
  <c r="AB92" i="9"/>
  <c r="BM60" i="9"/>
  <c r="BM1035" i="1"/>
  <c r="BU130" i="9"/>
  <c r="BU92" i="9"/>
  <c r="U75" i="1"/>
  <c r="U76" i="1"/>
  <c r="Z75" i="1"/>
  <c r="AP77" i="1"/>
  <c r="AB70" i="9"/>
  <c r="AB76" i="9" s="1"/>
  <c r="AB132" i="9" s="1"/>
  <c r="F406" i="11"/>
  <c r="F178" i="11"/>
  <c r="F184" i="11" s="1"/>
  <c r="F183" i="11"/>
  <c r="F402" i="11"/>
  <c r="F403" i="11"/>
  <c r="AP70" i="9"/>
  <c r="AP76" i="9" s="1"/>
  <c r="AP132" i="9" s="1"/>
  <c r="V41" i="9"/>
  <c r="V106" i="9" s="1"/>
  <c r="V426" i="1"/>
  <c r="V410" i="1"/>
  <c r="BM98" i="9"/>
  <c r="BO98" i="9"/>
  <c r="AN1028" i="1"/>
  <c r="AM1028" i="1"/>
  <c r="U416" i="11"/>
  <c r="Q176" i="11"/>
  <c r="P406" i="11" s="1"/>
  <c r="Q185" i="11"/>
  <c r="Q169" i="11"/>
  <c r="U57" i="9"/>
  <c r="U1033" i="1"/>
  <c r="BR37" i="9"/>
  <c r="BR105" i="1"/>
  <c r="BR106" i="1" s="1"/>
  <c r="BR418" i="1"/>
  <c r="E82" i="9"/>
  <c r="E121" i="9"/>
  <c r="BN43" i="9"/>
  <c r="BN52" i="9"/>
  <c r="BN1038" i="1"/>
  <c r="BN433" i="1"/>
  <c r="BN411" i="1"/>
  <c r="AH129" i="9"/>
  <c r="AH88" i="9"/>
  <c r="AH85" i="9" s="1"/>
  <c r="BZ32" i="9"/>
  <c r="BZ417" i="1"/>
  <c r="CC376" i="1"/>
  <c r="CC32" i="9" s="1"/>
  <c r="BM52" i="9"/>
  <c r="BM43" i="9"/>
  <c r="BM433" i="1"/>
  <c r="BM53" i="9" s="1"/>
  <c r="BM82" i="9" s="1"/>
  <c r="BM411" i="1"/>
  <c r="BL98" i="9"/>
  <c r="AW37" i="9"/>
  <c r="AW105" i="1"/>
  <c r="AW106" i="1" s="1"/>
  <c r="BB108" i="1" s="1"/>
  <c r="AW418" i="1"/>
  <c r="BT40" i="9"/>
  <c r="BT409" i="1"/>
  <c r="BT420" i="1" s="1"/>
  <c r="AX130" i="9"/>
  <c r="AX92" i="9"/>
  <c r="AB180" i="11"/>
  <c r="AB168" i="11"/>
  <c r="AP92" i="9"/>
  <c r="AS93" i="9" s="1"/>
  <c r="AS96" i="9" s="1"/>
  <c r="AP130" i="9"/>
  <c r="BR51" i="9"/>
  <c r="BU88" i="9" s="1"/>
  <c r="BU85" i="9" s="1"/>
  <c r="BR748" i="1"/>
  <c r="BR297" i="1"/>
  <c r="BO1027" i="1"/>
  <c r="BO109" i="1"/>
  <c r="CF1010" i="1"/>
  <c r="AF130" i="9"/>
  <c r="AF92" i="9"/>
  <c r="CF995" i="1"/>
  <c r="AJ729" i="1"/>
  <c r="AJ730" i="1" s="1"/>
  <c r="AJ731" i="1" s="1"/>
  <c r="AB395" i="1"/>
  <c r="AB293" i="1"/>
  <c r="AB60" i="9" s="1"/>
  <c r="V98" i="9"/>
  <c r="I3" i="11"/>
  <c r="J4" i="11"/>
  <c r="CC96" i="1"/>
  <c r="CC97" i="1" s="1"/>
  <c r="CC102" i="1"/>
  <c r="CC103" i="1" s="1"/>
  <c r="CA608" i="1"/>
  <c r="BZ608" i="1"/>
  <c r="CC590" i="1"/>
  <c r="BY608" i="1"/>
  <c r="CB608" i="1"/>
  <c r="CC608" i="1"/>
  <c r="BG107" i="9"/>
  <c r="BG111" i="9" s="1"/>
  <c r="CE4" i="9"/>
  <c r="BH117" i="9"/>
  <c r="BC89" i="9"/>
  <c r="BC86" i="9" s="1"/>
  <c r="BC68" i="9"/>
  <c r="BE89" i="9"/>
  <c r="BE86" i="9" s="1"/>
  <c r="BF89" i="9"/>
  <c r="BF86" i="9" s="1"/>
  <c r="AO37" i="9"/>
  <c r="AO105" i="1"/>
  <c r="AO106" i="1" s="1"/>
  <c r="AO418" i="1"/>
  <c r="CF383" i="1"/>
  <c r="CF122" i="1"/>
  <c r="CF382" i="1"/>
  <c r="CF127" i="1"/>
  <c r="AZ37" i="9"/>
  <c r="AZ105" i="1"/>
  <c r="AZ106" i="1" s="1"/>
  <c r="AZ418" i="1"/>
  <c r="BC105" i="9"/>
  <c r="BC101" i="9"/>
  <c r="BN70" i="9"/>
  <c r="BN76" i="9" s="1"/>
  <c r="BN132" i="9" s="1"/>
  <c r="AF180" i="11"/>
  <c r="AF168" i="11"/>
  <c r="AP1028" i="1"/>
  <c r="X180" i="11"/>
  <c r="X168" i="11"/>
  <c r="X70" i="9"/>
  <c r="X76" i="9" s="1"/>
  <c r="X132" i="9" s="1"/>
  <c r="AK178" i="11"/>
  <c r="AK184" i="11" s="1"/>
  <c r="AK183" i="11"/>
  <c r="AK402" i="11"/>
  <c r="AK403" i="11"/>
  <c r="C768" i="1"/>
  <c r="BD1027" i="1"/>
  <c r="BD109" i="1"/>
  <c r="BD108" i="1"/>
  <c r="AB129" i="9"/>
  <c r="AB88" i="9"/>
  <c r="AB85" i="9" s="1"/>
  <c r="CB385" i="1"/>
  <c r="CB64" i="1"/>
  <c r="CB75" i="1"/>
  <c r="CB113" i="1"/>
  <c r="CB531" i="1" s="1"/>
  <c r="CB532" i="1" s="1"/>
  <c r="CB533" i="1" s="1"/>
  <c r="O178" i="11"/>
  <c r="O184" i="11" s="1"/>
  <c r="O183" i="11"/>
  <c r="O406" i="11"/>
  <c r="O402" i="11"/>
  <c r="O403" i="11"/>
  <c r="AI41" i="9"/>
  <c r="AI106" i="9" s="1"/>
  <c r="AI426" i="1"/>
  <c r="AI410" i="1"/>
  <c r="AI129" i="9"/>
  <c r="AI88" i="9"/>
  <c r="AI85" i="9" s="1"/>
  <c r="BP129" i="9"/>
  <c r="M40" i="9"/>
  <c r="M409" i="1"/>
  <c r="M420" i="1" s="1"/>
  <c r="P82" i="9"/>
  <c r="P121" i="9"/>
  <c r="Q70" i="9"/>
  <c r="Q76" i="9" s="1"/>
  <c r="Q132" i="9" s="1"/>
  <c r="R406" i="11"/>
  <c r="R183" i="11"/>
  <c r="R178" i="11"/>
  <c r="R184" i="11" s="1"/>
  <c r="R402" i="11"/>
  <c r="R403" i="11"/>
  <c r="CG382" i="1"/>
  <c r="CG127" i="1"/>
  <c r="CG388" i="1"/>
  <c r="CG123" i="1"/>
  <c r="AD88" i="9"/>
  <c r="AD85" i="9" s="1"/>
  <c r="BD52" i="9"/>
  <c r="BD43" i="9"/>
  <c r="BD1038" i="1"/>
  <c r="BD433" i="1"/>
  <c r="BD411" i="1"/>
  <c r="F40" i="9"/>
  <c r="F409" i="1"/>
  <c r="F420" i="1" s="1"/>
  <c r="F422" i="1" s="1"/>
  <c r="BM37" i="9"/>
  <c r="BM105" i="1"/>
  <c r="BM106" i="1" s="1"/>
  <c r="BM418" i="1"/>
  <c r="X130" i="9"/>
  <c r="X92" i="9"/>
  <c r="S1027" i="1"/>
  <c r="S109" i="1"/>
  <c r="BO70" i="9"/>
  <c r="BO76" i="9" s="1"/>
  <c r="BO132" i="9" s="1"/>
  <c r="AK37" i="9"/>
  <c r="AK105" i="1"/>
  <c r="AK106" i="1" s="1"/>
  <c r="AK418" i="1"/>
  <c r="AJ129" i="9"/>
  <c r="AJ88" i="9"/>
  <c r="AJ85" i="9" s="1"/>
  <c r="BY70" i="9"/>
  <c r="BY76" i="9" s="1"/>
  <c r="BY132" i="9" s="1"/>
  <c r="V130" i="9"/>
  <c r="V92" i="9"/>
  <c r="AN41" i="9"/>
  <c r="AN106" i="9" s="1"/>
  <c r="AN426" i="1"/>
  <c r="AN410" i="1"/>
  <c r="BL41" i="9"/>
  <c r="BL106" i="9" s="1"/>
  <c r="BL426" i="1"/>
  <c r="BL410" i="1"/>
  <c r="H40" i="9"/>
  <c r="H409" i="1"/>
  <c r="H420" i="1" s="1"/>
  <c r="AN707" i="1"/>
  <c r="AN728" i="1"/>
  <c r="AN729" i="1" s="1"/>
  <c r="AN730" i="1" s="1"/>
  <c r="AN731" i="1" s="1"/>
  <c r="AN704" i="1"/>
  <c r="BH105" i="9"/>
  <c r="F70" i="9"/>
  <c r="F76" i="9" s="1"/>
  <c r="F132" i="9" s="1"/>
  <c r="AX103" i="9"/>
  <c r="AX104" i="9" s="1"/>
  <c r="AX105" i="9" s="1"/>
  <c r="BA103" i="9"/>
  <c r="BA104" i="9" s="1"/>
  <c r="BA105" i="9" s="1"/>
  <c r="AZ103" i="9"/>
  <c r="AZ104" i="9" s="1"/>
  <c r="AZ105" i="9" s="1"/>
  <c r="BB103" i="9"/>
  <c r="BB104" i="9" s="1"/>
  <c r="BB105" i="9" s="1"/>
  <c r="AE497" i="1"/>
  <c r="AE492" i="1"/>
  <c r="R37" i="9"/>
  <c r="R105" i="1"/>
  <c r="R106" i="1" s="1"/>
  <c r="R418" i="1"/>
  <c r="BN1034" i="1"/>
  <c r="CC8" i="9"/>
  <c r="CC1025" i="1"/>
  <c r="CD737" i="1"/>
  <c r="T70" i="9"/>
  <c r="T76" i="9" s="1"/>
  <c r="T132" i="9" s="1"/>
  <c r="BZ124" i="1"/>
  <c r="BH1035" i="1"/>
  <c r="K130" i="9"/>
  <c r="K92" i="9"/>
  <c r="K93" i="9" s="1"/>
  <c r="K96" i="9" s="1"/>
  <c r="AI105" i="9"/>
  <c r="BV129" i="9"/>
  <c r="CE34" i="9"/>
  <c r="CE381" i="1"/>
  <c r="CE281" i="1" s="1"/>
  <c r="CE291" i="1"/>
  <c r="CE57" i="9" s="1"/>
  <c r="AX1028" i="1"/>
  <c r="F217" i="11"/>
  <c r="F222" i="11"/>
  <c r="J37" i="9"/>
  <c r="J105" i="1"/>
  <c r="J106" i="1" s="1"/>
  <c r="J418" i="1"/>
  <c r="M497" i="1"/>
  <c r="M492" i="1"/>
  <c r="W497" i="1"/>
  <c r="W492" i="1"/>
  <c r="AW1035" i="1"/>
  <c r="BU129" i="9"/>
  <c r="J70" i="9"/>
  <c r="J76" i="9" s="1"/>
  <c r="J132" i="9" s="1"/>
  <c r="CF962" i="1"/>
  <c r="AA1027" i="1"/>
  <c r="AA108" i="1"/>
  <c r="AA109" i="1"/>
  <c r="AG40" i="9"/>
  <c r="AG409" i="1"/>
  <c r="AG420" i="1" s="1"/>
  <c r="AG44" i="9" s="1"/>
  <c r="BZ385" i="1"/>
  <c r="BZ64" i="1"/>
  <c r="BZ75" i="1"/>
  <c r="CC74" i="1"/>
  <c r="U70" i="9"/>
  <c r="U76" i="9" s="1"/>
  <c r="U132" i="9" s="1"/>
  <c r="AN1027" i="1"/>
  <c r="AN109" i="1"/>
  <c r="AN111" i="1" s="1"/>
  <c r="AN108" i="1"/>
  <c r="BZ4" i="9"/>
  <c r="CF375" i="1"/>
  <c r="CF126" i="1"/>
  <c r="BA37" i="9"/>
  <c r="BA105" i="1"/>
  <c r="BA106" i="1" s="1"/>
  <c r="BA418" i="1"/>
  <c r="BZ390" i="1"/>
  <c r="BZ90" i="1"/>
  <c r="BZ113" i="1"/>
  <c r="BZ531" i="1" s="1"/>
  <c r="BZ79" i="1"/>
  <c r="CC89" i="1"/>
  <c r="N40" i="9"/>
  <c r="N409" i="1"/>
  <c r="N420" i="1" s="1"/>
  <c r="AY41" i="9"/>
  <c r="AY106" i="9" s="1"/>
  <c r="AY107" i="9" s="1"/>
  <c r="AY111" i="9" s="1"/>
  <c r="AY426" i="1"/>
  <c r="AY410" i="1"/>
  <c r="CA124" i="1"/>
  <c r="U92" i="1"/>
  <c r="Z92" i="1"/>
  <c r="AF402" i="11"/>
  <c r="AF183" i="11"/>
  <c r="AF178" i="11"/>
  <c r="AF184" i="11" s="1"/>
  <c r="AF403" i="11"/>
  <c r="X98" i="9"/>
  <c r="X101" i="9" s="1"/>
  <c r="X178" i="11"/>
  <c r="X184" i="11" s="1"/>
  <c r="X183" i="11"/>
  <c r="X402" i="11"/>
  <c r="X403" i="11"/>
  <c r="AZ1035" i="1"/>
  <c r="AV130" i="9"/>
  <c r="AV92" i="9"/>
  <c r="AV93" i="9" s="1"/>
  <c r="AV96" i="9" s="1"/>
  <c r="AK180" i="11"/>
  <c r="AK168" i="11"/>
  <c r="BA129" i="9"/>
  <c r="BA88" i="9"/>
  <c r="BA85" i="9" s="1"/>
  <c r="Z70" i="9"/>
  <c r="Z76" i="9" s="1"/>
  <c r="Z132" i="9" s="1"/>
  <c r="E37" i="9"/>
  <c r="E105" i="1"/>
  <c r="E106" i="1" s="1"/>
  <c r="E418" i="1"/>
  <c r="BX729" i="1"/>
  <c r="BX730" i="1" s="1"/>
  <c r="BX731" i="1" s="1"/>
  <c r="AE89" i="9"/>
  <c r="AE86" i="9" s="1"/>
  <c r="AE68" i="9"/>
  <c r="AJ117" i="9"/>
  <c r="O92" i="1"/>
  <c r="T92" i="1"/>
  <c r="CE59" i="1"/>
  <c r="CE57" i="1" s="1"/>
  <c r="BZ57" i="1"/>
  <c r="AH92" i="9"/>
  <c r="AH130" i="9"/>
  <c r="AY117" i="9"/>
  <c r="AT89" i="9"/>
  <c r="AT86" i="9" s="1"/>
  <c r="AT68" i="9"/>
  <c r="BE37" i="9"/>
  <c r="BE105" i="1"/>
  <c r="BE106" i="1" s="1"/>
  <c r="BE418" i="1"/>
  <c r="CG383" i="1"/>
  <c r="CG122" i="1"/>
  <c r="AT130" i="9"/>
  <c r="AT92" i="9"/>
  <c r="AT93" i="9" s="1"/>
  <c r="AT96" i="9" s="1"/>
  <c r="AZ89" i="9"/>
  <c r="AZ86" i="9" s="1"/>
  <c r="AC1027" i="1"/>
  <c r="AC108" i="1"/>
  <c r="AC109" i="1"/>
  <c r="AU5" i="11"/>
  <c r="AU436" i="11" s="1"/>
  <c r="AU437" i="11" s="1"/>
  <c r="AA52" i="9"/>
  <c r="AA43" i="9"/>
  <c r="AA433" i="1"/>
  <c r="AA53" i="9" s="1"/>
  <c r="AA82" i="9" s="1"/>
  <c r="AA411" i="1"/>
  <c r="AE1038" i="1"/>
  <c r="BB44" i="9"/>
  <c r="BB422" i="1"/>
  <c r="BB427" i="1"/>
  <c r="C121" i="9"/>
  <c r="C82" i="9"/>
  <c r="AE56" i="9"/>
  <c r="AE286" i="1"/>
  <c r="J843" i="1"/>
  <c r="I844" i="1"/>
  <c r="E40" i="9"/>
  <c r="E409" i="1"/>
  <c r="E420" i="1" s="1"/>
  <c r="BM70" i="9"/>
  <c r="BM76" i="9" s="1"/>
  <c r="BM132" i="9" s="1"/>
  <c r="Y40" i="9"/>
  <c r="Y409" i="1"/>
  <c r="Y420" i="1" s="1"/>
  <c r="Y427" i="1" s="1"/>
  <c r="AR88" i="9"/>
  <c r="AR85" i="9" s="1"/>
  <c r="BE101" i="9"/>
  <c r="Z129" i="9"/>
  <c r="Z88" i="9"/>
  <c r="Z85" i="9" s="1"/>
  <c r="AG463" i="1"/>
  <c r="AG467" i="1" s="1"/>
  <c r="AF480" i="1"/>
  <c r="AF490" i="1" s="1"/>
  <c r="W77" i="1"/>
  <c r="AB77" i="1"/>
  <c r="CB855" i="1"/>
  <c r="CB721" i="1"/>
  <c r="CB722" i="1" s="1"/>
  <c r="CB413" i="1"/>
  <c r="CB421" i="1" s="1"/>
  <c r="CB44" i="9" s="1"/>
  <c r="AQ40" i="9"/>
  <c r="AQ409" i="1"/>
  <c r="AQ420" i="1" s="1"/>
  <c r="AG88" i="9"/>
  <c r="AG85" i="9" s="1"/>
  <c r="U129" i="9"/>
  <c r="U88" i="9"/>
  <c r="U85" i="9" s="1"/>
  <c r="AC110" i="9"/>
  <c r="AC101" i="9"/>
  <c r="V1027" i="1"/>
  <c r="V109" i="1"/>
  <c r="O463" i="1"/>
  <c r="O467" i="1" s="1"/>
  <c r="O480" i="1" s="1"/>
  <c r="O490" i="1" s="1"/>
  <c r="N480" i="1"/>
  <c r="N490" i="1" s="1"/>
  <c r="BR98" i="9"/>
  <c r="BT98" i="9"/>
  <c r="CA385" i="1"/>
  <c r="CA75" i="1"/>
  <c r="CA64" i="1"/>
  <c r="Y463" i="1"/>
  <c r="Y467" i="1" s="1"/>
  <c r="Y480" i="1" s="1"/>
  <c r="Y490" i="1" s="1"/>
  <c r="X480" i="1"/>
  <c r="X490" i="1" s="1"/>
  <c r="BC129" i="9"/>
  <c r="BC88" i="9"/>
  <c r="BC85" i="9" s="1"/>
  <c r="BE88" i="9"/>
  <c r="BE85" i="9" s="1"/>
  <c r="D1031" i="1"/>
  <c r="D921" i="1"/>
  <c r="E915" i="1"/>
  <c r="E916" i="1" s="1"/>
  <c r="BC1027" i="1"/>
  <c r="BC108" i="1"/>
  <c r="BC109" i="1"/>
  <c r="BA218" i="1"/>
  <c r="BA220" i="1" s="1"/>
  <c r="BB214" i="1"/>
  <c r="AW130" i="9"/>
  <c r="AW92" i="9"/>
  <c r="CF59" i="1"/>
  <c r="CF57" i="1" s="1"/>
  <c r="CA57" i="1"/>
  <c r="CB4" i="9"/>
  <c r="CE113" i="1"/>
  <c r="CE531" i="1" s="1"/>
  <c r="CE532" i="1" s="1"/>
  <c r="CE533" i="1" s="1"/>
  <c r="CE79" i="1"/>
  <c r="CE390" i="1"/>
  <c r="CE90" i="1"/>
  <c r="BI129" i="9"/>
  <c r="BI88" i="9"/>
  <c r="BI85" i="9" s="1"/>
  <c r="O88" i="9"/>
  <c r="O85" i="9" s="1"/>
  <c r="O129" i="9"/>
  <c r="R88" i="9"/>
  <c r="R85" i="9" s="1"/>
  <c r="BS1028" i="1"/>
  <c r="AY53" i="9"/>
  <c r="AY757" i="1"/>
  <c r="CA32" i="9"/>
  <c r="CA417" i="1"/>
  <c r="BD729" i="1"/>
  <c r="BD730" i="1" s="1"/>
  <c r="BD731" i="1" s="1"/>
  <c r="BJ41" i="9"/>
  <c r="BJ106" i="9" s="1"/>
  <c r="BJ426" i="1"/>
  <c r="BJ410" i="1"/>
  <c r="F427" i="1"/>
  <c r="BS729" i="1"/>
  <c r="BS730" i="1" s="1"/>
  <c r="BS731" i="1" s="1"/>
  <c r="Q5" i="13"/>
  <c r="Q2" i="9"/>
  <c r="O655" i="1"/>
  <c r="R5" i="1"/>
  <c r="AM105" i="9"/>
  <c r="J41" i="9"/>
  <c r="J106" i="9" s="1"/>
  <c r="J107" i="9" s="1"/>
  <c r="J111" i="9" s="1"/>
  <c r="J426" i="1"/>
  <c r="J410" i="1"/>
  <c r="AI70" i="9"/>
  <c r="AI76" i="9" s="1"/>
  <c r="AI132" i="9" s="1"/>
  <c r="AX117" i="9"/>
  <c r="AS68" i="9"/>
  <c r="AS89" i="9"/>
  <c r="AS86" i="9" s="1"/>
  <c r="AW89" i="9"/>
  <c r="AW86" i="9" s="1"/>
  <c r="AV89" i="9"/>
  <c r="AV86" i="9" s="1"/>
  <c r="AN129" i="9"/>
  <c r="AN88" i="9"/>
  <c r="AN85" i="9" s="1"/>
  <c r="H37" i="9"/>
  <c r="H105" i="1"/>
  <c r="H106" i="1" s="1"/>
  <c r="H418" i="1"/>
  <c r="J129" i="9"/>
  <c r="J88" i="9"/>
  <c r="J85" i="9" s="1"/>
  <c r="T185" i="11"/>
  <c r="T176" i="11"/>
  <c r="T169" i="11"/>
  <c r="BH70" i="9"/>
  <c r="BH76" i="9" s="1"/>
  <c r="BH132" i="9" s="1"/>
  <c r="V70" i="9"/>
  <c r="V76" i="9" s="1"/>
  <c r="V132" i="9" s="1"/>
  <c r="C40" i="9"/>
  <c r="C409" i="1"/>
  <c r="C420" i="1" s="1"/>
  <c r="BA41" i="9"/>
  <c r="BA106" i="9" s="1"/>
  <c r="BA426" i="1"/>
  <c r="BA410" i="1"/>
  <c r="AO41" i="9"/>
  <c r="AO106" i="9" s="1"/>
  <c r="AO107" i="9" s="1"/>
  <c r="AO111" i="9" s="1"/>
  <c r="AO410" i="1"/>
  <c r="AO426" i="1"/>
  <c r="BX89" i="9"/>
  <c r="BX86" i="9" s="1"/>
  <c r="BX68" i="9"/>
  <c r="D82" i="9"/>
  <c r="D121" i="9"/>
  <c r="AQ5" i="11"/>
  <c r="AQ436" i="11" s="1"/>
  <c r="AQ437" i="11" s="1"/>
  <c r="BH37" i="9"/>
  <c r="BH105" i="1"/>
  <c r="BH106" i="1" s="1"/>
  <c r="BH418" i="1"/>
  <c r="AR427" i="1"/>
  <c r="AR44" i="9"/>
  <c r="AR422" i="1"/>
  <c r="BB1027" i="1"/>
  <c r="BB109" i="1"/>
  <c r="BL70" i="9"/>
  <c r="BL76" i="9" s="1"/>
  <c r="BL132" i="9" s="1"/>
  <c r="BP1027" i="1"/>
  <c r="BP109" i="1"/>
  <c r="BP108" i="1"/>
  <c r="X1027" i="1"/>
  <c r="X109" i="1"/>
  <c r="X108" i="1"/>
  <c r="BB88" i="9"/>
  <c r="BB85" i="9" s="1"/>
  <c r="AG180" i="11"/>
  <c r="AG168" i="11"/>
  <c r="G40" i="9"/>
  <c r="G409" i="1"/>
  <c r="G420" i="1" s="1"/>
  <c r="CD1000" i="1"/>
  <c r="CD1005" i="1" s="1"/>
  <c r="CE736" i="1"/>
  <c r="BS40" i="9"/>
  <c r="BS409" i="1"/>
  <c r="BS420" i="1" s="1"/>
  <c r="BS427" i="1" s="1"/>
  <c r="BR220" i="1"/>
  <c r="BH43" i="9"/>
  <c r="BH52" i="9"/>
  <c r="BH433" i="1"/>
  <c r="BH53" i="9" s="1"/>
  <c r="BH82" i="9" s="1"/>
  <c r="BH411" i="1"/>
  <c r="I5" i="13"/>
  <c r="I2" i="9"/>
  <c r="J5" i="1"/>
  <c r="Y70" i="9"/>
  <c r="Y76" i="9" s="1"/>
  <c r="Y132" i="9" s="1"/>
  <c r="L40" i="9"/>
  <c r="L409" i="1"/>
  <c r="L420" i="1" s="1"/>
  <c r="P497" i="1"/>
  <c r="P492" i="1"/>
  <c r="BR415" i="1"/>
  <c r="BS1034" i="1"/>
  <c r="BU101" i="9"/>
  <c r="BX129" i="9"/>
  <c r="BX88" i="9"/>
  <c r="BX85" i="9" s="1"/>
  <c r="N70" i="9"/>
  <c r="N76" i="9" s="1"/>
  <c r="N132" i="9" s="1"/>
  <c r="AS117" i="9"/>
  <c r="AN89" i="9"/>
  <c r="AN86" i="9" s="1"/>
  <c r="AN68" i="9"/>
  <c r="BV130" i="9"/>
  <c r="BV92" i="9"/>
  <c r="Y1027" i="1"/>
  <c r="Y109" i="1"/>
  <c r="AB110" i="9"/>
  <c r="AB101" i="9"/>
  <c r="BL1035" i="1"/>
  <c r="AR40" i="9"/>
  <c r="AR409" i="1"/>
  <c r="AR420" i="1" s="1"/>
  <c r="AU70" i="9"/>
  <c r="AU76" i="9" s="1"/>
  <c r="AU132" i="9" s="1"/>
  <c r="I37" i="9"/>
  <c r="I105" i="1"/>
  <c r="I106" i="1" s="1"/>
  <c r="I418" i="1"/>
  <c r="BD220" i="1"/>
  <c r="BF214" i="1"/>
  <c r="BF218" i="1" s="1"/>
  <c r="BI220" i="1"/>
  <c r="AE180" i="11"/>
  <c r="AE168" i="11"/>
  <c r="BD49" i="1"/>
  <c r="BX41" i="9"/>
  <c r="BX106" i="9" s="1"/>
  <c r="BX107" i="9" s="1"/>
  <c r="BX111" i="9" s="1"/>
  <c r="BX410" i="1"/>
  <c r="BX426" i="1"/>
  <c r="AA180" i="11"/>
  <c r="AA168" i="11"/>
  <c r="BF44" i="9"/>
  <c r="BF427" i="1"/>
  <c r="BF422" i="1"/>
  <c r="S88" i="9"/>
  <c r="S85" i="9" s="1"/>
  <c r="AB843" i="1"/>
  <c r="AA844" i="1"/>
  <c r="CJ4" i="9"/>
  <c r="CK4" i="9"/>
  <c r="M70" i="9"/>
  <c r="M76" i="9" s="1"/>
  <c r="M132" i="9" s="1"/>
  <c r="J86" i="11"/>
  <c r="J172" i="11" s="1"/>
  <c r="BJ130" i="9"/>
  <c r="BJ92" i="9"/>
  <c r="F1027" i="1"/>
  <c r="F109" i="1"/>
  <c r="F108" i="1"/>
  <c r="AX129" i="9"/>
  <c r="AX88" i="9"/>
  <c r="AX85" i="9" s="1"/>
  <c r="AO1035" i="1"/>
  <c r="R70" i="9"/>
  <c r="R76" i="9" s="1"/>
  <c r="R132" i="9" s="1"/>
  <c r="AR70" i="9"/>
  <c r="AR76" i="9" s="1"/>
  <c r="AR132" i="9" s="1"/>
  <c r="BF129" i="9"/>
  <c r="BF88" i="9"/>
  <c r="BF85" i="9" s="1"/>
  <c r="AT729" i="1"/>
  <c r="AT730" i="1" s="1"/>
  <c r="AT731" i="1" s="1"/>
  <c r="AE117" i="9"/>
  <c r="CG995" i="1"/>
  <c r="AK70" i="9"/>
  <c r="AK76" i="9" s="1"/>
  <c r="AK132" i="9" s="1"/>
  <c r="BT70" i="9"/>
  <c r="BT76" i="9" s="1"/>
  <c r="BT132" i="9" s="1"/>
  <c r="AI130" i="9"/>
  <c r="AI92" i="9"/>
  <c r="BA89" i="9"/>
  <c r="BA86" i="9" s="1"/>
  <c r="AT1027" i="1"/>
  <c r="AT109" i="1"/>
  <c r="AL77" i="1"/>
  <c r="BE40" i="9"/>
  <c r="BE409" i="1"/>
  <c r="BE420" i="1" s="1"/>
  <c r="CI21" i="9"/>
  <c r="CI34" i="1"/>
  <c r="CJ7" i="1"/>
  <c r="BV98" i="9"/>
  <c r="BA92" i="9"/>
  <c r="BE93" i="9" s="1"/>
  <c r="BE96" i="9" s="1"/>
  <c r="BA130" i="9"/>
  <c r="BU70" i="9"/>
  <c r="BU76" i="9" s="1"/>
  <c r="BU132" i="9" s="1"/>
  <c r="E1035" i="1"/>
  <c r="AZ70" i="9"/>
  <c r="AZ76" i="9" s="1"/>
  <c r="AZ132" i="9" s="1"/>
  <c r="AY729" i="1"/>
  <c r="AY730" i="1" s="1"/>
  <c r="AY731" i="1" s="1"/>
  <c r="AG70" i="9"/>
  <c r="AG76" i="9" s="1"/>
  <c r="AG132" i="9" s="1"/>
  <c r="CG988" i="1"/>
  <c r="BQ41" i="9"/>
  <c r="BQ106" i="9" s="1"/>
  <c r="BQ426" i="1"/>
  <c r="BQ410" i="1"/>
  <c r="AR1027" i="1"/>
  <c r="AR109" i="1"/>
  <c r="K1027" i="1"/>
  <c r="K108" i="1"/>
  <c r="K109" i="1"/>
  <c r="K111" i="1" s="1"/>
  <c r="BH92" i="1"/>
  <c r="BM92" i="1"/>
  <c r="X129" i="9"/>
  <c r="AE395" i="1"/>
  <c r="AE293" i="1"/>
  <c r="AE60" i="9" s="1"/>
  <c r="AN5" i="11"/>
  <c r="AN436" i="11" s="1"/>
  <c r="AN437" i="11" s="1"/>
  <c r="AN438" i="11" s="1"/>
  <c r="AG402" i="11"/>
  <c r="AG183" i="11"/>
  <c r="AG178" i="11"/>
  <c r="AG184" i="11" s="1"/>
  <c r="AG403" i="11"/>
  <c r="AQ88" i="9"/>
  <c r="AQ85" i="9" s="1"/>
  <c r="W56" i="9"/>
  <c r="W286" i="1"/>
  <c r="W40" i="9"/>
  <c r="W409" i="1"/>
  <c r="W420" i="1" s="1"/>
  <c r="CC87" i="1"/>
  <c r="CC123" i="1"/>
  <c r="AN130" i="9"/>
  <c r="AN92" i="9"/>
  <c r="AO729" i="1"/>
  <c r="AO730" i="1" s="1"/>
  <c r="AO731" i="1" s="1"/>
  <c r="AL70" i="9"/>
  <c r="AL76" i="9" s="1"/>
  <c r="AL132" i="9" s="1"/>
  <c r="Y176" i="11"/>
  <c r="Y185" i="11"/>
  <c r="Y169" i="11"/>
  <c r="Z416" i="11"/>
  <c r="C37" i="9"/>
  <c r="C105" i="1"/>
  <c r="C106" i="1" s="1"/>
  <c r="C418" i="1"/>
  <c r="AJ185" i="11"/>
  <c r="AJ176" i="11"/>
  <c r="AJ169" i="11"/>
  <c r="AK1035" i="1"/>
  <c r="BI70" i="9"/>
  <c r="BI76" i="9" s="1"/>
  <c r="BI132" i="9" s="1"/>
  <c r="K41" i="9"/>
  <c r="K106" i="9" s="1"/>
  <c r="K107" i="9" s="1"/>
  <c r="K111" i="9" s="1"/>
  <c r="K410" i="1"/>
  <c r="K426" i="1"/>
  <c r="CA129" i="1"/>
  <c r="U729" i="1"/>
  <c r="U730" i="1" s="1"/>
  <c r="U731" i="1" s="1"/>
  <c r="AD176" i="11"/>
  <c r="AG406" i="11" s="1"/>
  <c r="AD185" i="11"/>
  <c r="AD169" i="11"/>
  <c r="L56" i="9"/>
  <c r="L1035" i="1"/>
  <c r="L286" i="1"/>
  <c r="C1035" i="1"/>
  <c r="BJ37" i="9"/>
  <c r="BJ105" i="1"/>
  <c r="BJ106" i="1" s="1"/>
  <c r="BJ418" i="1"/>
  <c r="AA101" i="9"/>
  <c r="AA110" i="9"/>
  <c r="BG118" i="9"/>
  <c r="BB70" i="9"/>
  <c r="BB76" i="9" s="1"/>
  <c r="BB132" i="9" s="1"/>
  <c r="AO117" i="9"/>
  <c r="AJ68" i="9"/>
  <c r="AJ89" i="9"/>
  <c r="AJ86" i="9" s="1"/>
  <c r="I60" i="9"/>
  <c r="I1035" i="1"/>
  <c r="BY37" i="9"/>
  <c r="CC395" i="1"/>
  <c r="CC37" i="9" s="1"/>
  <c r="BY105" i="1"/>
  <c r="CC105" i="1" s="1"/>
  <c r="BY418" i="1"/>
  <c r="CG1001" i="1"/>
  <c r="CF738" i="1"/>
  <c r="CF9" i="9" s="1"/>
  <c r="BU37" i="9"/>
  <c r="BU105" i="1"/>
  <c r="BU106" i="1" s="1"/>
  <c r="BU418" i="1"/>
  <c r="AZ220" i="1"/>
  <c r="BJ1035" i="1"/>
  <c r="AU93" i="9"/>
  <c r="AU96" i="9" s="1"/>
  <c r="AE415" i="11"/>
  <c r="AE406" i="11"/>
  <c r="AE178" i="11"/>
  <c r="AE184" i="11" s="1"/>
  <c r="AE183" i="11"/>
  <c r="AE402" i="11"/>
  <c r="AE403" i="11"/>
  <c r="AA129" i="9"/>
  <c r="AA88" i="9"/>
  <c r="AA85" i="9" s="1"/>
  <c r="O70" i="9"/>
  <c r="O76" i="9" s="1"/>
  <c r="O132" i="9" s="1"/>
  <c r="BX1028" i="1"/>
  <c r="Q88" i="9"/>
  <c r="Q85" i="9" s="1"/>
  <c r="BX53" i="9"/>
  <c r="BX757" i="1"/>
  <c r="AA183" i="11"/>
  <c r="AA178" i="11"/>
  <c r="AA184" i="11" s="1"/>
  <c r="AA402" i="11"/>
  <c r="AA403" i="11"/>
  <c r="BF1027" i="1"/>
  <c r="BF109" i="1"/>
  <c r="AO77" i="1"/>
  <c r="AT77" i="1"/>
  <c r="AP37" i="9"/>
  <c r="AP105" i="1"/>
  <c r="AP106" i="1" s="1"/>
  <c r="AU108" i="1" s="1"/>
  <c r="AP418" i="1"/>
  <c r="BW37" i="9"/>
  <c r="BW105" i="1"/>
  <c r="BW106" i="1" s="1"/>
  <c r="BW418" i="1"/>
  <c r="CD4" i="9"/>
  <c r="CG4" i="9"/>
  <c r="D336" i="11"/>
  <c r="E333" i="11"/>
  <c r="E334" i="11" s="1"/>
  <c r="D408" i="11"/>
  <c r="CF376" i="1"/>
  <c r="CF121" i="1"/>
  <c r="M2" i="9"/>
  <c r="M5" i="13"/>
  <c r="L655" i="1"/>
  <c r="N5" i="1"/>
  <c r="K283" i="11"/>
  <c r="K284" i="11" s="1"/>
  <c r="L283" i="11" s="1"/>
  <c r="J284" i="11"/>
  <c r="D222" i="11"/>
  <c r="S40" i="9"/>
  <c r="S409" i="1"/>
  <c r="S420" i="1" s="1"/>
  <c r="S427" i="1" s="1"/>
  <c r="U2" i="9"/>
  <c r="U5" i="13"/>
  <c r="S683" i="1"/>
  <c r="R683" i="1"/>
  <c r="P683" i="1"/>
  <c r="Q683" i="1"/>
  <c r="O683" i="1"/>
  <c r="V5" i="1"/>
  <c r="Z5" i="1"/>
  <c r="AE729" i="1"/>
  <c r="AE730" i="1" s="1"/>
  <c r="AE731" i="1" s="1"/>
  <c r="G56" i="9"/>
  <c r="G1035" i="1"/>
  <c r="G286" i="1"/>
  <c r="CG962" i="1"/>
  <c r="CH962" i="1" s="1"/>
  <c r="CG59" i="1"/>
  <c r="CG57" i="1" s="1"/>
  <c r="CB57" i="1"/>
  <c r="CC57" i="1" s="1"/>
  <c r="S180" i="11"/>
  <c r="S168" i="11"/>
  <c r="BX117" i="9"/>
  <c r="BS89" i="9"/>
  <c r="BS86" i="9" s="1"/>
  <c r="BS68" i="9"/>
  <c r="BA70" i="9"/>
  <c r="BA76" i="9" s="1"/>
  <c r="BA132" i="9" s="1"/>
  <c r="P180" i="11"/>
  <c r="P168" i="11"/>
  <c r="AZ129" i="9"/>
  <c r="AZ88" i="9"/>
  <c r="AZ85" i="9" s="1"/>
  <c r="AE121" i="9"/>
  <c r="AE82" i="9"/>
  <c r="CH26" i="9"/>
  <c r="CH44" i="1"/>
  <c r="CH38" i="1"/>
  <c r="CH19" i="9" s="1"/>
  <c r="AF70" i="9"/>
  <c r="AF76" i="9" s="1"/>
  <c r="AF132" i="9" s="1"/>
  <c r="AQ37" i="9"/>
  <c r="AQ105" i="1"/>
  <c r="AQ106" i="1" s="1"/>
  <c r="AQ418" i="1"/>
  <c r="BB110" i="9"/>
  <c r="BB101" i="9"/>
  <c r="AC40" i="9"/>
  <c r="AC409" i="1"/>
  <c r="AC420" i="1" s="1"/>
  <c r="AC427" i="1" s="1"/>
  <c r="P427" i="1"/>
  <c r="P44" i="9"/>
  <c r="AO53" i="9"/>
  <c r="AO757" i="1"/>
  <c r="CA390" i="1"/>
  <c r="CA90" i="1"/>
  <c r="CA113" i="1"/>
  <c r="CA531" i="1" s="1"/>
  <c r="CA532" i="1" s="1"/>
  <c r="CA533" i="1" s="1"/>
  <c r="CA79" i="1"/>
  <c r="BQ130" i="9"/>
  <c r="BQ92" i="9"/>
  <c r="CD390" i="1"/>
  <c r="CH89" i="1"/>
  <c r="CD90" i="1"/>
  <c r="BQ70" i="9"/>
  <c r="BQ76" i="9" s="1"/>
  <c r="BQ132" i="9" s="1"/>
  <c r="E70" i="9"/>
  <c r="E76" i="9" s="1"/>
  <c r="E132" i="9" s="1"/>
  <c r="AO913" i="1"/>
  <c r="AO1028" i="1" s="1"/>
  <c r="AQ1035" i="1"/>
  <c r="BU41" i="9"/>
  <c r="BU106" i="9" s="1"/>
  <c r="BU426" i="1"/>
  <c r="BU410" i="1"/>
  <c r="BQ98" i="9"/>
  <c r="W395" i="1"/>
  <c r="W293" i="1"/>
  <c r="W60" i="9" s="1"/>
  <c r="O41" i="9"/>
  <c r="O106" i="9" s="1"/>
  <c r="R107" i="9" s="1"/>
  <c r="R111" i="9" s="1"/>
  <c r="O426" i="1"/>
  <c r="O410" i="1"/>
  <c r="AV129" i="9"/>
  <c r="AV88" i="9"/>
  <c r="AV85" i="9" s="1"/>
  <c r="CD71" i="1"/>
  <c r="CD96" i="1"/>
  <c r="CD97" i="1" s="1"/>
  <c r="CD69" i="1"/>
  <c r="CD86" i="1"/>
  <c r="CD74" i="1"/>
  <c r="CD102" i="1"/>
  <c r="CD103" i="1" s="1"/>
  <c r="CD84" i="1"/>
  <c r="CD53" i="1"/>
  <c r="CD51" i="1"/>
  <c r="E180" i="11"/>
  <c r="E168" i="11"/>
  <c r="BM51" i="9"/>
  <c r="BM748" i="1"/>
  <c r="BM297" i="1"/>
  <c r="BL130" i="9"/>
  <c r="BL92" i="9"/>
  <c r="T51" i="9"/>
  <c r="W88" i="9" s="1"/>
  <c r="W85" i="9" s="1"/>
  <c r="T748" i="1"/>
  <c r="T297" i="1"/>
  <c r="Z176" i="11"/>
  <c r="Z185" i="11"/>
  <c r="Z169" i="11"/>
  <c r="BK98" i="9"/>
  <c r="J1035" i="1"/>
  <c r="BR1028" i="1"/>
  <c r="H4" i="13"/>
  <c r="H3" i="13"/>
  <c r="AS44" i="9"/>
  <c r="AS427" i="1"/>
  <c r="AS422" i="1"/>
  <c r="R463" i="1"/>
  <c r="R467" i="1" s="1"/>
  <c r="Q480" i="1"/>
  <c r="Q490" i="1" s="1"/>
  <c r="CD1" i="9"/>
  <c r="CD768" i="1"/>
  <c r="CD3" i="1"/>
  <c r="CD1140" i="1" s="1"/>
  <c r="CE4" i="1"/>
  <c r="AC70" i="9"/>
  <c r="AC76" i="9" s="1"/>
  <c r="AC132" i="9" s="1"/>
  <c r="K53" i="9"/>
  <c r="K757" i="1"/>
  <c r="BQ1027" i="1"/>
  <c r="BQ109" i="1"/>
  <c r="CA31" i="9"/>
  <c r="CA416" i="1"/>
  <c r="BS82" i="9"/>
  <c r="BS121" i="9"/>
  <c r="N37" i="9"/>
  <c r="N105" i="1"/>
  <c r="N106" i="1" s="1"/>
  <c r="N418" i="1"/>
  <c r="AT62" i="1"/>
  <c r="AA497" i="1"/>
  <c r="AA492" i="1"/>
  <c r="L395" i="1"/>
  <c r="L293" i="1"/>
  <c r="L60" i="9" s="1"/>
  <c r="AX41" i="9"/>
  <c r="AX106" i="9" s="1"/>
  <c r="AX426" i="1"/>
  <c r="AX410" i="1"/>
  <c r="Y101" i="9"/>
  <c r="Y110" i="9"/>
  <c r="AU1027" i="1"/>
  <c r="AU109" i="1"/>
  <c r="AP41" i="9"/>
  <c r="AP106" i="9" s="1"/>
  <c r="AP426" i="1"/>
  <c r="AP410" i="1"/>
  <c r="AD62" i="1"/>
  <c r="BT37" i="9"/>
  <c r="BT105" i="1"/>
  <c r="BT106" i="1" s="1"/>
  <c r="BT418" i="1"/>
  <c r="BB89" i="9"/>
  <c r="BB86" i="9" s="1"/>
  <c r="CC127" i="1"/>
  <c r="CC70" i="1"/>
  <c r="BY129" i="9"/>
  <c r="AL37" i="9"/>
  <c r="AL105" i="1"/>
  <c r="AL106" i="1" s="1"/>
  <c r="AL418" i="1"/>
  <c r="AU89" i="9"/>
  <c r="AU86" i="9" s="1"/>
  <c r="BX1034" i="1"/>
  <c r="U1031" i="1"/>
  <c r="V915" i="1"/>
  <c r="V916" i="1" s="1"/>
  <c r="Z915" i="1"/>
  <c r="Z916" i="1" s="1"/>
  <c r="U921" i="1"/>
  <c r="BJ129" i="9"/>
  <c r="BS44" i="9"/>
  <c r="AF41" i="9"/>
  <c r="AF106" i="9" s="1"/>
  <c r="AF426" i="1"/>
  <c r="AF410" i="1"/>
  <c r="W402" i="11"/>
  <c r="W183" i="11"/>
  <c r="W178" i="11"/>
  <c r="W184" i="11" s="1"/>
  <c r="W403" i="11"/>
  <c r="BK1027" i="1"/>
  <c r="BK108" i="1"/>
  <c r="BK109" i="1"/>
  <c r="S70" i="9"/>
  <c r="S76" i="9" s="1"/>
  <c r="S132" i="9" s="1"/>
  <c r="CE124" i="1"/>
  <c r="BL129" i="9"/>
  <c r="O105" i="9"/>
  <c r="I40" i="9"/>
  <c r="I409" i="1"/>
  <c r="I420" i="1" s="1"/>
  <c r="AP60" i="9"/>
  <c r="AP1035" i="1"/>
  <c r="CC4" i="9"/>
  <c r="CA4" i="9"/>
  <c r="CF387" i="1"/>
  <c r="CF128" i="1"/>
  <c r="BL118" i="9"/>
  <c r="BG70" i="9"/>
  <c r="BG76" i="9" s="1"/>
  <c r="BG132" i="9" s="1"/>
  <c r="G406" i="11"/>
  <c r="AL406" i="11"/>
  <c r="BP41" i="9"/>
  <c r="BP106" i="9" s="1"/>
  <c r="BP426" i="1"/>
  <c r="BP410" i="1"/>
  <c r="AY130" i="9"/>
  <c r="AY92" i="9"/>
  <c r="AY93" i="9" s="1"/>
  <c r="AY96" i="9" s="1"/>
  <c r="D223" i="11"/>
  <c r="CE589" i="1"/>
  <c r="CE583" i="1"/>
  <c r="CE586" i="1"/>
  <c r="AY1028" i="1"/>
  <c r="L62" i="1"/>
  <c r="AL88" i="9"/>
  <c r="AL85" i="9" s="1"/>
  <c r="BN129" i="9"/>
  <c r="BN88" i="9"/>
  <c r="BN85" i="9" s="1"/>
  <c r="H178" i="11"/>
  <c r="H184" i="11" s="1"/>
  <c r="H183" i="11"/>
  <c r="H402" i="11"/>
  <c r="H403" i="11"/>
  <c r="AF1027" i="1"/>
  <c r="AF109" i="1"/>
  <c r="AF111" i="1" s="1"/>
  <c r="AF108" i="1"/>
  <c r="AE111" i="9"/>
  <c r="E222" i="11"/>
  <c r="BY41" i="9"/>
  <c r="BY106" i="9" s="1"/>
  <c r="BY426" i="1"/>
  <c r="BY410" i="1"/>
  <c r="CC128" i="1"/>
  <c r="CC85" i="1"/>
  <c r="CE31" i="9"/>
  <c r="CE416" i="1"/>
  <c r="BW52" i="9"/>
  <c r="BW43" i="9"/>
  <c r="BW433" i="1"/>
  <c r="BW53" i="9" s="1"/>
  <c r="BW82" i="9" s="1"/>
  <c r="BW411" i="1"/>
  <c r="S406" i="11"/>
  <c r="S183" i="11"/>
  <c r="S178" i="11"/>
  <c r="S184" i="11" s="1"/>
  <c r="S402" i="11"/>
  <c r="S403" i="11"/>
  <c r="AM1035" i="1"/>
  <c r="AD40" i="9"/>
  <c r="AD409" i="1"/>
  <c r="AD420" i="1" s="1"/>
  <c r="AD427" i="1" s="1"/>
  <c r="BS62" i="1"/>
  <c r="BI43" i="9"/>
  <c r="BI52" i="9"/>
  <c r="BI1038" i="1"/>
  <c r="BI411" i="1"/>
  <c r="BI433" i="1"/>
  <c r="AD70" i="9"/>
  <c r="AD76" i="9" s="1"/>
  <c r="AD132" i="9" s="1"/>
  <c r="AZ110" i="9"/>
  <c r="AZ101" i="9"/>
  <c r="BG88" i="9"/>
  <c r="BG85" i="9" s="1"/>
  <c r="P1027" i="1"/>
  <c r="P109" i="1"/>
  <c r="P108" i="1"/>
  <c r="O56" i="9"/>
  <c r="O286" i="1"/>
  <c r="CA589" i="1"/>
  <c r="CA583" i="1"/>
  <c r="CA586" i="1"/>
  <c r="CF390" i="1"/>
  <c r="CF79" i="1"/>
  <c r="CF113" i="1"/>
  <c r="CF531" i="1" s="1"/>
  <c r="CF532" i="1" s="1"/>
  <c r="CF533" i="1" s="1"/>
  <c r="CF90" i="1"/>
  <c r="AD1027" i="1"/>
  <c r="AD108" i="1"/>
  <c r="AD109" i="1"/>
  <c r="AS105" i="9"/>
  <c r="AS101" i="9"/>
  <c r="CC126" i="1"/>
  <c r="CC129" i="1" s="1"/>
  <c r="CC52" i="1"/>
  <c r="M37" i="9"/>
  <c r="M105" i="1"/>
  <c r="M106" i="1" s="1"/>
  <c r="M418" i="1"/>
  <c r="BS51" i="9"/>
  <c r="BS748" i="1"/>
  <c r="BS297" i="1"/>
  <c r="BR1035" i="1"/>
  <c r="AB41" i="9"/>
  <c r="AB106" i="9" s="1"/>
  <c r="AB426" i="1"/>
  <c r="AB410" i="1"/>
  <c r="X105" i="9"/>
  <c r="Y49" i="1"/>
  <c r="D56" i="9"/>
  <c r="D286" i="1"/>
  <c r="AV1035" i="1"/>
  <c r="BH51" i="9"/>
  <c r="BH297" i="1"/>
  <c r="BH748" i="1"/>
  <c r="X41" i="9"/>
  <c r="X106" i="9" s="1"/>
  <c r="Y107" i="9" s="1"/>
  <c r="X426" i="1"/>
  <c r="X410" i="1"/>
  <c r="AQ70" i="9"/>
  <c r="AQ76" i="9" s="1"/>
  <c r="AQ132" i="9" s="1"/>
  <c r="R1035" i="1"/>
  <c r="BV37" i="9"/>
  <c r="BV105" i="1"/>
  <c r="BV106" i="1" s="1"/>
  <c r="BV418" i="1"/>
  <c r="Q37" i="9"/>
  <c r="Q105" i="1"/>
  <c r="Q106" i="1" s="1"/>
  <c r="Q418" i="1"/>
  <c r="O130" i="9"/>
  <c r="O92" i="9"/>
  <c r="R93" i="9" s="1"/>
  <c r="R96" i="9" s="1"/>
  <c r="E406" i="11"/>
  <c r="E183" i="11"/>
  <c r="E178" i="11"/>
  <c r="E184" i="11" s="1"/>
  <c r="E402" i="11"/>
  <c r="D406" i="11"/>
  <c r="E403" i="11"/>
  <c r="F121" i="9"/>
  <c r="F82" i="9"/>
  <c r="Z412" i="11"/>
  <c r="BJ98" i="9"/>
  <c r="BG93" i="9"/>
  <c r="BG96" i="9" s="1"/>
  <c r="AS1027" i="1"/>
  <c r="AS108" i="1"/>
  <c r="AS109" i="1"/>
  <c r="BL37" i="9"/>
  <c r="BL105" i="1"/>
  <c r="BL106" i="1" s="1"/>
  <c r="BL418" i="1"/>
  <c r="BY937" i="1"/>
  <c r="CC937" i="1" s="1"/>
  <c r="BY939" i="1"/>
  <c r="BZ741" i="1"/>
  <c r="BZ743" i="1"/>
  <c r="BZ931" i="1"/>
  <c r="BZ925" i="1"/>
  <c r="BY742" i="1"/>
  <c r="BY744" i="1"/>
  <c r="CA741" i="1"/>
  <c r="BY98" i="9"/>
  <c r="T43" i="9"/>
  <c r="T52" i="9"/>
  <c r="T411" i="1"/>
  <c r="T433" i="1"/>
  <c r="T53" i="9" s="1"/>
  <c r="T82" i="9" s="1"/>
  <c r="AO89" i="9"/>
  <c r="AO86" i="9" s="1"/>
  <c r="AT117" i="9"/>
  <c r="AO68" i="9"/>
  <c r="AC463" i="1"/>
  <c r="AC467" i="1" s="1"/>
  <c r="AB480" i="1"/>
  <c r="AB490" i="1" s="1"/>
  <c r="T37" i="9"/>
  <c r="T105" i="1"/>
  <c r="T106" i="1" s="1"/>
  <c r="T418" i="1"/>
  <c r="L101" i="9"/>
  <c r="L105" i="9"/>
  <c r="Z1027" i="1"/>
  <c r="Z109" i="1"/>
  <c r="BS1027" i="1"/>
  <c r="BS108" i="1"/>
  <c r="BS109" i="1"/>
  <c r="AT49" i="1"/>
  <c r="W180" i="11"/>
  <c r="W168" i="11"/>
  <c r="Y88" i="9"/>
  <c r="Y85" i="9" s="1"/>
  <c r="CE32" i="9"/>
  <c r="CE417" i="1"/>
  <c r="W70" i="9"/>
  <c r="W76" i="9" s="1"/>
  <c r="W132" i="9" s="1"/>
  <c r="N406" i="11"/>
  <c r="N183" i="11"/>
  <c r="N178" i="11"/>
  <c r="N184" i="11" s="1"/>
  <c r="N402" i="11"/>
  <c r="N403" i="11"/>
  <c r="BX1038" i="1"/>
  <c r="AW41" i="9"/>
  <c r="AW106" i="9" s="1"/>
  <c r="AW426" i="1"/>
  <c r="AW410" i="1"/>
  <c r="AE416" i="11"/>
  <c r="BY58" i="1"/>
  <c r="BY59" i="1"/>
  <c r="CI4" i="9"/>
  <c r="CH4" i="9"/>
  <c r="CF388" i="1"/>
  <c r="CF123" i="1"/>
  <c r="L4" i="13"/>
  <c r="L3" i="13"/>
  <c r="BP130" i="9"/>
  <c r="BP92" i="9"/>
  <c r="BP98" i="9"/>
  <c r="AN49" i="1"/>
  <c r="BG1027" i="1"/>
  <c r="BG109" i="1"/>
  <c r="BG108" i="1"/>
  <c r="AB62" i="1"/>
  <c r="AN107" i="9" l="1"/>
  <c r="AN111" i="9" s="1"/>
  <c r="AM93" i="9"/>
  <c r="AM96" i="9" s="1"/>
  <c r="AN93" i="9"/>
  <c r="AN96" i="9" s="1"/>
  <c r="AV107" i="9"/>
  <c r="AV111" i="9" s="1"/>
  <c r="AP438" i="11"/>
  <c r="AD44" i="9"/>
  <c r="BC40" i="9"/>
  <c r="BC409" i="1"/>
  <c r="BC420" i="1" s="1"/>
  <c r="AL93" i="9"/>
  <c r="AL96" i="9" s="1"/>
  <c r="CG869" i="1"/>
  <c r="N107" i="9"/>
  <c r="N111" i="9" s="1"/>
  <c r="BC111" i="1"/>
  <c r="BG427" i="1"/>
  <c r="L107" i="9"/>
  <c r="L111" i="9" s="1"/>
  <c r="Y93" i="9"/>
  <c r="Y96" i="9" s="1"/>
  <c r="BK40" i="9"/>
  <c r="BK409" i="1"/>
  <c r="BK420" i="1" s="1"/>
  <c r="AU409" i="1"/>
  <c r="AU420" i="1" s="1"/>
  <c r="AU40" i="9"/>
  <c r="AL40" i="9"/>
  <c r="AL409" i="1"/>
  <c r="AL420" i="1" s="1"/>
  <c r="AK93" i="9"/>
  <c r="AK96" i="9" s="1"/>
  <c r="BG44" i="9"/>
  <c r="K412" i="11"/>
  <c r="AC111" i="1"/>
  <c r="AO438" i="11"/>
  <c r="BS111" i="1"/>
  <c r="AW107" i="9"/>
  <c r="AW111" i="9" s="1"/>
  <c r="CE1170" i="1"/>
  <c r="AM40" i="9"/>
  <c r="AM409" i="1"/>
  <c r="AM420" i="1" s="1"/>
  <c r="AM427" i="1" s="1"/>
  <c r="CG129" i="1"/>
  <c r="O1035" i="1"/>
  <c r="AQ438" i="11"/>
  <c r="F44" i="9"/>
  <c r="AB1035" i="1"/>
  <c r="CH1016" i="1"/>
  <c r="CG773" i="1"/>
  <c r="CG10" i="9" s="1"/>
  <c r="BK111" i="1"/>
  <c r="AZ93" i="9"/>
  <c r="AZ96" i="9" s="1"/>
  <c r="CF129" i="1"/>
  <c r="AF93" i="9"/>
  <c r="AF96" i="9" s="1"/>
  <c r="M107" i="9"/>
  <c r="M111" i="9" s="1"/>
  <c r="AP93" i="9"/>
  <c r="AP96" i="9" s="1"/>
  <c r="CC417" i="1"/>
  <c r="BI111" i="1"/>
  <c r="AW93" i="9"/>
  <c r="AW96" i="9" s="1"/>
  <c r="AH107" i="9"/>
  <c r="AH111" i="9" s="1"/>
  <c r="AS111" i="1"/>
  <c r="Y111" i="9"/>
  <c r="AX93" i="9"/>
  <c r="AX96" i="9" s="1"/>
  <c r="N93" i="9"/>
  <c r="N96" i="9" s="1"/>
  <c r="AD111" i="1"/>
  <c r="S107" i="9"/>
  <c r="S111" i="9" s="1"/>
  <c r="CF124" i="1"/>
  <c r="BG424" i="1"/>
  <c r="BG431" i="1"/>
  <c r="BG428" i="1"/>
  <c r="F431" i="1"/>
  <c r="F428" i="1"/>
  <c r="F424" i="1"/>
  <c r="P424" i="1"/>
  <c r="P431" i="1"/>
  <c r="P428" i="1"/>
  <c r="BL1027" i="1"/>
  <c r="BL109" i="1"/>
  <c r="BL111" i="1" s="1"/>
  <c r="BL108" i="1"/>
  <c r="BJ101" i="9"/>
  <c r="BJ105" i="9"/>
  <c r="BS129" i="9"/>
  <c r="BS88" i="9"/>
  <c r="BS85" i="9" s="1"/>
  <c r="BI130" i="9"/>
  <c r="BI92" i="9"/>
  <c r="BI93" i="9" s="1"/>
  <c r="BI96" i="9" s="1"/>
  <c r="BW130" i="9"/>
  <c r="BW92" i="9"/>
  <c r="BW93" i="9" s="1"/>
  <c r="BW96" i="9" s="1"/>
  <c r="Z921" i="1"/>
  <c r="AE915" i="1"/>
  <c r="AE916" i="1" s="1"/>
  <c r="Z1031" i="1"/>
  <c r="AA915" i="1"/>
  <c r="AA916" i="1" s="1"/>
  <c r="BM129" i="9"/>
  <c r="BM88" i="9"/>
  <c r="BM85" i="9" s="1"/>
  <c r="BO88" i="9"/>
  <c r="BO85" i="9" s="1"/>
  <c r="AQ1027" i="1"/>
  <c r="AQ109" i="1"/>
  <c r="AQ108" i="1"/>
  <c r="M3" i="13"/>
  <c r="M4" i="13"/>
  <c r="CC418" i="1"/>
  <c r="AJ415" i="11"/>
  <c r="AJ406" i="11"/>
  <c r="AJ183" i="11"/>
  <c r="AJ178" i="11"/>
  <c r="AJ184" i="11" s="1"/>
  <c r="AJ402" i="11"/>
  <c r="AJ403" i="11"/>
  <c r="Y183" i="11"/>
  <c r="Y178" i="11"/>
  <c r="Y184" i="11" s="1"/>
  <c r="Y406" i="11"/>
  <c r="Y402" i="11"/>
  <c r="Y403" i="11"/>
  <c r="BX40" i="9"/>
  <c r="BX409" i="1"/>
  <c r="BX420" i="1" s="1"/>
  <c r="BR43" i="9"/>
  <c r="BR52" i="9"/>
  <c r="BR411" i="1"/>
  <c r="BR433" i="1"/>
  <c r="BR53" i="9" s="1"/>
  <c r="BR82" i="9" s="1"/>
  <c r="BS1038" i="1"/>
  <c r="BH130" i="9"/>
  <c r="BH92" i="9"/>
  <c r="BH93" i="9" s="1"/>
  <c r="BH96" i="9" s="1"/>
  <c r="BA107" i="9"/>
  <c r="BB107" i="9"/>
  <c r="BB111" i="9" s="1"/>
  <c r="BC107" i="9"/>
  <c r="BC111" i="9" s="1"/>
  <c r="R2" i="9"/>
  <c r="R5" i="13"/>
  <c r="S5" i="1"/>
  <c r="E1031" i="1"/>
  <c r="E921" i="1"/>
  <c r="F915" i="1"/>
  <c r="F916" i="1" s="1"/>
  <c r="N497" i="1"/>
  <c r="N492" i="1"/>
  <c r="AZ107" i="9"/>
  <c r="AV5" i="11"/>
  <c r="AV436" i="11" s="1"/>
  <c r="AV437" i="11" s="1"/>
  <c r="X406" i="11"/>
  <c r="BA1027" i="1"/>
  <c r="BA109" i="1"/>
  <c r="BA108" i="1"/>
  <c r="F220" i="11"/>
  <c r="F223" i="11"/>
  <c r="R1027" i="1"/>
  <c r="R108" i="1"/>
  <c r="R109" i="1"/>
  <c r="BD53" i="9"/>
  <c r="BD757" i="1"/>
  <c r="K4" i="11"/>
  <c r="J3" i="11"/>
  <c r="J449" i="11" s="1"/>
  <c r="AB37" i="9"/>
  <c r="AB105" i="1"/>
  <c r="AB106" i="1" s="1"/>
  <c r="AB418" i="1"/>
  <c r="BZ855" i="1"/>
  <c r="BZ721" i="1"/>
  <c r="BZ722" i="1" s="1"/>
  <c r="BZ413" i="1"/>
  <c r="CC416" i="1"/>
  <c r="AM1027" i="1"/>
  <c r="AM108" i="1"/>
  <c r="AM109" i="1"/>
  <c r="AM111" i="1" s="1"/>
  <c r="BQ88" i="9"/>
  <c r="BQ85" i="9" s="1"/>
  <c r="U37" i="9"/>
  <c r="U105" i="1"/>
  <c r="U106" i="1" s="1"/>
  <c r="U418" i="1"/>
  <c r="W105" i="9"/>
  <c r="W101" i="9"/>
  <c r="CG35" i="9"/>
  <c r="CG386" i="1"/>
  <c r="CG280" i="1" s="1"/>
  <c r="CG290" i="1"/>
  <c r="CG58" i="9" s="1"/>
  <c r="G37" i="9"/>
  <c r="G105" i="1"/>
  <c r="G106" i="1" s="1"/>
  <c r="G418" i="1"/>
  <c r="CC59" i="1"/>
  <c r="CC62" i="1" s="1"/>
  <c r="CC106" i="1"/>
  <c r="CC58" i="1"/>
  <c r="AB497" i="1"/>
  <c r="AB492" i="1"/>
  <c r="T41" i="9"/>
  <c r="T106" i="9" s="1"/>
  <c r="T426" i="1"/>
  <c r="T410" i="1"/>
  <c r="BZ399" i="1"/>
  <c r="BZ938" i="1"/>
  <c r="BZ973" i="1"/>
  <c r="Q427" i="1"/>
  <c r="Q44" i="9"/>
  <c r="Q422" i="1"/>
  <c r="M44" i="9"/>
  <c r="M427" i="1"/>
  <c r="M422" i="1"/>
  <c r="V1031" i="1"/>
  <c r="W915" i="1"/>
  <c r="W916" i="1" s="1"/>
  <c r="V921" i="1"/>
  <c r="BT44" i="9"/>
  <c r="BT427" i="1"/>
  <c r="BT422" i="1"/>
  <c r="BQ108" i="1"/>
  <c r="CE768" i="1"/>
  <c r="CE1" i="9"/>
  <c r="CE3" i="1"/>
  <c r="CE1140" i="1" s="1"/>
  <c r="CF4" i="1"/>
  <c r="Q497" i="1"/>
  <c r="Q492" i="1"/>
  <c r="CD385" i="1"/>
  <c r="CD75" i="1"/>
  <c r="CD64" i="1"/>
  <c r="CH74" i="1"/>
  <c r="CH113" i="1" s="1"/>
  <c r="CH531" i="1" s="1"/>
  <c r="CH532" i="1" s="1"/>
  <c r="CH533" i="1" s="1"/>
  <c r="BU40" i="9"/>
  <c r="BU409" i="1"/>
  <c r="BU420" i="1" s="1"/>
  <c r="CA80" i="1"/>
  <c r="CA81" i="1"/>
  <c r="CA82" i="1" s="1"/>
  <c r="CB378" i="1"/>
  <c r="CB106" i="1"/>
  <c r="CB46" i="1"/>
  <c r="CB58" i="1"/>
  <c r="CB56" i="1"/>
  <c r="BQ40" i="9"/>
  <c r="BQ409" i="1"/>
  <c r="BQ420" i="1" s="1"/>
  <c r="BV101" i="9"/>
  <c r="BV105" i="9"/>
  <c r="J176" i="11"/>
  <c r="J185" i="11"/>
  <c r="J169" i="11"/>
  <c r="K416" i="11"/>
  <c r="BF424" i="1"/>
  <c r="BF431" i="1"/>
  <c r="BF428" i="1"/>
  <c r="X497" i="1"/>
  <c r="X492" i="1"/>
  <c r="O497" i="1"/>
  <c r="O492" i="1"/>
  <c r="K843" i="1"/>
  <c r="K844" i="1" s="1"/>
  <c r="J844" i="1"/>
  <c r="E44" i="9"/>
  <c r="E427" i="1"/>
  <c r="E422" i="1"/>
  <c r="BZ65" i="1"/>
  <c r="BZ66" i="1"/>
  <c r="BZ67" i="1" s="1"/>
  <c r="CC64" i="1"/>
  <c r="BM1027" i="1"/>
  <c r="BM108" i="1"/>
  <c r="BM109" i="1"/>
  <c r="BP88" i="9"/>
  <c r="BP85" i="9" s="1"/>
  <c r="AI107" i="9"/>
  <c r="AI111" i="9" s="1"/>
  <c r="AL107" i="9"/>
  <c r="AL111" i="9" s="1"/>
  <c r="CB65" i="1"/>
  <c r="CB66" i="1"/>
  <c r="CB67" i="1" s="1"/>
  <c r="AZ427" i="1"/>
  <c r="AZ44" i="9"/>
  <c r="AZ422" i="1"/>
  <c r="AO1027" i="1"/>
  <c r="AO109" i="1"/>
  <c r="AO111" i="1" s="1"/>
  <c r="AO108" i="1"/>
  <c r="BL105" i="9"/>
  <c r="BL101" i="9"/>
  <c r="BN92" i="9"/>
  <c r="BN93" i="9" s="1"/>
  <c r="BN96" i="9" s="1"/>
  <c r="BN130" i="9"/>
  <c r="BD70" i="9"/>
  <c r="BD76" i="9" s="1"/>
  <c r="BD132" i="9" s="1"/>
  <c r="BZ452" i="1"/>
  <c r="BZ455" i="1" s="1"/>
  <c r="BZ450" i="1"/>
  <c r="BZ436" i="1"/>
  <c r="CA444" i="1"/>
  <c r="BZ449" i="1"/>
  <c r="BO424" i="1"/>
  <c r="BO431" i="1"/>
  <c r="BO428" i="1"/>
  <c r="AJ53" i="9"/>
  <c r="AJ757" i="1"/>
  <c r="T105" i="9"/>
  <c r="T101" i="9"/>
  <c r="BY93" i="9"/>
  <c r="BY96" i="9" s="1"/>
  <c r="BY62" i="1"/>
  <c r="CD59" i="1"/>
  <c r="CD57" i="1" s="1"/>
  <c r="T1027" i="1"/>
  <c r="T109" i="1"/>
  <c r="AD463" i="1"/>
  <c r="AD467" i="1" s="1"/>
  <c r="AD480" i="1" s="1"/>
  <c r="AD490" i="1" s="1"/>
  <c r="AC480" i="1"/>
  <c r="AC490" i="1" s="1"/>
  <c r="T92" i="9"/>
  <c r="X93" i="9" s="1"/>
  <c r="X96" i="9" s="1"/>
  <c r="T130" i="9"/>
  <c r="BZ978" i="1"/>
  <c r="BZ939" i="1"/>
  <c r="BZ118" i="1"/>
  <c r="Q1027" i="1"/>
  <c r="Q109" i="1"/>
  <c r="AB40" i="9"/>
  <c r="AB409" i="1"/>
  <c r="AB420" i="1" s="1"/>
  <c r="M1027" i="1"/>
  <c r="M109" i="1"/>
  <c r="M108" i="1"/>
  <c r="CE855" i="1"/>
  <c r="CE721" i="1"/>
  <c r="CE722" i="1" s="1"/>
  <c r="CE413" i="1"/>
  <c r="CE421" i="1" s="1"/>
  <c r="CE44" i="9" s="1"/>
  <c r="BT1027" i="1"/>
  <c r="BT109" i="1"/>
  <c r="BT111" i="1" s="1"/>
  <c r="BT108" i="1"/>
  <c r="N427" i="1"/>
  <c r="N44" i="9"/>
  <c r="N422" i="1"/>
  <c r="S463" i="1"/>
  <c r="S467" i="1" s="1"/>
  <c r="R480" i="1"/>
  <c r="R490" i="1" s="1"/>
  <c r="T129" i="9"/>
  <c r="T88" i="9"/>
  <c r="T85" i="9" s="1"/>
  <c r="CH86" i="1"/>
  <c r="CD388" i="1"/>
  <c r="CH388" i="1" s="1"/>
  <c r="CD123" i="1"/>
  <c r="O40" i="9"/>
  <c r="O409" i="1"/>
  <c r="O420" i="1" s="1"/>
  <c r="CD79" i="1"/>
  <c r="CG58" i="1"/>
  <c r="CG378" i="1"/>
  <c r="CG106" i="1"/>
  <c r="CG46" i="1"/>
  <c r="CG56" i="1"/>
  <c r="Z2" i="9"/>
  <c r="Z5" i="13"/>
  <c r="X683" i="1"/>
  <c r="W683" i="1"/>
  <c r="V683" i="1"/>
  <c r="U683" i="1"/>
  <c r="T683" i="1"/>
  <c r="AE5" i="1"/>
  <c r="AA5" i="1"/>
  <c r="BF111" i="1"/>
  <c r="AA406" i="11"/>
  <c r="BJ1027" i="1"/>
  <c r="BJ109" i="1"/>
  <c r="BJ108" i="1"/>
  <c r="C427" i="1"/>
  <c r="C44" i="9"/>
  <c r="C422" i="1"/>
  <c r="CJ21" i="9"/>
  <c r="CJ34" i="1"/>
  <c r="CK7" i="1"/>
  <c r="AT108" i="1"/>
  <c r="J2" i="9"/>
  <c r="J5" i="13"/>
  <c r="K4" i="13"/>
  <c r="K3" i="13"/>
  <c r="BJ40" i="9"/>
  <c r="BJ409" i="1"/>
  <c r="BJ420" i="1" s="1"/>
  <c r="BJ427" i="1" s="1"/>
  <c r="Y497" i="1"/>
  <c r="Y492" i="1"/>
  <c r="V108" i="1"/>
  <c r="AF497" i="1"/>
  <c r="AF492" i="1"/>
  <c r="E1027" i="1"/>
  <c r="E109" i="1"/>
  <c r="CC91" i="1"/>
  <c r="CC92" i="1" s="1"/>
  <c r="CC90" i="1"/>
  <c r="CC113" i="1"/>
  <c r="CC531" i="1" s="1"/>
  <c r="CC532" i="1" s="1"/>
  <c r="CC533" i="1" s="1"/>
  <c r="BZ34" i="9"/>
  <c r="BZ291" i="1"/>
  <c r="BZ57" i="9" s="1"/>
  <c r="BZ381" i="1"/>
  <c r="CD8" i="9"/>
  <c r="CD1025" i="1"/>
  <c r="CE737" i="1"/>
  <c r="CD735" i="1"/>
  <c r="CD996" i="1" s="1"/>
  <c r="CB34" i="9"/>
  <c r="CB381" i="1"/>
  <c r="CB281" i="1" s="1"/>
  <c r="CB291" i="1"/>
  <c r="CB57" i="9" s="1"/>
  <c r="AZ1027" i="1"/>
  <c r="AZ109" i="1"/>
  <c r="AZ111" i="1" s="1"/>
  <c r="AZ108" i="1"/>
  <c r="BR129" i="9"/>
  <c r="BR88" i="9"/>
  <c r="BR85" i="9" s="1"/>
  <c r="BT88" i="9"/>
  <c r="BT85" i="9" s="1"/>
  <c r="BM41" i="9"/>
  <c r="BM106" i="9" s="1"/>
  <c r="BP107" i="9" s="1"/>
  <c r="BP111" i="9" s="1"/>
  <c r="BM426" i="1"/>
  <c r="BM410" i="1"/>
  <c r="U77" i="1"/>
  <c r="Z77" i="1"/>
  <c r="AV1027" i="1"/>
  <c r="AV109" i="1"/>
  <c r="AV108" i="1"/>
  <c r="CG31" i="9"/>
  <c r="CG416" i="1"/>
  <c r="U53" i="9"/>
  <c r="U757" i="1"/>
  <c r="BX214" i="1"/>
  <c r="BX218" i="1" s="1"/>
  <c r="BT218" i="1"/>
  <c r="BT220" i="1" s="1"/>
  <c r="AB406" i="11"/>
  <c r="CE65" i="1"/>
  <c r="AJ130" i="9"/>
  <c r="AJ92" i="9"/>
  <c r="AJ93" i="9" s="1"/>
  <c r="AJ96" i="9" s="1"/>
  <c r="Z41" i="9"/>
  <c r="Z106" i="9" s="1"/>
  <c r="Z107" i="9" s="1"/>
  <c r="Z111" i="9" s="1"/>
  <c r="Z426" i="1"/>
  <c r="Z410" i="1"/>
  <c r="CH29" i="9"/>
  <c r="CH581" i="1"/>
  <c r="CH282" i="1"/>
  <c r="CH1026" i="1"/>
  <c r="CH292" i="1"/>
  <c r="CH59" i="9" s="1"/>
  <c r="AG93" i="9"/>
  <c r="AG96" i="9" s="1"/>
  <c r="AT121" i="9"/>
  <c r="AT82" i="9"/>
  <c r="AY111" i="1"/>
  <c r="BP101" i="9"/>
  <c r="BP105" i="9"/>
  <c r="BY106" i="1"/>
  <c r="AO70" i="9"/>
  <c r="AO76" i="9" s="1"/>
  <c r="AO132" i="9" s="1"/>
  <c r="BZ404" i="1"/>
  <c r="BH129" i="9"/>
  <c r="BH88" i="9"/>
  <c r="BH85" i="9" s="1"/>
  <c r="AF40" i="9"/>
  <c r="AF409" i="1"/>
  <c r="AF420" i="1" s="1"/>
  <c r="BK88" i="9"/>
  <c r="BK85" i="9" s="1"/>
  <c r="AR107" i="9"/>
  <c r="AR111" i="9" s="1"/>
  <c r="N1027" i="1"/>
  <c r="N109" i="1"/>
  <c r="N108" i="1"/>
  <c r="CD382" i="1"/>
  <c r="CH382" i="1" s="1"/>
  <c r="CD127" i="1"/>
  <c r="CH69" i="1"/>
  <c r="CH90" i="1"/>
  <c r="CH91" i="1"/>
  <c r="BS70" i="9"/>
  <c r="BS76" i="9" s="1"/>
  <c r="BS132" i="9" s="1"/>
  <c r="CH948" i="1"/>
  <c r="V5" i="13"/>
  <c r="V2" i="9"/>
  <c r="W5" i="1"/>
  <c r="CF32" i="9"/>
  <c r="CF417" i="1"/>
  <c r="BW1027" i="1"/>
  <c r="BW108" i="1"/>
  <c r="BW109" i="1"/>
  <c r="BF108" i="1"/>
  <c r="C1027" i="1"/>
  <c r="C109" i="1"/>
  <c r="AE37" i="9"/>
  <c r="AE105" i="1"/>
  <c r="AE106" i="1" s="1"/>
  <c r="AE418" i="1"/>
  <c r="CI26" i="9"/>
  <c r="CI38" i="1"/>
  <c r="CI19" i="9" s="1"/>
  <c r="CI370" i="1"/>
  <c r="CI44" i="1"/>
  <c r="M93" i="9"/>
  <c r="M96" i="9" s="1"/>
  <c r="AN70" i="9"/>
  <c r="AN76" i="9" s="1"/>
  <c r="AN132" i="9" s="1"/>
  <c r="BP111" i="1"/>
  <c r="AR424" i="1"/>
  <c r="AR431" i="1"/>
  <c r="AR428" i="1"/>
  <c r="AR5" i="11"/>
  <c r="AR436" i="11" s="1"/>
  <c r="AR437" i="11" s="1"/>
  <c r="AR438" i="11" s="1"/>
  <c r="T180" i="11"/>
  <c r="T168" i="11"/>
  <c r="BC214" i="1"/>
  <c r="BC218" i="1" s="1"/>
  <c r="BB218" i="1"/>
  <c r="BB220" i="1" s="1"/>
  <c r="CA66" i="1"/>
  <c r="CA67" i="1" s="1"/>
  <c r="CA65" i="1"/>
  <c r="AH463" i="1"/>
  <c r="AH467" i="1" s="1"/>
  <c r="AH480" i="1" s="1"/>
  <c r="AH490" i="1" s="1"/>
  <c r="AG480" i="1"/>
  <c r="AG490" i="1" s="1"/>
  <c r="AE1035" i="1"/>
  <c r="AA41" i="9"/>
  <c r="AA106" i="9" s="1"/>
  <c r="AD107" i="9" s="1"/>
  <c r="AD111" i="9" s="1"/>
  <c r="AA426" i="1"/>
  <c r="AA410" i="1"/>
  <c r="BE44" i="9"/>
  <c r="BE427" i="1"/>
  <c r="BE422" i="1"/>
  <c r="AE70" i="9"/>
  <c r="AE76" i="9" s="1"/>
  <c r="AE132" i="9" s="1"/>
  <c r="BZ81" i="1"/>
  <c r="BZ82" i="1" s="1"/>
  <c r="BZ80" i="1"/>
  <c r="CC79" i="1"/>
  <c r="CF31" i="9"/>
  <c r="CF416" i="1"/>
  <c r="BL40" i="9"/>
  <c r="BL409" i="1"/>
  <c r="BL420" i="1" s="1"/>
  <c r="S108" i="1"/>
  <c r="BD130" i="9"/>
  <c r="BD92" i="9"/>
  <c r="BD93" i="9" s="1"/>
  <c r="BD96" i="9" s="1"/>
  <c r="CG1010" i="1"/>
  <c r="BO105" i="9"/>
  <c r="BO101" i="9"/>
  <c r="U41" i="9"/>
  <c r="U106" i="9" s="1"/>
  <c r="U107" i="9" s="1"/>
  <c r="U111" i="9" s="1"/>
  <c r="U426" i="1"/>
  <c r="U410" i="1"/>
  <c r="Z53" i="9"/>
  <c r="Z757" i="1"/>
  <c r="CF869" i="1"/>
  <c r="L93" i="9"/>
  <c r="L96" i="9" s="1"/>
  <c r="CG124" i="1"/>
  <c r="V88" i="9"/>
  <c r="V85" i="9" s="1"/>
  <c r="BN111" i="1"/>
  <c r="BG111" i="1"/>
  <c r="BY105" i="9"/>
  <c r="BY101" i="9"/>
  <c r="BZ745" i="1"/>
  <c r="BZ403" i="1"/>
  <c r="CC741" i="1"/>
  <c r="CC742" i="1" s="1"/>
  <c r="O93" i="9"/>
  <c r="O96" i="9" s="1"/>
  <c r="Q93" i="9"/>
  <c r="Q96" i="9" s="1"/>
  <c r="BW41" i="9"/>
  <c r="BW106" i="9" s="1"/>
  <c r="BW107" i="9" s="1"/>
  <c r="BW111" i="9" s="1"/>
  <c r="BW426" i="1"/>
  <c r="BW410" i="1"/>
  <c r="AS431" i="1"/>
  <c r="AS424" i="1"/>
  <c r="AS428" i="1"/>
  <c r="BK105" i="9"/>
  <c r="BK101" i="9"/>
  <c r="O107" i="9"/>
  <c r="O111" i="9" s="1"/>
  <c r="Q107" i="9"/>
  <c r="Q111" i="9" s="1"/>
  <c r="CD113" i="1"/>
  <c r="CD531" i="1" s="1"/>
  <c r="CD532" i="1" s="1"/>
  <c r="CD533" i="1" s="1"/>
  <c r="CA35" i="9"/>
  <c r="CA386" i="1"/>
  <c r="CA280" i="1" s="1"/>
  <c r="CA290" i="1"/>
  <c r="CA58" i="9" s="1"/>
  <c r="BX82" i="9"/>
  <c r="BX121" i="9"/>
  <c r="AH406" i="11"/>
  <c r="X88" i="9"/>
  <c r="X85" i="9" s="1"/>
  <c r="AR108" i="1"/>
  <c r="BF220" i="1"/>
  <c r="BG220" i="1"/>
  <c r="S93" i="9"/>
  <c r="S96" i="9" s="1"/>
  <c r="I4" i="13"/>
  <c r="I3" i="13"/>
  <c r="AO40" i="9"/>
  <c r="AO409" i="1"/>
  <c r="AO420" i="1" s="1"/>
  <c r="AO427" i="1" s="1"/>
  <c r="T183" i="11"/>
  <c r="T178" i="11"/>
  <c r="T184" i="11" s="1"/>
  <c r="T402" i="11"/>
  <c r="T406" i="11"/>
  <c r="T403" i="11"/>
  <c r="U406" i="11"/>
  <c r="J40" i="9"/>
  <c r="J409" i="1"/>
  <c r="J420" i="1" s="1"/>
  <c r="J44" i="9" s="1"/>
  <c r="AY121" i="9"/>
  <c r="AY82" i="9"/>
  <c r="CA378" i="1"/>
  <c r="CA58" i="1"/>
  <c r="CA106" i="1"/>
  <c r="CA46" i="1"/>
  <c r="CA56" i="1"/>
  <c r="BE1027" i="1"/>
  <c r="BE108" i="1"/>
  <c r="BE109" i="1"/>
  <c r="BE111" i="1" s="1"/>
  <c r="AH93" i="9"/>
  <c r="AH96" i="9" s="1"/>
  <c r="AK44" i="9"/>
  <c r="AK427" i="1"/>
  <c r="AK422" i="1"/>
  <c r="AC422" i="1"/>
  <c r="BM105" i="9"/>
  <c r="BM101" i="9"/>
  <c r="S422" i="1"/>
  <c r="CF66" i="1"/>
  <c r="CF65" i="1"/>
  <c r="CF586" i="1"/>
  <c r="CF589" i="1"/>
  <c r="CF583" i="1"/>
  <c r="CE875" i="1"/>
  <c r="CE869" i="1"/>
  <c r="CD869" i="1"/>
  <c r="CG32" i="9"/>
  <c r="CG417" i="1"/>
  <c r="BA111" i="9"/>
  <c r="AX70" i="9"/>
  <c r="AX76" i="9" s="1"/>
  <c r="AX132" i="9" s="1"/>
  <c r="AV40" i="9"/>
  <c r="AV409" i="1"/>
  <c r="AV420" i="1" s="1"/>
  <c r="AV427" i="1" s="1"/>
  <c r="CG34" i="9"/>
  <c r="CG381" i="1"/>
  <c r="CG281" i="1" s="1"/>
  <c r="CG291" i="1"/>
  <c r="CG57" i="9" s="1"/>
  <c r="V406" i="11"/>
  <c r="BV427" i="1"/>
  <c r="X40" i="9"/>
  <c r="X409" i="1"/>
  <c r="X420" i="1" s="1"/>
  <c r="BI53" i="9"/>
  <c r="BI757" i="1"/>
  <c r="AM107" i="9"/>
  <c r="AM111" i="9" s="1"/>
  <c r="BP40" i="9"/>
  <c r="BP409" i="1"/>
  <c r="BP420" i="1" s="1"/>
  <c r="AF107" i="9"/>
  <c r="AF111" i="9" s="1"/>
  <c r="BJ88" i="9"/>
  <c r="BJ85" i="9" s="1"/>
  <c r="AL44" i="9"/>
  <c r="AL427" i="1"/>
  <c r="AL422" i="1"/>
  <c r="AP40" i="9"/>
  <c r="AP409" i="1"/>
  <c r="AP420" i="1" s="1"/>
  <c r="AP427" i="1" s="1"/>
  <c r="AX40" i="9"/>
  <c r="AX409" i="1"/>
  <c r="AX420" i="1" s="1"/>
  <c r="K121" i="9"/>
  <c r="K82" i="9"/>
  <c r="Z180" i="11"/>
  <c r="Z168" i="11"/>
  <c r="CD126" i="1"/>
  <c r="CD375" i="1"/>
  <c r="CH51" i="1"/>
  <c r="CD35" i="9"/>
  <c r="CD290" i="1"/>
  <c r="CD58" i="9" s="1"/>
  <c r="BE107" i="9"/>
  <c r="BE111" i="9" s="1"/>
  <c r="M283" i="11"/>
  <c r="L284" i="11"/>
  <c r="E336" i="11"/>
  <c r="F333" i="11"/>
  <c r="F334" i="11" s="1"/>
  <c r="E408" i="11"/>
  <c r="AP44" i="9"/>
  <c r="AJ70" i="9"/>
  <c r="AJ76" i="9" s="1"/>
  <c r="AJ132" i="9" s="1"/>
  <c r="AD180" i="11"/>
  <c r="AD168" i="11"/>
  <c r="AR111" i="1"/>
  <c r="CH988" i="1"/>
  <c r="BA93" i="9"/>
  <c r="BA96" i="9" s="1"/>
  <c r="BB93" i="9"/>
  <c r="BB96" i="9" s="1"/>
  <c r="BC93" i="9"/>
  <c r="BC96" i="9" s="1"/>
  <c r="Y108" i="1"/>
  <c r="BH41" i="9"/>
  <c r="BH106" i="9" s="1"/>
  <c r="BH107" i="9" s="1"/>
  <c r="BH111" i="9" s="1"/>
  <c r="BH426" i="1"/>
  <c r="BH410" i="1"/>
  <c r="CE1000" i="1"/>
  <c r="CE1005" i="1" s="1"/>
  <c r="CF736" i="1"/>
  <c r="H44" i="9"/>
  <c r="H427" i="1"/>
  <c r="H422" i="1"/>
  <c r="CF378" i="1"/>
  <c r="CF58" i="1"/>
  <c r="CF106" i="1"/>
  <c r="CF46" i="1"/>
  <c r="CF56" i="1"/>
  <c r="CA34" i="9"/>
  <c r="CA291" i="1"/>
  <c r="CA57" i="9" s="1"/>
  <c r="CA381" i="1"/>
  <c r="CA281" i="1" s="1"/>
  <c r="Y422" i="1"/>
  <c r="BB431" i="1"/>
  <c r="BB428" i="1"/>
  <c r="BB424" i="1"/>
  <c r="BZ378" i="1"/>
  <c r="BZ106" i="1"/>
  <c r="BZ58" i="1"/>
  <c r="BZ46" i="1"/>
  <c r="BZ56" i="1"/>
  <c r="AI406" i="11"/>
  <c r="AY40" i="9"/>
  <c r="AY409" i="1"/>
  <c r="AA111" i="1"/>
  <c r="J1027" i="1"/>
  <c r="J109" i="1"/>
  <c r="BV88" i="9"/>
  <c r="BV85" i="9" s="1"/>
  <c r="AK1027" i="1"/>
  <c r="AK108" i="1"/>
  <c r="AK109" i="1"/>
  <c r="AK111" i="1" s="1"/>
  <c r="AC44" i="9"/>
  <c r="BC70" i="9"/>
  <c r="BC76" i="9" s="1"/>
  <c r="BC132" i="9" s="1"/>
  <c r="BO111" i="1"/>
  <c r="BN41" i="9"/>
  <c r="BN106" i="9" s="1"/>
  <c r="BN107" i="9" s="1"/>
  <c r="BN111" i="9" s="1"/>
  <c r="BN426" i="1"/>
  <c r="BN410" i="1"/>
  <c r="Q180" i="11"/>
  <c r="Q168" i="11"/>
  <c r="V40" i="9"/>
  <c r="V409" i="1"/>
  <c r="V420" i="1" s="1"/>
  <c r="S44" i="9"/>
  <c r="AT40" i="9"/>
  <c r="AT409" i="1"/>
  <c r="AT420" i="1" s="1"/>
  <c r="AG422" i="1"/>
  <c r="U130" i="9"/>
  <c r="U92" i="9"/>
  <c r="U93" i="9" s="1"/>
  <c r="U96" i="9" s="1"/>
  <c r="BV218" i="1"/>
  <c r="BV220" i="1" s="1"/>
  <c r="BW214" i="1"/>
  <c r="BW218" i="1" s="1"/>
  <c r="CC124" i="1"/>
  <c r="AY70" i="9"/>
  <c r="AY76" i="9" s="1"/>
  <c r="AY132" i="9" s="1"/>
  <c r="O37" i="9"/>
  <c r="O105" i="1"/>
  <c r="O106" i="1" s="1"/>
  <c r="T108" i="1" s="1"/>
  <c r="O418" i="1"/>
  <c r="CG65" i="1"/>
  <c r="CG66" i="1"/>
  <c r="AW40" i="9"/>
  <c r="AW409" i="1"/>
  <c r="AW420" i="1" s="1"/>
  <c r="AW427" i="1" s="1"/>
  <c r="CA403" i="1"/>
  <c r="BV1027" i="1"/>
  <c r="BV108" i="1"/>
  <c r="BV109" i="1"/>
  <c r="BV111" i="1" s="1"/>
  <c r="D1035" i="1"/>
  <c r="CF80" i="1"/>
  <c r="CF81" i="1"/>
  <c r="BI41" i="9"/>
  <c r="BI106" i="9" s="1"/>
  <c r="BI107" i="9" s="1"/>
  <c r="BI111" i="9" s="1"/>
  <c r="BI426" i="1"/>
  <c r="BI410" i="1"/>
  <c r="BY40" i="9"/>
  <c r="CC410" i="1"/>
  <c r="CC40" i="9" s="1"/>
  <c r="BY409" i="1"/>
  <c r="BS422" i="1"/>
  <c r="AL1027" i="1"/>
  <c r="AL108" i="1"/>
  <c r="AL109" i="1"/>
  <c r="AL111" i="1" s="1"/>
  <c r="L37" i="9"/>
  <c r="L105" i="1"/>
  <c r="L106" i="1" s="1"/>
  <c r="L418" i="1"/>
  <c r="CD376" i="1"/>
  <c r="CH53" i="1"/>
  <c r="CD121" i="1"/>
  <c r="CD383" i="1"/>
  <c r="CH383" i="1" s="1"/>
  <c r="CH71" i="1"/>
  <c r="CD122" i="1"/>
  <c r="W37" i="9"/>
  <c r="W105" i="1"/>
  <c r="W106" i="1" s="1"/>
  <c r="W418" i="1"/>
  <c r="AD422" i="1"/>
  <c r="AO121" i="9"/>
  <c r="AO82" i="9"/>
  <c r="AQ93" i="9"/>
  <c r="AQ96" i="9" s="1"/>
  <c r="CH96" i="1"/>
  <c r="CH97" i="1" s="1"/>
  <c r="CH102" i="1"/>
  <c r="CH103" i="1" s="1"/>
  <c r="N5" i="13"/>
  <c r="N2" i="9"/>
  <c r="M655" i="1"/>
  <c r="O5" i="1"/>
  <c r="P4" i="13" s="1"/>
  <c r="AP1027" i="1"/>
  <c r="AP109" i="1"/>
  <c r="AU111" i="1" s="1"/>
  <c r="AP108" i="1"/>
  <c r="BU427" i="1"/>
  <c r="BU44" i="9"/>
  <c r="BU422" i="1"/>
  <c r="AY418" i="1"/>
  <c r="Y180" i="11"/>
  <c r="Y168" i="11"/>
  <c r="AI93" i="9"/>
  <c r="AI96" i="9" s="1"/>
  <c r="CH995" i="1"/>
  <c r="CH951" i="1" s="1"/>
  <c r="CG875" i="1"/>
  <c r="AC843" i="1"/>
  <c r="AB844" i="1"/>
  <c r="I44" i="9"/>
  <c r="I427" i="1"/>
  <c r="I422" i="1"/>
  <c r="X111" i="1"/>
  <c r="BA40" i="9"/>
  <c r="BA409" i="1"/>
  <c r="BA420" i="1" s="1"/>
  <c r="H1027" i="1"/>
  <c r="H109" i="1"/>
  <c r="AS70" i="9"/>
  <c r="AS76" i="9" s="1"/>
  <c r="AS132" i="9" s="1"/>
  <c r="CE35" i="9"/>
  <c r="CE386" i="1"/>
  <c r="CE280" i="1" s="1"/>
  <c r="CE290" i="1"/>
  <c r="CE58" i="9" s="1"/>
  <c r="BT105" i="9"/>
  <c r="BT101" i="9"/>
  <c r="Y44" i="9"/>
  <c r="AT70" i="9"/>
  <c r="AT76" i="9" s="1"/>
  <c r="AT132" i="9" s="1"/>
  <c r="CE378" i="1"/>
  <c r="CE46" i="1"/>
  <c r="CE106" i="1"/>
  <c r="CE58" i="1"/>
  <c r="CE56" i="1"/>
  <c r="BZ35" i="9"/>
  <c r="BZ290" i="1"/>
  <c r="BZ58" i="9" s="1"/>
  <c r="BZ386" i="1"/>
  <c r="AN40" i="9"/>
  <c r="AN409" i="1"/>
  <c r="AN420" i="1" s="1"/>
  <c r="AK406" i="11"/>
  <c r="V101" i="9"/>
  <c r="V105" i="9"/>
  <c r="BO108" i="1"/>
  <c r="BM130" i="9"/>
  <c r="BM92" i="9"/>
  <c r="BQ93" i="9" s="1"/>
  <c r="BQ96" i="9" s="1"/>
  <c r="BN53" i="9"/>
  <c r="BN757" i="1"/>
  <c r="CG586" i="1"/>
  <c r="CG589" i="1"/>
  <c r="CG583" i="1"/>
  <c r="AX111" i="1"/>
  <c r="AG427" i="1"/>
  <c r="BW129" i="9"/>
  <c r="BW88" i="9"/>
  <c r="BW85" i="9" s="1"/>
  <c r="CF34" i="9"/>
  <c r="CF381" i="1"/>
  <c r="CF281" i="1" s="1"/>
  <c r="CF291" i="1"/>
  <c r="CF57" i="9" s="1"/>
  <c r="AI111" i="1"/>
  <c r="BL44" i="9"/>
  <c r="BL427" i="1"/>
  <c r="BL422" i="1"/>
  <c r="X107" i="9"/>
  <c r="X111" i="9" s="1"/>
  <c r="CF35" i="9"/>
  <c r="CF386" i="1"/>
  <c r="CF280" i="1" s="1"/>
  <c r="CF290" i="1"/>
  <c r="CF58" i="9" s="1"/>
  <c r="P111" i="1"/>
  <c r="AZ111" i="9"/>
  <c r="BL88" i="9"/>
  <c r="BL85" i="9" s="1"/>
  <c r="W406" i="11"/>
  <c r="AP107" i="9"/>
  <c r="AP111" i="9" s="1"/>
  <c r="AS107" i="9"/>
  <c r="AS111" i="9" s="1"/>
  <c r="AX107" i="9"/>
  <c r="AX111" i="9" s="1"/>
  <c r="CA855" i="1"/>
  <c r="CA721" i="1"/>
  <c r="CA722" i="1" s="1"/>
  <c r="CA413" i="1"/>
  <c r="CA421" i="1" s="1"/>
  <c r="CA44" i="9" s="1"/>
  <c r="Z415" i="11"/>
  <c r="Z406" i="11"/>
  <c r="Z183" i="11"/>
  <c r="Z178" i="11"/>
  <c r="Z184" i="11" s="1"/>
  <c r="Z402" i="11"/>
  <c r="Z403" i="11"/>
  <c r="AC406" i="11"/>
  <c r="CD387" i="1"/>
  <c r="CH387" i="1" s="1"/>
  <c r="CD128" i="1"/>
  <c r="CH84" i="1"/>
  <c r="BQ105" i="9"/>
  <c r="BQ101" i="9"/>
  <c r="AQ427" i="1"/>
  <c r="AQ44" i="9"/>
  <c r="AQ422" i="1"/>
  <c r="BU1027" i="1"/>
  <c r="BU108" i="1"/>
  <c r="BU109" i="1"/>
  <c r="BU111" i="1" s="1"/>
  <c r="CH1001" i="1"/>
  <c r="CG738" i="1"/>
  <c r="CG9" i="9" s="1"/>
  <c r="AD178" i="11"/>
  <c r="AD184" i="11" s="1"/>
  <c r="AD183" i="11"/>
  <c r="AD406" i="11"/>
  <c r="AD402" i="11"/>
  <c r="AD403" i="11"/>
  <c r="K40" i="9"/>
  <c r="K409" i="1"/>
  <c r="K420" i="1" s="1"/>
  <c r="AJ180" i="11"/>
  <c r="AJ168" i="11"/>
  <c r="W1035" i="1"/>
  <c r="AG107" i="9"/>
  <c r="AG111" i="9" s="1"/>
  <c r="I1027" i="1"/>
  <c r="I109" i="1"/>
  <c r="AQ107" i="9"/>
  <c r="AQ111" i="9" s="1"/>
  <c r="BH1027" i="1"/>
  <c r="BH109" i="1"/>
  <c r="BH111" i="1" s="1"/>
  <c r="BH108" i="1"/>
  <c r="BX70" i="9"/>
  <c r="BX76" i="9" s="1"/>
  <c r="BX132" i="9" s="1"/>
  <c r="CE80" i="1"/>
  <c r="CE81" i="1"/>
  <c r="BR105" i="9"/>
  <c r="BR101" i="9"/>
  <c r="AR93" i="9"/>
  <c r="AR96" i="9" s="1"/>
  <c r="AA130" i="9"/>
  <c r="AA92" i="9"/>
  <c r="AF406" i="11"/>
  <c r="BA44" i="9"/>
  <c r="BA427" i="1"/>
  <c r="BA422" i="1"/>
  <c r="CC76" i="1"/>
  <c r="CC77" i="1" s="1"/>
  <c r="CC75" i="1"/>
  <c r="R427" i="1"/>
  <c r="R44" i="9"/>
  <c r="R422" i="1"/>
  <c r="BD41" i="9"/>
  <c r="BD106" i="9" s="1"/>
  <c r="BD107" i="9" s="1"/>
  <c r="BD111" i="9" s="1"/>
  <c r="BD426" i="1"/>
  <c r="BD410" i="1"/>
  <c r="AI40" i="9"/>
  <c r="AI409" i="1"/>
  <c r="AI420" i="1" s="1"/>
  <c r="BD111" i="1"/>
  <c r="CF875" i="1"/>
  <c r="CH875" i="1" s="1"/>
  <c r="AW1027" i="1"/>
  <c r="AW108" i="1"/>
  <c r="AW109" i="1"/>
  <c r="AW111" i="1" s="1"/>
  <c r="BR1027" i="1"/>
  <c r="BR109" i="1"/>
  <c r="BR111" i="1" s="1"/>
  <c r="BR108" i="1"/>
  <c r="Q406" i="11"/>
  <c r="Q183" i="11"/>
  <c r="Q178" i="11"/>
  <c r="Q184" i="11" s="1"/>
  <c r="Q402" i="11"/>
  <c r="Q403" i="11"/>
  <c r="U415" i="11"/>
  <c r="V107" i="9"/>
  <c r="V111" i="9" s="1"/>
  <c r="AH40" i="9"/>
  <c r="AH409" i="1"/>
  <c r="AH420" i="1" s="1"/>
  <c r="C217" i="11"/>
  <c r="C222" i="11"/>
  <c r="AH111" i="1"/>
  <c r="BV40" i="9"/>
  <c r="BV409" i="1"/>
  <c r="BV420" i="1" s="1"/>
  <c r="BV44" i="9" s="1"/>
  <c r="AJ41" i="9"/>
  <c r="AJ106" i="9" s="1"/>
  <c r="AJ107" i="9" s="1"/>
  <c r="AJ111" i="9" s="1"/>
  <c r="AJ426" i="1"/>
  <c r="AJ410" i="1"/>
  <c r="U60" i="9"/>
  <c r="U1035" i="1"/>
  <c r="Z130" i="9"/>
  <c r="Z92" i="9"/>
  <c r="Z93" i="9" s="1"/>
  <c r="Z96" i="9" s="1"/>
  <c r="CD587" i="1"/>
  <c r="CD590" i="1"/>
  <c r="CD582" i="1"/>
  <c r="CE587" i="1"/>
  <c r="D37" i="9"/>
  <c r="D105" i="1"/>
  <c r="D106" i="1" s="1"/>
  <c r="E108" i="1" s="1"/>
  <c r="D418" i="1"/>
  <c r="CG80" i="1"/>
  <c r="CG81" i="1"/>
  <c r="CG82" i="1" s="1"/>
  <c r="BX111" i="1"/>
  <c r="CA447" i="1"/>
  <c r="AM422" i="1" l="1"/>
  <c r="CD124" i="1"/>
  <c r="CF67" i="1"/>
  <c r="J422" i="1"/>
  <c r="Q4" i="13"/>
  <c r="AU438" i="11"/>
  <c r="BK422" i="1"/>
  <c r="BK427" i="1"/>
  <c r="BK44" i="9"/>
  <c r="AO44" i="9"/>
  <c r="BK93" i="9"/>
  <c r="BK96" i="9" s="1"/>
  <c r="J427" i="1"/>
  <c r="AV111" i="1"/>
  <c r="AV422" i="1"/>
  <c r="AV428" i="1" s="1"/>
  <c r="K449" i="11"/>
  <c r="BC422" i="1"/>
  <c r="BC44" i="9"/>
  <c r="BC427" i="1"/>
  <c r="AM44" i="9"/>
  <c r="BJ93" i="9"/>
  <c r="BJ96" i="9" s="1"/>
  <c r="AP422" i="1"/>
  <c r="AP424" i="1" s="1"/>
  <c r="CF1170" i="1"/>
  <c r="AV438" i="11"/>
  <c r="AU44" i="9"/>
  <c r="AU427" i="1"/>
  <c r="AU422" i="1"/>
  <c r="CI1016" i="1"/>
  <c r="CH773" i="1"/>
  <c r="CH10" i="9" s="1"/>
  <c r="BL93" i="9"/>
  <c r="BL96" i="9" s="1"/>
  <c r="AB107" i="9"/>
  <c r="AB111" i="9" s="1"/>
  <c r="CG67" i="1"/>
  <c r="BK107" i="9"/>
  <c r="BK111" i="9" s="1"/>
  <c r="BW111" i="1"/>
  <c r="M111" i="1"/>
  <c r="CD386" i="1"/>
  <c r="BZ5" i="9"/>
  <c r="BZ754" i="1"/>
  <c r="BU431" i="1"/>
  <c r="BU424" i="1"/>
  <c r="BU428" i="1"/>
  <c r="BZ48" i="1"/>
  <c r="BZ49" i="1" s="1"/>
  <c r="BZ47" i="1"/>
  <c r="BZ45" i="1"/>
  <c r="CC46" i="1"/>
  <c r="H428" i="1"/>
  <c r="H424" i="1"/>
  <c r="H431" i="1"/>
  <c r="AK431" i="1"/>
  <c r="AK424" i="1"/>
  <c r="AK428" i="1"/>
  <c r="CA635" i="1"/>
  <c r="CA636" i="1" s="1"/>
  <c r="CA637" i="1" s="1"/>
  <c r="CA394" i="1"/>
  <c r="CA374" i="1"/>
  <c r="CA285" i="1"/>
  <c r="CC81" i="1"/>
  <c r="CC82" i="1" s="1"/>
  <c r="CC80" i="1"/>
  <c r="BE431" i="1"/>
  <c r="BE424" i="1"/>
  <c r="BE428" i="1"/>
  <c r="AH497" i="1"/>
  <c r="AH492" i="1"/>
  <c r="AR45" i="9"/>
  <c r="AR131" i="9" s="1"/>
  <c r="AR1022" i="1"/>
  <c r="AR452" i="1"/>
  <c r="AR432" i="1"/>
  <c r="AR47" i="9" s="1"/>
  <c r="AR1023" i="1"/>
  <c r="BM107" i="9"/>
  <c r="BM111" i="9" s="1"/>
  <c r="BO107" i="9"/>
  <c r="BO111" i="9" s="1"/>
  <c r="CG108" i="1"/>
  <c r="CG109" i="1"/>
  <c r="CG111" i="1" s="1"/>
  <c r="CH123" i="1"/>
  <c r="CH87" i="1"/>
  <c r="N431" i="1"/>
  <c r="N424" i="1"/>
  <c r="N428" i="1"/>
  <c r="T93" i="9"/>
  <c r="T96" i="9" s="1"/>
  <c r="W93" i="9"/>
  <c r="W96" i="9" s="1"/>
  <c r="AV431" i="1"/>
  <c r="AV424" i="1"/>
  <c r="CC721" i="1"/>
  <c r="CC722" i="1" s="1"/>
  <c r="R4" i="13"/>
  <c r="R3" i="13"/>
  <c r="AH422" i="1"/>
  <c r="AH44" i="9"/>
  <c r="AH427" i="1"/>
  <c r="AA93" i="9"/>
  <c r="AA96" i="9" s="1"/>
  <c r="AD93" i="9"/>
  <c r="AD96" i="9" s="1"/>
  <c r="CI1001" i="1"/>
  <c r="CH738" i="1"/>
  <c r="CH9" i="9" s="1"/>
  <c r="BN121" i="9"/>
  <c r="BN82" i="9"/>
  <c r="CH386" i="1"/>
  <c r="CD280" i="1"/>
  <c r="BI82" i="9"/>
  <c r="BI121" i="9"/>
  <c r="AB93" i="9"/>
  <c r="AB96" i="9" s="1"/>
  <c r="V111" i="1"/>
  <c r="Z40" i="9"/>
  <c r="Z409" i="1"/>
  <c r="Z420" i="1" s="1"/>
  <c r="CK21" i="9"/>
  <c r="CK34" i="1"/>
  <c r="BJ111" i="1"/>
  <c r="CG635" i="1"/>
  <c r="CG636" i="1" s="1"/>
  <c r="CG637" i="1" s="1"/>
  <c r="CG394" i="1"/>
  <c r="CG374" i="1"/>
  <c r="CG285" i="1"/>
  <c r="AC497" i="1"/>
  <c r="AC492" i="1"/>
  <c r="BF45" i="9"/>
  <c r="BF131" i="9" s="1"/>
  <c r="BF1022" i="1"/>
  <c r="BF1029" i="1"/>
  <c r="BF452" i="1"/>
  <c r="BF432" i="1"/>
  <c r="BF47" i="9" s="1"/>
  <c r="BF1023" i="1"/>
  <c r="BQ422" i="1"/>
  <c r="BQ44" i="9"/>
  <c r="BQ427" i="1"/>
  <c r="BZ928" i="1"/>
  <c r="G44" i="9"/>
  <c r="G427" i="1"/>
  <c r="G422" i="1"/>
  <c r="BZ421" i="1"/>
  <c r="CC413" i="1"/>
  <c r="L4" i="11"/>
  <c r="K3" i="11"/>
  <c r="BX422" i="1"/>
  <c r="BX427" i="1"/>
  <c r="BX44" i="9"/>
  <c r="P45" i="9"/>
  <c r="P131" i="9" s="1"/>
  <c r="P1022" i="1"/>
  <c r="P452" i="1"/>
  <c r="P432" i="1"/>
  <c r="P47" i="9" s="1"/>
  <c r="P1023" i="1"/>
  <c r="D427" i="1"/>
  <c r="D44" i="9"/>
  <c r="D422" i="1"/>
  <c r="AI44" i="9"/>
  <c r="AI427" i="1"/>
  <c r="AI422" i="1"/>
  <c r="CH956" i="1"/>
  <c r="CI951" i="1"/>
  <c r="CJ951" i="1" s="1"/>
  <c r="CK951" i="1" s="1"/>
  <c r="N4" i="13"/>
  <c r="N3" i="13"/>
  <c r="AD431" i="1"/>
  <c r="AD424" i="1"/>
  <c r="AD428" i="1"/>
  <c r="CH121" i="1"/>
  <c r="CH54" i="1"/>
  <c r="BZ109" i="1"/>
  <c r="BZ111" i="1" s="1"/>
  <c r="BZ108" i="1"/>
  <c r="CI988" i="1"/>
  <c r="F408" i="11"/>
  <c r="G333" i="11"/>
  <c r="G334" i="11" s="1"/>
  <c r="F336" i="11"/>
  <c r="K333" i="11"/>
  <c r="K334" i="11" s="1"/>
  <c r="AX422" i="1"/>
  <c r="AX427" i="1"/>
  <c r="AX44" i="9"/>
  <c r="AY420" i="1"/>
  <c r="AY44" i="9" s="1"/>
  <c r="CH869" i="1"/>
  <c r="BQ107" i="9"/>
  <c r="BQ111" i="9" s="1"/>
  <c r="CH92" i="1"/>
  <c r="CI91" i="1"/>
  <c r="CJ26" i="9"/>
  <c r="CJ370" i="1"/>
  <c r="CJ38" i="1"/>
  <c r="CJ19" i="9" s="1"/>
  <c r="CJ44" i="1"/>
  <c r="AD497" i="1"/>
  <c r="AD492" i="1"/>
  <c r="AV44" i="9"/>
  <c r="E431" i="1"/>
  <c r="E424" i="1"/>
  <c r="E428" i="1"/>
  <c r="CF1" i="9"/>
  <c r="CF768" i="1"/>
  <c r="CG4" i="1"/>
  <c r="CF3" i="1"/>
  <c r="CF1140" i="1" s="1"/>
  <c r="M431" i="1"/>
  <c r="M424" i="1"/>
  <c r="M428" i="1"/>
  <c r="G1027" i="1"/>
  <c r="G109" i="1"/>
  <c r="U1027" i="1"/>
  <c r="U108" i="1"/>
  <c r="U109" i="1"/>
  <c r="Z108" i="1"/>
  <c r="BD82" i="9"/>
  <c r="BD121" i="9"/>
  <c r="F45" i="9"/>
  <c r="F131" i="9" s="1"/>
  <c r="F1022" i="1"/>
  <c r="F452" i="1"/>
  <c r="F432" i="1"/>
  <c r="F47" i="9" s="1"/>
  <c r="F1023" i="1"/>
  <c r="D1027" i="1"/>
  <c r="D109" i="1"/>
  <c r="D111" i="1" s="1"/>
  <c r="D108" i="1"/>
  <c r="CH85" i="1"/>
  <c r="CH128" i="1"/>
  <c r="BM93" i="9"/>
  <c r="BM96" i="9" s="1"/>
  <c r="BO93" i="9"/>
  <c r="BO96" i="9" s="1"/>
  <c r="CE108" i="1"/>
  <c r="CE109" i="1"/>
  <c r="AD843" i="1"/>
  <c r="AC844" i="1"/>
  <c r="W44" i="9"/>
  <c r="W427" i="1"/>
  <c r="W422" i="1"/>
  <c r="CD32" i="9"/>
  <c r="CH376" i="1"/>
  <c r="CH32" i="9" s="1"/>
  <c r="CD417" i="1"/>
  <c r="CH417" i="1" s="1"/>
  <c r="BS431" i="1"/>
  <c r="BS424" i="1"/>
  <c r="BS428" i="1"/>
  <c r="BI40" i="9"/>
  <c r="BI409" i="1"/>
  <c r="BI420" i="1" s="1"/>
  <c r="V44" i="9"/>
  <c r="V422" i="1"/>
  <c r="V427" i="1"/>
  <c r="BZ635" i="1"/>
  <c r="BZ394" i="1"/>
  <c r="BZ285" i="1"/>
  <c r="BZ374" i="1"/>
  <c r="CF1000" i="1"/>
  <c r="CF1005" i="1" s="1"/>
  <c r="CG736" i="1"/>
  <c r="CG1000" i="1" s="1"/>
  <c r="CH126" i="1"/>
  <c r="CH52" i="1"/>
  <c r="J424" i="1"/>
  <c r="J431" i="1"/>
  <c r="J428" i="1"/>
  <c r="Z121" i="9"/>
  <c r="Z82" i="9"/>
  <c r="AA40" i="9"/>
  <c r="AA409" i="1"/>
  <c r="AA420" i="1" s="1"/>
  <c r="AE427" i="1"/>
  <c r="AE44" i="9"/>
  <c r="AE422" i="1"/>
  <c r="CH953" i="1"/>
  <c r="CI948" i="1"/>
  <c r="CJ948" i="1" s="1"/>
  <c r="CK948" i="1" s="1"/>
  <c r="N111" i="1"/>
  <c r="BY1027" i="1"/>
  <c r="BY109" i="1"/>
  <c r="BY111" i="1" s="1"/>
  <c r="BY108" i="1"/>
  <c r="BX220" i="1"/>
  <c r="BY214" i="1"/>
  <c r="BY218" i="1" s="1"/>
  <c r="BY220" i="1" s="1"/>
  <c r="BZ281" i="1"/>
  <c r="CC381" i="1"/>
  <c r="CD80" i="1"/>
  <c r="CH79" i="1"/>
  <c r="CD81" i="1"/>
  <c r="CD82" i="1" s="1"/>
  <c r="BO45" i="9"/>
  <c r="BO131" i="9" s="1"/>
  <c r="BO1022" i="1"/>
  <c r="BO452" i="1"/>
  <c r="BO432" i="1"/>
  <c r="BO47" i="9" s="1"/>
  <c r="BO1023" i="1"/>
  <c r="J180" i="11"/>
  <c r="J168" i="11"/>
  <c r="BJ422" i="1"/>
  <c r="BT424" i="1"/>
  <c r="BT431" i="1"/>
  <c r="BT428" i="1"/>
  <c r="BZ117" i="1"/>
  <c r="CC855" i="1"/>
  <c r="BZ1011" i="1"/>
  <c r="BY107" i="9"/>
  <c r="BY111" i="9" s="1"/>
  <c r="BD40" i="9"/>
  <c r="BD409" i="1"/>
  <c r="BD420" i="1" s="1"/>
  <c r="BA431" i="1"/>
  <c r="BA424" i="1"/>
  <c r="BA428" i="1"/>
  <c r="AN422" i="1"/>
  <c r="AN427" i="1"/>
  <c r="AN44" i="9"/>
  <c r="CE47" i="1"/>
  <c r="CE48" i="1"/>
  <c r="CE45" i="1"/>
  <c r="AP111" i="1"/>
  <c r="W1027" i="1"/>
  <c r="W108" i="1"/>
  <c r="W109" i="1"/>
  <c r="W111" i="1" s="1"/>
  <c r="BL107" i="9"/>
  <c r="BL111" i="9" s="1"/>
  <c r="BB45" i="9"/>
  <c r="BB131" i="9" s="1"/>
  <c r="BB1022" i="1"/>
  <c r="BB432" i="1"/>
  <c r="BB47" i="9" s="1"/>
  <c r="BB452" i="1"/>
  <c r="BB1023" i="1"/>
  <c r="CF47" i="1"/>
  <c r="CF48" i="1"/>
  <c r="CF45" i="1"/>
  <c r="CD31" i="9"/>
  <c r="CH375" i="1"/>
  <c r="CH31" i="9" s="1"/>
  <c r="CD416" i="1"/>
  <c r="X427" i="1"/>
  <c r="X44" i="9"/>
  <c r="X422" i="1"/>
  <c r="S424" i="1"/>
  <c r="S431" i="1"/>
  <c r="S428" i="1"/>
  <c r="BJ107" i="9"/>
  <c r="BJ111" i="9" s="1"/>
  <c r="AS45" i="9"/>
  <c r="AS131" i="9" s="1"/>
  <c r="AS1022" i="1"/>
  <c r="AS452" i="1"/>
  <c r="AS432" i="1"/>
  <c r="AS47" i="9" s="1"/>
  <c r="AS1023" i="1"/>
  <c r="CE67" i="1"/>
  <c r="AS5" i="11"/>
  <c r="AS436" i="11" s="1"/>
  <c r="AS437" i="11" s="1"/>
  <c r="AE1027" i="1"/>
  <c r="AE108" i="1"/>
  <c r="AE109" i="1"/>
  <c r="AJ108" i="1"/>
  <c r="S111" i="1"/>
  <c r="R497" i="1"/>
  <c r="R492" i="1"/>
  <c r="AZ424" i="1"/>
  <c r="AZ431" i="1"/>
  <c r="AZ428" i="1"/>
  <c r="BM111" i="1"/>
  <c r="BJ44" i="9"/>
  <c r="CH76" i="1"/>
  <c r="CH75" i="1"/>
  <c r="T40" i="9"/>
  <c r="T409" i="1"/>
  <c r="T420" i="1" s="1"/>
  <c r="CC109" i="1"/>
  <c r="CC111" i="1" s="1"/>
  <c r="CC108" i="1"/>
  <c r="BA111" i="1"/>
  <c r="F1031" i="1"/>
  <c r="F921" i="1"/>
  <c r="K915" i="1"/>
  <c r="K916" i="1" s="1"/>
  <c r="G915" i="1"/>
  <c r="G916" i="1" s="1"/>
  <c r="AA1031" i="1"/>
  <c r="AB915" i="1"/>
  <c r="AB916" i="1" s="1"/>
  <c r="AA921" i="1"/>
  <c r="C220" i="11"/>
  <c r="C223" i="11"/>
  <c r="AW422" i="1"/>
  <c r="CE635" i="1"/>
  <c r="CE636" i="1" s="1"/>
  <c r="CE637" i="1" s="1"/>
  <c r="CE394" i="1"/>
  <c r="CE285" i="1"/>
  <c r="CE374" i="1"/>
  <c r="Y111" i="1"/>
  <c r="L427" i="1"/>
  <c r="L44" i="9"/>
  <c r="L422" i="1"/>
  <c r="O44" i="9"/>
  <c r="O427" i="1"/>
  <c r="O422" i="1"/>
  <c r="AG424" i="1"/>
  <c r="AG431" i="1"/>
  <c r="AG428" i="1"/>
  <c r="CF108" i="1"/>
  <c r="CF109" i="1"/>
  <c r="BH40" i="9"/>
  <c r="BH409" i="1"/>
  <c r="BH420" i="1" s="1"/>
  <c r="N283" i="11"/>
  <c r="M284" i="11"/>
  <c r="CD129" i="1"/>
  <c r="BP422" i="1"/>
  <c r="BP427" i="1"/>
  <c r="BP44" i="9"/>
  <c r="CA48" i="1"/>
  <c r="CA49" i="1" s="1"/>
  <c r="CA47" i="1"/>
  <c r="CA45" i="1"/>
  <c r="U40" i="9"/>
  <c r="U409" i="1"/>
  <c r="U420" i="1" s="1"/>
  <c r="U44" i="9" s="1"/>
  <c r="AA107" i="9"/>
  <c r="AA111" i="9" s="1"/>
  <c r="AC107" i="9"/>
  <c r="AC111" i="9" s="1"/>
  <c r="BE220" i="1"/>
  <c r="BC220" i="1"/>
  <c r="CH70" i="1"/>
  <c r="CH127" i="1"/>
  <c r="V93" i="9"/>
  <c r="V96" i="9" s="1"/>
  <c r="C424" i="1"/>
  <c r="C431" i="1"/>
  <c r="C428" i="1"/>
  <c r="AA2" i="9"/>
  <c r="AA5" i="13"/>
  <c r="AB5" i="1"/>
  <c r="T463" i="1"/>
  <c r="T467" i="1" s="1"/>
  <c r="T480" i="1" s="1"/>
  <c r="T490" i="1" s="1"/>
  <c r="S480" i="1"/>
  <c r="S490" i="1" s="1"/>
  <c r="BZ934" i="1"/>
  <c r="CA452" i="1"/>
  <c r="CA455" i="1" s="1"/>
  <c r="CA450" i="1"/>
  <c r="CA449" i="1"/>
  <c r="CB444" i="1"/>
  <c r="CB436" i="1" s="1"/>
  <c r="CB714" i="1" s="1"/>
  <c r="CB447" i="1"/>
  <c r="J178" i="11"/>
  <c r="J184" i="11" s="1"/>
  <c r="J183" i="11"/>
  <c r="J406" i="11"/>
  <c r="J402" i="11"/>
  <c r="M406" i="11"/>
  <c r="L406" i="11"/>
  <c r="J403" i="11"/>
  <c r="I406" i="11"/>
  <c r="K406" i="11"/>
  <c r="H406" i="11"/>
  <c r="K415" i="11"/>
  <c r="CB47" i="1"/>
  <c r="CB48" i="1"/>
  <c r="CB49" i="1" s="1"/>
  <c r="CB45" i="1"/>
  <c r="CD66" i="1"/>
  <c r="CD67" i="1" s="1"/>
  <c r="CH64" i="1"/>
  <c r="CD65" i="1"/>
  <c r="Q431" i="1"/>
  <c r="Q424" i="1"/>
  <c r="Q428" i="1"/>
  <c r="AB427" i="1"/>
  <c r="AB44" i="9"/>
  <c r="AB422" i="1"/>
  <c r="R111" i="1"/>
  <c r="BB111" i="1"/>
  <c r="BR41" i="9"/>
  <c r="BR106" i="9" s="1"/>
  <c r="BR426" i="1"/>
  <c r="BR410" i="1"/>
  <c r="AQ111" i="1"/>
  <c r="CD589" i="1"/>
  <c r="CD583" i="1"/>
  <c r="CD586" i="1"/>
  <c r="AJ40" i="9"/>
  <c r="AJ409" i="1"/>
  <c r="AJ420" i="1" s="1"/>
  <c r="AM431" i="1"/>
  <c r="AM424" i="1"/>
  <c r="AM428" i="1"/>
  <c r="CE82" i="1"/>
  <c r="AQ424" i="1"/>
  <c r="AQ431" i="1"/>
  <c r="AQ428" i="1"/>
  <c r="AW44" i="9"/>
  <c r="BZ280" i="1"/>
  <c r="CC386" i="1"/>
  <c r="I431" i="1"/>
  <c r="I424" i="1"/>
  <c r="I428" i="1"/>
  <c r="L1027" i="1"/>
  <c r="L108" i="1"/>
  <c r="L109" i="1"/>
  <c r="L111" i="1" s="1"/>
  <c r="CF82" i="1"/>
  <c r="O1027" i="1"/>
  <c r="O108" i="1"/>
  <c r="O109" i="1"/>
  <c r="O111" i="1" s="1"/>
  <c r="AL431" i="1"/>
  <c r="AL424" i="1"/>
  <c r="AL428" i="1"/>
  <c r="BV422" i="1"/>
  <c r="BU220" i="1"/>
  <c r="CA108" i="1"/>
  <c r="CA109" i="1"/>
  <c r="CA111" i="1" s="1"/>
  <c r="BZ405" i="1"/>
  <c r="BZ407" i="1" s="1"/>
  <c r="BZ39" i="9" s="1"/>
  <c r="CC403" i="1"/>
  <c r="CH1010" i="1"/>
  <c r="CI1010" i="1" s="1"/>
  <c r="CF855" i="1"/>
  <c r="CF721" i="1"/>
  <c r="CF722" i="1" s="1"/>
  <c r="CF413" i="1"/>
  <c r="CF421" i="1" s="1"/>
  <c r="CF44" i="9" s="1"/>
  <c r="CI84" i="1"/>
  <c r="CI102" i="1"/>
  <c r="CI103" i="1" s="1"/>
  <c r="CI71" i="1"/>
  <c r="CI51" i="1"/>
  <c r="CI69" i="1"/>
  <c r="CI86" i="1"/>
  <c r="CI53" i="1"/>
  <c r="CI96" i="1"/>
  <c r="CI97" i="1" s="1"/>
  <c r="U82" i="9"/>
  <c r="U121" i="9"/>
  <c r="BM40" i="9"/>
  <c r="BM409" i="1"/>
  <c r="BM420" i="1" s="1"/>
  <c r="J4" i="13"/>
  <c r="J3" i="13"/>
  <c r="AE5" i="13"/>
  <c r="AE2" i="9"/>
  <c r="AA683" i="1"/>
  <c r="Z683" i="1"/>
  <c r="AC683" i="1"/>
  <c r="Y683" i="1"/>
  <c r="AB683" i="1"/>
  <c r="AJ5" i="1"/>
  <c r="AH1112" i="1" s="1"/>
  <c r="AF5" i="1"/>
  <c r="CD378" i="1"/>
  <c r="CH57" i="1"/>
  <c r="CD46" i="1"/>
  <c r="CD106" i="1"/>
  <c r="CD58" i="1"/>
  <c r="CD56" i="1"/>
  <c r="CH56" i="1" s="1"/>
  <c r="BZ714" i="1"/>
  <c r="AT111" i="1"/>
  <c r="CB109" i="1"/>
  <c r="CB111" i="1" s="1"/>
  <c r="CB108" i="1"/>
  <c r="T107" i="9"/>
  <c r="T111" i="9" s="1"/>
  <c r="W107" i="9"/>
  <c r="W111" i="9" s="1"/>
  <c r="AB1027" i="1"/>
  <c r="AB108" i="1"/>
  <c r="AB109" i="1"/>
  <c r="AG108" i="1"/>
  <c r="AO422" i="1"/>
  <c r="BR130" i="9"/>
  <c r="BR92" i="9"/>
  <c r="AF915" i="1"/>
  <c r="AF916" i="1" s="1"/>
  <c r="AE921" i="1"/>
  <c r="AJ915" i="1"/>
  <c r="AJ916" i="1" s="1"/>
  <c r="AC93" i="9"/>
  <c r="AC96" i="9" s="1"/>
  <c r="R424" i="1"/>
  <c r="R431" i="1"/>
  <c r="R428" i="1"/>
  <c r="K422" i="1"/>
  <c r="K427" i="1"/>
  <c r="K44" i="9"/>
  <c r="BL424" i="1"/>
  <c r="BL428" i="1"/>
  <c r="BL431" i="1"/>
  <c r="AY427" i="1"/>
  <c r="AY422" i="1"/>
  <c r="O2" i="9"/>
  <c r="O5" i="13"/>
  <c r="N655" i="1"/>
  <c r="P3" i="13"/>
  <c r="CH122" i="1"/>
  <c r="CH72" i="1"/>
  <c r="BY420" i="1"/>
  <c r="CC409" i="1"/>
  <c r="BW220" i="1"/>
  <c r="AT44" i="9"/>
  <c r="AT427" i="1"/>
  <c r="AT422" i="1"/>
  <c r="BN40" i="9"/>
  <c r="BN409" i="1"/>
  <c r="BN420" i="1" s="1"/>
  <c r="CC56" i="1"/>
  <c r="Y424" i="1"/>
  <c r="Y431" i="1"/>
  <c r="Y428" i="1"/>
  <c r="CF394" i="1"/>
  <c r="CF635" i="1"/>
  <c r="CF636" i="1" s="1"/>
  <c r="CF637" i="1" s="1"/>
  <c r="CF374" i="1"/>
  <c r="CF285" i="1"/>
  <c r="AC431" i="1"/>
  <c r="AC424" i="1"/>
  <c r="AC428" i="1"/>
  <c r="F111" i="1"/>
  <c r="BW40" i="9"/>
  <c r="BW409" i="1"/>
  <c r="BW420" i="1" s="1"/>
  <c r="BZ746" i="1"/>
  <c r="AG497" i="1"/>
  <c r="AG492" i="1"/>
  <c r="Q3" i="13"/>
  <c r="CI29" i="9"/>
  <c r="CI581" i="1"/>
  <c r="CI292" i="1"/>
  <c r="CI59" i="9" s="1"/>
  <c r="CI282" i="1"/>
  <c r="CI1026" i="1"/>
  <c r="W2" i="9"/>
  <c r="W5" i="13"/>
  <c r="X5" i="1"/>
  <c r="AF422" i="1"/>
  <c r="AF427" i="1"/>
  <c r="AF44" i="9"/>
  <c r="CH608" i="1"/>
  <c r="CH582" i="1"/>
  <c r="CF608" i="1"/>
  <c r="CG608" i="1"/>
  <c r="CE608" i="1"/>
  <c r="CH590" i="1"/>
  <c r="CD608" i="1"/>
  <c r="CG855" i="1"/>
  <c r="CG413" i="1"/>
  <c r="CG421" i="1" s="1"/>
  <c r="CG44" i="9" s="1"/>
  <c r="CG721" i="1"/>
  <c r="CG722" i="1" s="1"/>
  <c r="CE8" i="9"/>
  <c r="CE1025" i="1"/>
  <c r="CF737" i="1"/>
  <c r="CE735" i="1"/>
  <c r="CE996" i="1" s="1"/>
  <c r="CG48" i="1"/>
  <c r="CG47" i="1"/>
  <c r="CG45" i="1"/>
  <c r="BQ111" i="1"/>
  <c r="Q108" i="1"/>
  <c r="AJ121" i="9"/>
  <c r="AJ82" i="9"/>
  <c r="CA436" i="1"/>
  <c r="CA714" i="1" s="1"/>
  <c r="CC66" i="1"/>
  <c r="CC67" i="1" s="1"/>
  <c r="CC65" i="1"/>
  <c r="CB635" i="1"/>
  <c r="CB636" i="1" s="1"/>
  <c r="CB637" i="1" s="1"/>
  <c r="CB394" i="1"/>
  <c r="CB374" i="1"/>
  <c r="CB285" i="1"/>
  <c r="CD34" i="9"/>
  <c r="CD381" i="1"/>
  <c r="CD291" i="1"/>
  <c r="CD57" i="9" s="1"/>
  <c r="W1031" i="1"/>
  <c r="W921" i="1"/>
  <c r="X915" i="1"/>
  <c r="X916" i="1" s="1"/>
  <c r="BP93" i="9"/>
  <c r="BP96" i="9" s="1"/>
  <c r="AW5" i="11"/>
  <c r="AW436" i="11" s="1"/>
  <c r="AW437" i="11" s="1"/>
  <c r="AW438" i="11" s="1"/>
  <c r="S2" i="9"/>
  <c r="S5" i="13"/>
  <c r="T5" i="1"/>
  <c r="V4" i="13" s="1"/>
  <c r="BG45" i="9"/>
  <c r="BG131" i="9" s="1"/>
  <c r="BG1022" i="1"/>
  <c r="BG452" i="1"/>
  <c r="BG432" i="1"/>
  <c r="BG47" i="9" s="1"/>
  <c r="BG1023" i="1"/>
  <c r="BK428" i="1" l="1"/>
  <c r="BK431" i="1"/>
  <c r="BK424" i="1"/>
  <c r="U422" i="1"/>
  <c r="AH1121" i="1"/>
  <c r="AH1114" i="1"/>
  <c r="AH1124" i="1"/>
  <c r="AH1123" i="1"/>
  <c r="AH1113" i="1"/>
  <c r="AH1117" i="1"/>
  <c r="AH1120" i="1"/>
  <c r="AH1119" i="1"/>
  <c r="AH1115" i="1"/>
  <c r="AH1118" i="1"/>
  <c r="AH1116" i="1"/>
  <c r="AH1122" i="1"/>
  <c r="AS438" i="11"/>
  <c r="AT438" i="11"/>
  <c r="U427" i="1"/>
  <c r="CI773" i="1"/>
  <c r="CI10" i="9" s="1"/>
  <c r="CJ1016" i="1"/>
  <c r="BC431" i="1"/>
  <c r="BC424" i="1"/>
  <c r="BC428" i="1"/>
  <c r="AP428" i="1"/>
  <c r="AU428" i="1"/>
  <c r="AU431" i="1"/>
  <c r="AU424" i="1"/>
  <c r="AP431" i="1"/>
  <c r="V3" i="13"/>
  <c r="CG1170" i="1"/>
  <c r="CG1140" i="1"/>
  <c r="CE111" i="1"/>
  <c r="CH124" i="1"/>
  <c r="Q111" i="1"/>
  <c r="CC436" i="1"/>
  <c r="K227" i="11"/>
  <c r="K229" i="11" s="1"/>
  <c r="K225" i="11"/>
  <c r="K226" i="11"/>
  <c r="K228" i="11"/>
  <c r="CA5" i="9"/>
  <c r="CA754" i="1"/>
  <c r="CI995" i="1"/>
  <c r="CI875" i="1" s="1"/>
  <c r="CF396" i="1"/>
  <c r="CF293" i="1"/>
  <c r="CF60" i="9" s="1"/>
  <c r="O3" i="13"/>
  <c r="O4" i="13"/>
  <c r="AB111" i="1"/>
  <c r="AG111" i="1"/>
  <c r="CH106" i="1"/>
  <c r="CH58" i="1"/>
  <c r="CH59" i="1"/>
  <c r="CI388" i="1"/>
  <c r="CI123" i="1"/>
  <c r="CI387" i="1"/>
  <c r="CI128" i="1"/>
  <c r="AL45" i="9"/>
  <c r="AL131" i="9" s="1"/>
  <c r="AL1022" i="1"/>
  <c r="AL1029" i="1"/>
  <c r="AL452" i="1"/>
  <c r="AL432" i="1"/>
  <c r="AL47" i="9" s="1"/>
  <c r="AL1023" i="1"/>
  <c r="CH65" i="1"/>
  <c r="CH66" i="1"/>
  <c r="CH67" i="1" s="1"/>
  <c r="O283" i="11"/>
  <c r="N284" i="11"/>
  <c r="CH77" i="1"/>
  <c r="CI76" i="1"/>
  <c r="CD855" i="1"/>
  <c r="CH855" i="1" s="1"/>
  <c r="CD721" i="1"/>
  <c r="CD722" i="1" s="1"/>
  <c r="CH416" i="1"/>
  <c r="CD413" i="1"/>
  <c r="BB453" i="1"/>
  <c r="BB455" i="1"/>
  <c r="BA45" i="9"/>
  <c r="BA131" i="9" s="1"/>
  <c r="BA1029" i="1"/>
  <c r="BA1022" i="1"/>
  <c r="BA452" i="1"/>
  <c r="BA432" i="1"/>
  <c r="BA47" i="9" s="1"/>
  <c r="BA1023" i="1"/>
  <c r="BZ119" i="1"/>
  <c r="AE843" i="1"/>
  <c r="AE844" i="1" s="1"/>
  <c r="AD844" i="1"/>
  <c r="AX424" i="1"/>
  <c r="AX431" i="1"/>
  <c r="AX428" i="1"/>
  <c r="BF453" i="1"/>
  <c r="BF455" i="1"/>
  <c r="CG396" i="1"/>
  <c r="CG293" i="1"/>
  <c r="CG60" i="9" s="1"/>
  <c r="CH280" i="1"/>
  <c r="CH390" i="1"/>
  <c r="BE45" i="9"/>
  <c r="BE131" i="9" s="1"/>
  <c r="BE1022" i="1"/>
  <c r="BE432" i="1"/>
  <c r="BE47" i="9" s="1"/>
  <c r="BE452" i="1"/>
  <c r="BE1023" i="1"/>
  <c r="BG453" i="1"/>
  <c r="BG455" i="1"/>
  <c r="CB56" i="9"/>
  <c r="CB286" i="1"/>
  <c r="CH583" i="1"/>
  <c r="CH589" i="1"/>
  <c r="AF921" i="1"/>
  <c r="AG915" i="1"/>
  <c r="AG916" i="1" s="1"/>
  <c r="CD394" i="1"/>
  <c r="CD635" i="1"/>
  <c r="CD636" i="1" s="1"/>
  <c r="CD637" i="1" s="1"/>
  <c r="CD374" i="1"/>
  <c r="CD285" i="1"/>
  <c r="BM422" i="1"/>
  <c r="BM44" i="9"/>
  <c r="BM427" i="1"/>
  <c r="CI382" i="1"/>
  <c r="CI127" i="1"/>
  <c r="AQ45" i="9"/>
  <c r="AQ131" i="9" s="1"/>
  <c r="AQ1029" i="1"/>
  <c r="AQ1022" i="1"/>
  <c r="AQ452" i="1"/>
  <c r="AQ432" i="1"/>
  <c r="AQ47" i="9" s="1"/>
  <c r="AQ1023" i="1"/>
  <c r="AB424" i="1"/>
  <c r="AB431" i="1"/>
  <c r="AB428" i="1"/>
  <c r="CH81" i="1"/>
  <c r="CH82" i="1" s="1"/>
  <c r="CH80" i="1"/>
  <c r="AA427" i="1"/>
  <c r="AA44" i="9"/>
  <c r="AA422" i="1"/>
  <c r="K408" i="11"/>
  <c r="P333" i="11"/>
  <c r="P334" i="11" s="1"/>
  <c r="L333" i="11"/>
  <c r="L334" i="11" s="1"/>
  <c r="K336" i="11"/>
  <c r="BX424" i="1"/>
  <c r="BX431" i="1"/>
  <c r="BX428" i="1"/>
  <c r="CC421" i="1"/>
  <c r="BZ44" i="9"/>
  <c r="CA924" i="1"/>
  <c r="BZ927" i="1"/>
  <c r="AR455" i="1"/>
  <c r="AR453" i="1"/>
  <c r="AK45" i="9"/>
  <c r="AK131" i="9" s="1"/>
  <c r="AK1022" i="1"/>
  <c r="AK452" i="1"/>
  <c r="AK432" i="1"/>
  <c r="AK47" i="9" s="1"/>
  <c r="AK1023" i="1"/>
  <c r="CB30" i="9"/>
  <c r="CB993" i="1"/>
  <c r="CB966" i="1"/>
  <c r="CB277" i="1"/>
  <c r="CB278" i="1" s="1"/>
  <c r="AC45" i="9"/>
  <c r="AC131" i="9" s="1"/>
  <c r="AC1022" i="1"/>
  <c r="AC452" i="1"/>
  <c r="AC432" i="1"/>
  <c r="AC47" i="9" s="1"/>
  <c r="AC1023" i="1"/>
  <c r="AY424" i="1"/>
  <c r="AY431" i="1"/>
  <c r="AY428" i="1"/>
  <c r="K424" i="1"/>
  <c r="J1029" i="1" s="1"/>
  <c r="K431" i="1"/>
  <c r="K428" i="1"/>
  <c r="AF2" i="9"/>
  <c r="AF5" i="13"/>
  <c r="AG5" i="1"/>
  <c r="CI375" i="1"/>
  <c r="CI126" i="1"/>
  <c r="I45" i="9"/>
  <c r="I131" i="9" s="1"/>
  <c r="I1022" i="1"/>
  <c r="I432" i="1"/>
  <c r="I47" i="9" s="1"/>
  <c r="I452" i="1"/>
  <c r="I1023" i="1"/>
  <c r="CB69" i="9"/>
  <c r="CB1036" i="1"/>
  <c r="CB902" i="1"/>
  <c r="CB910" i="1" s="1"/>
  <c r="BZ933" i="1"/>
  <c r="CA930" i="1"/>
  <c r="C45" i="9"/>
  <c r="C131" i="9" s="1"/>
  <c r="C1022" i="1"/>
  <c r="C1029" i="1"/>
  <c r="C432" i="1"/>
  <c r="C47" i="9" s="1"/>
  <c r="C452" i="1"/>
  <c r="C1023" i="1"/>
  <c r="CE49" i="1"/>
  <c r="BD422" i="1"/>
  <c r="BD44" i="9"/>
  <c r="BD427" i="1"/>
  <c r="BO453" i="1"/>
  <c r="BO455" i="1"/>
  <c r="CH129" i="1"/>
  <c r="V431" i="1"/>
  <c r="V424" i="1"/>
  <c r="V428" i="1"/>
  <c r="M45" i="9"/>
  <c r="M131" i="9" s="1"/>
  <c r="M1022" i="1"/>
  <c r="M452" i="1"/>
  <c r="M432" i="1"/>
  <c r="M47" i="9" s="1"/>
  <c r="M1023" i="1"/>
  <c r="CJ53" i="1"/>
  <c r="CJ102" i="1"/>
  <c r="CJ103" i="1" s="1"/>
  <c r="CJ71" i="1"/>
  <c r="CJ51" i="1"/>
  <c r="CJ96" i="1"/>
  <c r="CJ97" i="1" s="1"/>
  <c r="CJ69" i="1"/>
  <c r="CJ84" i="1"/>
  <c r="CJ86" i="1"/>
  <c r="AI424" i="1"/>
  <c r="AI431" i="1"/>
  <c r="AI428" i="1"/>
  <c r="P453" i="1"/>
  <c r="P455" i="1"/>
  <c r="U431" i="1"/>
  <c r="U424" i="1"/>
  <c r="U428" i="1"/>
  <c r="CJ1001" i="1"/>
  <c r="CI738" i="1"/>
  <c r="CI9" i="9" s="1"/>
  <c r="X921" i="1"/>
  <c r="X1031" i="1"/>
  <c r="Y915" i="1"/>
  <c r="Y916" i="1" s="1"/>
  <c r="CB396" i="1"/>
  <c r="CB293" i="1"/>
  <c r="CB60" i="9" s="1"/>
  <c r="Y45" i="9"/>
  <c r="Y131" i="9" s="1"/>
  <c r="Y1022" i="1"/>
  <c r="Y452" i="1"/>
  <c r="Y432" i="1"/>
  <c r="Y47" i="9" s="1"/>
  <c r="Y1023" i="1"/>
  <c r="BR93" i="9"/>
  <c r="BR96" i="9" s="1"/>
  <c r="BT93" i="9"/>
  <c r="BT96" i="9" s="1"/>
  <c r="BU93" i="9"/>
  <c r="BU96" i="9" s="1"/>
  <c r="BV93" i="9"/>
  <c r="BV96" i="9" s="1"/>
  <c r="BZ69" i="9"/>
  <c r="BZ1036" i="1"/>
  <c r="BZ902" i="1"/>
  <c r="AJ5" i="13"/>
  <c r="AJ2" i="9"/>
  <c r="AH683" i="1"/>
  <c r="AF683" i="1"/>
  <c r="AG683" i="1"/>
  <c r="AE683" i="1"/>
  <c r="AH543" i="1"/>
  <c r="AH610" i="1"/>
  <c r="AD683" i="1"/>
  <c r="AK5" i="1"/>
  <c r="AO5" i="1"/>
  <c r="CI383" i="1"/>
  <c r="CI122" i="1"/>
  <c r="CB449" i="1"/>
  <c r="CB450" i="1"/>
  <c r="CB452" i="1"/>
  <c r="CC452" i="1" s="1"/>
  <c r="CC444" i="1"/>
  <c r="CD447" i="1"/>
  <c r="S497" i="1"/>
  <c r="S492" i="1"/>
  <c r="AP45" i="9"/>
  <c r="AP131" i="9" s="1"/>
  <c r="AP1022" i="1"/>
  <c r="AP452" i="1"/>
  <c r="AP432" i="1"/>
  <c r="AP47" i="9" s="1"/>
  <c r="AP1023" i="1"/>
  <c r="AG45" i="9"/>
  <c r="AG131" i="9" s="1"/>
  <c r="AG1022" i="1"/>
  <c r="AG452" i="1"/>
  <c r="AG432" i="1"/>
  <c r="AG47" i="9" s="1"/>
  <c r="AG1023" i="1"/>
  <c r="CE30" i="9"/>
  <c r="CE277" i="1"/>
  <c r="CE278" i="1" s="1"/>
  <c r="AC915" i="1"/>
  <c r="AC916" i="1" s="1"/>
  <c r="AB1031" i="1"/>
  <c r="AB921" i="1"/>
  <c r="BT45" i="9"/>
  <c r="BT131" i="9" s="1"/>
  <c r="BT1029" i="1"/>
  <c r="BT1022" i="1"/>
  <c r="BT432" i="1"/>
  <c r="BT47" i="9" s="1"/>
  <c r="BT452" i="1"/>
  <c r="BT1023" i="1"/>
  <c r="E111" i="1"/>
  <c r="CG1005" i="1"/>
  <c r="CH1000" i="1"/>
  <c r="U111" i="1"/>
  <c r="Z111" i="1"/>
  <c r="H333" i="11"/>
  <c r="H334" i="11" s="1"/>
  <c r="G336" i="11"/>
  <c r="G408" i="11"/>
  <c r="M4" i="11"/>
  <c r="L3" i="11"/>
  <c r="L449" i="11" s="1"/>
  <c r="CK26" i="9"/>
  <c r="CK370" i="1"/>
  <c r="CK38" i="1"/>
  <c r="CK19" i="9" s="1"/>
  <c r="CK44" i="1"/>
  <c r="BU45" i="9"/>
  <c r="BU131" i="9" s="1"/>
  <c r="BU1022" i="1"/>
  <c r="BU452" i="1"/>
  <c r="BU432" i="1"/>
  <c r="BU47" i="9" s="1"/>
  <c r="BU1023" i="1"/>
  <c r="CF8" i="9"/>
  <c r="CF1025" i="1"/>
  <c r="CF735" i="1"/>
  <c r="CF996" i="1" s="1"/>
  <c r="CG737" i="1"/>
  <c r="CC420" i="1"/>
  <c r="BY44" i="9"/>
  <c r="BY427" i="1"/>
  <c r="BY422" i="1"/>
  <c r="CC390" i="1"/>
  <c r="CC280" i="1"/>
  <c r="AM45" i="9"/>
  <c r="AM131" i="9" s="1"/>
  <c r="AM1022" i="1"/>
  <c r="AM452" i="1"/>
  <c r="AM432" i="1"/>
  <c r="AM47" i="9" s="1"/>
  <c r="AM1023" i="1"/>
  <c r="BR40" i="9"/>
  <c r="BR409" i="1"/>
  <c r="BR420" i="1" s="1"/>
  <c r="T497" i="1"/>
  <c r="T492" i="1"/>
  <c r="BH422" i="1"/>
  <c r="BH44" i="9"/>
  <c r="BH427" i="1"/>
  <c r="O431" i="1"/>
  <c r="O424" i="1"/>
  <c r="N1029" i="1" s="1"/>
  <c r="O428" i="1"/>
  <c r="CE56" i="9"/>
  <c r="CE286" i="1"/>
  <c r="AU1029" i="1"/>
  <c r="S45" i="9"/>
  <c r="S131" i="9" s="1"/>
  <c r="S1022" i="1"/>
  <c r="S452" i="1"/>
  <c r="S432" i="1"/>
  <c r="S47" i="9" s="1"/>
  <c r="S1023" i="1"/>
  <c r="CC385" i="1"/>
  <c r="CC281" i="1"/>
  <c r="BI422" i="1"/>
  <c r="BI427" i="1"/>
  <c r="BI44" i="9"/>
  <c r="W431" i="1"/>
  <c r="W424" i="1"/>
  <c r="W428" i="1"/>
  <c r="F453" i="1"/>
  <c r="F455" i="1"/>
  <c r="CJ29" i="9"/>
  <c r="CJ995" i="1"/>
  <c r="CJ875" i="1" s="1"/>
  <c r="CJ962" i="1"/>
  <c r="CJ581" i="1"/>
  <c r="CJ292" i="1"/>
  <c r="CJ59" i="9" s="1"/>
  <c r="CJ282" i="1"/>
  <c r="CJ1026" i="1"/>
  <c r="N45" i="9"/>
  <c r="N131" i="9" s="1"/>
  <c r="N1022" i="1"/>
  <c r="N452" i="1"/>
  <c r="N432" i="1"/>
  <c r="N47" i="9" s="1"/>
  <c r="N1023" i="1"/>
  <c r="AR1029" i="1"/>
  <c r="CA56" i="9"/>
  <c r="CA286" i="1"/>
  <c r="H45" i="9"/>
  <c r="H131" i="9" s="1"/>
  <c r="H1029" i="1"/>
  <c r="H1022" i="1"/>
  <c r="H432" i="1"/>
  <c r="H47" i="9" s="1"/>
  <c r="H452" i="1"/>
  <c r="H1023" i="1"/>
  <c r="T5" i="13"/>
  <c r="T2" i="9"/>
  <c r="U3" i="13"/>
  <c r="U4" i="13"/>
  <c r="AF431" i="1"/>
  <c r="AF428" i="1"/>
  <c r="AF424" i="1"/>
  <c r="CF56" i="9"/>
  <c r="CF286" i="1"/>
  <c r="BN422" i="1"/>
  <c r="BN44" i="9"/>
  <c r="BN427" i="1"/>
  <c r="R45" i="9"/>
  <c r="R131" i="9" s="1"/>
  <c r="R1029" i="1"/>
  <c r="R1022" i="1"/>
  <c r="R452" i="1"/>
  <c r="R432" i="1"/>
  <c r="R47" i="9" s="1"/>
  <c r="R1023" i="1"/>
  <c r="Q1022" i="1"/>
  <c r="Q45" i="9"/>
  <c r="Q131" i="9" s="1"/>
  <c r="Q1029" i="1"/>
  <c r="Q452" i="1"/>
  <c r="Q432" i="1"/>
  <c r="Q47" i="9" s="1"/>
  <c r="Q1023" i="1"/>
  <c r="AB5" i="13"/>
  <c r="AB2" i="9"/>
  <c r="AC5" i="1"/>
  <c r="BP424" i="1"/>
  <c r="BP431" i="1"/>
  <c r="BP428" i="1"/>
  <c r="CE293" i="1"/>
  <c r="CE60" i="9" s="1"/>
  <c r="CE396" i="1"/>
  <c r="G921" i="1"/>
  <c r="G1031" i="1"/>
  <c r="H915" i="1"/>
  <c r="H916" i="1" s="1"/>
  <c r="T427" i="1"/>
  <c r="T422" i="1"/>
  <c r="T44" i="9"/>
  <c r="AZ45" i="9"/>
  <c r="AZ131" i="9" s="1"/>
  <c r="AZ1022" i="1"/>
  <c r="AZ452" i="1"/>
  <c r="AZ432" i="1"/>
  <c r="AZ47" i="9" s="1"/>
  <c r="AZ1023" i="1"/>
  <c r="AE111" i="1"/>
  <c r="AJ111" i="1"/>
  <c r="AS453" i="1"/>
  <c r="AS455" i="1"/>
  <c r="X424" i="1"/>
  <c r="X428" i="1"/>
  <c r="X431" i="1"/>
  <c r="CF49" i="1"/>
  <c r="CA1011" i="1"/>
  <c r="BJ431" i="1"/>
  <c r="BJ424" i="1"/>
  <c r="BJ428" i="1"/>
  <c r="BZ966" i="1"/>
  <c r="BZ30" i="9"/>
  <c r="BZ993" i="1"/>
  <c r="CC374" i="1"/>
  <c r="BZ277" i="1"/>
  <c r="BZ278" i="1" s="1"/>
  <c r="CG1" i="9"/>
  <c r="CG768" i="1"/>
  <c r="CG3" i="1"/>
  <c r="CH4" i="1"/>
  <c r="E45" i="9"/>
  <c r="E131" i="9" s="1"/>
  <c r="E1022" i="1"/>
  <c r="E452" i="1"/>
  <c r="E432" i="1"/>
  <c r="E47" i="9" s="1"/>
  <c r="E1023" i="1"/>
  <c r="AD45" i="9"/>
  <c r="AD131" i="9" s="1"/>
  <c r="AD1022" i="1"/>
  <c r="AD432" i="1"/>
  <c r="AD47" i="9" s="1"/>
  <c r="AD452" i="1"/>
  <c r="AD1023" i="1"/>
  <c r="D424" i="1"/>
  <c r="I1029" i="1" s="1"/>
  <c r="D431" i="1"/>
  <c r="D428" i="1"/>
  <c r="G431" i="1"/>
  <c r="G424" i="1"/>
  <c r="G428" i="1"/>
  <c r="BQ431" i="1"/>
  <c r="BQ424" i="1"/>
  <c r="BQ428" i="1"/>
  <c r="CA30" i="9"/>
  <c r="CA966" i="1"/>
  <c r="CA993" i="1"/>
  <c r="CA277" i="1"/>
  <c r="CA278" i="1" s="1"/>
  <c r="S4" i="13"/>
  <c r="S3" i="13"/>
  <c r="CG49" i="1"/>
  <c r="X2" i="9"/>
  <c r="X5" i="13"/>
  <c r="Y5" i="1"/>
  <c r="CI962" i="1"/>
  <c r="CF30" i="9"/>
  <c r="CF277" i="1"/>
  <c r="CF278" i="1" s="1"/>
  <c r="AO424" i="1"/>
  <c r="AO431" i="1"/>
  <c r="AO428" i="1"/>
  <c r="CD108" i="1"/>
  <c r="CD109" i="1"/>
  <c r="CD111" i="1" s="1"/>
  <c r="CJ1010" i="1"/>
  <c r="BV424" i="1"/>
  <c r="BV431" i="1"/>
  <c r="BV428" i="1"/>
  <c r="AJ44" i="9"/>
  <c r="AJ427" i="1"/>
  <c r="AJ422" i="1"/>
  <c r="BR107" i="9"/>
  <c r="BR111" i="9" s="1"/>
  <c r="BT107" i="9"/>
  <c r="BT111" i="9" s="1"/>
  <c r="BU107" i="9"/>
  <c r="BU111" i="9" s="1"/>
  <c r="BV107" i="9"/>
  <c r="BV111" i="9" s="1"/>
  <c r="CF111" i="1"/>
  <c r="L915" i="1"/>
  <c r="L916" i="1" s="1"/>
  <c r="K921" i="1"/>
  <c r="K1031" i="1"/>
  <c r="P915" i="1"/>
  <c r="P916" i="1" s="1"/>
  <c r="AN428" i="1"/>
  <c r="AN424" i="1"/>
  <c r="AN431" i="1"/>
  <c r="T111" i="1"/>
  <c r="AE431" i="1"/>
  <c r="AE428" i="1"/>
  <c r="AE424" i="1"/>
  <c r="BZ56" i="9"/>
  <c r="BZ286" i="1"/>
  <c r="F1029" i="1"/>
  <c r="CI89" i="1"/>
  <c r="CJ91" i="1"/>
  <c r="CJ988" i="1"/>
  <c r="CG1035" i="1"/>
  <c r="CG56" i="9"/>
  <c r="CG286" i="1"/>
  <c r="Z427" i="1"/>
  <c r="Z44" i="9"/>
  <c r="Z422" i="1"/>
  <c r="AV45" i="9"/>
  <c r="AV131" i="9" s="1"/>
  <c r="AV1022" i="1"/>
  <c r="AV432" i="1"/>
  <c r="AV47" i="9" s="1"/>
  <c r="AV452" i="1"/>
  <c r="AV1023" i="1"/>
  <c r="CA396" i="1"/>
  <c r="CA293" i="1"/>
  <c r="CA60" i="9" s="1"/>
  <c r="CC47" i="1"/>
  <c r="CC48" i="1"/>
  <c r="CC49" i="1" s="1"/>
  <c r="CC45" i="1"/>
  <c r="CD281" i="1"/>
  <c r="CH381" i="1"/>
  <c r="CA69" i="9"/>
  <c r="CA1036" i="1"/>
  <c r="CA902" i="1"/>
  <c r="CA910" i="1" s="1"/>
  <c r="W3" i="13"/>
  <c r="W4" i="13"/>
  <c r="CI608" i="1"/>
  <c r="CI590" i="1"/>
  <c r="BW422" i="1"/>
  <c r="BW427" i="1"/>
  <c r="BW44" i="9"/>
  <c r="AT431" i="1"/>
  <c r="AT424" i="1"/>
  <c r="AT428" i="1"/>
  <c r="BL45" i="9"/>
  <c r="BL131" i="9" s="1"/>
  <c r="BL1022" i="1"/>
  <c r="BL452" i="1"/>
  <c r="BL432" i="1"/>
  <c r="BL47" i="9" s="1"/>
  <c r="BL1023" i="1"/>
  <c r="AK915" i="1"/>
  <c r="AK916" i="1" s="1"/>
  <c r="AO915" i="1"/>
  <c r="AO916" i="1" s="1"/>
  <c r="AJ921" i="1"/>
  <c r="CH46" i="1"/>
  <c r="CD47" i="1"/>
  <c r="CD48" i="1"/>
  <c r="CD49" i="1" s="1"/>
  <c r="CD45" i="1"/>
  <c r="CI376" i="1"/>
  <c r="CI121" i="1"/>
  <c r="L424" i="1"/>
  <c r="L428" i="1"/>
  <c r="L431" i="1"/>
  <c r="AW424" i="1"/>
  <c r="AV1029" i="1" s="1"/>
  <c r="AW431" i="1"/>
  <c r="AW428" i="1"/>
  <c r="J45" i="9"/>
  <c r="J131" i="9" s="1"/>
  <c r="J1022" i="1"/>
  <c r="J432" i="1"/>
  <c r="J47" i="9" s="1"/>
  <c r="J452" i="1"/>
  <c r="J1023" i="1"/>
  <c r="BZ396" i="1"/>
  <c r="BZ293" i="1"/>
  <c r="BZ60" i="9" s="1"/>
  <c r="BS45" i="9"/>
  <c r="BS131" i="9" s="1"/>
  <c r="BS1022" i="1"/>
  <c r="BS432" i="1"/>
  <c r="BS47" i="9" s="1"/>
  <c r="BS1023" i="1"/>
  <c r="CG30" i="9"/>
  <c r="CG277" i="1"/>
  <c r="CG278" i="1" s="1"/>
  <c r="AH424" i="1"/>
  <c r="AG1029" i="1" s="1"/>
  <c r="AH431" i="1"/>
  <c r="AH428" i="1"/>
  <c r="BZ114" i="9"/>
  <c r="BZ6" i="9"/>
  <c r="CK1016" i="1" l="1"/>
  <c r="CK773" i="1" s="1"/>
  <c r="CK10" i="9" s="1"/>
  <c r="CJ773" i="1"/>
  <c r="CJ10" i="9" s="1"/>
  <c r="CH1170" i="1"/>
  <c r="AU45" i="9"/>
  <c r="AU131" i="9" s="1"/>
  <c r="AU1022" i="1"/>
  <c r="AU432" i="1"/>
  <c r="AU47" i="9" s="1"/>
  <c r="AU452" i="1"/>
  <c r="AU1023" i="1"/>
  <c r="AM1112" i="1"/>
  <c r="AI1112" i="1"/>
  <c r="AJ1112" i="1"/>
  <c r="AK1112" i="1"/>
  <c r="AL1112" i="1"/>
  <c r="M449" i="11"/>
  <c r="AI1094" i="1"/>
  <c r="AJ1094" i="1"/>
  <c r="BC452" i="1"/>
  <c r="BC1023" i="1"/>
  <c r="BC45" i="9"/>
  <c r="BC131" i="9" s="1"/>
  <c r="BC1022" i="1"/>
  <c r="BC432" i="1"/>
  <c r="BC47" i="9" s="1"/>
  <c r="CC44" i="9"/>
  <c r="BK45" i="9"/>
  <c r="BK131" i="9" s="1"/>
  <c r="BK432" i="1"/>
  <c r="BK47" i="9" s="1"/>
  <c r="BK1023" i="1"/>
  <c r="BK1022" i="1"/>
  <c r="BK452" i="1"/>
  <c r="CF1035" i="1"/>
  <c r="CB455" i="1"/>
  <c r="CB5" i="9" s="1"/>
  <c r="CB1011" i="1"/>
  <c r="BY431" i="1"/>
  <c r="BY424" i="1"/>
  <c r="BY428" i="1"/>
  <c r="AG5" i="13"/>
  <c r="AG2" i="9"/>
  <c r="AH5" i="1"/>
  <c r="AY45" i="9"/>
  <c r="AY131" i="9" s="1"/>
  <c r="AY1037" i="1"/>
  <c r="AY1022" i="1"/>
  <c r="AY1029" i="1"/>
  <c r="AY452" i="1"/>
  <c r="AY432" i="1"/>
  <c r="AY47" i="9" s="1"/>
  <c r="AY1023" i="1"/>
  <c r="J453" i="1"/>
  <c r="J455" i="1"/>
  <c r="BW424" i="1"/>
  <c r="BX1037" i="1" s="1"/>
  <c r="BW431" i="1"/>
  <c r="BW428" i="1"/>
  <c r="CH281" i="1"/>
  <c r="CH385" i="1"/>
  <c r="BZ997" i="1"/>
  <c r="BZ874" i="1"/>
  <c r="BP45" i="9"/>
  <c r="BP131" i="9" s="1"/>
  <c r="BP1029" i="1"/>
  <c r="BP1022" i="1"/>
  <c r="BP452" i="1"/>
  <c r="BP432" i="1"/>
  <c r="BP47" i="9" s="1"/>
  <c r="BP1023" i="1"/>
  <c r="CJ608" i="1"/>
  <c r="CJ590" i="1"/>
  <c r="CC34" i="9"/>
  <c r="CC291" i="1"/>
  <c r="CC57" i="9" s="1"/>
  <c r="CK29" i="9"/>
  <c r="CK995" i="1"/>
  <c r="CK875" i="1" s="1"/>
  <c r="CK962" i="1"/>
  <c r="CK869" i="1" s="1"/>
  <c r="CK581" i="1"/>
  <c r="CK292" i="1"/>
  <c r="CK59" i="9" s="1"/>
  <c r="CK282" i="1"/>
  <c r="CK1026" i="1"/>
  <c r="AC1031" i="1"/>
  <c r="AC921" i="1"/>
  <c r="AD915" i="1"/>
  <c r="AD916" i="1" s="1"/>
  <c r="Y453" i="1"/>
  <c r="Y455" i="1"/>
  <c r="CJ387" i="1"/>
  <c r="CJ128" i="1"/>
  <c r="CJ376" i="1"/>
  <c r="CJ121" i="1"/>
  <c r="CA931" i="1"/>
  <c r="CA939" i="1"/>
  <c r="CC993" i="1"/>
  <c r="CB997" i="1"/>
  <c r="CB874" i="1"/>
  <c r="BX45" i="9"/>
  <c r="BX131" i="9" s="1"/>
  <c r="BX1022" i="1"/>
  <c r="BX432" i="1"/>
  <c r="BX47" i="9" s="1"/>
  <c r="BX1023" i="1"/>
  <c r="CD56" i="9"/>
  <c r="CD286" i="1"/>
  <c r="BF5" i="9"/>
  <c r="BF754" i="1"/>
  <c r="BB5" i="9"/>
  <c r="BB754" i="1"/>
  <c r="CJ76" i="1"/>
  <c r="CI74" i="1"/>
  <c r="CI113" i="1"/>
  <c r="CI531" i="1" s="1"/>
  <c r="CI90" i="1"/>
  <c r="CI390" i="1"/>
  <c r="CI79" i="1"/>
  <c r="M915" i="1"/>
  <c r="M916" i="1" s="1"/>
  <c r="L921" i="1"/>
  <c r="L1031" i="1"/>
  <c r="AJ424" i="1"/>
  <c r="AK1029" i="1" s="1"/>
  <c r="AJ431" i="1"/>
  <c r="AJ428" i="1"/>
  <c r="Y2" i="9"/>
  <c r="Y5" i="13"/>
  <c r="Z3" i="13"/>
  <c r="Z4" i="13"/>
  <c r="T424" i="1"/>
  <c r="T431" i="1"/>
  <c r="T428" i="1"/>
  <c r="F5" i="9"/>
  <c r="F754" i="1"/>
  <c r="CC902" i="1"/>
  <c r="BZ910" i="1"/>
  <c r="U45" i="9"/>
  <c r="U131" i="9" s="1"/>
  <c r="U1022" i="1"/>
  <c r="U1037" i="1"/>
  <c r="U1029" i="1"/>
  <c r="U452" i="1"/>
  <c r="U432" i="1"/>
  <c r="U47" i="9" s="1"/>
  <c r="U1023" i="1"/>
  <c r="CJ388" i="1"/>
  <c r="CJ123" i="1"/>
  <c r="V45" i="9"/>
  <c r="V131" i="9" s="1"/>
  <c r="V1022" i="1"/>
  <c r="V1029" i="1"/>
  <c r="V432" i="1"/>
  <c r="V47" i="9" s="1"/>
  <c r="V452" i="1"/>
  <c r="V1023" i="1"/>
  <c r="CC966" i="1"/>
  <c r="BE453" i="1"/>
  <c r="BE455" i="1"/>
  <c r="CG38" i="9"/>
  <c r="CG97" i="9" s="1"/>
  <c r="CG294" i="1"/>
  <c r="CG61" i="9" s="1"/>
  <c r="CG1027" i="1"/>
  <c r="AH45" i="9"/>
  <c r="AH131" i="9" s="1"/>
  <c r="AH1029" i="1"/>
  <c r="AH1022" i="1"/>
  <c r="AH452" i="1"/>
  <c r="AH432" i="1"/>
  <c r="AH47" i="9" s="1"/>
  <c r="AH1023" i="1"/>
  <c r="L1029" i="1"/>
  <c r="L45" i="9"/>
  <c r="L131" i="9" s="1"/>
  <c r="L1022" i="1"/>
  <c r="L452" i="1"/>
  <c r="L432" i="1"/>
  <c r="L47" i="9" s="1"/>
  <c r="L1023" i="1"/>
  <c r="P1037" i="1"/>
  <c r="AV453" i="1"/>
  <c r="AV455" i="1"/>
  <c r="D45" i="9"/>
  <c r="D131" i="9" s="1"/>
  <c r="D1029" i="1"/>
  <c r="D1022" i="1"/>
  <c r="D452" i="1"/>
  <c r="D432" i="1"/>
  <c r="D47" i="9" s="1"/>
  <c r="D1023" i="1"/>
  <c r="H1031" i="1"/>
  <c r="I915" i="1"/>
  <c r="I916" i="1" s="1"/>
  <c r="H921" i="1"/>
  <c r="AC2" i="9"/>
  <c r="AC5" i="13"/>
  <c r="AD5" i="1"/>
  <c r="N453" i="1"/>
  <c r="N455" i="1"/>
  <c r="AM453" i="1"/>
  <c r="AM455" i="1"/>
  <c r="BT455" i="1"/>
  <c r="BT453" i="1"/>
  <c r="CE651" i="1"/>
  <c r="CE652" i="1" s="1"/>
  <c r="CE283" i="1"/>
  <c r="P5" i="9"/>
  <c r="P754" i="1"/>
  <c r="CJ382" i="1"/>
  <c r="CJ127" i="1"/>
  <c r="AR5" i="9"/>
  <c r="AR754" i="1"/>
  <c r="AR755" i="1" s="1"/>
  <c r="CD30" i="9"/>
  <c r="CD993" i="1"/>
  <c r="CD966" i="1"/>
  <c r="CD277" i="1"/>
  <c r="CD278" i="1" s="1"/>
  <c r="CH374" i="1"/>
  <c r="BZ941" i="1"/>
  <c r="BZ854" i="1"/>
  <c r="AL453" i="1"/>
  <c r="AL455" i="1"/>
  <c r="CI59" i="1"/>
  <c r="CH62" i="1"/>
  <c r="CF38" i="9"/>
  <c r="CF97" i="9" s="1"/>
  <c r="CF294" i="1"/>
  <c r="CF61" i="9" s="1"/>
  <c r="CF1027" i="1"/>
  <c r="BL453" i="1"/>
  <c r="BL455" i="1"/>
  <c r="CB870" i="1"/>
  <c r="CC30" i="9"/>
  <c r="CC277" i="1"/>
  <c r="CC278" i="1" s="1"/>
  <c r="CC378" i="1"/>
  <c r="AQ453" i="1"/>
  <c r="AQ455" i="1"/>
  <c r="BM424" i="1"/>
  <c r="BM431" i="1"/>
  <c r="BM428" i="1"/>
  <c r="CH48" i="1"/>
  <c r="CH49" i="1" s="1"/>
  <c r="CH47" i="1"/>
  <c r="CH45" i="1"/>
  <c r="X3" i="13"/>
  <c r="X4" i="13"/>
  <c r="AA4" i="13"/>
  <c r="AF45" i="9"/>
  <c r="AF131" i="9" s="1"/>
  <c r="AF1022" i="1"/>
  <c r="AF432" i="1"/>
  <c r="AF47" i="9" s="1"/>
  <c r="AF452" i="1"/>
  <c r="AF1023" i="1"/>
  <c r="CG651" i="1"/>
  <c r="CG652" i="1" s="1"/>
  <c r="CG283" i="1"/>
  <c r="AG453" i="1"/>
  <c r="AG455" i="1"/>
  <c r="AN45" i="9"/>
  <c r="AN131" i="9" s="1"/>
  <c r="AN1022" i="1"/>
  <c r="AN1029" i="1"/>
  <c r="AN432" i="1"/>
  <c r="AN47" i="9" s="1"/>
  <c r="AN452" i="1"/>
  <c r="AN1023" i="1"/>
  <c r="AS1029" i="1"/>
  <c r="R453" i="1"/>
  <c r="R455" i="1"/>
  <c r="W45" i="9"/>
  <c r="W131" i="9" s="1"/>
  <c r="W1022" i="1"/>
  <c r="W1029" i="1"/>
  <c r="W432" i="1"/>
  <c r="W47" i="9" s="1"/>
  <c r="W452" i="1"/>
  <c r="W1023" i="1"/>
  <c r="BH424" i="1"/>
  <c r="BH431" i="1"/>
  <c r="BH428" i="1"/>
  <c r="AM1029" i="1"/>
  <c r="BU455" i="1"/>
  <c r="BU453" i="1"/>
  <c r="H408" i="11"/>
  <c r="I333" i="11"/>
  <c r="I334" i="11" s="1"/>
  <c r="H336" i="11"/>
  <c r="CE966" i="1"/>
  <c r="M453" i="1"/>
  <c r="M455" i="1"/>
  <c r="BO5" i="9"/>
  <c r="BO754" i="1"/>
  <c r="AC453" i="1"/>
  <c r="AC455" i="1"/>
  <c r="L336" i="11"/>
  <c r="M333" i="11"/>
  <c r="M334" i="11" s="1"/>
  <c r="L408" i="11"/>
  <c r="CD421" i="1"/>
  <c r="CH413" i="1"/>
  <c r="CG966" i="1"/>
  <c r="CI124" i="1"/>
  <c r="AO921" i="1"/>
  <c r="AP915" i="1"/>
  <c r="AP916" i="1" s="1"/>
  <c r="AT915" i="1"/>
  <c r="AT916" i="1" s="1"/>
  <c r="BZ1035" i="1"/>
  <c r="CF966" i="1"/>
  <c r="AD453" i="1"/>
  <c r="AD455" i="1"/>
  <c r="E1029" i="1"/>
  <c r="X45" i="9"/>
  <c r="X131" i="9" s="1"/>
  <c r="X1029" i="1"/>
  <c r="X1022" i="1"/>
  <c r="X432" i="1"/>
  <c r="X47" i="9" s="1"/>
  <c r="X452" i="1"/>
  <c r="X1023" i="1"/>
  <c r="AB4" i="13"/>
  <c r="AB3" i="13"/>
  <c r="S453" i="1"/>
  <c r="S455" i="1"/>
  <c r="CE1035" i="1"/>
  <c r="BU1029" i="1"/>
  <c r="N4" i="11"/>
  <c r="M3" i="11"/>
  <c r="CE993" i="1"/>
  <c r="AO5" i="13"/>
  <c r="AO2" i="9"/>
  <c r="AI683" i="1"/>
  <c r="AM610" i="1"/>
  <c r="AL610" i="1"/>
  <c r="AM543" i="1"/>
  <c r="AJ610" i="1"/>
  <c r="AK543" i="1"/>
  <c r="AK683" i="1"/>
  <c r="AJ683" i="1"/>
  <c r="AL543" i="1"/>
  <c r="AJ543" i="1"/>
  <c r="AK610" i="1"/>
  <c r="AI543" i="1"/>
  <c r="AI610" i="1"/>
  <c r="AT5" i="1"/>
  <c r="AM683" i="1"/>
  <c r="AL683" i="1"/>
  <c r="AP5" i="1"/>
  <c r="CK1001" i="1"/>
  <c r="CK738" i="1" s="1"/>
  <c r="CK9" i="9" s="1"/>
  <c r="CJ738" i="1"/>
  <c r="CJ9" i="9" s="1"/>
  <c r="M1029" i="1"/>
  <c r="C453" i="1"/>
  <c r="C455" i="1"/>
  <c r="CI129" i="1"/>
  <c r="AC1029" i="1"/>
  <c r="CA925" i="1"/>
  <c r="CA938" i="1" s="1"/>
  <c r="U333" i="11"/>
  <c r="U334" i="11" s="1"/>
  <c r="Q333" i="11"/>
  <c r="Q334" i="11" s="1"/>
  <c r="P336" i="11"/>
  <c r="CD396" i="1"/>
  <c r="CD293" i="1"/>
  <c r="CD60" i="9" s="1"/>
  <c r="CB1035" i="1"/>
  <c r="CH721" i="1"/>
  <c r="CH722" i="1" s="1"/>
  <c r="P283" i="11"/>
  <c r="P284" i="11" s="1"/>
  <c r="Q283" i="11" s="1"/>
  <c r="O284" i="11"/>
  <c r="CH109" i="1"/>
  <c r="CH111" i="1" s="1"/>
  <c r="CH108" i="1"/>
  <c r="AA3" i="13"/>
  <c r="CF651" i="1"/>
  <c r="CF652" i="1" s="1"/>
  <c r="CF283" i="1"/>
  <c r="BQ45" i="9"/>
  <c r="BQ131" i="9" s="1"/>
  <c r="BQ1022" i="1"/>
  <c r="BQ452" i="1"/>
  <c r="BQ432" i="1"/>
  <c r="BQ47" i="9" s="1"/>
  <c r="BQ1023" i="1"/>
  <c r="E453" i="1"/>
  <c r="E455" i="1"/>
  <c r="CG993" i="1"/>
  <c r="AL915" i="1"/>
  <c r="AL916" i="1" s="1"/>
  <c r="AK921" i="1"/>
  <c r="AT45" i="9"/>
  <c r="AT131" i="9" s="1"/>
  <c r="AT1037" i="1"/>
  <c r="AT1022" i="1"/>
  <c r="AT1029" i="1"/>
  <c r="AT432" i="1"/>
  <c r="AT47" i="9" s="1"/>
  <c r="AT452" i="1"/>
  <c r="AT1023" i="1"/>
  <c r="P921" i="1"/>
  <c r="P1031" i="1"/>
  <c r="Q915" i="1"/>
  <c r="Q916" i="1" s="1"/>
  <c r="BJ45" i="9"/>
  <c r="BJ131" i="9" s="1"/>
  <c r="BJ1022" i="1"/>
  <c r="BJ452" i="1"/>
  <c r="BJ432" i="1"/>
  <c r="BJ47" i="9" s="1"/>
  <c r="BJ1023" i="1"/>
  <c r="T4" i="13"/>
  <c r="T3" i="13"/>
  <c r="CA1035" i="1"/>
  <c r="CG8" i="9"/>
  <c r="CG1025" i="1"/>
  <c r="CG735" i="1"/>
  <c r="CG996" i="1" s="1"/>
  <c r="CH996" i="1" s="1"/>
  <c r="CC455" i="1"/>
  <c r="CD444" i="1"/>
  <c r="CD436" i="1" s="1"/>
  <c r="CC450" i="1"/>
  <c r="AK2" i="9"/>
  <c r="AK5" i="13"/>
  <c r="AJ536" i="1"/>
  <c r="AJ655" i="1"/>
  <c r="AI536" i="1"/>
  <c r="AI655" i="1"/>
  <c r="AJ593" i="1"/>
  <c r="AI593" i="1"/>
  <c r="AL5" i="1"/>
  <c r="AK1094" i="1" s="1"/>
  <c r="AH694" i="1"/>
  <c r="AH693" i="1"/>
  <c r="AH612" i="1"/>
  <c r="AH611" i="1"/>
  <c r="CJ375" i="1"/>
  <c r="CJ126" i="1"/>
  <c r="CI31" i="9"/>
  <c r="CI416" i="1"/>
  <c r="K45" i="9"/>
  <c r="K131" i="9" s="1"/>
  <c r="K1022" i="1"/>
  <c r="K1029" i="1"/>
  <c r="K1037" i="1"/>
  <c r="K432" i="1"/>
  <c r="K47" i="9" s="1"/>
  <c r="K452" i="1"/>
  <c r="K1023" i="1"/>
  <c r="P1029" i="1"/>
  <c r="AK453" i="1"/>
  <c r="AK455" i="1"/>
  <c r="AB45" i="9"/>
  <c r="AB131" i="9" s="1"/>
  <c r="AB1022" i="1"/>
  <c r="AB452" i="1"/>
  <c r="AB432" i="1"/>
  <c r="AB47" i="9" s="1"/>
  <c r="AB1023" i="1"/>
  <c r="AG921" i="1"/>
  <c r="AH915" i="1"/>
  <c r="AH916" i="1" s="1"/>
  <c r="BG5" i="9"/>
  <c r="BG754" i="1"/>
  <c r="CH35" i="9"/>
  <c r="CH290" i="1"/>
  <c r="CH58" i="9" s="1"/>
  <c r="AX45" i="9"/>
  <c r="AX131" i="9" s="1"/>
  <c r="AX1022" i="1"/>
  <c r="AX1029" i="1"/>
  <c r="AX452" i="1"/>
  <c r="AX432" i="1"/>
  <c r="AX47" i="9" s="1"/>
  <c r="AX1023" i="1"/>
  <c r="BA453" i="1"/>
  <c r="BA455" i="1"/>
  <c r="BK1029" i="1"/>
  <c r="AE45" i="9"/>
  <c r="AE131" i="9" s="1"/>
  <c r="AE1022" i="1"/>
  <c r="AE432" i="1"/>
  <c r="AE47" i="9" s="1"/>
  <c r="AE452" i="1"/>
  <c r="AE1023" i="1"/>
  <c r="CK1010" i="1"/>
  <c r="G45" i="9"/>
  <c r="G131" i="9" s="1"/>
  <c r="G1029" i="1"/>
  <c r="G1022" i="1"/>
  <c r="G452" i="1"/>
  <c r="G432" i="1"/>
  <c r="G47" i="9" s="1"/>
  <c r="G1023" i="1"/>
  <c r="BN424" i="1"/>
  <c r="BN431" i="1"/>
  <c r="BN428" i="1"/>
  <c r="AE4" i="13"/>
  <c r="CC427" i="1"/>
  <c r="BZ870" i="1"/>
  <c r="CA870" i="1"/>
  <c r="CA65" i="9" s="1"/>
  <c r="AZ453" i="1"/>
  <c r="AZ455" i="1"/>
  <c r="CI32" i="9"/>
  <c r="CI417" i="1"/>
  <c r="BV45" i="9"/>
  <c r="BV131" i="9" s="1"/>
  <c r="BV1022" i="1"/>
  <c r="BV452" i="1"/>
  <c r="BV1029" i="1"/>
  <c r="BV432" i="1"/>
  <c r="BV47" i="9" s="1"/>
  <c r="BV1023" i="1"/>
  <c r="AO45" i="9"/>
  <c r="AO131" i="9" s="1"/>
  <c r="AO1022" i="1"/>
  <c r="AO1037" i="1"/>
  <c r="AO1029" i="1"/>
  <c r="AO452" i="1"/>
  <c r="AO432" i="1"/>
  <c r="AO47" i="9" s="1"/>
  <c r="AO1023" i="1"/>
  <c r="CF993" i="1"/>
  <c r="AS5" i="9"/>
  <c r="AS754" i="1"/>
  <c r="AS755" i="1" s="1"/>
  <c r="AZ1029" i="1"/>
  <c r="CE38" i="9"/>
  <c r="CE97" i="9" s="1"/>
  <c r="CE294" i="1"/>
  <c r="CE61" i="9" s="1"/>
  <c r="CE1027" i="1"/>
  <c r="BZ38" i="9"/>
  <c r="BZ97" i="9" s="1"/>
  <c r="BZ98" i="9" s="1"/>
  <c r="BZ411" i="1"/>
  <c r="BZ400" i="1"/>
  <c r="BZ294" i="1"/>
  <c r="BZ61" i="9" s="1"/>
  <c r="BZ1027" i="1"/>
  <c r="CK988" i="1"/>
  <c r="CA651" i="1"/>
  <c r="CA652" i="1" s="1"/>
  <c r="CA283" i="1"/>
  <c r="AD1029" i="1"/>
  <c r="BR427" i="1"/>
  <c r="BR44" i="9"/>
  <c r="BR422" i="1"/>
  <c r="CH1005" i="1"/>
  <c r="CH736" i="1"/>
  <c r="CI736" i="1" s="1"/>
  <c r="AP453" i="1"/>
  <c r="AP455" i="1"/>
  <c r="CC453" i="1"/>
  <c r="CB38" i="9"/>
  <c r="CB97" i="9" s="1"/>
  <c r="CB294" i="1"/>
  <c r="CB61" i="9" s="1"/>
  <c r="CB1027" i="1"/>
  <c r="AI45" i="9"/>
  <c r="AI131" i="9" s="1"/>
  <c r="AI1029" i="1"/>
  <c r="AI1022" i="1"/>
  <c r="AI452" i="1"/>
  <c r="AI432" i="1"/>
  <c r="AI47" i="9" s="1"/>
  <c r="AI1023" i="1"/>
  <c r="CJ383" i="1"/>
  <c r="CJ122" i="1"/>
  <c r="AW45" i="9"/>
  <c r="AW131" i="9" s="1"/>
  <c r="AW1022" i="1"/>
  <c r="AW1029" i="1"/>
  <c r="AW452" i="1"/>
  <c r="AW432" i="1"/>
  <c r="AW47" i="9" s="1"/>
  <c r="AW1023" i="1"/>
  <c r="BB1029" i="1"/>
  <c r="CA38" i="9"/>
  <c r="CA97" i="9" s="1"/>
  <c r="CA294" i="1"/>
  <c r="CA61" i="9" s="1"/>
  <c r="CA1027" i="1"/>
  <c r="Z424" i="1"/>
  <c r="AE1029" i="1" s="1"/>
  <c r="Z431" i="1"/>
  <c r="Z428" i="1"/>
  <c r="CK91" i="1"/>
  <c r="CK89" i="1" s="1"/>
  <c r="CJ89" i="1"/>
  <c r="CJ869" i="1"/>
  <c r="CI869" i="1"/>
  <c r="CA874" i="1"/>
  <c r="CA997" i="1"/>
  <c r="CH768" i="1"/>
  <c r="CH448" i="1" s="1"/>
  <c r="CH1" i="9"/>
  <c r="CI4" i="1"/>
  <c r="CH3" i="1"/>
  <c r="CH1140" i="1" s="1"/>
  <c r="BZ283" i="1"/>
  <c r="BZ651" i="1"/>
  <c r="Q453" i="1"/>
  <c r="Q455" i="1"/>
  <c r="H453" i="1"/>
  <c r="H455" i="1"/>
  <c r="BI431" i="1"/>
  <c r="BI428" i="1"/>
  <c r="BI424" i="1"/>
  <c r="O45" i="9"/>
  <c r="O131" i="9" s="1"/>
  <c r="O1022" i="1"/>
  <c r="O452" i="1"/>
  <c r="O432" i="1"/>
  <c r="O47" i="9" s="1"/>
  <c r="O1029" i="1"/>
  <c r="O1023" i="1"/>
  <c r="CC35" i="9"/>
  <c r="CC290" i="1"/>
  <c r="CC58" i="9" s="1"/>
  <c r="CK71" i="1"/>
  <c r="CK51" i="1"/>
  <c r="CK69" i="1"/>
  <c r="CK84" i="1"/>
  <c r="CK86" i="1"/>
  <c r="CK53" i="1"/>
  <c r="CK102" i="1"/>
  <c r="CK103" i="1" s="1"/>
  <c r="CK96" i="1"/>
  <c r="CK97" i="1" s="1"/>
  <c r="AP1029" i="1"/>
  <c r="Y921" i="1"/>
  <c r="Y1031" i="1"/>
  <c r="BD428" i="1"/>
  <c r="BD431" i="1"/>
  <c r="BD424" i="1"/>
  <c r="I453" i="1"/>
  <c r="I455" i="1"/>
  <c r="AE3" i="13"/>
  <c r="CB651" i="1"/>
  <c r="CB652" i="1" s="1"/>
  <c r="CB283" i="1"/>
  <c r="AA424" i="1"/>
  <c r="AB1029" i="1" s="1"/>
  <c r="AA431" i="1"/>
  <c r="AA428" i="1"/>
  <c r="AF843" i="1"/>
  <c r="AE1031" i="1"/>
  <c r="CA114" i="9"/>
  <c r="CA6" i="9"/>
  <c r="K215" i="11"/>
  <c r="AI1098" i="1" l="1"/>
  <c r="AI1106" i="1"/>
  <c r="AI1102" i="1"/>
  <c r="AI1099" i="1"/>
  <c r="AI1095" i="1"/>
  <c r="AI1097" i="1"/>
  <c r="AI1103" i="1"/>
  <c r="AI1105" i="1"/>
  <c r="AI1101" i="1"/>
  <c r="AI1100" i="1"/>
  <c r="AI1096" i="1"/>
  <c r="AI1104" i="1"/>
  <c r="CD1035" i="1"/>
  <c r="BK455" i="1"/>
  <c r="BK453" i="1"/>
  <c r="AJ1111" i="1"/>
  <c r="AJ1113" i="1"/>
  <c r="AJ1124" i="1"/>
  <c r="AJ1116" i="1"/>
  <c r="AJ1123" i="1"/>
  <c r="AJ1114" i="1"/>
  <c r="AJ1120" i="1"/>
  <c r="AJ1122" i="1"/>
  <c r="AJ1118" i="1"/>
  <c r="AJ1121" i="1"/>
  <c r="AJ1119" i="1"/>
  <c r="AJ1117" i="1"/>
  <c r="AJ1115" i="1"/>
  <c r="CJ129" i="1"/>
  <c r="AK1096" i="1"/>
  <c r="AK1104" i="1"/>
  <c r="AK1098" i="1"/>
  <c r="AK1100" i="1"/>
  <c r="AK1099" i="1"/>
  <c r="AK1101" i="1"/>
  <c r="AK1105" i="1"/>
  <c r="AK1095" i="1"/>
  <c r="AK1103" i="1"/>
  <c r="AK1106" i="1"/>
  <c r="AK1102" i="1"/>
  <c r="AK1097" i="1"/>
  <c r="AI1111" i="1"/>
  <c r="AI1115" i="1"/>
  <c r="AI1124" i="1"/>
  <c r="AI1114" i="1"/>
  <c r="AI1123" i="1"/>
  <c r="AI1118" i="1"/>
  <c r="AI1117" i="1"/>
  <c r="AI1121" i="1"/>
  <c r="AI1119" i="1"/>
  <c r="AI1122" i="1"/>
  <c r="AI1120" i="1"/>
  <c r="AI1113" i="1"/>
  <c r="AI1116" i="1"/>
  <c r="AH1111" i="1"/>
  <c r="AL1111" i="1"/>
  <c r="AL1113" i="1"/>
  <c r="AL1120" i="1"/>
  <c r="AL1116" i="1"/>
  <c r="AL1123" i="1"/>
  <c r="AL1121" i="1"/>
  <c r="AL1118" i="1"/>
  <c r="AL1114" i="1"/>
  <c r="AL1119" i="1"/>
  <c r="AL1117" i="1"/>
  <c r="AL1124" i="1"/>
  <c r="AL1115" i="1"/>
  <c r="AL1122" i="1"/>
  <c r="AK1111" i="1"/>
  <c r="AK1124" i="1"/>
  <c r="AK1113" i="1"/>
  <c r="AK1116" i="1"/>
  <c r="AK1121" i="1"/>
  <c r="AK1122" i="1"/>
  <c r="AK1123" i="1"/>
  <c r="AK1119" i="1"/>
  <c r="AK1114" i="1"/>
  <c r="AK1117" i="1"/>
  <c r="AK1118" i="1"/>
  <c r="AK1120" i="1"/>
  <c r="AK1115" i="1"/>
  <c r="CI1170" i="1"/>
  <c r="BC453" i="1"/>
  <c r="BC455" i="1"/>
  <c r="AM1117" i="1"/>
  <c r="AM1124" i="1"/>
  <c r="AM1116" i="1"/>
  <c r="AM693" i="1" s="1"/>
  <c r="AM1114" i="1"/>
  <c r="AM1118" i="1"/>
  <c r="AM1119" i="1"/>
  <c r="AM1115" i="1"/>
  <c r="AM1113" i="1"/>
  <c r="AM1120" i="1"/>
  <c r="AM1122" i="1"/>
  <c r="AM1121" i="1"/>
  <c r="AM1123" i="1"/>
  <c r="AU455" i="1"/>
  <c r="AU453" i="1"/>
  <c r="AP1112" i="1"/>
  <c r="AQ1112" i="1"/>
  <c r="AN1112" i="1"/>
  <c r="AO1112" i="1"/>
  <c r="AR1112" i="1"/>
  <c r="AN1094" i="1"/>
  <c r="AO1094" i="1"/>
  <c r="AJ1096" i="1"/>
  <c r="AJ1098" i="1"/>
  <c r="AJ1102" i="1"/>
  <c r="AJ538" i="1" s="1"/>
  <c r="AJ1100" i="1"/>
  <c r="AJ1097" i="1"/>
  <c r="AJ1099" i="1"/>
  <c r="AJ669" i="1" s="1"/>
  <c r="AJ1105" i="1"/>
  <c r="AJ1106" i="1"/>
  <c r="AJ1103" i="1"/>
  <c r="AJ1095" i="1"/>
  <c r="AJ1101" i="1"/>
  <c r="AJ1104" i="1"/>
  <c r="CB98" i="9"/>
  <c r="CB754" i="1"/>
  <c r="AH697" i="1"/>
  <c r="AH684" i="1"/>
  <c r="AA45" i="9"/>
  <c r="AA131" i="9" s="1"/>
  <c r="AA1022" i="1"/>
  <c r="AA1029" i="1"/>
  <c r="AA452" i="1"/>
  <c r="AA432" i="1"/>
  <c r="AA47" i="9" s="1"/>
  <c r="AA1023" i="1"/>
  <c r="CK122" i="1"/>
  <c r="CK383" i="1"/>
  <c r="CK390" i="1"/>
  <c r="CK79" i="1"/>
  <c r="CK90" i="1"/>
  <c r="CA98" i="9"/>
  <c r="CI1000" i="1"/>
  <c r="CI1005" i="1" s="1"/>
  <c r="CJ736" i="1"/>
  <c r="AS114" i="9"/>
  <c r="AS6" i="9"/>
  <c r="AS11" i="9" s="1"/>
  <c r="AS78" i="9"/>
  <c r="AS115" i="9"/>
  <c r="AS116" i="9"/>
  <c r="AS118" i="9"/>
  <c r="AS79" i="9"/>
  <c r="AS81" i="9" s="1"/>
  <c r="BG13" i="13"/>
  <c r="BG107" i="13" s="1"/>
  <c r="BG755" i="1"/>
  <c r="CJ31" i="9"/>
  <c r="CJ416" i="1"/>
  <c r="AH698" i="1"/>
  <c r="AH685" i="1"/>
  <c r="AH695" i="1"/>
  <c r="AL5" i="13"/>
  <c r="AL2" i="9"/>
  <c r="AK536" i="1"/>
  <c r="AK655" i="1"/>
  <c r="AK593" i="1"/>
  <c r="AM5" i="1"/>
  <c r="AL1094" i="1" s="1"/>
  <c r="AJ537" i="1"/>
  <c r="AJ668" i="1"/>
  <c r="AJ595" i="1"/>
  <c r="AJ594" i="1"/>
  <c r="CH737" i="1"/>
  <c r="CH735" i="1"/>
  <c r="AL921" i="1"/>
  <c r="AM915" i="1"/>
  <c r="AM916" i="1" s="1"/>
  <c r="AJ693" i="1"/>
  <c r="AJ694" i="1"/>
  <c r="AJ611" i="1"/>
  <c r="AJ612" i="1"/>
  <c r="AC5" i="9"/>
  <c r="AC754" i="1"/>
  <c r="AC755" i="1" s="1"/>
  <c r="BH45" i="9"/>
  <c r="BH131" i="9" s="1"/>
  <c r="BH1022" i="1"/>
  <c r="BH452" i="1"/>
  <c r="BH432" i="1"/>
  <c r="BH47" i="9" s="1"/>
  <c r="BH1029" i="1"/>
  <c r="BH1023" i="1"/>
  <c r="BG1029" i="1"/>
  <c r="AG5" i="9"/>
  <c r="AG754" i="1"/>
  <c r="AG755" i="1" s="1"/>
  <c r="AF1029" i="1"/>
  <c r="CH30" i="9"/>
  <c r="CH277" i="1"/>
  <c r="CH278" i="1" s="1"/>
  <c r="CH378" i="1"/>
  <c r="N5" i="9"/>
  <c r="N754" i="1"/>
  <c r="N755" i="1" s="1"/>
  <c r="V453" i="1"/>
  <c r="V455" i="1"/>
  <c r="CC714" i="1"/>
  <c r="CC910" i="1"/>
  <c r="CB114" i="9"/>
  <c r="CB6" i="9"/>
  <c r="J5" i="9"/>
  <c r="J754" i="1"/>
  <c r="J755" i="1" s="1"/>
  <c r="AH2" i="9"/>
  <c r="AH5" i="13"/>
  <c r="AI5" i="1"/>
  <c r="AH1094" i="1" s="1"/>
  <c r="AH617" i="1"/>
  <c r="AH614" i="1"/>
  <c r="BD45" i="9"/>
  <c r="BD131" i="9" s="1"/>
  <c r="BD1037" i="1"/>
  <c r="BD1022" i="1"/>
  <c r="BD1029" i="1"/>
  <c r="BD432" i="1"/>
  <c r="BD47" i="9" s="1"/>
  <c r="BD452" i="1"/>
  <c r="BD1023" i="1"/>
  <c r="BE1029" i="1"/>
  <c r="AP5" i="9"/>
  <c r="AP754" i="1"/>
  <c r="AP755" i="1" s="1"/>
  <c r="BZ41" i="9"/>
  <c r="BZ106" i="9" s="1"/>
  <c r="BZ107" i="9" s="1"/>
  <c r="BZ414" i="1"/>
  <c r="BZ415" i="1" s="1"/>
  <c r="AE453" i="1"/>
  <c r="AE455" i="1"/>
  <c r="AK3" i="13"/>
  <c r="AK4" i="13"/>
  <c r="BJ453" i="1"/>
  <c r="BJ455" i="1"/>
  <c r="AT453" i="1"/>
  <c r="AT455" i="1"/>
  <c r="R283" i="11"/>
  <c r="Q284" i="11"/>
  <c r="R333" i="11"/>
  <c r="R334" i="11" s="1"/>
  <c r="Q336" i="11"/>
  <c r="Q408" i="11"/>
  <c r="AK694" i="1"/>
  <c r="AK693" i="1"/>
  <c r="AK612" i="1"/>
  <c r="AK611" i="1"/>
  <c r="AD5" i="9"/>
  <c r="AD754" i="1"/>
  <c r="AD755" i="1" s="1"/>
  <c r="I336" i="11"/>
  <c r="I408" i="11"/>
  <c r="J333" i="11"/>
  <c r="J334" i="11" s="1"/>
  <c r="CD651" i="1"/>
  <c r="CD652" i="1" s="1"/>
  <c r="CD283" i="1"/>
  <c r="P755" i="1"/>
  <c r="P761" i="1"/>
  <c r="U453" i="1"/>
  <c r="U455" i="1"/>
  <c r="F755" i="1"/>
  <c r="F761" i="1"/>
  <c r="AJ45" i="9"/>
  <c r="AJ131" i="9" s="1"/>
  <c r="AJ1037" i="1"/>
  <c r="AJ1029" i="1"/>
  <c r="AJ1022" i="1"/>
  <c r="AJ452" i="1"/>
  <c r="AJ432" i="1"/>
  <c r="AJ47" i="9" s="1"/>
  <c r="AJ1023" i="1"/>
  <c r="CI75" i="1"/>
  <c r="CI64" i="1"/>
  <c r="CI385" i="1"/>
  <c r="CB108" i="9"/>
  <c r="CB1006" i="1"/>
  <c r="CJ124" i="1"/>
  <c r="AD1031" i="1"/>
  <c r="AD921" i="1"/>
  <c r="CK608" i="1"/>
  <c r="CK590" i="1"/>
  <c r="CC874" i="1"/>
  <c r="CK375" i="1"/>
  <c r="CK126" i="1"/>
  <c r="O453" i="1"/>
  <c r="O455" i="1"/>
  <c r="Q5" i="9"/>
  <c r="Q754" i="1"/>
  <c r="Q755" i="1" s="1"/>
  <c r="CJ390" i="1"/>
  <c r="CJ90" i="1"/>
  <c r="CJ79" i="1"/>
  <c r="G453" i="1"/>
  <c r="G455" i="1"/>
  <c r="BC1029" i="1"/>
  <c r="AB453" i="1"/>
  <c r="AB455" i="1"/>
  <c r="K453" i="1"/>
  <c r="K455" i="1"/>
  <c r="K219" i="11"/>
  <c r="K216" i="11"/>
  <c r="K221" i="11"/>
  <c r="CK376" i="1"/>
  <c r="CK121" i="1"/>
  <c r="CF997" i="1"/>
  <c r="CF874" i="1"/>
  <c r="AZ5" i="9"/>
  <c r="AZ754" i="1"/>
  <c r="BG6" i="9"/>
  <c r="BG11" i="9" s="1"/>
  <c r="BG114" i="9"/>
  <c r="BG78" i="9"/>
  <c r="BG116" i="9"/>
  <c r="BG115" i="9"/>
  <c r="BG79" i="9"/>
  <c r="BG81" i="9" s="1"/>
  <c r="BI45" i="9"/>
  <c r="BI131" i="9" s="1"/>
  <c r="BI1037" i="1"/>
  <c r="BI1029" i="1"/>
  <c r="BI1022" i="1"/>
  <c r="BI432" i="1"/>
  <c r="BI47" i="9" s="1"/>
  <c r="BI1023" i="1"/>
  <c r="BR431" i="1"/>
  <c r="BR428" i="1"/>
  <c r="BR424" i="1"/>
  <c r="AE1037" i="1"/>
  <c r="AX453" i="1"/>
  <c r="AX455" i="1"/>
  <c r="AH921" i="1"/>
  <c r="AI915" i="1"/>
  <c r="AI916" i="1" s="1"/>
  <c r="CG997" i="1"/>
  <c r="CG874" i="1"/>
  <c r="CH993" i="1"/>
  <c r="U336" i="11"/>
  <c r="V333" i="11"/>
  <c r="V334" i="11" s="1"/>
  <c r="Z333" i="11"/>
  <c r="Z334" i="11" s="1"/>
  <c r="AL694" i="1"/>
  <c r="AL693" i="1"/>
  <c r="AL612" i="1"/>
  <c r="AL611" i="1"/>
  <c r="CH966" i="1"/>
  <c r="W453" i="1"/>
  <c r="W455" i="1"/>
  <c r="CB65" i="9"/>
  <c r="CE870" i="1"/>
  <c r="P6" i="9"/>
  <c r="P114" i="9"/>
  <c r="P78" i="9"/>
  <c r="P124" i="9" s="1"/>
  <c r="P115" i="9"/>
  <c r="P79" i="9"/>
  <c r="P81" i="9" s="1"/>
  <c r="P118" i="9"/>
  <c r="P116" i="9"/>
  <c r="AD5" i="13"/>
  <c r="AD2" i="9"/>
  <c r="AH453" i="1"/>
  <c r="AH455" i="1"/>
  <c r="F6" i="9"/>
  <c r="F114" i="9"/>
  <c r="F78" i="9"/>
  <c r="F124" i="9" s="1"/>
  <c r="F115" i="9"/>
  <c r="F116" i="9"/>
  <c r="F79" i="9"/>
  <c r="F81" i="9" s="1"/>
  <c r="F118" i="9"/>
  <c r="CK76" i="1"/>
  <c r="CK74" i="1" s="1"/>
  <c r="CK113" i="1" s="1"/>
  <c r="CK531" i="1" s="1"/>
  <c r="CJ74" i="1"/>
  <c r="CJ113" i="1" s="1"/>
  <c r="CJ531" i="1" s="1"/>
  <c r="CC950" i="1"/>
  <c r="CC955" i="1" s="1"/>
  <c r="CC997" i="1"/>
  <c r="CJ32" i="9"/>
  <c r="CJ417" i="1"/>
  <c r="BZ108" i="9"/>
  <c r="BZ109" i="9" s="1"/>
  <c r="BZ1006" i="1"/>
  <c r="AG4" i="13"/>
  <c r="AG3" i="13"/>
  <c r="BJ1029" i="1"/>
  <c r="E5" i="9"/>
  <c r="E754" i="1"/>
  <c r="CA399" i="1"/>
  <c r="CA973" i="1"/>
  <c r="X453" i="1"/>
  <c r="X455" i="1"/>
  <c r="CG870" i="1"/>
  <c r="BO13" i="13"/>
  <c r="BO107" i="13" s="1"/>
  <c r="BO755" i="1"/>
  <c r="AN453" i="1"/>
  <c r="AN455" i="1"/>
  <c r="BM45" i="9"/>
  <c r="BM131" i="9" s="1"/>
  <c r="BM1022" i="1"/>
  <c r="BM452" i="1"/>
  <c r="BM432" i="1"/>
  <c r="BM47" i="9" s="1"/>
  <c r="BM1029" i="1"/>
  <c r="BM1023" i="1"/>
  <c r="BL1029" i="1"/>
  <c r="BL5" i="9"/>
  <c r="BL754" i="1"/>
  <c r="CJ59" i="1"/>
  <c r="CI57" i="1"/>
  <c r="CD997" i="1"/>
  <c r="CD874" i="1"/>
  <c r="AC3" i="13"/>
  <c r="AC4" i="13"/>
  <c r="D455" i="1"/>
  <c r="D453" i="1"/>
  <c r="BE5" i="9"/>
  <c r="BE754" i="1"/>
  <c r="BB13" i="13"/>
  <c r="BB107" i="13" s="1"/>
  <c r="BB755" i="1"/>
  <c r="AF3" i="13"/>
  <c r="CH34" i="9"/>
  <c r="CH291" i="1"/>
  <c r="CH57" i="9" s="1"/>
  <c r="AY453" i="1"/>
  <c r="AY455" i="1"/>
  <c r="CK388" i="1"/>
  <c r="CK123" i="1"/>
  <c r="CD741" i="1"/>
  <c r="CE741" i="1"/>
  <c r="CF741" i="1"/>
  <c r="CA108" i="9"/>
  <c r="CA1006" i="1"/>
  <c r="Z45" i="9"/>
  <c r="Z131" i="9" s="1"/>
  <c r="Z1029" i="1"/>
  <c r="Z1037" i="1"/>
  <c r="Z1022" i="1"/>
  <c r="Z452" i="1"/>
  <c r="Z432" i="1"/>
  <c r="Z47" i="9" s="1"/>
  <c r="Z1023" i="1"/>
  <c r="AK5" i="9"/>
  <c r="AK754" i="1"/>
  <c r="AK755" i="1" s="1"/>
  <c r="I5" i="9"/>
  <c r="I754" i="1"/>
  <c r="I755" i="1" s="1"/>
  <c r="CK128" i="1"/>
  <c r="CK387" i="1"/>
  <c r="CI768" i="1"/>
  <c r="CI1" i="9"/>
  <c r="CJ4" i="1"/>
  <c r="CI3" i="1"/>
  <c r="CI1140" i="1" s="1"/>
  <c r="AW453" i="1"/>
  <c r="AW455" i="1"/>
  <c r="AI453" i="1"/>
  <c r="AI455" i="1"/>
  <c r="AO453" i="1"/>
  <c r="AO455" i="1"/>
  <c r="BV453" i="1"/>
  <c r="BV455" i="1"/>
  <c r="CC870" i="1"/>
  <c r="CC65" i="9" s="1"/>
  <c r="BZ65" i="9"/>
  <c r="BN45" i="9"/>
  <c r="BN131" i="9" s="1"/>
  <c r="BN1022" i="1"/>
  <c r="BN1029" i="1"/>
  <c r="BN1037" i="1"/>
  <c r="BN432" i="1"/>
  <c r="BN47" i="9" s="1"/>
  <c r="BN1023" i="1"/>
  <c r="BS1029" i="1"/>
  <c r="CD714" i="1"/>
  <c r="AP2" i="9"/>
  <c r="AP5" i="13"/>
  <c r="AO593" i="1"/>
  <c r="AN536" i="1"/>
  <c r="AO655" i="1"/>
  <c r="AN593" i="1"/>
  <c r="AO536" i="1"/>
  <c r="AN655" i="1"/>
  <c r="AQ5" i="1"/>
  <c r="AP1094" i="1" s="1"/>
  <c r="CE997" i="1"/>
  <c r="CE874" i="1"/>
  <c r="CH421" i="1"/>
  <c r="CD44" i="9"/>
  <c r="BO6" i="9"/>
  <c r="BO11" i="9" s="1"/>
  <c r="BO114" i="9"/>
  <c r="BO78" i="9"/>
  <c r="BO116" i="9"/>
  <c r="BO115" i="9"/>
  <c r="BO118" i="9"/>
  <c r="BO79" i="9"/>
  <c r="BO81" i="9" s="1"/>
  <c r="BU5" i="9"/>
  <c r="BU754" i="1"/>
  <c r="AQ5" i="9"/>
  <c r="AQ754" i="1"/>
  <c r="AQ755" i="1" s="1"/>
  <c r="AL5" i="9"/>
  <c r="AL754" i="1"/>
  <c r="AL755" i="1" s="1"/>
  <c r="L453" i="1"/>
  <c r="L455" i="1"/>
  <c r="M1031" i="1"/>
  <c r="M921" i="1"/>
  <c r="N915" i="1"/>
  <c r="N916" i="1" s="1"/>
  <c r="BB6" i="9"/>
  <c r="BB11" i="9" s="1"/>
  <c r="BB114" i="9"/>
  <c r="BB78" i="9"/>
  <c r="BB118" i="9"/>
  <c r="BB116" i="9"/>
  <c r="BB115" i="9"/>
  <c r="BB79" i="9"/>
  <c r="BB81" i="9" s="1"/>
  <c r="AF4" i="13"/>
  <c r="BY45" i="9"/>
  <c r="BY131" i="9" s="1"/>
  <c r="BY1022" i="1"/>
  <c r="BY452" i="1"/>
  <c r="BY432" i="1"/>
  <c r="BY47" i="9" s="1"/>
  <c r="BY1023" i="1"/>
  <c r="AH613" i="1"/>
  <c r="AH616" i="1"/>
  <c r="AG843" i="1"/>
  <c r="AF844" i="1"/>
  <c r="AF1031" i="1" s="1"/>
  <c r="CK382" i="1"/>
  <c r="CK127" i="1"/>
  <c r="H5" i="9"/>
  <c r="H754" i="1"/>
  <c r="H755" i="1" s="1"/>
  <c r="BZ51" i="9"/>
  <c r="BZ748" i="1"/>
  <c r="BZ297" i="1"/>
  <c r="BA5" i="9"/>
  <c r="BA754" i="1"/>
  <c r="CI855" i="1"/>
  <c r="CI413" i="1"/>
  <c r="CI421" i="1" s="1"/>
  <c r="CI44" i="9" s="1"/>
  <c r="CI721" i="1"/>
  <c r="CI722" i="1" s="1"/>
  <c r="CD452" i="1"/>
  <c r="CD455" i="1" s="1"/>
  <c r="CE444" i="1"/>
  <c r="CE436" i="1" s="1"/>
  <c r="CE714" i="1" s="1"/>
  <c r="CD449" i="1"/>
  <c r="CD450" i="1"/>
  <c r="CE447" i="1"/>
  <c r="Q1031" i="1"/>
  <c r="R915" i="1"/>
  <c r="R916" i="1" s="1"/>
  <c r="Q921" i="1"/>
  <c r="AI693" i="1"/>
  <c r="AI694" i="1"/>
  <c r="AI611" i="1"/>
  <c r="AI612" i="1"/>
  <c r="S5" i="9"/>
  <c r="S754" i="1"/>
  <c r="S755" i="1" s="1"/>
  <c r="AU915" i="1"/>
  <c r="AU916" i="1" s="1"/>
  <c r="AT921" i="1"/>
  <c r="AY915" i="1"/>
  <c r="AY916" i="1" s="1"/>
  <c r="M5" i="9"/>
  <c r="M754" i="1"/>
  <c r="M755" i="1" s="1"/>
  <c r="BT5" i="9"/>
  <c r="BT754" i="1"/>
  <c r="T45" i="9"/>
  <c r="T131" i="9" s="1"/>
  <c r="T1022" i="1"/>
  <c r="T452" i="1"/>
  <c r="T432" i="1"/>
  <c r="T47" i="9" s="1"/>
  <c r="T1029" i="1"/>
  <c r="T1023" i="1"/>
  <c r="S1029" i="1"/>
  <c r="Y1029" i="1"/>
  <c r="Y3" i="13"/>
  <c r="Y4" i="13"/>
  <c r="CI80" i="1"/>
  <c r="CI81" i="1"/>
  <c r="CI82" i="1" s="1"/>
  <c r="BF13" i="13"/>
  <c r="BF107" i="13" s="1"/>
  <c r="BF755" i="1"/>
  <c r="BX1029" i="1"/>
  <c r="Y5" i="9"/>
  <c r="Y754" i="1"/>
  <c r="Y755" i="1" s="1"/>
  <c r="BP455" i="1"/>
  <c r="BP453" i="1"/>
  <c r="CC5" i="9"/>
  <c r="CC754" i="1"/>
  <c r="BO1029" i="1"/>
  <c r="CD38" i="9"/>
  <c r="CD97" i="9" s="1"/>
  <c r="CD98" i="9" s="1"/>
  <c r="CD294" i="1"/>
  <c r="CD61" i="9" s="1"/>
  <c r="CD1027" i="1"/>
  <c r="AM694" i="1"/>
  <c r="AM611" i="1"/>
  <c r="AM612" i="1"/>
  <c r="N3" i="11"/>
  <c r="N449" i="11" s="1"/>
  <c r="O4" i="11"/>
  <c r="AP921" i="1"/>
  <c r="AQ915" i="1"/>
  <c r="AQ916" i="1" s="1"/>
  <c r="M336" i="11"/>
  <c r="N333" i="11"/>
  <c r="N334" i="11" s="1"/>
  <c r="M408" i="11"/>
  <c r="AF453" i="1"/>
  <c r="AF455" i="1"/>
  <c r="CC394" i="1"/>
  <c r="CC635" i="1"/>
  <c r="CC285" i="1"/>
  <c r="AR6" i="9"/>
  <c r="AR11" i="9" s="1"/>
  <c r="AR114" i="9"/>
  <c r="AR78" i="9"/>
  <c r="AR118" i="9"/>
  <c r="AR116" i="9"/>
  <c r="AR115" i="9"/>
  <c r="AR79" i="9"/>
  <c r="AR81" i="9" s="1"/>
  <c r="AM5" i="9"/>
  <c r="AM754" i="1"/>
  <c r="AM755" i="1" s="1"/>
  <c r="I1031" i="1"/>
  <c r="J915" i="1"/>
  <c r="J916" i="1" s="1"/>
  <c r="I921" i="1"/>
  <c r="CC949" i="1"/>
  <c r="CC954" i="1" s="1"/>
  <c r="CD870" i="1"/>
  <c r="CC1042" i="1"/>
  <c r="CG741" i="1"/>
  <c r="CI35" i="9"/>
  <c r="CI386" i="1"/>
  <c r="CI280" i="1" s="1"/>
  <c r="CI290" i="1"/>
  <c r="CI58" i="9" s="1"/>
  <c r="BF6" i="9"/>
  <c r="BF11" i="9" s="1"/>
  <c r="BF114" i="9"/>
  <c r="BF78" i="9"/>
  <c r="BF79" i="9"/>
  <c r="BF81" i="9" s="1"/>
  <c r="BF116" i="9"/>
  <c r="BF118" i="9"/>
  <c r="BF115" i="9"/>
  <c r="CA118" i="1"/>
  <c r="CA978" i="1"/>
  <c r="AI538" i="1"/>
  <c r="AI594" i="1"/>
  <c r="AI668" i="1"/>
  <c r="AI669" i="1"/>
  <c r="AI595" i="1"/>
  <c r="AI537" i="1"/>
  <c r="BQ453" i="1"/>
  <c r="BQ455" i="1"/>
  <c r="P408" i="11"/>
  <c r="C5" i="9"/>
  <c r="C754" i="1"/>
  <c r="AT5" i="13"/>
  <c r="AT2" i="9"/>
  <c r="AQ683" i="1"/>
  <c r="AN543" i="1"/>
  <c r="AP683" i="1"/>
  <c r="AN683" i="1"/>
  <c r="AR610" i="1"/>
  <c r="AP543" i="1"/>
  <c r="AQ610" i="1"/>
  <c r="AO543" i="1"/>
  <c r="AP610" i="1"/>
  <c r="AO610" i="1"/>
  <c r="AR543" i="1"/>
  <c r="AR683" i="1"/>
  <c r="AO683" i="1"/>
  <c r="AN610" i="1"/>
  <c r="AR568" i="1"/>
  <c r="AQ543" i="1"/>
  <c r="AU5" i="1"/>
  <c r="AY5" i="1"/>
  <c r="CF870" i="1"/>
  <c r="R5" i="9"/>
  <c r="R754" i="1"/>
  <c r="R755" i="1" s="1"/>
  <c r="CC651" i="1"/>
  <c r="CC283" i="1"/>
  <c r="AV5" i="9"/>
  <c r="AV754" i="1"/>
  <c r="BW45" i="9"/>
  <c r="BW131" i="9" s="1"/>
  <c r="BW1022" i="1"/>
  <c r="BW452" i="1"/>
  <c r="BW432" i="1"/>
  <c r="BW47" i="9" s="1"/>
  <c r="BW1029" i="1"/>
  <c r="BW1023" i="1"/>
  <c r="CC1011" i="1"/>
  <c r="CD1011" i="1" s="1"/>
  <c r="N370" i="10"/>
  <c r="N397" i="10"/>
  <c r="N382" i="10"/>
  <c r="N405" i="10"/>
  <c r="N403" i="10"/>
  <c r="N404" i="10"/>
  <c r="N407" i="10"/>
  <c r="N375" i="10"/>
  <c r="N395" i="10"/>
  <c r="N398" i="10"/>
  <c r="N386" i="10"/>
  <c r="N378" i="10"/>
  <c r="N371" i="10"/>
  <c r="N387" i="10"/>
  <c r="N383" i="10"/>
  <c r="N372" i="10"/>
  <c r="N394" i="10"/>
  <c r="N399" i="10"/>
  <c r="N384" i="10"/>
  <c r="N374" i="10"/>
  <c r="N388" i="10"/>
  <c r="N393" i="10"/>
  <c r="N377" i="10"/>
  <c r="N408" i="10"/>
  <c r="N409" i="10"/>
  <c r="AN1111" i="1" l="1"/>
  <c r="AN1118" i="1"/>
  <c r="AN1115" i="1"/>
  <c r="AN1119" i="1"/>
  <c r="AN1113" i="1"/>
  <c r="AN1116" i="1"/>
  <c r="AN1114" i="1"/>
  <c r="AN1117" i="1"/>
  <c r="AN1121" i="1"/>
  <c r="AN1123" i="1"/>
  <c r="AN1120" i="1"/>
  <c r="AN1124" i="1"/>
  <c r="AN1122" i="1"/>
  <c r="AP1106" i="1"/>
  <c r="AP1099" i="1"/>
  <c r="AP1095" i="1"/>
  <c r="AP1103" i="1"/>
  <c r="AP1096" i="1"/>
  <c r="AP1100" i="1"/>
  <c r="AP1104" i="1"/>
  <c r="AP1097" i="1"/>
  <c r="AP1101" i="1"/>
  <c r="AP1102" i="1"/>
  <c r="AP1098" i="1"/>
  <c r="AP1105" i="1"/>
  <c r="AH1104" i="1"/>
  <c r="AH1100" i="1"/>
  <c r="AH1097" i="1"/>
  <c r="AH1105" i="1"/>
  <c r="AH1099" i="1"/>
  <c r="AH1102" i="1"/>
  <c r="AH1106" i="1"/>
  <c r="AH1096" i="1"/>
  <c r="AH1098" i="1"/>
  <c r="AH1095" i="1"/>
  <c r="AH1101" i="1"/>
  <c r="AH1103" i="1"/>
  <c r="AM1111" i="1"/>
  <c r="BK754" i="1"/>
  <c r="BK5" i="9"/>
  <c r="AQ1111" i="1"/>
  <c r="AQ1120" i="1"/>
  <c r="AQ1121" i="1"/>
  <c r="AQ1116" i="1"/>
  <c r="AQ1115" i="1"/>
  <c r="AQ1113" i="1"/>
  <c r="AQ1119" i="1"/>
  <c r="AQ1117" i="1"/>
  <c r="AQ1123" i="1"/>
  <c r="AQ1118" i="1"/>
  <c r="AQ1122" i="1"/>
  <c r="AQ1114" i="1"/>
  <c r="AQ1124" i="1"/>
  <c r="AL1106" i="1"/>
  <c r="AL1096" i="1"/>
  <c r="AL1104" i="1"/>
  <c r="AL1102" i="1"/>
  <c r="AL1099" i="1"/>
  <c r="AL1097" i="1"/>
  <c r="AL1105" i="1"/>
  <c r="AL1100" i="1"/>
  <c r="AL1101" i="1"/>
  <c r="AL1098" i="1"/>
  <c r="AL1103" i="1"/>
  <c r="AL1095" i="1"/>
  <c r="AP1111" i="1"/>
  <c r="AP1115" i="1"/>
  <c r="AP1121" i="1"/>
  <c r="AP1122" i="1"/>
  <c r="AP1123" i="1"/>
  <c r="AP1116" i="1"/>
  <c r="AP1124" i="1"/>
  <c r="AP1114" i="1"/>
  <c r="AP1119" i="1"/>
  <c r="AP1113" i="1"/>
  <c r="AP1117" i="1"/>
  <c r="AP1120" i="1"/>
  <c r="AP1118" i="1"/>
  <c r="BC754" i="1"/>
  <c r="BC5" i="9"/>
  <c r="AO1097" i="1"/>
  <c r="AO1099" i="1"/>
  <c r="AO1105" i="1"/>
  <c r="AO1098" i="1"/>
  <c r="AO1104" i="1"/>
  <c r="AO1103" i="1"/>
  <c r="AO1095" i="1"/>
  <c r="AO1102" i="1"/>
  <c r="AO1101" i="1"/>
  <c r="AO1106" i="1"/>
  <c r="AO1096" i="1"/>
  <c r="AO1100" i="1"/>
  <c r="AU5" i="9"/>
  <c r="AU754" i="1"/>
  <c r="AN1104" i="1"/>
  <c r="AN1106" i="1"/>
  <c r="AN1100" i="1"/>
  <c r="AN1097" i="1"/>
  <c r="AN1105" i="1"/>
  <c r="AN1098" i="1"/>
  <c r="AN1103" i="1"/>
  <c r="AN1096" i="1"/>
  <c r="AN1099" i="1"/>
  <c r="AN1102" i="1"/>
  <c r="AN1095" i="1"/>
  <c r="AN1101" i="1"/>
  <c r="AU1112" i="1"/>
  <c r="AV1112" i="1"/>
  <c r="AW1112" i="1"/>
  <c r="AS1112" i="1"/>
  <c r="AT1112" i="1"/>
  <c r="AS1094" i="1"/>
  <c r="AT1094" i="1"/>
  <c r="CJ1170" i="1"/>
  <c r="AR1111" i="1"/>
  <c r="AR1119" i="1"/>
  <c r="AR1113" i="1"/>
  <c r="AR1120" i="1"/>
  <c r="AR1122" i="1"/>
  <c r="AR1116" i="1"/>
  <c r="AR693" i="1" s="1"/>
  <c r="AR1118" i="1"/>
  <c r="AR1121" i="1"/>
  <c r="AR1114" i="1"/>
  <c r="AR1115" i="1"/>
  <c r="AR1117" i="1"/>
  <c r="AR1124" i="1"/>
  <c r="AR1123" i="1"/>
  <c r="AO1111" i="1"/>
  <c r="AO1115" i="1"/>
  <c r="AO1124" i="1"/>
  <c r="AO1119" i="1"/>
  <c r="AO1123" i="1"/>
  <c r="AO1121" i="1"/>
  <c r="AO1113" i="1"/>
  <c r="AO1116" i="1"/>
  <c r="AO1118" i="1"/>
  <c r="AO1122" i="1"/>
  <c r="AO1120" i="1"/>
  <c r="AO1117" i="1"/>
  <c r="AO694" i="1" s="1"/>
  <c r="AO1114" i="1"/>
  <c r="AO612" i="1" s="1"/>
  <c r="AJ656" i="1"/>
  <c r="CF65" i="9"/>
  <c r="CA109" i="9"/>
  <c r="P388" i="10"/>
  <c r="Q388" i="10"/>
  <c r="P394" i="10"/>
  <c r="Q394" i="10"/>
  <c r="P371" i="10"/>
  <c r="Q371" i="10"/>
  <c r="Q386" i="10"/>
  <c r="P386" i="10"/>
  <c r="Q403" i="10"/>
  <c r="P403" i="10"/>
  <c r="P382" i="10"/>
  <c r="Q382" i="10"/>
  <c r="Q404" i="10"/>
  <c r="P404" i="10"/>
  <c r="Q408" i="10"/>
  <c r="P408" i="10"/>
  <c r="Q374" i="10"/>
  <c r="P374" i="10"/>
  <c r="Q375" i="10"/>
  <c r="P375" i="10"/>
  <c r="Q378" i="10"/>
  <c r="P378" i="10"/>
  <c r="Q398" i="10"/>
  <c r="P398" i="10"/>
  <c r="Q405" i="10"/>
  <c r="P405" i="10"/>
  <c r="Q397" i="10"/>
  <c r="P397" i="10"/>
  <c r="Q409" i="10"/>
  <c r="P409" i="10"/>
  <c r="P377" i="10"/>
  <c r="Q377" i="10"/>
  <c r="P384" i="10"/>
  <c r="Q384" i="10"/>
  <c r="Q372" i="10"/>
  <c r="P372" i="10"/>
  <c r="Q383" i="10"/>
  <c r="P383" i="10"/>
  <c r="Q395" i="10"/>
  <c r="P395" i="10"/>
  <c r="Q407" i="10"/>
  <c r="P407" i="10"/>
  <c r="P370" i="10"/>
  <c r="Q370" i="10"/>
  <c r="P387" i="10"/>
  <c r="Q387" i="10"/>
  <c r="Q393" i="10"/>
  <c r="P393" i="10"/>
  <c r="Q399" i="10"/>
  <c r="P399" i="10"/>
  <c r="BZ43" i="9"/>
  <c r="BZ52" i="9"/>
  <c r="BZ422" i="1"/>
  <c r="AP694" i="1"/>
  <c r="AP693" i="1"/>
  <c r="AP612" i="1"/>
  <c r="AP611" i="1"/>
  <c r="AI675" i="1"/>
  <c r="AJ675" i="1" s="1"/>
  <c r="AI656" i="1"/>
  <c r="AI672" i="1"/>
  <c r="AJ672" i="1" s="1"/>
  <c r="J921" i="1"/>
  <c r="J1031" i="1"/>
  <c r="AM695" i="1"/>
  <c r="AM685" i="1"/>
  <c r="AM698" i="1"/>
  <c r="BT13" i="13"/>
  <c r="BT107" i="13" s="1"/>
  <c r="BT755" i="1"/>
  <c r="R921" i="1"/>
  <c r="R1031" i="1"/>
  <c r="S915" i="1"/>
  <c r="S916" i="1" s="1"/>
  <c r="AL6" i="9"/>
  <c r="AL11" i="9" s="1"/>
  <c r="AL114" i="9"/>
  <c r="AL78" i="9"/>
  <c r="AL116" i="9"/>
  <c r="AL115" i="9"/>
  <c r="AL79" i="9"/>
  <c r="AL81" i="9" s="1"/>
  <c r="AL118" i="9"/>
  <c r="AQ2" i="9"/>
  <c r="AQ5" i="13"/>
  <c r="AP655" i="1"/>
  <c r="AP593" i="1"/>
  <c r="AP536" i="1"/>
  <c r="AR5" i="1"/>
  <c r="AQ1094" i="1" s="1"/>
  <c r="AN595" i="1"/>
  <c r="AN594" i="1"/>
  <c r="AN537" i="1"/>
  <c r="AN669" i="1"/>
  <c r="AN538" i="1"/>
  <c r="AN668" i="1"/>
  <c r="CJ1" i="9"/>
  <c r="CJ768" i="1"/>
  <c r="CK4" i="1"/>
  <c r="CJ3" i="1"/>
  <c r="CJ1140" i="1" s="1"/>
  <c r="Z453" i="1"/>
  <c r="Z455" i="1"/>
  <c r="CE403" i="1"/>
  <c r="CA928" i="1"/>
  <c r="AH5" i="9"/>
  <c r="AH754" i="1"/>
  <c r="AH755" i="1" s="1"/>
  <c r="AX5" i="9"/>
  <c r="AX754" i="1"/>
  <c r="CF108" i="9"/>
  <c r="CF1006" i="1"/>
  <c r="K5" i="9"/>
  <c r="K754" i="1"/>
  <c r="CK31" i="9"/>
  <c r="CK416" i="1"/>
  <c r="CB109" i="9"/>
  <c r="P759" i="1"/>
  <c r="P758" i="1"/>
  <c r="P762" i="1"/>
  <c r="AD6" i="9"/>
  <c r="AD11" i="9" s="1"/>
  <c r="AD114" i="9"/>
  <c r="AD116" i="9"/>
  <c r="AD115" i="9"/>
  <c r="AD78" i="9"/>
  <c r="AD118" i="9"/>
  <c r="AD79" i="9"/>
  <c r="AD81" i="9" s="1"/>
  <c r="AP6" i="9"/>
  <c r="AP11" i="9" s="1"/>
  <c r="AP114" i="9"/>
  <c r="AP78" i="9"/>
  <c r="AP116" i="9"/>
  <c r="AP118" i="9"/>
  <c r="AP115" i="9"/>
  <c r="AP79" i="9"/>
  <c r="AP81" i="9" s="1"/>
  <c r="CH283" i="1"/>
  <c r="CH651" i="1"/>
  <c r="CH652" i="1" s="1"/>
  <c r="AL4" i="13"/>
  <c r="AL3" i="13"/>
  <c r="CJ1000" i="1"/>
  <c r="CJ1005" i="1" s="1"/>
  <c r="CK736" i="1"/>
  <c r="CK1000" i="1" s="1"/>
  <c r="CK1005" i="1" s="1"/>
  <c r="AM697" i="1"/>
  <c r="AM684" i="1"/>
  <c r="CE1011" i="1"/>
  <c r="AQ694" i="1"/>
  <c r="AQ611" i="1"/>
  <c r="AQ612" i="1"/>
  <c r="AQ693" i="1"/>
  <c r="CG403" i="1"/>
  <c r="CC114" i="9"/>
  <c r="CC6" i="9"/>
  <c r="BT114" i="9"/>
  <c r="BT6" i="9"/>
  <c r="BT11" i="9" s="1"/>
  <c r="BT78" i="9"/>
  <c r="BT115" i="9"/>
  <c r="BT116" i="9"/>
  <c r="BT118" i="9"/>
  <c r="BT79" i="9"/>
  <c r="BT81" i="9" s="1"/>
  <c r="S6" i="9"/>
  <c r="S11" i="9" s="1"/>
  <c r="S114" i="9"/>
  <c r="S78" i="9"/>
  <c r="S116" i="9"/>
  <c r="S115" i="9"/>
  <c r="S118" i="9"/>
  <c r="S79" i="9"/>
  <c r="S81" i="9" s="1"/>
  <c r="AI613" i="1"/>
  <c r="AI615" i="1" s="1"/>
  <c r="AI616" i="1"/>
  <c r="AH843" i="1"/>
  <c r="AG844" i="1"/>
  <c r="AG1031" i="1" s="1"/>
  <c r="AO668" i="1"/>
  <c r="AO537" i="1"/>
  <c r="AO594" i="1"/>
  <c r="AO595" i="1"/>
  <c r="AO538" i="1"/>
  <c r="AO669" i="1"/>
  <c r="AO5" i="9"/>
  <c r="AO754" i="1"/>
  <c r="CH741" i="1"/>
  <c r="CH742" i="1" s="1"/>
  <c r="CD403" i="1"/>
  <c r="CH874" i="1"/>
  <c r="CH949" i="1"/>
  <c r="V336" i="11"/>
  <c r="W333" i="11"/>
  <c r="W334" i="11" s="1"/>
  <c r="CI34" i="9"/>
  <c r="CI381" i="1"/>
  <c r="CI281" i="1" s="1"/>
  <c r="CI291" i="1"/>
  <c r="CI57" i="9" s="1"/>
  <c r="S333" i="11"/>
  <c r="S334" i="11" s="1"/>
  <c r="R336" i="11"/>
  <c r="J6" i="9"/>
  <c r="J11" i="9" s="1"/>
  <c r="J78" i="9"/>
  <c r="J79" i="9"/>
  <c r="J81" i="9" s="1"/>
  <c r="BI452" i="1"/>
  <c r="BH453" i="1"/>
  <c r="BH455" i="1"/>
  <c r="AN915" i="1"/>
  <c r="AN916" i="1" s="1"/>
  <c r="AM921" i="1"/>
  <c r="AJ661" i="1"/>
  <c r="AJ649" i="1"/>
  <c r="AJ650" i="1" s="1"/>
  <c r="AH699" i="1"/>
  <c r="CH870" i="1"/>
  <c r="CD65" i="9"/>
  <c r="AQ921" i="1"/>
  <c r="AR915" i="1"/>
  <c r="AR916" i="1" s="1"/>
  <c r="AV13" i="13"/>
  <c r="AV107" i="13" s="1"/>
  <c r="AV755" i="1"/>
  <c r="AR612" i="1"/>
  <c r="AR611" i="1"/>
  <c r="AR694" i="1"/>
  <c r="AI539" i="1"/>
  <c r="AK526" i="1" s="1"/>
  <c r="AK530" i="1" s="1"/>
  <c r="AI599" i="1"/>
  <c r="AI596" i="1"/>
  <c r="AI598" i="1" s="1"/>
  <c r="AI602" i="1"/>
  <c r="AJ602" i="1" s="1"/>
  <c r="N408" i="11"/>
  <c r="O333" i="11"/>
  <c r="O334" i="11" s="1"/>
  <c r="N336" i="11"/>
  <c r="AI698" i="1"/>
  <c r="AI685" i="1"/>
  <c r="AI695" i="1"/>
  <c r="AI696" i="1" s="1"/>
  <c r="BZ129" i="9"/>
  <c r="BZ88" i="9"/>
  <c r="BZ115" i="9"/>
  <c r="N1031" i="1"/>
  <c r="N921" i="1"/>
  <c r="O915" i="1"/>
  <c r="O916" i="1" s="1"/>
  <c r="AQ6" i="9"/>
  <c r="AQ11" i="9" s="1"/>
  <c r="AQ114" i="9"/>
  <c r="AQ116" i="9"/>
  <c r="AQ115" i="9"/>
  <c r="AQ78" i="9"/>
  <c r="AQ118" i="9"/>
  <c r="AQ79" i="9"/>
  <c r="AQ81" i="9" s="1"/>
  <c r="I6" i="9"/>
  <c r="I11" i="9" s="1"/>
  <c r="I78" i="9"/>
  <c r="I79" i="9"/>
  <c r="I81" i="9" s="1"/>
  <c r="CD108" i="9"/>
  <c r="CD109" i="9" s="1"/>
  <c r="CD1006" i="1"/>
  <c r="CG65" i="9"/>
  <c r="CA117" i="1"/>
  <c r="CA400" i="1"/>
  <c r="P11" i="9"/>
  <c r="P125" i="9"/>
  <c r="AB5" i="9"/>
  <c r="AB754" i="1"/>
  <c r="AB755" i="1" s="1"/>
  <c r="CJ35" i="9"/>
  <c r="CJ290" i="1"/>
  <c r="CJ58" i="9" s="1"/>
  <c r="CJ386" i="1"/>
  <c r="CJ280" i="1" s="1"/>
  <c r="CI66" i="1"/>
  <c r="CI67" i="1" s="1"/>
  <c r="CI65" i="1"/>
  <c r="AK616" i="1"/>
  <c r="AK613" i="1"/>
  <c r="AK615" i="1" s="1"/>
  <c r="AE5" i="9"/>
  <c r="AE754" i="1"/>
  <c r="AJ616" i="1"/>
  <c r="AJ613" i="1"/>
  <c r="AJ618" i="1" s="1"/>
  <c r="AJ670" i="1"/>
  <c r="AJ671" i="1" s="1"/>
  <c r="AJ657" i="1"/>
  <c r="AM2" i="9"/>
  <c r="AM5" i="13"/>
  <c r="AL593" i="1"/>
  <c r="AL655" i="1"/>
  <c r="AN5" i="1"/>
  <c r="AM1094" i="1" s="1"/>
  <c r="AL536" i="1"/>
  <c r="AH687" i="1"/>
  <c r="AH690" i="1"/>
  <c r="AM6" i="9"/>
  <c r="AM11" i="9" s="1"/>
  <c r="AM114" i="9"/>
  <c r="AM78" i="9"/>
  <c r="AM118" i="9"/>
  <c r="AM79" i="9"/>
  <c r="AM81" i="9" s="1"/>
  <c r="AM115" i="9"/>
  <c r="AM116" i="9"/>
  <c r="BP5" i="9"/>
  <c r="BP754" i="1"/>
  <c r="M6" i="9"/>
  <c r="M11" i="9" s="1"/>
  <c r="M114" i="9"/>
  <c r="M78" i="9"/>
  <c r="M116" i="9"/>
  <c r="M115" i="9"/>
  <c r="M79" i="9"/>
  <c r="M81" i="9" s="1"/>
  <c r="M118" i="9"/>
  <c r="AI617" i="1"/>
  <c r="AI614" i="1"/>
  <c r="AH622" i="1"/>
  <c r="AH621" i="1" s="1"/>
  <c r="AH626" i="1"/>
  <c r="AH627" i="1" s="1"/>
  <c r="AJ579" i="1"/>
  <c r="AH618" i="1"/>
  <c r="AH623" i="1"/>
  <c r="BU13" i="13"/>
  <c r="BU107" i="13" s="1"/>
  <c r="BU755" i="1"/>
  <c r="AI5" i="9"/>
  <c r="AI754" i="1"/>
  <c r="AI755" i="1" s="1"/>
  <c r="BE13" i="13"/>
  <c r="BE107" i="13" s="1"/>
  <c r="BE755" i="1"/>
  <c r="CI58" i="1"/>
  <c r="CI378" i="1"/>
  <c r="CI106" i="1"/>
  <c r="CI46" i="1"/>
  <c r="CI56" i="1"/>
  <c r="BN452" i="1"/>
  <c r="BM453" i="1"/>
  <c r="BM455" i="1"/>
  <c r="E755" i="1"/>
  <c r="E761" i="1"/>
  <c r="AD4" i="13"/>
  <c r="AD3" i="13"/>
  <c r="CE65" i="9"/>
  <c r="AL616" i="1"/>
  <c r="AL613" i="1"/>
  <c r="AL615" i="1" s="1"/>
  <c r="CH997" i="1"/>
  <c r="CH950" i="1"/>
  <c r="BR45" i="9"/>
  <c r="BR131" i="9" s="1"/>
  <c r="BR1022" i="1"/>
  <c r="BR432" i="1"/>
  <c r="BR47" i="9" s="1"/>
  <c r="BR452" i="1"/>
  <c r="BR1029" i="1"/>
  <c r="BR1023" i="1"/>
  <c r="BS1037" i="1"/>
  <c r="BQ1029" i="1"/>
  <c r="CK124" i="1"/>
  <c r="CF98" i="9"/>
  <c r="AK617" i="1"/>
  <c r="AK614" i="1"/>
  <c r="S283" i="11"/>
  <c r="R284" i="11"/>
  <c r="R408" i="11" s="1"/>
  <c r="AH615" i="1"/>
  <c r="AJ695" i="1"/>
  <c r="AJ699" i="1" s="1"/>
  <c r="AJ698" i="1"/>
  <c r="AJ685" i="1"/>
  <c r="AH696" i="1"/>
  <c r="AA453" i="1"/>
  <c r="AA455" i="1"/>
  <c r="AI540" i="1"/>
  <c r="CA934" i="1"/>
  <c r="CC56" i="9"/>
  <c r="CC286" i="1"/>
  <c r="AM614" i="1"/>
  <c r="AM617" i="1"/>
  <c r="BD915" i="1"/>
  <c r="BD916" i="1" s="1"/>
  <c r="AY921" i="1"/>
  <c r="AZ915" i="1"/>
  <c r="AZ916" i="1" s="1"/>
  <c r="AI697" i="1"/>
  <c r="AI684" i="1"/>
  <c r="CD5" i="9"/>
  <c r="CD754" i="1"/>
  <c r="BU6" i="9"/>
  <c r="BU11" i="9" s="1"/>
  <c r="BU114" i="9"/>
  <c r="BU78" i="9"/>
  <c r="BU118" i="9"/>
  <c r="BU115" i="9"/>
  <c r="BU79" i="9"/>
  <c r="BU81" i="9" s="1"/>
  <c r="BU116" i="9"/>
  <c r="AK6" i="9"/>
  <c r="AK11" i="9" s="1"/>
  <c r="AK114" i="9"/>
  <c r="AK78" i="9"/>
  <c r="AK79" i="9"/>
  <c r="AK81" i="9" s="1"/>
  <c r="AK118" i="9"/>
  <c r="AK115" i="9"/>
  <c r="AK116" i="9"/>
  <c r="AY5" i="9"/>
  <c r="AY754" i="1"/>
  <c r="BE6" i="9"/>
  <c r="BE11" i="9" s="1"/>
  <c r="BE114" i="9"/>
  <c r="BE78" i="9"/>
  <c r="BE79" i="9"/>
  <c r="BE81" i="9" s="1"/>
  <c r="BE116" i="9"/>
  <c r="BE118" i="9"/>
  <c r="BE115" i="9"/>
  <c r="CK59" i="1"/>
  <c r="CK57" i="1" s="1"/>
  <c r="CJ57" i="1"/>
  <c r="X5" i="9"/>
  <c r="X754" i="1"/>
  <c r="X755" i="1" s="1"/>
  <c r="E6" i="9"/>
  <c r="E114" i="9"/>
  <c r="E78" i="9"/>
  <c r="E124" i="9" s="1"/>
  <c r="E118" i="9"/>
  <c r="E116" i="9"/>
  <c r="E115" i="9"/>
  <c r="E79" i="9"/>
  <c r="E81" i="9" s="1"/>
  <c r="CC108" i="9"/>
  <c r="CC109" i="9" s="1"/>
  <c r="CC1006" i="1"/>
  <c r="AL614" i="1"/>
  <c r="AL617" i="1"/>
  <c r="CK32" i="9"/>
  <c r="CK417" i="1"/>
  <c r="Q6" i="9"/>
  <c r="Q11" i="9" s="1"/>
  <c r="Q114" i="9"/>
  <c r="Q78" i="9"/>
  <c r="Q116" i="9"/>
  <c r="Q115" i="9"/>
  <c r="Q118" i="9"/>
  <c r="Q79" i="9"/>
  <c r="Q81" i="9" s="1"/>
  <c r="F759" i="1"/>
  <c r="F758" i="1"/>
  <c r="F762" i="1"/>
  <c r="J336" i="11"/>
  <c r="J408" i="11"/>
  <c r="AT5" i="9"/>
  <c r="AT754" i="1"/>
  <c r="BD453" i="1"/>
  <c r="BD455" i="1"/>
  <c r="CC69" i="9"/>
  <c r="CC1043" i="1"/>
  <c r="CC1036" i="1"/>
  <c r="AG6" i="9"/>
  <c r="AG11" i="9" s="1"/>
  <c r="AG114" i="9"/>
  <c r="AG78" i="9"/>
  <c r="AG79" i="9"/>
  <c r="AG81" i="9" s="1"/>
  <c r="AG115" i="9"/>
  <c r="AG116" i="9"/>
  <c r="AG118" i="9"/>
  <c r="AJ539" i="1"/>
  <c r="AJ541" i="1" s="1"/>
  <c r="AV114" i="9"/>
  <c r="AV6" i="9"/>
  <c r="AV11" i="9" s="1"/>
  <c r="AV78" i="9"/>
  <c r="AV115" i="9"/>
  <c r="AV79" i="9"/>
  <c r="AV81" i="9" s="1"/>
  <c r="AV116" i="9"/>
  <c r="AV118" i="9"/>
  <c r="AY2" i="9"/>
  <c r="AY5" i="13"/>
  <c r="AU610" i="1"/>
  <c r="AV568" i="1"/>
  <c r="AV543" i="1"/>
  <c r="AT610" i="1"/>
  <c r="AU568" i="1"/>
  <c r="AU543" i="1"/>
  <c r="AV683" i="1"/>
  <c r="AS568" i="1"/>
  <c r="AS543" i="1"/>
  <c r="AW683" i="1"/>
  <c r="AS610" i="1"/>
  <c r="AU683" i="1"/>
  <c r="AT683" i="1"/>
  <c r="AS683" i="1"/>
  <c r="AV610" i="1"/>
  <c r="AW568" i="1"/>
  <c r="AT568" i="1"/>
  <c r="AW610" i="1"/>
  <c r="AW543" i="1"/>
  <c r="BD5" i="1"/>
  <c r="AT543" i="1"/>
  <c r="AZ5" i="1"/>
  <c r="AU2" i="9"/>
  <c r="AU5" i="13"/>
  <c r="AT593" i="1"/>
  <c r="AS561" i="1"/>
  <c r="AS536" i="1"/>
  <c r="AT655" i="1"/>
  <c r="AT536" i="1"/>
  <c r="AS655" i="1"/>
  <c r="AS593" i="1"/>
  <c r="AT561" i="1"/>
  <c r="AV5" i="1"/>
  <c r="AU1094" i="1" s="1"/>
  <c r="C755" i="1"/>
  <c r="C761" i="1"/>
  <c r="T453" i="1"/>
  <c r="T455" i="1"/>
  <c r="CE69" i="9"/>
  <c r="CE902" i="1"/>
  <c r="CE910" i="1" s="1"/>
  <c r="CE1036" i="1"/>
  <c r="BA13" i="13"/>
  <c r="BA107" i="13" s="1"/>
  <c r="BA755" i="1"/>
  <c r="H6" i="9"/>
  <c r="H11" i="9" s="1"/>
  <c r="H78" i="9"/>
  <c r="H79" i="9"/>
  <c r="H81" i="9" s="1"/>
  <c r="L5" i="9"/>
  <c r="L754" i="1"/>
  <c r="L755" i="1" s="1"/>
  <c r="CH427" i="1"/>
  <c r="CH44" i="9"/>
  <c r="CD69" i="9"/>
  <c r="CD1036" i="1"/>
  <c r="CD902" i="1"/>
  <c r="AW5" i="9"/>
  <c r="AW754" i="1"/>
  <c r="BL13" i="13"/>
  <c r="BL107" i="13" s="1"/>
  <c r="BL755" i="1"/>
  <c r="CG108" i="9"/>
  <c r="CG1006" i="1"/>
  <c r="AZ13" i="13"/>
  <c r="AZ107" i="13" s="1"/>
  <c r="AZ755" i="1"/>
  <c r="G5" i="9"/>
  <c r="G754" i="1"/>
  <c r="G755" i="1" s="1"/>
  <c r="O5" i="9"/>
  <c r="O754" i="1"/>
  <c r="O755" i="1" s="1"/>
  <c r="U5" i="9"/>
  <c r="U754" i="1"/>
  <c r="AK697" i="1"/>
  <c r="AK684" i="1"/>
  <c r="BZ42" i="9"/>
  <c r="BZ860" i="1"/>
  <c r="BZ412" i="1"/>
  <c r="AI2" i="9"/>
  <c r="AI5" i="13"/>
  <c r="AH536" i="1"/>
  <c r="AH593" i="1"/>
  <c r="AJ4" i="13"/>
  <c r="AJ3" i="13"/>
  <c r="V5" i="9"/>
  <c r="V754" i="1"/>
  <c r="V755" i="1" s="1"/>
  <c r="AC114" i="9"/>
  <c r="AC6" i="9"/>
  <c r="AC11" i="9" s="1"/>
  <c r="AC78" i="9"/>
  <c r="AC116" i="9"/>
  <c r="AC115" i="9"/>
  <c r="AC79" i="9"/>
  <c r="AC81" i="9" s="1"/>
  <c r="AC118" i="9"/>
  <c r="AJ697" i="1"/>
  <c r="AJ684" i="1"/>
  <c r="CH8" i="9"/>
  <c r="CH1025" i="1"/>
  <c r="CI737" i="1"/>
  <c r="CI741" i="1" s="1"/>
  <c r="AJ540" i="1"/>
  <c r="CJ855" i="1"/>
  <c r="CJ721" i="1"/>
  <c r="CJ722" i="1" s="1"/>
  <c r="CJ413" i="1"/>
  <c r="CJ421" i="1" s="1"/>
  <c r="CJ44" i="9" s="1"/>
  <c r="CK81" i="1"/>
  <c r="CK80" i="1"/>
  <c r="CC293" i="1"/>
  <c r="CC60" i="9" s="1"/>
  <c r="CC396" i="1"/>
  <c r="BA114" i="9"/>
  <c r="BA6" i="9"/>
  <c r="BA11" i="9" s="1"/>
  <c r="BA78" i="9"/>
  <c r="BA118" i="9"/>
  <c r="BA79" i="9"/>
  <c r="BA81" i="9" s="1"/>
  <c r="BA116" i="9"/>
  <c r="BA115" i="9"/>
  <c r="BY453" i="1"/>
  <c r="BY455" i="1"/>
  <c r="BZ438" i="1" s="1"/>
  <c r="D5" i="9"/>
  <c r="D754" i="1"/>
  <c r="BL114" i="9"/>
  <c r="BL6" i="9"/>
  <c r="BL11" i="9" s="1"/>
  <c r="BL78" i="9"/>
  <c r="BL115" i="9"/>
  <c r="BL79" i="9"/>
  <c r="BL81" i="9" s="1"/>
  <c r="BL116" i="9"/>
  <c r="AN5" i="9"/>
  <c r="AN754" i="1"/>
  <c r="AN755" i="1" s="1"/>
  <c r="CJ385" i="1"/>
  <c r="CJ64" i="1"/>
  <c r="CJ75" i="1"/>
  <c r="F11" i="9"/>
  <c r="F125" i="9"/>
  <c r="W5" i="9"/>
  <c r="W754" i="1"/>
  <c r="W755" i="1" s="1"/>
  <c r="AL697" i="1"/>
  <c r="AL684" i="1"/>
  <c r="AI921" i="1"/>
  <c r="AZ6" i="9"/>
  <c r="AZ11" i="9" s="1"/>
  <c r="AZ114" i="9"/>
  <c r="AZ116" i="9"/>
  <c r="AZ78" i="9"/>
  <c r="AZ115" i="9"/>
  <c r="AZ79" i="9"/>
  <c r="AZ81" i="9" s="1"/>
  <c r="AZ118" i="9"/>
  <c r="K217" i="11"/>
  <c r="K222" i="11"/>
  <c r="AJ453" i="1"/>
  <c r="AJ455" i="1"/>
  <c r="AK695" i="1"/>
  <c r="AK696" i="1" s="1"/>
  <c r="AK685" i="1"/>
  <c r="AK698" i="1"/>
  <c r="BJ5" i="9"/>
  <c r="BJ754" i="1"/>
  <c r="AH3" i="13"/>
  <c r="AH4" i="13"/>
  <c r="N6" i="9"/>
  <c r="N11" i="9" s="1"/>
  <c r="N114" i="9"/>
  <c r="N118" i="9"/>
  <c r="N116" i="9"/>
  <c r="N78" i="9"/>
  <c r="N115" i="9"/>
  <c r="N79" i="9"/>
  <c r="N81" i="9" s="1"/>
  <c r="AJ596" i="1"/>
  <c r="AJ599" i="1"/>
  <c r="AK538" i="1"/>
  <c r="AK537" i="1"/>
  <c r="AK669" i="1"/>
  <c r="AK668" i="1"/>
  <c r="AK595" i="1"/>
  <c r="AK594" i="1"/>
  <c r="CK35" i="9"/>
  <c r="CK386" i="1"/>
  <c r="CK280" i="1" s="1"/>
  <c r="CK290" i="1"/>
  <c r="CK58" i="9" s="1"/>
  <c r="AI597" i="1"/>
  <c r="AI603" i="1"/>
  <c r="AJ603" i="1" s="1"/>
  <c r="AI600" i="1"/>
  <c r="BX452" i="1"/>
  <c r="BW453" i="1"/>
  <c r="BW455" i="1"/>
  <c r="AO693" i="1"/>
  <c r="AO611" i="1"/>
  <c r="C6" i="9"/>
  <c r="C78" i="9"/>
  <c r="C124" i="9" s="1"/>
  <c r="C79" i="9"/>
  <c r="C81" i="9" s="1"/>
  <c r="AV915" i="1"/>
  <c r="AV916" i="1" s="1"/>
  <c r="AU921" i="1"/>
  <c r="R6" i="9"/>
  <c r="R11" i="9" s="1"/>
  <c r="R114" i="9"/>
  <c r="R116" i="9"/>
  <c r="R78" i="9"/>
  <c r="R115" i="9"/>
  <c r="R79" i="9"/>
  <c r="R81" i="9" s="1"/>
  <c r="R118" i="9"/>
  <c r="AN694" i="1"/>
  <c r="AN693" i="1"/>
  <c r="AN612" i="1"/>
  <c r="AN611" i="1"/>
  <c r="BQ5" i="9"/>
  <c r="BQ754" i="1"/>
  <c r="AI673" i="1"/>
  <c r="AJ673" i="1" s="1"/>
  <c r="AI670" i="1"/>
  <c r="AI671" i="1" s="1"/>
  <c r="AI657" i="1"/>
  <c r="AI676" i="1"/>
  <c r="AJ676" i="1" s="1"/>
  <c r="AF5" i="9"/>
  <c r="AF754" i="1"/>
  <c r="AF755" i="1" s="1"/>
  <c r="P4" i="11"/>
  <c r="O3" i="11"/>
  <c r="O449" i="11" s="1"/>
  <c r="AM616" i="1"/>
  <c r="AM613" i="1"/>
  <c r="AM615" i="1" s="1"/>
  <c r="Y6" i="9"/>
  <c r="Y11" i="9" s="1"/>
  <c r="Y114" i="9"/>
  <c r="Y78" i="9"/>
  <c r="Y79" i="9"/>
  <c r="Y81" i="9" s="1"/>
  <c r="Y118" i="9"/>
  <c r="Y116" i="9"/>
  <c r="Y115" i="9"/>
  <c r="CF444" i="1"/>
  <c r="CF436" i="1" s="1"/>
  <c r="CF714" i="1" s="1"/>
  <c r="CE449" i="1"/>
  <c r="CE450" i="1"/>
  <c r="CE452" i="1"/>
  <c r="CE455" i="1" s="1"/>
  <c r="CF447" i="1"/>
  <c r="CE98" i="9"/>
  <c r="CE108" i="9"/>
  <c r="CE1006" i="1"/>
  <c r="BV5" i="9"/>
  <c r="BV754" i="1"/>
  <c r="CF403" i="1"/>
  <c r="CK385" i="1"/>
  <c r="CK64" i="1"/>
  <c r="CK75" i="1"/>
  <c r="CG98" i="9"/>
  <c r="AL695" i="1"/>
  <c r="AL685" i="1"/>
  <c r="AL698" i="1"/>
  <c r="AE333" i="11"/>
  <c r="AE334" i="11" s="1"/>
  <c r="AA333" i="11"/>
  <c r="AA334" i="11" s="1"/>
  <c r="Z336" i="11"/>
  <c r="CJ81" i="1"/>
  <c r="CJ82" i="1" s="1"/>
  <c r="CJ80" i="1"/>
  <c r="CK129" i="1"/>
  <c r="CH635" i="1"/>
  <c r="CH636" i="1" s="1"/>
  <c r="CH637" i="1" s="1"/>
  <c r="CH394" i="1"/>
  <c r="CH285" i="1"/>
  <c r="AJ614" i="1"/>
  <c r="AJ617" i="1"/>
  <c r="AJ600" i="1"/>
  <c r="AJ598" i="1"/>
  <c r="AJ597" i="1"/>
  <c r="AH689" i="1"/>
  <c r="AH686" i="1"/>
  <c r="N360" i="10"/>
  <c r="N353" i="10"/>
  <c r="N366" i="10"/>
  <c r="N359" i="10"/>
  <c r="N351" i="10"/>
  <c r="N330" i="10"/>
  <c r="N336" i="10"/>
  <c r="N363" i="10"/>
  <c r="N334" i="10"/>
  <c r="N323" i="10"/>
  <c r="N324" i="10"/>
  <c r="N327" i="10"/>
  <c r="N329" i="10"/>
  <c r="N326" i="10"/>
  <c r="N341" i="10"/>
  <c r="N350" i="10"/>
  <c r="N322" i="10"/>
  <c r="N358" i="10"/>
  <c r="N338" i="10"/>
  <c r="N347" i="10"/>
  <c r="N354" i="10"/>
  <c r="N365" i="10"/>
  <c r="N362" i="10"/>
  <c r="N339" i="10"/>
  <c r="N346" i="10"/>
  <c r="N335" i="10"/>
  <c r="N342" i="10"/>
  <c r="N348" i="10"/>
  <c r="AT1111" i="1" l="1"/>
  <c r="AT1118" i="1"/>
  <c r="AT1116" i="1"/>
  <c r="AT1123" i="1"/>
  <c r="AT1119" i="1"/>
  <c r="AT1114" i="1"/>
  <c r="AT1115" i="1"/>
  <c r="AT1122" i="1"/>
  <c r="AT1120" i="1"/>
  <c r="AT1113" i="1"/>
  <c r="AT1117" i="1"/>
  <c r="AT1121" i="1"/>
  <c r="AT1124" i="1"/>
  <c r="BC13" i="13"/>
  <c r="BC107" i="13" s="1"/>
  <c r="BC755" i="1"/>
  <c r="BK118" i="9"/>
  <c r="BK78" i="9"/>
  <c r="BK115" i="9"/>
  <c r="BK79" i="9"/>
  <c r="BK81" i="9" s="1"/>
  <c r="BK114" i="9"/>
  <c r="BK116" i="9"/>
  <c r="BK6" i="9"/>
  <c r="BK11" i="9" s="1"/>
  <c r="AQ1096" i="1"/>
  <c r="AQ1097" i="1"/>
  <c r="AQ1104" i="1"/>
  <c r="AQ1105" i="1"/>
  <c r="AQ1101" i="1"/>
  <c r="AQ1095" i="1"/>
  <c r="AQ1098" i="1"/>
  <c r="AQ1103" i="1"/>
  <c r="AQ1100" i="1"/>
  <c r="AQ1102" i="1"/>
  <c r="AQ1106" i="1"/>
  <c r="AQ1099" i="1"/>
  <c r="CE109" i="9"/>
  <c r="AS1111" i="1"/>
  <c r="AS1116" i="1"/>
  <c r="AS1122" i="1"/>
  <c r="AS1114" i="1"/>
  <c r="AS1121" i="1"/>
  <c r="AS1123" i="1"/>
  <c r="AS1124" i="1"/>
  <c r="AS1115" i="1"/>
  <c r="AS1113" i="1"/>
  <c r="AS1120" i="1"/>
  <c r="AS1119" i="1"/>
  <c r="AS1117" i="1"/>
  <c r="AS1118" i="1"/>
  <c r="AU13" i="13"/>
  <c r="AU107" i="13" s="1"/>
  <c r="AU755" i="1"/>
  <c r="BK755" i="1"/>
  <c r="BK13" i="13"/>
  <c r="BK107" i="13" s="1"/>
  <c r="CK1170" i="1"/>
  <c r="AU1101" i="1"/>
  <c r="AU1106" i="1"/>
  <c r="AU1097" i="1"/>
  <c r="AU1100" i="1"/>
  <c r="AU1096" i="1"/>
  <c r="AU1104" i="1"/>
  <c r="AU1099" i="1"/>
  <c r="AU1098" i="1"/>
  <c r="AU1105" i="1"/>
  <c r="AU1095" i="1"/>
  <c r="AU1103" i="1"/>
  <c r="AU1102" i="1"/>
  <c r="AM1097" i="1"/>
  <c r="AM1105" i="1"/>
  <c r="AM1095" i="1"/>
  <c r="AM1104" i="1"/>
  <c r="AM1099" i="1"/>
  <c r="AM1101" i="1"/>
  <c r="AM1098" i="1"/>
  <c r="AM1106" i="1"/>
  <c r="AM1096" i="1"/>
  <c r="AM1103" i="1"/>
  <c r="AM1100" i="1"/>
  <c r="AM1102" i="1"/>
  <c r="AW1117" i="1"/>
  <c r="AW1124" i="1"/>
  <c r="AW1114" i="1"/>
  <c r="AW1119" i="1"/>
  <c r="AW1123" i="1"/>
  <c r="AW1118" i="1"/>
  <c r="AW1122" i="1"/>
  <c r="AW1121" i="1"/>
  <c r="AW1116" i="1"/>
  <c r="AW1120" i="1"/>
  <c r="AW1113" i="1"/>
  <c r="AW1115" i="1"/>
  <c r="AU6" i="9"/>
  <c r="AU11" i="9" s="1"/>
  <c r="AU114" i="9"/>
  <c r="AU78" i="9"/>
  <c r="AU116" i="9"/>
  <c r="AU118" i="9"/>
  <c r="AU115" i="9"/>
  <c r="AU79" i="9"/>
  <c r="AU81" i="9" s="1"/>
  <c r="AV1111" i="1"/>
  <c r="AV1115" i="1"/>
  <c r="AV1116" i="1"/>
  <c r="AV1117" i="1"/>
  <c r="AV1113" i="1"/>
  <c r="AV1120" i="1"/>
  <c r="AV1124" i="1"/>
  <c r="AV1118" i="1"/>
  <c r="AV1114" i="1"/>
  <c r="AV1119" i="1"/>
  <c r="AV1121" i="1"/>
  <c r="AV1123" i="1"/>
  <c r="AV1122" i="1"/>
  <c r="AU1111" i="1"/>
  <c r="AU1114" i="1"/>
  <c r="AU1118" i="1"/>
  <c r="AU1120" i="1"/>
  <c r="AU1122" i="1"/>
  <c r="AU1119" i="1"/>
  <c r="AU1124" i="1"/>
  <c r="AU1121" i="1"/>
  <c r="AU1123" i="1"/>
  <c r="AU1116" i="1"/>
  <c r="AU1113" i="1"/>
  <c r="AU1117" i="1"/>
  <c r="AU1115" i="1"/>
  <c r="AX1094" i="1"/>
  <c r="AY1094" i="1"/>
  <c r="AP3" i="13"/>
  <c r="AT1095" i="1"/>
  <c r="AT1103" i="1"/>
  <c r="AT1104" i="1"/>
  <c r="AT1099" i="1"/>
  <c r="AT1101" i="1"/>
  <c r="AT537" i="1" s="1"/>
  <c r="AT1106" i="1"/>
  <c r="AT1102" i="1"/>
  <c r="AT1096" i="1"/>
  <c r="AT1105" i="1"/>
  <c r="AT1098" i="1"/>
  <c r="AT668" i="1" s="1"/>
  <c r="AT656" i="1" s="1"/>
  <c r="AT1100" i="1"/>
  <c r="AT1097" i="1"/>
  <c r="AP4" i="13"/>
  <c r="AX1112" i="1"/>
  <c r="AW1111" i="1" s="1"/>
  <c r="AY1112" i="1"/>
  <c r="BA1112" i="1"/>
  <c r="BB1112" i="1"/>
  <c r="AZ1112" i="1"/>
  <c r="AJ658" i="1"/>
  <c r="AS1100" i="1"/>
  <c r="AS1106" i="1"/>
  <c r="AS1097" i="1"/>
  <c r="AS1101" i="1"/>
  <c r="AS537" i="1" s="1"/>
  <c r="AS1104" i="1"/>
  <c r="AS1098" i="1"/>
  <c r="AS1095" i="1"/>
  <c r="AS594" i="1" s="1"/>
  <c r="AS1096" i="1"/>
  <c r="AS595" i="1" s="1"/>
  <c r="AS1105" i="1"/>
  <c r="AS1102" i="1"/>
  <c r="AS538" i="1" s="1"/>
  <c r="AS1099" i="1"/>
  <c r="AS669" i="1" s="1"/>
  <c r="AS1103" i="1"/>
  <c r="BC118" i="9"/>
  <c r="BC79" i="9"/>
  <c r="BC81" i="9" s="1"/>
  <c r="BC6" i="9"/>
  <c r="BC11" i="9" s="1"/>
  <c r="BC114" i="9"/>
  <c r="BC116" i="9"/>
  <c r="BC115" i="9"/>
  <c r="BC78" i="9"/>
  <c r="AJ615" i="1"/>
  <c r="Q359" i="10"/>
  <c r="P359" i="10"/>
  <c r="P348" i="10"/>
  <c r="Q348" i="10"/>
  <c r="Q341" i="10"/>
  <c r="P341" i="10"/>
  <c r="Q324" i="10"/>
  <c r="P324" i="10"/>
  <c r="Q365" i="10"/>
  <c r="P365" i="10"/>
  <c r="Q354" i="10"/>
  <c r="P354" i="10"/>
  <c r="Q338" i="10"/>
  <c r="P338" i="10"/>
  <c r="Q330" i="10"/>
  <c r="P330" i="10"/>
  <c r="P366" i="10"/>
  <c r="Q366" i="10"/>
  <c r="P350" i="10"/>
  <c r="Q350" i="10"/>
  <c r="P326" i="10"/>
  <c r="Q326" i="10"/>
  <c r="P346" i="10"/>
  <c r="Q346" i="10"/>
  <c r="P323" i="10"/>
  <c r="Q323" i="10"/>
  <c r="Q363" i="10"/>
  <c r="P363" i="10"/>
  <c r="Q358" i="10"/>
  <c r="P358" i="10"/>
  <c r="Q336" i="10"/>
  <c r="P336" i="10"/>
  <c r="P353" i="10"/>
  <c r="Q353" i="10"/>
  <c r="P342" i="10"/>
  <c r="Q342" i="10"/>
  <c r="P329" i="10"/>
  <c r="Q329" i="10"/>
  <c r="Q339" i="10"/>
  <c r="P339" i="10"/>
  <c r="Q334" i="10"/>
  <c r="P334" i="10"/>
  <c r="P347" i="10"/>
  <c r="Q347" i="10"/>
  <c r="Q322" i="10"/>
  <c r="P322" i="10"/>
  <c r="Q351" i="10"/>
  <c r="P351" i="10"/>
  <c r="P360" i="10"/>
  <c r="Q360" i="10"/>
  <c r="Q335" i="10"/>
  <c r="P335" i="10"/>
  <c r="Q327" i="10"/>
  <c r="P327" i="10"/>
  <c r="Q362" i="10"/>
  <c r="P362" i="10"/>
  <c r="CE5" i="9"/>
  <c r="CE754" i="1"/>
  <c r="AJ666" i="1"/>
  <c r="AJ663" i="1"/>
  <c r="BZ48" i="9"/>
  <c r="BZ433" i="1"/>
  <c r="BZ53" i="9" s="1"/>
  <c r="BZ82" i="9" s="1"/>
  <c r="AN617" i="1"/>
  <c r="AN614" i="1"/>
  <c r="BX455" i="1"/>
  <c r="BX453" i="1"/>
  <c r="AK602" i="1"/>
  <c r="AK596" i="1"/>
  <c r="AK598" i="1" s="1"/>
  <c r="AK599" i="1"/>
  <c r="BJ6" i="9"/>
  <c r="BJ11" i="9" s="1"/>
  <c r="BJ114" i="9"/>
  <c r="BJ116" i="9"/>
  <c r="BJ78" i="9"/>
  <c r="BJ118" i="9"/>
  <c r="BJ115" i="9"/>
  <c r="BJ79" i="9"/>
  <c r="BJ81" i="9" s="1"/>
  <c r="K220" i="11"/>
  <c r="K223" i="11"/>
  <c r="V6" i="9"/>
  <c r="V11" i="9" s="1"/>
  <c r="V114" i="9"/>
  <c r="V78" i="9"/>
  <c r="V79" i="9"/>
  <c r="V81" i="9" s="1"/>
  <c r="V115" i="9"/>
  <c r="V118" i="9"/>
  <c r="V116" i="9"/>
  <c r="AV2" i="9"/>
  <c r="AV5" i="13"/>
  <c r="AU561" i="1"/>
  <c r="AU536" i="1"/>
  <c r="AU655" i="1"/>
  <c r="AU593" i="1"/>
  <c r="AW5" i="1"/>
  <c r="AV1094" i="1" s="1"/>
  <c r="AS612" i="1"/>
  <c r="AS693" i="1"/>
  <c r="AS694" i="1"/>
  <c r="AS611" i="1"/>
  <c r="AT13" i="13"/>
  <c r="AT107" i="13" s="1"/>
  <c r="AT755" i="1"/>
  <c r="AT761" i="1"/>
  <c r="AY6" i="9"/>
  <c r="AY114" i="9"/>
  <c r="AY115" i="9"/>
  <c r="AY78" i="9"/>
  <c r="AY124" i="9" s="1"/>
  <c r="AY116" i="9"/>
  <c r="AY79" i="9"/>
  <c r="AY81" i="9" s="1"/>
  <c r="AY118" i="9"/>
  <c r="CI48" i="1"/>
  <c r="CI49" i="1" s="1"/>
  <c r="CI47" i="1"/>
  <c r="CI45" i="1"/>
  <c r="AK114" i="1"/>
  <c r="AK532" i="1"/>
  <c r="AK533" i="1" s="1"/>
  <c r="CH403" i="1"/>
  <c r="AQ698" i="1"/>
  <c r="AQ685" i="1"/>
  <c r="AQ695" i="1"/>
  <c r="AQ696" i="1" s="1"/>
  <c r="K755" i="1"/>
  <c r="K761" i="1"/>
  <c r="AN540" i="1"/>
  <c r="AN603" i="1"/>
  <c r="AO603" i="1" s="1"/>
  <c r="AN597" i="1"/>
  <c r="AN600" i="1"/>
  <c r="T915" i="1"/>
  <c r="T916" i="1" s="1"/>
  <c r="S1031" i="1"/>
  <c r="S921" i="1"/>
  <c r="AM699" i="1"/>
  <c r="AO649" i="1"/>
  <c r="AP617" i="1"/>
  <c r="AP614" i="1"/>
  <c r="AK600" i="1"/>
  <c r="AK603" i="1"/>
  <c r="AK597" i="1"/>
  <c r="CJ65" i="1"/>
  <c r="CJ66" i="1"/>
  <c r="CJ67" i="1" s="1"/>
  <c r="CI403" i="1"/>
  <c r="BZ428" i="1"/>
  <c r="O6" i="9"/>
  <c r="O11" i="9" s="1"/>
  <c r="O114" i="9"/>
  <c r="O78" i="9"/>
  <c r="O79" i="9"/>
  <c r="O81" i="9" s="1"/>
  <c r="O118" i="9"/>
  <c r="O116" i="9"/>
  <c r="O115" i="9"/>
  <c r="AS668" i="1"/>
  <c r="BD5" i="13"/>
  <c r="BD2" i="9"/>
  <c r="AY683" i="1"/>
  <c r="AX683" i="1"/>
  <c r="BB610" i="1"/>
  <c r="AZ610" i="1"/>
  <c r="BA568" i="1"/>
  <c r="BA543" i="1"/>
  <c r="BB543" i="1"/>
  <c r="BB568" i="1"/>
  <c r="AZ543" i="1"/>
  <c r="AZ568" i="1"/>
  <c r="AY543" i="1"/>
  <c r="BA610" i="1"/>
  <c r="AY568" i="1"/>
  <c r="AX543" i="1"/>
  <c r="BB683" i="1"/>
  <c r="AZ683" i="1"/>
  <c r="AX568" i="1"/>
  <c r="AX610" i="1"/>
  <c r="BA683" i="1"/>
  <c r="BE5" i="1"/>
  <c r="AY610" i="1"/>
  <c r="BI5" i="1"/>
  <c r="AT694" i="1"/>
  <c r="AT693" i="1"/>
  <c r="AT612" i="1"/>
  <c r="AT611" i="1"/>
  <c r="AT6" i="9"/>
  <c r="AT114" i="9"/>
  <c r="AT115" i="9"/>
  <c r="AT116" i="9"/>
  <c r="AT78" i="9"/>
  <c r="AT124" i="9" s="1"/>
  <c r="AT79" i="9"/>
  <c r="AT81" i="9" s="1"/>
  <c r="AT118" i="9"/>
  <c r="CD114" i="9"/>
  <c r="CD6" i="9"/>
  <c r="CI108" i="1"/>
  <c r="CI109" i="1"/>
  <c r="CI111" i="1" s="1"/>
  <c r="BP13" i="13"/>
  <c r="BP107" i="13" s="1"/>
  <c r="BP755" i="1"/>
  <c r="AL538" i="1"/>
  <c r="AL537" i="1"/>
  <c r="AL669" i="1"/>
  <c r="AL668" i="1"/>
  <c r="AL595" i="1"/>
  <c r="AL594" i="1"/>
  <c r="CA119" i="1"/>
  <c r="AS915" i="1"/>
  <c r="AS916" i="1" s="1"/>
  <c r="AR921" i="1"/>
  <c r="W336" i="11"/>
  <c r="X333" i="11"/>
  <c r="X334" i="11" s="1"/>
  <c r="AO599" i="1"/>
  <c r="AO596" i="1"/>
  <c r="AO598" i="1" s="1"/>
  <c r="K6" i="9"/>
  <c r="K114" i="9"/>
  <c r="K115" i="9"/>
  <c r="K78" i="9"/>
  <c r="K124" i="9" s="1"/>
  <c r="K79" i="9"/>
  <c r="K81" i="9" s="1"/>
  <c r="K116" i="9"/>
  <c r="K118" i="9"/>
  <c r="CB924" i="1"/>
  <c r="CA927" i="1"/>
  <c r="AN676" i="1"/>
  <c r="AO676" i="1" s="1"/>
  <c r="AN673" i="1"/>
  <c r="AO673" i="1" s="1"/>
  <c r="AN657" i="1"/>
  <c r="AN670" i="1"/>
  <c r="AN671" i="1" s="1"/>
  <c r="AO613" i="1"/>
  <c r="AO618" i="1" s="1"/>
  <c r="AO616" i="1"/>
  <c r="AO617" i="1"/>
  <c r="AO614" i="1"/>
  <c r="AL686" i="1"/>
  <c r="AL688" i="1" s="1"/>
  <c r="AL689" i="1"/>
  <c r="CJ34" i="9"/>
  <c r="CJ381" i="1"/>
  <c r="CJ281" i="1" s="1"/>
  <c r="CJ291" i="1"/>
  <c r="CJ57" i="9" s="1"/>
  <c r="CK82" i="1"/>
  <c r="BZ979" i="1"/>
  <c r="AT538" i="1"/>
  <c r="AT669" i="1"/>
  <c r="AT595" i="1"/>
  <c r="AT594" i="1"/>
  <c r="AI689" i="1"/>
  <c r="AI686" i="1"/>
  <c r="AI688" i="1" s="1"/>
  <c r="AI541" i="1"/>
  <c r="CI635" i="1"/>
  <c r="CI394" i="1"/>
  <c r="CI374" i="1"/>
  <c r="CI285" i="1"/>
  <c r="BP6" i="9"/>
  <c r="BP11" i="9" s="1"/>
  <c r="BP114" i="9"/>
  <c r="BP78" i="9"/>
  <c r="BP79" i="9"/>
  <c r="BP81" i="9" s="1"/>
  <c r="BP116" i="9"/>
  <c r="BP118" i="9"/>
  <c r="BP115" i="9"/>
  <c r="AM3" i="13"/>
  <c r="AM4" i="13"/>
  <c r="AE755" i="1"/>
  <c r="AE761" i="1"/>
  <c r="AR697" i="1"/>
  <c r="AR684" i="1"/>
  <c r="AI843" i="1"/>
  <c r="AH844" i="1"/>
  <c r="AH1031" i="1" s="1"/>
  <c r="AN539" i="1"/>
  <c r="AP526" i="1" s="1"/>
  <c r="AP530" i="1" s="1"/>
  <c r="AR5" i="13"/>
  <c r="AR2" i="9"/>
  <c r="AQ593" i="1"/>
  <c r="AQ536" i="1"/>
  <c r="AQ655" i="1"/>
  <c r="AS5" i="1"/>
  <c r="AR1094" i="1" s="1"/>
  <c r="AP684" i="1"/>
  <c r="AP697" i="1"/>
  <c r="BZ431" i="1"/>
  <c r="BZ424" i="1"/>
  <c r="AL690" i="1"/>
  <c r="AL687" i="1"/>
  <c r="BV13" i="13"/>
  <c r="BV107" i="13" s="1"/>
  <c r="BV755" i="1"/>
  <c r="AL699" i="1"/>
  <c r="AO648" i="1"/>
  <c r="BV6" i="9"/>
  <c r="BV11" i="9" s="1"/>
  <c r="BV114" i="9"/>
  <c r="BV78" i="9"/>
  <c r="BV115" i="9"/>
  <c r="BV79" i="9"/>
  <c r="BV81" i="9" s="1"/>
  <c r="BV118" i="9"/>
  <c r="BV116" i="9"/>
  <c r="P228" i="11"/>
  <c r="Q4" i="11"/>
  <c r="P3" i="11"/>
  <c r="P449" i="11" s="1"/>
  <c r="AI662" i="1"/>
  <c r="AI659" i="1"/>
  <c r="AI665" i="1"/>
  <c r="AJ665" i="1" s="1"/>
  <c r="AN697" i="1"/>
  <c r="AN684" i="1"/>
  <c r="AH691" i="1"/>
  <c r="AJ633" i="1"/>
  <c r="AJ634" i="1" s="1"/>
  <c r="CH56" i="9"/>
  <c r="CH286" i="1"/>
  <c r="CK65" i="1"/>
  <c r="CK66" i="1"/>
  <c r="CK67" i="1" s="1"/>
  <c r="AK675" i="1"/>
  <c r="AK656" i="1"/>
  <c r="AK672" i="1"/>
  <c r="AK687" i="1"/>
  <c r="AK690" i="1"/>
  <c r="D755" i="1"/>
  <c r="D761" i="1"/>
  <c r="CI8" i="9"/>
  <c r="CI1025" i="1"/>
  <c r="CJ737" i="1"/>
  <c r="CJ741" i="1" s="1"/>
  <c r="CI735" i="1"/>
  <c r="CI996" i="1" s="1"/>
  <c r="G6" i="9"/>
  <c r="G11" i="9" s="1"/>
  <c r="G78" i="9"/>
  <c r="G79" i="9"/>
  <c r="G81" i="9" s="1"/>
  <c r="AW13" i="13"/>
  <c r="AW107" i="13" s="1"/>
  <c r="AW755" i="1"/>
  <c r="L114" i="9"/>
  <c r="L6" i="9"/>
  <c r="L11" i="9" s="1"/>
  <c r="L78" i="9"/>
  <c r="L116" i="9"/>
  <c r="L115" i="9"/>
  <c r="L79" i="9"/>
  <c r="L81" i="9" s="1"/>
  <c r="AU4" i="13"/>
  <c r="E11" i="9"/>
  <c r="E125" i="9"/>
  <c r="AA5" i="9"/>
  <c r="AA754" i="1"/>
  <c r="AA755" i="1" s="1"/>
  <c r="CH955" i="1"/>
  <c r="CI950" i="1"/>
  <c r="CJ950" i="1" s="1"/>
  <c r="CK950" i="1" s="1"/>
  <c r="E759" i="1"/>
  <c r="E758" i="1"/>
  <c r="E762" i="1"/>
  <c r="AH688" i="1"/>
  <c r="AE6" i="9"/>
  <c r="AE114" i="9"/>
  <c r="AE115" i="9"/>
  <c r="AE78" i="9"/>
  <c r="AE124" i="9" s="1"/>
  <c r="AE118" i="9"/>
  <c r="AE79" i="9"/>
  <c r="AE81" i="9" s="1"/>
  <c r="AE116" i="9"/>
  <c r="O336" i="11"/>
  <c r="O408" i="11"/>
  <c r="AR695" i="1"/>
  <c r="AR696" i="1" s="1"/>
  <c r="AR698" i="1"/>
  <c r="AR685" i="1"/>
  <c r="AR614" i="1"/>
  <c r="AR617" i="1"/>
  <c r="AO755" i="1"/>
  <c r="AO761" i="1"/>
  <c r="CF1011" i="1"/>
  <c r="CF109" i="9"/>
  <c r="AN599" i="1"/>
  <c r="AN596" i="1"/>
  <c r="AN602" i="1"/>
  <c r="AO602" i="1" s="1"/>
  <c r="AP698" i="1"/>
  <c r="AP685" i="1"/>
  <c r="AP695" i="1"/>
  <c r="AP696" i="1" s="1"/>
  <c r="AB333" i="11"/>
  <c r="AB334" i="11" s="1"/>
  <c r="AA336" i="11"/>
  <c r="AN698" i="1"/>
  <c r="AN685" i="1"/>
  <c r="AN695" i="1"/>
  <c r="AW915" i="1"/>
  <c r="AW916" i="1" s="1"/>
  <c r="AV921" i="1"/>
  <c r="CH396" i="1"/>
  <c r="CH293" i="1"/>
  <c r="CH60" i="9" s="1"/>
  <c r="AE336" i="11"/>
  <c r="AJ333" i="11"/>
  <c r="AJ334" i="11" s="1"/>
  <c r="AF333" i="11"/>
  <c r="AF334" i="11" s="1"/>
  <c r="CK34" i="9"/>
  <c r="CK291" i="1"/>
  <c r="CK57" i="9" s="1"/>
  <c r="CK381" i="1"/>
  <c r="CK281" i="1" s="1"/>
  <c r="CF452" i="1"/>
  <c r="CF455" i="1" s="1"/>
  <c r="CG444" i="1"/>
  <c r="CG436" i="1" s="1"/>
  <c r="CF449" i="1"/>
  <c r="CF450" i="1"/>
  <c r="CG447" i="1"/>
  <c r="AM626" i="1"/>
  <c r="AM618" i="1"/>
  <c r="AO579" i="1"/>
  <c r="AM623" i="1"/>
  <c r="AM622" i="1"/>
  <c r="BQ13" i="13"/>
  <c r="BQ107" i="13" s="1"/>
  <c r="BQ755" i="1"/>
  <c r="AO697" i="1"/>
  <c r="AO684" i="1"/>
  <c r="AK673" i="1"/>
  <c r="AK671" i="1"/>
  <c r="AK657" i="1"/>
  <c r="AK676" i="1"/>
  <c r="AK670" i="1"/>
  <c r="AO647" i="1"/>
  <c r="AK699" i="1"/>
  <c r="AN6" i="9"/>
  <c r="AN11" i="9" s="1"/>
  <c r="AN114" i="9"/>
  <c r="AN78" i="9"/>
  <c r="AN116" i="9"/>
  <c r="AN115" i="9"/>
  <c r="AN79" i="9"/>
  <c r="AN81" i="9" s="1"/>
  <c r="AN118" i="9"/>
  <c r="D6" i="9"/>
  <c r="D114" i="9"/>
  <c r="D78" i="9"/>
  <c r="D124" i="9" s="1"/>
  <c r="D116" i="9"/>
  <c r="D115" i="9"/>
  <c r="D79" i="9"/>
  <c r="D81" i="9" s="1"/>
  <c r="AK689" i="1"/>
  <c r="AK686" i="1"/>
  <c r="AK688" i="1" s="1"/>
  <c r="AW6" i="9"/>
  <c r="AW11" i="9" s="1"/>
  <c r="AW114" i="9"/>
  <c r="AW78" i="9"/>
  <c r="AW79" i="9"/>
  <c r="AW81" i="9" s="1"/>
  <c r="AW118" i="9"/>
  <c r="AW116" i="9"/>
  <c r="AW115" i="9"/>
  <c r="T5" i="9"/>
  <c r="T754" i="1"/>
  <c r="T755" i="1" s="1"/>
  <c r="BA915" i="1"/>
  <c r="BA916" i="1" s="1"/>
  <c r="AZ921" i="1"/>
  <c r="CC1035" i="1"/>
  <c r="CH108" i="9"/>
  <c r="CH109" i="9" s="1"/>
  <c r="CH1006" i="1"/>
  <c r="BM5" i="9"/>
  <c r="BM754" i="1"/>
  <c r="AJ607" i="1"/>
  <c r="AI607" i="1"/>
  <c r="AJ580" i="1"/>
  <c r="AJ606" i="1"/>
  <c r="AI606" i="1"/>
  <c r="AK622" i="1"/>
  <c r="AO577" i="1"/>
  <c r="AK618" i="1"/>
  <c r="AK626" i="1"/>
  <c r="AK623" i="1"/>
  <c r="AB6" i="9"/>
  <c r="AB11" i="9" s="1"/>
  <c r="AB114" i="9"/>
  <c r="AB78" i="9"/>
  <c r="AB115" i="9"/>
  <c r="AB116" i="9"/>
  <c r="AB79" i="9"/>
  <c r="AB81" i="9" s="1"/>
  <c r="AB118" i="9"/>
  <c r="AN921" i="1"/>
  <c r="S336" i="11"/>
  <c r="T333" i="11"/>
  <c r="T334" i="11" s="1"/>
  <c r="AO6" i="9"/>
  <c r="AO114" i="9"/>
  <c r="AO78" i="9"/>
  <c r="AO124" i="9" s="1"/>
  <c r="AO115" i="9"/>
  <c r="AO79" i="9"/>
  <c r="AO81" i="9" s="1"/>
  <c r="AO116" i="9"/>
  <c r="AO118" i="9"/>
  <c r="AO539" i="1"/>
  <c r="AO541" i="1" s="1"/>
  <c r="AO576" i="1"/>
  <c r="AI618" i="1"/>
  <c r="AK625" i="1"/>
  <c r="AQ617" i="1"/>
  <c r="AQ614" i="1"/>
  <c r="AM686" i="1"/>
  <c r="AM688" i="1" s="1"/>
  <c r="AM689" i="1"/>
  <c r="AX13" i="13"/>
  <c r="AX107" i="13" s="1"/>
  <c r="AX755" i="1"/>
  <c r="Z5" i="9"/>
  <c r="Z754" i="1"/>
  <c r="AI664" i="1"/>
  <c r="AJ664" i="1" s="1"/>
  <c r="AI658" i="1"/>
  <c r="AI660" i="1" s="1"/>
  <c r="AI661" i="1"/>
  <c r="BZ130" i="9"/>
  <c r="BZ92" i="9"/>
  <c r="BZ93" i="9" s="1"/>
  <c r="BZ116" i="9"/>
  <c r="CF69" i="9"/>
  <c r="CF1036" i="1"/>
  <c r="CF902" i="1"/>
  <c r="CF910" i="1" s="1"/>
  <c r="AK646" i="1"/>
  <c r="AK650" i="1" s="1"/>
  <c r="AI677" i="1"/>
  <c r="AJ677" i="1" s="1"/>
  <c r="AI674" i="1"/>
  <c r="AJ674" i="1" s="1"/>
  <c r="AO698" i="1"/>
  <c r="AO685" i="1"/>
  <c r="AO695" i="1"/>
  <c r="AO699" i="1" s="1"/>
  <c r="AJ604" i="1"/>
  <c r="AJ601" i="1"/>
  <c r="AJ5" i="9"/>
  <c r="AJ754" i="1"/>
  <c r="W6" i="9"/>
  <c r="W11" i="9" s="1"/>
  <c r="W114" i="9"/>
  <c r="W115" i="9"/>
  <c r="W116" i="9"/>
  <c r="W78" i="9"/>
  <c r="W118" i="9"/>
  <c r="W79" i="9"/>
  <c r="W81" i="9" s="1"/>
  <c r="BY5" i="9"/>
  <c r="BY754" i="1"/>
  <c r="AI3" i="13"/>
  <c r="AI4" i="13"/>
  <c r="CD910" i="1"/>
  <c r="AW694" i="1"/>
  <c r="AW693" i="1"/>
  <c r="AW612" i="1"/>
  <c r="AW611" i="1"/>
  <c r="X114" i="9"/>
  <c r="X6" i="9"/>
  <c r="X11" i="9" s="1"/>
  <c r="X78" i="9"/>
  <c r="X115" i="9"/>
  <c r="X118" i="9"/>
  <c r="X79" i="9"/>
  <c r="X81" i="9" s="1"/>
  <c r="X116" i="9"/>
  <c r="T283" i="11"/>
  <c r="S284" i="11"/>
  <c r="S408" i="11" s="1"/>
  <c r="AL626" i="1"/>
  <c r="AL618" i="1"/>
  <c r="AO578" i="1"/>
  <c r="AL623" i="1"/>
  <c r="AL622" i="1"/>
  <c r="AJ662" i="1"/>
  <c r="AJ659" i="1"/>
  <c r="AJ660" i="1"/>
  <c r="CH65" i="9"/>
  <c r="BH5" i="9"/>
  <c r="BH754" i="1"/>
  <c r="CH954" i="1"/>
  <c r="CI949" i="1"/>
  <c r="CJ949" i="1" s="1"/>
  <c r="CK949" i="1" s="1"/>
  <c r="AO670" i="1"/>
  <c r="AO657" i="1"/>
  <c r="AO671" i="1"/>
  <c r="AO656" i="1"/>
  <c r="AQ684" i="1"/>
  <c r="AQ697" i="1"/>
  <c r="AX6" i="9"/>
  <c r="AX11" i="9" s="1"/>
  <c r="AX114" i="9"/>
  <c r="AX115" i="9"/>
  <c r="AX78" i="9"/>
  <c r="AX116" i="9"/>
  <c r="AX79" i="9"/>
  <c r="AX81" i="9" s="1"/>
  <c r="AX118" i="9"/>
  <c r="AM696" i="1"/>
  <c r="BQ6" i="9"/>
  <c r="BQ11" i="9" s="1"/>
  <c r="BQ114" i="9"/>
  <c r="BQ78" i="9"/>
  <c r="BQ118" i="9"/>
  <c r="BQ79" i="9"/>
  <c r="BQ81" i="9" s="1"/>
  <c r="BQ116" i="9"/>
  <c r="BQ115" i="9"/>
  <c r="AL696" i="1"/>
  <c r="AF114" i="9"/>
  <c r="AF6" i="9"/>
  <c r="AF11" i="9" s="1"/>
  <c r="AF78" i="9"/>
  <c r="AF79" i="9"/>
  <c r="AF81" i="9" s="1"/>
  <c r="AF118" i="9"/>
  <c r="AF115" i="9"/>
  <c r="AF116" i="9"/>
  <c r="BW5" i="9"/>
  <c r="BW754" i="1"/>
  <c r="AK539" i="1"/>
  <c r="AL526" i="1" s="1"/>
  <c r="AL530" i="1" s="1"/>
  <c r="CC38" i="9"/>
  <c r="CC97" i="9" s="1"/>
  <c r="CC98" i="9" s="1"/>
  <c r="CC294" i="1"/>
  <c r="CC61" i="9" s="1"/>
  <c r="CC1027" i="1"/>
  <c r="AJ686" i="1"/>
  <c r="AJ691" i="1" s="1"/>
  <c r="AJ689" i="1"/>
  <c r="AH537" i="1"/>
  <c r="AH538" i="1"/>
  <c r="AH668" i="1"/>
  <c r="AH669" i="1"/>
  <c r="AH594" i="1"/>
  <c r="AH595" i="1"/>
  <c r="U755" i="1"/>
  <c r="U761" i="1"/>
  <c r="AU544" i="1"/>
  <c r="AU545" i="1"/>
  <c r="AU693" i="1"/>
  <c r="AU694" i="1"/>
  <c r="AU612" i="1"/>
  <c r="AU611" i="1"/>
  <c r="BD5" i="9"/>
  <c r="BD754" i="1"/>
  <c r="CJ58" i="1"/>
  <c r="CJ378" i="1"/>
  <c r="CJ106" i="1"/>
  <c r="CJ46" i="1"/>
  <c r="CJ56" i="1"/>
  <c r="BI915" i="1"/>
  <c r="BI916" i="1" s="1"/>
  <c r="BD921" i="1"/>
  <c r="BE915" i="1"/>
  <c r="BE916" i="1" s="1"/>
  <c r="AJ696" i="1"/>
  <c r="BN453" i="1"/>
  <c r="BN455" i="1"/>
  <c r="AN5" i="13"/>
  <c r="AN2" i="9"/>
  <c r="AM536" i="1"/>
  <c r="AM655" i="1"/>
  <c r="AM593" i="1"/>
  <c r="AO4" i="13"/>
  <c r="AO3" i="13"/>
  <c r="P123" i="9"/>
  <c r="P122" i="9"/>
  <c r="P126" i="9"/>
  <c r="AO646" i="1"/>
  <c r="AI699" i="1"/>
  <c r="AK576" i="1"/>
  <c r="AK580" i="1" s="1"/>
  <c r="AI601" i="1"/>
  <c r="AI604" i="1"/>
  <c r="AR616" i="1"/>
  <c r="AR613" i="1"/>
  <c r="AR615" i="1" s="1"/>
  <c r="AO540" i="1"/>
  <c r="CK855" i="1"/>
  <c r="CK413" i="1"/>
  <c r="CK421" i="1" s="1"/>
  <c r="CK44" i="9" s="1"/>
  <c r="CK721" i="1"/>
  <c r="CK722" i="1" s="1"/>
  <c r="AQ4" i="13"/>
  <c r="AQ3" i="13"/>
  <c r="AN613" i="1"/>
  <c r="AN616" i="1"/>
  <c r="C11" i="9"/>
  <c r="C125" i="9"/>
  <c r="AK540" i="1"/>
  <c r="BJ13" i="13"/>
  <c r="BJ107" i="13" s="1"/>
  <c r="BJ755" i="1"/>
  <c r="F123" i="9"/>
  <c r="F122" i="9"/>
  <c r="F126" i="9"/>
  <c r="U6" i="9"/>
  <c r="U114" i="9"/>
  <c r="U78" i="9"/>
  <c r="U124" i="9" s="1"/>
  <c r="U115" i="9"/>
  <c r="U79" i="9"/>
  <c r="U81" i="9" s="1"/>
  <c r="U118" i="9"/>
  <c r="U116" i="9"/>
  <c r="CG109" i="9"/>
  <c r="C758" i="1"/>
  <c r="C762" i="1"/>
  <c r="AZ5" i="13"/>
  <c r="AZ2" i="9"/>
  <c r="AX655" i="1"/>
  <c r="AY655" i="1"/>
  <c r="AX536" i="1"/>
  <c r="AY561" i="1"/>
  <c r="AX561" i="1"/>
  <c r="AY593" i="1"/>
  <c r="AY536" i="1"/>
  <c r="AX593" i="1"/>
  <c r="BA5" i="1"/>
  <c r="AZ1094" i="1" s="1"/>
  <c r="AV694" i="1"/>
  <c r="AV693" i="1"/>
  <c r="AV612" i="1"/>
  <c r="AV611" i="1"/>
  <c r="CK378" i="1"/>
  <c r="CK106" i="1"/>
  <c r="CK46" i="1"/>
  <c r="CK58" i="1"/>
  <c r="CK56" i="1"/>
  <c r="AY13" i="13"/>
  <c r="AY107" i="13" s="1"/>
  <c r="AY755" i="1"/>
  <c r="AY761" i="1"/>
  <c r="CB930" i="1"/>
  <c r="CA933" i="1"/>
  <c r="AJ690" i="1"/>
  <c r="AJ687" i="1"/>
  <c r="BR453" i="1"/>
  <c r="BS452" i="1"/>
  <c r="BR455" i="1"/>
  <c r="AI6" i="9"/>
  <c r="AI11" i="9" s="1"/>
  <c r="AI114" i="9"/>
  <c r="AI116" i="9"/>
  <c r="AI78" i="9"/>
  <c r="AI115" i="9"/>
  <c r="AI79" i="9"/>
  <c r="AI81" i="9" s="1"/>
  <c r="AI118" i="9"/>
  <c r="CA51" i="9"/>
  <c r="CA297" i="1"/>
  <c r="O921" i="1"/>
  <c r="O1031" i="1"/>
  <c r="AI687" i="1"/>
  <c r="AI690" i="1"/>
  <c r="AJ288" i="1"/>
  <c r="AJ652" i="1"/>
  <c r="BI453" i="1"/>
  <c r="BI455" i="1"/>
  <c r="AO597" i="1"/>
  <c r="AO600" i="1"/>
  <c r="AQ613" i="1"/>
  <c r="AQ616" i="1"/>
  <c r="AH6" i="9"/>
  <c r="AH11" i="9" s="1"/>
  <c r="AH78" i="9"/>
  <c r="AH114" i="9"/>
  <c r="AH79" i="9"/>
  <c r="AH81" i="9" s="1"/>
  <c r="AH116" i="9"/>
  <c r="AH118" i="9"/>
  <c r="AH115" i="9"/>
  <c r="CK1" i="9"/>
  <c r="CK768" i="1"/>
  <c r="CK3" i="1"/>
  <c r="CK1140" i="1" s="1"/>
  <c r="AN656" i="1"/>
  <c r="AN675" i="1"/>
  <c r="AO675" i="1" s="1"/>
  <c r="AN672" i="1"/>
  <c r="AO672" i="1" s="1"/>
  <c r="AP668" i="1"/>
  <c r="AP669" i="1"/>
  <c r="AP538" i="1"/>
  <c r="AP594" i="1"/>
  <c r="AP537" i="1"/>
  <c r="AP539" i="1" s="1"/>
  <c r="AQ526" i="1" s="1"/>
  <c r="AQ530" i="1" s="1"/>
  <c r="AP595" i="1"/>
  <c r="AM690" i="1"/>
  <c r="AM687" i="1"/>
  <c r="AP613" i="1"/>
  <c r="AP616" i="1"/>
  <c r="N295" i="10"/>
  <c r="N318" i="10"/>
  <c r="N285" i="10"/>
  <c r="N316" i="10"/>
  <c r="N313" i="10"/>
  <c r="N273" i="10"/>
  <c r="N304" i="10"/>
  <c r="N288" i="10"/>
  <c r="N266" i="10"/>
  <c r="N287" i="10"/>
  <c r="N291" i="10"/>
  <c r="N290" i="10"/>
  <c r="N267" i="10"/>
  <c r="N275" i="10"/>
  <c r="N284" i="10"/>
  <c r="N301" i="10"/>
  <c r="N299" i="10"/>
  <c r="N268" i="10"/>
  <c r="N305" i="10"/>
  <c r="N302" i="10"/>
  <c r="N283" i="10"/>
  <c r="N317" i="10"/>
  <c r="N314" i="10"/>
  <c r="N311" i="10"/>
  <c r="N309" i="10"/>
  <c r="N274" i="10"/>
  <c r="N297" i="10"/>
  <c r="N270" i="10"/>
  <c r="N292" i="10"/>
  <c r="N310" i="10"/>
  <c r="N298" i="10"/>
  <c r="N271" i="10"/>
  <c r="AU3" i="13" l="1"/>
  <c r="BC1112" i="1"/>
  <c r="BF1112" i="1"/>
  <c r="BG1112" i="1"/>
  <c r="BD1112" i="1"/>
  <c r="BE1112" i="1"/>
  <c r="AV1097" i="1"/>
  <c r="AV1096" i="1"/>
  <c r="AV1100" i="1"/>
  <c r="AV1105" i="1"/>
  <c r="AV1098" i="1"/>
  <c r="AV1095" i="1"/>
  <c r="AV1104" i="1"/>
  <c r="AV1099" i="1"/>
  <c r="AV1106" i="1"/>
  <c r="AV1102" i="1"/>
  <c r="AV1103" i="1"/>
  <c r="AV1101" i="1"/>
  <c r="AZ1099" i="1"/>
  <c r="AZ1096" i="1"/>
  <c r="AZ1100" i="1"/>
  <c r="AZ1098" i="1"/>
  <c r="AZ1095" i="1"/>
  <c r="AZ1102" i="1"/>
  <c r="AZ1101" i="1"/>
  <c r="AZ1103" i="1"/>
  <c r="AZ1106" i="1"/>
  <c r="AZ1104" i="1"/>
  <c r="AZ1105" i="1"/>
  <c r="AZ1097" i="1"/>
  <c r="BA1111" i="1"/>
  <c r="BA1117" i="1"/>
  <c r="BA1124" i="1"/>
  <c r="BA1123" i="1"/>
  <c r="BA1118" i="1"/>
  <c r="BA1122" i="1"/>
  <c r="BA1114" i="1"/>
  <c r="BA1116" i="1"/>
  <c r="BA1119" i="1"/>
  <c r="BA1120" i="1"/>
  <c r="BA1113" i="1"/>
  <c r="BA1115" i="1"/>
  <c r="BA1121" i="1"/>
  <c r="AY1111" i="1"/>
  <c r="AY1114" i="1"/>
  <c r="AY1117" i="1"/>
  <c r="AY1113" i="1"/>
  <c r="AY1121" i="1"/>
  <c r="AY1115" i="1"/>
  <c r="AY1123" i="1"/>
  <c r="AY1118" i="1"/>
  <c r="AY1116" i="1"/>
  <c r="AY1120" i="1"/>
  <c r="AY1122" i="1"/>
  <c r="AY1124" i="1"/>
  <c r="AY1119" i="1"/>
  <c r="AY1104" i="1"/>
  <c r="AY1097" i="1"/>
  <c r="AY1095" i="1"/>
  <c r="AY1105" i="1"/>
  <c r="AY1101" i="1"/>
  <c r="AY1103" i="1"/>
  <c r="AY1106" i="1"/>
  <c r="AY1100" i="1"/>
  <c r="AY1096" i="1"/>
  <c r="AY1102" i="1"/>
  <c r="AY1098" i="1"/>
  <c r="AY1099" i="1"/>
  <c r="AL539" i="1"/>
  <c r="AM526" i="1" s="1"/>
  <c r="AM530" i="1" s="1"/>
  <c r="AX1111" i="1"/>
  <c r="AX1124" i="1"/>
  <c r="AX1117" i="1"/>
  <c r="AX1121" i="1"/>
  <c r="AX1122" i="1"/>
  <c r="AX1119" i="1"/>
  <c r="AX1115" i="1"/>
  <c r="AX1114" i="1"/>
  <c r="AX1123" i="1"/>
  <c r="AX1118" i="1"/>
  <c r="AX1113" i="1"/>
  <c r="AX1120" i="1"/>
  <c r="AX1116" i="1"/>
  <c r="AX1095" i="1"/>
  <c r="AX1097" i="1"/>
  <c r="AX1103" i="1"/>
  <c r="AX1105" i="1"/>
  <c r="AX1096" i="1"/>
  <c r="AX1099" i="1"/>
  <c r="AX1106" i="1"/>
  <c r="AX1104" i="1"/>
  <c r="AX1098" i="1"/>
  <c r="AX1102" i="1"/>
  <c r="AX1100" i="1"/>
  <c r="AX1101" i="1"/>
  <c r="AR1098" i="1"/>
  <c r="AR1104" i="1"/>
  <c r="AR1096" i="1"/>
  <c r="AR1099" i="1"/>
  <c r="AR1101" i="1"/>
  <c r="AR1106" i="1"/>
  <c r="AR1097" i="1"/>
  <c r="AR1095" i="1"/>
  <c r="AR1102" i="1"/>
  <c r="AR1105" i="1"/>
  <c r="AR1100" i="1"/>
  <c r="AR1103" i="1"/>
  <c r="AZ1111" i="1"/>
  <c r="AZ1123" i="1"/>
  <c r="AZ1117" i="1"/>
  <c r="AZ1114" i="1"/>
  <c r="AZ1122" i="1"/>
  <c r="AZ1120" i="1"/>
  <c r="AZ1113" i="1"/>
  <c r="AZ1116" i="1"/>
  <c r="AZ1121" i="1"/>
  <c r="AZ1118" i="1"/>
  <c r="AZ1115" i="1"/>
  <c r="AZ1124" i="1"/>
  <c r="AZ1119" i="1"/>
  <c r="BC1094" i="1"/>
  <c r="BD1094" i="1"/>
  <c r="BB1111" i="1"/>
  <c r="BB1117" i="1"/>
  <c r="BB1124" i="1"/>
  <c r="BB1116" i="1"/>
  <c r="BB1123" i="1"/>
  <c r="BB1113" i="1"/>
  <c r="BB611" i="1" s="1"/>
  <c r="BB1114" i="1"/>
  <c r="BB612" i="1" s="1"/>
  <c r="BB1118" i="1"/>
  <c r="BB1115" i="1"/>
  <c r="BB1122" i="1"/>
  <c r="BB1121" i="1"/>
  <c r="BB1119" i="1"/>
  <c r="BB1120" i="1"/>
  <c r="AK541" i="1"/>
  <c r="AJ688" i="1"/>
  <c r="AH539" i="1"/>
  <c r="AI526" i="1" s="1"/>
  <c r="AI530" i="1" s="1"/>
  <c r="AI114" i="1" s="1"/>
  <c r="Q266" i="10"/>
  <c r="P266" i="10"/>
  <c r="Q288" i="10"/>
  <c r="P288" i="10"/>
  <c r="Q314" i="10"/>
  <c r="P314" i="10"/>
  <c r="Q283" i="10"/>
  <c r="P283" i="10"/>
  <c r="P273" i="10"/>
  <c r="Q273" i="10"/>
  <c r="P316" i="10"/>
  <c r="Q316" i="10"/>
  <c r="Q271" i="10"/>
  <c r="P271" i="10"/>
  <c r="P291" i="10"/>
  <c r="Q291" i="10"/>
  <c r="Q310" i="10"/>
  <c r="P310" i="10"/>
  <c r="P284" i="10"/>
  <c r="Q284" i="10"/>
  <c r="P297" i="10"/>
  <c r="Q297" i="10"/>
  <c r="P302" i="10"/>
  <c r="Q302" i="10"/>
  <c r="Q267" i="10"/>
  <c r="P267" i="10"/>
  <c r="Q285" i="10"/>
  <c r="P285" i="10"/>
  <c r="P299" i="10"/>
  <c r="Q299" i="10"/>
  <c r="Q309" i="10"/>
  <c r="P309" i="10"/>
  <c r="Q301" i="10"/>
  <c r="P301" i="10"/>
  <c r="P270" i="10"/>
  <c r="Q270" i="10"/>
  <c r="P275" i="10"/>
  <c r="Q275" i="10"/>
  <c r="P305" i="10"/>
  <c r="Q305" i="10"/>
  <c r="P313" i="10"/>
  <c r="Q313" i="10"/>
  <c r="P318" i="10"/>
  <c r="Q318" i="10"/>
  <c r="Q274" i="10"/>
  <c r="P274" i="10"/>
  <c r="Q287" i="10"/>
  <c r="P287" i="10"/>
  <c r="Q292" i="10"/>
  <c r="P292" i="10"/>
  <c r="Q304" i="10"/>
  <c r="P304" i="10"/>
  <c r="Q317" i="10"/>
  <c r="P317" i="10"/>
  <c r="Q268" i="10"/>
  <c r="P268" i="10"/>
  <c r="Q290" i="10"/>
  <c r="P290" i="10"/>
  <c r="P295" i="10"/>
  <c r="Q295" i="10"/>
  <c r="Q298" i="10"/>
  <c r="P298" i="10"/>
  <c r="P311" i="10"/>
  <c r="Q311" i="10"/>
  <c r="CF5" i="9"/>
  <c r="CF754" i="1"/>
  <c r="CG714" i="1"/>
  <c r="CH436" i="1"/>
  <c r="AP602" i="1"/>
  <c r="AP596" i="1"/>
  <c r="AP599" i="1"/>
  <c r="AN661" i="1"/>
  <c r="AN664" i="1"/>
  <c r="AO664" i="1" s="1"/>
  <c r="AN658" i="1"/>
  <c r="AN660" i="1" s="1"/>
  <c r="AQ626" i="1"/>
  <c r="AQ623" i="1"/>
  <c r="AQ622" i="1"/>
  <c r="AQ618" i="1"/>
  <c r="AT578" i="1"/>
  <c r="CA129" i="9"/>
  <c r="CA88" i="9"/>
  <c r="CA115" i="9"/>
  <c r="BR5" i="9"/>
  <c r="BR754" i="1"/>
  <c r="AN4" i="13"/>
  <c r="AN3" i="13"/>
  <c r="AU616" i="1"/>
  <c r="AU613" i="1"/>
  <c r="AU615" i="1" s="1"/>
  <c r="AH602" i="1"/>
  <c r="AH596" i="1"/>
  <c r="AH598" i="1" s="1"/>
  <c r="AH599" i="1"/>
  <c r="AH540" i="1"/>
  <c r="AO659" i="1"/>
  <c r="AO662" i="1"/>
  <c r="U283" i="11"/>
  <c r="U284" i="11" s="1"/>
  <c r="T284" i="11"/>
  <c r="Z6" i="9"/>
  <c r="Z114" i="9"/>
  <c r="Z78" i="9"/>
  <c r="Z124" i="9" s="1"/>
  <c r="Z79" i="9"/>
  <c r="Z81" i="9" s="1"/>
  <c r="Z118" i="9"/>
  <c r="Z115" i="9"/>
  <c r="Z116" i="9"/>
  <c r="AK627" i="1"/>
  <c r="AL625" i="1"/>
  <c r="AL627" i="1" s="1"/>
  <c r="BA921" i="1"/>
  <c r="BB915" i="1"/>
  <c r="BB916" i="1" s="1"/>
  <c r="AO689" i="1"/>
  <c r="AO686" i="1"/>
  <c r="AO691" i="1" s="1"/>
  <c r="CH38" i="9"/>
  <c r="CH97" i="9" s="1"/>
  <c r="CH98" i="9" s="1"/>
  <c r="CH294" i="1"/>
  <c r="CH61" i="9" s="1"/>
  <c r="CH1027" i="1"/>
  <c r="AN601" i="1"/>
  <c r="AN604" i="1"/>
  <c r="AP576" i="1"/>
  <c r="AP580" i="1" s="1"/>
  <c r="AO759" i="1"/>
  <c r="AO758" i="1"/>
  <c r="AO762" i="1"/>
  <c r="AE11" i="9"/>
  <c r="AE125" i="9"/>
  <c r="AA6" i="9"/>
  <c r="AA11" i="9" s="1"/>
  <c r="AA114" i="9"/>
  <c r="AA78" i="9"/>
  <c r="AA118" i="9"/>
  <c r="AA116" i="9"/>
  <c r="AA115" i="9"/>
  <c r="AA79" i="9"/>
  <c r="AA81" i="9" s="1"/>
  <c r="CJ403" i="1"/>
  <c r="AQ669" i="1"/>
  <c r="AQ537" i="1"/>
  <c r="AQ595" i="1"/>
  <c r="AQ668" i="1"/>
  <c r="AQ594" i="1"/>
  <c r="AQ538" i="1"/>
  <c r="AI691" i="1"/>
  <c r="AO630" i="1"/>
  <c r="AT670" i="1"/>
  <c r="AT671" i="1" s="1"/>
  <c r="AT657" i="1"/>
  <c r="AT658" i="1" s="1"/>
  <c r="AL691" i="1"/>
  <c r="AO632" i="1"/>
  <c r="AL673" i="1"/>
  <c r="AL657" i="1"/>
  <c r="AL676" i="1"/>
  <c r="AL670" i="1"/>
  <c r="AT614" i="1"/>
  <c r="AT617" i="1"/>
  <c r="AS602" i="1"/>
  <c r="AT602" i="1" s="1"/>
  <c r="AS596" i="1"/>
  <c r="AS598" i="1" s="1"/>
  <c r="AS599" i="1"/>
  <c r="AO650" i="1"/>
  <c r="AY11" i="9"/>
  <c r="AY125" i="9"/>
  <c r="AV613" i="1"/>
  <c r="AV615" i="1" s="1"/>
  <c r="AV616" i="1"/>
  <c r="BN5" i="9"/>
  <c r="BN754" i="1"/>
  <c r="CJ48" i="1"/>
  <c r="CJ49" i="1" s="1"/>
  <c r="CJ47" i="1"/>
  <c r="CJ45" i="1"/>
  <c r="AU614" i="1"/>
  <c r="AU617" i="1"/>
  <c r="AU546" i="1"/>
  <c r="AY527" i="1" s="1"/>
  <c r="AY530" i="1" s="1"/>
  <c r="AL114" i="1"/>
  <c r="AL532" i="1"/>
  <c r="AL533" i="1" s="1"/>
  <c r="AW616" i="1"/>
  <c r="AW613" i="1"/>
  <c r="AW615" i="1" s="1"/>
  <c r="BY13" i="13"/>
  <c r="BY107" i="13" s="1"/>
  <c r="BY755" i="1"/>
  <c r="AO696" i="1"/>
  <c r="BM13" i="13"/>
  <c r="BM107" i="13" s="1"/>
  <c r="BM755" i="1"/>
  <c r="D11" i="9"/>
  <c r="D125" i="9"/>
  <c r="AB336" i="11"/>
  <c r="AC333" i="11"/>
  <c r="AC334" i="11" s="1"/>
  <c r="AR4" i="13"/>
  <c r="AR3" i="13"/>
  <c r="AE758" i="1"/>
  <c r="AE759" i="1"/>
  <c r="AE762" i="1"/>
  <c r="K11" i="9"/>
  <c r="K125" i="9"/>
  <c r="AS921" i="1"/>
  <c r="AS600" i="1"/>
  <c r="AS597" i="1"/>
  <c r="AS603" i="1"/>
  <c r="AT603" i="1" s="1"/>
  <c r="AN541" i="1"/>
  <c r="AW2" i="9"/>
  <c r="AW5" i="13"/>
  <c r="AV561" i="1"/>
  <c r="AV536" i="1"/>
  <c r="AV593" i="1"/>
  <c r="AV655" i="1"/>
  <c r="AX5" i="1"/>
  <c r="AP541" i="1"/>
  <c r="AP540" i="1"/>
  <c r="AV617" i="1"/>
  <c r="AV614" i="1"/>
  <c r="CJ109" i="1"/>
  <c r="CJ111" i="1" s="1"/>
  <c r="CJ108" i="1"/>
  <c r="AU695" i="1"/>
  <c r="AU696" i="1" s="1"/>
  <c r="AU698" i="1"/>
  <c r="AU685" i="1"/>
  <c r="BW13" i="13"/>
  <c r="BW107" i="13" s="1"/>
  <c r="BW755" i="1"/>
  <c r="AW614" i="1"/>
  <c r="AW617" i="1"/>
  <c r="BY6" i="9"/>
  <c r="BY11" i="9" s="1"/>
  <c r="BY114" i="9"/>
  <c r="BY78" i="9"/>
  <c r="BY115" i="9"/>
  <c r="BY79" i="9"/>
  <c r="BY81" i="9" s="1"/>
  <c r="BY116" i="9"/>
  <c r="BY118" i="9"/>
  <c r="AJ755" i="1"/>
  <c r="AJ761" i="1"/>
  <c r="AK607" i="1"/>
  <c r="AK606" i="1"/>
  <c r="AO11" i="9"/>
  <c r="AO125" i="9"/>
  <c r="AL606" i="1"/>
  <c r="AL607" i="1"/>
  <c r="BM6" i="9"/>
  <c r="BM11" i="9" s="1"/>
  <c r="BM114" i="9"/>
  <c r="BM78" i="9"/>
  <c r="BM79" i="9"/>
  <c r="BM81" i="9" s="1"/>
  <c r="BM118" i="9"/>
  <c r="BM115" i="9"/>
  <c r="BM116" i="9"/>
  <c r="T6" i="9"/>
  <c r="T11" i="9" s="1"/>
  <c r="T114" i="9"/>
  <c r="T78" i="9"/>
  <c r="T79" i="9"/>
  <c r="T81" i="9" s="1"/>
  <c r="T118" i="9"/>
  <c r="T115" i="9"/>
  <c r="T116" i="9"/>
  <c r="AK691" i="1"/>
  <c r="AO631" i="1"/>
  <c r="E123" i="9"/>
  <c r="E122" i="9"/>
  <c r="E126" i="9"/>
  <c r="CH1035" i="1"/>
  <c r="AP689" i="1"/>
  <c r="AP686" i="1"/>
  <c r="AP688" i="1" s="1"/>
  <c r="AP114" i="1"/>
  <c r="AP532" i="1"/>
  <c r="AP533" i="1" s="1"/>
  <c r="AT539" i="1"/>
  <c r="AT541" i="1" s="1"/>
  <c r="BZ989" i="1"/>
  <c r="CB925" i="1"/>
  <c r="CB938" i="1" s="1"/>
  <c r="CC938" i="1" s="1"/>
  <c r="AO601" i="1"/>
  <c r="AO604" i="1"/>
  <c r="AM114" i="1"/>
  <c r="AM532" i="1"/>
  <c r="AM533" i="1" s="1"/>
  <c r="AT697" i="1"/>
  <c r="AT684" i="1"/>
  <c r="AX694" i="1"/>
  <c r="AX693" i="1"/>
  <c r="AX612" i="1"/>
  <c r="AX611" i="1"/>
  <c r="AT759" i="1"/>
  <c r="AT758" i="1"/>
  <c r="AT762" i="1"/>
  <c r="AK604" i="1"/>
  <c r="AL576" i="1"/>
  <c r="AL580" i="1" s="1"/>
  <c r="AK601" i="1"/>
  <c r="AQ114" i="1"/>
  <c r="AQ532" i="1"/>
  <c r="AQ533" i="1" s="1"/>
  <c r="CB931" i="1"/>
  <c r="CK635" i="1"/>
  <c r="CK394" i="1"/>
  <c r="CK285" i="1"/>
  <c r="CK374" i="1"/>
  <c r="AP676" i="1"/>
  <c r="AP670" i="1"/>
  <c r="AP671" i="1" s="1"/>
  <c r="AP657" i="1"/>
  <c r="AP673" i="1"/>
  <c r="U11" i="9"/>
  <c r="U125" i="9"/>
  <c r="AK585" i="1"/>
  <c r="AK588" i="1"/>
  <c r="AK372" i="1"/>
  <c r="AK582" i="1"/>
  <c r="CJ635" i="1"/>
  <c r="CJ394" i="1"/>
  <c r="CJ374" i="1"/>
  <c r="CJ285" i="1"/>
  <c r="AH676" i="1"/>
  <c r="AH670" i="1"/>
  <c r="AH671" i="1" s="1"/>
  <c r="AH657" i="1"/>
  <c r="AH673" i="1"/>
  <c r="BW6" i="9"/>
  <c r="BW11" i="9" s="1"/>
  <c r="BW114" i="9"/>
  <c r="BW78" i="9"/>
  <c r="BW118" i="9"/>
  <c r="BW79" i="9"/>
  <c r="BW81" i="9" s="1"/>
  <c r="BW115" i="9"/>
  <c r="BW116" i="9"/>
  <c r="AJ114" i="9"/>
  <c r="AJ6" i="9"/>
  <c r="AJ78" i="9"/>
  <c r="AJ124" i="9" s="1"/>
  <c r="AJ115" i="9"/>
  <c r="AJ118" i="9"/>
  <c r="AJ116" i="9"/>
  <c r="AJ79" i="9"/>
  <c r="AJ81" i="9" s="1"/>
  <c r="AL646" i="1"/>
  <c r="AL650" i="1" s="1"/>
  <c r="AK677" i="1"/>
  <c r="AK674" i="1"/>
  <c r="AF336" i="11"/>
  <c r="AG333" i="11"/>
  <c r="AG334" i="11" s="1"/>
  <c r="AX915" i="1"/>
  <c r="AX916" i="1" s="1"/>
  <c r="AW921" i="1"/>
  <c r="AP699" i="1"/>
  <c r="AT647" i="1"/>
  <c r="CJ1025" i="1"/>
  <c r="CJ8" i="9"/>
  <c r="CJ735" i="1"/>
  <c r="CJ996" i="1" s="1"/>
  <c r="CK737" i="1"/>
  <c r="AJ642" i="1"/>
  <c r="AJ379" i="1"/>
  <c r="AJ636" i="1"/>
  <c r="AS2" i="9"/>
  <c r="AS5" i="13"/>
  <c r="AR593" i="1"/>
  <c r="AR536" i="1"/>
  <c r="AR655" i="1"/>
  <c r="AR561" i="1"/>
  <c r="AT4" i="13"/>
  <c r="CI56" i="9"/>
  <c r="CI286" i="1"/>
  <c r="AY4" i="13"/>
  <c r="AT540" i="1"/>
  <c r="AO615" i="1"/>
  <c r="CA941" i="1"/>
  <c r="CA854" i="1"/>
  <c r="AL540" i="1"/>
  <c r="AL541" i="1"/>
  <c r="AT695" i="1"/>
  <c r="AT699" i="1" s="1"/>
  <c r="AT696" i="1"/>
  <c r="AT698" i="1"/>
  <c r="AT685" i="1"/>
  <c r="BI2" i="9"/>
  <c r="BI5" i="13"/>
  <c r="BG683" i="1"/>
  <c r="BC610" i="1"/>
  <c r="BD568" i="1"/>
  <c r="BD543" i="1"/>
  <c r="BF683" i="1"/>
  <c r="BC568" i="1"/>
  <c r="BC543" i="1"/>
  <c r="BD683" i="1"/>
  <c r="BF610" i="1"/>
  <c r="BE568" i="1"/>
  <c r="BE610" i="1"/>
  <c r="BD610" i="1"/>
  <c r="BE683" i="1"/>
  <c r="BG568" i="1"/>
  <c r="BG543" i="1"/>
  <c r="BG610" i="1"/>
  <c r="BF543" i="1"/>
  <c r="BJ5" i="1"/>
  <c r="BE543" i="1"/>
  <c r="BC683" i="1"/>
  <c r="BF568" i="1"/>
  <c r="BN5" i="1"/>
  <c r="AY694" i="1"/>
  <c r="AY693" i="1"/>
  <c r="AY612" i="1"/>
  <c r="AY611" i="1"/>
  <c r="AS675" i="1"/>
  <c r="AT675" i="1" s="1"/>
  <c r="AS656" i="1"/>
  <c r="AS672" i="1"/>
  <c r="AT672" i="1" s="1"/>
  <c r="AT3" i="13"/>
  <c r="AP672" i="1"/>
  <c r="AP656" i="1"/>
  <c r="AP675" i="1"/>
  <c r="BI5" i="9"/>
  <c r="BI754" i="1"/>
  <c r="AV697" i="1"/>
  <c r="AV684" i="1"/>
  <c r="C122" i="9"/>
  <c r="C126" i="9"/>
  <c r="BF915" i="1"/>
  <c r="BF916" i="1" s="1"/>
  <c r="BE921" i="1"/>
  <c r="AH672" i="1"/>
  <c r="AH675" i="1"/>
  <c r="AH656" i="1"/>
  <c r="BH13" i="13"/>
  <c r="BH107" i="13" s="1"/>
  <c r="BH755" i="1"/>
  <c r="AM607" i="1"/>
  <c r="AM606" i="1"/>
  <c r="AW697" i="1"/>
  <c r="AW684" i="1"/>
  <c r="AK288" i="1"/>
  <c r="AK652" i="1"/>
  <c r="AM691" i="1"/>
  <c r="AO633" i="1"/>
  <c r="T336" i="11"/>
  <c r="T408" i="11"/>
  <c r="AT646" i="1"/>
  <c r="AN699" i="1"/>
  <c r="AP687" i="1"/>
  <c r="AP690" i="1"/>
  <c r="CG1011" i="1"/>
  <c r="AR690" i="1"/>
  <c r="AR687" i="1"/>
  <c r="AK664" i="1"/>
  <c r="AK658" i="1"/>
  <c r="AK660" i="1" s="1"/>
  <c r="AK661" i="1"/>
  <c r="Q3" i="11"/>
  <c r="Q449" i="11" s="1"/>
  <c r="R4" i="11"/>
  <c r="CI30" i="9"/>
  <c r="CI966" i="1"/>
  <c r="CI993" i="1"/>
  <c r="CI277" i="1"/>
  <c r="CI278" i="1" s="1"/>
  <c r="AT599" i="1"/>
  <c r="AT596" i="1"/>
  <c r="X336" i="11"/>
  <c r="Y333" i="11"/>
  <c r="Y334" i="11" s="1"/>
  <c r="AL599" i="1"/>
  <c r="AL596" i="1"/>
  <c r="AL598" i="1" s="1"/>
  <c r="AL602" i="1"/>
  <c r="AS673" i="1"/>
  <c r="AT673" i="1" s="1"/>
  <c r="AS670" i="1"/>
  <c r="AS676" i="1"/>
  <c r="AT676" i="1" s="1"/>
  <c r="AS657" i="1"/>
  <c r="T921" i="1"/>
  <c r="T1031" i="1"/>
  <c r="AS616" i="1"/>
  <c r="AS613" i="1"/>
  <c r="AS615" i="1" s="1"/>
  <c r="BS455" i="1"/>
  <c r="BS453" i="1"/>
  <c r="AY759" i="1"/>
  <c r="AY758" i="1"/>
  <c r="AY762" i="1"/>
  <c r="AP600" i="1"/>
  <c r="AP598" i="1"/>
  <c r="AP597" i="1"/>
  <c r="AP603" i="1"/>
  <c r="CK47" i="1"/>
  <c r="CK48" i="1"/>
  <c r="CK45" i="1"/>
  <c r="AV698" i="1"/>
  <c r="AV685" i="1"/>
  <c r="AV695" i="1"/>
  <c r="BA2" i="9"/>
  <c r="BA5" i="13"/>
  <c r="AZ561" i="1"/>
  <c r="AZ593" i="1"/>
  <c r="AZ536" i="1"/>
  <c r="AZ655" i="1"/>
  <c r="BB5" i="1"/>
  <c r="BA1094" i="1" s="1"/>
  <c r="BD13" i="13"/>
  <c r="BD107" i="13" s="1"/>
  <c r="BD755" i="1"/>
  <c r="BD761" i="1"/>
  <c r="AU697" i="1"/>
  <c r="AU684" i="1"/>
  <c r="U758" i="1"/>
  <c r="U759" i="1"/>
  <c r="U762" i="1"/>
  <c r="AQ689" i="1"/>
  <c r="AQ686" i="1"/>
  <c r="BH6" i="9"/>
  <c r="BH11" i="9" s="1"/>
  <c r="BH114" i="9"/>
  <c r="BH78" i="9"/>
  <c r="BH79" i="9"/>
  <c r="BH81" i="9" s="1"/>
  <c r="BH115" i="9"/>
  <c r="BH116" i="9"/>
  <c r="BH118" i="9"/>
  <c r="AW685" i="1"/>
  <c r="AW695" i="1"/>
  <c r="AW696" i="1" s="1"/>
  <c r="AW698" i="1"/>
  <c r="AI666" i="1"/>
  <c r="AI663" i="1"/>
  <c r="AK630" i="1"/>
  <c r="AK634" i="1" s="1"/>
  <c r="AK662" i="1"/>
  <c r="AK659" i="1"/>
  <c r="AK665" i="1"/>
  <c r="AJ336" i="11"/>
  <c r="AK333" i="11"/>
  <c r="AK334" i="11" s="1"/>
  <c r="AN687" i="1"/>
  <c r="AN690" i="1"/>
  <c r="AN689" i="1"/>
  <c r="AN686" i="1"/>
  <c r="AN688" i="1" s="1"/>
  <c r="P227" i="11"/>
  <c r="P229" i="11" s="1"/>
  <c r="P215" i="11" s="1"/>
  <c r="P225" i="11"/>
  <c r="P226" i="11"/>
  <c r="AJ843" i="1"/>
  <c r="AJ844" i="1" s="1"/>
  <c r="AI844" i="1"/>
  <c r="AI1031" i="1" s="1"/>
  <c r="CI396" i="1"/>
  <c r="CI293" i="1"/>
  <c r="CI60" i="9" s="1"/>
  <c r="AT597" i="1"/>
  <c r="AT598" i="1"/>
  <c r="AT600" i="1"/>
  <c r="AL603" i="1"/>
  <c r="AL597" i="1"/>
  <c r="AL600" i="1"/>
  <c r="AT11" i="9"/>
  <c r="AT125" i="9"/>
  <c r="BE2" i="9"/>
  <c r="BE5" i="13"/>
  <c r="BD561" i="1"/>
  <c r="BD536" i="1"/>
  <c r="BD593" i="1"/>
  <c r="BC561" i="1"/>
  <c r="BC536" i="1"/>
  <c r="BC655" i="1"/>
  <c r="BC593" i="1"/>
  <c r="BD655" i="1"/>
  <c r="BF5" i="1"/>
  <c r="BE1094" i="1" s="1"/>
  <c r="AZ694" i="1"/>
  <c r="AZ693" i="1"/>
  <c r="AZ612" i="1"/>
  <c r="AZ611" i="1"/>
  <c r="K758" i="1"/>
  <c r="K759" i="1"/>
  <c r="K762" i="1"/>
  <c r="AS698" i="1"/>
  <c r="AS695" i="1"/>
  <c r="AS696" i="1" s="1"/>
  <c r="AS685" i="1"/>
  <c r="BX5" i="9"/>
  <c r="BX754" i="1"/>
  <c r="AT577" i="1"/>
  <c r="AP623" i="1"/>
  <c r="AP626" i="1"/>
  <c r="AP622" i="1"/>
  <c r="AP618" i="1"/>
  <c r="CK109" i="1"/>
  <c r="CK111" i="1" s="1"/>
  <c r="CK108" i="1"/>
  <c r="AY562" i="1"/>
  <c r="AY595" i="1"/>
  <c r="AY563" i="1"/>
  <c r="AY668" i="1"/>
  <c r="AY656" i="1" s="1"/>
  <c r="AY538" i="1"/>
  <c r="AY669" i="1"/>
  <c r="AY537" i="1"/>
  <c r="AY594" i="1"/>
  <c r="AP625" i="1"/>
  <c r="AT576" i="1"/>
  <c r="AN618" i="1"/>
  <c r="AM594" i="1"/>
  <c r="AM595" i="1"/>
  <c r="AM538" i="1"/>
  <c r="AM669" i="1"/>
  <c r="AM537" i="1"/>
  <c r="AM668" i="1"/>
  <c r="BD114" i="9"/>
  <c r="BD6" i="9"/>
  <c r="BD78" i="9"/>
  <c r="BD124" i="9" s="1"/>
  <c r="BD115" i="9"/>
  <c r="BD116" i="9"/>
  <c r="BD79" i="9"/>
  <c r="BD81" i="9" s="1"/>
  <c r="BD118" i="9"/>
  <c r="AU547" i="1"/>
  <c r="AO661" i="1"/>
  <c r="AO658" i="1"/>
  <c r="AO660" i="1" s="1"/>
  <c r="AQ615" i="1"/>
  <c r="AJ588" i="1"/>
  <c r="AJ372" i="1"/>
  <c r="AJ582" i="1"/>
  <c r="AO606" i="1"/>
  <c r="AN606" i="1"/>
  <c r="AO607" i="1"/>
  <c r="AN607" i="1"/>
  <c r="AO580" i="1"/>
  <c r="CG452" i="1"/>
  <c r="CH452" i="1" s="1"/>
  <c r="CG449" i="1"/>
  <c r="CG450" i="1"/>
  <c r="CH444" i="1"/>
  <c r="AN696" i="1"/>
  <c r="AR686" i="1"/>
  <c r="AR688" i="1" s="1"/>
  <c r="AR689" i="1"/>
  <c r="AP646" i="1"/>
  <c r="AP650" i="1" s="1"/>
  <c r="AN677" i="1"/>
  <c r="AO677" i="1" s="1"/>
  <c r="AN674" i="1"/>
  <c r="AO674" i="1" s="1"/>
  <c r="BA693" i="1"/>
  <c r="BA694" i="1"/>
  <c r="BA611" i="1"/>
  <c r="BA612" i="1"/>
  <c r="AS539" i="1"/>
  <c r="AU526" i="1" s="1"/>
  <c r="AU530" i="1" s="1"/>
  <c r="AP615" i="1"/>
  <c r="AN598" i="1"/>
  <c r="AT648" i="1"/>
  <c r="AQ699" i="1"/>
  <c r="AS617" i="1"/>
  <c r="AS614" i="1"/>
  <c r="AU537" i="1"/>
  <c r="AU539" i="1" s="1"/>
  <c r="AV526" i="1" s="1"/>
  <c r="AV530" i="1" s="1"/>
  <c r="AU563" i="1"/>
  <c r="AU562" i="1"/>
  <c r="AU669" i="1"/>
  <c r="AU595" i="1"/>
  <c r="AU538" i="1"/>
  <c r="AU668" i="1"/>
  <c r="AU594" i="1"/>
  <c r="AX594" i="1"/>
  <c r="AX562" i="1"/>
  <c r="AX595" i="1"/>
  <c r="AX563" i="1"/>
  <c r="AX668" i="1"/>
  <c r="AX538" i="1"/>
  <c r="AX669" i="1"/>
  <c r="AX537" i="1"/>
  <c r="AR623" i="1"/>
  <c r="AR622" i="1"/>
  <c r="AR618" i="1"/>
  <c r="AR626" i="1"/>
  <c r="AT579" i="1"/>
  <c r="BI921" i="1"/>
  <c r="BJ915" i="1"/>
  <c r="BJ916" i="1" s="1"/>
  <c r="BN915" i="1"/>
  <c r="BN916" i="1" s="1"/>
  <c r="AH600" i="1"/>
  <c r="AH597" i="1"/>
  <c r="AH603" i="1"/>
  <c r="AO690" i="1"/>
  <c r="AO687" i="1"/>
  <c r="Z755" i="1"/>
  <c r="Z761" i="1"/>
  <c r="AR699" i="1"/>
  <c r="AT649" i="1"/>
  <c r="D759" i="1"/>
  <c r="D758" i="1"/>
  <c r="D762" i="1"/>
  <c r="BZ45" i="9"/>
  <c r="BZ131" i="9" s="1"/>
  <c r="BZ851" i="1"/>
  <c r="BZ437" i="1"/>
  <c r="BZ432" i="1" s="1"/>
  <c r="BZ47" i="9" s="1"/>
  <c r="BY1029" i="1"/>
  <c r="AT661" i="1"/>
  <c r="AN659" i="1"/>
  <c r="AN665" i="1"/>
  <c r="AO665" i="1" s="1"/>
  <c r="AN662" i="1"/>
  <c r="AL675" i="1"/>
  <c r="AL656" i="1"/>
  <c r="AL672" i="1"/>
  <c r="AT616" i="1"/>
  <c r="AT613" i="1"/>
  <c r="AT618" i="1" s="1"/>
  <c r="BB693" i="1"/>
  <c r="BB694" i="1"/>
  <c r="AS540" i="1"/>
  <c r="AQ687" i="1"/>
  <c r="AQ688" i="1"/>
  <c r="AQ690" i="1"/>
  <c r="AS697" i="1"/>
  <c r="AS684" i="1"/>
  <c r="AV3" i="13"/>
  <c r="AV4" i="13"/>
  <c r="AN615" i="1"/>
  <c r="CE114" i="9"/>
  <c r="CE6" i="9"/>
  <c r="N254" i="10"/>
  <c r="N217" i="10"/>
  <c r="N249" i="10"/>
  <c r="N226" i="10"/>
  <c r="N215" i="10"/>
  <c r="N262" i="10"/>
  <c r="N229" i="10"/>
  <c r="N259" i="10"/>
  <c r="N219" i="10"/>
  <c r="N280" i="10"/>
  <c r="N256" i="10"/>
  <c r="N223" i="10"/>
  <c r="N243" i="10"/>
  <c r="N216" i="10"/>
  <c r="N233" i="10"/>
  <c r="N245" i="10"/>
  <c r="N236" i="10"/>
  <c r="N222" i="10"/>
  <c r="N239" i="10"/>
  <c r="N232" i="10"/>
  <c r="N220" i="10"/>
  <c r="N258" i="10"/>
  <c r="N235" i="10"/>
  <c r="N242" i="10"/>
  <c r="N248" i="10"/>
  <c r="N241" i="10"/>
  <c r="N230" i="10"/>
  <c r="N252" i="10"/>
  <c r="N228" i="10"/>
  <c r="N246" i="10"/>
  <c r="N261" i="10"/>
  <c r="N255" i="10"/>
  <c r="BI1094" i="1" l="1"/>
  <c r="BH1094" i="1"/>
  <c r="AT650" i="1"/>
  <c r="BE1106" i="1"/>
  <c r="BE1095" i="1"/>
  <c r="BE1103" i="1"/>
  <c r="BE1097" i="1"/>
  <c r="BE1099" i="1"/>
  <c r="BE1102" i="1"/>
  <c r="BE1105" i="1"/>
  <c r="BE1101" i="1"/>
  <c r="BE1096" i="1"/>
  <c r="BE1100" i="1"/>
  <c r="BE1104" i="1"/>
  <c r="BE1098" i="1"/>
  <c r="BA1096" i="1"/>
  <c r="BA1101" i="1"/>
  <c r="BA1104" i="1"/>
  <c r="BA1099" i="1"/>
  <c r="BA1102" i="1"/>
  <c r="BA1105" i="1"/>
  <c r="BA1098" i="1"/>
  <c r="BA1106" i="1"/>
  <c r="BA1095" i="1"/>
  <c r="BA1097" i="1"/>
  <c r="BA1103" i="1"/>
  <c r="BA1100" i="1"/>
  <c r="BK1112" i="1"/>
  <c r="BL1112" i="1"/>
  <c r="BH1112" i="1"/>
  <c r="BI1112" i="1"/>
  <c r="BJ1112" i="1"/>
  <c r="AZ3" i="13"/>
  <c r="AW1094" i="1"/>
  <c r="AI532" i="1"/>
  <c r="AI533" i="1" s="1"/>
  <c r="CK49" i="1"/>
  <c r="AH541" i="1"/>
  <c r="BE1111" i="1"/>
  <c r="BE1122" i="1"/>
  <c r="BE1115" i="1"/>
  <c r="BE1114" i="1"/>
  <c r="BE1118" i="1"/>
  <c r="BE1120" i="1"/>
  <c r="BE1124" i="1"/>
  <c r="BE1116" i="1"/>
  <c r="BE1117" i="1"/>
  <c r="BE1123" i="1"/>
  <c r="BE1113" i="1"/>
  <c r="BE1121" i="1"/>
  <c r="BE1119" i="1"/>
  <c r="BD1111" i="1"/>
  <c r="BD1121" i="1"/>
  <c r="BD1120" i="1"/>
  <c r="BD1119" i="1"/>
  <c r="BD1115" i="1"/>
  <c r="BD1123" i="1"/>
  <c r="BD1118" i="1"/>
  <c r="BD1113" i="1"/>
  <c r="BD1124" i="1"/>
  <c r="BD1116" i="1"/>
  <c r="BD1114" i="1"/>
  <c r="BD1122" i="1"/>
  <c r="BD1117" i="1"/>
  <c r="BG1111" i="1"/>
  <c r="BG1113" i="1"/>
  <c r="BG1117" i="1"/>
  <c r="BG1116" i="1"/>
  <c r="BG1118" i="1"/>
  <c r="BG1114" i="1"/>
  <c r="BG1121" i="1"/>
  <c r="BG1124" i="1"/>
  <c r="BG1115" i="1"/>
  <c r="BG1119" i="1"/>
  <c r="BG1120" i="1"/>
  <c r="BG1122" i="1"/>
  <c r="BG1123" i="1"/>
  <c r="BF1111" i="1"/>
  <c r="BF1120" i="1"/>
  <c r="BF1119" i="1"/>
  <c r="BF1122" i="1"/>
  <c r="BF1123" i="1"/>
  <c r="BF1113" i="1"/>
  <c r="BF1118" i="1"/>
  <c r="BF1116" i="1"/>
  <c r="BF1114" i="1"/>
  <c r="BF1124" i="1"/>
  <c r="BF1117" i="1"/>
  <c r="BF1115" i="1"/>
  <c r="BF1121" i="1"/>
  <c r="BD1095" i="1"/>
  <c r="BD1103" i="1"/>
  <c r="BD1106" i="1"/>
  <c r="BD1098" i="1"/>
  <c r="BD1096" i="1"/>
  <c r="BD1097" i="1"/>
  <c r="BD1102" i="1"/>
  <c r="BD1105" i="1"/>
  <c r="BD1104" i="1"/>
  <c r="BD1101" i="1"/>
  <c r="BD1100" i="1"/>
  <c r="BD1099" i="1"/>
  <c r="BC1111" i="1"/>
  <c r="BC1115" i="1"/>
  <c r="BC1122" i="1"/>
  <c r="BC1116" i="1"/>
  <c r="BC1118" i="1"/>
  <c r="BC1124" i="1"/>
  <c r="BC1119" i="1"/>
  <c r="BC1121" i="1"/>
  <c r="BC1117" i="1"/>
  <c r="BC1123" i="1"/>
  <c r="BC1114" i="1"/>
  <c r="BC1120" i="1"/>
  <c r="BC1113" i="1"/>
  <c r="BC611" i="1" s="1"/>
  <c r="BC1100" i="1"/>
  <c r="BC1106" i="1"/>
  <c r="BC1096" i="1"/>
  <c r="BC1102" i="1"/>
  <c r="BC1101" i="1"/>
  <c r="BC537" i="1" s="1"/>
  <c r="BC539" i="1" s="1"/>
  <c r="BE526" i="1" s="1"/>
  <c r="BE530" i="1" s="1"/>
  <c r="BC1098" i="1"/>
  <c r="BC1104" i="1"/>
  <c r="BC562" i="1" s="1"/>
  <c r="BC1095" i="1"/>
  <c r="BC594" i="1" s="1"/>
  <c r="BC1105" i="1"/>
  <c r="BC563" i="1" s="1"/>
  <c r="BC1099" i="1"/>
  <c r="BC669" i="1" s="1"/>
  <c r="BC1097" i="1"/>
  <c r="BC1103" i="1"/>
  <c r="AO634" i="1"/>
  <c r="AO642" i="1" s="1"/>
  <c r="AM625" i="1"/>
  <c r="AM627" i="1" s="1"/>
  <c r="AO688" i="1"/>
  <c r="AU548" i="1"/>
  <c r="AS541" i="1"/>
  <c r="CG455" i="1"/>
  <c r="CG754" i="1" s="1"/>
  <c r="P255" i="10"/>
  <c r="Q255" i="10"/>
  <c r="Q252" i="10"/>
  <c r="P252" i="10"/>
  <c r="Q242" i="10"/>
  <c r="P242" i="10"/>
  <c r="Q239" i="10"/>
  <c r="P239" i="10"/>
  <c r="Q229" i="10"/>
  <c r="P229" i="10"/>
  <c r="P226" i="10"/>
  <c r="Q226" i="10"/>
  <c r="Q216" i="10"/>
  <c r="P216" i="10"/>
  <c r="Q280" i="10"/>
  <c r="P280" i="10"/>
  <c r="Q261" i="10"/>
  <c r="P261" i="10"/>
  <c r="Q248" i="10"/>
  <c r="P248" i="10"/>
  <c r="Q235" i="10"/>
  <c r="P235" i="10"/>
  <c r="Q222" i="10"/>
  <c r="P222" i="10"/>
  <c r="P262" i="10"/>
  <c r="Q262" i="10"/>
  <c r="P249" i="10"/>
  <c r="Q249" i="10"/>
  <c r="P243" i="10"/>
  <c r="Q243" i="10"/>
  <c r="Q219" i="10"/>
  <c r="P219" i="10"/>
  <c r="P246" i="10"/>
  <c r="Q246" i="10"/>
  <c r="P230" i="10"/>
  <c r="Q230" i="10"/>
  <c r="Q258" i="10"/>
  <c r="P258" i="10"/>
  <c r="P236" i="10"/>
  <c r="Q236" i="10"/>
  <c r="Q233" i="10"/>
  <c r="P233" i="10"/>
  <c r="P217" i="10"/>
  <c r="Q217" i="10"/>
  <c r="P223" i="10"/>
  <c r="Q223" i="10"/>
  <c r="Q232" i="10"/>
  <c r="P232" i="10"/>
  <c r="P228" i="10"/>
  <c r="Q228" i="10"/>
  <c r="Q241" i="10"/>
  <c r="P241" i="10"/>
  <c r="Q220" i="10"/>
  <c r="P220" i="10"/>
  <c r="Q245" i="10"/>
  <c r="P245" i="10"/>
  <c r="Q215" i="10"/>
  <c r="P215" i="10"/>
  <c r="Q254" i="10"/>
  <c r="P254" i="10"/>
  <c r="P256" i="10"/>
  <c r="Q256" i="10"/>
  <c r="Q259" i="10"/>
  <c r="P259" i="10"/>
  <c r="BB614" i="1"/>
  <c r="BB617" i="1"/>
  <c r="AV114" i="1"/>
  <c r="AV532" i="1"/>
  <c r="AV533" i="1" s="1"/>
  <c r="AJ583" i="1"/>
  <c r="AJ589" i="1"/>
  <c r="AM540" i="1"/>
  <c r="AT123" i="9"/>
  <c r="AT122" i="9"/>
  <c r="AT126" i="9"/>
  <c r="AW690" i="1"/>
  <c r="AW687" i="1"/>
  <c r="AQ691" i="1"/>
  <c r="AT632" i="1"/>
  <c r="BD758" i="1"/>
  <c r="BD759" i="1"/>
  <c r="BD762" i="1"/>
  <c r="BA3" i="13"/>
  <c r="BA4" i="13"/>
  <c r="AS677" i="1"/>
  <c r="AT677" i="1" s="1"/>
  <c r="AS674" i="1"/>
  <c r="AT674" i="1" s="1"/>
  <c r="AU646" i="1"/>
  <c r="AU650" i="1" s="1"/>
  <c r="Y336" i="11"/>
  <c r="AK666" i="1"/>
  <c r="AL630" i="1"/>
  <c r="AL634" i="1" s="1"/>
  <c r="AK663" i="1"/>
  <c r="AY698" i="1"/>
  <c r="AY685" i="1"/>
  <c r="AY695" i="1"/>
  <c r="AY699" i="1" s="1"/>
  <c r="BG694" i="1"/>
  <c r="BG611" i="1"/>
  <c r="BG612" i="1"/>
  <c r="BG693" i="1"/>
  <c r="AL288" i="1"/>
  <c r="AL652" i="1"/>
  <c r="AX697" i="1"/>
  <c r="AX684" i="1"/>
  <c r="AT662" i="1"/>
  <c r="AT660" i="1"/>
  <c r="AT659" i="1"/>
  <c r="AQ673" i="1"/>
  <c r="AQ676" i="1"/>
  <c r="AQ670" i="1"/>
  <c r="AQ671" i="1" s="1"/>
  <c r="AQ657" i="1"/>
  <c r="AU623" i="1"/>
  <c r="AU618" i="1"/>
  <c r="AU622" i="1"/>
  <c r="AY577" i="1"/>
  <c r="AU626" i="1"/>
  <c r="BB697" i="1"/>
  <c r="BB684" i="1"/>
  <c r="AX565" i="1"/>
  <c r="AU672" i="1"/>
  <c r="AU675" i="1"/>
  <c r="AU656" i="1"/>
  <c r="BA697" i="1"/>
  <c r="BA684" i="1"/>
  <c r="AM603" i="1"/>
  <c r="AM600" i="1"/>
  <c r="AM597" i="1"/>
  <c r="AY596" i="1"/>
  <c r="AY598" i="1" s="1"/>
  <c r="AY599" i="1"/>
  <c r="AY565" i="1"/>
  <c r="AQ625" i="1"/>
  <c r="AQ627" i="1" s="1"/>
  <c r="AP627" i="1"/>
  <c r="AZ697" i="1"/>
  <c r="AZ684" i="1"/>
  <c r="P216" i="11"/>
  <c r="P219" i="11"/>
  <c r="P221" i="11"/>
  <c r="AK336" i="11"/>
  <c r="AL333" i="11"/>
  <c r="AL334" i="11" s="1"/>
  <c r="BS5" i="9"/>
  <c r="BS754" i="1"/>
  <c r="AS671" i="1"/>
  <c r="R3" i="11"/>
  <c r="R449" i="11" s="1"/>
  <c r="S4" i="11"/>
  <c r="AH661" i="1"/>
  <c r="AH664" i="1"/>
  <c r="AH658" i="1"/>
  <c r="AH660" i="1" s="1"/>
  <c r="AV689" i="1"/>
  <c r="AV686" i="1"/>
  <c r="AV688" i="1" s="1"/>
  <c r="BN2" i="9"/>
  <c r="BN5" i="13"/>
  <c r="BK610" i="1"/>
  <c r="BL568" i="1"/>
  <c r="BL543" i="1"/>
  <c r="BJ610" i="1"/>
  <c r="BK568" i="1"/>
  <c r="BK543" i="1"/>
  <c r="BL683" i="1"/>
  <c r="BH610" i="1"/>
  <c r="BI568" i="1"/>
  <c r="BI543" i="1"/>
  <c r="BJ683" i="1"/>
  <c r="BI683" i="1"/>
  <c r="BH683" i="1"/>
  <c r="BJ543" i="1"/>
  <c r="BL610" i="1"/>
  <c r="BH543" i="1"/>
  <c r="BI610" i="1"/>
  <c r="BK683" i="1"/>
  <c r="BH568" i="1"/>
  <c r="BO5" i="1"/>
  <c r="BJ568" i="1"/>
  <c r="BS5" i="1"/>
  <c r="BF694" i="1"/>
  <c r="BF693" i="1"/>
  <c r="BF612" i="1"/>
  <c r="BF611" i="1"/>
  <c r="CK8" i="9"/>
  <c r="CK1025" i="1"/>
  <c r="CK735" i="1"/>
  <c r="CK996" i="1" s="1"/>
  <c r="AK620" i="1"/>
  <c r="AK621" i="1" s="1"/>
  <c r="AK589" i="1"/>
  <c r="AK583" i="1"/>
  <c r="AK586" i="1"/>
  <c r="CB118" i="1"/>
  <c r="CC118" i="1" s="1"/>
  <c r="CC931" i="1"/>
  <c r="CB978" i="1"/>
  <c r="AX698" i="1"/>
  <c r="AX685" i="1"/>
  <c r="AX695" i="1"/>
  <c r="AX696" i="1" s="1"/>
  <c r="AT686" i="1"/>
  <c r="AT691" i="1" s="1"/>
  <c r="AT689" i="1"/>
  <c r="AY123" i="9"/>
  <c r="AY122" i="9"/>
  <c r="AY126" i="9"/>
  <c r="AL677" i="1"/>
  <c r="AL674" i="1"/>
  <c r="AM646" i="1"/>
  <c r="AM650" i="1" s="1"/>
  <c r="BZ868" i="1"/>
  <c r="BZ1014" i="1"/>
  <c r="BJ921" i="1"/>
  <c r="BK915" i="1"/>
  <c r="BK916" i="1" s="1"/>
  <c r="AX539" i="1"/>
  <c r="AZ526" i="1" s="1"/>
  <c r="AZ530" i="1" s="1"/>
  <c r="AX600" i="1"/>
  <c r="AX603" i="1"/>
  <c r="AY603" i="1" s="1"/>
  <c r="AX597" i="1"/>
  <c r="AU540" i="1"/>
  <c r="AU541" i="1"/>
  <c r="AU114" i="1"/>
  <c r="AU532" i="1"/>
  <c r="AU533" i="1" s="1"/>
  <c r="AP288" i="1"/>
  <c r="AP652" i="1"/>
  <c r="CH453" i="1"/>
  <c r="AY539" i="1"/>
  <c r="AY541" i="1" s="1"/>
  <c r="AY600" i="1"/>
  <c r="AY597" i="1"/>
  <c r="AZ695" i="1"/>
  <c r="AZ696" i="1" s="1"/>
  <c r="AZ685" i="1"/>
  <c r="AZ698" i="1"/>
  <c r="BF2" i="9"/>
  <c r="BF5" i="13"/>
  <c r="BE593" i="1"/>
  <c r="BE655" i="1"/>
  <c r="BE561" i="1"/>
  <c r="BE536" i="1"/>
  <c r="BG5" i="1"/>
  <c r="BF1094" i="1" s="1"/>
  <c r="CI38" i="9"/>
  <c r="CI97" i="9" s="1"/>
  <c r="CI98" i="9" s="1"/>
  <c r="CI294" i="1"/>
  <c r="CI61" i="9" s="1"/>
  <c r="CI1027" i="1"/>
  <c r="BB5" i="13"/>
  <c r="BB2" i="9"/>
  <c r="BA561" i="1"/>
  <c r="BA536" i="1"/>
  <c r="BA593" i="1"/>
  <c r="BA655" i="1"/>
  <c r="BC5" i="1"/>
  <c r="BB1094" i="1" s="1"/>
  <c r="AY648" i="1"/>
  <c r="AV699" i="1"/>
  <c r="AU625" i="1"/>
  <c r="AY576" i="1"/>
  <c r="AS618" i="1"/>
  <c r="AS664" i="1"/>
  <c r="AT664" i="1" s="1"/>
  <c r="AS658" i="1"/>
  <c r="AS660" i="1" s="1"/>
  <c r="AS661" i="1"/>
  <c r="BD694" i="1"/>
  <c r="BD693" i="1"/>
  <c r="BD612" i="1"/>
  <c r="BD611" i="1"/>
  <c r="AS3" i="13"/>
  <c r="AS4" i="13"/>
  <c r="CK741" i="1"/>
  <c r="AX921" i="1"/>
  <c r="AH665" i="1"/>
  <c r="AH659" i="1"/>
  <c r="AH662" i="1"/>
  <c r="AP665" i="1"/>
  <c r="AP659" i="1"/>
  <c r="AP662" i="1"/>
  <c r="CB939" i="1"/>
  <c r="CC939" i="1" s="1"/>
  <c r="AU690" i="1"/>
  <c r="AU687" i="1"/>
  <c r="AV537" i="1"/>
  <c r="AV538" i="1"/>
  <c r="AV668" i="1"/>
  <c r="AV594" i="1"/>
  <c r="AV595" i="1"/>
  <c r="AV562" i="1"/>
  <c r="AV563" i="1"/>
  <c r="AV669" i="1"/>
  <c r="BN13" i="13"/>
  <c r="BN107" i="13" s="1"/>
  <c r="BN755" i="1"/>
  <c r="BN761" i="1"/>
  <c r="AO288" i="1"/>
  <c r="AO652" i="1"/>
  <c r="AQ600" i="1"/>
  <c r="AQ597" i="1"/>
  <c r="AQ603" i="1"/>
  <c r="BC915" i="1"/>
  <c r="BC916" i="1" s="1"/>
  <c r="BB921" i="1"/>
  <c r="AR607" i="1"/>
  <c r="AR606" i="1"/>
  <c r="BZ1022" i="1"/>
  <c r="Z759" i="1"/>
  <c r="Z758" i="1"/>
  <c r="Z762" i="1"/>
  <c r="BN921" i="1"/>
  <c r="BO915" i="1"/>
  <c r="BO916" i="1" s="1"/>
  <c r="BS915" i="1"/>
  <c r="BS916" i="1" s="1"/>
  <c r="AX564" i="1"/>
  <c r="AZ551" i="1" s="1"/>
  <c r="AZ555" i="1" s="1"/>
  <c r="AO588" i="1"/>
  <c r="AO372" i="1"/>
  <c r="AO582" i="1"/>
  <c r="AM672" i="1"/>
  <c r="AM675" i="1"/>
  <c r="AM656" i="1"/>
  <c r="AM596" i="1"/>
  <c r="AM599" i="1"/>
  <c r="AM602" i="1"/>
  <c r="AY564" i="1"/>
  <c r="AY566" i="1" s="1"/>
  <c r="AQ607" i="1"/>
  <c r="AQ606" i="1"/>
  <c r="BE3" i="13"/>
  <c r="BE4" i="13"/>
  <c r="AN691" i="1"/>
  <c r="AT630" i="1"/>
  <c r="AV687" i="1"/>
  <c r="AV690" i="1"/>
  <c r="BD4" i="13"/>
  <c r="AT601" i="1"/>
  <c r="AT604" i="1"/>
  <c r="AW689" i="1"/>
  <c r="AW686" i="1"/>
  <c r="AW688" i="1" s="1"/>
  <c r="BI13" i="13"/>
  <c r="BI107" i="13" s="1"/>
  <c r="BI755" i="1"/>
  <c r="BI761" i="1"/>
  <c r="BE694" i="1"/>
  <c r="BE693" i="1"/>
  <c r="BE612" i="1"/>
  <c r="BE611" i="1"/>
  <c r="CI1035" i="1"/>
  <c r="AR563" i="1"/>
  <c r="AR562" i="1"/>
  <c r="AR538" i="1"/>
  <c r="AR537" i="1"/>
  <c r="AR669" i="1"/>
  <c r="AR668" i="1"/>
  <c r="AR595" i="1"/>
  <c r="AR594" i="1"/>
  <c r="AH333" i="11"/>
  <c r="AH334" i="11" s="1"/>
  <c r="AG336" i="11"/>
  <c r="AH674" i="1"/>
  <c r="AI646" i="1"/>
  <c r="AI650" i="1" s="1"/>
  <c r="AH677" i="1"/>
  <c r="AP674" i="1"/>
  <c r="AQ646" i="1"/>
  <c r="AQ650" i="1" s="1"/>
  <c r="AP677" i="1"/>
  <c r="AJ759" i="1"/>
  <c r="AJ758" i="1"/>
  <c r="AJ762" i="1"/>
  <c r="AW3" i="13"/>
  <c r="AW4" i="13"/>
  <c r="AY114" i="1"/>
  <c r="AY532" i="1"/>
  <c r="AY533" i="1" s="1"/>
  <c r="BN6" i="9"/>
  <c r="BN114" i="9"/>
  <c r="BN78" i="9"/>
  <c r="BN124" i="9" s="1"/>
  <c r="BN79" i="9"/>
  <c r="BN81" i="9" s="1"/>
  <c r="BN118" i="9"/>
  <c r="BN115" i="9"/>
  <c r="BN116" i="9"/>
  <c r="AL662" i="1"/>
  <c r="AL659" i="1"/>
  <c r="AL665" i="1"/>
  <c r="AE122" i="9"/>
  <c r="AE123" i="9"/>
  <c r="AE126" i="9"/>
  <c r="AP604" i="1"/>
  <c r="AP601" i="1"/>
  <c r="AQ576" i="1"/>
  <c r="AQ580" i="1" s="1"/>
  <c r="BB616" i="1"/>
  <c r="BB613" i="1"/>
  <c r="AT666" i="1"/>
  <c r="AT663" i="1"/>
  <c r="AX676" i="1"/>
  <c r="AY676" i="1" s="1"/>
  <c r="AX670" i="1"/>
  <c r="AX671" i="1" s="1"/>
  <c r="AX657" i="1"/>
  <c r="AX673" i="1"/>
  <c r="AY673" i="1" s="1"/>
  <c r="AX602" i="1"/>
  <c r="AY602" i="1" s="1"/>
  <c r="AX596" i="1"/>
  <c r="AX599" i="1"/>
  <c r="AU597" i="1"/>
  <c r="AU603" i="1"/>
  <c r="AU600" i="1"/>
  <c r="BA617" i="1"/>
  <c r="BA614" i="1"/>
  <c r="AT633" i="1"/>
  <c r="AR691" i="1"/>
  <c r="AY657" i="1"/>
  <c r="AY658" i="1" s="1"/>
  <c r="AY670" i="1"/>
  <c r="AY671" i="1" s="1"/>
  <c r="BX13" i="13"/>
  <c r="BX107" i="13" s="1"/>
  <c r="BX755" i="1"/>
  <c r="BX761" i="1"/>
  <c r="AK843" i="1"/>
  <c r="AJ1031" i="1"/>
  <c r="AV696" i="1"/>
  <c r="BI6" i="9"/>
  <c r="BI114" i="9"/>
  <c r="BI78" i="9"/>
  <c r="BI124" i="9" s="1"/>
  <c r="BI115" i="9"/>
  <c r="BI79" i="9"/>
  <c r="BI81" i="9" s="1"/>
  <c r="BI118" i="9"/>
  <c r="BI116" i="9"/>
  <c r="AY613" i="1"/>
  <c r="AY618" i="1" s="1"/>
  <c r="AY616" i="1"/>
  <c r="AU699" i="1"/>
  <c r="AY647" i="1"/>
  <c r="AC336" i="11"/>
  <c r="AD333" i="11"/>
  <c r="AD334" i="11" s="1"/>
  <c r="AS604" i="1"/>
  <c r="AS601" i="1"/>
  <c r="AU576" i="1"/>
  <c r="AU580" i="1" s="1"/>
  <c r="AL671" i="1"/>
  <c r="AQ539" i="1"/>
  <c r="AR526" i="1" s="1"/>
  <c r="AR530" i="1" s="1"/>
  <c r="BR13" i="13"/>
  <c r="BR107" i="13" s="1"/>
  <c r="BR755" i="1"/>
  <c r="BB695" i="1"/>
  <c r="BB696" i="1" s="1"/>
  <c r="BB698" i="1"/>
  <c r="BB685" i="1"/>
  <c r="AL664" i="1"/>
  <c r="AL658" i="1"/>
  <c r="AL660" i="1" s="1"/>
  <c r="AL661" i="1"/>
  <c r="AT606" i="1"/>
  <c r="AT580" i="1"/>
  <c r="AS607" i="1"/>
  <c r="AS606" i="1"/>
  <c r="AT607" i="1"/>
  <c r="AX540" i="1"/>
  <c r="AU676" i="1"/>
  <c r="AU670" i="1"/>
  <c r="AU671" i="1" s="1"/>
  <c r="AU657" i="1"/>
  <c r="AU673" i="1"/>
  <c r="AM539" i="1"/>
  <c r="AN526" i="1" s="1"/>
  <c r="AN530" i="1" s="1"/>
  <c r="AY540" i="1"/>
  <c r="BX6" i="9"/>
  <c r="BX114" i="9"/>
  <c r="BX78" i="9"/>
  <c r="BX124" i="9" s="1"/>
  <c r="BX116" i="9"/>
  <c r="BX118" i="9"/>
  <c r="BX115" i="9"/>
  <c r="BX79" i="9"/>
  <c r="BX81" i="9" s="1"/>
  <c r="BC668" i="1"/>
  <c r="BC538" i="1"/>
  <c r="BC595" i="1"/>
  <c r="AU686" i="1"/>
  <c r="AU688" i="1" s="1"/>
  <c r="AU689" i="1"/>
  <c r="CI283" i="1"/>
  <c r="CI651" i="1"/>
  <c r="AY617" i="1"/>
  <c r="AY614" i="1"/>
  <c r="BJ5" i="13"/>
  <c r="BJ2" i="9"/>
  <c r="BI561" i="1"/>
  <c r="BI536" i="1"/>
  <c r="BI655" i="1"/>
  <c r="BH536" i="1"/>
  <c r="BH655" i="1"/>
  <c r="BI593" i="1"/>
  <c r="BH593" i="1"/>
  <c r="BK5" i="1"/>
  <c r="BJ1094" i="1" s="1"/>
  <c r="BH561" i="1"/>
  <c r="AJ643" i="1"/>
  <c r="AJ637" i="1"/>
  <c r="CJ56" i="9"/>
  <c r="CJ286" i="1"/>
  <c r="CK30" i="9"/>
  <c r="CK966" i="1"/>
  <c r="CK993" i="1"/>
  <c r="CK277" i="1"/>
  <c r="CK278" i="1" s="1"/>
  <c r="AX613" i="1"/>
  <c r="AX615" i="1" s="1"/>
  <c r="AX616" i="1"/>
  <c r="AX2" i="9"/>
  <c r="AX5" i="13"/>
  <c r="AW593" i="1"/>
  <c r="AW655" i="1"/>
  <c r="AW536" i="1"/>
  <c r="AW561" i="1"/>
  <c r="K123" i="9"/>
  <c r="K122" i="9"/>
  <c r="K126" i="9"/>
  <c r="AW622" i="1"/>
  <c r="AY579" i="1"/>
  <c r="AW618" i="1"/>
  <c r="AW626" i="1"/>
  <c r="AW623" i="1"/>
  <c r="AZ4" i="13"/>
  <c r="AQ541" i="1"/>
  <c r="AQ540" i="1"/>
  <c r="Z11" i="9"/>
  <c r="Z125" i="9"/>
  <c r="BR6" i="9"/>
  <c r="BR11" i="9" s="1"/>
  <c r="BR114" i="9"/>
  <c r="BR78" i="9"/>
  <c r="BR118" i="9"/>
  <c r="BR79" i="9"/>
  <c r="BR81" i="9" s="1"/>
  <c r="BR115" i="9"/>
  <c r="BR116" i="9"/>
  <c r="AY3" i="13"/>
  <c r="AT288" i="1"/>
  <c r="AT652" i="1"/>
  <c r="AX672" i="1"/>
  <c r="AY672" i="1" s="1"/>
  <c r="AX656" i="1"/>
  <c r="AX675" i="1"/>
  <c r="AY675" i="1" s="1"/>
  <c r="AU564" i="1"/>
  <c r="AV551" i="1" s="1"/>
  <c r="AV555" i="1" s="1"/>
  <c r="BA613" i="1"/>
  <c r="BA616" i="1"/>
  <c r="AO663" i="1"/>
  <c r="AO666" i="1"/>
  <c r="AP606" i="1"/>
  <c r="AP607" i="1"/>
  <c r="AY661" i="1"/>
  <c r="AS690" i="1"/>
  <c r="AS687" i="1"/>
  <c r="AZ616" i="1"/>
  <c r="AZ613" i="1"/>
  <c r="BD668" i="1"/>
  <c r="BD669" i="1"/>
  <c r="BD563" i="1"/>
  <c r="BD538" i="1"/>
  <c r="BD594" i="1"/>
  <c r="BD537" i="1"/>
  <c r="BD595" i="1"/>
  <c r="BD562" i="1"/>
  <c r="AS662" i="1"/>
  <c r="AS665" i="1"/>
  <c r="AT665" i="1" s="1"/>
  <c r="AS659" i="1"/>
  <c r="AL601" i="1"/>
  <c r="AM576" i="1"/>
  <c r="AM580" i="1" s="1"/>
  <c r="AL604" i="1"/>
  <c r="CI874" i="1"/>
  <c r="CI997" i="1"/>
  <c r="CH1011" i="1"/>
  <c r="CI1011" i="1" s="1"/>
  <c r="BF921" i="1"/>
  <c r="BG915" i="1"/>
  <c r="BG916" i="1" s="1"/>
  <c r="AP661" i="1"/>
  <c r="AP658" i="1"/>
  <c r="AP664" i="1"/>
  <c r="AT690" i="1"/>
  <c r="AT687" i="1"/>
  <c r="CJ30" i="9"/>
  <c r="CJ993" i="1"/>
  <c r="CJ966" i="1"/>
  <c r="CJ870" i="1" s="1"/>
  <c r="CJ277" i="1"/>
  <c r="CJ278" i="1" s="1"/>
  <c r="U122" i="9"/>
  <c r="U123" i="9"/>
  <c r="U126" i="9"/>
  <c r="CK56" i="9"/>
  <c r="CK286" i="1"/>
  <c r="AL585" i="1"/>
  <c r="AL588" i="1"/>
  <c r="AL372" i="1"/>
  <c r="AL582" i="1"/>
  <c r="AX617" i="1"/>
  <c r="AX614" i="1"/>
  <c r="AP691" i="1"/>
  <c r="AT631" i="1"/>
  <c r="AT615" i="1"/>
  <c r="AQ602" i="1"/>
  <c r="AQ596" i="1"/>
  <c r="AQ598" i="1" s="1"/>
  <c r="AQ599" i="1"/>
  <c r="AH604" i="1"/>
  <c r="AH601" i="1"/>
  <c r="AI576" i="1"/>
  <c r="AI580" i="1" s="1"/>
  <c r="AS686" i="1"/>
  <c r="AS688" i="1" s="1"/>
  <c r="AS689" i="1"/>
  <c r="AU599" i="1"/>
  <c r="AU602" i="1"/>
  <c r="AU596" i="1"/>
  <c r="AU566" i="1"/>
  <c r="AU565" i="1"/>
  <c r="BA698" i="1"/>
  <c r="BA695" i="1"/>
  <c r="BA696" i="1" s="1"/>
  <c r="BA685" i="1"/>
  <c r="CH455" i="1"/>
  <c r="CH450" i="1"/>
  <c r="CI444" i="1"/>
  <c r="CI436" i="1" s="1"/>
  <c r="CI714" i="1" s="1"/>
  <c r="CI448" i="1"/>
  <c r="BD11" i="9"/>
  <c r="BD125" i="9"/>
  <c r="AM676" i="1"/>
  <c r="AM670" i="1"/>
  <c r="AM671" i="1" s="1"/>
  <c r="AM657" i="1"/>
  <c r="AM673" i="1"/>
  <c r="AY646" i="1"/>
  <c r="AS699" i="1"/>
  <c r="AZ614" i="1"/>
  <c r="AZ615" i="1"/>
  <c r="AZ617" i="1"/>
  <c r="AK639" i="1"/>
  <c r="AK642" i="1"/>
  <c r="AK379" i="1"/>
  <c r="AK636" i="1"/>
  <c r="AY649" i="1"/>
  <c r="AW699" i="1"/>
  <c r="AZ563" i="1"/>
  <c r="AZ562" i="1"/>
  <c r="AZ538" i="1"/>
  <c r="AZ537" i="1"/>
  <c r="AZ669" i="1"/>
  <c r="AZ668" i="1"/>
  <c r="AZ595" i="1"/>
  <c r="AZ594" i="1"/>
  <c r="CI870" i="1"/>
  <c r="AO379" i="1"/>
  <c r="AO636" i="1"/>
  <c r="AY697" i="1"/>
  <c r="AY684" i="1"/>
  <c r="BC693" i="1"/>
  <c r="BC694" i="1"/>
  <c r="BC612" i="1"/>
  <c r="AJ11" i="9"/>
  <c r="AJ125" i="9"/>
  <c r="CJ396" i="1"/>
  <c r="CJ293" i="1"/>
  <c r="CJ60" i="9" s="1"/>
  <c r="CK293" i="1"/>
  <c r="CK60" i="9" s="1"/>
  <c r="CK396" i="1"/>
  <c r="CB399" i="1"/>
  <c r="CC925" i="1"/>
  <c r="CB973" i="1"/>
  <c r="AO123" i="9"/>
  <c r="AO122" i="9"/>
  <c r="AO126" i="9"/>
  <c r="D122" i="9"/>
  <c r="D123" i="9"/>
  <c r="D126" i="9"/>
  <c r="AV622" i="1"/>
  <c r="AV626" i="1"/>
  <c r="AV623" i="1"/>
  <c r="AV618" i="1"/>
  <c r="AY578" i="1"/>
  <c r="AQ675" i="1"/>
  <c r="AQ656" i="1"/>
  <c r="AQ672" i="1"/>
  <c r="AP372" i="1"/>
  <c r="AP588" i="1"/>
  <c r="AP585" i="1"/>
  <c r="AP582" i="1"/>
  <c r="V283" i="11"/>
  <c r="U408" i="11"/>
  <c r="AP630" i="1"/>
  <c r="AP634" i="1" s="1"/>
  <c r="AN666" i="1"/>
  <c r="AN663" i="1"/>
  <c r="CG69" i="9"/>
  <c r="CG1036" i="1"/>
  <c r="CG902" i="1"/>
  <c r="CF6" i="9"/>
  <c r="N200" i="10"/>
  <c r="N185" i="10"/>
  <c r="N182" i="10"/>
  <c r="N204" i="10"/>
  <c r="N170" i="10"/>
  <c r="N199" i="10"/>
  <c r="N213" i="10"/>
  <c r="N209" i="10"/>
  <c r="N176" i="10"/>
  <c r="N187" i="10"/>
  <c r="N195" i="10"/>
  <c r="N174" i="10"/>
  <c r="N177" i="10"/>
  <c r="N202" i="10"/>
  <c r="N189" i="10"/>
  <c r="N207" i="10"/>
  <c r="N173" i="10"/>
  <c r="N171" i="10"/>
  <c r="N203" i="10"/>
  <c r="N191" i="10"/>
  <c r="N210" i="10"/>
  <c r="N184" i="10"/>
  <c r="N206" i="10"/>
  <c r="N192" i="10"/>
  <c r="N181" i="10"/>
  <c r="N180" i="10"/>
  <c r="N178" i="10"/>
  <c r="N188" i="10"/>
  <c r="N193" i="10"/>
  <c r="N169" i="10"/>
  <c r="N198" i="10"/>
  <c r="N196" i="10"/>
  <c r="BJ1111" i="1" l="1"/>
  <c r="BJ1113" i="1"/>
  <c r="BJ1120" i="1"/>
  <c r="BJ1119" i="1"/>
  <c r="BJ1117" i="1"/>
  <c r="BJ1124" i="1"/>
  <c r="BJ1114" i="1"/>
  <c r="BJ1118" i="1"/>
  <c r="BJ1121" i="1"/>
  <c r="BJ1123" i="1"/>
  <c r="BJ1115" i="1"/>
  <c r="BJ1122" i="1"/>
  <c r="BJ1116" i="1"/>
  <c r="BI1111" i="1"/>
  <c r="BI1113" i="1"/>
  <c r="BI1116" i="1"/>
  <c r="BI1114" i="1"/>
  <c r="BI1122" i="1"/>
  <c r="BI1118" i="1"/>
  <c r="BI1124" i="1"/>
  <c r="BI1121" i="1"/>
  <c r="BI1123" i="1"/>
  <c r="BI1115" i="1"/>
  <c r="BI1120" i="1"/>
  <c r="BI1119" i="1"/>
  <c r="BI1117" i="1"/>
  <c r="BD3" i="13"/>
  <c r="BJ1096" i="1"/>
  <c r="BJ1104" i="1"/>
  <c r="BJ1097" i="1"/>
  <c r="BJ1106" i="1"/>
  <c r="BJ1101" i="1"/>
  <c r="BJ1098" i="1"/>
  <c r="BJ1105" i="1"/>
  <c r="BJ1095" i="1"/>
  <c r="BJ1103" i="1"/>
  <c r="BJ1099" i="1"/>
  <c r="BJ1100" i="1"/>
  <c r="BJ1102" i="1"/>
  <c r="BF1095" i="1"/>
  <c r="BF1101" i="1"/>
  <c r="BF1103" i="1"/>
  <c r="BF1099" i="1"/>
  <c r="BF1100" i="1"/>
  <c r="BF1096" i="1"/>
  <c r="BF1104" i="1"/>
  <c r="BF1098" i="1"/>
  <c r="BF1102" i="1"/>
  <c r="BF1106" i="1"/>
  <c r="BF1097" i="1"/>
  <c r="BF1105" i="1"/>
  <c r="BN1094" i="1"/>
  <c r="BM1094" i="1"/>
  <c r="BH1111" i="1"/>
  <c r="BH1124" i="1"/>
  <c r="BH1117" i="1"/>
  <c r="BH1118" i="1"/>
  <c r="BH1115" i="1"/>
  <c r="BH1114" i="1"/>
  <c r="BH1122" i="1"/>
  <c r="BH1121" i="1"/>
  <c r="BH1113" i="1"/>
  <c r="BH1116" i="1"/>
  <c r="BH1119" i="1"/>
  <c r="BH1123" i="1"/>
  <c r="BH1120" i="1"/>
  <c r="BL1115" i="1"/>
  <c r="BL1124" i="1"/>
  <c r="BL1117" i="1"/>
  <c r="BL1121" i="1"/>
  <c r="BL1116" i="1"/>
  <c r="BL1122" i="1"/>
  <c r="BL1120" i="1"/>
  <c r="BL1119" i="1"/>
  <c r="BL1114" i="1"/>
  <c r="BL1123" i="1"/>
  <c r="BL1118" i="1"/>
  <c r="BL1113" i="1"/>
  <c r="BB1103" i="1"/>
  <c r="BB1100" i="1"/>
  <c r="BB1097" i="1"/>
  <c r="BB1104" i="1"/>
  <c r="BB1102" i="1"/>
  <c r="BB1105" i="1"/>
  <c r="BB1101" i="1"/>
  <c r="BB1099" i="1"/>
  <c r="BB1098" i="1"/>
  <c r="BB1106" i="1"/>
  <c r="BB1095" i="1"/>
  <c r="BB1096" i="1"/>
  <c r="BN1112" i="1"/>
  <c r="BO1112" i="1"/>
  <c r="BM1112" i="1"/>
  <c r="BP1112" i="1"/>
  <c r="BQ1112" i="1"/>
  <c r="BD564" i="1"/>
  <c r="BK1111" i="1"/>
  <c r="BK1120" i="1"/>
  <c r="BK1118" i="1"/>
  <c r="BK1114" i="1"/>
  <c r="BK1116" i="1"/>
  <c r="BK1122" i="1"/>
  <c r="BK1119" i="1"/>
  <c r="BK1124" i="1"/>
  <c r="BK1113" i="1"/>
  <c r="BK1123" i="1"/>
  <c r="BK1115" i="1"/>
  <c r="BK1121" i="1"/>
  <c r="BK1117" i="1"/>
  <c r="AW1102" i="1"/>
  <c r="AW1101" i="1"/>
  <c r="AW1097" i="1"/>
  <c r="AW1099" i="1"/>
  <c r="AW1095" i="1"/>
  <c r="AW1103" i="1"/>
  <c r="AW1105" i="1"/>
  <c r="AW1106" i="1"/>
  <c r="AW1096" i="1"/>
  <c r="AW1098" i="1"/>
  <c r="AW1100" i="1"/>
  <c r="AW1104" i="1"/>
  <c r="BH1096" i="1"/>
  <c r="BH1097" i="1"/>
  <c r="BH1106" i="1"/>
  <c r="BH1103" i="1"/>
  <c r="BH1100" i="1"/>
  <c r="BH1105" i="1"/>
  <c r="BH1098" i="1"/>
  <c r="BH668" i="1" s="1"/>
  <c r="BH1095" i="1"/>
  <c r="BH1101" i="1"/>
  <c r="BH1102" i="1"/>
  <c r="BH1104" i="1"/>
  <c r="BH1099" i="1"/>
  <c r="BI1104" i="1"/>
  <c r="BI562" i="1" s="1"/>
  <c r="BI1100" i="1"/>
  <c r="BI1098" i="1"/>
  <c r="BI668" i="1" s="1"/>
  <c r="BI1096" i="1"/>
  <c r="BI1105" i="1"/>
  <c r="BI563" i="1" s="1"/>
  <c r="BI1102" i="1"/>
  <c r="BI538" i="1" s="1"/>
  <c r="BI1106" i="1"/>
  <c r="BI1099" i="1"/>
  <c r="BI1101" i="1"/>
  <c r="BI537" i="1" s="1"/>
  <c r="BI1097" i="1"/>
  <c r="BI1103" i="1"/>
  <c r="BI1095" i="1"/>
  <c r="BI594" i="1" s="1"/>
  <c r="AV539" i="1"/>
  <c r="AW526" i="1" s="1"/>
  <c r="AW530" i="1" s="1"/>
  <c r="AX541" i="1"/>
  <c r="AZ564" i="1"/>
  <c r="BA551" i="1" s="1"/>
  <c r="BA555" i="1" s="1"/>
  <c r="AR564" i="1"/>
  <c r="AS551" i="1" s="1"/>
  <c r="AS555" i="1" s="1"/>
  <c r="AV564" i="1"/>
  <c r="AW551" i="1" s="1"/>
  <c r="AW555" i="1" s="1"/>
  <c r="AW711" i="1" s="1"/>
  <c r="AR625" i="1"/>
  <c r="AR627" i="1" s="1"/>
  <c r="AY615" i="1"/>
  <c r="AT688" i="1"/>
  <c r="AZ539" i="1"/>
  <c r="BA526" i="1" s="1"/>
  <c r="BA530" i="1" s="1"/>
  <c r="BA532" i="1" s="1"/>
  <c r="BA533" i="1" s="1"/>
  <c r="AY696" i="1"/>
  <c r="CG5" i="9"/>
  <c r="CG6" i="9" s="1"/>
  <c r="Q171" i="10"/>
  <c r="P171" i="10"/>
  <c r="P169" i="10"/>
  <c r="Q169" i="10"/>
  <c r="Q181" i="10"/>
  <c r="P181" i="10"/>
  <c r="Q207" i="10"/>
  <c r="P207" i="10"/>
  <c r="Q202" i="10"/>
  <c r="P202" i="10"/>
  <c r="P204" i="10"/>
  <c r="Q204" i="10"/>
  <c r="P210" i="10"/>
  <c r="Q210" i="10"/>
  <c r="P187" i="10"/>
  <c r="Q187" i="10"/>
  <c r="Q180" i="10"/>
  <c r="P180" i="10"/>
  <c r="Q193" i="10"/>
  <c r="P193" i="10"/>
  <c r="Q192" i="10"/>
  <c r="P192" i="10"/>
  <c r="P199" i="10"/>
  <c r="Q199" i="10"/>
  <c r="Q177" i="10"/>
  <c r="P177" i="10"/>
  <c r="P182" i="10"/>
  <c r="Q182" i="10"/>
  <c r="Q191" i="10"/>
  <c r="P191" i="10"/>
  <c r="Q176" i="10"/>
  <c r="P176" i="10"/>
  <c r="Q198" i="10"/>
  <c r="P198" i="10"/>
  <c r="P188" i="10"/>
  <c r="Q188" i="10"/>
  <c r="Q206" i="10"/>
  <c r="P206" i="10"/>
  <c r="Q170" i="10"/>
  <c r="P170" i="10"/>
  <c r="Q174" i="10"/>
  <c r="P174" i="10"/>
  <c r="Q185" i="10"/>
  <c r="P185" i="10"/>
  <c r="Q196" i="10"/>
  <c r="P196" i="10"/>
  <c r="Q209" i="10"/>
  <c r="P209" i="10"/>
  <c r="P173" i="10"/>
  <c r="Q173" i="10"/>
  <c r="P178" i="10"/>
  <c r="Q178" i="10"/>
  <c r="P184" i="10"/>
  <c r="Q184" i="10"/>
  <c r="Q189" i="10"/>
  <c r="P189" i="10"/>
  <c r="P195" i="10"/>
  <c r="Q195" i="10"/>
  <c r="Q200" i="10"/>
  <c r="P200" i="10"/>
  <c r="P203" i="10"/>
  <c r="Q203" i="10"/>
  <c r="Q213" i="10"/>
  <c r="P213" i="10"/>
  <c r="CI69" i="9"/>
  <c r="CI1036" i="1"/>
  <c r="CI902" i="1"/>
  <c r="CI910" i="1" s="1"/>
  <c r="AY689" i="1"/>
  <c r="AY686" i="1"/>
  <c r="AY691" i="1" s="1"/>
  <c r="AZ602" i="1"/>
  <c r="AZ596" i="1"/>
  <c r="AZ598" i="1" s="1"/>
  <c r="AZ599" i="1"/>
  <c r="AI588" i="1"/>
  <c r="AI585" i="1"/>
  <c r="AI372" i="1"/>
  <c r="AI582" i="1"/>
  <c r="CJ997" i="1"/>
  <c r="CJ874" i="1"/>
  <c r="CJ65" i="9" s="1"/>
  <c r="AM588" i="1"/>
  <c r="AM372" i="1"/>
  <c r="AM585" i="1"/>
  <c r="AM582" i="1"/>
  <c r="BD539" i="1"/>
  <c r="BD541" i="1" s="1"/>
  <c r="BD656" i="1"/>
  <c r="AY666" i="1"/>
  <c r="AY663" i="1"/>
  <c r="BA626" i="1"/>
  <c r="BD578" i="1"/>
  <c r="BA618" i="1"/>
  <c r="BA623" i="1"/>
  <c r="BA622" i="1"/>
  <c r="AY580" i="1"/>
  <c r="AY607" i="1"/>
  <c r="AX607" i="1"/>
  <c r="AY606" i="1"/>
  <c r="AX606" i="1"/>
  <c r="BK5" i="13"/>
  <c r="BK2" i="9"/>
  <c r="BJ593" i="1"/>
  <c r="BJ655" i="1"/>
  <c r="BJ536" i="1"/>
  <c r="BJ561" i="1"/>
  <c r="BL5" i="1"/>
  <c r="BK1094" i="1" s="1"/>
  <c r="BI669" i="1"/>
  <c r="BI595" i="1"/>
  <c r="AN114" i="1"/>
  <c r="AN532" i="1"/>
  <c r="AN533" i="1" s="1"/>
  <c r="BB690" i="1"/>
  <c r="BB687" i="1"/>
  <c r="AL843" i="1"/>
  <c r="AK844" i="1"/>
  <c r="AK1031" i="1" s="1"/>
  <c r="AT634" i="1"/>
  <c r="AR565" i="1"/>
  <c r="BE698" i="1"/>
  <c r="BE695" i="1"/>
  <c r="BE696" i="1" s="1"/>
  <c r="BE685" i="1"/>
  <c r="AO589" i="1"/>
  <c r="AO583" i="1"/>
  <c r="BE669" i="1"/>
  <c r="BE537" i="1"/>
  <c r="BE668" i="1"/>
  <c r="BE594" i="1"/>
  <c r="BE562" i="1"/>
  <c r="BE563" i="1"/>
  <c r="BE538" i="1"/>
  <c r="BE595" i="1"/>
  <c r="BF684" i="1"/>
  <c r="BF697" i="1"/>
  <c r="BL694" i="1"/>
  <c r="BL693" i="1"/>
  <c r="BL612" i="1"/>
  <c r="BL611" i="1"/>
  <c r="AH663" i="1"/>
  <c r="AI630" i="1"/>
  <c r="AI634" i="1" s="1"/>
  <c r="AH666" i="1"/>
  <c r="AU661" i="1"/>
  <c r="AU658" i="1"/>
  <c r="AU664" i="1"/>
  <c r="AV606" i="1"/>
  <c r="AV607" i="1"/>
  <c r="BC614" i="1"/>
  <c r="BC617" i="1"/>
  <c r="CG910" i="1"/>
  <c r="CH902" i="1"/>
  <c r="AP589" i="1"/>
  <c r="AP583" i="1"/>
  <c r="AP586" i="1"/>
  <c r="AP620" i="1"/>
  <c r="AP621" i="1" s="1"/>
  <c r="CJ38" i="9"/>
  <c r="CJ97" i="9" s="1"/>
  <c r="CJ98" i="9" s="1"/>
  <c r="CJ294" i="1"/>
  <c r="CJ61" i="9" s="1"/>
  <c r="CJ1027" i="1"/>
  <c r="AZ600" i="1"/>
  <c r="AZ603" i="1"/>
  <c r="AZ597" i="1"/>
  <c r="BA711" i="1"/>
  <c r="BA557" i="1"/>
  <c r="BA558" i="1" s="1"/>
  <c r="AM665" i="1"/>
  <c r="AM659" i="1"/>
  <c r="AM662" i="1"/>
  <c r="AV576" i="1"/>
  <c r="AV580" i="1" s="1"/>
  <c r="AU604" i="1"/>
  <c r="AU601" i="1"/>
  <c r="CK1035" i="1"/>
  <c r="BG921" i="1"/>
  <c r="BH915" i="1"/>
  <c r="BH916" i="1" s="1"/>
  <c r="BD599" i="1"/>
  <c r="BD596" i="1"/>
  <c r="BD598" i="1" s="1"/>
  <c r="AV711" i="1"/>
  <c r="AV557" i="1"/>
  <c r="AV558" i="1" s="1"/>
  <c r="Z122" i="9"/>
  <c r="Z123" i="9"/>
  <c r="Z126" i="9"/>
  <c r="AW538" i="1"/>
  <c r="AW594" i="1"/>
  <c r="AW595" i="1"/>
  <c r="AW537" i="1"/>
  <c r="AW668" i="1"/>
  <c r="AW669" i="1"/>
  <c r="BH563" i="1"/>
  <c r="BH562" i="1"/>
  <c r="BH564" i="1" s="1"/>
  <c r="BJ551" i="1" s="1"/>
  <c r="BJ555" i="1" s="1"/>
  <c r="BH538" i="1"/>
  <c r="BH537" i="1"/>
  <c r="BH669" i="1"/>
  <c r="BH595" i="1"/>
  <c r="BH594" i="1"/>
  <c r="BC676" i="1"/>
  <c r="BD676" i="1" s="1"/>
  <c r="BC670" i="1"/>
  <c r="BC671" i="1" s="1"/>
  <c r="BC657" i="1"/>
  <c r="BC673" i="1"/>
  <c r="BD673" i="1" s="1"/>
  <c r="AU588" i="1"/>
  <c r="AU585" i="1"/>
  <c r="AU372" i="1"/>
  <c r="AU582" i="1"/>
  <c r="AX604" i="1"/>
  <c r="AZ576" i="1"/>
  <c r="AZ580" i="1" s="1"/>
  <c r="AX601" i="1"/>
  <c r="AI288" i="1"/>
  <c r="AI652" i="1"/>
  <c r="AR656" i="1"/>
  <c r="AR675" i="1"/>
  <c r="AR672" i="1"/>
  <c r="BI758" i="1"/>
  <c r="BI759" i="1"/>
  <c r="BI762" i="1"/>
  <c r="BN759" i="1"/>
  <c r="BN758" i="1"/>
  <c r="BN762" i="1"/>
  <c r="AW557" i="1"/>
  <c r="AW558" i="1" s="1"/>
  <c r="BD613" i="1"/>
  <c r="BD618" i="1" s="1"/>
  <c r="BD616" i="1"/>
  <c r="AU607" i="1"/>
  <c r="AU606" i="1"/>
  <c r="CB934" i="1"/>
  <c r="CB933" i="1" s="1"/>
  <c r="CC978" i="1"/>
  <c r="BF698" i="1"/>
  <c r="BF685" i="1"/>
  <c r="BF695" i="1"/>
  <c r="BS5" i="13"/>
  <c r="BS2" i="9"/>
  <c r="BO683" i="1"/>
  <c r="BN683" i="1"/>
  <c r="BP610" i="1"/>
  <c r="BQ568" i="1"/>
  <c r="BQ543" i="1"/>
  <c r="BP568" i="1"/>
  <c r="BO543" i="1"/>
  <c r="BQ610" i="1"/>
  <c r="BO568" i="1"/>
  <c r="BN543" i="1"/>
  <c r="BO610" i="1"/>
  <c r="BN568" i="1"/>
  <c r="BM543" i="1"/>
  <c r="BN610" i="1"/>
  <c r="BM568" i="1"/>
  <c r="BQ683" i="1"/>
  <c r="BP683" i="1"/>
  <c r="BM610" i="1"/>
  <c r="BX5" i="1"/>
  <c r="BM683" i="1"/>
  <c r="BP543" i="1"/>
  <c r="BT5" i="1"/>
  <c r="P217" i="11"/>
  <c r="P222" i="11"/>
  <c r="AY601" i="1"/>
  <c r="AY604" i="1"/>
  <c r="AK640" i="1"/>
  <c r="AK643" i="1"/>
  <c r="AK637" i="1"/>
  <c r="CJ651" i="1"/>
  <c r="CJ283" i="1"/>
  <c r="AP663" i="1"/>
  <c r="AQ630" i="1"/>
  <c r="AQ634" i="1" s="1"/>
  <c r="AP666" i="1"/>
  <c r="W283" i="11"/>
  <c r="V284" i="11"/>
  <c r="V408" i="11" s="1"/>
  <c r="AW606" i="1"/>
  <c r="AW607" i="1"/>
  <c r="CC973" i="1"/>
  <c r="CB928" i="1"/>
  <c r="CB927" i="1" s="1"/>
  <c r="AJ122" i="9"/>
  <c r="AJ123" i="9"/>
  <c r="AJ126" i="9"/>
  <c r="BC616" i="1"/>
  <c r="BC613" i="1"/>
  <c r="AO637" i="1"/>
  <c r="AO643" i="1"/>
  <c r="AZ565" i="1"/>
  <c r="AZ566" i="1"/>
  <c r="AM674" i="1"/>
  <c r="AN646" i="1"/>
  <c r="AN650" i="1" s="1"/>
  <c r="AM677" i="1"/>
  <c r="CH5" i="9"/>
  <c r="CH754" i="1"/>
  <c r="AZ626" i="1"/>
  <c r="AZ618" i="1"/>
  <c r="BD577" i="1"/>
  <c r="AZ623" i="1"/>
  <c r="AZ622" i="1"/>
  <c r="AX4" i="13"/>
  <c r="AX3" i="13"/>
  <c r="AY631" i="1"/>
  <c r="AU691" i="1"/>
  <c r="BC540" i="1"/>
  <c r="BC541" i="1"/>
  <c r="BX758" i="1"/>
  <c r="BX759" i="1"/>
  <c r="BX762" i="1"/>
  <c r="BD579" i="1"/>
  <c r="BB618" i="1"/>
  <c r="BB623" i="1"/>
  <c r="BB626" i="1"/>
  <c r="BB622" i="1"/>
  <c r="AR673" i="1"/>
  <c r="AR670" i="1"/>
  <c r="AR657" i="1"/>
  <c r="AR676" i="1"/>
  <c r="AR671" i="1"/>
  <c r="AV603" i="1"/>
  <c r="AV597" i="1"/>
  <c r="AV600" i="1"/>
  <c r="BD617" i="1"/>
  <c r="BD614" i="1"/>
  <c r="BA563" i="1"/>
  <c r="BA562" i="1"/>
  <c r="BA538" i="1"/>
  <c r="BA537" i="1"/>
  <c r="BA669" i="1"/>
  <c r="BA668" i="1"/>
  <c r="BA595" i="1"/>
  <c r="BA594" i="1"/>
  <c r="BG2" i="9"/>
  <c r="BG5" i="13"/>
  <c r="BF655" i="1"/>
  <c r="BF593" i="1"/>
  <c r="BF536" i="1"/>
  <c r="BF561" i="1"/>
  <c r="BH5" i="1"/>
  <c r="BG1094" i="1" s="1"/>
  <c r="BZ1015" i="1"/>
  <c r="BH694" i="1"/>
  <c r="BH611" i="1"/>
  <c r="BH569" i="1"/>
  <c r="BH612" i="1"/>
  <c r="BH570" i="1"/>
  <c r="BH693" i="1"/>
  <c r="BS13" i="13"/>
  <c r="BS107" i="13" s="1"/>
  <c r="BS755" i="1"/>
  <c r="BS761" i="1"/>
  <c r="AZ686" i="1"/>
  <c r="AZ688" i="1" s="1"/>
  <c r="AZ689" i="1"/>
  <c r="BG697" i="1"/>
  <c r="BG684" i="1"/>
  <c r="BG613" i="1"/>
  <c r="BG616" i="1"/>
  <c r="AL639" i="1"/>
  <c r="AL642" i="1"/>
  <c r="AL379" i="1"/>
  <c r="AL636" i="1"/>
  <c r="AZ656" i="1"/>
  <c r="AZ675" i="1"/>
  <c r="AZ672" i="1"/>
  <c r="BA687" i="1"/>
  <c r="BA690" i="1"/>
  <c r="AX661" i="1"/>
  <c r="AX664" i="1"/>
  <c r="AY664" i="1" s="1"/>
  <c r="AX658" i="1"/>
  <c r="AX660" i="1" s="1"/>
  <c r="CJ1035" i="1"/>
  <c r="BJ4" i="13"/>
  <c r="BC564" i="1"/>
  <c r="BE551" i="1" s="1"/>
  <c r="BE555" i="1" s="1"/>
  <c r="BC672" i="1"/>
  <c r="BD672" i="1" s="1"/>
  <c r="BC656" i="1"/>
  <c r="BC675" i="1"/>
  <c r="BD675" i="1" s="1"/>
  <c r="AU665" i="1"/>
  <c r="AU659" i="1"/>
  <c r="AU660" i="1"/>
  <c r="AU662" i="1"/>
  <c r="AT588" i="1"/>
  <c r="AT372" i="1"/>
  <c r="AT582" i="1"/>
  <c r="BB699" i="1"/>
  <c r="BD649" i="1"/>
  <c r="BA615" i="1"/>
  <c r="AY633" i="1"/>
  <c r="AW691" i="1"/>
  <c r="AZ711" i="1"/>
  <c r="AZ557" i="1"/>
  <c r="AZ558" i="1" s="1"/>
  <c r="AV670" i="1"/>
  <c r="AV671" i="1" s="1"/>
  <c r="AV657" i="1"/>
  <c r="AV676" i="1"/>
  <c r="AV673" i="1"/>
  <c r="AV599" i="1"/>
  <c r="AV596" i="1"/>
  <c r="AW625" i="1" s="1"/>
  <c r="AW627" i="1" s="1"/>
  <c r="AV602" i="1"/>
  <c r="AX598" i="1"/>
  <c r="BO2" i="9"/>
  <c r="BO5" i="13"/>
  <c r="BN655" i="1"/>
  <c r="BM593" i="1"/>
  <c r="BM655" i="1"/>
  <c r="BN561" i="1"/>
  <c r="BM561" i="1"/>
  <c r="BN593" i="1"/>
  <c r="BN536" i="1"/>
  <c r="BM536" i="1"/>
  <c r="BP5" i="1"/>
  <c r="BO1094" i="1" s="1"/>
  <c r="BI569" i="1"/>
  <c r="BI612" i="1"/>
  <c r="BI570" i="1"/>
  <c r="BI694" i="1"/>
  <c r="BI693" i="1"/>
  <c r="BI611" i="1"/>
  <c r="T4" i="11"/>
  <c r="S3" i="11"/>
  <c r="S449" i="11" s="1"/>
  <c r="BS6" i="9"/>
  <c r="BS114" i="9"/>
  <c r="BS78" i="9"/>
  <c r="BS124" i="9" s="1"/>
  <c r="BS79" i="9"/>
  <c r="BS81" i="9" s="1"/>
  <c r="BS115" i="9"/>
  <c r="BS118" i="9"/>
  <c r="BS116" i="9"/>
  <c r="BG698" i="1"/>
  <c r="BG685" i="1"/>
  <c r="BG695" i="1"/>
  <c r="AZ657" i="1"/>
  <c r="AZ676" i="1"/>
  <c r="AZ673" i="1"/>
  <c r="AZ670" i="1"/>
  <c r="AQ604" i="1"/>
  <c r="AQ601" i="1"/>
  <c r="AR576" i="1"/>
  <c r="AR580" i="1" s="1"/>
  <c r="AL620" i="1"/>
  <c r="AL621" i="1" s="1"/>
  <c r="AL589" i="1"/>
  <c r="AL583" i="1"/>
  <c r="AL586" i="1"/>
  <c r="CJ1011" i="1"/>
  <c r="BC600" i="1"/>
  <c r="BC597" i="1"/>
  <c r="BC603" i="1"/>
  <c r="BD603" i="1" s="1"/>
  <c r="AU674" i="1"/>
  <c r="AU677" i="1"/>
  <c r="AV646" i="1"/>
  <c r="AV650" i="1" s="1"/>
  <c r="BI11" i="9"/>
  <c r="BI125" i="9"/>
  <c r="AU598" i="1"/>
  <c r="AI333" i="11"/>
  <c r="AI334" i="11" s="1"/>
  <c r="AH336" i="11"/>
  <c r="AR539" i="1"/>
  <c r="AS526" i="1" s="1"/>
  <c r="AS530" i="1" s="1"/>
  <c r="BE613" i="1"/>
  <c r="BE616" i="1"/>
  <c r="AN576" i="1"/>
  <c r="AN580" i="1" s="1"/>
  <c r="AM604" i="1"/>
  <c r="AM601" i="1"/>
  <c r="AV672" i="1"/>
  <c r="AV656" i="1"/>
  <c r="AV675" i="1"/>
  <c r="AP660" i="1"/>
  <c r="BD684" i="1"/>
  <c r="BD697" i="1"/>
  <c r="BB4" i="13"/>
  <c r="BB3" i="13"/>
  <c r="AZ690" i="1"/>
  <c r="AZ687" i="1"/>
  <c r="BZ877" i="1"/>
  <c r="BZ703" i="1"/>
  <c r="BJ570" i="1"/>
  <c r="BJ569" i="1"/>
  <c r="BJ571" i="1" s="1"/>
  <c r="BN552" i="1" s="1"/>
  <c r="BN555" i="1" s="1"/>
  <c r="BJ694" i="1"/>
  <c r="BJ693" i="1"/>
  <c r="BJ612" i="1"/>
  <c r="BJ611" i="1"/>
  <c r="AM598" i="1"/>
  <c r="AX566" i="1"/>
  <c r="AQ662" i="1"/>
  <c r="AQ665" i="1"/>
  <c r="AQ659" i="1"/>
  <c r="AX689" i="1"/>
  <c r="AX686" i="1"/>
  <c r="AX688" i="1" s="1"/>
  <c r="BC695" i="1"/>
  <c r="BC696" i="1" s="1"/>
  <c r="BC698" i="1"/>
  <c r="BC685" i="1"/>
  <c r="CB117" i="1"/>
  <c r="CB400" i="1"/>
  <c r="CC399" i="1"/>
  <c r="CC400" i="1" s="1"/>
  <c r="AP642" i="1"/>
  <c r="AP639" i="1"/>
  <c r="AP379" i="1"/>
  <c r="AP636" i="1"/>
  <c r="AQ664" i="1"/>
  <c r="AQ658" i="1"/>
  <c r="AQ660" i="1" s="1"/>
  <c r="AQ661" i="1"/>
  <c r="CK38" i="9"/>
  <c r="CK97" i="9" s="1"/>
  <c r="CK98" i="9" s="1"/>
  <c r="CK294" i="1"/>
  <c r="CK61" i="9" s="1"/>
  <c r="CK1027" i="1"/>
  <c r="BC697" i="1"/>
  <c r="BC684" i="1"/>
  <c r="CI65" i="9"/>
  <c r="AY650" i="1"/>
  <c r="BD123" i="9"/>
  <c r="BD122" i="9"/>
  <c r="BD126" i="9"/>
  <c r="BD648" i="1"/>
  <c r="BA699" i="1"/>
  <c r="AY630" i="1"/>
  <c r="AS691" i="1"/>
  <c r="CI108" i="9"/>
  <c r="CI109" i="9" s="1"/>
  <c r="CI1006" i="1"/>
  <c r="BD540" i="1"/>
  <c r="BD576" i="1"/>
  <c r="AZ625" i="1"/>
  <c r="AX618" i="1"/>
  <c r="BE114" i="1"/>
  <c r="BE532" i="1"/>
  <c r="BE533" i="1" s="1"/>
  <c r="BX11" i="9"/>
  <c r="BX125" i="9"/>
  <c r="AD336" i="11"/>
  <c r="AY662" i="1"/>
  <c r="AY660" i="1"/>
  <c r="AY659" i="1"/>
  <c r="AX665" i="1"/>
  <c r="AY665" i="1" s="1"/>
  <c r="AX659" i="1"/>
  <c r="AX662" i="1"/>
  <c r="AQ588" i="1"/>
  <c r="AQ585" i="1"/>
  <c r="AQ372" i="1"/>
  <c r="AQ582" i="1"/>
  <c r="BN11" i="9"/>
  <c r="BN125" i="9"/>
  <c r="AR540" i="1"/>
  <c r="BE617" i="1"/>
  <c r="BE614" i="1"/>
  <c r="AM661" i="1"/>
  <c r="AM664" i="1"/>
  <c r="AM658" i="1"/>
  <c r="AM660" i="1" s="1"/>
  <c r="BS921" i="1"/>
  <c r="BX915" i="1"/>
  <c r="BX916" i="1" s="1"/>
  <c r="BT915" i="1"/>
  <c r="BT916" i="1" s="1"/>
  <c r="AV540" i="1"/>
  <c r="AV541" i="1"/>
  <c r="CK403" i="1"/>
  <c r="BD698" i="1"/>
  <c r="BD685" i="1"/>
  <c r="BD695" i="1"/>
  <c r="BD699" i="1" s="1"/>
  <c r="BC5" i="13"/>
  <c r="BC2" i="9"/>
  <c r="BB593" i="1"/>
  <c r="BB561" i="1"/>
  <c r="BB655" i="1"/>
  <c r="BB536" i="1"/>
  <c r="AZ699" i="1"/>
  <c r="BD647" i="1"/>
  <c r="AZ114" i="1"/>
  <c r="AZ532" i="1"/>
  <c r="AZ533" i="1" s="1"/>
  <c r="AM288" i="1"/>
  <c r="AM652" i="1"/>
  <c r="BD646" i="1"/>
  <c r="AX699" i="1"/>
  <c r="BF613" i="1"/>
  <c r="BF615" i="1" s="1"/>
  <c r="BF616" i="1"/>
  <c r="AL336" i="11"/>
  <c r="BB686" i="1"/>
  <c r="BB689" i="1"/>
  <c r="AQ677" i="1"/>
  <c r="AR646" i="1"/>
  <c r="AR650" i="1" s="1"/>
  <c r="AQ674" i="1"/>
  <c r="BD565" i="1"/>
  <c r="BD566" i="1"/>
  <c r="CK283" i="1"/>
  <c r="CK651" i="1"/>
  <c r="BC602" i="1"/>
  <c r="BD602" i="1" s="1"/>
  <c r="BC599" i="1"/>
  <c r="BC596" i="1"/>
  <c r="BC598" i="1" s="1"/>
  <c r="BC566" i="1"/>
  <c r="BC565" i="1"/>
  <c r="AL666" i="1"/>
  <c r="AM630" i="1"/>
  <c r="AM634" i="1" s="1"/>
  <c r="AL663" i="1"/>
  <c r="AX674" i="1"/>
  <c r="AY674" i="1" s="1"/>
  <c r="AZ646" i="1"/>
  <c r="AZ650" i="1" s="1"/>
  <c r="AX677" i="1"/>
  <c r="AY677" i="1" s="1"/>
  <c r="AQ288" i="1"/>
  <c r="AQ652" i="1"/>
  <c r="AR602" i="1"/>
  <c r="AR596" i="1"/>
  <c r="AR599" i="1"/>
  <c r="BP915" i="1"/>
  <c r="BP916" i="1" s="1"/>
  <c r="BO921" i="1"/>
  <c r="AW114" i="1"/>
  <c r="AW532" i="1"/>
  <c r="AW533" i="1" s="1"/>
  <c r="AS666" i="1"/>
  <c r="AU630" i="1"/>
  <c r="AU634" i="1" s="1"/>
  <c r="AS663" i="1"/>
  <c r="BK921" i="1"/>
  <c r="BL915" i="1"/>
  <c r="BL916" i="1" s="1"/>
  <c r="AX687" i="1"/>
  <c r="AX690" i="1"/>
  <c r="BF617" i="1"/>
  <c r="BF614" i="1"/>
  <c r="AV691" i="1"/>
  <c r="AY632" i="1"/>
  <c r="BA689" i="1"/>
  <c r="BA686" i="1"/>
  <c r="BA688" i="1" s="1"/>
  <c r="AY687" i="1"/>
  <c r="AY690" i="1"/>
  <c r="AU288" i="1"/>
  <c r="AU652" i="1"/>
  <c r="BB615" i="1"/>
  <c r="AZ540" i="1"/>
  <c r="CI452" i="1"/>
  <c r="CI455" i="1" s="1"/>
  <c r="CI450" i="1"/>
  <c r="CJ444" i="1"/>
  <c r="CJ436" i="1" s="1"/>
  <c r="CJ714" i="1" s="1"/>
  <c r="CJ448" i="1"/>
  <c r="CK870" i="1"/>
  <c r="BD597" i="1"/>
  <c r="BD600" i="1"/>
  <c r="BD670" i="1"/>
  <c r="BD671" i="1" s="1"/>
  <c r="BD657" i="1"/>
  <c r="CK997" i="1"/>
  <c r="CK874" i="1"/>
  <c r="AR114" i="1"/>
  <c r="AR532" i="1"/>
  <c r="AR533" i="1" s="1"/>
  <c r="AR600" i="1"/>
  <c r="AR597" i="1"/>
  <c r="AR603" i="1"/>
  <c r="AS711" i="1"/>
  <c r="AS557" i="1"/>
  <c r="AS558" i="1" s="1"/>
  <c r="BE684" i="1"/>
  <c r="BE697" i="1"/>
  <c r="BC921" i="1"/>
  <c r="AV566" i="1"/>
  <c r="AV565" i="1"/>
  <c r="BF3" i="13"/>
  <c r="BF4" i="13"/>
  <c r="BK694" i="1"/>
  <c r="BK693" i="1"/>
  <c r="BK612" i="1"/>
  <c r="BK611" i="1"/>
  <c r="AU627" i="1"/>
  <c r="AV625" i="1"/>
  <c r="AV627" i="1" s="1"/>
  <c r="BG617" i="1"/>
  <c r="BG615" i="1"/>
  <c r="BG614" i="1"/>
  <c r="AM541" i="1"/>
  <c r="N136" i="10"/>
  <c r="N141" i="10"/>
  <c r="N160" i="10"/>
  <c r="N148" i="10"/>
  <c r="N154" i="10"/>
  <c r="N129" i="10"/>
  <c r="N156" i="10"/>
  <c r="N158" i="10"/>
  <c r="N149" i="10"/>
  <c r="N159" i="10"/>
  <c r="N126" i="10"/>
  <c r="N167" i="10"/>
  <c r="N147" i="10"/>
  <c r="N122" i="10"/>
  <c r="N139" i="10"/>
  <c r="N152" i="10"/>
  <c r="N138" i="10"/>
  <c r="N134" i="10"/>
  <c r="N135" i="10"/>
  <c r="N155" i="10"/>
  <c r="N142" i="10"/>
  <c r="N130" i="10"/>
  <c r="N143" i="10"/>
  <c r="N163" i="10"/>
  <c r="N165" i="10"/>
  <c r="N166" i="10"/>
  <c r="N127" i="10"/>
  <c r="N162" i="10"/>
  <c r="N124" i="10"/>
  <c r="N151" i="10"/>
  <c r="N123" i="10"/>
  <c r="BQ1120" i="1" l="1"/>
  <c r="BQ1121" i="1"/>
  <c r="BQ1119" i="1"/>
  <c r="BQ1124" i="1"/>
  <c r="BQ1117" i="1"/>
  <c r="BQ1114" i="1"/>
  <c r="BQ1118" i="1"/>
  <c r="BQ1115" i="1"/>
  <c r="BQ1116" i="1"/>
  <c r="BQ1122" i="1"/>
  <c r="BQ1123" i="1"/>
  <c r="BQ1113" i="1"/>
  <c r="BP1111" i="1"/>
  <c r="BP1117" i="1"/>
  <c r="BP1123" i="1"/>
  <c r="BP1119" i="1"/>
  <c r="BP1124" i="1"/>
  <c r="BP1122" i="1"/>
  <c r="BP1115" i="1"/>
  <c r="BP1121" i="1"/>
  <c r="BP1113" i="1"/>
  <c r="BP1116" i="1"/>
  <c r="BP1118" i="1"/>
  <c r="BP1114" i="1"/>
  <c r="BP1120" i="1"/>
  <c r="BO1096" i="1"/>
  <c r="BO1105" i="1"/>
  <c r="BO1098" i="1"/>
  <c r="BO1102" i="1"/>
  <c r="BO1104" i="1"/>
  <c r="BO1106" i="1"/>
  <c r="BO1100" i="1"/>
  <c r="BO1095" i="1"/>
  <c r="BO1101" i="1"/>
  <c r="BO1097" i="1"/>
  <c r="BO1103" i="1"/>
  <c r="BO1099" i="1"/>
  <c r="BS1094" i="1"/>
  <c r="BR1094" i="1"/>
  <c r="AR541" i="1"/>
  <c r="BS1112" i="1"/>
  <c r="BV1112" i="1"/>
  <c r="BT1112" i="1"/>
  <c r="BU1112" i="1"/>
  <c r="BR1112" i="1"/>
  <c r="AR566" i="1"/>
  <c r="BM1111" i="1"/>
  <c r="BM1120" i="1"/>
  <c r="BM1122" i="1"/>
  <c r="BM1124" i="1"/>
  <c r="BM1115" i="1"/>
  <c r="BM1119" i="1"/>
  <c r="BM1114" i="1"/>
  <c r="BM1116" i="1"/>
  <c r="BM1117" i="1"/>
  <c r="BM1118" i="1"/>
  <c r="BM1123" i="1"/>
  <c r="BM1113" i="1"/>
  <c r="BM1121" i="1"/>
  <c r="BO1111" i="1"/>
  <c r="BO1115" i="1"/>
  <c r="BO1120" i="1"/>
  <c r="BO1113" i="1"/>
  <c r="BO1118" i="1"/>
  <c r="BO1119" i="1"/>
  <c r="BO1124" i="1"/>
  <c r="BO1121" i="1"/>
  <c r="BO1114" i="1"/>
  <c r="BO1117" i="1"/>
  <c r="BO1122" i="1"/>
  <c r="BO1116" i="1"/>
  <c r="BO1123" i="1"/>
  <c r="BM1099" i="1"/>
  <c r="BM1096" i="1"/>
  <c r="BM1100" i="1"/>
  <c r="BM1104" i="1"/>
  <c r="BM1097" i="1"/>
  <c r="BM1101" i="1"/>
  <c r="BM1103" i="1"/>
  <c r="BM1106" i="1"/>
  <c r="BM1105" i="1"/>
  <c r="BM1098" i="1"/>
  <c r="BM1102" i="1"/>
  <c r="BM1095" i="1"/>
  <c r="BG1105" i="1"/>
  <c r="BG1101" i="1"/>
  <c r="BG1103" i="1"/>
  <c r="BG1099" i="1"/>
  <c r="BG1097" i="1"/>
  <c r="BG1096" i="1"/>
  <c r="BG1098" i="1"/>
  <c r="BG1102" i="1"/>
  <c r="BG1104" i="1"/>
  <c r="BG1106" i="1"/>
  <c r="BG1095" i="1"/>
  <c r="BG1100" i="1"/>
  <c r="BK1099" i="1"/>
  <c r="BK1097" i="1"/>
  <c r="BK1106" i="1"/>
  <c r="BK1096" i="1"/>
  <c r="BK1104" i="1"/>
  <c r="BK1105" i="1"/>
  <c r="BK1095" i="1"/>
  <c r="BK1101" i="1"/>
  <c r="BK1098" i="1"/>
  <c r="BK1100" i="1"/>
  <c r="BK1102" i="1"/>
  <c r="BK1103" i="1"/>
  <c r="BJ3" i="13"/>
  <c r="BN1111" i="1"/>
  <c r="BN1122" i="1"/>
  <c r="BN1118" i="1"/>
  <c r="BN1114" i="1"/>
  <c r="BN612" i="1" s="1"/>
  <c r="BN1115" i="1"/>
  <c r="BN1120" i="1"/>
  <c r="BN1113" i="1"/>
  <c r="BN1119" i="1"/>
  <c r="BN1116" i="1"/>
  <c r="BN1123" i="1"/>
  <c r="BN1124" i="1"/>
  <c r="BN1117" i="1"/>
  <c r="BN694" i="1" s="1"/>
  <c r="BN1121" i="1"/>
  <c r="BN1101" i="1"/>
  <c r="BN537" i="1" s="1"/>
  <c r="BN1095" i="1"/>
  <c r="BN1106" i="1"/>
  <c r="BN1098" i="1"/>
  <c r="BN1103" i="1"/>
  <c r="BN1100" i="1"/>
  <c r="BN1102" i="1"/>
  <c r="BN538" i="1" s="1"/>
  <c r="BN1096" i="1"/>
  <c r="BN595" i="1" s="1"/>
  <c r="BN1104" i="1"/>
  <c r="BN1099" i="1"/>
  <c r="BN669" i="1" s="1"/>
  <c r="BN1097" i="1"/>
  <c r="BN1105" i="1"/>
  <c r="BL1111" i="1"/>
  <c r="BA114" i="1"/>
  <c r="AW539" i="1"/>
  <c r="AX526" i="1" s="1"/>
  <c r="AX530" i="1" s="1"/>
  <c r="BA539" i="1"/>
  <c r="BB526" i="1" s="1"/>
  <c r="BB530" i="1" s="1"/>
  <c r="BB114" i="1" s="1"/>
  <c r="AY688" i="1"/>
  <c r="BD615" i="1"/>
  <c r="BI539" i="1"/>
  <c r="BI541" i="1" s="1"/>
  <c r="BH571" i="1"/>
  <c r="BN551" i="1" s="1"/>
  <c r="BD696" i="1"/>
  <c r="AZ541" i="1"/>
  <c r="CK65" i="9"/>
  <c r="P159" i="10"/>
  <c r="Q159" i="10"/>
  <c r="Q156" i="10"/>
  <c r="P156" i="10"/>
  <c r="P151" i="10"/>
  <c r="Q151" i="10"/>
  <c r="Q165" i="10"/>
  <c r="P165" i="10"/>
  <c r="Q152" i="10"/>
  <c r="P152" i="10"/>
  <c r="Q142" i="10"/>
  <c r="P142" i="10"/>
  <c r="Q122" i="10"/>
  <c r="P122" i="10"/>
  <c r="P160" i="10"/>
  <c r="Q160" i="10"/>
  <c r="Q149" i="10"/>
  <c r="P149" i="10"/>
  <c r="P127" i="10"/>
  <c r="Q127" i="10"/>
  <c r="P166" i="10"/>
  <c r="Q166" i="10"/>
  <c r="P163" i="10"/>
  <c r="Q163" i="10"/>
  <c r="P130" i="10"/>
  <c r="Q130" i="10"/>
  <c r="Q155" i="10"/>
  <c r="P155" i="10"/>
  <c r="P147" i="10"/>
  <c r="Q147" i="10"/>
  <c r="P141" i="10"/>
  <c r="Q141" i="10"/>
  <c r="Q138" i="10"/>
  <c r="P138" i="10"/>
  <c r="P123" i="10"/>
  <c r="Q123" i="10"/>
  <c r="P154" i="10"/>
  <c r="Q154" i="10"/>
  <c r="P143" i="10"/>
  <c r="Q143" i="10"/>
  <c r="P139" i="10"/>
  <c r="Q139" i="10"/>
  <c r="Q135" i="10"/>
  <c r="P135" i="10"/>
  <c r="Q167" i="10"/>
  <c r="P167" i="10"/>
  <c r="Q136" i="10"/>
  <c r="P136" i="10"/>
  <c r="Q158" i="10"/>
  <c r="P158" i="10"/>
  <c r="P129" i="10"/>
  <c r="Q129" i="10"/>
  <c r="Q124" i="10"/>
  <c r="P124" i="10"/>
  <c r="Q162" i="10"/>
  <c r="P162" i="10"/>
  <c r="Q148" i="10"/>
  <c r="P148" i="10"/>
  <c r="Q134" i="10"/>
  <c r="P134" i="10"/>
  <c r="P126" i="10"/>
  <c r="Q126" i="10"/>
  <c r="CJ69" i="9"/>
  <c r="CJ1036" i="1"/>
  <c r="CJ902" i="1"/>
  <c r="CJ910" i="1" s="1"/>
  <c r="CI5" i="9"/>
  <c r="CI754" i="1"/>
  <c r="BY915" i="1"/>
  <c r="BY916" i="1" s="1"/>
  <c r="BX921" i="1"/>
  <c r="CC915" i="1"/>
  <c r="AN372" i="1"/>
  <c r="AN585" i="1"/>
  <c r="AN588" i="1"/>
  <c r="AN582" i="1"/>
  <c r="BG699" i="1"/>
  <c r="BI649" i="1"/>
  <c r="BM595" i="1"/>
  <c r="BM537" i="1"/>
  <c r="BM668" i="1"/>
  <c r="BM594" i="1"/>
  <c r="BM669" i="1"/>
  <c r="BM538" i="1"/>
  <c r="BG689" i="1"/>
  <c r="BG686" i="1"/>
  <c r="BH697" i="1"/>
  <c r="BH684" i="1"/>
  <c r="BA565" i="1"/>
  <c r="BA625" i="1"/>
  <c r="BA627" i="1" s="1"/>
  <c r="AZ627" i="1"/>
  <c r="CC928" i="1"/>
  <c r="AQ642" i="1"/>
  <c r="AQ639" i="1"/>
  <c r="AQ379" i="1"/>
  <c r="AQ636" i="1"/>
  <c r="BT5" i="13"/>
  <c r="BT2" i="9"/>
  <c r="BS561" i="1"/>
  <c r="BS536" i="1"/>
  <c r="BS655" i="1"/>
  <c r="BR593" i="1"/>
  <c r="BR655" i="1"/>
  <c r="BR536" i="1"/>
  <c r="BR561" i="1"/>
  <c r="BU5" i="1"/>
  <c r="BT1094" i="1" s="1"/>
  <c r="BS593" i="1"/>
  <c r="AU589" i="1"/>
  <c r="AU583" i="1"/>
  <c r="AU586" i="1"/>
  <c r="AU620" i="1"/>
  <c r="AU621" i="1" s="1"/>
  <c r="BH540" i="1"/>
  <c r="AW540" i="1"/>
  <c r="BE540" i="1"/>
  <c r="BE539" i="1"/>
  <c r="BF526" i="1" s="1"/>
  <c r="BF530" i="1" s="1"/>
  <c r="BB606" i="1"/>
  <c r="BB607" i="1"/>
  <c r="BE686" i="1"/>
  <c r="BE689" i="1"/>
  <c r="AU642" i="1"/>
  <c r="AU639" i="1"/>
  <c r="AU379" i="1"/>
  <c r="AU636" i="1"/>
  <c r="AR604" i="1"/>
  <c r="AR601" i="1"/>
  <c r="AS576" i="1"/>
  <c r="AS580" i="1" s="1"/>
  <c r="AM642" i="1"/>
  <c r="AM639" i="1"/>
  <c r="AM379" i="1"/>
  <c r="AM636" i="1"/>
  <c r="AR288" i="1"/>
  <c r="AR652" i="1"/>
  <c r="BC699" i="1"/>
  <c r="BI646" i="1"/>
  <c r="BI572" i="1"/>
  <c r="BN668" i="1"/>
  <c r="BN594" i="1"/>
  <c r="BD650" i="1"/>
  <c r="AX663" i="1"/>
  <c r="AX666" i="1"/>
  <c r="AZ630" i="1"/>
  <c r="AZ634" i="1" s="1"/>
  <c r="AZ661" i="1"/>
  <c r="AZ664" i="1"/>
  <c r="AZ658" i="1"/>
  <c r="AZ660" i="1" s="1"/>
  <c r="BH616" i="1"/>
  <c r="BH613" i="1"/>
  <c r="BH615" i="1" s="1"/>
  <c r="BA675" i="1"/>
  <c r="BA656" i="1"/>
  <c r="BA672" i="1"/>
  <c r="BO694" i="1"/>
  <c r="BO693" i="1"/>
  <c r="BO612" i="1"/>
  <c r="BO611" i="1"/>
  <c r="BH602" i="1"/>
  <c r="BI602" i="1" s="1"/>
  <c r="BH596" i="1"/>
  <c r="BH598" i="1" s="1"/>
  <c r="BH599" i="1"/>
  <c r="BH921" i="1"/>
  <c r="BL613" i="1"/>
  <c r="BL615" i="1" s="1"/>
  <c r="BL616" i="1"/>
  <c r="BE565" i="1"/>
  <c r="AZ604" i="1"/>
  <c r="BA576" i="1"/>
  <c r="BA580" i="1" s="1"/>
  <c r="AZ601" i="1"/>
  <c r="BK697" i="1"/>
  <c r="BK684" i="1"/>
  <c r="BK695" i="1"/>
  <c r="BK696" i="1" s="1"/>
  <c r="BK685" i="1"/>
  <c r="BK698" i="1"/>
  <c r="AM663" i="1"/>
  <c r="AN630" i="1"/>
  <c r="AN634" i="1" s="1"/>
  <c r="AM666" i="1"/>
  <c r="BX122" i="9"/>
  <c r="BX123" i="9"/>
  <c r="BX126" i="9"/>
  <c r="BZ705" i="1"/>
  <c r="BZ913" i="1"/>
  <c r="BE626" i="1"/>
  <c r="BE623" i="1"/>
  <c r="BI577" i="1"/>
  <c r="BE618" i="1"/>
  <c r="BE622" i="1"/>
  <c r="AV288" i="1"/>
  <c r="AV652" i="1"/>
  <c r="CK1011" i="1"/>
  <c r="BA646" i="1"/>
  <c r="BA650" i="1" s="1"/>
  <c r="AZ674" i="1"/>
  <c r="AZ677" i="1"/>
  <c r="BG696" i="1"/>
  <c r="BS11" i="9"/>
  <c r="BS125" i="9"/>
  <c r="BI614" i="1"/>
  <c r="BI617" i="1"/>
  <c r="AV662" i="1"/>
  <c r="AV659" i="1"/>
  <c r="AV665" i="1"/>
  <c r="AL637" i="1"/>
  <c r="AL643" i="1"/>
  <c r="AL640" i="1"/>
  <c r="BH695" i="1"/>
  <c r="BH696" i="1" s="1"/>
  <c r="BH698" i="1"/>
  <c r="BH685" i="1"/>
  <c r="BA673" i="1"/>
  <c r="BA676" i="1"/>
  <c r="BA670" i="1"/>
  <c r="BA671" i="1" s="1"/>
  <c r="BA657" i="1"/>
  <c r="BD606" i="1"/>
  <c r="BD580" i="1"/>
  <c r="BD607" i="1"/>
  <c r="BC607" i="1"/>
  <c r="BC606" i="1"/>
  <c r="CH6" i="9"/>
  <c r="BE625" i="1"/>
  <c r="BC618" i="1"/>
  <c r="BI576" i="1"/>
  <c r="BP612" i="1"/>
  <c r="BP693" i="1"/>
  <c r="BP694" i="1"/>
  <c r="BP611" i="1"/>
  <c r="CC934" i="1"/>
  <c r="AR658" i="1"/>
  <c r="AR660" i="1" s="1"/>
  <c r="AR661" i="1"/>
  <c r="AR664" i="1"/>
  <c r="BH600" i="1"/>
  <c r="BH597" i="1"/>
  <c r="BH603" i="1"/>
  <c r="BI603" i="1" s="1"/>
  <c r="BJ711" i="1"/>
  <c r="BJ557" i="1"/>
  <c r="BJ558" i="1" s="1"/>
  <c r="AX114" i="1"/>
  <c r="AX532" i="1"/>
  <c r="AX533" i="1" s="1"/>
  <c r="BL617" i="1"/>
  <c r="BL614" i="1"/>
  <c r="BE676" i="1"/>
  <c r="BE670" i="1"/>
  <c r="BE671" i="1" s="1"/>
  <c r="BE657" i="1"/>
  <c r="BE673" i="1"/>
  <c r="BI540" i="1"/>
  <c r="BZ64" i="9"/>
  <c r="BZ66" i="9" s="1"/>
  <c r="BZ706" i="1"/>
  <c r="BZ724" i="1"/>
  <c r="BZ725" i="1" s="1"/>
  <c r="BZ726" i="1" s="1"/>
  <c r="BZ727" i="1" s="1"/>
  <c r="BD689" i="1"/>
  <c r="BD686" i="1"/>
  <c r="BD691" i="1" s="1"/>
  <c r="BI123" i="9"/>
  <c r="BI122" i="9"/>
  <c r="BI126" i="9"/>
  <c r="BG687" i="1"/>
  <c r="BG688" i="1"/>
  <c r="BG690" i="1"/>
  <c r="AS114" i="1"/>
  <c r="AS532" i="1"/>
  <c r="AS533" i="1" s="1"/>
  <c r="BI616" i="1"/>
  <c r="BI613" i="1"/>
  <c r="BI618" i="1" s="1"/>
  <c r="AV677" i="1"/>
  <c r="AV674" i="1"/>
  <c r="AW646" i="1"/>
  <c r="AW650" i="1" s="1"/>
  <c r="AT589" i="1"/>
  <c r="AT583" i="1"/>
  <c r="BC661" i="1"/>
  <c r="BC658" i="1"/>
  <c r="BC664" i="1"/>
  <c r="BD664" i="1" s="1"/>
  <c r="AZ691" i="1"/>
  <c r="BD631" i="1"/>
  <c r="BG4" i="13"/>
  <c r="BG3" i="13"/>
  <c r="AR665" i="1"/>
  <c r="AR662" i="1"/>
  <c r="AR659" i="1"/>
  <c r="BX5" i="13"/>
  <c r="BX2" i="9"/>
  <c r="BS610" i="1"/>
  <c r="BT568" i="1"/>
  <c r="BT543" i="1"/>
  <c r="BV683" i="1"/>
  <c r="BR610" i="1"/>
  <c r="BS568" i="1"/>
  <c r="BS543" i="1"/>
  <c r="BT683" i="1"/>
  <c r="BT610" i="1"/>
  <c r="BU683" i="1"/>
  <c r="BS683" i="1"/>
  <c r="BR683" i="1"/>
  <c r="BU610" i="1"/>
  <c r="BR543" i="1"/>
  <c r="BV568" i="1"/>
  <c r="BU568" i="1"/>
  <c r="BV610" i="1"/>
  <c r="BV543" i="1"/>
  <c r="BR568" i="1"/>
  <c r="BU543" i="1"/>
  <c r="CC5" i="1"/>
  <c r="BY5" i="1"/>
  <c r="BH565" i="1"/>
  <c r="BH566" i="1"/>
  <c r="CH714" i="1"/>
  <c r="CH910" i="1"/>
  <c r="AU663" i="1"/>
  <c r="AV630" i="1"/>
  <c r="AV634" i="1" s="1"/>
  <c r="AU666" i="1"/>
  <c r="BE564" i="1"/>
  <c r="BF551" i="1" s="1"/>
  <c r="BF555" i="1" s="1"/>
  <c r="AT642" i="1"/>
  <c r="AT379" i="1"/>
  <c r="AT636" i="1"/>
  <c r="BI596" i="1"/>
  <c r="BI598" i="1" s="1"/>
  <c r="BI599" i="1"/>
  <c r="CJ108" i="9"/>
  <c r="CJ109" i="9" s="1"/>
  <c r="CJ1006" i="1"/>
  <c r="BJ616" i="1"/>
  <c r="BJ613" i="1"/>
  <c r="BJ614" i="1"/>
  <c r="BJ617" i="1"/>
  <c r="BN557" i="1"/>
  <c r="BN558" i="1" s="1"/>
  <c r="BN711" i="1"/>
  <c r="AV664" i="1"/>
  <c r="AV658" i="1"/>
  <c r="AV661" i="1"/>
  <c r="AZ671" i="1"/>
  <c r="U4" i="11"/>
  <c r="T3" i="11"/>
  <c r="T449" i="11" s="1"/>
  <c r="BI571" i="1"/>
  <c r="BI573" i="1" s="1"/>
  <c r="BZ94" i="9"/>
  <c r="BZ95" i="9" s="1"/>
  <c r="BZ96" i="9" s="1"/>
  <c r="BZ1017" i="1"/>
  <c r="BF537" i="1"/>
  <c r="BF538" i="1"/>
  <c r="BF669" i="1"/>
  <c r="BF594" i="1"/>
  <c r="BF562" i="1"/>
  <c r="BF595" i="1"/>
  <c r="BF668" i="1"/>
  <c r="BF563" i="1"/>
  <c r="AS646" i="1"/>
  <c r="AS650" i="1" s="1"/>
  <c r="AR677" i="1"/>
  <c r="AR674" i="1"/>
  <c r="AN288" i="1"/>
  <c r="AN652" i="1"/>
  <c r="BQ693" i="1"/>
  <c r="BQ694" i="1"/>
  <c r="BQ612" i="1"/>
  <c r="BQ611" i="1"/>
  <c r="BH672" i="1"/>
  <c r="BI672" i="1" s="1"/>
  <c r="BH675" i="1"/>
  <c r="BI675" i="1" s="1"/>
  <c r="BH656" i="1"/>
  <c r="AW603" i="1"/>
  <c r="AW597" i="1"/>
  <c r="AW600" i="1"/>
  <c r="CH1042" i="1"/>
  <c r="BL697" i="1"/>
  <c r="BL684" i="1"/>
  <c r="BE599" i="1"/>
  <c r="BE602" i="1"/>
  <c r="BE596" i="1"/>
  <c r="BI600" i="1"/>
  <c r="BI597" i="1"/>
  <c r="BI564" i="1"/>
  <c r="BJ563" i="1"/>
  <c r="BJ562" i="1"/>
  <c r="BJ564" i="1" s="1"/>
  <c r="BK551" i="1" s="1"/>
  <c r="BK555" i="1" s="1"/>
  <c r="BJ538" i="1"/>
  <c r="BJ537" i="1"/>
  <c r="BJ669" i="1"/>
  <c r="BJ668" i="1"/>
  <c r="BJ595" i="1"/>
  <c r="BJ594" i="1"/>
  <c r="AY588" i="1"/>
  <c r="AY372" i="1"/>
  <c r="AY582" i="1"/>
  <c r="BD658" i="1"/>
  <c r="BD660" i="1" s="1"/>
  <c r="BD661" i="1"/>
  <c r="AI586" i="1"/>
  <c r="AI589" i="1"/>
  <c r="AI583" i="1"/>
  <c r="CK108" i="9"/>
  <c r="CK1006" i="1"/>
  <c r="BD632" i="1"/>
  <c r="BA691" i="1"/>
  <c r="BN122" i="9"/>
  <c r="BN123" i="9"/>
  <c r="BN126" i="9"/>
  <c r="AY288" i="1"/>
  <c r="AY652" i="1"/>
  <c r="CC51" i="9"/>
  <c r="CC297" i="1"/>
  <c r="AX691" i="1"/>
  <c r="BD630" i="1"/>
  <c r="BD662" i="1"/>
  <c r="BD659" i="1"/>
  <c r="BB691" i="1"/>
  <c r="BD633" i="1"/>
  <c r="BB563" i="1"/>
  <c r="BB562" i="1"/>
  <c r="BB538" i="1"/>
  <c r="BB537" i="1"/>
  <c r="BB669" i="1"/>
  <c r="BB668" i="1"/>
  <c r="BB595" i="1"/>
  <c r="BB594" i="1"/>
  <c r="AQ586" i="1"/>
  <c r="AQ589" i="1"/>
  <c r="AQ583" i="1"/>
  <c r="AQ620" i="1"/>
  <c r="AQ621" i="1" s="1"/>
  <c r="CB51" i="9"/>
  <c r="CB297" i="1"/>
  <c r="BM915" i="1"/>
  <c r="BM916" i="1" s="1"/>
  <c r="BL921" i="1"/>
  <c r="BE576" i="1"/>
  <c r="BE580" i="1" s="1"/>
  <c r="BC604" i="1"/>
  <c r="BC601" i="1"/>
  <c r="BC3" i="13"/>
  <c r="BC4" i="13"/>
  <c r="BE615" i="1"/>
  <c r="BC686" i="1"/>
  <c r="BC688" i="1" s="1"/>
  <c r="BC689" i="1"/>
  <c r="AQ666" i="1"/>
  <c r="AR630" i="1"/>
  <c r="AR634" i="1" s="1"/>
  <c r="AQ663" i="1"/>
  <c r="CB119" i="1"/>
  <c r="CC117" i="1"/>
  <c r="CC119" i="1" s="1"/>
  <c r="CC941" i="1" s="1"/>
  <c r="BJ572" i="1"/>
  <c r="BJ573" i="1"/>
  <c r="AI336" i="11"/>
  <c r="BI697" i="1"/>
  <c r="BI684" i="1"/>
  <c r="AW576" i="1"/>
  <c r="AW580" i="1" s="1"/>
  <c r="AV601" i="1"/>
  <c r="AV604" i="1"/>
  <c r="BE711" i="1"/>
  <c r="BE557" i="1"/>
  <c r="BE558" i="1" s="1"/>
  <c r="BS758" i="1"/>
  <c r="BS759" i="1"/>
  <c r="BS762" i="1"/>
  <c r="BH573" i="1"/>
  <c r="BH572" i="1"/>
  <c r="BA540" i="1"/>
  <c r="P220" i="11"/>
  <c r="P223" i="11"/>
  <c r="BI648" i="1"/>
  <c r="BF699" i="1"/>
  <c r="BH670" i="1"/>
  <c r="BH671" i="1" s="1"/>
  <c r="BH657" i="1"/>
  <c r="BH676" i="1"/>
  <c r="BI676" i="1" s="1"/>
  <c r="BH673" i="1"/>
  <c r="BI673" i="1" s="1"/>
  <c r="BL698" i="1"/>
  <c r="BL685" i="1"/>
  <c r="BL695" i="1"/>
  <c r="BE688" i="1"/>
  <c r="BE690" i="1"/>
  <c r="BE687" i="1"/>
  <c r="AM843" i="1"/>
  <c r="AL844" i="1"/>
  <c r="AL1031" i="1" s="1"/>
  <c r="BI566" i="1"/>
  <c r="BI565" i="1"/>
  <c r="BK616" i="1"/>
  <c r="BK613" i="1"/>
  <c r="BK615" i="1" s="1"/>
  <c r="AR598" i="1"/>
  <c r="CJ452" i="1"/>
  <c r="CJ455" i="1" s="1"/>
  <c r="CJ450" i="1"/>
  <c r="CK444" i="1"/>
  <c r="CK448" i="1"/>
  <c r="AZ288" i="1"/>
  <c r="AZ652" i="1"/>
  <c r="BF623" i="1"/>
  <c r="BF622" i="1"/>
  <c r="BF626" i="1"/>
  <c r="BI578" i="1"/>
  <c r="BF618" i="1"/>
  <c r="BU915" i="1"/>
  <c r="BU916" i="1" s="1"/>
  <c r="BT921" i="1"/>
  <c r="BC690" i="1"/>
  <c r="BC687" i="1"/>
  <c r="BJ697" i="1"/>
  <c r="BJ684" i="1"/>
  <c r="AZ659" i="1"/>
  <c r="AZ662" i="1"/>
  <c r="AZ665" i="1"/>
  <c r="BI698" i="1"/>
  <c r="BI695" i="1"/>
  <c r="BI699" i="1" s="1"/>
  <c r="BI685" i="1"/>
  <c r="BP5" i="13"/>
  <c r="BP2" i="9"/>
  <c r="BO561" i="1"/>
  <c r="BO593" i="1"/>
  <c r="BO536" i="1"/>
  <c r="BO655" i="1"/>
  <c r="BQ5" i="1"/>
  <c r="BP1094" i="1" s="1"/>
  <c r="BH614" i="1"/>
  <c r="BH617" i="1"/>
  <c r="BH5" i="13"/>
  <c r="BH2" i="9"/>
  <c r="BG536" i="1"/>
  <c r="BG655" i="1"/>
  <c r="BG561" i="1"/>
  <c r="BG593" i="1"/>
  <c r="BI3" i="13"/>
  <c r="BI4" i="13"/>
  <c r="BA602" i="1"/>
  <c r="BA596" i="1"/>
  <c r="BB625" i="1" s="1"/>
  <c r="BB627" i="1" s="1"/>
  <c r="BA599" i="1"/>
  <c r="AV598" i="1"/>
  <c r="BA607" i="1"/>
  <c r="BA606" i="1"/>
  <c r="X283" i="11"/>
  <c r="W284" i="11"/>
  <c r="W408" i="11" s="1"/>
  <c r="BN693" i="1"/>
  <c r="BN611" i="1"/>
  <c r="BF687" i="1"/>
  <c r="BF690" i="1"/>
  <c r="AZ588" i="1"/>
  <c r="AZ372" i="1"/>
  <c r="AZ585" i="1"/>
  <c r="AZ582" i="1"/>
  <c r="BC665" i="1"/>
  <c r="BD665" i="1" s="1"/>
  <c r="BC659" i="1"/>
  <c r="BC662" i="1"/>
  <c r="BC660" i="1"/>
  <c r="AW676" i="1"/>
  <c r="AW670" i="1"/>
  <c r="AW657" i="1"/>
  <c r="AW673" i="1"/>
  <c r="AW599" i="1"/>
  <c r="AW596" i="1"/>
  <c r="AW598" i="1" s="1"/>
  <c r="AW602" i="1"/>
  <c r="BC615" i="1"/>
  <c r="AI379" i="1"/>
  <c r="AI642" i="1"/>
  <c r="AI639" i="1"/>
  <c r="AI636" i="1"/>
  <c r="BF689" i="1"/>
  <c r="BF686" i="1"/>
  <c r="BE672" i="1"/>
  <c r="BE656" i="1"/>
  <c r="BE675" i="1"/>
  <c r="BE699" i="1"/>
  <c r="BI647" i="1"/>
  <c r="BI656" i="1"/>
  <c r="BK3" i="13"/>
  <c r="BK4" i="13"/>
  <c r="AM589" i="1"/>
  <c r="AM583" i="1"/>
  <c r="AM586" i="1"/>
  <c r="AM620" i="1"/>
  <c r="AM621" i="1" s="1"/>
  <c r="BK614" i="1"/>
  <c r="BK617" i="1"/>
  <c r="BQ915" i="1"/>
  <c r="BQ916" i="1" s="1"/>
  <c r="BP921" i="1"/>
  <c r="BD687" i="1"/>
  <c r="BD688" i="1"/>
  <c r="BD690" i="1"/>
  <c r="AZ607" i="1"/>
  <c r="AZ606" i="1"/>
  <c r="AP640" i="1"/>
  <c r="AP637" i="1"/>
  <c r="AP643" i="1"/>
  <c r="BJ695" i="1"/>
  <c r="BJ685" i="1"/>
  <c r="BJ698" i="1"/>
  <c r="AR588" i="1"/>
  <c r="AR585" i="1"/>
  <c r="AR372" i="1"/>
  <c r="AR582" i="1"/>
  <c r="AY634" i="1"/>
  <c r="BG623" i="1"/>
  <c r="BG626" i="1"/>
  <c r="BG622" i="1"/>
  <c r="BG618" i="1"/>
  <c r="BI579" i="1"/>
  <c r="BA600" i="1"/>
  <c r="BA603" i="1"/>
  <c r="BA597" i="1"/>
  <c r="BA564" i="1"/>
  <c r="BB551" i="1" s="1"/>
  <c r="BB555" i="1" s="1"/>
  <c r="BM694" i="1"/>
  <c r="BM693" i="1"/>
  <c r="BM612" i="1"/>
  <c r="BM611" i="1"/>
  <c r="BF696" i="1"/>
  <c r="BC674" i="1"/>
  <c r="BD674" i="1" s="1"/>
  <c r="BC677" i="1"/>
  <c r="BD677" i="1" s="1"/>
  <c r="BE646" i="1"/>
  <c r="BE650" i="1" s="1"/>
  <c r="BH539" i="1"/>
  <c r="BJ526" i="1" s="1"/>
  <c r="BJ530" i="1" s="1"/>
  <c r="AW672" i="1"/>
  <c r="AW656" i="1"/>
  <c r="AW675" i="1"/>
  <c r="BD601" i="1"/>
  <c r="BD604" i="1"/>
  <c r="AV585" i="1"/>
  <c r="AV588" i="1"/>
  <c r="AV372" i="1"/>
  <c r="AV582" i="1"/>
  <c r="BE603" i="1"/>
  <c r="BE597" i="1"/>
  <c r="BE600" i="1"/>
  <c r="BB688" i="1"/>
  <c r="BI670" i="1"/>
  <c r="BI671" i="1" s="1"/>
  <c r="BI657" i="1"/>
  <c r="BL2" i="9"/>
  <c r="BL5" i="13"/>
  <c r="BK561" i="1"/>
  <c r="BK536" i="1"/>
  <c r="BK655" i="1"/>
  <c r="BK593" i="1"/>
  <c r="BM5" i="1"/>
  <c r="BL1094" i="1" s="1"/>
  <c r="N110" i="10"/>
  <c r="N107" i="10"/>
  <c r="N77" i="10"/>
  <c r="N79" i="10"/>
  <c r="N78" i="10"/>
  <c r="N85" i="10"/>
  <c r="N117" i="10"/>
  <c r="N119" i="10"/>
  <c r="N81" i="10"/>
  <c r="N99" i="10"/>
  <c r="N145" i="10"/>
  <c r="N132" i="10"/>
  <c r="N120" i="10"/>
  <c r="N113" i="10"/>
  <c r="N93" i="10"/>
  <c r="N104" i="10"/>
  <c r="N103" i="10"/>
  <c r="N92" i="10"/>
  <c r="N100" i="10"/>
  <c r="N94" i="10"/>
  <c r="N97" i="10"/>
  <c r="N106" i="10"/>
  <c r="N84" i="10"/>
  <c r="N114" i="10"/>
  <c r="N96" i="10"/>
  <c r="N102" i="10"/>
  <c r="N116" i="10"/>
  <c r="N109" i="10"/>
  <c r="N112" i="10"/>
  <c r="N82" i="10"/>
  <c r="BW1112" i="1" l="1"/>
  <c r="CC1127" i="1"/>
  <c r="BX1112" i="1"/>
  <c r="BY1112" i="1"/>
  <c r="BR1096" i="1"/>
  <c r="BR1101" i="1"/>
  <c r="BR1100" i="1"/>
  <c r="BR1095" i="1"/>
  <c r="BR1104" i="1"/>
  <c r="BR1097" i="1"/>
  <c r="BR1103" i="1"/>
  <c r="BR1099" i="1"/>
  <c r="BR1105" i="1"/>
  <c r="BR1098" i="1"/>
  <c r="BR1102" i="1"/>
  <c r="BR1106" i="1"/>
  <c r="BL1105" i="1"/>
  <c r="BL1098" i="1"/>
  <c r="BL1096" i="1"/>
  <c r="BL1101" i="1"/>
  <c r="BL1103" i="1"/>
  <c r="BL1100" i="1"/>
  <c r="BL1104" i="1"/>
  <c r="BL1106" i="1"/>
  <c r="BL1099" i="1"/>
  <c r="BL1102" i="1"/>
  <c r="BL1097" i="1"/>
  <c r="BL1095" i="1"/>
  <c r="BB532" i="1"/>
  <c r="BB533" i="1" s="1"/>
  <c r="BW1094" i="1"/>
  <c r="BX1094" i="1"/>
  <c r="AW541" i="1"/>
  <c r="BB539" i="1"/>
  <c r="BC526" i="1" s="1"/>
  <c r="BC530" i="1" s="1"/>
  <c r="BR1111" i="1"/>
  <c r="BR1115" i="1"/>
  <c r="BR1122" i="1"/>
  <c r="BR1119" i="1"/>
  <c r="BR1113" i="1"/>
  <c r="BR1117" i="1"/>
  <c r="BR1124" i="1"/>
  <c r="BR1114" i="1"/>
  <c r="BR1121" i="1"/>
  <c r="BR1120" i="1"/>
  <c r="BR1118" i="1"/>
  <c r="BR1116" i="1"/>
  <c r="BR1123" i="1"/>
  <c r="BS1098" i="1"/>
  <c r="BS1099" i="1"/>
  <c r="BS1095" i="1"/>
  <c r="BS1103" i="1"/>
  <c r="BS1105" i="1"/>
  <c r="BS1096" i="1"/>
  <c r="BS1097" i="1"/>
  <c r="BS1100" i="1"/>
  <c r="BS1101" i="1"/>
  <c r="BS1104" i="1"/>
  <c r="BS1102" i="1"/>
  <c r="BS1106" i="1"/>
  <c r="BA541" i="1"/>
  <c r="BU1111" i="1"/>
  <c r="BU1113" i="1"/>
  <c r="BU1117" i="1"/>
  <c r="BU1116" i="1"/>
  <c r="BU1115" i="1"/>
  <c r="BU1122" i="1"/>
  <c r="BU1121" i="1"/>
  <c r="BU1114" i="1"/>
  <c r="BU1119" i="1"/>
  <c r="BU1118" i="1"/>
  <c r="BU1123" i="1"/>
  <c r="BU1124" i="1"/>
  <c r="BU1120" i="1"/>
  <c r="BT1111" i="1"/>
  <c r="BT1122" i="1"/>
  <c r="BT1123" i="1"/>
  <c r="BT1117" i="1"/>
  <c r="BT1114" i="1"/>
  <c r="BT1115" i="1"/>
  <c r="BT1121" i="1"/>
  <c r="BT1124" i="1"/>
  <c r="BT1119" i="1"/>
  <c r="BT1120" i="1"/>
  <c r="BT1118" i="1"/>
  <c r="BT1116" i="1"/>
  <c r="BT1113" i="1"/>
  <c r="BV1111" i="1"/>
  <c r="BV1113" i="1"/>
  <c r="BV1124" i="1"/>
  <c r="BV1121" i="1"/>
  <c r="BV1120" i="1"/>
  <c r="BV1122" i="1"/>
  <c r="BV1117" i="1"/>
  <c r="BV1115" i="1"/>
  <c r="BV1118" i="1"/>
  <c r="BV1114" i="1"/>
  <c r="BV1116" i="1"/>
  <c r="BV1119" i="1"/>
  <c r="BV1123" i="1"/>
  <c r="BS1111" i="1"/>
  <c r="BS1113" i="1"/>
  <c r="BS1123" i="1"/>
  <c r="BS1122" i="1"/>
  <c r="BS1118" i="1"/>
  <c r="BS1120" i="1"/>
  <c r="BS1119" i="1"/>
  <c r="BS1117" i="1"/>
  <c r="BS1116" i="1"/>
  <c r="BS1114" i="1"/>
  <c r="BS1124" i="1"/>
  <c r="BS1121" i="1"/>
  <c r="BS1115" i="1"/>
  <c r="BP1101" i="1"/>
  <c r="BP1100" i="1"/>
  <c r="BP1099" i="1"/>
  <c r="BP1096" i="1"/>
  <c r="BP1105" i="1"/>
  <c r="BP1104" i="1"/>
  <c r="BP1106" i="1"/>
  <c r="BP1098" i="1"/>
  <c r="BP1097" i="1"/>
  <c r="BP1103" i="1"/>
  <c r="BP1102" i="1"/>
  <c r="BP1095" i="1"/>
  <c r="BT1099" i="1"/>
  <c r="BT1101" i="1"/>
  <c r="BT1098" i="1"/>
  <c r="BT1106" i="1"/>
  <c r="BT1100" i="1"/>
  <c r="BT1097" i="1"/>
  <c r="BT1103" i="1"/>
  <c r="BT1096" i="1"/>
  <c r="BT1102" i="1"/>
  <c r="BT1095" i="1"/>
  <c r="BT1104" i="1"/>
  <c r="BT1105" i="1"/>
  <c r="BQ1111" i="1"/>
  <c r="BI696" i="1"/>
  <c r="BA598" i="1"/>
  <c r="BB564" i="1"/>
  <c r="BC551" i="1" s="1"/>
  <c r="BC555" i="1" s="1"/>
  <c r="BJ539" i="1"/>
  <c r="BK526" i="1" s="1"/>
  <c r="BK530" i="1" s="1"/>
  <c r="CK109" i="9"/>
  <c r="P106" i="10"/>
  <c r="Q106" i="10"/>
  <c r="Q81" i="10"/>
  <c r="P81" i="10"/>
  <c r="P94" i="10"/>
  <c r="Q94" i="10"/>
  <c r="Q92" i="10"/>
  <c r="P92" i="10"/>
  <c r="P79" i="10"/>
  <c r="Q79" i="10"/>
  <c r="P82" i="10"/>
  <c r="Q82" i="10"/>
  <c r="Q102" i="10"/>
  <c r="P102" i="10"/>
  <c r="Q96" i="10"/>
  <c r="P96" i="10"/>
  <c r="Q132" i="10"/>
  <c r="P132" i="10"/>
  <c r="Q119" i="10"/>
  <c r="P119" i="10"/>
  <c r="P85" i="10"/>
  <c r="Q85" i="10"/>
  <c r="P103" i="10"/>
  <c r="Q103" i="10"/>
  <c r="Q77" i="10"/>
  <c r="P77" i="10"/>
  <c r="Q112" i="10"/>
  <c r="P112" i="10"/>
  <c r="Q113" i="10"/>
  <c r="P113" i="10"/>
  <c r="Q114" i="10"/>
  <c r="P114" i="10"/>
  <c r="Q145" i="10"/>
  <c r="P145" i="10"/>
  <c r="P97" i="10"/>
  <c r="Q97" i="10"/>
  <c r="P100" i="10"/>
  <c r="Q100" i="10"/>
  <c r="Q104" i="10"/>
  <c r="P104" i="10"/>
  <c r="P107" i="10"/>
  <c r="Q107" i="10"/>
  <c r="P109" i="10"/>
  <c r="Q109" i="10"/>
  <c r="P120" i="10"/>
  <c r="Q120" i="10"/>
  <c r="Q84" i="10"/>
  <c r="P84" i="10"/>
  <c r="Q99" i="10"/>
  <c r="P99" i="10"/>
  <c r="Q117" i="10"/>
  <c r="P117" i="10"/>
  <c r="Q78" i="10"/>
  <c r="P78" i="10"/>
  <c r="Q93" i="10"/>
  <c r="P93" i="10"/>
  <c r="Q110" i="10"/>
  <c r="P110" i="10"/>
  <c r="Q116" i="10"/>
  <c r="P116" i="10"/>
  <c r="BM2" i="9"/>
  <c r="BM5" i="13"/>
  <c r="BL561" i="1"/>
  <c r="BL536" i="1"/>
  <c r="BL593" i="1"/>
  <c r="BL655" i="1"/>
  <c r="BI662" i="1"/>
  <c r="BI659" i="1"/>
  <c r="AV620" i="1"/>
  <c r="AV621" i="1" s="1"/>
  <c r="AV583" i="1"/>
  <c r="AV589" i="1"/>
  <c r="AV586" i="1"/>
  <c r="BJ599" i="1"/>
  <c r="BJ596" i="1"/>
  <c r="BJ598" i="1" s="1"/>
  <c r="BJ602" i="1"/>
  <c r="BE601" i="1"/>
  <c r="BE604" i="1"/>
  <c r="BF576" i="1"/>
  <c r="BF580" i="1" s="1"/>
  <c r="AS288" i="1"/>
  <c r="AS652" i="1"/>
  <c r="BF564" i="1"/>
  <c r="BG551" i="1" s="1"/>
  <c r="BG555" i="1" s="1"/>
  <c r="BB646" i="1"/>
  <c r="BB650" i="1" s="1"/>
  <c r="BA677" i="1"/>
  <c r="BA674" i="1"/>
  <c r="BE627" i="1"/>
  <c r="BF625" i="1"/>
  <c r="AN642" i="1"/>
  <c r="AN639" i="1"/>
  <c r="AN379" i="1"/>
  <c r="AN636" i="1"/>
  <c r="BO613" i="1"/>
  <c r="BO616" i="1"/>
  <c r="BN656" i="1"/>
  <c r="BM676" i="1"/>
  <c r="BN676" i="1" s="1"/>
  <c r="BM670" i="1"/>
  <c r="BM657" i="1"/>
  <c r="BM671" i="1"/>
  <c r="BM673" i="1"/>
  <c r="BN673" i="1" s="1"/>
  <c r="BM617" i="1"/>
  <c r="BM614" i="1"/>
  <c r="BJ603" i="1"/>
  <c r="BJ597" i="1"/>
  <c r="BJ600" i="1"/>
  <c r="BK711" i="1"/>
  <c r="BK557" i="1"/>
  <c r="BK558" i="1" s="1"/>
  <c r="BQ613" i="1"/>
  <c r="BQ615" i="1" s="1"/>
  <c r="BQ616" i="1"/>
  <c r="BF602" i="1"/>
  <c r="BF596" i="1"/>
  <c r="BG625" i="1" s="1"/>
  <c r="BG627" i="1" s="1"/>
  <c r="BF599" i="1"/>
  <c r="BJ622" i="1"/>
  <c r="BJ618" i="1"/>
  <c r="BJ626" i="1"/>
  <c r="BJ623" i="1"/>
  <c r="BN577" i="1"/>
  <c r="BP616" i="1"/>
  <c r="BP613" i="1"/>
  <c r="BP615" i="1" s="1"/>
  <c r="BP614" i="1"/>
  <c r="BP617" i="1"/>
  <c r="BZ960" i="1"/>
  <c r="BY1028" i="1"/>
  <c r="BL626" i="1"/>
  <c r="BL623" i="1"/>
  <c r="BL618" i="1"/>
  <c r="BL622" i="1"/>
  <c r="BN579" i="1"/>
  <c r="BO617" i="1"/>
  <c r="BO614" i="1"/>
  <c r="AZ666" i="1"/>
  <c r="BA630" i="1"/>
  <c r="BA634" i="1" s="1"/>
  <c r="AZ663" i="1"/>
  <c r="AU643" i="1"/>
  <c r="AU640" i="1"/>
  <c r="AU637" i="1"/>
  <c r="BF114" i="1"/>
  <c r="BF532" i="1"/>
  <c r="BF533" i="1" s="1"/>
  <c r="BS669" i="1"/>
  <c r="BS595" i="1"/>
  <c r="BS538" i="1"/>
  <c r="BS668" i="1"/>
  <c r="BS594" i="1"/>
  <c r="BS537" i="1"/>
  <c r="AQ643" i="1"/>
  <c r="AQ637" i="1"/>
  <c r="AQ640" i="1"/>
  <c r="BA566" i="1"/>
  <c r="BM599" i="1"/>
  <c r="BM596" i="1"/>
  <c r="BM602" i="1"/>
  <c r="BN602" i="1" s="1"/>
  <c r="BM603" i="1"/>
  <c r="BN603" i="1" s="1"/>
  <c r="BM597" i="1"/>
  <c r="BM600" i="1"/>
  <c r="BO4" i="13"/>
  <c r="BJ690" i="1"/>
  <c r="BJ687" i="1"/>
  <c r="AW665" i="1"/>
  <c r="AW659" i="1"/>
  <c r="AW662" i="1"/>
  <c r="BB603" i="1"/>
  <c r="BB597" i="1"/>
  <c r="BB600" i="1"/>
  <c r="BI690" i="1"/>
  <c r="BI687" i="1"/>
  <c r="BG607" i="1"/>
  <c r="BG606" i="1"/>
  <c r="BN649" i="1"/>
  <c r="BL699" i="1"/>
  <c r="BJ646" i="1"/>
  <c r="BJ650" i="1" s="1"/>
  <c r="BH677" i="1"/>
  <c r="BI677" i="1" s="1"/>
  <c r="BH674" i="1"/>
  <c r="BI674" i="1" s="1"/>
  <c r="AW588" i="1"/>
  <c r="AW585" i="1"/>
  <c r="AW372" i="1"/>
  <c r="AW582" i="1"/>
  <c r="CB941" i="1"/>
  <c r="CB854" i="1"/>
  <c r="CC854" i="1" s="1"/>
  <c r="BJ566" i="1"/>
  <c r="BJ565" i="1"/>
  <c r="BQ617" i="1"/>
  <c r="BQ614" i="1"/>
  <c r="AV666" i="1"/>
  <c r="AV663" i="1"/>
  <c r="AW630" i="1"/>
  <c r="AW634" i="1" s="1"/>
  <c r="BF711" i="1"/>
  <c r="BF557" i="1"/>
  <c r="BF558" i="1" s="1"/>
  <c r="BT694" i="1"/>
  <c r="BT693" i="1"/>
  <c r="BT612" i="1"/>
  <c r="BT611" i="1"/>
  <c r="BC663" i="1"/>
  <c r="BE630" i="1"/>
  <c r="BE634" i="1" s="1"/>
  <c r="BC666" i="1"/>
  <c r="BP695" i="1"/>
  <c r="BP696" i="1" s="1"/>
  <c r="BP698" i="1"/>
  <c r="BP685" i="1"/>
  <c r="BA585" i="1"/>
  <c r="BA372" i="1"/>
  <c r="BA588" i="1"/>
  <c r="BA582" i="1"/>
  <c r="BN670" i="1"/>
  <c r="BN671" i="1" s="1"/>
  <c r="BN657" i="1"/>
  <c r="AM643" i="1"/>
  <c r="AM637" i="1"/>
  <c r="AM640" i="1"/>
  <c r="BP4" i="13"/>
  <c r="BP3" i="13"/>
  <c r="BM921" i="1"/>
  <c r="BM697" i="1"/>
  <c r="BM684" i="1"/>
  <c r="BB565" i="1"/>
  <c r="BB566" i="1"/>
  <c r="BQ698" i="1"/>
  <c r="BQ685" i="1"/>
  <c r="BQ695" i="1"/>
  <c r="BF565" i="1"/>
  <c r="BF676" i="1"/>
  <c r="BF670" i="1"/>
  <c r="BF671" i="1" s="1"/>
  <c r="BF657" i="1"/>
  <c r="BF673" i="1"/>
  <c r="U228" i="11"/>
  <c r="V4" i="11"/>
  <c r="U3" i="11"/>
  <c r="U449" i="11" s="1"/>
  <c r="BU694" i="1"/>
  <c r="BU693" i="1"/>
  <c r="BU612" i="1"/>
  <c r="BU611" i="1"/>
  <c r="BP697" i="1"/>
  <c r="BP684" i="1"/>
  <c r="BS122" i="9"/>
  <c r="BS123" i="9"/>
  <c r="BS126" i="9"/>
  <c r="BZ728" i="1"/>
  <c r="BZ729" i="1" s="1"/>
  <c r="BZ730" i="1" s="1"/>
  <c r="BZ731" i="1" s="1"/>
  <c r="BZ707" i="1"/>
  <c r="BZ704" i="1"/>
  <c r="BO684" i="1"/>
  <c r="BO697" i="1"/>
  <c r="BN540" i="1"/>
  <c r="BE541" i="1"/>
  <c r="BH686" i="1"/>
  <c r="BH688" i="1" s="1"/>
  <c r="BH689" i="1"/>
  <c r="BM672" i="1"/>
  <c r="BN672" i="1" s="1"/>
  <c r="BM656" i="1"/>
  <c r="BM675" i="1"/>
  <c r="BN675" i="1" s="1"/>
  <c r="BI650" i="1"/>
  <c r="BH607" i="1"/>
  <c r="BI580" i="1"/>
  <c r="BI607" i="1"/>
  <c r="BI606" i="1"/>
  <c r="BH606" i="1"/>
  <c r="AR586" i="1"/>
  <c r="AR620" i="1"/>
  <c r="AR621" i="1" s="1"/>
  <c r="AR589" i="1"/>
  <c r="AR583" i="1"/>
  <c r="BE661" i="1"/>
  <c r="BE658" i="1"/>
  <c r="BE664" i="1"/>
  <c r="BB675" i="1"/>
  <c r="BB656" i="1"/>
  <c r="BB672" i="1"/>
  <c r="BJ675" i="1"/>
  <c r="BJ656" i="1"/>
  <c r="BJ672" i="1"/>
  <c r="BQ921" i="1"/>
  <c r="BR915" i="1"/>
  <c r="BR916" i="1" s="1"/>
  <c r="BF691" i="1"/>
  <c r="BI632" i="1"/>
  <c r="AW601" i="1"/>
  <c r="AX576" i="1"/>
  <c r="AX580" i="1" s="1"/>
  <c r="AW604" i="1"/>
  <c r="BF688" i="1"/>
  <c r="BL696" i="1"/>
  <c r="AR642" i="1"/>
  <c r="AR639" i="1"/>
  <c r="AR379" i="1"/>
  <c r="AR636" i="1"/>
  <c r="BB673" i="1"/>
  <c r="BB670" i="1"/>
  <c r="BB671" i="1" s="1"/>
  <c r="BB657" i="1"/>
  <c r="BB676" i="1"/>
  <c r="BD634" i="1"/>
  <c r="BD663" i="1"/>
  <c r="BD666" i="1"/>
  <c r="BJ673" i="1"/>
  <c r="BJ657" i="1"/>
  <c r="BJ676" i="1"/>
  <c r="BJ670" i="1"/>
  <c r="BJ671" i="1" s="1"/>
  <c r="BQ684" i="1"/>
  <c r="BQ697" i="1"/>
  <c r="BF540" i="1"/>
  <c r="AV639" i="1"/>
  <c r="AV379" i="1"/>
  <c r="AV642" i="1"/>
  <c r="AV636" i="1"/>
  <c r="BY2" i="9"/>
  <c r="BY5" i="13"/>
  <c r="BX655" i="1"/>
  <c r="BW536" i="1"/>
  <c r="BW655" i="1"/>
  <c r="BX561" i="1"/>
  <c r="BW561" i="1"/>
  <c r="BZ5" i="1"/>
  <c r="BX593" i="1"/>
  <c r="BW593" i="1"/>
  <c r="BX536" i="1"/>
  <c r="BV694" i="1"/>
  <c r="BV693" i="1"/>
  <c r="BV612" i="1"/>
  <c r="BV611" i="1"/>
  <c r="BE665" i="1"/>
  <c r="BE659" i="1"/>
  <c r="BE660" i="1"/>
  <c r="BE662" i="1"/>
  <c r="AR663" i="1"/>
  <c r="AR666" i="1"/>
  <c r="AS630" i="1"/>
  <c r="AS634" i="1" s="1"/>
  <c r="BH690" i="1"/>
  <c r="BH687" i="1"/>
  <c r="BO698" i="1"/>
  <c r="BO685" i="1"/>
  <c r="BO695" i="1"/>
  <c r="AZ642" i="1"/>
  <c r="AZ639" i="1"/>
  <c r="AZ379" i="1"/>
  <c r="AZ636" i="1"/>
  <c r="BZ915" i="1"/>
  <c r="BZ916" i="1" s="1"/>
  <c r="BY921" i="1"/>
  <c r="BO3" i="13"/>
  <c r="BJ699" i="1"/>
  <c r="BN647" i="1"/>
  <c r="AW674" i="1"/>
  <c r="AX646" i="1"/>
  <c r="AX650" i="1" s="1"/>
  <c r="AW677" i="1"/>
  <c r="BN697" i="1"/>
  <c r="BN684" i="1"/>
  <c r="BM695" i="1"/>
  <c r="BM696" i="1" s="1"/>
  <c r="BM685" i="1"/>
  <c r="BM698" i="1"/>
  <c r="BN3" i="13"/>
  <c r="BN4" i="13"/>
  <c r="BG537" i="1"/>
  <c r="BG538" i="1"/>
  <c r="BG594" i="1"/>
  <c r="BG562" i="1"/>
  <c r="BG595" i="1"/>
  <c r="BG563" i="1"/>
  <c r="BG669" i="1"/>
  <c r="BG668" i="1"/>
  <c r="BF627" i="1"/>
  <c r="BL687" i="1"/>
  <c r="BL690" i="1"/>
  <c r="BI689" i="1"/>
  <c r="BI686" i="1"/>
  <c r="BI691" i="1" s="1"/>
  <c r="CB129" i="9"/>
  <c r="CB88" i="9"/>
  <c r="CB115" i="9"/>
  <c r="BL689" i="1"/>
  <c r="BL686" i="1"/>
  <c r="BL688" i="1" s="1"/>
  <c r="BH664" i="1"/>
  <c r="BI664" i="1" s="1"/>
  <c r="BH661" i="1"/>
  <c r="BH658" i="1"/>
  <c r="BH660" i="1" s="1"/>
  <c r="BK538" i="1"/>
  <c r="BK594" i="1"/>
  <c r="BK669" i="1"/>
  <c r="BK595" i="1"/>
  <c r="BK537" i="1"/>
  <c r="BK668" i="1"/>
  <c r="BE598" i="1"/>
  <c r="BB711" i="1"/>
  <c r="BB557" i="1"/>
  <c r="BB558" i="1" s="1"/>
  <c r="Y283" i="11"/>
  <c r="X284" i="11"/>
  <c r="X408" i="11" s="1"/>
  <c r="BH4" i="13"/>
  <c r="BH3" i="13"/>
  <c r="CJ5" i="9"/>
  <c r="CJ754" i="1"/>
  <c r="BE585" i="1"/>
  <c r="BE588" i="1"/>
  <c r="BE372" i="1"/>
  <c r="BE582" i="1"/>
  <c r="CC129" i="9"/>
  <c r="CC88" i="9"/>
  <c r="CC115" i="9"/>
  <c r="AY589" i="1"/>
  <c r="AY583" i="1"/>
  <c r="BF539" i="1"/>
  <c r="BG526" i="1" s="1"/>
  <c r="BG530" i="1" s="1"/>
  <c r="CC5" i="13"/>
  <c r="CC2" i="9"/>
  <c r="BW683" i="1"/>
  <c r="BX610" i="1"/>
  <c r="BY568" i="1"/>
  <c r="BY543" i="1"/>
  <c r="BX683" i="1"/>
  <c r="BX543" i="1"/>
  <c r="BX568" i="1"/>
  <c r="BW543" i="1"/>
  <c r="BY683" i="1"/>
  <c r="BW568" i="1"/>
  <c r="CH5" i="1"/>
  <c r="CH1127" i="1" s="1"/>
  <c r="BY610" i="1"/>
  <c r="CD5" i="1"/>
  <c r="CD1127" i="1" s="1"/>
  <c r="BW610" i="1"/>
  <c r="BS693" i="1"/>
  <c r="BS694" i="1"/>
  <c r="BS611" i="1"/>
  <c r="BS612" i="1"/>
  <c r="BE674" i="1"/>
  <c r="BE677" i="1"/>
  <c r="BF646" i="1"/>
  <c r="BF650" i="1" s="1"/>
  <c r="BE606" i="1"/>
  <c r="BE607" i="1"/>
  <c r="BD372" i="1"/>
  <c r="BD588" i="1"/>
  <c r="BD582" i="1"/>
  <c r="BK690" i="1"/>
  <c r="BK687" i="1"/>
  <c r="BH604" i="1"/>
  <c r="BJ576" i="1"/>
  <c r="BJ580" i="1" s="1"/>
  <c r="BH601" i="1"/>
  <c r="BA664" i="1"/>
  <c r="BA658" i="1"/>
  <c r="BA660" i="1" s="1"/>
  <c r="BA661" i="1"/>
  <c r="BN600" i="1"/>
  <c r="BN597" i="1"/>
  <c r="BU5" i="13"/>
  <c r="BU2" i="9"/>
  <c r="BT561" i="1"/>
  <c r="BT536" i="1"/>
  <c r="BT593" i="1"/>
  <c r="BT655" i="1"/>
  <c r="BV5" i="1"/>
  <c r="BU1094" i="1" s="1"/>
  <c r="CH924" i="1"/>
  <c r="CD924" i="1"/>
  <c r="CC927" i="1"/>
  <c r="BG691" i="1"/>
  <c r="BI633" i="1"/>
  <c r="BM539" i="1"/>
  <c r="BO526" i="1" s="1"/>
  <c r="BO530" i="1" s="1"/>
  <c r="AN586" i="1"/>
  <c r="AN589" i="1"/>
  <c r="AN583" i="1"/>
  <c r="BB599" i="1"/>
  <c r="BB596" i="1"/>
  <c r="BB598" i="1" s="1"/>
  <c r="BB602" i="1"/>
  <c r="BJ114" i="1"/>
  <c r="BJ532" i="1"/>
  <c r="BJ533" i="1" s="1"/>
  <c r="BQ2" i="9"/>
  <c r="BQ5" i="13"/>
  <c r="BP593" i="1"/>
  <c r="BP561" i="1"/>
  <c r="BP536" i="1"/>
  <c r="BP655" i="1"/>
  <c r="BR5" i="1"/>
  <c r="BQ1094" i="1" s="1"/>
  <c r="BJ686" i="1"/>
  <c r="BJ689" i="1"/>
  <c r="CK452" i="1"/>
  <c r="CK455" i="1" s="1"/>
  <c r="CK450" i="1"/>
  <c r="BH662" i="1"/>
  <c r="BH665" i="1"/>
  <c r="BI665" i="1" s="1"/>
  <c r="BH659" i="1"/>
  <c r="BE288" i="1"/>
  <c r="BE652" i="1"/>
  <c r="BN698" i="1"/>
  <c r="BN685" i="1"/>
  <c r="BN695" i="1"/>
  <c r="BN699" i="1" s="1"/>
  <c r="BA604" i="1"/>
  <c r="BB576" i="1"/>
  <c r="BB580" i="1" s="1"/>
  <c r="BA601" i="1"/>
  <c r="CK436" i="1"/>
  <c r="CK714" i="1" s="1"/>
  <c r="BL4" i="13"/>
  <c r="BL3" i="13"/>
  <c r="BI658" i="1"/>
  <c r="BI661" i="1"/>
  <c r="AI640" i="1"/>
  <c r="AI643" i="1"/>
  <c r="AI637" i="1"/>
  <c r="AW671" i="1"/>
  <c r="AN843" i="1"/>
  <c r="AM844" i="1"/>
  <c r="AM1031" i="1" s="1"/>
  <c r="BC114" i="1"/>
  <c r="BC532" i="1"/>
  <c r="BC533" i="1" s="1"/>
  <c r="BK114" i="1"/>
  <c r="BK532" i="1"/>
  <c r="BK533" i="1" s="1"/>
  <c r="BF672" i="1"/>
  <c r="BF675" i="1"/>
  <c r="BF656" i="1"/>
  <c r="BJ615" i="1"/>
  <c r="BI604" i="1"/>
  <c r="BI601" i="1"/>
  <c r="AW288" i="1"/>
  <c r="AW652" i="1"/>
  <c r="CC933" i="1"/>
  <c r="CH930" i="1"/>
  <c r="CD930" i="1"/>
  <c r="AV660" i="1"/>
  <c r="BF606" i="1"/>
  <c r="BF607" i="1"/>
  <c r="BK699" i="1"/>
  <c r="BN648" i="1"/>
  <c r="BN539" i="1"/>
  <c r="BN541" i="1" s="1"/>
  <c r="AS588" i="1"/>
  <c r="AS585" i="1"/>
  <c r="AS372" i="1"/>
  <c r="AS582" i="1"/>
  <c r="BE691" i="1"/>
  <c r="BI631" i="1"/>
  <c r="BR538" i="1"/>
  <c r="BR537" i="1"/>
  <c r="BR669" i="1"/>
  <c r="BR668" i="1"/>
  <c r="BR595" i="1"/>
  <c r="BR594" i="1"/>
  <c r="CI6" i="9"/>
  <c r="BN617" i="1"/>
  <c r="BN614" i="1"/>
  <c r="BC711" i="1"/>
  <c r="BC557" i="1"/>
  <c r="BC558" i="1" s="1"/>
  <c r="AW661" i="1"/>
  <c r="AW664" i="1"/>
  <c r="AW658" i="1"/>
  <c r="BM613" i="1"/>
  <c r="BM616" i="1"/>
  <c r="AY379" i="1"/>
  <c r="AY642" i="1"/>
  <c r="AY636" i="1"/>
  <c r="BJ696" i="1"/>
  <c r="AZ586" i="1"/>
  <c r="AZ620" i="1"/>
  <c r="AZ621" i="1" s="1"/>
  <c r="AZ583" i="1"/>
  <c r="AZ589" i="1"/>
  <c r="BN613" i="1"/>
  <c r="BN618" i="1" s="1"/>
  <c r="BN616" i="1"/>
  <c r="BO668" i="1"/>
  <c r="BO669" i="1"/>
  <c r="BO595" i="1"/>
  <c r="BO538" i="1"/>
  <c r="BO537" i="1"/>
  <c r="BO594" i="1"/>
  <c r="BV915" i="1"/>
  <c r="BV916" i="1" s="1"/>
  <c r="BU921" i="1"/>
  <c r="BK622" i="1"/>
  <c r="BK618" i="1"/>
  <c r="BN578" i="1"/>
  <c r="BK626" i="1"/>
  <c r="BK623" i="1"/>
  <c r="BC691" i="1"/>
  <c r="BI630" i="1"/>
  <c r="BB541" i="1"/>
  <c r="BB540" i="1"/>
  <c r="BJ540" i="1"/>
  <c r="BF600" i="1"/>
  <c r="BF598" i="1"/>
  <c r="BF597" i="1"/>
  <c r="BF603" i="1"/>
  <c r="AT637" i="1"/>
  <c r="AT643" i="1"/>
  <c r="CH69" i="9"/>
  <c r="CH1036" i="1"/>
  <c r="CH1043" i="1"/>
  <c r="BR693" i="1"/>
  <c r="BR694" i="1"/>
  <c r="BR611" i="1"/>
  <c r="BR612" i="1"/>
  <c r="BZ78" i="9"/>
  <c r="BZ89" i="9"/>
  <c r="BZ68" i="9"/>
  <c r="BZ117" i="9"/>
  <c r="BA662" i="1"/>
  <c r="BA659" i="1"/>
  <c r="BA665" i="1"/>
  <c r="BH699" i="1"/>
  <c r="BN646" i="1"/>
  <c r="BI615" i="1"/>
  <c r="BA288" i="1"/>
  <c r="BA652" i="1"/>
  <c r="BK686" i="1"/>
  <c r="BK688" i="1" s="1"/>
  <c r="BK689" i="1"/>
  <c r="BE566" i="1"/>
  <c r="BH618" i="1"/>
  <c r="BN576" i="1"/>
  <c r="BJ625" i="1"/>
  <c r="BD288" i="1"/>
  <c r="BD652" i="1"/>
  <c r="BN596" i="1"/>
  <c r="BN598" i="1" s="1"/>
  <c r="BN599" i="1"/>
  <c r="BH541" i="1"/>
  <c r="BM540" i="1"/>
  <c r="CC1128" i="1"/>
  <c r="CD1128" i="1"/>
  <c r="CH1128" i="1"/>
  <c r="N33" i="10"/>
  <c r="N36" i="10"/>
  <c r="N73" i="10"/>
  <c r="N69" i="10"/>
  <c r="N39" i="10"/>
  <c r="N70" i="10"/>
  <c r="N44" i="10"/>
  <c r="N47" i="10"/>
  <c r="N67" i="10"/>
  <c r="N52" i="10"/>
  <c r="N54" i="10"/>
  <c r="N62" i="10"/>
  <c r="N72" i="10"/>
  <c r="N50" i="10"/>
  <c r="N57" i="10"/>
  <c r="N59" i="10"/>
  <c r="N63" i="10"/>
  <c r="N40" i="10"/>
  <c r="N42" i="10"/>
  <c r="N43" i="10"/>
  <c r="N49" i="10"/>
  <c r="N64" i="10"/>
  <c r="N60" i="10"/>
  <c r="N37" i="10"/>
  <c r="N34" i="10"/>
  <c r="N88" i="10"/>
  <c r="N53" i="10"/>
  <c r="N32" i="10"/>
  <c r="N56" i="10"/>
  <c r="N66" i="10"/>
  <c r="N87" i="10"/>
  <c r="N46" i="10"/>
  <c r="BX1096" i="1" l="1"/>
  <c r="BX1104" i="1"/>
  <c r="BX1095" i="1"/>
  <c r="BX1097" i="1"/>
  <c r="BX1106" i="1"/>
  <c r="BX1102" i="1"/>
  <c r="BX1105" i="1"/>
  <c r="BX1100" i="1"/>
  <c r="BX1098" i="1"/>
  <c r="BX1103" i="1"/>
  <c r="BX1099" i="1"/>
  <c r="BX1101" i="1"/>
  <c r="BW1106" i="1"/>
  <c r="BW1095" i="1"/>
  <c r="BW1103" i="1"/>
  <c r="BW1099" i="1"/>
  <c r="BW1096" i="1"/>
  <c r="BW1098" i="1"/>
  <c r="BW1100" i="1"/>
  <c r="BW1102" i="1"/>
  <c r="BW1104" i="1"/>
  <c r="BW1097" i="1"/>
  <c r="BW1105" i="1"/>
  <c r="BW1101" i="1"/>
  <c r="BJ541" i="1"/>
  <c r="BN696" i="1"/>
  <c r="BU1096" i="1"/>
  <c r="BU1100" i="1"/>
  <c r="BU1104" i="1"/>
  <c r="BU1101" i="1"/>
  <c r="BU1097" i="1"/>
  <c r="BU1099" i="1"/>
  <c r="BU1103" i="1"/>
  <c r="BU1098" i="1"/>
  <c r="BU1106" i="1"/>
  <c r="BU1102" i="1"/>
  <c r="BU1095" i="1"/>
  <c r="BU1105" i="1"/>
  <c r="BY1117" i="1"/>
  <c r="BY1111" i="1"/>
  <c r="BY1116" i="1"/>
  <c r="BY1120" i="1"/>
  <c r="BY1121" i="1"/>
  <c r="BY1114" i="1"/>
  <c r="BY1119" i="1"/>
  <c r="BY1124" i="1"/>
  <c r="BY1123" i="1"/>
  <c r="BY1122" i="1"/>
  <c r="BY1113" i="1"/>
  <c r="BY1115" i="1"/>
  <c r="BY1118" i="1"/>
  <c r="BK539" i="1"/>
  <c r="BL526" i="1" s="1"/>
  <c r="BL530" i="1" s="1"/>
  <c r="BZ1127" i="1"/>
  <c r="BY1094" i="1"/>
  <c r="BX1111" i="1"/>
  <c r="BX1124" i="1"/>
  <c r="BX1114" i="1"/>
  <c r="BX1121" i="1"/>
  <c r="BX1120" i="1"/>
  <c r="BX1115" i="1"/>
  <c r="BX1117" i="1"/>
  <c r="BX1113" i="1"/>
  <c r="BX1118" i="1"/>
  <c r="BX1116" i="1"/>
  <c r="BX1122" i="1"/>
  <c r="BX1119" i="1"/>
  <c r="BX1123" i="1"/>
  <c r="BQ1097" i="1"/>
  <c r="BQ1100" i="1"/>
  <c r="BQ1104" i="1"/>
  <c r="BQ1105" i="1"/>
  <c r="BQ1102" i="1"/>
  <c r="BQ1095" i="1"/>
  <c r="BQ1101" i="1"/>
  <c r="BQ1098" i="1"/>
  <c r="BQ1106" i="1"/>
  <c r="BQ1103" i="1"/>
  <c r="BQ1099" i="1"/>
  <c r="BQ1096" i="1"/>
  <c r="BW1111" i="1"/>
  <c r="BW1117" i="1"/>
  <c r="BW1122" i="1"/>
  <c r="BW1118" i="1"/>
  <c r="BW1116" i="1"/>
  <c r="BW693" i="1" s="1"/>
  <c r="BW1121" i="1"/>
  <c r="BW1120" i="1"/>
  <c r="BW1113" i="1"/>
  <c r="BW1123" i="1"/>
  <c r="BW1124" i="1"/>
  <c r="BW1114" i="1"/>
  <c r="BW612" i="1" s="1"/>
  <c r="BW1119" i="1"/>
  <c r="BW1115" i="1"/>
  <c r="BM541" i="1"/>
  <c r="BF566" i="1"/>
  <c r="BO539" i="1"/>
  <c r="BP526" i="1" s="1"/>
  <c r="BP530" i="1" s="1"/>
  <c r="BS656" i="1"/>
  <c r="BI634" i="1"/>
  <c r="BI642" i="1" s="1"/>
  <c r="BS539" i="1"/>
  <c r="BS541" i="1" s="1"/>
  <c r="BG564" i="1"/>
  <c r="BH551" i="1" s="1"/>
  <c r="BH555" i="1" s="1"/>
  <c r="BH557" i="1" s="1"/>
  <c r="BH558" i="1" s="1"/>
  <c r="Q69" i="10"/>
  <c r="P69" i="10"/>
  <c r="P46" i="10"/>
  <c r="Q46" i="10"/>
  <c r="Q72" i="10"/>
  <c r="P72" i="10"/>
  <c r="Q66" i="10"/>
  <c r="P66" i="10"/>
  <c r="Q47" i="10"/>
  <c r="P47" i="10"/>
  <c r="Q34" i="10"/>
  <c r="P34" i="10"/>
  <c r="P63" i="10"/>
  <c r="Q63" i="10"/>
  <c r="P39" i="10"/>
  <c r="Q39" i="10"/>
  <c r="P73" i="10"/>
  <c r="Q73" i="10"/>
  <c r="P49" i="10"/>
  <c r="Q49" i="10"/>
  <c r="Q87" i="10"/>
  <c r="P87" i="10"/>
  <c r="Q56" i="10"/>
  <c r="P56" i="10"/>
  <c r="Q44" i="10"/>
  <c r="P44" i="10"/>
  <c r="Q37" i="10"/>
  <c r="P37" i="10"/>
  <c r="Q59" i="10"/>
  <c r="P59" i="10"/>
  <c r="Q54" i="10"/>
  <c r="P54" i="10"/>
  <c r="P36" i="10"/>
  <c r="Q36" i="10"/>
  <c r="Q43" i="10"/>
  <c r="P43" i="10"/>
  <c r="Q40" i="10"/>
  <c r="P40" i="10"/>
  <c r="Q32" i="10"/>
  <c r="P32" i="10"/>
  <c r="Q88" i="10"/>
  <c r="P88" i="10"/>
  <c r="P60" i="10"/>
  <c r="Q60" i="10"/>
  <c r="P57" i="10"/>
  <c r="Q57" i="10"/>
  <c r="Q52" i="10"/>
  <c r="P52" i="10"/>
  <c r="P33" i="10"/>
  <c r="Q33" i="10"/>
  <c r="P42" i="10"/>
  <c r="Q42" i="10"/>
  <c r="Q62" i="10"/>
  <c r="P62" i="10"/>
  <c r="Q53" i="10"/>
  <c r="P53" i="10"/>
  <c r="P70" i="10"/>
  <c r="Q70" i="10"/>
  <c r="Q64" i="10"/>
  <c r="P64" i="10"/>
  <c r="Q50" i="10"/>
  <c r="P50" i="10"/>
  <c r="Q67" i="10"/>
  <c r="P67" i="10"/>
  <c r="BJ606" i="1"/>
  <c r="BJ607" i="1"/>
  <c r="BO675" i="1"/>
  <c r="BO656" i="1"/>
  <c r="BO672" i="1"/>
  <c r="BR614" i="1"/>
  <c r="BR617" i="1"/>
  <c r="BV921" i="1"/>
  <c r="BW915" i="1"/>
  <c r="BW916" i="1" s="1"/>
  <c r="BN615" i="1"/>
  <c r="BR673" i="1"/>
  <c r="BS673" i="1" s="1"/>
  <c r="BR670" i="1"/>
  <c r="BR676" i="1"/>
  <c r="BS676" i="1" s="1"/>
  <c r="BR657" i="1"/>
  <c r="BB588" i="1"/>
  <c r="BB585" i="1"/>
  <c r="BB372" i="1"/>
  <c r="BB582" i="1"/>
  <c r="BN631" i="1"/>
  <c r="BJ691" i="1"/>
  <c r="BF288" i="1"/>
  <c r="BF652" i="1"/>
  <c r="CH5" i="13"/>
  <c r="CH2" i="9"/>
  <c r="CI5" i="1"/>
  <c r="CI1127" i="1" s="1"/>
  <c r="BX694" i="1"/>
  <c r="BX693" i="1"/>
  <c r="BX612" i="1"/>
  <c r="BX611" i="1"/>
  <c r="BK672" i="1"/>
  <c r="BK656" i="1"/>
  <c r="BK675" i="1"/>
  <c r="BG597" i="1"/>
  <c r="BG603" i="1"/>
  <c r="BG600" i="1"/>
  <c r="BV697" i="1"/>
  <c r="BV684" i="1"/>
  <c r="BJ662" i="1"/>
  <c r="BJ659" i="1"/>
  <c r="BJ665" i="1"/>
  <c r="BB677" i="1"/>
  <c r="BC646" i="1"/>
  <c r="BC650" i="1" s="1"/>
  <c r="BB674" i="1"/>
  <c r="AW379" i="1"/>
  <c r="AW642" i="1"/>
  <c r="AW639" i="1"/>
  <c r="AW636" i="1"/>
  <c r="BJ288" i="1"/>
  <c r="BJ652" i="1"/>
  <c r="BS597" i="1"/>
  <c r="BS600" i="1"/>
  <c r="BF585" i="1"/>
  <c r="BF588" i="1"/>
  <c r="BF372" i="1"/>
  <c r="BF582" i="1"/>
  <c r="BR616" i="1"/>
  <c r="BR613" i="1"/>
  <c r="BO600" i="1"/>
  <c r="BO597" i="1"/>
  <c r="BO603" i="1"/>
  <c r="BO625" i="1"/>
  <c r="BM618" i="1"/>
  <c r="BS576" i="1"/>
  <c r="BR5" i="13"/>
  <c r="BR2" i="9"/>
  <c r="BQ561" i="1"/>
  <c r="BQ536" i="1"/>
  <c r="BQ593" i="1"/>
  <c r="BQ655" i="1"/>
  <c r="BO114" i="1"/>
  <c r="BO532" i="1"/>
  <c r="BO533" i="1" s="1"/>
  <c r="BS614" i="1"/>
  <c r="BS617" i="1"/>
  <c r="BK596" i="1"/>
  <c r="BL625" i="1" s="1"/>
  <c r="BL627" i="1" s="1"/>
  <c r="BK602" i="1"/>
  <c r="BK599" i="1"/>
  <c r="AX288" i="1"/>
  <c r="AX652" i="1"/>
  <c r="AZ643" i="1"/>
  <c r="AZ640" i="1"/>
  <c r="AZ637" i="1"/>
  <c r="BV698" i="1"/>
  <c r="BV685" i="1"/>
  <c r="BV695" i="1"/>
  <c r="BU616" i="1"/>
  <c r="BU613" i="1"/>
  <c r="BU615" i="1" s="1"/>
  <c r="U226" i="11"/>
  <c r="U227" i="11"/>
  <c r="U229" i="11" s="1"/>
  <c r="U215" i="11" s="1"/>
  <c r="U225" i="11"/>
  <c r="BM689" i="1"/>
  <c r="BM686" i="1"/>
  <c r="BP690" i="1"/>
  <c r="BP687" i="1"/>
  <c r="BT613" i="1"/>
  <c r="BT615" i="1" s="1"/>
  <c r="BT616" i="1"/>
  <c r="BJ688" i="1"/>
  <c r="BO626" i="1"/>
  <c r="BS577" i="1"/>
  <c r="BO623" i="1"/>
  <c r="BO622" i="1"/>
  <c r="BO618" i="1"/>
  <c r="BM4" i="13"/>
  <c r="BM3" i="13"/>
  <c r="BZ79" i="9"/>
  <c r="BZ81" i="9" s="1"/>
  <c r="BZ70" i="9"/>
  <c r="BZ76" i="9" s="1"/>
  <c r="BZ132" i="9" s="1"/>
  <c r="BZ118" i="9"/>
  <c r="AW663" i="1"/>
  <c r="AX630" i="1"/>
  <c r="AX634" i="1" s="1"/>
  <c r="AW666" i="1"/>
  <c r="BR539" i="1"/>
  <c r="BT526" i="1" s="1"/>
  <c r="BT530" i="1" s="1"/>
  <c r="AS586" i="1"/>
  <c r="AS589" i="1"/>
  <c r="AS583" i="1"/>
  <c r="BI636" i="1"/>
  <c r="BS616" i="1"/>
  <c r="BS613" i="1"/>
  <c r="BS618" i="1" s="1"/>
  <c r="BY694" i="1"/>
  <c r="BY693" i="1"/>
  <c r="BY612" i="1"/>
  <c r="BY611" i="1"/>
  <c r="BE589" i="1"/>
  <c r="BE583" i="1"/>
  <c r="BE586" i="1"/>
  <c r="BE620" i="1"/>
  <c r="BE621" i="1" s="1"/>
  <c r="BG599" i="1"/>
  <c r="BG596" i="1"/>
  <c r="BG602" i="1"/>
  <c r="BW594" i="1"/>
  <c r="BW595" i="1"/>
  <c r="BW537" i="1"/>
  <c r="BW538" i="1"/>
  <c r="BW669" i="1"/>
  <c r="BW668" i="1"/>
  <c r="BE663" i="1"/>
  <c r="BF630" i="1"/>
  <c r="BF634" i="1" s="1"/>
  <c r="BE666" i="1"/>
  <c r="BN630" i="1"/>
  <c r="BH691" i="1"/>
  <c r="BU614" i="1"/>
  <c r="BU617" i="1"/>
  <c r="BT617" i="1"/>
  <c r="BT614" i="1"/>
  <c r="AW620" i="1"/>
  <c r="AW621" i="1" s="1"/>
  <c r="AW589" i="1"/>
  <c r="AW583" i="1"/>
  <c r="AW586" i="1"/>
  <c r="BN650" i="1"/>
  <c r="BM601" i="1"/>
  <c r="BM604" i="1"/>
  <c r="BO576" i="1"/>
  <c r="BO580" i="1" s="1"/>
  <c r="BS599" i="1"/>
  <c r="BS596" i="1"/>
  <c r="BA642" i="1"/>
  <c r="BA639" i="1"/>
  <c r="BA379" i="1"/>
  <c r="BA636" i="1"/>
  <c r="BM665" i="1"/>
  <c r="BN665" i="1" s="1"/>
  <c r="BM659" i="1"/>
  <c r="BM662" i="1"/>
  <c r="AN637" i="1"/>
  <c r="AN640" i="1"/>
  <c r="AN643" i="1"/>
  <c r="BB288" i="1"/>
  <c r="BB652" i="1"/>
  <c r="BO673" i="1"/>
  <c r="BO676" i="1"/>
  <c r="BO657" i="1"/>
  <c r="BO670" i="1"/>
  <c r="BR540" i="1"/>
  <c r="BI666" i="1"/>
  <c r="BI663" i="1"/>
  <c r="BN687" i="1"/>
  <c r="BN690" i="1"/>
  <c r="BA666" i="1"/>
  <c r="BB630" i="1"/>
  <c r="BB634" i="1" s="1"/>
  <c r="BA663" i="1"/>
  <c r="BD589" i="1"/>
  <c r="BD583" i="1"/>
  <c r="BS695" i="1"/>
  <c r="BS699" i="1" s="1"/>
  <c r="BS698" i="1"/>
  <c r="BS685" i="1"/>
  <c r="BG114" i="1"/>
  <c r="BG532" i="1"/>
  <c r="BG533" i="1" s="1"/>
  <c r="Z283" i="11"/>
  <c r="Z284" i="11" s="1"/>
  <c r="Y284" i="11"/>
  <c r="Y408" i="11" s="1"/>
  <c r="BL114" i="1"/>
  <c r="BL532" i="1"/>
  <c r="BL533" i="1" s="1"/>
  <c r="BK540" i="1"/>
  <c r="BK541" i="1"/>
  <c r="BF541" i="1"/>
  <c r="AR643" i="1"/>
  <c r="AR640" i="1"/>
  <c r="AR637" i="1"/>
  <c r="AX585" i="1"/>
  <c r="AX588" i="1"/>
  <c r="AX372" i="1"/>
  <c r="AX582" i="1"/>
  <c r="BI588" i="1"/>
  <c r="BI372" i="1"/>
  <c r="BI582" i="1"/>
  <c r="BS649" i="1"/>
  <c r="BQ699" i="1"/>
  <c r="BN659" i="1"/>
  <c r="BN662" i="1"/>
  <c r="BS661" i="1"/>
  <c r="BS670" i="1"/>
  <c r="BS657" i="1"/>
  <c r="BS658" i="1" s="1"/>
  <c r="BS671" i="1"/>
  <c r="BS578" i="1"/>
  <c r="BP623" i="1"/>
  <c r="BP618" i="1"/>
  <c r="BP626" i="1"/>
  <c r="BP622" i="1"/>
  <c r="BF604" i="1"/>
  <c r="BG576" i="1"/>
  <c r="BG580" i="1" s="1"/>
  <c r="BF601" i="1"/>
  <c r="BM674" i="1"/>
  <c r="BN674" i="1" s="1"/>
  <c r="BO646" i="1"/>
  <c r="BO650" i="1" s="1"/>
  <c r="BM677" i="1"/>
  <c r="BN677" i="1" s="1"/>
  <c r="BI660" i="1"/>
  <c r="BL594" i="1"/>
  <c r="BL595" i="1"/>
  <c r="BL668" i="1"/>
  <c r="BL537" i="1"/>
  <c r="BL669" i="1"/>
  <c r="BL538" i="1"/>
  <c r="BR697" i="1"/>
  <c r="BR684" i="1"/>
  <c r="BL606" i="1"/>
  <c r="BL607" i="1"/>
  <c r="BR599" i="1"/>
  <c r="BR602" i="1"/>
  <c r="BS602" i="1" s="1"/>
  <c r="BR596" i="1"/>
  <c r="BR598" i="1" s="1"/>
  <c r="CD939" i="1"/>
  <c r="CD931" i="1"/>
  <c r="BB601" i="1"/>
  <c r="BC576" i="1"/>
  <c r="BC580" i="1" s="1"/>
  <c r="BB604" i="1"/>
  <c r="BT537" i="1"/>
  <c r="BT538" i="1"/>
  <c r="BT668" i="1"/>
  <c r="BT669" i="1"/>
  <c r="BT594" i="1"/>
  <c r="BT595" i="1"/>
  <c r="BK603" i="1"/>
  <c r="BK600" i="1"/>
  <c r="BK597" i="1"/>
  <c r="BH666" i="1"/>
  <c r="BH663" i="1"/>
  <c r="BJ630" i="1"/>
  <c r="BJ634" i="1" s="1"/>
  <c r="BG675" i="1"/>
  <c r="BG656" i="1"/>
  <c r="BG672" i="1"/>
  <c r="BM687" i="1"/>
  <c r="BM688" i="1"/>
  <c r="BM690" i="1"/>
  <c r="BZ5" i="13"/>
  <c r="BZ2" i="9"/>
  <c r="BY561" i="1"/>
  <c r="BY536" i="1"/>
  <c r="BY593" i="1"/>
  <c r="BY655" i="1"/>
  <c r="CA5" i="1"/>
  <c r="CA1127" i="1" s="1"/>
  <c r="BX538" i="1"/>
  <c r="BX537" i="1"/>
  <c r="BX669" i="1"/>
  <c r="BX668" i="1"/>
  <c r="BX595" i="1"/>
  <c r="BX594" i="1"/>
  <c r="BJ664" i="1"/>
  <c r="BJ658" i="1"/>
  <c r="BJ660" i="1" s="1"/>
  <c r="BJ661" i="1"/>
  <c r="BU697" i="1"/>
  <c r="BU684" i="1"/>
  <c r="BQ690" i="1"/>
  <c r="BQ687" i="1"/>
  <c r="BP699" i="1"/>
  <c r="BS648" i="1"/>
  <c r="BT697" i="1"/>
  <c r="BT684" i="1"/>
  <c r="AW660" i="1"/>
  <c r="BJ601" i="1"/>
  <c r="BK576" i="1"/>
  <c r="BK580" i="1" s="1"/>
  <c r="BJ604" i="1"/>
  <c r="AY643" i="1"/>
  <c r="AY637" i="1"/>
  <c r="BR603" i="1"/>
  <c r="BS603" i="1" s="1"/>
  <c r="BR597" i="1"/>
  <c r="BR600" i="1"/>
  <c r="BF661" i="1"/>
  <c r="BF658" i="1"/>
  <c r="BF660" i="1" s="1"/>
  <c r="BF664" i="1"/>
  <c r="AO843" i="1"/>
  <c r="AO844" i="1" s="1"/>
  <c r="AN844" i="1"/>
  <c r="AN1031" i="1" s="1"/>
  <c r="CD925" i="1"/>
  <c r="CD938" i="1" s="1"/>
  <c r="BS697" i="1"/>
  <c r="BS684" i="1"/>
  <c r="CD2" i="9"/>
  <c r="CD5" i="13"/>
  <c r="CE5" i="1"/>
  <c r="CE1127" i="1" s="1"/>
  <c r="BW694" i="1"/>
  <c r="BW611" i="1"/>
  <c r="BG673" i="1"/>
  <c r="BG670" i="1"/>
  <c r="BG657" i="1"/>
  <c r="BG676" i="1"/>
  <c r="BM699" i="1"/>
  <c r="BS646" i="1"/>
  <c r="BS647" i="1"/>
  <c r="BO699" i="1"/>
  <c r="AS639" i="1"/>
  <c r="AS642" i="1"/>
  <c r="AS379" i="1"/>
  <c r="AS636" i="1"/>
  <c r="BV613" i="1"/>
  <c r="BV615" i="1" s="1"/>
  <c r="BV616" i="1"/>
  <c r="BQ686" i="1"/>
  <c r="BQ689" i="1"/>
  <c r="BD642" i="1"/>
  <c r="BD379" i="1"/>
  <c r="BD636" i="1"/>
  <c r="BI288" i="1"/>
  <c r="BI652" i="1"/>
  <c r="BU698" i="1"/>
  <c r="BU685" i="1"/>
  <c r="BU695" i="1"/>
  <c r="BU696" i="1" s="1"/>
  <c r="BS3" i="13"/>
  <c r="BA620" i="1"/>
  <c r="BA621" i="1" s="1"/>
  <c r="BA586" i="1"/>
  <c r="BA583" i="1"/>
  <c r="BA589" i="1"/>
  <c r="BT698" i="1"/>
  <c r="BT685" i="1"/>
  <c r="BT695" i="1"/>
  <c r="BS4" i="13"/>
  <c r="BI688" i="1"/>
  <c r="BO615" i="1"/>
  <c r="BZ734" i="1"/>
  <c r="BZ970" i="1"/>
  <c r="BZ990" i="1" s="1"/>
  <c r="BK607" i="1"/>
  <c r="BK606" i="1"/>
  <c r="BT3" i="13"/>
  <c r="BG711" i="1"/>
  <c r="BG557" i="1"/>
  <c r="BG558" i="1" s="1"/>
  <c r="BR695" i="1"/>
  <c r="BR696" i="1" s="1"/>
  <c r="BR698" i="1"/>
  <c r="BR685" i="1"/>
  <c r="BP114" i="1"/>
  <c r="BP532" i="1"/>
  <c r="BP533" i="1" s="1"/>
  <c r="BO541" i="1"/>
  <c r="BO540" i="1"/>
  <c r="CK69" i="9"/>
  <c r="CK1036" i="1"/>
  <c r="CK902" i="1"/>
  <c r="CK910" i="1" s="1"/>
  <c r="CK5" i="9"/>
  <c r="CK754" i="1"/>
  <c r="BP538" i="1"/>
  <c r="BP537" i="1"/>
  <c r="BP669" i="1"/>
  <c r="BP668" i="1"/>
  <c r="BP595" i="1"/>
  <c r="BP594" i="1"/>
  <c r="BU4" i="13"/>
  <c r="BU3" i="13"/>
  <c r="BJ588" i="1"/>
  <c r="BJ585" i="1"/>
  <c r="BJ372" i="1"/>
  <c r="BJ582" i="1"/>
  <c r="BK676" i="1"/>
  <c r="BK670" i="1"/>
  <c r="BK671" i="1" s="1"/>
  <c r="BK657" i="1"/>
  <c r="BK673" i="1"/>
  <c r="BG565" i="1"/>
  <c r="BG540" i="1"/>
  <c r="BN689" i="1"/>
  <c r="BN686" i="1"/>
  <c r="BN691" i="1" s="1"/>
  <c r="BO687" i="1"/>
  <c r="BO690" i="1"/>
  <c r="BV617" i="1"/>
  <c r="BV614" i="1"/>
  <c r="AV637" i="1"/>
  <c r="AV643" i="1"/>
  <c r="AV640" i="1"/>
  <c r="BJ677" i="1"/>
  <c r="BJ674" i="1"/>
  <c r="BK646" i="1"/>
  <c r="BK650" i="1" s="1"/>
  <c r="BP686" i="1"/>
  <c r="BP689" i="1"/>
  <c r="BF665" i="1"/>
  <c r="BF659" i="1"/>
  <c r="BF662" i="1"/>
  <c r="BQ696" i="1"/>
  <c r="BE639" i="1"/>
  <c r="BE642" i="1"/>
  <c r="BE379" i="1"/>
  <c r="BE636" i="1"/>
  <c r="BM598" i="1"/>
  <c r="BS540" i="1"/>
  <c r="BQ626" i="1"/>
  <c r="BQ623" i="1"/>
  <c r="BQ622" i="1"/>
  <c r="BQ618" i="1"/>
  <c r="BS579" i="1"/>
  <c r="BT4" i="13"/>
  <c r="BO602" i="1"/>
  <c r="BO596" i="1"/>
  <c r="BO599" i="1"/>
  <c r="BN604" i="1"/>
  <c r="BN601" i="1"/>
  <c r="BN632" i="1"/>
  <c r="BK691" i="1"/>
  <c r="BR675" i="1"/>
  <c r="BS675" i="1" s="1"/>
  <c r="BR656" i="1"/>
  <c r="BR672" i="1"/>
  <c r="BS672" i="1" s="1"/>
  <c r="BQ3" i="13"/>
  <c r="BQ4" i="13"/>
  <c r="BV2" i="9"/>
  <c r="BV5" i="13"/>
  <c r="BU593" i="1"/>
  <c r="BU655" i="1"/>
  <c r="BU536" i="1"/>
  <c r="BU561" i="1"/>
  <c r="BW5" i="1"/>
  <c r="BV1094" i="1" s="1"/>
  <c r="CJ6" i="9"/>
  <c r="BL691" i="1"/>
  <c r="BN633" i="1"/>
  <c r="BG539" i="1"/>
  <c r="BH526" i="1" s="1"/>
  <c r="BH530" i="1" s="1"/>
  <c r="BZ921" i="1"/>
  <c r="CA915" i="1"/>
  <c r="BO696" i="1"/>
  <c r="BB662" i="1"/>
  <c r="BB660" i="1"/>
  <c r="BB665" i="1"/>
  <c r="BB659" i="1"/>
  <c r="BR921" i="1"/>
  <c r="BB664" i="1"/>
  <c r="BB658" i="1"/>
  <c r="BB661" i="1"/>
  <c r="BM661" i="1"/>
  <c r="BM664" i="1"/>
  <c r="BN664" i="1" s="1"/>
  <c r="BM658" i="1"/>
  <c r="BO689" i="1"/>
  <c r="BO686" i="1"/>
  <c r="V3" i="11"/>
  <c r="V449" i="11" s="1"/>
  <c r="W4" i="11"/>
  <c r="BF674" i="1"/>
  <c r="BG646" i="1"/>
  <c r="BG650" i="1" s="1"/>
  <c r="BF677" i="1"/>
  <c r="BM606" i="1"/>
  <c r="BN580" i="1"/>
  <c r="BM607" i="1"/>
  <c r="BN606" i="1"/>
  <c r="BN607" i="1"/>
  <c r="BJ627" i="1"/>
  <c r="BK625" i="1"/>
  <c r="BK627" i="1" s="1"/>
  <c r="BM615" i="1"/>
  <c r="BN661" i="1"/>
  <c r="BN658" i="1"/>
  <c r="CA1128" i="1"/>
  <c r="CI1128" i="1"/>
  <c r="CE1128" i="1"/>
  <c r="BZ1128" i="1"/>
  <c r="N27" i="10"/>
  <c r="N20" i="10"/>
  <c r="N8" i="10"/>
  <c r="N16" i="10"/>
  <c r="N14" i="10"/>
  <c r="N10" i="10"/>
  <c r="N29" i="10"/>
  <c r="N11" i="10"/>
  <c r="N22" i="10"/>
  <c r="N30" i="10"/>
  <c r="N7" i="10"/>
  <c r="N12" i="10"/>
  <c r="N18" i="10"/>
  <c r="N24" i="10"/>
  <c r="N23" i="10"/>
  <c r="N19" i="10"/>
  <c r="N6" i="10"/>
  <c r="N26" i="10"/>
  <c r="N15" i="10"/>
  <c r="BZ1129" i="1" l="1"/>
  <c r="CA1129" i="1"/>
  <c r="BV1098" i="1"/>
  <c r="BV1095" i="1"/>
  <c r="BV1106" i="1"/>
  <c r="BV1104" i="1"/>
  <c r="BV1100" i="1"/>
  <c r="BV1102" i="1"/>
  <c r="BV1103" i="1"/>
  <c r="BV1097" i="1"/>
  <c r="BV1101" i="1"/>
  <c r="BV1105" i="1"/>
  <c r="BV1099" i="1"/>
  <c r="BV1096" i="1"/>
  <c r="BX4" i="13"/>
  <c r="BK598" i="1"/>
  <c r="BY1098" i="1"/>
  <c r="BY668" i="1" s="1"/>
  <c r="BY1103" i="1"/>
  <c r="BY1106" i="1"/>
  <c r="BY1096" i="1"/>
  <c r="BY595" i="1" s="1"/>
  <c r="BY1104" i="1"/>
  <c r="BY1100" i="1"/>
  <c r="BY1101" i="1"/>
  <c r="BY537" i="1" s="1"/>
  <c r="BY1095" i="1"/>
  <c r="BY1102" i="1"/>
  <c r="BY538" i="1" s="1"/>
  <c r="BY1099" i="1"/>
  <c r="BY669" i="1" s="1"/>
  <c r="BY1105" i="1"/>
  <c r="BY1097" i="1"/>
  <c r="BR541" i="1"/>
  <c r="BT539" i="1"/>
  <c r="BU526" i="1" s="1"/>
  <c r="BU530" i="1" s="1"/>
  <c r="BU114" i="1" s="1"/>
  <c r="BI379" i="1"/>
  <c r="BH711" i="1"/>
  <c r="BG541" i="1"/>
  <c r="BG566" i="1"/>
  <c r="BP539" i="1"/>
  <c r="BQ526" i="1" s="1"/>
  <c r="BQ530" i="1" s="1"/>
  <c r="BQ114" i="1" s="1"/>
  <c r="BX656" i="1"/>
  <c r="BX661" i="1" s="1"/>
  <c r="BW539" i="1"/>
  <c r="BY526" i="1" s="1"/>
  <c r="BY530" i="1" s="1"/>
  <c r="BY114" i="1" s="1"/>
  <c r="BX539" i="1"/>
  <c r="P18" i="10"/>
  <c r="Q18" i="10"/>
  <c r="Q10" i="10"/>
  <c r="P10" i="10"/>
  <c r="P8" i="10"/>
  <c r="Q8" i="10"/>
  <c r="Q30" i="10"/>
  <c r="P30" i="10"/>
  <c r="P11" i="10"/>
  <c r="Q11" i="10"/>
  <c r="P24" i="10"/>
  <c r="Q24" i="10"/>
  <c r="P15" i="10"/>
  <c r="Q15" i="10"/>
  <c r="Q6" i="10"/>
  <c r="P6" i="10"/>
  <c r="Q12" i="10"/>
  <c r="P12" i="10"/>
  <c r="Q14" i="10"/>
  <c r="P14" i="10"/>
  <c r="Q20" i="10"/>
  <c r="P20" i="10"/>
  <c r="Q22" i="10"/>
  <c r="P22" i="10"/>
  <c r="Q23" i="10"/>
  <c r="P23" i="10"/>
  <c r="Q29" i="10"/>
  <c r="P29" i="10"/>
  <c r="P26" i="10"/>
  <c r="Q26" i="10"/>
  <c r="Q19" i="10"/>
  <c r="P19" i="10"/>
  <c r="Q7" i="10"/>
  <c r="P7" i="10"/>
  <c r="P16" i="10"/>
  <c r="Q16" i="10"/>
  <c r="Q27" i="10"/>
  <c r="P27" i="10"/>
  <c r="BR699" i="1"/>
  <c r="BX646" i="1"/>
  <c r="BJ642" i="1"/>
  <c r="BJ639" i="1"/>
  <c r="BJ379" i="1"/>
  <c r="BJ636" i="1"/>
  <c r="BT576" i="1"/>
  <c r="BT580" i="1" s="1"/>
  <c r="BR601" i="1"/>
  <c r="BR604" i="1"/>
  <c r="BL657" i="1"/>
  <c r="BL676" i="1"/>
  <c r="BL673" i="1"/>
  <c r="BL670" i="1"/>
  <c r="BL671" i="1" s="1"/>
  <c r="BS690" i="1"/>
  <c r="BS687" i="1"/>
  <c r="BG604" i="1"/>
  <c r="BG601" i="1"/>
  <c r="BH576" i="1"/>
  <c r="BH580" i="1" s="1"/>
  <c r="BY614" i="1"/>
  <c r="BY617" i="1"/>
  <c r="BP607" i="1"/>
  <c r="BP606" i="1"/>
  <c r="BL576" i="1"/>
  <c r="BL580" i="1" s="1"/>
  <c r="BK601" i="1"/>
  <c r="BK604" i="1"/>
  <c r="BF589" i="1"/>
  <c r="BF583" i="1"/>
  <c r="BF620" i="1"/>
  <c r="BF621" i="1" s="1"/>
  <c r="BF586" i="1"/>
  <c r="BR677" i="1"/>
  <c r="BS677" i="1" s="1"/>
  <c r="BR674" i="1"/>
  <c r="BS674" i="1" s="1"/>
  <c r="BT646" i="1"/>
  <c r="BT650" i="1" s="1"/>
  <c r="BZ7" i="9"/>
  <c r="BZ11" i="9" s="1"/>
  <c r="BZ1024" i="1"/>
  <c r="CA743" i="1"/>
  <c r="BZ739" i="1"/>
  <c r="BU690" i="1"/>
  <c r="BU687" i="1"/>
  <c r="BQ691" i="1"/>
  <c r="BS633" i="1"/>
  <c r="BU537" i="1"/>
  <c r="BU538" i="1"/>
  <c r="BU668" i="1"/>
  <c r="BU669" i="1"/>
  <c r="BU594" i="1"/>
  <c r="BU595" i="1"/>
  <c r="BT599" i="1"/>
  <c r="BT602" i="1"/>
  <c r="BT596" i="1"/>
  <c r="BT598" i="1" s="1"/>
  <c r="BL599" i="1"/>
  <c r="BL596" i="1"/>
  <c r="BL602" i="1"/>
  <c r="BG588" i="1"/>
  <c r="BG372" i="1"/>
  <c r="BG585" i="1"/>
  <c r="BG582" i="1"/>
  <c r="BN688" i="1"/>
  <c r="BO677" i="1"/>
  <c r="BP646" i="1"/>
  <c r="BP650" i="1" s="1"/>
  <c r="BO674" i="1"/>
  <c r="BA643" i="1"/>
  <c r="BA637" i="1"/>
  <c r="BA640" i="1"/>
  <c r="BF639" i="1"/>
  <c r="BF379" i="1"/>
  <c r="BF642" i="1"/>
  <c r="BF636" i="1"/>
  <c r="BP625" i="1"/>
  <c r="BP627" i="1" s="1"/>
  <c r="BO627" i="1"/>
  <c r="BM691" i="1"/>
  <c r="BS630" i="1"/>
  <c r="BU623" i="1"/>
  <c r="BU618" i="1"/>
  <c r="BX578" i="1"/>
  <c r="BU622" i="1"/>
  <c r="BU626" i="1"/>
  <c r="BX697" i="1"/>
  <c r="BX684" i="1"/>
  <c r="BR671" i="1"/>
  <c r="BV622" i="1"/>
  <c r="BV626" i="1"/>
  <c r="BV618" i="1"/>
  <c r="BX579" i="1"/>
  <c r="BV623" i="1"/>
  <c r="BW617" i="1"/>
  <c r="BW614" i="1"/>
  <c r="BP673" i="1"/>
  <c r="BP676" i="1"/>
  <c r="BP670" i="1"/>
  <c r="BP671" i="1" s="1"/>
  <c r="BP657" i="1"/>
  <c r="BD637" i="1"/>
  <c r="BD643" i="1"/>
  <c r="BG662" i="1"/>
  <c r="BG665" i="1"/>
  <c r="BG659" i="1"/>
  <c r="BX657" i="1"/>
  <c r="BX670" i="1"/>
  <c r="BX671" i="1" s="1"/>
  <c r="BS659" i="1"/>
  <c r="BS660" i="1"/>
  <c r="BS662" i="1"/>
  <c r="BS650" i="1"/>
  <c r="BS696" i="1"/>
  <c r="BO662" i="1"/>
  <c r="BO659" i="1"/>
  <c r="BO665" i="1"/>
  <c r="BN288" i="1"/>
  <c r="BN652" i="1"/>
  <c r="BY697" i="1"/>
  <c r="BY684" i="1"/>
  <c r="AW637" i="1"/>
  <c r="AW643" i="1"/>
  <c r="AW640" i="1"/>
  <c r="BX695" i="1"/>
  <c r="BX699" i="1" s="1"/>
  <c r="BX685" i="1"/>
  <c r="BX698" i="1"/>
  <c r="BB586" i="1"/>
  <c r="BB620" i="1"/>
  <c r="BB621" i="1" s="1"/>
  <c r="BB589" i="1"/>
  <c r="BB583" i="1"/>
  <c r="BP600" i="1"/>
  <c r="BP597" i="1"/>
  <c r="BP603" i="1"/>
  <c r="CE2" i="9"/>
  <c r="CE5" i="13"/>
  <c r="CF5" i="1"/>
  <c r="CF1127" i="1" s="1"/>
  <c r="BQ688" i="1"/>
  <c r="BB666" i="1"/>
  <c r="BC630" i="1"/>
  <c r="BC634" i="1" s="1"/>
  <c r="BB663" i="1"/>
  <c r="BW2" i="9"/>
  <c r="BW5" i="13"/>
  <c r="BV655" i="1"/>
  <c r="BV536" i="1"/>
  <c r="BV593" i="1"/>
  <c r="BV561" i="1"/>
  <c r="BK288" i="1"/>
  <c r="BK652" i="1"/>
  <c r="CD399" i="1"/>
  <c r="CD973" i="1"/>
  <c r="BU686" i="1"/>
  <c r="BU689" i="1"/>
  <c r="CK6" i="9"/>
  <c r="BX647" i="1"/>
  <c r="BT699" i="1"/>
  <c r="BG677" i="1"/>
  <c r="BH646" i="1"/>
  <c r="BH650" i="1" s="1"/>
  <c r="BG674" i="1"/>
  <c r="AP843" i="1"/>
  <c r="AO1031" i="1"/>
  <c r="BT670" i="1"/>
  <c r="BT657" i="1"/>
  <c r="BT673" i="1"/>
  <c r="BT676" i="1"/>
  <c r="BI583" i="1"/>
  <c r="BI589" i="1"/>
  <c r="BW675" i="1"/>
  <c r="BX675" i="1" s="1"/>
  <c r="BW656" i="1"/>
  <c r="BW672" i="1"/>
  <c r="BX672" i="1" s="1"/>
  <c r="BW603" i="1"/>
  <c r="BX603" i="1" s="1"/>
  <c r="BW597" i="1"/>
  <c r="BW600" i="1"/>
  <c r="BY695" i="1"/>
  <c r="BY696" i="1" s="1"/>
  <c r="BY685" i="1"/>
  <c r="BY698" i="1"/>
  <c r="BT114" i="1"/>
  <c r="BT532" i="1"/>
  <c r="BT533" i="1" s="1"/>
  <c r="BX649" i="1"/>
  <c r="BV699" i="1"/>
  <c r="BS615" i="1"/>
  <c r="BO664" i="1"/>
  <c r="BO658" i="1"/>
  <c r="BO660" i="1" s="1"/>
  <c r="BO661" i="1"/>
  <c r="BN663" i="1"/>
  <c r="BN666" i="1"/>
  <c r="BN588" i="1"/>
  <c r="BN372" i="1"/>
  <c r="BN582" i="1"/>
  <c r="BS632" i="1"/>
  <c r="BP691" i="1"/>
  <c r="BJ620" i="1"/>
  <c r="BJ621" i="1" s="1"/>
  <c r="BJ586" i="1"/>
  <c r="BJ589" i="1"/>
  <c r="BJ583" i="1"/>
  <c r="BP656" i="1"/>
  <c r="BP675" i="1"/>
  <c r="BP672" i="1"/>
  <c r="BZ4" i="13"/>
  <c r="BZ3" i="13"/>
  <c r="BR690" i="1"/>
  <c r="BR687" i="1"/>
  <c r="BT687" i="1"/>
  <c r="BT690" i="1"/>
  <c r="BG671" i="1"/>
  <c r="BW613" i="1"/>
  <c r="BW615" i="1" s="1"/>
  <c r="BW616" i="1"/>
  <c r="BJ666" i="1"/>
  <c r="BK630" i="1"/>
  <c r="BK634" i="1" s="1"/>
  <c r="BJ663" i="1"/>
  <c r="BT675" i="1"/>
  <c r="BT672" i="1"/>
  <c r="BT656" i="1"/>
  <c r="BC588" i="1"/>
  <c r="BC372" i="1"/>
  <c r="BC585" i="1"/>
  <c r="BC582" i="1"/>
  <c r="BX3" i="13"/>
  <c r="BS663" i="1"/>
  <c r="BS666" i="1"/>
  <c r="BO671" i="1"/>
  <c r="U221" i="11"/>
  <c r="U219" i="11"/>
  <c r="U216" i="11"/>
  <c r="BV687" i="1"/>
  <c r="BV690" i="1"/>
  <c r="BK661" i="1"/>
  <c r="BK664" i="1"/>
  <c r="BK658" i="1"/>
  <c r="BW921" i="1"/>
  <c r="AS640" i="1"/>
  <c r="AS637" i="1"/>
  <c r="AS643" i="1"/>
  <c r="BT689" i="1"/>
  <c r="BT686" i="1"/>
  <c r="BT688" i="1" s="1"/>
  <c r="BG288" i="1"/>
  <c r="BG652" i="1"/>
  <c r="BO691" i="1"/>
  <c r="BS631" i="1"/>
  <c r="BO604" i="1"/>
  <c r="BO601" i="1"/>
  <c r="BP576" i="1"/>
  <c r="BP580" i="1" s="1"/>
  <c r="BO688" i="1"/>
  <c r="BH114" i="1"/>
  <c r="BH532" i="1"/>
  <c r="BH533" i="1" s="1"/>
  <c r="BR664" i="1"/>
  <c r="BS664" i="1" s="1"/>
  <c r="BR658" i="1"/>
  <c r="BR660" i="1" s="1"/>
  <c r="BR661" i="1"/>
  <c r="W3" i="11"/>
  <c r="W449" i="11" s="1"/>
  <c r="X4" i="11"/>
  <c r="BO630" i="1"/>
  <c r="BO634" i="1" s="1"/>
  <c r="BM663" i="1"/>
  <c r="BM666" i="1"/>
  <c r="BN634" i="1"/>
  <c r="BK665" i="1"/>
  <c r="BK659" i="1"/>
  <c r="BK662" i="1"/>
  <c r="BP540" i="1"/>
  <c r="BZ99" i="9"/>
  <c r="BZ100" i="9" s="1"/>
  <c r="BZ1019" i="1"/>
  <c r="BY1030" i="1"/>
  <c r="BT696" i="1"/>
  <c r="BU699" i="1"/>
  <c r="BX648" i="1"/>
  <c r="BW698" i="1"/>
  <c r="BW685" i="1"/>
  <c r="BW695" i="1"/>
  <c r="BF663" i="1"/>
  <c r="BG630" i="1"/>
  <c r="BG634" i="1" s="1"/>
  <c r="BF666" i="1"/>
  <c r="BX541" i="1"/>
  <c r="BX540" i="1"/>
  <c r="BR686" i="1"/>
  <c r="BR689" i="1"/>
  <c r="BL539" i="1"/>
  <c r="BM526" i="1" s="1"/>
  <c r="BM530" i="1" s="1"/>
  <c r="AA283" i="11"/>
  <c r="Z408" i="11"/>
  <c r="BS604" i="1"/>
  <c r="BS601" i="1"/>
  <c r="BW599" i="1"/>
  <c r="BW596" i="1"/>
  <c r="BW602" i="1"/>
  <c r="BX602" i="1" s="1"/>
  <c r="BI643" i="1"/>
  <c r="BI637" i="1"/>
  <c r="AX379" i="1"/>
  <c r="AX639" i="1"/>
  <c r="AX642" i="1"/>
  <c r="AX636" i="1"/>
  <c r="BT623" i="1"/>
  <c r="BT622" i="1"/>
  <c r="BX577" i="1"/>
  <c r="BT626" i="1"/>
  <c r="BT618" i="1"/>
  <c r="BV696" i="1"/>
  <c r="BQ538" i="1"/>
  <c r="BQ537" i="1"/>
  <c r="BQ669" i="1"/>
  <c r="BQ668" i="1"/>
  <c r="BQ595" i="1"/>
  <c r="BQ594" i="1"/>
  <c r="BO598" i="1"/>
  <c r="BV689" i="1"/>
  <c r="BV686" i="1"/>
  <c r="BV688" i="1" s="1"/>
  <c r="BV4" i="13"/>
  <c r="BV3" i="13"/>
  <c r="BR606" i="1"/>
  <c r="BS580" i="1"/>
  <c r="BR607" i="1"/>
  <c r="BS606" i="1"/>
  <c r="BS607" i="1"/>
  <c r="BE637" i="1"/>
  <c r="BE643" i="1"/>
  <c r="BE640" i="1"/>
  <c r="BK674" i="1"/>
  <c r="BL646" i="1"/>
  <c r="BL650" i="1" s="1"/>
  <c r="BK677" i="1"/>
  <c r="BS686" i="1"/>
  <c r="BS691" i="1" s="1"/>
  <c r="BS689" i="1"/>
  <c r="BK588" i="1"/>
  <c r="BK585" i="1"/>
  <c r="BK372" i="1"/>
  <c r="BK582" i="1"/>
  <c r="BX596" i="1"/>
  <c r="BX598" i="1" s="1"/>
  <c r="BX599" i="1"/>
  <c r="CA5" i="13"/>
  <c r="CA2" i="9"/>
  <c r="CB5" i="1"/>
  <c r="CB1127" i="1" s="1"/>
  <c r="BY594" i="1"/>
  <c r="BG664" i="1"/>
  <c r="BG658" i="1"/>
  <c r="BG660" i="1" s="1"/>
  <c r="BG661" i="1"/>
  <c r="CD118" i="1"/>
  <c r="CD978" i="1"/>
  <c r="BL675" i="1"/>
  <c r="BL672" i="1"/>
  <c r="BL656" i="1"/>
  <c r="BO288" i="1"/>
  <c r="BO652" i="1"/>
  <c r="BN660" i="1"/>
  <c r="AX589" i="1"/>
  <c r="AX583" i="1"/>
  <c r="AX586" i="1"/>
  <c r="BY4" i="13"/>
  <c r="BM660" i="1"/>
  <c r="BW673" i="1"/>
  <c r="BX673" i="1" s="1"/>
  <c r="BW670" i="1"/>
  <c r="BW671" i="1" s="1"/>
  <c r="BW657" i="1"/>
  <c r="BW676" i="1"/>
  <c r="BX676" i="1" s="1"/>
  <c r="BR4" i="13"/>
  <c r="BR3" i="13"/>
  <c r="BR618" i="1"/>
  <c r="BX576" i="1"/>
  <c r="BT625" i="1"/>
  <c r="BS598" i="1"/>
  <c r="BX616" i="1"/>
  <c r="BX613" i="1"/>
  <c r="BX618" i="1" s="1"/>
  <c r="CI2" i="9"/>
  <c r="CI5" i="13"/>
  <c r="CJ5" i="1"/>
  <c r="CJ1127" i="1" s="1"/>
  <c r="BR662" i="1"/>
  <c r="BR665" i="1"/>
  <c r="BS665" i="1" s="1"/>
  <c r="BR659" i="1"/>
  <c r="BP602" i="1"/>
  <c r="BP596" i="1"/>
  <c r="BP599" i="1"/>
  <c r="BW697" i="1"/>
  <c r="BW684" i="1"/>
  <c r="BX600" i="1"/>
  <c r="BX597" i="1"/>
  <c r="BT603" i="1"/>
  <c r="BT597" i="1"/>
  <c r="BT600" i="1"/>
  <c r="BT540" i="1"/>
  <c r="BT541" i="1"/>
  <c r="BL540" i="1"/>
  <c r="BL603" i="1"/>
  <c r="BL597" i="1"/>
  <c r="BL598" i="1"/>
  <c r="BL600" i="1"/>
  <c r="BQ607" i="1"/>
  <c r="BQ606" i="1"/>
  <c r="BY3" i="13"/>
  <c r="BB642" i="1"/>
  <c r="BB639" i="1"/>
  <c r="BB379" i="1"/>
  <c r="BB636" i="1"/>
  <c r="BO585" i="1"/>
  <c r="BO588" i="1"/>
  <c r="BO372" i="1"/>
  <c r="BO582" i="1"/>
  <c r="BW540" i="1"/>
  <c r="BY613" i="1"/>
  <c r="BY616" i="1"/>
  <c r="BP688" i="1"/>
  <c r="BO607" i="1"/>
  <c r="BO606" i="1"/>
  <c r="BC288" i="1"/>
  <c r="BC652" i="1"/>
  <c r="BG598" i="1"/>
  <c r="BX614" i="1"/>
  <c r="BX617" i="1"/>
  <c r="BR615" i="1"/>
  <c r="CJ1128" i="1"/>
  <c r="CF1128" i="1"/>
  <c r="CB1128" i="1"/>
  <c r="CB1129" i="1" l="1"/>
  <c r="CD1129" i="1"/>
  <c r="CC1129" i="1"/>
  <c r="CE1129" i="1"/>
  <c r="CF1129" i="1"/>
  <c r="BW541" i="1"/>
  <c r="BY532" i="1"/>
  <c r="BY533" i="1" s="1"/>
  <c r="BP541" i="1"/>
  <c r="BX650" i="1"/>
  <c r="BX658" i="1"/>
  <c r="BX666" i="1" s="1"/>
  <c r="BQ532" i="1"/>
  <c r="BQ533" i="1" s="1"/>
  <c r="BU532" i="1"/>
  <c r="BU533" i="1" s="1"/>
  <c r="BL541" i="1"/>
  <c r="BY622" i="1"/>
  <c r="CC577" i="1"/>
  <c r="BY618" i="1"/>
  <c r="BY626" i="1"/>
  <c r="BY623" i="1"/>
  <c r="BP604" i="1"/>
  <c r="BP601" i="1"/>
  <c r="BQ576" i="1"/>
  <c r="BQ580" i="1" s="1"/>
  <c r="BY673" i="1"/>
  <c r="BY657" i="1"/>
  <c r="BY676" i="1"/>
  <c r="BY670" i="1"/>
  <c r="BW689" i="1"/>
  <c r="BW686" i="1"/>
  <c r="BT606" i="1"/>
  <c r="BT607" i="1"/>
  <c r="BX615" i="1"/>
  <c r="BB640" i="1"/>
  <c r="BB637" i="1"/>
  <c r="BB643" i="1"/>
  <c r="BL664" i="1"/>
  <c r="BL661" i="1"/>
  <c r="BL658" i="1"/>
  <c r="BY540" i="1"/>
  <c r="BQ539" i="1"/>
  <c r="BR526" i="1" s="1"/>
  <c r="BR530" i="1" s="1"/>
  <c r="BT627" i="1"/>
  <c r="BU625" i="1"/>
  <c r="BU627" i="1" s="1"/>
  <c r="AB283" i="11"/>
  <c r="AA284" i="11"/>
  <c r="AA408" i="11" s="1"/>
  <c r="BG379" i="1"/>
  <c r="BG639" i="1"/>
  <c r="BG642" i="1"/>
  <c r="BG636" i="1"/>
  <c r="BQ625" i="1"/>
  <c r="BQ627" i="1" s="1"/>
  <c r="BP598" i="1"/>
  <c r="BU676" i="1"/>
  <c r="BU670" i="1"/>
  <c r="BU671" i="1" s="1"/>
  <c r="BU657" i="1"/>
  <c r="BU673" i="1"/>
  <c r="BT288" i="1"/>
  <c r="BT652" i="1"/>
  <c r="BH588" i="1"/>
  <c r="BH372" i="1"/>
  <c r="BH585" i="1"/>
  <c r="BH582" i="1"/>
  <c r="BY602" i="1"/>
  <c r="BY596" i="1"/>
  <c r="BY599" i="1"/>
  <c r="CB2" i="9"/>
  <c r="CB5" i="13"/>
  <c r="BX604" i="1"/>
  <c r="BX601" i="1"/>
  <c r="BL288" i="1"/>
  <c r="BL652" i="1"/>
  <c r="BS588" i="1"/>
  <c r="BS372" i="1"/>
  <c r="BS582" i="1"/>
  <c r="BQ540" i="1"/>
  <c r="BU606" i="1"/>
  <c r="BU607" i="1"/>
  <c r="BM114" i="1"/>
  <c r="BM532" i="1"/>
  <c r="BM533" i="1" s="1"/>
  <c r="U217" i="11"/>
  <c r="U222" i="11"/>
  <c r="CC576" i="1"/>
  <c r="BW618" i="1"/>
  <c r="BY625" i="1"/>
  <c r="BO666" i="1"/>
  <c r="BP630" i="1"/>
  <c r="BP634" i="1" s="1"/>
  <c r="BO663" i="1"/>
  <c r="BX632" i="1"/>
  <c r="BU691" i="1"/>
  <c r="BX690" i="1"/>
  <c r="BX687" i="1"/>
  <c r="BV607" i="1"/>
  <c r="BV606" i="1"/>
  <c r="BU672" i="1"/>
  <c r="BU675" i="1"/>
  <c r="BU656" i="1"/>
  <c r="BK589" i="1"/>
  <c r="BK583" i="1"/>
  <c r="BK620" i="1"/>
  <c r="BK621" i="1" s="1"/>
  <c r="BK586" i="1"/>
  <c r="BQ602" i="1"/>
  <c r="BQ596" i="1"/>
  <c r="BQ598" i="1" s="1"/>
  <c r="BQ599" i="1"/>
  <c r="BT691" i="1"/>
  <c r="BX631" i="1"/>
  <c r="BC586" i="1"/>
  <c r="BC589" i="1"/>
  <c r="BC583" i="1"/>
  <c r="BP661" i="1"/>
  <c r="BP658" i="1"/>
  <c r="BP664" i="1"/>
  <c r="BW664" i="1"/>
  <c r="BX664" i="1" s="1"/>
  <c r="BW658" i="1"/>
  <c r="BW661" i="1"/>
  <c r="BT662" i="1"/>
  <c r="BT665" i="1"/>
  <c r="BT659" i="1"/>
  <c r="BH288" i="1"/>
  <c r="BH652" i="1"/>
  <c r="CD928" i="1"/>
  <c r="BF637" i="1"/>
  <c r="BF640" i="1"/>
  <c r="BF643" i="1"/>
  <c r="BP288" i="1"/>
  <c r="BP652" i="1"/>
  <c r="BM576" i="1"/>
  <c r="BM580" i="1" s="1"/>
  <c r="BL601" i="1"/>
  <c r="BL604" i="1"/>
  <c r="BL585" i="1"/>
  <c r="BL588" i="1"/>
  <c r="BL372" i="1"/>
  <c r="BL582" i="1"/>
  <c r="BL659" i="1"/>
  <c r="BL665" i="1"/>
  <c r="BL662" i="1"/>
  <c r="BY600" i="1"/>
  <c r="BY598" i="1"/>
  <c r="BY603" i="1"/>
  <c r="BY597" i="1"/>
  <c r="CJ2" i="9"/>
  <c r="CJ5" i="13"/>
  <c r="CK5" i="1"/>
  <c r="CD934" i="1"/>
  <c r="BQ600" i="1"/>
  <c r="BQ597" i="1"/>
  <c r="BQ603" i="1"/>
  <c r="BY576" i="1"/>
  <c r="BY580" i="1" s="1"/>
  <c r="BW601" i="1"/>
  <c r="BW604" i="1"/>
  <c r="BR691" i="1"/>
  <c r="BX630" i="1"/>
  <c r="CC646" i="1"/>
  <c r="BW699" i="1"/>
  <c r="BN642" i="1"/>
  <c r="BN379" i="1"/>
  <c r="BN636" i="1"/>
  <c r="BP585" i="1"/>
  <c r="BP588" i="1"/>
  <c r="BP372" i="1"/>
  <c r="BP582" i="1"/>
  <c r="BK663" i="1"/>
  <c r="BL630" i="1"/>
  <c r="BL634" i="1" s="1"/>
  <c r="BK666" i="1"/>
  <c r="BK642" i="1"/>
  <c r="BK379" i="1"/>
  <c r="BK639" i="1"/>
  <c r="BK636" i="1"/>
  <c r="BN589" i="1"/>
  <c r="BN583" i="1"/>
  <c r="BY687" i="1"/>
  <c r="BY690" i="1"/>
  <c r="BT677" i="1"/>
  <c r="BT674" i="1"/>
  <c r="BU646" i="1"/>
  <c r="BU650" i="1" s="1"/>
  <c r="CD117" i="1"/>
  <c r="CD400" i="1"/>
  <c r="BW4" i="13"/>
  <c r="BW3" i="13"/>
  <c r="BU688" i="1"/>
  <c r="BO620" i="1"/>
  <c r="BO621" i="1" s="1"/>
  <c r="BO586" i="1"/>
  <c r="BO589" i="1"/>
  <c r="BO583" i="1"/>
  <c r="BW662" i="1"/>
  <c r="BW659" i="1"/>
  <c r="BW665" i="1"/>
  <c r="BX665" i="1" s="1"/>
  <c r="AX640" i="1"/>
  <c r="AX643" i="1"/>
  <c r="AX637" i="1"/>
  <c r="BW687" i="1"/>
  <c r="BW690" i="1"/>
  <c r="BW688" i="1"/>
  <c r="BZ110" i="9"/>
  <c r="BZ111" i="9" s="1"/>
  <c r="BZ101" i="9"/>
  <c r="BY699" i="1"/>
  <c r="CC647" i="1"/>
  <c r="BV538" i="1"/>
  <c r="BV594" i="1"/>
  <c r="BV668" i="1"/>
  <c r="BV669" i="1"/>
  <c r="BV595" i="1"/>
  <c r="BV537" i="1"/>
  <c r="CE4" i="13"/>
  <c r="CE3" i="13"/>
  <c r="BX686" i="1"/>
  <c r="BX691" i="1" s="1"/>
  <c r="BX689" i="1"/>
  <c r="BU603" i="1"/>
  <c r="BU597" i="1"/>
  <c r="BU600" i="1"/>
  <c r="BZ86" i="9"/>
  <c r="BZ87" i="9"/>
  <c r="BZ85" i="9"/>
  <c r="BZ102" i="9"/>
  <c r="BZ103" i="9" s="1"/>
  <c r="BZ104" i="9" s="1"/>
  <c r="BZ105" i="9" s="1"/>
  <c r="BZ755" i="1"/>
  <c r="BS688" i="1"/>
  <c r="CC3" i="13"/>
  <c r="BQ675" i="1"/>
  <c r="BQ656" i="1"/>
  <c r="BQ672" i="1"/>
  <c r="BW696" i="1"/>
  <c r="CD3" i="13"/>
  <c r="BP665" i="1"/>
  <c r="BP660" i="1"/>
  <c r="BP662" i="1"/>
  <c r="BP659" i="1"/>
  <c r="BG589" i="1"/>
  <c r="BG586" i="1"/>
  <c r="BG583" i="1"/>
  <c r="BG620" i="1"/>
  <c r="BG621" i="1" s="1"/>
  <c r="BU599" i="1"/>
  <c r="BU596" i="1"/>
  <c r="BU602" i="1"/>
  <c r="BU540" i="1"/>
  <c r="CA404" i="1"/>
  <c r="CA745" i="1"/>
  <c r="BT588" i="1"/>
  <c r="BT585" i="1"/>
  <c r="BT372" i="1"/>
  <c r="BT582" i="1"/>
  <c r="BY646" i="1"/>
  <c r="BY650" i="1" s="1"/>
  <c r="BW677" i="1"/>
  <c r="BX677" i="1" s="1"/>
  <c r="BW674" i="1"/>
  <c r="BX674" i="1" s="1"/>
  <c r="BQ673" i="1"/>
  <c r="BQ670" i="1"/>
  <c r="BQ657" i="1"/>
  <c r="BQ676" i="1"/>
  <c r="BO639" i="1"/>
  <c r="BO642" i="1"/>
  <c r="BO379" i="1"/>
  <c r="BO636" i="1"/>
  <c r="BR666" i="1"/>
  <c r="BT630" i="1"/>
  <c r="BT634" i="1" s="1"/>
  <c r="BR663" i="1"/>
  <c r="BT658" i="1"/>
  <c r="BT664" i="1"/>
  <c r="BT661" i="1"/>
  <c r="CD4" i="13"/>
  <c r="BX288" i="1"/>
  <c r="BX652" i="1"/>
  <c r="BY689" i="1"/>
  <c r="BY686" i="1"/>
  <c r="BX659" i="1"/>
  <c r="BX662" i="1"/>
  <c r="BQ646" i="1"/>
  <c r="BQ650" i="1" s="1"/>
  <c r="BP677" i="1"/>
  <c r="BP674" i="1"/>
  <c r="BX607" i="1"/>
  <c r="BW607" i="1"/>
  <c r="BX580" i="1"/>
  <c r="BX606" i="1"/>
  <c r="BW606" i="1"/>
  <c r="CC4" i="13"/>
  <c r="BU576" i="1"/>
  <c r="BU580" i="1" s="1"/>
  <c r="BT601" i="1"/>
  <c r="BT604" i="1"/>
  <c r="BU539" i="1"/>
  <c r="BV526" i="1" s="1"/>
  <c r="BV530" i="1" s="1"/>
  <c r="BL674" i="1"/>
  <c r="BM646" i="1"/>
  <c r="BM650" i="1" s="1"/>
  <c r="BL677" i="1"/>
  <c r="BJ640" i="1"/>
  <c r="BJ637" i="1"/>
  <c r="BJ643" i="1"/>
  <c r="BY675" i="1"/>
  <c r="BY656" i="1"/>
  <c r="BY672" i="1"/>
  <c r="BG666" i="1"/>
  <c r="BG663" i="1"/>
  <c r="BH630" i="1"/>
  <c r="BH634" i="1" s="1"/>
  <c r="BY539" i="1"/>
  <c r="BZ526" i="1" s="1"/>
  <c r="BZ530" i="1" s="1"/>
  <c r="CA3" i="13"/>
  <c r="CA4" i="13"/>
  <c r="BV691" i="1"/>
  <c r="BX633" i="1"/>
  <c r="BK660" i="1"/>
  <c r="Y4" i="11"/>
  <c r="X3" i="11"/>
  <c r="X449" i="11" s="1"/>
  <c r="BR688" i="1"/>
  <c r="BW598" i="1"/>
  <c r="BT671" i="1"/>
  <c r="AQ843" i="1"/>
  <c r="AP844" i="1"/>
  <c r="AP1031" i="1" s="1"/>
  <c r="BC642" i="1"/>
  <c r="BC639" i="1"/>
  <c r="BC379" i="1"/>
  <c r="BC636" i="1"/>
  <c r="CF5" i="13"/>
  <c r="CF2" i="9"/>
  <c r="CG5" i="1"/>
  <c r="BX696" i="1"/>
  <c r="BS288" i="1"/>
  <c r="BS652" i="1"/>
  <c r="BS634" i="1"/>
  <c r="BY615" i="1"/>
  <c r="BZ401" i="1"/>
  <c r="BZ710" i="1"/>
  <c r="BZ397" i="1"/>
  <c r="BZ371" i="1"/>
  <c r="BZ35" i="1" s="1"/>
  <c r="BZ708" i="1"/>
  <c r="BZ287" i="1"/>
  <c r="BZ60" i="1" s="1"/>
  <c r="BZ434" i="1"/>
  <c r="BX663" i="1" l="1"/>
  <c r="BX660" i="1"/>
  <c r="CI3" i="13"/>
  <c r="CG1127" i="1"/>
  <c r="Y449" i="11"/>
  <c r="CK1127" i="1"/>
  <c r="B1186" i="1"/>
  <c r="E7" i="8" s="1"/>
  <c r="BX634" i="1"/>
  <c r="BX636" i="1" s="1"/>
  <c r="BV539" i="1"/>
  <c r="BW526" i="1" s="1"/>
  <c r="BW530" i="1" s="1"/>
  <c r="BU541" i="1"/>
  <c r="BV672" i="1"/>
  <c r="BV656" i="1"/>
  <c r="BV675" i="1"/>
  <c r="BL639" i="1"/>
  <c r="BL642" i="1"/>
  <c r="BL379" i="1"/>
  <c r="BL636" i="1"/>
  <c r="CJ3" i="13"/>
  <c r="CJ4" i="13"/>
  <c r="BM585" i="1"/>
  <c r="BM588" i="1"/>
  <c r="BM372" i="1"/>
  <c r="BM582" i="1"/>
  <c r="BW666" i="1"/>
  <c r="BY630" i="1"/>
  <c r="BY634" i="1" s="1"/>
  <c r="BW663" i="1"/>
  <c r="U220" i="11"/>
  <c r="U223" i="11"/>
  <c r="BQ588" i="1"/>
  <c r="BQ585" i="1"/>
  <c r="BQ372" i="1"/>
  <c r="BQ582" i="1"/>
  <c r="CD119" i="1"/>
  <c r="BH620" i="1"/>
  <c r="BH589" i="1"/>
  <c r="BH586" i="1"/>
  <c r="BH583" i="1"/>
  <c r="BU665" i="1"/>
  <c r="BU659" i="1"/>
  <c r="BU662" i="1"/>
  <c r="CI4" i="13"/>
  <c r="BV602" i="1"/>
  <c r="BV596" i="1"/>
  <c r="BV598" i="1" s="1"/>
  <c r="BV599" i="1"/>
  <c r="BU288" i="1"/>
  <c r="BU652" i="1"/>
  <c r="BP620" i="1"/>
  <c r="BP621" i="1" s="1"/>
  <c r="BP589" i="1"/>
  <c r="BP583" i="1"/>
  <c r="BP586" i="1"/>
  <c r="BL586" i="1"/>
  <c r="BL589" i="1"/>
  <c r="BL583" i="1"/>
  <c r="BL620" i="1"/>
  <c r="BL621" i="1" s="1"/>
  <c r="BP639" i="1"/>
  <c r="BP642" i="1"/>
  <c r="BP379" i="1"/>
  <c r="BP636" i="1"/>
  <c r="BU674" i="1"/>
  <c r="BU677" i="1"/>
  <c r="BV646" i="1"/>
  <c r="BV650" i="1" s="1"/>
  <c r="BG643" i="1"/>
  <c r="BG640" i="1"/>
  <c r="BG637" i="1"/>
  <c r="BR114" i="1"/>
  <c r="BR532" i="1"/>
  <c r="BR533" i="1" s="1"/>
  <c r="CG2" i="9"/>
  <c r="CG5" i="13"/>
  <c r="CH4" i="13"/>
  <c r="CH3" i="13"/>
  <c r="BX379" i="1"/>
  <c r="BU588" i="1"/>
  <c r="BU585" i="1"/>
  <c r="BU372" i="1"/>
  <c r="BU582" i="1"/>
  <c r="BT639" i="1"/>
  <c r="BT642" i="1"/>
  <c r="BT379" i="1"/>
  <c r="BT636" i="1"/>
  <c r="BR646" i="1"/>
  <c r="BR650" i="1" s="1"/>
  <c r="BQ677" i="1"/>
  <c r="BQ674" i="1"/>
  <c r="BZ295" i="1"/>
  <c r="BZ110" i="1" s="1"/>
  <c r="BZ107" i="1"/>
  <c r="BQ288" i="1"/>
  <c r="BQ652" i="1"/>
  <c r="BQ671" i="1"/>
  <c r="BU601" i="1"/>
  <c r="BV576" i="1"/>
  <c r="BV580" i="1" s="1"/>
  <c r="BU604" i="1"/>
  <c r="BU598" i="1"/>
  <c r="BW660" i="1"/>
  <c r="BK643" i="1"/>
  <c r="BK640" i="1"/>
  <c r="BK637" i="1"/>
  <c r="CK2" i="9"/>
  <c r="CK5" i="13"/>
  <c r="M162" i="10"/>
  <c r="B250" i="10"/>
  <c r="B270" i="10"/>
  <c r="B12" i="10"/>
  <c r="B323" i="10"/>
  <c r="B385" i="10"/>
  <c r="B116" i="10"/>
  <c r="N74" i="10"/>
  <c r="N137" i="10"/>
  <c r="M138" i="10"/>
  <c r="B59" i="10"/>
  <c r="B107" i="10"/>
  <c r="N344" i="10"/>
  <c r="M318" i="10"/>
  <c r="M328" i="10"/>
  <c r="M232" i="10"/>
  <c r="B37" i="10"/>
  <c r="N368" i="10"/>
  <c r="B83" i="10"/>
  <c r="M246" i="10"/>
  <c r="M14" i="10"/>
  <c r="N212" i="10"/>
  <c r="M377" i="10"/>
  <c r="B187" i="10"/>
  <c r="M18" i="10"/>
  <c r="M132" i="10"/>
  <c r="B108" i="10"/>
  <c r="N161" i="10"/>
  <c r="M368" i="10"/>
  <c r="N364" i="10"/>
  <c r="M188" i="10"/>
  <c r="M25" i="10"/>
  <c r="B355" i="10"/>
  <c r="B368" i="10"/>
  <c r="B217" i="10"/>
  <c r="B258" i="10"/>
  <c r="B57" i="10"/>
  <c r="M100" i="10"/>
  <c r="M109" i="10"/>
  <c r="B246" i="10"/>
  <c r="B350" i="10"/>
  <c r="B292" i="10"/>
  <c r="M363" i="10"/>
  <c r="M375" i="10"/>
  <c r="B307" i="10"/>
  <c r="B405" i="10"/>
  <c r="M161" i="10"/>
  <c r="M176" i="10"/>
  <c r="M285" i="10"/>
  <c r="M277" i="10"/>
  <c r="M404" i="10"/>
  <c r="N153" i="10"/>
  <c r="M294" i="10"/>
  <c r="B60" i="10"/>
  <c r="M94" i="10"/>
  <c r="B382" i="10"/>
  <c r="M398" i="10"/>
  <c r="M23" i="10"/>
  <c r="B99" i="10"/>
  <c r="M7" i="10"/>
  <c r="B195" i="10"/>
  <c r="N205" i="10"/>
  <c r="M237" i="10"/>
  <c r="M59" i="10"/>
  <c r="M197" i="10"/>
  <c r="M48" i="10"/>
  <c r="B341" i="10"/>
  <c r="M15" i="10"/>
  <c r="B269" i="10"/>
  <c r="M316" i="10"/>
  <c r="N396" i="10"/>
  <c r="B223" i="10"/>
  <c r="M219" i="10"/>
  <c r="B137" i="10"/>
  <c r="M183" i="10"/>
  <c r="M392" i="10"/>
  <c r="B361" i="10"/>
  <c r="B403" i="10"/>
  <c r="N231" i="10"/>
  <c r="N105" i="10"/>
  <c r="M169" i="10"/>
  <c r="B211" i="10"/>
  <c r="B226" i="10"/>
  <c r="B313" i="10"/>
  <c r="M231" i="10"/>
  <c r="N237" i="10"/>
  <c r="B180" i="10"/>
  <c r="M9" i="10"/>
  <c r="B100" i="10"/>
  <c r="M311" i="10"/>
  <c r="B151" i="10"/>
  <c r="M174" i="10"/>
  <c r="B367" i="10"/>
  <c r="B346" i="10"/>
  <c r="M314" i="10"/>
  <c r="N361" i="10"/>
  <c r="B141" i="10"/>
  <c r="B326" i="10"/>
  <c r="M54" i="10"/>
  <c r="B231" i="10"/>
  <c r="M338" i="10"/>
  <c r="B163" i="10"/>
  <c r="N186" i="10"/>
  <c r="M89" i="10"/>
  <c r="B327" i="10"/>
  <c r="B344" i="10"/>
  <c r="M335" i="10"/>
  <c r="M136" i="10"/>
  <c r="M220" i="10"/>
  <c r="B15" i="10"/>
  <c r="M291" i="10"/>
  <c r="B162" i="10"/>
  <c r="B156" i="10"/>
  <c r="B288" i="10"/>
  <c r="M49" i="10"/>
  <c r="B67" i="10"/>
  <c r="B16" i="10"/>
  <c r="B145" i="10"/>
  <c r="B331" i="10"/>
  <c r="B286" i="10"/>
  <c r="M143" i="10"/>
  <c r="M337" i="10"/>
  <c r="M384" i="10"/>
  <c r="B293" i="10"/>
  <c r="B22" i="10"/>
  <c r="M290" i="10"/>
  <c r="B50" i="10"/>
  <c r="N306" i="10"/>
  <c r="M234" i="10"/>
  <c r="B233" i="10"/>
  <c r="M258" i="10"/>
  <c r="B27" i="10"/>
  <c r="B370" i="10"/>
  <c r="B177" i="10"/>
  <c r="M147" i="10"/>
  <c r="M228" i="10"/>
  <c r="B193" i="10"/>
  <c r="M139" i="10"/>
  <c r="B55" i="10"/>
  <c r="B147" i="10"/>
  <c r="N183" i="10"/>
  <c r="B340" i="10"/>
  <c r="B152" i="10"/>
  <c r="B279" i="10"/>
  <c r="B140" i="10"/>
  <c r="M249" i="10"/>
  <c r="B128" i="10"/>
  <c r="M19" i="10"/>
  <c r="M346" i="10"/>
  <c r="M154" i="10"/>
  <c r="B191" i="10"/>
  <c r="B167" i="10"/>
  <c r="B257" i="10"/>
  <c r="M301" i="10"/>
  <c r="B378" i="10"/>
  <c r="M221" i="10"/>
  <c r="M181" i="10"/>
  <c r="B276" i="10"/>
  <c r="B210" i="10"/>
  <c r="M292" i="10"/>
  <c r="B325" i="10"/>
  <c r="M230" i="10"/>
  <c r="B229" i="10"/>
  <c r="M62" i="10"/>
  <c r="N38" i="10"/>
  <c r="M83" i="10"/>
  <c r="N319" i="10"/>
  <c r="N312" i="10"/>
  <c r="M376" i="10"/>
  <c r="B200" i="10"/>
  <c r="M97" i="10"/>
  <c r="B271" i="10"/>
  <c r="M203" i="10"/>
  <c r="M167" i="10"/>
  <c r="M407" i="10"/>
  <c r="B266" i="10"/>
  <c r="M99" i="10"/>
  <c r="M300" i="10"/>
  <c r="B247" i="10"/>
  <c r="M175" i="10"/>
  <c r="B353" i="10"/>
  <c r="M8" i="10"/>
  <c r="B112" i="10"/>
  <c r="N389" i="10"/>
  <c r="B348" i="10"/>
  <c r="M280" i="10"/>
  <c r="M362" i="10"/>
  <c r="M152" i="10"/>
  <c r="M178" i="10"/>
  <c r="M352" i="10"/>
  <c r="B95" i="10"/>
  <c r="N211" i="10"/>
  <c r="B364" i="10"/>
  <c r="M103" i="10"/>
  <c r="M262" i="10"/>
  <c r="N390" i="10"/>
  <c r="B297" i="10"/>
  <c r="M87" i="10"/>
  <c r="B306" i="10"/>
  <c r="B39" i="10"/>
  <c r="M90" i="10"/>
  <c r="M283" i="10"/>
  <c r="M224" i="10"/>
  <c r="B142" i="10"/>
  <c r="M82" i="10"/>
  <c r="B77" i="10"/>
  <c r="B113" i="10"/>
  <c r="B362" i="10"/>
  <c r="B304" i="10"/>
  <c r="M210" i="10"/>
  <c r="B408" i="10"/>
  <c r="B234" i="10"/>
  <c r="N83" i="10"/>
  <c r="B290" i="10"/>
  <c r="M372" i="10"/>
  <c r="M382" i="10"/>
  <c r="N349" i="10"/>
  <c r="M235" i="10"/>
  <c r="B189" i="10"/>
  <c r="M304" i="10"/>
  <c r="M312" i="10"/>
  <c r="M47" i="10"/>
  <c r="B161" i="10"/>
  <c r="M158" i="10"/>
  <c r="B53" i="10"/>
  <c r="M189" i="10"/>
  <c r="M315" i="10"/>
  <c r="B380" i="10"/>
  <c r="B347" i="10"/>
  <c r="M12" i="10"/>
  <c r="M332" i="10"/>
  <c r="M205" i="10"/>
  <c r="B129" i="10"/>
  <c r="M45" i="10"/>
  <c r="B287" i="10"/>
  <c r="M400" i="10"/>
  <c r="B9" i="10"/>
  <c r="M364" i="10"/>
  <c r="B272" i="10"/>
  <c r="B335" i="10"/>
  <c r="B314" i="10"/>
  <c r="M336" i="10"/>
  <c r="N343" i="10"/>
  <c r="M226" i="10"/>
  <c r="B118" i="10"/>
  <c r="M116" i="10"/>
  <c r="N172" i="10"/>
  <c r="M182" i="10"/>
  <c r="M320" i="10"/>
  <c r="M171" i="10"/>
  <c r="M119" i="10"/>
  <c r="M206" i="10"/>
  <c r="B336" i="10"/>
  <c r="B135" i="10"/>
  <c r="M270" i="10"/>
  <c r="M298" i="10"/>
  <c r="B242" i="10"/>
  <c r="M88" i="10"/>
  <c r="M284" i="10"/>
  <c r="M194" i="10"/>
  <c r="B232" i="10"/>
  <c r="N307" i="10"/>
  <c r="B110" i="10"/>
  <c r="M159" i="10"/>
  <c r="B354" i="10"/>
  <c r="B204" i="10"/>
  <c r="N315" i="10"/>
  <c r="M310" i="10"/>
  <c r="B277" i="10"/>
  <c r="N269" i="10"/>
  <c r="N238" i="10"/>
  <c r="B196" i="10"/>
  <c r="B192" i="10"/>
  <c r="B65" i="10"/>
  <c r="M279" i="10"/>
  <c r="N251" i="10"/>
  <c r="M118" i="10"/>
  <c r="M163" i="10"/>
  <c r="B322" i="10"/>
  <c r="M302" i="10"/>
  <c r="N48" i="10"/>
  <c r="B73" i="10"/>
  <c r="B244" i="10"/>
  <c r="M243" i="10"/>
  <c r="M317" i="10"/>
  <c r="M306" i="10"/>
  <c r="B213" i="10"/>
  <c r="N385" i="10"/>
  <c r="N28" i="10"/>
  <c r="N340" i="10"/>
  <c r="N224" i="10"/>
  <c r="B123" i="10"/>
  <c r="M394" i="10"/>
  <c r="M276" i="10"/>
  <c r="B24" i="10"/>
  <c r="M342" i="10"/>
  <c r="B315" i="10"/>
  <c r="B409" i="10"/>
  <c r="M156" i="10"/>
  <c r="B255" i="10"/>
  <c r="N140" i="10"/>
  <c r="M207" i="10"/>
  <c r="M170" i="10"/>
  <c r="M395" i="10"/>
  <c r="B238" i="10"/>
  <c r="B249" i="10"/>
  <c r="M222" i="10"/>
  <c r="M390" i="10"/>
  <c r="B197" i="10"/>
  <c r="N164" i="10"/>
  <c r="M245" i="10"/>
  <c r="M293" i="10"/>
  <c r="B119" i="10"/>
  <c r="B252" i="10"/>
  <c r="M32" i="10"/>
  <c r="M327" i="10"/>
  <c r="M125" i="10"/>
  <c r="B169" i="10"/>
  <c r="B8" i="10"/>
  <c r="B237" i="10"/>
  <c r="B298" i="10"/>
  <c r="M216" i="10"/>
  <c r="M28" i="10"/>
  <c r="B160" i="10"/>
  <c r="B219" i="10"/>
  <c r="B212" i="10"/>
  <c r="M55" i="10"/>
  <c r="B299" i="10"/>
  <c r="B209" i="10"/>
  <c r="B342" i="10"/>
  <c r="N218" i="10"/>
  <c r="B38" i="10"/>
  <c r="M371" i="10"/>
  <c r="B35" i="10"/>
  <c r="M379" i="10"/>
  <c r="B139" i="10"/>
  <c r="B26" i="10"/>
  <c r="N279" i="10"/>
  <c r="M187" i="10"/>
  <c r="M192" i="10"/>
  <c r="M303" i="10"/>
  <c r="N400" i="10"/>
  <c r="M367" i="10"/>
  <c r="M403" i="10"/>
  <c r="M150" i="10"/>
  <c r="M42" i="10"/>
  <c r="M180" i="10"/>
  <c r="M360" i="10"/>
  <c r="M286" i="10"/>
  <c r="B310" i="10"/>
  <c r="M339" i="10"/>
  <c r="B84" i="10"/>
  <c r="B334" i="10"/>
  <c r="M153" i="10"/>
  <c r="N115" i="10"/>
  <c r="N128" i="10"/>
  <c r="M386" i="10"/>
  <c r="M81" i="10"/>
  <c r="B136" i="10"/>
  <c r="B294" i="10"/>
  <c r="N17" i="10"/>
  <c r="M267" i="10"/>
  <c r="B174" i="10"/>
  <c r="B20" i="10"/>
  <c r="N35" i="10"/>
  <c r="M177" i="10"/>
  <c r="M30" i="10"/>
  <c r="B104" i="10"/>
  <c r="B328" i="10"/>
  <c r="M365" i="10"/>
  <c r="B46" i="10"/>
  <c r="B69" i="10"/>
  <c r="M33" i="10"/>
  <c r="M155" i="10"/>
  <c r="N294" i="10"/>
  <c r="M288" i="10"/>
  <c r="M218" i="10"/>
  <c r="M211" i="10"/>
  <c r="B17" i="10"/>
  <c r="N25" i="10"/>
  <c r="B178" i="10"/>
  <c r="N380" i="10"/>
  <c r="M264" i="10"/>
  <c r="B150" i="10"/>
  <c r="B182" i="10"/>
  <c r="M331" i="10"/>
  <c r="M247" i="10"/>
  <c r="B251" i="10"/>
  <c r="M64" i="10"/>
  <c r="M184" i="10"/>
  <c r="M266" i="10"/>
  <c r="B337" i="10"/>
  <c r="M110" i="10"/>
  <c r="B87" i="10"/>
  <c r="M69" i="10"/>
  <c r="B400" i="10"/>
  <c r="M43" i="10"/>
  <c r="N197" i="10"/>
  <c r="M39" i="10"/>
  <c r="M112" i="10"/>
  <c r="B343" i="10"/>
  <c r="M378" i="10"/>
  <c r="B349" i="10"/>
  <c r="M255" i="10"/>
  <c r="M273" i="10"/>
  <c r="M373" i="10"/>
  <c r="B351" i="10"/>
  <c r="M408" i="10"/>
  <c r="B259" i="10"/>
  <c r="M96" i="10"/>
  <c r="B138" i="10"/>
  <c r="M223" i="10"/>
  <c r="M124" i="10"/>
  <c r="N98" i="10"/>
  <c r="B56" i="10"/>
  <c r="M67" i="10"/>
  <c r="B74" i="10"/>
  <c r="B397" i="10"/>
  <c r="N208" i="10"/>
  <c r="M389" i="10"/>
  <c r="M233" i="10"/>
  <c r="B185" i="10"/>
  <c r="M238" i="10"/>
  <c r="M185" i="10"/>
  <c r="M26" i="10"/>
  <c r="M102" i="10"/>
  <c r="M370" i="10"/>
  <c r="M251" i="10"/>
  <c r="N281" i="10"/>
  <c r="B228" i="10"/>
  <c r="B366" i="10"/>
  <c r="B309" i="10"/>
  <c r="N90" i="10"/>
  <c r="B356" i="10"/>
  <c r="B360" i="10"/>
  <c r="M393" i="10"/>
  <c r="N9" i="10"/>
  <c r="B274" i="10"/>
  <c r="B170" i="10"/>
  <c r="B172" i="10"/>
  <c r="N272" i="10"/>
  <c r="M329" i="10"/>
  <c r="M122" i="10"/>
  <c r="B220" i="10"/>
  <c r="B273" i="10"/>
  <c r="M148" i="10"/>
  <c r="M353" i="10"/>
  <c r="M16" i="10"/>
  <c r="B148" i="10"/>
  <c r="M34" i="10"/>
  <c r="N58" i="10"/>
  <c r="M145" i="10"/>
  <c r="B176" i="10"/>
  <c r="M351" i="10"/>
  <c r="B171" i="10"/>
  <c r="B52" i="10"/>
  <c r="N406" i="10"/>
  <c r="B117" i="10"/>
  <c r="M142" i="10"/>
  <c r="M151" i="10"/>
  <c r="B103" i="10"/>
  <c r="B222" i="10"/>
  <c r="N244" i="10"/>
  <c r="M330" i="10"/>
  <c r="N286" i="10"/>
  <c r="M38" i="10"/>
  <c r="B49" i="10"/>
  <c r="M358" i="10"/>
  <c r="N65" i="10"/>
  <c r="B404" i="10"/>
  <c r="B372" i="10"/>
  <c r="M92" i="10"/>
  <c r="M165" i="10"/>
  <c r="M401" i="10"/>
  <c r="B132" i="10"/>
  <c r="M95" i="10"/>
  <c r="M217" i="10"/>
  <c r="N332" i="10"/>
  <c r="B401" i="10"/>
  <c r="M263" i="10"/>
  <c r="M289" i="10"/>
  <c r="B358" i="10"/>
  <c r="M115" i="10"/>
  <c r="N337" i="10"/>
  <c r="B283" i="10"/>
  <c r="N264" i="10"/>
  <c r="N352" i="10"/>
  <c r="B183" i="10"/>
  <c r="M63" i="10"/>
  <c r="N118" i="10"/>
  <c r="B264" i="10"/>
  <c r="B105" i="10"/>
  <c r="N289" i="10"/>
  <c r="M204" i="10"/>
  <c r="B33" i="10"/>
  <c r="M75" i="10"/>
  <c r="B407" i="10"/>
  <c r="B63" i="10"/>
  <c r="B268" i="10"/>
  <c r="B295" i="10"/>
  <c r="M344" i="10"/>
  <c r="B317" i="10"/>
  <c r="B120" i="10"/>
  <c r="M354" i="10"/>
  <c r="B239" i="10"/>
  <c r="N277" i="10"/>
  <c r="B329" i="10"/>
  <c r="M399" i="10"/>
  <c r="B230" i="10"/>
  <c r="B203" i="10"/>
  <c r="B320" i="10"/>
  <c r="B175" i="10"/>
  <c r="M123" i="10"/>
  <c r="B72" i="10"/>
  <c r="M85" i="10"/>
  <c r="B241" i="10"/>
  <c r="M199" i="10"/>
  <c r="B149" i="10"/>
  <c r="B332" i="10"/>
  <c r="B79" i="10"/>
  <c r="B319" i="10"/>
  <c r="M93" i="10"/>
  <c r="M191" i="10"/>
  <c r="B34" i="10"/>
  <c r="B32" i="10"/>
  <c r="N376" i="10"/>
  <c r="B96" i="10"/>
  <c r="M52" i="10"/>
  <c r="B352" i="10"/>
  <c r="B373" i="10"/>
  <c r="M322" i="10"/>
  <c r="N257" i="10"/>
  <c r="B280" i="10"/>
  <c r="M295" i="10"/>
  <c r="M78" i="10"/>
  <c r="M261" i="10"/>
  <c r="M385" i="10"/>
  <c r="M250" i="10"/>
  <c r="N355" i="10"/>
  <c r="M137" i="10"/>
  <c r="B339" i="10"/>
  <c r="M108" i="10"/>
  <c r="M287" i="10"/>
  <c r="M383" i="10"/>
  <c r="M343" i="10"/>
  <c r="M347" i="10"/>
  <c r="B399" i="10"/>
  <c r="M195" i="10"/>
  <c r="M22" i="10"/>
  <c r="B281" i="10"/>
  <c r="N373" i="10"/>
  <c r="M326" i="10"/>
  <c r="B221" i="10"/>
  <c r="B207" i="10"/>
  <c r="M309" i="10"/>
  <c r="M359" i="10"/>
  <c r="B202" i="10"/>
  <c r="B396" i="10"/>
  <c r="B159" i="10"/>
  <c r="B29" i="10"/>
  <c r="B43" i="10"/>
  <c r="B305" i="10"/>
  <c r="M323" i="10"/>
  <c r="B371" i="10"/>
  <c r="M186" i="10"/>
  <c r="M212" i="10"/>
  <c r="B256" i="10"/>
  <c r="M36" i="10"/>
  <c r="M77" i="10"/>
  <c r="B115" i="10"/>
  <c r="N367" i="10"/>
  <c r="B208" i="10"/>
  <c r="N225" i="10"/>
  <c r="M325" i="10"/>
  <c r="B82" i="10"/>
  <c r="M60" i="10"/>
  <c r="M106" i="10"/>
  <c r="M130" i="10"/>
  <c r="B312" i="10"/>
  <c r="B365" i="10"/>
  <c r="M307" i="10"/>
  <c r="M387" i="10"/>
  <c r="B98" i="10"/>
  <c r="M299" i="10"/>
  <c r="M10" i="10"/>
  <c r="M281" i="10"/>
  <c r="B109" i="10"/>
  <c r="N328" i="10"/>
  <c r="M141" i="10"/>
  <c r="M271" i="10"/>
  <c r="B114" i="10"/>
  <c r="M57" i="10"/>
  <c r="M117" i="10"/>
  <c r="B289" i="10"/>
  <c r="B198" i="10"/>
  <c r="B245" i="10"/>
  <c r="B11" i="10"/>
  <c r="N175" i="10"/>
  <c r="B44" i="10"/>
  <c r="M350" i="10"/>
  <c r="B92" i="10"/>
  <c r="B106" i="10"/>
  <c r="M349" i="10"/>
  <c r="M305" i="10"/>
  <c r="B58" i="10"/>
  <c r="B394" i="10"/>
  <c r="M229" i="10"/>
  <c r="M160" i="10"/>
  <c r="B375" i="10"/>
  <c r="M134" i="10"/>
  <c r="B263" i="10"/>
  <c r="M202" i="10"/>
  <c r="M140" i="10"/>
  <c r="M324" i="10"/>
  <c r="N150" i="10"/>
  <c r="M84" i="10"/>
  <c r="B68" i="10"/>
  <c r="N45" i="10"/>
  <c r="B236" i="10"/>
  <c r="B45" i="10"/>
  <c r="M313" i="10"/>
  <c r="B89" i="10"/>
  <c r="N303" i="10"/>
  <c r="M114" i="10"/>
  <c r="M405" i="10"/>
  <c r="M209" i="10"/>
  <c r="B94" i="10"/>
  <c r="B134" i="10"/>
  <c r="B36" i="10"/>
  <c r="M73" i="10"/>
  <c r="B40" i="10"/>
  <c r="M274" i="10"/>
  <c r="M127" i="10"/>
  <c r="N234" i="10"/>
  <c r="M242" i="10"/>
  <c r="M319" i="10"/>
  <c r="B248" i="10"/>
  <c r="M200" i="10"/>
  <c r="B284" i="10"/>
  <c r="M172" i="10"/>
  <c r="N80" i="10"/>
  <c r="B42" i="10"/>
  <c r="N194" i="10"/>
  <c r="B383" i="10"/>
  <c r="M215" i="10"/>
  <c r="M239" i="10"/>
  <c r="M44" i="10"/>
  <c r="B359" i="10"/>
  <c r="M397" i="10"/>
  <c r="M366" i="10"/>
  <c r="B235" i="10"/>
  <c r="M361" i="10"/>
  <c r="B64" i="10"/>
  <c r="B216" i="10"/>
  <c r="M257" i="10"/>
  <c r="M269" i="10"/>
  <c r="M68" i="10"/>
  <c r="M126" i="10"/>
  <c r="B181" i="10"/>
  <c r="M65" i="10"/>
  <c r="B386" i="10"/>
  <c r="B25" i="10"/>
  <c r="B186" i="10"/>
  <c r="N356" i="10"/>
  <c r="M20" i="10"/>
  <c r="B388" i="10"/>
  <c r="M272" i="10"/>
  <c r="N55" i="10"/>
  <c r="B390" i="10"/>
  <c r="M104" i="10"/>
  <c r="N276" i="10"/>
  <c r="M213" i="10"/>
  <c r="B81" i="10"/>
  <c r="M56" i="10"/>
  <c r="B166" i="10"/>
  <c r="M128" i="10"/>
  <c r="B261" i="10"/>
  <c r="M37" i="10"/>
  <c r="M74" i="10"/>
  <c r="M173" i="10"/>
  <c r="B164" i="10"/>
  <c r="M193" i="10"/>
  <c r="B260" i="10"/>
  <c r="B267" i="10"/>
  <c r="N320" i="10"/>
  <c r="M208" i="10"/>
  <c r="M29" i="10"/>
  <c r="M50" i="10"/>
  <c r="M355" i="10"/>
  <c r="B153" i="10"/>
  <c r="B392" i="10"/>
  <c r="M58" i="10"/>
  <c r="M105" i="10"/>
  <c r="B311" i="10"/>
  <c r="B398" i="10"/>
  <c r="M241" i="10"/>
  <c r="B300" i="10"/>
  <c r="B393" i="10"/>
  <c r="B301" i="10"/>
  <c r="B23" i="10"/>
  <c r="M259" i="10"/>
  <c r="M113" i="10"/>
  <c r="B75" i="10"/>
  <c r="N379" i="10"/>
  <c r="M70" i="10"/>
  <c r="B88" i="10"/>
  <c r="B389" i="10"/>
  <c r="M166" i="10"/>
  <c r="B243" i="10"/>
  <c r="B376" i="10"/>
  <c r="M129" i="10"/>
  <c r="M248" i="10"/>
  <c r="B14" i="10"/>
  <c r="B225" i="10"/>
  <c r="M198" i="10"/>
  <c r="M17" i="10"/>
  <c r="B302" i="10"/>
  <c r="N401" i="10"/>
  <c r="M341" i="10"/>
  <c r="N75" i="10"/>
  <c r="B188" i="10"/>
  <c r="B30" i="10"/>
  <c r="B199" i="10"/>
  <c r="N95" i="10"/>
  <c r="B85" i="10"/>
  <c r="B62" i="10"/>
  <c r="B384" i="10"/>
  <c r="B406" i="10"/>
  <c r="M164" i="10"/>
  <c r="N325" i="10"/>
  <c r="B224" i="10"/>
  <c r="M35" i="10"/>
  <c r="M256" i="10"/>
  <c r="B318" i="10"/>
  <c r="N108" i="10"/>
  <c r="M24" i="10"/>
  <c r="M260" i="10"/>
  <c r="M120" i="10"/>
  <c r="B379" i="10"/>
  <c r="B7" i="10"/>
  <c r="M72" i="10"/>
  <c r="B218" i="10"/>
  <c r="N300" i="10"/>
  <c r="B395" i="10"/>
  <c r="N125" i="10"/>
  <c r="M409" i="10"/>
  <c r="M53" i="10"/>
  <c r="B165" i="10"/>
  <c r="B124" i="10"/>
  <c r="M380" i="10"/>
  <c r="N263" i="10"/>
  <c r="M27" i="10"/>
  <c r="M374" i="10"/>
  <c r="B90" i="10"/>
  <c r="B93" i="10"/>
  <c r="M66" i="10"/>
  <c r="M252" i="10"/>
  <c r="B330" i="10"/>
  <c r="N293" i="10"/>
  <c r="M149" i="10"/>
  <c r="B66" i="10"/>
  <c r="B387" i="10"/>
  <c r="N89" i="10"/>
  <c r="M46" i="10"/>
  <c r="N221" i="10"/>
  <c r="B122" i="10"/>
  <c r="B374" i="10"/>
  <c r="N331" i="10"/>
  <c r="B78" i="10"/>
  <c r="B126" i="10"/>
  <c r="B285" i="10"/>
  <c r="B291" i="10"/>
  <c r="B19" i="10"/>
  <c r="B143" i="10"/>
  <c r="B102" i="10"/>
  <c r="B125" i="10"/>
  <c r="B377" i="10"/>
  <c r="B262" i="10"/>
  <c r="B18" i="10"/>
  <c r="B155" i="10"/>
  <c r="M107" i="10"/>
  <c r="M98" i="10"/>
  <c r="B6" i="10"/>
  <c r="M244" i="10"/>
  <c r="M340" i="10"/>
  <c r="M406" i="10"/>
  <c r="B47" i="10"/>
  <c r="B173" i="10"/>
  <c r="M254" i="10"/>
  <c r="B324" i="10"/>
  <c r="M268" i="10"/>
  <c r="N250" i="10"/>
  <c r="B154" i="10"/>
  <c r="B338" i="10"/>
  <c r="B184" i="10"/>
  <c r="M348" i="10"/>
  <c r="B97" i="10"/>
  <c r="B303" i="10"/>
  <c r="M297" i="10"/>
  <c r="B127" i="10"/>
  <c r="B316" i="10"/>
  <c r="B215" i="10"/>
  <c r="B48" i="10"/>
  <c r="B158" i="10"/>
  <c r="M334" i="10"/>
  <c r="B28" i="10"/>
  <c r="M135" i="10"/>
  <c r="B130" i="10"/>
  <c r="B194" i="10"/>
  <c r="N247" i="10"/>
  <c r="N260" i="10"/>
  <c r="B70" i="10"/>
  <c r="M396" i="10"/>
  <c r="B363" i="10"/>
  <c r="M40" i="10"/>
  <c r="B54" i="10"/>
  <c r="B275" i="10"/>
  <c r="M80" i="10"/>
  <c r="M6" i="10"/>
  <c r="B205" i="10"/>
  <c r="M79" i="10"/>
  <c r="B80" i="10"/>
  <c r="M225" i="10"/>
  <c r="B206" i="10"/>
  <c r="M196" i="10"/>
  <c r="B10" i="10"/>
  <c r="N392" i="10"/>
  <c r="N68" i="10"/>
  <c r="M356" i="10"/>
  <c r="M388" i="10"/>
  <c r="M275" i="10"/>
  <c r="B254" i="10"/>
  <c r="M11" i="10"/>
  <c r="M236" i="10"/>
  <c r="BQ630" i="1"/>
  <c r="BQ634" i="1" s="1"/>
  <c r="BP663" i="1"/>
  <c r="BP666" i="1"/>
  <c r="BQ541" i="1"/>
  <c r="BZ646" i="1"/>
  <c r="BZ650" i="1" s="1"/>
  <c r="BY677" i="1"/>
  <c r="BY674" i="1"/>
  <c r="BV600" i="1"/>
  <c r="BV597" i="1"/>
  <c r="BV603" i="1"/>
  <c r="AR843" i="1"/>
  <c r="AQ844" i="1"/>
  <c r="AQ1031" i="1" s="1"/>
  <c r="BX588" i="1"/>
  <c r="BX372" i="1"/>
  <c r="BX582" i="1"/>
  <c r="CA746" i="1"/>
  <c r="CA748" i="1"/>
  <c r="BV540" i="1"/>
  <c r="BV541" i="1"/>
  <c r="BX688" i="1"/>
  <c r="CB3" i="13"/>
  <c r="CB4" i="13"/>
  <c r="BY541" i="1"/>
  <c r="BW691" i="1"/>
  <c r="CC630" i="1"/>
  <c r="BY627" i="1"/>
  <c r="BW114" i="1"/>
  <c r="BW532" i="1"/>
  <c r="BW533" i="1" s="1"/>
  <c r="Z4" i="11"/>
  <c r="Y3" i="11"/>
  <c r="BO643" i="1"/>
  <c r="BO640" i="1"/>
  <c r="BO637" i="1"/>
  <c r="BM288" i="1"/>
  <c r="BM652" i="1"/>
  <c r="CC650" i="1"/>
  <c r="BU661" i="1"/>
  <c r="BU664" i="1"/>
  <c r="BU658" i="1"/>
  <c r="BU660" i="1" s="1"/>
  <c r="BS589" i="1"/>
  <c r="BS583" i="1"/>
  <c r="BY662" i="1"/>
  <c r="BY659" i="1"/>
  <c r="BY665" i="1"/>
  <c r="BS642" i="1"/>
  <c r="BS379" i="1"/>
  <c r="BS636" i="1"/>
  <c r="CF4" i="13"/>
  <c r="CF3" i="13"/>
  <c r="BZ114" i="1"/>
  <c r="BZ532" i="1"/>
  <c r="BZ533" i="1" s="1"/>
  <c r="BY664" i="1"/>
  <c r="BY658" i="1"/>
  <c r="BY660" i="1" s="1"/>
  <c r="BY661" i="1"/>
  <c r="BV114" i="1"/>
  <c r="BV532" i="1"/>
  <c r="BV533" i="1" s="1"/>
  <c r="CC631" i="1"/>
  <c r="CC634" i="1" s="1"/>
  <c r="BY691" i="1"/>
  <c r="BY288" i="1"/>
  <c r="BY652" i="1"/>
  <c r="CA405" i="1"/>
  <c r="CA407" i="1" s="1"/>
  <c r="BV625" i="1"/>
  <c r="BV627" i="1" s="1"/>
  <c r="BC640" i="1"/>
  <c r="BC637" i="1"/>
  <c r="BC643" i="1"/>
  <c r="BH642" i="1"/>
  <c r="BH639" i="1"/>
  <c r="BH379" i="1"/>
  <c r="BH636" i="1"/>
  <c r="BU630" i="1"/>
  <c r="BU634" i="1" s="1"/>
  <c r="BT666" i="1"/>
  <c r="BT663" i="1"/>
  <c r="BY688" i="1"/>
  <c r="BN637" i="1"/>
  <c r="BN643" i="1"/>
  <c r="CE930" i="1"/>
  <c r="CD933" i="1"/>
  <c r="BT660" i="1"/>
  <c r="BY607" i="1"/>
  <c r="BY606" i="1"/>
  <c r="BL666" i="1"/>
  <c r="BM630" i="1"/>
  <c r="BM634" i="1" s="1"/>
  <c r="BL663" i="1"/>
  <c r="BY671" i="1"/>
  <c r="BZ606" i="1"/>
  <c r="BZ607" i="1"/>
  <c r="CC580" i="1"/>
  <c r="BQ662" i="1"/>
  <c r="BQ665" i="1"/>
  <c r="BQ659" i="1"/>
  <c r="BT620" i="1"/>
  <c r="BT621" i="1" s="1"/>
  <c r="BT586" i="1"/>
  <c r="BT589" i="1"/>
  <c r="BT583" i="1"/>
  <c r="BQ664" i="1"/>
  <c r="BQ658" i="1"/>
  <c r="BQ661" i="1"/>
  <c r="BV676" i="1"/>
  <c r="BV670" i="1"/>
  <c r="BV657" i="1"/>
  <c r="BV673" i="1"/>
  <c r="BV671" i="1"/>
  <c r="CD51" i="9"/>
  <c r="CD297" i="1"/>
  <c r="BY585" i="1"/>
  <c r="BY588" i="1"/>
  <c r="BY372" i="1"/>
  <c r="BY582" i="1"/>
  <c r="BL660" i="1"/>
  <c r="CD927" i="1"/>
  <c r="CE924" i="1"/>
  <c r="BQ604" i="1"/>
  <c r="BR576" i="1"/>
  <c r="BR580" i="1" s="1"/>
  <c r="BQ601" i="1"/>
  <c r="BY604" i="1"/>
  <c r="BZ576" i="1"/>
  <c r="BZ580" i="1" s="1"/>
  <c r="BY601" i="1"/>
  <c r="AC283" i="11"/>
  <c r="AB284" i="11"/>
  <c r="AB408" i="11" s="1"/>
  <c r="CA710" i="1"/>
  <c r="CA371" i="1"/>
  <c r="CA35" i="1" s="1"/>
  <c r="CA401" i="1"/>
  <c r="CA287" i="1"/>
  <c r="CA60" i="1" s="1"/>
  <c r="CA434" i="1"/>
  <c r="CA708" i="1"/>
  <c r="CA397" i="1"/>
  <c r="CK1128" i="1"/>
  <c r="CG1128" i="1"/>
  <c r="CG1129" i="1" l="1"/>
  <c r="CI1129" i="1"/>
  <c r="CH1129" i="1"/>
  <c r="CJ1129" i="1"/>
  <c r="CK1129" i="1"/>
  <c r="BX642" i="1"/>
  <c r="Z449" i="11"/>
  <c r="P376" i="10"/>
  <c r="Q376" i="10"/>
  <c r="Q400" i="10"/>
  <c r="P400" i="10"/>
  <c r="P307" i="10"/>
  <c r="Q307" i="10"/>
  <c r="Q212" i="10"/>
  <c r="P212" i="10"/>
  <c r="BT637" i="1"/>
  <c r="BT640" i="1"/>
  <c r="BT643" i="1"/>
  <c r="BM586" i="1"/>
  <c r="BM589" i="1"/>
  <c r="BM583" i="1"/>
  <c r="BM620" i="1"/>
  <c r="P65" i="10"/>
  <c r="Q65" i="10"/>
  <c r="Q35" i="10"/>
  <c r="P35" i="10"/>
  <c r="P38" i="10"/>
  <c r="Q38" i="10"/>
  <c r="CD129" i="9"/>
  <c r="CD88" i="9"/>
  <c r="CD115" i="9"/>
  <c r="P89" i="10"/>
  <c r="Q89" i="10"/>
  <c r="P25" i="10"/>
  <c r="Q25" i="10"/>
  <c r="Q251" i="10"/>
  <c r="P251" i="10"/>
  <c r="Q355" i="10"/>
  <c r="P355" i="10"/>
  <c r="P58" i="10"/>
  <c r="Q58" i="10"/>
  <c r="P343" i="10"/>
  <c r="Q343" i="10"/>
  <c r="CE710" i="1"/>
  <c r="CE434" i="1"/>
  <c r="CE287" i="1"/>
  <c r="CE60" i="1" s="1"/>
  <c r="CE708" i="1"/>
  <c r="CE371" i="1"/>
  <c r="CE35" i="1" s="1"/>
  <c r="CE401" i="1"/>
  <c r="CE397" i="1"/>
  <c r="BY586" i="1"/>
  <c r="BY583" i="1"/>
  <c r="BY620" i="1"/>
  <c r="BY621" i="1" s="1"/>
  <c r="BY589" i="1"/>
  <c r="CC588" i="1"/>
  <c r="CC372" i="1"/>
  <c r="CC36" i="1"/>
  <c r="CC582" i="1"/>
  <c r="CE931" i="1"/>
  <c r="CE939" i="1"/>
  <c r="CA39" i="9"/>
  <c r="CA411" i="1"/>
  <c r="BS637" i="1"/>
  <c r="BS643" i="1"/>
  <c r="BZ288" i="1"/>
  <c r="BZ61" i="1"/>
  <c r="BZ652" i="1"/>
  <c r="Q125" i="10"/>
  <c r="P125" i="10"/>
  <c r="Q234" i="10"/>
  <c r="P234" i="10"/>
  <c r="Q45" i="10"/>
  <c r="P45" i="10"/>
  <c r="Q277" i="10"/>
  <c r="P277" i="10"/>
  <c r="Q118" i="10"/>
  <c r="P118" i="10"/>
  <c r="P279" i="10"/>
  <c r="Q279" i="10"/>
  <c r="Q340" i="10"/>
  <c r="P340" i="10"/>
  <c r="P368" i="10"/>
  <c r="Q368" i="10"/>
  <c r="BU589" i="1"/>
  <c r="BU583" i="1"/>
  <c r="BU620" i="1"/>
  <c r="BU621" i="1" s="1"/>
  <c r="BU586" i="1"/>
  <c r="CG3" i="13"/>
  <c r="CG4" i="13"/>
  <c r="BV288" i="1"/>
  <c r="BV652" i="1"/>
  <c r="CD941" i="1"/>
  <c r="CD854" i="1"/>
  <c r="Q401" i="10"/>
  <c r="P401" i="10"/>
  <c r="Q332" i="10"/>
  <c r="P332" i="10"/>
  <c r="Q380" i="10"/>
  <c r="P380" i="10"/>
  <c r="Q164" i="10"/>
  <c r="P164" i="10"/>
  <c r="Q269" i="10"/>
  <c r="P269" i="10"/>
  <c r="Q237" i="10"/>
  <c r="P237" i="10"/>
  <c r="P205" i="10"/>
  <c r="Q205" i="10"/>
  <c r="Q225" i="10"/>
  <c r="P225" i="10"/>
  <c r="Q281" i="10"/>
  <c r="P281" i="10"/>
  <c r="BM642" i="1"/>
  <c r="BM379" i="1"/>
  <c r="BM639" i="1"/>
  <c r="BM636" i="1"/>
  <c r="Q260" i="10"/>
  <c r="P260" i="10"/>
  <c r="Q55" i="10"/>
  <c r="P55" i="10"/>
  <c r="P128" i="10"/>
  <c r="Q128" i="10"/>
  <c r="P161" i="10"/>
  <c r="Q161" i="10"/>
  <c r="BH643" i="1"/>
  <c r="BH640" i="1"/>
  <c r="BH637" i="1"/>
  <c r="P194" i="10"/>
  <c r="Q194" i="10"/>
  <c r="Q367" i="10"/>
  <c r="P367" i="10"/>
  <c r="P218" i="10"/>
  <c r="Q218" i="10"/>
  <c r="P315" i="10"/>
  <c r="Q315" i="10"/>
  <c r="CA295" i="1"/>
  <c r="CA110" i="1" s="1"/>
  <c r="CA107" i="1"/>
  <c r="BY666" i="1"/>
  <c r="BZ630" i="1"/>
  <c r="BZ634" i="1" s="1"/>
  <c r="BY663" i="1"/>
  <c r="AS843" i="1"/>
  <c r="AR844" i="1"/>
  <c r="AR1031" i="1" s="1"/>
  <c r="Q250" i="10"/>
  <c r="P250" i="10"/>
  <c r="Q331" i="10"/>
  <c r="P331" i="10"/>
  <c r="P80" i="10"/>
  <c r="Q80" i="10"/>
  <c r="P286" i="10"/>
  <c r="Q286" i="10"/>
  <c r="P406" i="10"/>
  <c r="Q406" i="10"/>
  <c r="Q272" i="10"/>
  <c r="P272" i="10"/>
  <c r="Q90" i="10"/>
  <c r="P90" i="10"/>
  <c r="Q17" i="10"/>
  <c r="P17" i="10"/>
  <c r="Q28" i="10"/>
  <c r="P28" i="10"/>
  <c r="Q48" i="10"/>
  <c r="P48" i="10"/>
  <c r="Q349" i="10"/>
  <c r="P349" i="10"/>
  <c r="Q137" i="10"/>
  <c r="P137" i="10"/>
  <c r="BV661" i="1"/>
  <c r="BV664" i="1"/>
  <c r="BV658" i="1"/>
  <c r="CD287" i="1"/>
  <c r="CD60" i="1" s="1"/>
  <c r="CD371" i="1"/>
  <c r="CD35" i="1" s="1"/>
  <c r="CD434" i="1"/>
  <c r="CD708" i="1"/>
  <c r="CD710" i="1"/>
  <c r="CD401" i="1"/>
  <c r="Q175" i="10"/>
  <c r="P175" i="10"/>
  <c r="Q197" i="10"/>
  <c r="P197" i="10"/>
  <c r="Q364" i="10"/>
  <c r="P364" i="10"/>
  <c r="BX643" i="1"/>
  <c r="BX637" i="1"/>
  <c r="Q68" i="10"/>
  <c r="P68" i="10"/>
  <c r="Q320" i="10"/>
  <c r="P320" i="10"/>
  <c r="Q289" i="10"/>
  <c r="P289" i="10"/>
  <c r="P140" i="10"/>
  <c r="Q140" i="10"/>
  <c r="Q83" i="10"/>
  <c r="P83" i="10"/>
  <c r="Q183" i="10"/>
  <c r="P183" i="10"/>
  <c r="CC288" i="1"/>
  <c r="CC61" i="1"/>
  <c r="CC652" i="1"/>
  <c r="BQ642" i="1"/>
  <c r="BQ639" i="1"/>
  <c r="BQ379" i="1"/>
  <c r="BQ636" i="1"/>
  <c r="P95" i="10"/>
  <c r="Q95" i="10"/>
  <c r="Q247" i="10"/>
  <c r="P247" i="10"/>
  <c r="Q325" i="10"/>
  <c r="P325" i="10"/>
  <c r="P208" i="10"/>
  <c r="Q208" i="10"/>
  <c r="P115" i="10"/>
  <c r="Q115" i="10"/>
  <c r="P224" i="10"/>
  <c r="Q224" i="10"/>
  <c r="BR588" i="1"/>
  <c r="BR372" i="1"/>
  <c r="BR585" i="1"/>
  <c r="BR582" i="1"/>
  <c r="BV665" i="1"/>
  <c r="BV659" i="1"/>
  <c r="BV662" i="1"/>
  <c r="BU663" i="1"/>
  <c r="BV630" i="1"/>
  <c r="BV634" i="1" s="1"/>
  <c r="BU666" i="1"/>
  <c r="Q293" i="10"/>
  <c r="P293" i="10"/>
  <c r="Q263" i="10"/>
  <c r="P263" i="10"/>
  <c r="P300" i="10"/>
  <c r="Q300" i="10"/>
  <c r="Q108" i="10"/>
  <c r="P108" i="10"/>
  <c r="P75" i="10"/>
  <c r="Q75" i="10"/>
  <c r="P379" i="10"/>
  <c r="Q379" i="10"/>
  <c r="P356" i="10"/>
  <c r="Q356" i="10"/>
  <c r="Q385" i="10"/>
  <c r="P385" i="10"/>
  <c r="Q211" i="10"/>
  <c r="P211" i="10"/>
  <c r="P389" i="10"/>
  <c r="Q389" i="10"/>
  <c r="Q312" i="10"/>
  <c r="P312" i="10"/>
  <c r="Q306" i="10"/>
  <c r="P306" i="10"/>
  <c r="P361" i="10"/>
  <c r="Q361" i="10"/>
  <c r="Q105" i="10"/>
  <c r="P105" i="10"/>
  <c r="Q74" i="10"/>
  <c r="P74" i="10"/>
  <c r="CK3" i="13"/>
  <c r="CK4" i="13"/>
  <c r="BV585" i="1"/>
  <c r="BV588" i="1"/>
  <c r="BV372" i="1"/>
  <c r="BV582" i="1"/>
  <c r="BQ620" i="1"/>
  <c r="BQ621" i="1" s="1"/>
  <c r="BQ589" i="1"/>
  <c r="BQ583" i="1"/>
  <c r="BQ586" i="1"/>
  <c r="BY639" i="1"/>
  <c r="BY642" i="1"/>
  <c r="BY379" i="1"/>
  <c r="BY636" i="1"/>
  <c r="CC371" i="1"/>
  <c r="CC35" i="1" s="1"/>
  <c r="CC287" i="1"/>
  <c r="CC60" i="1" s="1"/>
  <c r="CC397" i="1"/>
  <c r="CC708" i="1"/>
  <c r="CC710" i="1"/>
  <c r="CC434" i="1"/>
  <c r="CE925" i="1"/>
  <c r="CE938" i="1" s="1"/>
  <c r="P221" i="10"/>
  <c r="Q221" i="10"/>
  <c r="Q264" i="10"/>
  <c r="P264" i="10"/>
  <c r="Q98" i="10"/>
  <c r="P98" i="10"/>
  <c r="CC379" i="1"/>
  <c r="CC636" i="1"/>
  <c r="CC637" i="1" s="1"/>
  <c r="AA4" i="11"/>
  <c r="Z3" i="11"/>
  <c r="BX589" i="1"/>
  <c r="BX583" i="1"/>
  <c r="P9" i="10"/>
  <c r="Q9" i="10"/>
  <c r="Q344" i="10"/>
  <c r="P344" i="10"/>
  <c r="CF434" i="1"/>
  <c r="CF287" i="1"/>
  <c r="CF60" i="1" s="1"/>
  <c r="CF401" i="1"/>
  <c r="CF710" i="1"/>
  <c r="CF708" i="1"/>
  <c r="CF397" i="1"/>
  <c r="CF371" i="1"/>
  <c r="CF35" i="1" s="1"/>
  <c r="BZ585" i="1"/>
  <c r="BZ588" i="1"/>
  <c r="BZ372" i="1"/>
  <c r="BZ36" i="1"/>
  <c r="BZ582" i="1"/>
  <c r="BQ666" i="1"/>
  <c r="BQ663" i="1"/>
  <c r="BR630" i="1"/>
  <c r="BR634" i="1" s="1"/>
  <c r="BQ660" i="1"/>
  <c r="BU639" i="1"/>
  <c r="BU379" i="1"/>
  <c r="BU642" i="1"/>
  <c r="BU636" i="1"/>
  <c r="Q392" i="10"/>
  <c r="P392" i="10"/>
  <c r="Q328" i="10"/>
  <c r="P328" i="10"/>
  <c r="P257" i="10"/>
  <c r="Q257" i="10"/>
  <c r="P337" i="10"/>
  <c r="Q337" i="10"/>
  <c r="Q390" i="10"/>
  <c r="P390" i="10"/>
  <c r="Q153" i="10"/>
  <c r="P153" i="10"/>
  <c r="AD283" i="11"/>
  <c r="AC284" i="11"/>
  <c r="AC408" i="11" s="1"/>
  <c r="BV674" i="1"/>
  <c r="BW646" i="1"/>
  <c r="BW650" i="1" s="1"/>
  <c r="BV677" i="1"/>
  <c r="Q276" i="10"/>
  <c r="P276" i="10"/>
  <c r="P303" i="10"/>
  <c r="Q303" i="10"/>
  <c r="Q150" i="10"/>
  <c r="P150" i="10"/>
  <c r="Q373" i="10"/>
  <c r="P373" i="10"/>
  <c r="Q352" i="10"/>
  <c r="P352" i="10"/>
  <c r="P244" i="10"/>
  <c r="Q244" i="10"/>
  <c r="P294" i="10"/>
  <c r="Q294" i="10"/>
  <c r="Q238" i="10"/>
  <c r="P238" i="10"/>
  <c r="Q172" i="10"/>
  <c r="P172" i="10"/>
  <c r="Q319" i="10"/>
  <c r="P319" i="10"/>
  <c r="Q186" i="10"/>
  <c r="P186" i="10"/>
  <c r="P231" i="10"/>
  <c r="Q231" i="10"/>
  <c r="Q396" i="10"/>
  <c r="P396" i="10"/>
  <c r="BR288" i="1"/>
  <c r="BR652" i="1"/>
  <c r="BP643" i="1"/>
  <c r="BP640" i="1"/>
  <c r="BP637" i="1"/>
  <c r="BV604" i="1"/>
  <c r="BV601" i="1"/>
  <c r="BW576" i="1"/>
  <c r="BW580" i="1" s="1"/>
  <c r="BL640" i="1"/>
  <c r="BL637" i="1"/>
  <c r="BL643" i="1"/>
  <c r="CB708" i="1"/>
  <c r="CB397" i="1"/>
  <c r="CB710" i="1"/>
  <c r="CB371" i="1"/>
  <c r="CB35" i="1" s="1"/>
  <c r="CB434" i="1"/>
  <c r="CB287" i="1"/>
  <c r="CB60" i="1" s="1"/>
  <c r="CB401" i="1"/>
  <c r="CB295" i="1" l="1"/>
  <c r="CB110" i="1" s="1"/>
  <c r="CB107" i="1"/>
  <c r="Z227" i="11"/>
  <c r="Z229" i="11" s="1"/>
  <c r="Z225" i="11"/>
  <c r="Z226" i="11"/>
  <c r="BR642" i="1"/>
  <c r="BR639" i="1"/>
  <c r="BR379" i="1"/>
  <c r="BR636" i="1"/>
  <c r="CH710" i="1"/>
  <c r="CH397" i="1"/>
  <c r="CH371" i="1"/>
  <c r="CH35" i="1" s="1"/>
  <c r="CH401" i="1"/>
  <c r="CH708" i="1"/>
  <c r="BW288" i="1"/>
  <c r="BW652" i="1"/>
  <c r="BU637" i="1"/>
  <c r="BU643" i="1"/>
  <c r="BU640" i="1"/>
  <c r="BZ586" i="1"/>
  <c r="BZ583" i="1"/>
  <c r="BZ589" i="1"/>
  <c r="CJ371" i="1"/>
  <c r="CJ35" i="1" s="1"/>
  <c r="CJ708" i="1"/>
  <c r="CJ397" i="1"/>
  <c r="CJ710" i="1"/>
  <c r="CJ434" i="1"/>
  <c r="CJ401" i="1"/>
  <c r="CJ287" i="1"/>
  <c r="CJ60" i="1" s="1"/>
  <c r="BR620" i="1"/>
  <c r="BR589" i="1"/>
  <c r="BR583" i="1"/>
  <c r="BR586" i="1"/>
  <c r="BQ637" i="1"/>
  <c r="BQ640" i="1"/>
  <c r="BQ643" i="1"/>
  <c r="BV663" i="1"/>
  <c r="BW630" i="1"/>
  <c r="BW634" i="1" s="1"/>
  <c r="BV666" i="1"/>
  <c r="CI710" i="1"/>
  <c r="CI397" i="1"/>
  <c r="CI434" i="1"/>
  <c r="CI401" i="1"/>
  <c r="CI287" i="1"/>
  <c r="CI60" i="1" s="1"/>
  <c r="CI708" i="1"/>
  <c r="CI371" i="1"/>
  <c r="CI35" i="1" s="1"/>
  <c r="CF295" i="1"/>
  <c r="CF110" i="1" s="1"/>
  <c r="CF107" i="1"/>
  <c r="Z228" i="11"/>
  <c r="BM640" i="1"/>
  <c r="BM637" i="1"/>
  <c r="BM643" i="1"/>
  <c r="CE118" i="1"/>
  <c r="CE978" i="1"/>
  <c r="CG434" i="1"/>
  <c r="CG401" i="1"/>
  <c r="CG287" i="1"/>
  <c r="CG60" i="1" s="1"/>
  <c r="CG710" i="1"/>
  <c r="CG397" i="1"/>
  <c r="CG371" i="1"/>
  <c r="CG35" i="1" s="1"/>
  <c r="CG708" i="1"/>
  <c r="CC295" i="1"/>
  <c r="CC110" i="1" s="1"/>
  <c r="CC107" i="1"/>
  <c r="CA41" i="9"/>
  <c r="CA106" i="9" s="1"/>
  <c r="CA107" i="9" s="1"/>
  <c r="CA414" i="1"/>
  <c r="CA415" i="1" s="1"/>
  <c r="CE399" i="1"/>
  <c r="CE973" i="1"/>
  <c r="BV639" i="1"/>
  <c r="BV379" i="1"/>
  <c r="BV642" i="1"/>
  <c r="BV636" i="1"/>
  <c r="AT843" i="1"/>
  <c r="AT844" i="1" s="1"/>
  <c r="AS844" i="1"/>
  <c r="AS1031" i="1" s="1"/>
  <c r="BW585" i="1"/>
  <c r="BW372" i="1"/>
  <c r="BW588" i="1"/>
  <c r="BW582" i="1"/>
  <c r="BY643" i="1"/>
  <c r="BY637" i="1"/>
  <c r="BY640" i="1"/>
  <c r="AE283" i="11"/>
  <c r="AE284" i="11" s="1"/>
  <c r="AD284" i="11"/>
  <c r="AD408" i="11" s="1"/>
  <c r="AA3" i="11"/>
  <c r="AA449" i="11" s="1"/>
  <c r="AB4" i="11"/>
  <c r="BV589" i="1"/>
  <c r="BV583" i="1"/>
  <c r="BV586" i="1"/>
  <c r="BV620" i="1"/>
  <c r="BV621" i="1" s="1"/>
  <c r="BV660" i="1"/>
  <c r="BZ379" i="1"/>
  <c r="BZ636" i="1"/>
  <c r="BZ637" i="1" s="1"/>
  <c r="CC589" i="1"/>
  <c r="CC583" i="1"/>
  <c r="CE295" i="1"/>
  <c r="CE110" i="1" s="1"/>
  <c r="CE107" i="1"/>
  <c r="CK287" i="1"/>
  <c r="CK60" i="1" s="1"/>
  <c r="CK397" i="1"/>
  <c r="CK371" i="1"/>
  <c r="CK35" i="1" s="1"/>
  <c r="CK401" i="1"/>
  <c r="CK708" i="1"/>
  <c r="CK434" i="1"/>
  <c r="CA43" i="9" l="1"/>
  <c r="CA52" i="9"/>
  <c r="CA438" i="1"/>
  <c r="CA48" i="9" s="1"/>
  <c r="CF114" i="9" s="1"/>
  <c r="CA422" i="1"/>
  <c r="CH434" i="1"/>
  <c r="CC401" i="1"/>
  <c r="CD397" i="1"/>
  <c r="CK710" i="1"/>
  <c r="CH287" i="1"/>
  <c r="CH60" i="1" s="1"/>
  <c r="AC4" i="11"/>
  <c r="AB3" i="11"/>
  <c r="AB449" i="11" s="1"/>
  <c r="AU843" i="1"/>
  <c r="AT1031" i="1"/>
  <c r="CG295" i="1"/>
  <c r="CG110" i="1" s="1"/>
  <c r="CG107" i="1"/>
  <c r="Z215" i="11"/>
  <c r="CE934" i="1"/>
  <c r="AF283" i="11"/>
  <c r="AE408" i="11"/>
  <c r="CE117" i="1"/>
  <c r="CE400" i="1"/>
  <c r="BV640" i="1"/>
  <c r="BV643" i="1"/>
  <c r="BV637" i="1"/>
  <c r="CA42" i="9"/>
  <c r="CA860" i="1"/>
  <c r="CA412" i="1"/>
  <c r="CJ295" i="1"/>
  <c r="CJ110" i="1" s="1"/>
  <c r="CJ107" i="1"/>
  <c r="CE928" i="1"/>
  <c r="CH295" i="1"/>
  <c r="CH110" i="1" s="1"/>
  <c r="CH107" i="1"/>
  <c r="BW639" i="1"/>
  <c r="BW379" i="1"/>
  <c r="BW642" i="1"/>
  <c r="BW636" i="1"/>
  <c r="BR637" i="1"/>
  <c r="BR643" i="1"/>
  <c r="BR640" i="1"/>
  <c r="CK295" i="1"/>
  <c r="CK110" i="1" s="1"/>
  <c r="CK107" i="1"/>
  <c r="BW586" i="1"/>
  <c r="BW583" i="1"/>
  <c r="BW620" i="1"/>
  <c r="BW589" i="1"/>
  <c r="CI295" i="1"/>
  <c r="CI110" i="1" s="1"/>
  <c r="CI107" i="1"/>
  <c r="AC449" i="11" l="1"/>
  <c r="CA433" i="1"/>
  <c r="CA53" i="9" s="1"/>
  <c r="CA82" i="9" s="1"/>
  <c r="CF924" i="1"/>
  <c r="CE927" i="1"/>
  <c r="CD295" i="1"/>
  <c r="CD110" i="1" s="1"/>
  <c r="CD107" i="1"/>
  <c r="BW640" i="1"/>
  <c r="BW643" i="1"/>
  <c r="BW637" i="1"/>
  <c r="AD4" i="11"/>
  <c r="AC3" i="11"/>
  <c r="CF930" i="1"/>
  <c r="CE933" i="1"/>
  <c r="Z219" i="11"/>
  <c r="Z221" i="11"/>
  <c r="Z216" i="11"/>
  <c r="CA431" i="1"/>
  <c r="CA424" i="1"/>
  <c r="CE51" i="9"/>
  <c r="CE297" i="1"/>
  <c r="CA428" i="1"/>
  <c r="CE119" i="1"/>
  <c r="CA979" i="1"/>
  <c r="CA130" i="9"/>
  <c r="CA92" i="9"/>
  <c r="CA93" i="9" s="1"/>
  <c r="CA116" i="9"/>
  <c r="AG283" i="11"/>
  <c r="AF284" i="11"/>
  <c r="AF408" i="11" s="1"/>
  <c r="AV843" i="1"/>
  <c r="AU844" i="1"/>
  <c r="AU1031" i="1" s="1"/>
  <c r="CE129" i="9" l="1"/>
  <c r="CE88" i="9"/>
  <c r="CE115" i="9"/>
  <c r="AD3" i="11"/>
  <c r="AD449" i="11" s="1"/>
  <c r="AE4" i="11"/>
  <c r="CF931" i="1"/>
  <c r="AW843" i="1"/>
  <c r="AV844" i="1"/>
  <c r="AV1031" i="1" s="1"/>
  <c r="CE941" i="1"/>
  <c r="CE854" i="1"/>
  <c r="CA989" i="1"/>
  <c r="CA45" i="9"/>
  <c r="CA131" i="9" s="1"/>
  <c r="CA851" i="1"/>
  <c r="CA1022" i="1" s="1"/>
  <c r="CA437" i="1"/>
  <c r="CA432" i="1" s="1"/>
  <c r="CA47" i="9" s="1"/>
  <c r="Z217" i="11"/>
  <c r="Z222" i="11"/>
  <c r="CF925" i="1"/>
  <c r="AH283" i="11"/>
  <c r="AG284" i="11"/>
  <c r="AG408" i="11" s="1"/>
  <c r="Z220" i="11" l="1"/>
  <c r="Z223" i="11"/>
  <c r="AX843" i="1"/>
  <c r="AW844" i="1"/>
  <c r="AW1031" i="1" s="1"/>
  <c r="AI283" i="11"/>
  <c r="AH284" i="11"/>
  <c r="AH408" i="11" s="1"/>
  <c r="CA868" i="1"/>
  <c r="CA1014" i="1"/>
  <c r="CF118" i="1"/>
  <c r="CF978" i="1"/>
  <c r="CF399" i="1"/>
  <c r="CF973" i="1"/>
  <c r="CF939" i="1"/>
  <c r="CF938" i="1"/>
  <c r="AE3" i="11"/>
  <c r="AE449" i="11" s="1"/>
  <c r="AF4" i="11"/>
  <c r="AE226" i="11" l="1"/>
  <c r="AE227" i="11"/>
  <c r="AE229" i="11" s="1"/>
  <c r="AE225" i="11"/>
  <c r="AE228" i="11"/>
  <c r="CF928" i="1"/>
  <c r="CF117" i="1"/>
  <c r="CF400" i="1"/>
  <c r="AJ283" i="11"/>
  <c r="AJ284" i="11" s="1"/>
  <c r="AI284" i="11"/>
  <c r="AI408" i="11" s="1"/>
  <c r="CF934" i="1"/>
  <c r="AF3" i="11"/>
  <c r="AF449" i="11" s="1"/>
  <c r="AG4" i="11"/>
  <c r="CA877" i="1"/>
  <c r="CA703" i="1"/>
  <c r="AY843" i="1"/>
  <c r="AY844" i="1" s="1"/>
  <c r="AX844" i="1"/>
  <c r="AX1031" i="1" s="1"/>
  <c r="CA1015" i="1"/>
  <c r="AZ843" i="1" l="1"/>
  <c r="AY1031" i="1"/>
  <c r="CF51" i="9"/>
  <c r="CF297" i="1"/>
  <c r="AK283" i="11"/>
  <c r="AJ408" i="11"/>
  <c r="CA64" i="9"/>
  <c r="CA66" i="9" s="1"/>
  <c r="CA706" i="1"/>
  <c r="CA724" i="1"/>
  <c r="CA725" i="1" s="1"/>
  <c r="CA726" i="1" s="1"/>
  <c r="CA727" i="1" s="1"/>
  <c r="CF119" i="1"/>
  <c r="AE215" i="11"/>
  <c r="CA705" i="1"/>
  <c r="CA913" i="1"/>
  <c r="CG930" i="1"/>
  <c r="CF933" i="1"/>
  <c r="CF927" i="1"/>
  <c r="CG924" i="1"/>
  <c r="CA94" i="9"/>
  <c r="CA95" i="9" s="1"/>
  <c r="CA96" i="9" s="1"/>
  <c r="CA1017" i="1"/>
  <c r="AH4" i="11"/>
  <c r="AG3" i="11"/>
  <c r="AG449" i="11" s="1"/>
  <c r="AE216" i="11" l="1"/>
  <c r="AE219" i="11"/>
  <c r="AE221" i="11"/>
  <c r="CG925" i="1"/>
  <c r="AI4" i="11"/>
  <c r="AH3" i="11"/>
  <c r="AH449" i="11" s="1"/>
  <c r="CF129" i="9"/>
  <c r="CF88" i="9"/>
  <c r="CF115" i="9"/>
  <c r="CA89" i="9"/>
  <c r="CA68" i="9"/>
  <c r="CA78" i="9"/>
  <c r="CA117" i="9"/>
  <c r="CA960" i="1"/>
  <c r="CA916" i="1"/>
  <c r="AL283" i="11"/>
  <c r="AL284" i="11" s="1"/>
  <c r="AL408" i="11" s="1"/>
  <c r="AK284" i="11"/>
  <c r="AK408" i="11" s="1"/>
  <c r="CA707" i="1"/>
  <c r="CA728" i="1"/>
  <c r="CA729" i="1" s="1"/>
  <c r="CA730" i="1" s="1"/>
  <c r="CA731" i="1" s="1"/>
  <c r="CA704" i="1"/>
  <c r="CF941" i="1"/>
  <c r="CF854" i="1"/>
  <c r="CG931" i="1"/>
  <c r="BA843" i="1"/>
  <c r="AZ844" i="1"/>
  <c r="AZ1031" i="1" s="1"/>
  <c r="BB843" i="1" l="1"/>
  <c r="BA844" i="1"/>
  <c r="BA1031" i="1" s="1"/>
  <c r="CG118" i="1"/>
  <c r="CH118" i="1" s="1"/>
  <c r="CH931" i="1"/>
  <c r="CG978" i="1"/>
  <c r="CA921" i="1"/>
  <c r="CB915" i="1"/>
  <c r="CG399" i="1"/>
  <c r="CH925" i="1"/>
  <c r="CG973" i="1"/>
  <c r="CG939" i="1"/>
  <c r="CH939" i="1" s="1"/>
  <c r="CA734" i="1"/>
  <c r="CA970" i="1"/>
  <c r="CA990" i="1" s="1"/>
  <c r="CG938" i="1"/>
  <c r="CH938" i="1" s="1"/>
  <c r="AJ4" i="11"/>
  <c r="AI3" i="11"/>
  <c r="AI449" i="11" s="1"/>
  <c r="CA79" i="9"/>
  <c r="CA81" i="9" s="1"/>
  <c r="CA70" i="9"/>
  <c r="CA76" i="9" s="1"/>
  <c r="CA132" i="9" s="1"/>
  <c r="CA118" i="9"/>
  <c r="AE217" i="11"/>
  <c r="AE222" i="11"/>
  <c r="AJ449" i="11" l="1"/>
  <c r="AJ3" i="11"/>
  <c r="AK4" i="11"/>
  <c r="CA7" i="9"/>
  <c r="CA11" i="9" s="1"/>
  <c r="CA1024" i="1"/>
  <c r="CB743" i="1"/>
  <c r="CA739" i="1"/>
  <c r="CH978" i="1"/>
  <c r="CG934" i="1"/>
  <c r="CG933" i="1" s="1"/>
  <c r="CA99" i="9"/>
  <c r="CA100" i="9" s="1"/>
  <c r="CA1019" i="1"/>
  <c r="CG117" i="1"/>
  <c r="CG400" i="1"/>
  <c r="CH399" i="1"/>
  <c r="CH400" i="1" s="1"/>
  <c r="AE220" i="11"/>
  <c r="AE223" i="11"/>
  <c r="CH973" i="1"/>
  <c r="CG928" i="1"/>
  <c r="CG927" i="1" s="1"/>
  <c r="BC843" i="1"/>
  <c r="BB844" i="1"/>
  <c r="BB1031" i="1" s="1"/>
  <c r="AJ225" i="11" l="1"/>
  <c r="AJ227" i="11"/>
  <c r="AJ229" i="11" s="1"/>
  <c r="AJ226" i="11"/>
  <c r="AJ228" i="11"/>
  <c r="CH928" i="1"/>
  <c r="CH51" i="9"/>
  <c r="CH297" i="1"/>
  <c r="CH934" i="1"/>
  <c r="CA110" i="9"/>
  <c r="CA111" i="9" s="1"/>
  <c r="CA101" i="9"/>
  <c r="BD843" i="1"/>
  <c r="BD844" i="1" s="1"/>
  <c r="BC844" i="1"/>
  <c r="BC1031" i="1" s="1"/>
  <c r="AL4" i="11"/>
  <c r="AK3" i="11"/>
  <c r="AK449" i="11" s="1"/>
  <c r="CG51" i="9"/>
  <c r="CG297" i="1"/>
  <c r="CA87" i="9"/>
  <c r="CA85" i="9"/>
  <c r="CA102" i="9"/>
  <c r="CA103" i="9" s="1"/>
  <c r="CA104" i="9" s="1"/>
  <c r="CA105" i="9" s="1"/>
  <c r="CA86" i="9"/>
  <c r="CA755" i="1"/>
  <c r="CG119" i="1"/>
  <c r="CH117" i="1"/>
  <c r="CH119" i="1" s="1"/>
  <c r="CH941" i="1" s="1"/>
  <c r="CB404" i="1"/>
  <c r="CB745" i="1"/>
  <c r="CC743" i="1"/>
  <c r="CI930" i="1" l="1"/>
  <c r="CH933" i="1"/>
  <c r="CB405" i="1"/>
  <c r="CB407" i="1" s="1"/>
  <c r="CC404" i="1"/>
  <c r="CC405" i="1" s="1"/>
  <c r="CC407" i="1" s="1"/>
  <c r="AJ215" i="11"/>
  <c r="CB746" i="1"/>
  <c r="CB748" i="1"/>
  <c r="CC745" i="1"/>
  <c r="CG941" i="1"/>
  <c r="CG854" i="1"/>
  <c r="CH854" i="1" s="1"/>
  <c r="BE843" i="1"/>
  <c r="BD1031" i="1"/>
  <c r="CH927" i="1"/>
  <c r="CI924" i="1"/>
  <c r="CG88" i="9"/>
  <c r="CG129" i="9"/>
  <c r="CH129" i="9"/>
  <c r="CH88" i="9"/>
  <c r="AL3" i="11"/>
  <c r="AL449" i="11" s="1"/>
  <c r="AM4" i="11"/>
  <c r="CC746" i="1" l="1"/>
  <c r="CC748" i="1"/>
  <c r="AJ221" i="11"/>
  <c r="AJ219" i="11"/>
  <c r="AJ216" i="11"/>
  <c r="CC39" i="9"/>
  <c r="CC411" i="1"/>
  <c r="CI938" i="1"/>
  <c r="CI925" i="1"/>
  <c r="AN4" i="11"/>
  <c r="AM3" i="11"/>
  <c r="AM449" i="11" s="1"/>
  <c r="BF843" i="1"/>
  <c r="BE844" i="1"/>
  <c r="BE1031" i="1" s="1"/>
  <c r="CB39" i="9"/>
  <c r="CB411" i="1"/>
  <c r="CI931" i="1"/>
  <c r="CI939" i="1" s="1"/>
  <c r="CC41" i="9" l="1"/>
  <c r="CC106" i="9" s="1"/>
  <c r="CC107" i="9" s="1"/>
  <c r="AJ217" i="11"/>
  <c r="AJ222" i="11"/>
  <c r="CI118" i="1"/>
  <c r="CI978" i="1"/>
  <c r="BG843" i="1"/>
  <c r="BF844" i="1"/>
  <c r="BF1031" i="1" s="1"/>
  <c r="AO4" i="11"/>
  <c r="AN3" i="11"/>
  <c r="AN449" i="11" s="1"/>
  <c r="CB41" i="9"/>
  <c r="CB106" i="9" s="1"/>
  <c r="CB107" i="9" s="1"/>
  <c r="CB414" i="1"/>
  <c r="CI399" i="1"/>
  <c r="CI973" i="1"/>
  <c r="CB42" i="9" l="1"/>
  <c r="CB860" i="1"/>
  <c r="CB412" i="1"/>
  <c r="CC414" i="1"/>
  <c r="AO3" i="11"/>
  <c r="AO449" i="11" s="1"/>
  <c r="AP4" i="11"/>
  <c r="AJ220" i="11"/>
  <c r="AJ223" i="11"/>
  <c r="BH843" i="1"/>
  <c r="BG844" i="1"/>
  <c r="BG1031" i="1" s="1"/>
  <c r="CI928" i="1"/>
  <c r="CI934" i="1"/>
  <c r="CI117" i="1"/>
  <c r="CI119" i="1" s="1"/>
  <c r="CI400" i="1"/>
  <c r="CB415" i="1"/>
  <c r="CB52" i="9" l="1"/>
  <c r="CB43" i="9"/>
  <c r="CB422" i="1"/>
  <c r="CB428" i="1" s="1"/>
  <c r="CB438" i="1"/>
  <c r="CB48" i="9" s="1"/>
  <c r="CI854" i="1"/>
  <c r="CI941" i="1"/>
  <c r="CC42" i="9"/>
  <c r="CC426" i="1"/>
  <c r="CC415" i="1"/>
  <c r="CI51" i="9"/>
  <c r="CI297" i="1"/>
  <c r="BI843" i="1"/>
  <c r="BI844" i="1" s="1"/>
  <c r="BH844" i="1"/>
  <c r="BH1031" i="1" s="1"/>
  <c r="CC412" i="1"/>
  <c r="CJ924" i="1"/>
  <c r="CI927" i="1"/>
  <c r="CI933" i="1"/>
  <c r="CJ930" i="1"/>
  <c r="AQ4" i="11"/>
  <c r="AP3" i="11"/>
  <c r="AP449" i="11" s="1"/>
  <c r="CC860" i="1"/>
  <c r="CC429" i="1" s="1"/>
  <c r="CB979" i="1"/>
  <c r="BJ843" i="1" l="1"/>
  <c r="BI1031" i="1"/>
  <c r="CG114" i="9"/>
  <c r="CG115" i="9"/>
  <c r="CI129" i="9"/>
  <c r="CI88" i="9"/>
  <c r="CJ925" i="1"/>
  <c r="CC979" i="1"/>
  <c r="CB989" i="1"/>
  <c r="CJ931" i="1"/>
  <c r="CJ939" i="1" s="1"/>
  <c r="CC52" i="9"/>
  <c r="CC43" i="9"/>
  <c r="CC1038" i="1"/>
  <c r="CC422" i="1"/>
  <c r="CC428" i="1" s="1"/>
  <c r="CC438" i="1"/>
  <c r="CC48" i="9" s="1"/>
  <c r="CB424" i="1"/>
  <c r="CB431" i="1"/>
  <c r="CB433" i="1"/>
  <c r="CB53" i="9" s="1"/>
  <c r="CB82" i="9" s="1"/>
  <c r="AQ3" i="11"/>
  <c r="AQ449" i="11" s="1"/>
  <c r="AR4" i="11"/>
  <c r="CB130" i="9"/>
  <c r="CB92" i="9"/>
  <c r="CB93" i="9" s="1"/>
  <c r="CB116" i="9"/>
  <c r="CC433" i="1" l="1"/>
  <c r="CC53" i="9" s="1"/>
  <c r="CJ399" i="1"/>
  <c r="CJ973" i="1"/>
  <c r="AS4" i="11"/>
  <c r="AR3" i="11"/>
  <c r="AR449" i="11" s="1"/>
  <c r="CB45" i="9"/>
  <c r="CB131" i="9" s="1"/>
  <c r="CB851" i="1"/>
  <c r="CB437" i="1"/>
  <c r="CB432" i="1" s="1"/>
  <c r="CB47" i="9" s="1"/>
  <c r="CJ118" i="1"/>
  <c r="CJ978" i="1"/>
  <c r="CH114" i="9"/>
  <c r="CH115" i="9"/>
  <c r="CJ938" i="1"/>
  <c r="CC130" i="9"/>
  <c r="CC92" i="9"/>
  <c r="CC93" i="9" s="1"/>
  <c r="CC116" i="9"/>
  <c r="CC431" i="1"/>
  <c r="CC424" i="1"/>
  <c r="CC989" i="1"/>
  <c r="BK843" i="1"/>
  <c r="BJ844" i="1"/>
  <c r="BJ1031" i="1" s="1"/>
  <c r="CC757" i="1" l="1"/>
  <c r="AT4" i="11"/>
  <c r="AS3" i="11"/>
  <c r="AS449" i="11" s="1"/>
  <c r="CB868" i="1"/>
  <c r="CC851" i="1"/>
  <c r="CC868" i="1" s="1"/>
  <c r="CB1014" i="1"/>
  <c r="CJ934" i="1"/>
  <c r="CB1022" i="1"/>
  <c r="CJ928" i="1"/>
  <c r="CC82" i="9"/>
  <c r="CC121" i="9"/>
  <c r="BL843" i="1"/>
  <c r="BK844" i="1"/>
  <c r="BK1031" i="1" s="1"/>
  <c r="CC45" i="9"/>
  <c r="CC131" i="9" s="1"/>
  <c r="CC1037" i="1"/>
  <c r="CC437" i="1"/>
  <c r="CC432" i="1" s="1"/>
  <c r="CC47" i="9" s="1"/>
  <c r="CJ117" i="1"/>
  <c r="CJ119" i="1" s="1"/>
  <c r="CJ400" i="1"/>
  <c r="CK924" i="1" l="1"/>
  <c r="CJ927" i="1"/>
  <c r="CJ51" i="9"/>
  <c r="CJ297" i="1"/>
  <c r="BM843" i="1"/>
  <c r="BL844" i="1"/>
  <c r="BL1031" i="1" s="1"/>
  <c r="CC877" i="1"/>
  <c r="CC703" i="1"/>
  <c r="CB877" i="1"/>
  <c r="CB703" i="1"/>
  <c r="CC1039" i="1"/>
  <c r="AT3" i="11"/>
  <c r="AT449" i="11" s="1"/>
  <c r="AU4" i="11"/>
  <c r="CC1022" i="1"/>
  <c r="CK930" i="1"/>
  <c r="CJ933" i="1"/>
  <c r="CJ854" i="1"/>
  <c r="CJ941" i="1"/>
  <c r="CC1014" i="1"/>
  <c r="CB1015" i="1"/>
  <c r="AU449" i="11" l="1"/>
  <c r="BN843" i="1"/>
  <c r="BN844" i="1" s="1"/>
  <c r="BM844" i="1"/>
  <c r="BM1031" i="1" s="1"/>
  <c r="CC705" i="1"/>
  <c r="CC913" i="1"/>
  <c r="CC916" i="1" s="1"/>
  <c r="CB64" i="9"/>
  <c r="CB66" i="9" s="1"/>
  <c r="CB724" i="1"/>
  <c r="CB725" i="1" s="1"/>
  <c r="CB726" i="1" s="1"/>
  <c r="CB727" i="1" s="1"/>
  <c r="CB706" i="1"/>
  <c r="CJ129" i="9"/>
  <c r="CJ88" i="9"/>
  <c r="AV4" i="11"/>
  <c r="AU3" i="11"/>
  <c r="CB705" i="1"/>
  <c r="CB913" i="1"/>
  <c r="CC1040" i="1"/>
  <c r="CK939" i="1"/>
  <c r="CK931" i="1"/>
  <c r="CB94" i="9"/>
  <c r="CB95" i="9" s="1"/>
  <c r="CB96" i="9" s="1"/>
  <c r="CB1017" i="1"/>
  <c r="CC1015" i="1"/>
  <c r="CC64" i="9"/>
  <c r="CC66" i="9" s="1"/>
  <c r="CC724" i="1"/>
  <c r="CC725" i="1" s="1"/>
  <c r="CC726" i="1" s="1"/>
  <c r="CC727" i="1" s="1"/>
  <c r="CC706" i="1"/>
  <c r="CK938" i="1"/>
  <c r="CK925" i="1"/>
  <c r="AV449" i="11" l="1"/>
  <c r="AW4" i="11"/>
  <c r="AV3" i="11"/>
  <c r="CK399" i="1"/>
  <c r="CK973" i="1"/>
  <c r="CK928" i="1" s="1"/>
  <c r="CK927" i="1" s="1"/>
  <c r="CK118" i="1"/>
  <c r="CK978" i="1"/>
  <c r="CB78" i="9"/>
  <c r="CB89" i="9"/>
  <c r="CB68" i="9"/>
  <c r="CB117" i="9"/>
  <c r="CB960" i="1"/>
  <c r="CB916" i="1"/>
  <c r="CC78" i="9"/>
  <c r="CC124" i="9" s="1"/>
  <c r="CC89" i="9"/>
  <c r="CC68" i="9"/>
  <c r="CC117" i="9"/>
  <c r="CB707" i="1"/>
  <c r="CB728" i="1"/>
  <c r="CB729" i="1" s="1"/>
  <c r="CB730" i="1" s="1"/>
  <c r="CB731" i="1" s="1"/>
  <c r="CB704" i="1"/>
  <c r="CH915" i="1"/>
  <c r="CD915" i="1"/>
  <c r="CC94" i="9"/>
  <c r="CC95" i="9" s="1"/>
  <c r="CC96" i="9" s="1"/>
  <c r="CC1017" i="1"/>
  <c r="CC728" i="1"/>
  <c r="CC707" i="1"/>
  <c r="CC760" i="1" s="1"/>
  <c r="CC704" i="1"/>
  <c r="BO843" i="1"/>
  <c r="BN1031" i="1"/>
  <c r="CB921" i="1" l="1"/>
  <c r="CB79" i="9"/>
  <c r="CB81" i="9" s="1"/>
  <c r="CB70" i="9"/>
  <c r="CB76" i="9" s="1"/>
  <c r="CB132" i="9" s="1"/>
  <c r="CB118" i="9"/>
  <c r="CC125" i="9"/>
  <c r="CC79" i="9"/>
  <c r="CC81" i="9" s="1"/>
  <c r="CC70" i="9"/>
  <c r="CC76" i="9" s="1"/>
  <c r="CC132" i="9" s="1"/>
  <c r="CC118" i="9"/>
  <c r="CK934" i="1"/>
  <c r="CK933" i="1" s="1"/>
  <c r="CK117" i="1"/>
  <c r="CK119" i="1" s="1"/>
  <c r="CK400" i="1"/>
  <c r="CC729" i="1"/>
  <c r="CC730" i="1" s="1"/>
  <c r="CC731" i="1" s="1"/>
  <c r="CC761" i="1"/>
  <c r="CC960" i="1"/>
  <c r="CB734" i="1"/>
  <c r="CB970" i="1"/>
  <c r="CB990" i="1" s="1"/>
  <c r="AW3" i="11"/>
  <c r="AW449" i="11" s="1"/>
  <c r="BP843" i="1"/>
  <c r="BO844" i="1"/>
  <c r="BO1031" i="1" s="1"/>
  <c r="CB7" i="9" l="1"/>
  <c r="CB11" i="9" s="1"/>
  <c r="CB1024" i="1"/>
  <c r="CB739" i="1"/>
  <c r="CC744" i="1"/>
  <c r="CB99" i="9"/>
  <c r="CB100" i="9" s="1"/>
  <c r="CB1019" i="1"/>
  <c r="BQ843" i="1"/>
  <c r="BP844" i="1"/>
  <c r="BP1031" i="1" s="1"/>
  <c r="CC734" i="1"/>
  <c r="CC970" i="1"/>
  <c r="CC990" i="1" s="1"/>
  <c r="CC921" i="1"/>
  <c r="CK941" i="1"/>
  <c r="CK854" i="1"/>
  <c r="CK51" i="9"/>
  <c r="CK297" i="1"/>
  <c r="CB101" i="9" l="1"/>
  <c r="CB110" i="9"/>
  <c r="CB111" i="9" s="1"/>
  <c r="BR843" i="1"/>
  <c r="BQ844" i="1"/>
  <c r="BQ1031" i="1" s="1"/>
  <c r="CC99" i="9"/>
  <c r="CC100" i="9" s="1"/>
  <c r="CC1019" i="1"/>
  <c r="CB102" i="9"/>
  <c r="CB103" i="9" s="1"/>
  <c r="CB104" i="9" s="1"/>
  <c r="CB105" i="9" s="1"/>
  <c r="CB87" i="9"/>
  <c r="CB86" i="9"/>
  <c r="CB85" i="9"/>
  <c r="CB755" i="1"/>
  <c r="CC7" i="9"/>
  <c r="CC11" i="9" s="1"/>
  <c r="CC1024" i="1"/>
  <c r="CD743" i="1"/>
  <c r="CC739" i="1"/>
  <c r="CK129" i="9"/>
  <c r="CK88" i="9"/>
  <c r="CD404" i="1" l="1"/>
  <c r="CD745" i="1"/>
  <c r="CC123" i="9"/>
  <c r="CC122" i="9"/>
  <c r="CC126" i="9"/>
  <c r="CC102" i="9"/>
  <c r="CC103" i="9" s="1"/>
  <c r="CC104" i="9" s="1"/>
  <c r="CC105" i="9" s="1"/>
  <c r="CC87" i="9"/>
  <c r="CC85" i="9"/>
  <c r="CC86" i="9"/>
  <c r="CC755" i="1"/>
  <c r="CC750" i="1"/>
  <c r="CC749" i="1"/>
  <c r="CC101" i="9"/>
  <c r="CC110" i="9"/>
  <c r="CC111" i="9" s="1"/>
  <c r="BS843" i="1"/>
  <c r="BS844" i="1" s="1"/>
  <c r="BR844" i="1"/>
  <c r="BR1031" i="1" s="1"/>
  <c r="BT843" i="1" l="1"/>
  <c r="BS1031" i="1"/>
  <c r="CC759" i="1"/>
  <c r="CC758" i="1"/>
  <c r="CC762" i="1"/>
  <c r="CD746" i="1"/>
  <c r="CD748" i="1"/>
  <c r="CD405" i="1"/>
  <c r="CD407" i="1" s="1"/>
  <c r="CD39" i="9" l="1"/>
  <c r="CD411" i="1"/>
  <c r="BU843" i="1"/>
  <c r="BT844" i="1"/>
  <c r="BT1031" i="1" s="1"/>
  <c r="CD41" i="9" l="1"/>
  <c r="CD106" i="9" s="1"/>
  <c r="CD107" i="9" s="1"/>
  <c r="CD414" i="1"/>
  <c r="CD415" i="1" s="1"/>
  <c r="BV843" i="1"/>
  <c r="BU844" i="1"/>
  <c r="BU1031" i="1" s="1"/>
  <c r="CD43" i="9" l="1"/>
  <c r="CD52" i="9"/>
  <c r="CD422" i="1"/>
  <c r="CD438" i="1"/>
  <c r="CD48" i="9" s="1"/>
  <c r="CD42" i="9"/>
  <c r="CD860" i="1"/>
  <c r="CD412" i="1"/>
  <c r="BW843" i="1"/>
  <c r="BV844" i="1"/>
  <c r="BV1031" i="1" s="1"/>
  <c r="CD433" i="1" l="1"/>
  <c r="CD53" i="9" s="1"/>
  <c r="CD82" i="9" s="1"/>
  <c r="CD979" i="1"/>
  <c r="CD130" i="9"/>
  <c r="CD92" i="9"/>
  <c r="CD93" i="9" s="1"/>
  <c r="CD116" i="9"/>
  <c r="CD428" i="1"/>
  <c r="CD424" i="1"/>
  <c r="CD431" i="1"/>
  <c r="BX843" i="1"/>
  <c r="BX844" i="1" s="1"/>
  <c r="BW844" i="1"/>
  <c r="BW1031" i="1" s="1"/>
  <c r="BY843" i="1" l="1"/>
  <c r="BY844" i="1" s="1"/>
  <c r="BY1031" i="1" s="1"/>
  <c r="BX1031" i="1"/>
  <c r="CD989" i="1"/>
  <c r="CD45" i="9"/>
  <c r="CD131" i="9" s="1"/>
  <c r="CD437" i="1"/>
  <c r="CD432" i="1" s="1"/>
  <c r="CD47" i="9" s="1"/>
  <c r="CD851" i="1"/>
  <c r="CD868" i="1" l="1"/>
  <c r="CD1014" i="1"/>
  <c r="CD1022" i="1"/>
  <c r="CD1015" i="1" l="1"/>
  <c r="CD877" i="1"/>
  <c r="CD703" i="1"/>
  <c r="CD64" i="9" l="1"/>
  <c r="CD66" i="9" s="1"/>
  <c r="CD724" i="1"/>
  <c r="CD725" i="1" s="1"/>
  <c r="CD726" i="1" s="1"/>
  <c r="CD727" i="1" s="1"/>
  <c r="CD706" i="1"/>
  <c r="CD705" i="1"/>
  <c r="CD913" i="1"/>
  <c r="CD94" i="9"/>
  <c r="CD95" i="9" s="1"/>
  <c r="CD96" i="9" s="1"/>
  <c r="CD1017" i="1"/>
  <c r="CD916" i="1" l="1"/>
  <c r="CD960" i="1"/>
  <c r="CD704" i="1"/>
  <c r="CD728" i="1"/>
  <c r="CD729" i="1" s="1"/>
  <c r="CD730" i="1" s="1"/>
  <c r="CD731" i="1" s="1"/>
  <c r="CD707" i="1"/>
  <c r="CD89" i="9"/>
  <c r="CD68" i="9"/>
  <c r="CD78" i="9"/>
  <c r="CD117" i="9"/>
  <c r="CD734" i="1" l="1"/>
  <c r="CD970" i="1"/>
  <c r="CD990" i="1" s="1"/>
  <c r="CD79" i="9"/>
  <c r="CD81" i="9" s="1"/>
  <c r="CD70" i="9"/>
  <c r="CD76" i="9" s="1"/>
  <c r="CD132" i="9" s="1"/>
  <c r="CD118" i="9"/>
  <c r="CD921" i="1"/>
  <c r="CE915" i="1"/>
  <c r="CD99" i="9" l="1"/>
  <c r="CD100" i="9" s="1"/>
  <c r="CD1019" i="1"/>
  <c r="CD7" i="9"/>
  <c r="CD11" i="9" s="1"/>
  <c r="CD1024" i="1"/>
  <c r="CE743" i="1"/>
  <c r="CD739" i="1"/>
  <c r="CE404" i="1" l="1"/>
  <c r="CE745" i="1"/>
  <c r="CD102" i="9"/>
  <c r="CD103" i="9" s="1"/>
  <c r="CD104" i="9" s="1"/>
  <c r="CD105" i="9" s="1"/>
  <c r="CD87" i="9"/>
  <c r="CD85" i="9"/>
  <c r="CD86" i="9"/>
  <c r="CD755" i="1"/>
  <c r="CD101" i="9"/>
  <c r="CD110" i="9"/>
  <c r="CD111" i="9" s="1"/>
  <c r="CE746" i="1" l="1"/>
  <c r="CE748" i="1"/>
  <c r="CE405" i="1"/>
  <c r="CE407" i="1" s="1"/>
  <c r="CE39" i="9" l="1"/>
  <c r="CE411" i="1"/>
  <c r="CE41" i="9" l="1"/>
  <c r="CE106" i="9" s="1"/>
  <c r="CE107" i="9" s="1"/>
  <c r="CE414" i="1"/>
  <c r="CE42" i="9" l="1"/>
  <c r="CE860" i="1"/>
  <c r="CE412" i="1"/>
  <c r="CE415" i="1"/>
  <c r="CE43" i="9" l="1"/>
  <c r="CE52" i="9"/>
  <c r="CE422" i="1"/>
  <c r="CE428" i="1" s="1"/>
  <c r="CE438" i="1"/>
  <c r="CE48" i="9" s="1"/>
  <c r="CE979" i="1"/>
  <c r="CE433" i="1" l="1"/>
  <c r="CE53" i="9" s="1"/>
  <c r="CE82" i="9" s="1"/>
  <c r="CE989" i="1"/>
  <c r="CE92" i="9"/>
  <c r="CE93" i="9" s="1"/>
  <c r="CE130" i="9"/>
  <c r="CE116" i="9"/>
  <c r="CE424" i="1"/>
  <c r="CE431" i="1"/>
  <c r="CE45" i="9" l="1"/>
  <c r="CE131" i="9" s="1"/>
  <c r="CE851" i="1"/>
  <c r="CE1022" i="1" s="1"/>
  <c r="CE437" i="1"/>
  <c r="CE432" i="1" s="1"/>
  <c r="CE47" i="9" s="1"/>
  <c r="CE868" i="1" l="1"/>
  <c r="CE1014" i="1"/>
  <c r="CE1015" i="1" l="1"/>
  <c r="CE703" i="1"/>
  <c r="CE877" i="1"/>
  <c r="CE705" i="1" l="1"/>
  <c r="CE913" i="1"/>
  <c r="CE64" i="9"/>
  <c r="CE66" i="9" s="1"/>
  <c r="CE724" i="1"/>
  <c r="CE725" i="1" s="1"/>
  <c r="CE726" i="1" s="1"/>
  <c r="CE727" i="1" s="1"/>
  <c r="CE706" i="1"/>
  <c r="CE94" i="9"/>
  <c r="CE95" i="9" s="1"/>
  <c r="CE96" i="9" s="1"/>
  <c r="CE1017" i="1"/>
  <c r="CE68" i="9" l="1"/>
  <c r="CE78" i="9"/>
  <c r="CE89" i="9"/>
  <c r="CE117" i="9"/>
  <c r="CE960" i="1"/>
  <c r="CE916" i="1"/>
  <c r="CE728" i="1"/>
  <c r="CE729" i="1" s="1"/>
  <c r="CE730" i="1" s="1"/>
  <c r="CE731" i="1" s="1"/>
  <c r="CE704" i="1"/>
  <c r="CE707" i="1"/>
  <c r="CF915" i="1" l="1"/>
  <c r="CE921" i="1"/>
  <c r="CE734" i="1"/>
  <c r="CE970" i="1"/>
  <c r="CE990" i="1" s="1"/>
  <c r="CE79" i="9"/>
  <c r="CE81" i="9" s="1"/>
  <c r="CE70" i="9"/>
  <c r="CE76" i="9" s="1"/>
  <c r="CE132" i="9" s="1"/>
  <c r="CE118" i="9"/>
  <c r="CE99" i="9" l="1"/>
  <c r="CE100" i="9" s="1"/>
  <c r="CE1019" i="1"/>
  <c r="CE7" i="9"/>
  <c r="CE11" i="9" s="1"/>
  <c r="CE1024" i="1"/>
  <c r="CF743" i="1"/>
  <c r="CE739" i="1"/>
  <c r="CE102" i="9" l="1"/>
  <c r="CE103" i="9" s="1"/>
  <c r="CE104" i="9" s="1"/>
  <c r="CE105" i="9" s="1"/>
  <c r="CE86" i="9"/>
  <c r="CE87" i="9"/>
  <c r="CE85" i="9"/>
  <c r="CE755" i="1"/>
  <c r="CF404" i="1"/>
  <c r="CF745" i="1"/>
  <c r="CE101" i="9"/>
  <c r="CE110" i="9"/>
  <c r="CE111" i="9" s="1"/>
  <c r="CF746" i="1" l="1"/>
  <c r="CF748" i="1"/>
  <c r="CF405" i="1"/>
  <c r="CF407" i="1" s="1"/>
  <c r="CF39" i="9" l="1"/>
  <c r="CF411" i="1"/>
  <c r="CF41" i="9" l="1"/>
  <c r="CF106" i="9" s="1"/>
  <c r="CF107" i="9" s="1"/>
  <c r="CF414" i="1"/>
  <c r="CF415" i="1" s="1"/>
  <c r="CF42" i="9" l="1"/>
  <c r="CF860" i="1"/>
  <c r="CF412" i="1"/>
  <c r="CF43" i="9"/>
  <c r="CF52" i="9"/>
  <c r="CF438" i="1"/>
  <c r="CF48" i="9" s="1"/>
  <c r="CF422" i="1"/>
  <c r="CF433" i="1" l="1"/>
  <c r="CF53" i="9" s="1"/>
  <c r="CF82" i="9" s="1"/>
  <c r="CF130" i="9"/>
  <c r="CF92" i="9"/>
  <c r="CF93" i="9" s="1"/>
  <c r="CF116" i="9"/>
  <c r="CF428" i="1"/>
  <c r="CF424" i="1"/>
  <c r="CF431" i="1"/>
  <c r="CF979" i="1"/>
  <c r="CF45" i="9" l="1"/>
  <c r="CF131" i="9" s="1"/>
  <c r="CF851" i="1"/>
  <c r="CF1022" i="1" s="1"/>
  <c r="CF437" i="1"/>
  <c r="CF432" i="1" s="1"/>
  <c r="CF47" i="9" s="1"/>
  <c r="CF989" i="1"/>
  <c r="CF868" i="1" l="1"/>
  <c r="CF1014" i="1"/>
  <c r="CF1015" i="1" l="1"/>
  <c r="CF877" i="1"/>
  <c r="CF703" i="1"/>
  <c r="CF64" i="9" l="1"/>
  <c r="CF66" i="9" s="1"/>
  <c r="CF724" i="1"/>
  <c r="CF725" i="1" s="1"/>
  <c r="CF726" i="1" s="1"/>
  <c r="CF727" i="1" s="1"/>
  <c r="CF706" i="1"/>
  <c r="CF705" i="1"/>
  <c r="CF913" i="1"/>
  <c r="CF94" i="9"/>
  <c r="CF95" i="9" s="1"/>
  <c r="CF96" i="9" s="1"/>
  <c r="CF1017" i="1"/>
  <c r="CF960" i="1" l="1"/>
  <c r="CF916" i="1"/>
  <c r="CF68" i="9"/>
  <c r="CF78" i="9"/>
  <c r="CF89" i="9"/>
  <c r="CF117" i="9"/>
  <c r="CF704" i="1"/>
  <c r="CF728" i="1"/>
  <c r="CF729" i="1" s="1"/>
  <c r="CF730" i="1" s="1"/>
  <c r="CF731" i="1" s="1"/>
  <c r="CF707" i="1"/>
  <c r="CG915" i="1" l="1"/>
  <c r="CF921" i="1"/>
  <c r="CF79" i="9"/>
  <c r="CF81" i="9" s="1"/>
  <c r="CF70" i="9"/>
  <c r="CF76" i="9" s="1"/>
  <c r="CF132" i="9" s="1"/>
  <c r="CF118" i="9"/>
  <c r="CF734" i="1"/>
  <c r="CF970" i="1"/>
  <c r="CF990" i="1" s="1"/>
  <c r="CF7" i="9" l="1"/>
  <c r="CF11" i="9" s="1"/>
  <c r="CF1024" i="1"/>
  <c r="CG743" i="1"/>
  <c r="CF739" i="1"/>
  <c r="CF99" i="9"/>
  <c r="CF100" i="9" s="1"/>
  <c r="CF1019" i="1"/>
  <c r="CF102" i="9" l="1"/>
  <c r="CF103" i="9" s="1"/>
  <c r="CF104" i="9" s="1"/>
  <c r="CF105" i="9" s="1"/>
  <c r="CF87" i="9"/>
  <c r="CF86" i="9"/>
  <c r="CF85" i="9"/>
  <c r="CF755" i="1"/>
  <c r="CG404" i="1"/>
  <c r="CG745" i="1"/>
  <c r="CH743" i="1"/>
  <c r="CF110" i="9"/>
  <c r="CF111" i="9" s="1"/>
  <c r="CF101" i="9"/>
  <c r="CG746" i="1" l="1"/>
  <c r="CG748" i="1"/>
  <c r="CH745" i="1"/>
  <c r="CG405" i="1"/>
  <c r="CG407" i="1" s="1"/>
  <c r="CH404" i="1"/>
  <c r="CH405" i="1" s="1"/>
  <c r="CH407" i="1" s="1"/>
  <c r="CG39" i="9" l="1"/>
  <c r="CG411" i="1"/>
  <c r="CH39" i="9"/>
  <c r="CH411" i="1"/>
  <c r="CH746" i="1"/>
  <c r="CH748" i="1"/>
  <c r="CG41" i="9" l="1"/>
  <c r="CG106" i="9" s="1"/>
  <c r="CG107" i="9" s="1"/>
  <c r="CG414" i="1"/>
  <c r="CG415" i="1" s="1"/>
  <c r="CH41" i="9"/>
  <c r="CH106" i="9" s="1"/>
  <c r="CH107" i="9" s="1"/>
  <c r="CG43" i="9" l="1"/>
  <c r="CG52" i="9"/>
  <c r="CG438" i="1"/>
  <c r="CG48" i="9" s="1"/>
  <c r="CG422" i="1"/>
  <c r="CG42" i="9"/>
  <c r="CG860" i="1"/>
  <c r="CG412" i="1"/>
  <c r="CH414" i="1"/>
  <c r="CG433" i="1" l="1"/>
  <c r="CG53" i="9" s="1"/>
  <c r="CG82" i="9" s="1"/>
  <c r="CG431" i="1"/>
  <c r="CG424" i="1"/>
  <c r="CG130" i="9"/>
  <c r="CG92" i="9"/>
  <c r="CG93" i="9" s="1"/>
  <c r="CG116" i="9"/>
  <c r="CG428" i="1"/>
  <c r="CH412" i="1"/>
  <c r="CH860" i="1"/>
  <c r="CH429" i="1" s="1"/>
  <c r="CG979" i="1"/>
  <c r="CH42" i="9"/>
  <c r="CH426" i="1"/>
  <c r="CH415" i="1"/>
  <c r="CH43" i="9" l="1"/>
  <c r="CH52" i="9"/>
  <c r="CH1038" i="1"/>
  <c r="CH438" i="1"/>
  <c r="CH48" i="9" s="1"/>
  <c r="CH422" i="1"/>
  <c r="CH428" i="1" s="1"/>
  <c r="CG45" i="9"/>
  <c r="CG131" i="9" s="1"/>
  <c r="CG851" i="1"/>
  <c r="CG437" i="1"/>
  <c r="CG432" i="1" s="1"/>
  <c r="CG47" i="9" s="1"/>
  <c r="CH979" i="1"/>
  <c r="CG989" i="1"/>
  <c r="CI114" i="9" l="1"/>
  <c r="CI115" i="9"/>
  <c r="CH431" i="1"/>
  <c r="CH424" i="1"/>
  <c r="CH433" i="1"/>
  <c r="CH130" i="9"/>
  <c r="CH92" i="9"/>
  <c r="CH93" i="9" s="1"/>
  <c r="CH116" i="9"/>
  <c r="CH989" i="1"/>
  <c r="CG868" i="1"/>
  <c r="CH851" i="1"/>
  <c r="CH868" i="1" s="1"/>
  <c r="CG1014" i="1"/>
  <c r="CG1022" i="1"/>
  <c r="CH53" i="9" l="1"/>
  <c r="CH757" i="1"/>
  <c r="CG877" i="1"/>
  <c r="CG703" i="1"/>
  <c r="CH1039" i="1"/>
  <c r="CH45" i="9"/>
  <c r="CH131" i="9" s="1"/>
  <c r="CH1022" i="1"/>
  <c r="CH1037" i="1"/>
  <c r="CH437" i="1"/>
  <c r="CH432" i="1" s="1"/>
  <c r="CH47" i="9" s="1"/>
  <c r="CH1014" i="1"/>
  <c r="CG1015" i="1"/>
  <c r="CH877" i="1"/>
  <c r="CH703" i="1"/>
  <c r="CG94" i="9" l="1"/>
  <c r="CG95" i="9" s="1"/>
  <c r="CG96" i="9" s="1"/>
  <c r="CG1017" i="1"/>
  <c r="CH1015" i="1"/>
  <c r="CH64" i="9"/>
  <c r="CH66" i="9" s="1"/>
  <c r="CH706" i="1"/>
  <c r="CH724" i="1"/>
  <c r="CH725" i="1" s="1"/>
  <c r="CH726" i="1" s="1"/>
  <c r="CH727" i="1" s="1"/>
  <c r="CH705" i="1"/>
  <c r="CH913" i="1"/>
  <c r="CH916" i="1" s="1"/>
  <c r="CG64" i="9"/>
  <c r="CG66" i="9" s="1"/>
  <c r="CG724" i="1"/>
  <c r="CG725" i="1" s="1"/>
  <c r="CG726" i="1" s="1"/>
  <c r="CG727" i="1" s="1"/>
  <c r="CG706" i="1"/>
  <c r="CG705" i="1"/>
  <c r="CG913" i="1"/>
  <c r="CH1040" i="1"/>
  <c r="CH82" i="9"/>
  <c r="CH121" i="9"/>
  <c r="CH78" i="9" l="1"/>
  <c r="CH124" i="9" s="1"/>
  <c r="CH89" i="9"/>
  <c r="CH68" i="9"/>
  <c r="CH117" i="9"/>
  <c r="CH728" i="1"/>
  <c r="CH704" i="1"/>
  <c r="CH707" i="1"/>
  <c r="CH760" i="1" s="1"/>
  <c r="CG704" i="1"/>
  <c r="CG707" i="1"/>
  <c r="CG728" i="1"/>
  <c r="CG729" i="1" s="1"/>
  <c r="CG730" i="1" s="1"/>
  <c r="CG731" i="1" s="1"/>
  <c r="CG78" i="9"/>
  <c r="CG68" i="9"/>
  <c r="CG89" i="9"/>
  <c r="CG117" i="9"/>
  <c r="CI915" i="1"/>
  <c r="CG960" i="1"/>
  <c r="CG916" i="1"/>
  <c r="CH94" i="9"/>
  <c r="CH95" i="9" s="1"/>
  <c r="CH96" i="9" s="1"/>
  <c r="CH1017" i="1"/>
  <c r="CG921" i="1" l="1"/>
  <c r="CH125" i="9"/>
  <c r="CH79" i="9"/>
  <c r="CH81" i="9" s="1"/>
  <c r="CH70" i="9"/>
  <c r="CH76" i="9" s="1"/>
  <c r="CH132" i="9" s="1"/>
  <c r="CH118" i="9"/>
  <c r="CH729" i="1"/>
  <c r="CH730" i="1" s="1"/>
  <c r="CH731" i="1" s="1"/>
  <c r="CH761" i="1"/>
  <c r="CG79" i="9"/>
  <c r="CG81" i="9" s="1"/>
  <c r="CG70" i="9"/>
  <c r="CG76" i="9" s="1"/>
  <c r="CG132" i="9" s="1"/>
  <c r="CG118" i="9"/>
  <c r="CH960" i="1"/>
  <c r="CG734" i="1"/>
  <c r="CG970" i="1"/>
  <c r="CG990" i="1" s="1"/>
  <c r="CG7" i="9" l="1"/>
  <c r="CG11" i="9" s="1"/>
  <c r="CG1024" i="1"/>
  <c r="CG739" i="1"/>
  <c r="CH744" i="1"/>
  <c r="CH734" i="1"/>
  <c r="CH970" i="1"/>
  <c r="CH990" i="1" s="1"/>
  <c r="CH921" i="1"/>
  <c r="CG99" i="9"/>
  <c r="CG100" i="9" s="1"/>
  <c r="CG1019" i="1"/>
  <c r="CH99" i="9" l="1"/>
  <c r="CH100" i="9" s="1"/>
  <c r="CH1019" i="1"/>
  <c r="CH7" i="9"/>
  <c r="CH11" i="9" s="1"/>
  <c r="CH1024" i="1"/>
  <c r="CI743" i="1"/>
  <c r="CH739" i="1"/>
  <c r="CG86" i="9"/>
  <c r="CG102" i="9"/>
  <c r="CG103" i="9" s="1"/>
  <c r="CG104" i="9" s="1"/>
  <c r="CG105" i="9" s="1"/>
  <c r="CG85" i="9"/>
  <c r="CG87" i="9"/>
  <c r="CG755" i="1"/>
  <c r="CG110" i="9"/>
  <c r="CG111" i="9" s="1"/>
  <c r="CG101" i="9"/>
  <c r="CI404" i="1" l="1"/>
  <c r="CI405" i="1" s="1"/>
  <c r="CI407" i="1" s="1"/>
  <c r="CI745" i="1"/>
  <c r="CH86" i="9"/>
  <c r="CH87" i="9"/>
  <c r="CH85" i="9"/>
  <c r="CH102" i="9"/>
  <c r="CH103" i="9" s="1"/>
  <c r="CH104" i="9" s="1"/>
  <c r="CH105" i="9" s="1"/>
  <c r="CH755" i="1"/>
  <c r="CH749" i="1"/>
  <c r="CH750" i="1"/>
  <c r="CH122" i="9"/>
  <c r="CH123" i="9"/>
  <c r="CH126" i="9"/>
  <c r="CH110" i="9"/>
  <c r="CH111" i="9" s="1"/>
  <c r="CH101" i="9"/>
  <c r="CH758" i="1" l="1"/>
  <c r="CH759" i="1"/>
  <c r="CH762" i="1"/>
  <c r="CI746" i="1"/>
  <c r="CI748" i="1"/>
  <c r="CI39" i="9"/>
  <c r="CI411" i="1"/>
  <c r="CI41" i="9" l="1"/>
  <c r="CI106" i="9" s="1"/>
  <c r="CI107" i="9" s="1"/>
  <c r="CI414" i="1"/>
  <c r="CI415" i="1" s="1"/>
  <c r="CI43" i="9" l="1"/>
  <c r="CI52" i="9"/>
  <c r="CI422" i="1"/>
  <c r="CI438" i="1"/>
  <c r="CI48" i="9" s="1"/>
  <c r="CI42" i="9"/>
  <c r="CI860" i="1"/>
  <c r="CI979" i="1" s="1"/>
  <c r="CI412" i="1"/>
  <c r="CI428" i="1" l="1"/>
  <c r="CJ114" i="9"/>
  <c r="CJ115" i="9"/>
  <c r="CI989" i="1"/>
  <c r="CI431" i="1"/>
  <c r="CI424" i="1"/>
  <c r="CI433" i="1"/>
  <c r="CI130" i="9"/>
  <c r="CI92" i="9"/>
  <c r="CI93" i="9" s="1"/>
  <c r="CI116" i="9"/>
  <c r="CI45" i="9" l="1"/>
  <c r="CI131" i="9" s="1"/>
  <c r="CI851" i="1"/>
  <c r="CI437" i="1"/>
  <c r="CI432" i="1" s="1"/>
  <c r="CI47" i="9" s="1"/>
  <c r="CI53" i="9"/>
  <c r="CI757" i="1"/>
  <c r="CI82" i="9" l="1"/>
  <c r="CI121" i="9"/>
  <c r="CI868" i="1"/>
  <c r="CI1014" i="1"/>
  <c r="CI1022" i="1"/>
  <c r="CI1015" i="1" l="1"/>
  <c r="CI877" i="1"/>
  <c r="CI703" i="1"/>
  <c r="CI64" i="9" l="1"/>
  <c r="CI66" i="9" s="1"/>
  <c r="CI706" i="1"/>
  <c r="CI724" i="1"/>
  <c r="CI725" i="1" s="1"/>
  <c r="CI726" i="1" s="1"/>
  <c r="CI727" i="1" s="1"/>
  <c r="CI705" i="1"/>
  <c r="CI913" i="1"/>
  <c r="CI94" i="9"/>
  <c r="CI95" i="9" s="1"/>
  <c r="CI96" i="9" s="1"/>
  <c r="CI1017" i="1"/>
  <c r="CI916" i="1" l="1"/>
  <c r="CI960" i="1"/>
  <c r="CI707" i="1"/>
  <c r="CI760" i="1" s="1"/>
  <c r="CI728" i="1"/>
  <c r="CI704" i="1"/>
  <c r="CI89" i="9"/>
  <c r="CI78" i="9"/>
  <c r="CI124" i="9" s="1"/>
  <c r="CI68" i="9"/>
  <c r="CI117" i="9"/>
  <c r="CI729" i="1" l="1"/>
  <c r="CI730" i="1" s="1"/>
  <c r="CI731" i="1" s="1"/>
  <c r="CI761" i="1"/>
  <c r="CI734" i="1"/>
  <c r="CI970" i="1"/>
  <c r="CI990" i="1" s="1"/>
  <c r="CI125" i="9"/>
  <c r="CI79" i="9"/>
  <c r="CI81" i="9" s="1"/>
  <c r="CI70" i="9"/>
  <c r="CI76" i="9" s="1"/>
  <c r="CI132" i="9" s="1"/>
  <c r="CI118" i="9"/>
  <c r="CI921" i="1"/>
  <c r="CJ915" i="1"/>
  <c r="CI99" i="9" l="1"/>
  <c r="CI100" i="9" s="1"/>
  <c r="CI1019" i="1"/>
  <c r="CI7" i="9"/>
  <c r="CI11" i="9" s="1"/>
  <c r="CI1024" i="1"/>
  <c r="CJ743" i="1"/>
  <c r="CI739" i="1"/>
  <c r="CJ404" i="1" l="1"/>
  <c r="CJ405" i="1" s="1"/>
  <c r="CJ407" i="1" s="1"/>
  <c r="CJ745" i="1"/>
  <c r="CI102" i="9"/>
  <c r="CI103" i="9" s="1"/>
  <c r="CI104" i="9" s="1"/>
  <c r="CI105" i="9" s="1"/>
  <c r="CI87" i="9"/>
  <c r="CI85" i="9"/>
  <c r="CI86" i="9"/>
  <c r="CI749" i="1"/>
  <c r="CI755" i="1"/>
  <c r="CI750" i="1"/>
  <c r="CI123" i="9"/>
  <c r="CI122" i="9"/>
  <c r="CI126" i="9"/>
  <c r="CI110" i="9"/>
  <c r="CI111" i="9" s="1"/>
  <c r="CI101" i="9"/>
  <c r="CI759" i="1" l="1"/>
  <c r="CI758" i="1"/>
  <c r="CI762" i="1"/>
  <c r="CJ746" i="1"/>
  <c r="CJ748" i="1"/>
  <c r="CJ39" i="9"/>
  <c r="CJ411" i="1"/>
  <c r="CJ41" i="9" l="1"/>
  <c r="CJ106" i="9" s="1"/>
  <c r="CJ107" i="9" s="1"/>
  <c r="CJ414" i="1"/>
  <c r="CJ415" i="1" s="1"/>
  <c r="CJ52" i="9" l="1"/>
  <c r="CJ43" i="9"/>
  <c r="CJ438" i="1"/>
  <c r="CJ48" i="9" s="1"/>
  <c r="CJ422" i="1"/>
  <c r="CJ42" i="9"/>
  <c r="CJ860" i="1"/>
  <c r="CJ979" i="1" s="1"/>
  <c r="CJ412" i="1"/>
  <c r="CJ428" i="1" l="1"/>
  <c r="CJ989" i="1"/>
  <c r="CJ424" i="1"/>
  <c r="CJ431" i="1"/>
  <c r="CK114" i="9"/>
  <c r="CK115" i="9"/>
  <c r="CJ433" i="1"/>
  <c r="CJ130" i="9"/>
  <c r="CJ92" i="9"/>
  <c r="CJ93" i="9" s="1"/>
  <c r="CJ116" i="9"/>
  <c r="CJ53" i="9" l="1"/>
  <c r="CJ757" i="1"/>
  <c r="CJ45" i="9"/>
  <c r="CJ131" i="9" s="1"/>
  <c r="CJ851" i="1"/>
  <c r="CJ1022" i="1" s="1"/>
  <c r="CJ437" i="1"/>
  <c r="CJ432" i="1" s="1"/>
  <c r="CJ47" i="9" s="1"/>
  <c r="CJ868" i="1" l="1"/>
  <c r="CJ1014" i="1"/>
  <c r="CJ82" i="9"/>
  <c r="CJ121" i="9"/>
  <c r="CJ1015" i="1" l="1"/>
  <c r="CJ877" i="1"/>
  <c r="CJ703" i="1"/>
  <c r="CJ64" i="9" l="1"/>
  <c r="CJ66" i="9" s="1"/>
  <c r="CJ706" i="1"/>
  <c r="CJ724" i="1"/>
  <c r="CJ725" i="1" s="1"/>
  <c r="CJ726" i="1" s="1"/>
  <c r="CJ727" i="1" s="1"/>
  <c r="CJ705" i="1"/>
  <c r="CJ913" i="1"/>
  <c r="CJ94" i="9"/>
  <c r="CJ95" i="9" s="1"/>
  <c r="CJ96" i="9" s="1"/>
  <c r="CJ1017" i="1"/>
  <c r="CJ960" i="1" l="1"/>
  <c r="CJ916" i="1"/>
  <c r="CJ707" i="1"/>
  <c r="CJ760" i="1" s="1"/>
  <c r="CJ728" i="1"/>
  <c r="CJ704" i="1"/>
  <c r="CJ78" i="9"/>
  <c r="CJ124" i="9" s="1"/>
  <c r="CJ89" i="9"/>
  <c r="CJ68" i="9"/>
  <c r="CJ117" i="9"/>
  <c r="CJ761" i="1" l="1"/>
  <c r="CJ729" i="1"/>
  <c r="CJ730" i="1" s="1"/>
  <c r="CJ731" i="1" s="1"/>
  <c r="CJ921" i="1"/>
  <c r="CK915" i="1"/>
  <c r="CJ125" i="9"/>
  <c r="CJ79" i="9"/>
  <c r="CJ81" i="9" s="1"/>
  <c r="CJ70" i="9"/>
  <c r="CJ76" i="9" s="1"/>
  <c r="CJ132" i="9" s="1"/>
  <c r="CJ118" i="9"/>
  <c r="CJ734" i="1"/>
  <c r="CJ970" i="1"/>
  <c r="CJ990" i="1" s="1"/>
  <c r="CJ99" i="9" l="1"/>
  <c r="CJ100" i="9" s="1"/>
  <c r="CJ1019" i="1"/>
  <c r="CJ7" i="9"/>
  <c r="CJ11" i="9" s="1"/>
  <c r="CJ1024" i="1"/>
  <c r="CK743" i="1"/>
  <c r="CJ739" i="1"/>
  <c r="CK404" i="1" l="1"/>
  <c r="CK405" i="1" s="1"/>
  <c r="CK407" i="1" s="1"/>
  <c r="CK745" i="1"/>
  <c r="CJ123" i="9"/>
  <c r="CJ122" i="9"/>
  <c r="CJ126" i="9"/>
  <c r="CJ101" i="9"/>
  <c r="CJ110" i="9"/>
  <c r="CJ111" i="9" s="1"/>
  <c r="CJ102" i="9"/>
  <c r="CJ103" i="9" s="1"/>
  <c r="CJ104" i="9" s="1"/>
  <c r="CJ105" i="9" s="1"/>
  <c r="CJ86" i="9"/>
  <c r="CJ85" i="9"/>
  <c r="CJ87" i="9"/>
  <c r="CJ749" i="1"/>
  <c r="CJ755" i="1"/>
  <c r="CJ750" i="1"/>
  <c r="CJ759" i="1" l="1"/>
  <c r="CJ758" i="1"/>
  <c r="CJ762" i="1"/>
  <c r="CK746" i="1"/>
  <c r="CK748" i="1"/>
  <c r="CK39" i="9"/>
  <c r="CK411" i="1"/>
  <c r="CK41" i="9" l="1"/>
  <c r="CK106" i="9" s="1"/>
  <c r="CK107" i="9" s="1"/>
  <c r="CK414" i="1"/>
  <c r="CK415" i="1" s="1"/>
  <c r="CK43" i="9" l="1"/>
  <c r="CK52" i="9"/>
  <c r="CK422" i="1"/>
  <c r="CK438" i="1"/>
  <c r="CK48" i="9" s="1"/>
  <c r="CK42" i="9"/>
  <c r="CK860" i="1"/>
  <c r="CK979" i="1" s="1"/>
  <c r="CK989" i="1" s="1"/>
  <c r="CK412" i="1"/>
  <c r="CK428" i="1" l="1"/>
  <c r="CK424" i="1"/>
  <c r="CK431" i="1"/>
  <c r="CK433" i="1"/>
  <c r="CK130" i="9"/>
  <c r="CK92" i="9"/>
  <c r="CK93" i="9" s="1"/>
  <c r="CK116" i="9"/>
  <c r="CK53" i="9" l="1"/>
  <c r="CK757" i="1"/>
  <c r="CK45" i="9"/>
  <c r="CK131" i="9" s="1"/>
  <c r="CK851" i="1"/>
  <c r="CK437" i="1"/>
  <c r="CK432" i="1" s="1"/>
  <c r="CK47" i="9" s="1"/>
  <c r="CK868" i="1" l="1"/>
  <c r="CK1014" i="1"/>
  <c r="CK1015" i="1" s="1"/>
  <c r="CK1022" i="1"/>
  <c r="CK82" i="9"/>
  <c r="CK121" i="9"/>
  <c r="CK94" i="9" l="1"/>
  <c r="CK95" i="9" s="1"/>
  <c r="CK96" i="9" s="1"/>
  <c r="CK1017" i="1"/>
  <c r="CK877" i="1"/>
  <c r="CK703" i="1"/>
  <c r="CK64" i="9" l="1"/>
  <c r="CK66" i="9" s="1"/>
  <c r="CK706" i="1"/>
  <c r="CK724" i="1"/>
  <c r="CK725" i="1" s="1"/>
  <c r="CK726" i="1" s="1"/>
  <c r="CK727" i="1" s="1"/>
  <c r="CK705" i="1"/>
  <c r="CK913" i="1"/>
  <c r="CK960" i="1" l="1"/>
  <c r="CK916" i="1"/>
  <c r="CK728" i="1"/>
  <c r="CK707" i="1"/>
  <c r="CK760" i="1" s="1"/>
  <c r="CK704" i="1"/>
  <c r="CK78" i="9"/>
  <c r="CK124" i="9" s="1"/>
  <c r="CK89" i="9"/>
  <c r="CK68" i="9"/>
  <c r="CK117" i="9"/>
  <c r="CK921" i="1" l="1"/>
  <c r="CK729" i="1"/>
  <c r="CK730" i="1" s="1"/>
  <c r="CK731" i="1" s="1"/>
  <c r="CK761" i="1"/>
  <c r="CK79" i="9"/>
  <c r="CK81" i="9" s="1"/>
  <c r="CK125" i="9"/>
  <c r="CK70" i="9"/>
  <c r="CK76" i="9" s="1"/>
  <c r="CK132" i="9" s="1"/>
  <c r="CK118" i="9"/>
  <c r="CK734" i="1"/>
  <c r="CK970" i="1"/>
  <c r="CK990" i="1" s="1"/>
  <c r="CK99" i="9" l="1"/>
  <c r="CK100" i="9" s="1"/>
  <c r="CK1019" i="1"/>
  <c r="CK7" i="9"/>
  <c r="CK11" i="9" s="1"/>
  <c r="CK1024" i="1"/>
  <c r="CK739" i="1"/>
  <c r="CK102" i="9" l="1"/>
  <c r="CK103" i="9" s="1"/>
  <c r="CK104" i="9" s="1"/>
  <c r="CK105" i="9" s="1"/>
  <c r="CK87" i="9"/>
  <c r="CK85" i="9"/>
  <c r="CK86" i="9"/>
  <c r="CK755" i="1"/>
  <c r="CK750" i="1"/>
  <c r="CK749" i="1"/>
  <c r="CK123" i="9"/>
  <c r="CK122" i="9"/>
  <c r="CK126" i="9"/>
  <c r="CK101" i="9"/>
  <c r="CK110" i="9"/>
  <c r="CK111" i="9" s="1"/>
  <c r="CK758" i="1" l="1"/>
  <c r="CK759" i="1"/>
  <c r="CK7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Author1</author>
    <author>Author2</author>
    <author>Author3</author>
    <author>Author4</author>
    <author>Author5</author>
    <author>Author6</author>
  </authors>
  <commentList>
    <comment ref="BH6" authorId="0" shapeId="0" xr:uid="{00000000-0006-0000-0100-000001000000}">
      <text>
        <r>
          <rPr>
            <b/>
            <sz val="9"/>
            <rFont val="Tahoma"/>
            <family val="2"/>
          </rPr>
          <t>Author:</t>
        </r>
        <r>
          <rPr>
            <sz val="9"/>
            <rFont val="Tahoma"/>
            <family val="2"/>
          </rPr>
          <t xml:space="preserve">
From Quarterly Revenue Trend</t>
        </r>
      </text>
    </comment>
    <comment ref="BY7" authorId="1" shapeId="0" xr:uid="{00000000-0006-0000-0100-000002000000}">
      <text>
        <r>
          <rPr>
            <b/>
            <sz val="9"/>
            <rFont val="Tahoma"/>
            <family val="2"/>
          </rPr>
          <t>Author:</t>
        </r>
        <r>
          <rPr>
            <sz val="9"/>
            <rFont val="Tahoma"/>
            <family val="2"/>
          </rPr>
          <t xml:space="preserve">
Assumption by Source</t>
        </r>
      </text>
    </comment>
    <comment ref="BY11" authorId="1" shapeId="0" xr:uid="{00000000-0006-0000-0100-000003000000}">
      <text>
        <r>
          <rPr>
            <b/>
            <sz val="9"/>
            <rFont val="Tahoma"/>
            <family val="2"/>
          </rPr>
          <t>Author:</t>
        </r>
        <r>
          <rPr>
            <sz val="9"/>
            <rFont val="Tahoma"/>
            <family val="2"/>
          </rPr>
          <t xml:space="preserve">
Assumption by Source</t>
        </r>
      </text>
    </comment>
    <comment ref="BY19" authorId="2" shapeId="0" xr:uid="{00000000-0006-0000-0100-000005000000}">
      <text>
        <r>
          <rPr>
            <b/>
            <sz val="9"/>
            <rFont val="Tahoma"/>
            <family val="2"/>
          </rPr>
          <t>Author:</t>
        </r>
        <r>
          <rPr>
            <sz val="9"/>
            <rFont val="Tahoma"/>
            <family val="2"/>
          </rPr>
          <t xml:space="preserve">
Under the previous sub-markets, Data Center compute revenue was a record $60.4 billion, up 77% from a year ago and up 18% sequentially. Data Center networking revenue was a record $14.8 billion, up 199% from a year ago and up 35% sequentially.</t>
        </r>
      </text>
    </comment>
    <comment ref="AV24" authorId="0" shapeId="0" xr:uid="{00000000-0006-0000-0100-000006000000}">
      <text>
        <r>
          <rPr>
            <b/>
            <sz val="9"/>
            <rFont val="Tahoma"/>
            <family val="2"/>
          </rPr>
          <t>Author:</t>
        </r>
        <r>
          <rPr>
            <sz val="9"/>
            <rFont val="Tahoma"/>
            <family val="2"/>
          </rPr>
          <t xml:space="preserve">
Not comparable due to acquisition</t>
        </r>
      </text>
    </comment>
    <comment ref="AW24" authorId="0" shapeId="0" xr:uid="{00000000-0006-0000-0100-000007000000}">
      <text>
        <r>
          <rPr>
            <b/>
            <sz val="9"/>
            <rFont val="Tahoma"/>
            <family val="2"/>
          </rPr>
          <t>Author:</t>
        </r>
        <r>
          <rPr>
            <sz val="9"/>
            <rFont val="Tahoma"/>
            <family val="2"/>
          </rPr>
          <t xml:space="preserve">
Not comparable due to acquisition</t>
        </r>
      </text>
    </comment>
    <comment ref="AX24" authorId="0" shapeId="0" xr:uid="{00000000-0006-0000-0100-000008000000}">
      <text>
        <r>
          <rPr>
            <b/>
            <sz val="9"/>
            <rFont val="Tahoma"/>
            <family val="2"/>
          </rPr>
          <t>Author:</t>
        </r>
        <r>
          <rPr>
            <sz val="9"/>
            <rFont val="Tahoma"/>
            <family val="2"/>
          </rPr>
          <t xml:space="preserve">
Not comparable due to acquisition</t>
        </r>
      </text>
    </comment>
    <comment ref="AY24" authorId="0" shapeId="0" xr:uid="{00000000-0006-0000-0100-000009000000}">
      <text>
        <r>
          <rPr>
            <b/>
            <sz val="9"/>
            <rFont val="Tahoma"/>
            <family val="2"/>
          </rPr>
          <t>Author:</t>
        </r>
        <r>
          <rPr>
            <sz val="9"/>
            <rFont val="Tahoma"/>
            <family val="2"/>
          </rPr>
          <t xml:space="preserve">
Not comparable due to acquisition</t>
        </r>
      </text>
    </comment>
    <comment ref="AZ24" authorId="0" shapeId="0" xr:uid="{00000000-0006-0000-0100-00000A000000}">
      <text>
        <r>
          <rPr>
            <b/>
            <sz val="9"/>
            <rFont val="Tahoma"/>
            <family val="2"/>
          </rPr>
          <t>Author:</t>
        </r>
        <r>
          <rPr>
            <sz val="9"/>
            <rFont val="Tahoma"/>
            <family val="2"/>
          </rPr>
          <t xml:space="preserve">
Not comparable due to acquisition</t>
        </r>
      </text>
    </comment>
    <comment ref="BY26" authorId="1" shapeId="0" xr:uid="{00000000-0006-0000-0100-00000A000000}">
      <text>
        <r>
          <rPr>
            <b/>
            <sz val="9"/>
            <rFont val="Tahoma"/>
            <family val="2"/>
          </rPr>
          <t>Author:</t>
        </r>
        <r>
          <rPr>
            <sz val="9"/>
            <rFont val="Tahoma"/>
            <family val="2"/>
          </rPr>
          <t xml:space="preserve">
Assumption by Source</t>
        </r>
      </text>
    </comment>
    <comment ref="BY30" authorId="1" shapeId="0" xr:uid="{00000000-0006-0000-0100-00000B000000}">
      <text>
        <r>
          <rPr>
            <b/>
            <sz val="9"/>
            <rFont val="Tahoma"/>
            <family val="2"/>
          </rPr>
          <t>Author:</t>
        </r>
        <r>
          <rPr>
            <sz val="9"/>
            <rFont val="Tahoma"/>
            <family val="2"/>
          </rPr>
          <t xml:space="preserve">
Assumption by Source</t>
        </r>
      </text>
    </comment>
    <comment ref="BR40" authorId="2" shapeId="0" xr:uid="{00000000-0006-0000-0100-00000D000000}">
      <text>
        <r>
          <rPr>
            <b/>
            <sz val="9"/>
            <rFont val="Tahoma"/>
            <family val="2"/>
          </rPr>
          <t>Author:</t>
        </r>
        <r>
          <rPr>
            <sz val="9"/>
            <rFont val="Tahoma"/>
            <family val="2"/>
          </rPr>
          <t xml:space="preserve">
We delivered $11.0 billion of Product0075 architecture revenue in the fourth quarter of fiscal 2025, the fastest product ramp in our company’s history.</t>
        </r>
      </text>
    </comment>
    <comment ref="A41" authorId="0" shapeId="0" xr:uid="{00000000-0006-0000-0100-00000E000000}">
      <text>
        <r>
          <rPr>
            <b/>
            <sz val="9"/>
            <rFont val="Tahoma"/>
            <family val="2"/>
          </rPr>
          <t>Author:</t>
        </r>
        <r>
          <rPr>
            <sz val="9"/>
            <rFont val="Tahoma"/>
            <family val="2"/>
          </rPr>
          <t xml:space="preserve">
CMP revenue is included within OEM &amp; IP Revenue.</t>
        </r>
      </text>
    </comment>
    <comment ref="AK41" authorId="0" shapeId="0" xr:uid="{00000000-0006-0000-0100-00000F000000}">
      <text>
        <r>
          <rPr>
            <b/>
            <sz val="9"/>
            <rFont val="Tahoma"/>
            <family val="2"/>
          </rPr>
          <t>Author:</t>
        </r>
        <r>
          <rPr>
            <sz val="9"/>
            <rFont val="Tahoma"/>
            <family val="2"/>
          </rPr>
          <t xml:space="preserve">
"Absence of CMP sales"</t>
        </r>
      </text>
    </comment>
    <comment ref="AY41" authorId="0" shapeId="0" xr:uid="{00000000-0006-0000-0100-000010000000}">
      <text>
        <r>
          <rPr>
            <b/>
            <sz val="9"/>
            <rFont val="Tahoma"/>
            <family val="2"/>
          </rPr>
          <t>Author:</t>
        </r>
        <r>
          <rPr>
            <sz val="9"/>
            <rFont val="Tahoma"/>
            <family val="2"/>
          </rPr>
          <t xml:space="preserve">
"Nominal amounts"</t>
        </r>
      </text>
    </comment>
    <comment ref="BE41" authorId="0" shapeId="0" xr:uid="{00000000-0006-0000-0100-000011000000}">
      <text>
        <r>
          <rPr>
            <b/>
            <sz val="9"/>
            <rFont val="Tahoma"/>
            <family val="2"/>
          </rPr>
          <t>Author:</t>
        </r>
        <r>
          <rPr>
            <sz val="9"/>
            <rFont val="Tahoma"/>
            <family val="2"/>
          </rPr>
          <t xml:space="preserve">
"Nominal amounts"</t>
        </r>
      </text>
    </comment>
    <comment ref="BF41" authorId="0" shapeId="0" xr:uid="{00000000-0006-0000-0100-000012000000}">
      <text>
        <r>
          <rPr>
            <b/>
            <sz val="9"/>
            <rFont val="Tahoma"/>
            <family val="2"/>
          </rPr>
          <t>Author:</t>
        </r>
        <r>
          <rPr>
            <sz val="9"/>
            <rFont val="Tahoma"/>
            <family val="2"/>
          </rPr>
          <t xml:space="preserve">
"Nominal amounts"</t>
        </r>
      </text>
    </comment>
    <comment ref="BG41" authorId="0" shapeId="0" xr:uid="{00000000-0006-0000-0100-000013000000}">
      <text>
        <r>
          <rPr>
            <b/>
            <sz val="9"/>
            <rFont val="Tahoma"/>
            <family val="2"/>
          </rPr>
          <t>Author:</t>
        </r>
        <r>
          <rPr>
            <sz val="9"/>
            <rFont val="Tahoma"/>
            <family val="2"/>
          </rPr>
          <t xml:space="preserve">
Cryptocurrency Mining Processor (CMP) revenue was nominal in the current quarter</t>
        </r>
      </text>
    </comment>
    <comment ref="BI41" authorId="0" shapeId="0" xr:uid="{00000000-0006-0000-0100-000014000000}">
      <text>
        <r>
          <rPr>
            <b/>
            <sz val="9"/>
            <rFont val="Tahoma"/>
            <family val="2"/>
          </rPr>
          <t>Author:</t>
        </r>
        <r>
          <rPr>
            <sz val="9"/>
            <rFont val="Tahoma"/>
            <family val="2"/>
          </rPr>
          <t xml:space="preserve">
CMP revenue was nominal in fiscal 2023</t>
        </r>
      </text>
    </comment>
    <comment ref="BJ41" authorId="0" shapeId="0" xr:uid="{00000000-0006-0000-0100-000015000000}">
      <text>
        <r>
          <rPr>
            <b/>
            <sz val="9"/>
            <rFont val="Tahoma"/>
            <family val="2"/>
          </rPr>
          <t>Author:</t>
        </r>
        <r>
          <rPr>
            <sz val="9"/>
            <rFont val="Tahoma"/>
            <family val="2"/>
          </rPr>
          <t xml:space="preserve">
Not reported</t>
        </r>
      </text>
    </comment>
    <comment ref="BK41" authorId="0" shapeId="0" xr:uid="{00000000-0006-0000-0100-000016000000}">
      <text>
        <r>
          <rPr>
            <b/>
            <sz val="9"/>
            <rFont val="Tahoma"/>
            <family val="2"/>
          </rPr>
          <t>Author:</t>
        </r>
        <r>
          <rPr>
            <sz val="9"/>
            <rFont val="Tahoma"/>
            <family val="2"/>
          </rPr>
          <t xml:space="preserve">
Not reported.</t>
        </r>
      </text>
    </comment>
    <comment ref="P117" authorId="0" shapeId="0" xr:uid="{00000000-0006-0000-0100-000017000000}">
      <text>
        <r>
          <rPr>
            <b/>
            <sz val="9"/>
            <rFont val="Tahoma"/>
            <family val="2"/>
          </rPr>
          <t>Author:</t>
        </r>
        <r>
          <rPr>
            <sz val="9"/>
            <rFont val="Tahoma"/>
            <family val="2"/>
          </rPr>
          <t xml:space="preserve">
Backed out. Reported as 164.</t>
        </r>
      </text>
    </comment>
    <comment ref="AE117" authorId="0" shapeId="0" xr:uid="{00000000-0006-0000-0100-000018000000}">
      <text>
        <r>
          <rPr>
            <b/>
            <sz val="9"/>
            <rFont val="Tahoma"/>
            <family val="2"/>
          </rPr>
          <t>Author:</t>
        </r>
        <r>
          <rPr>
            <sz val="9"/>
            <rFont val="Tahoma"/>
            <family val="2"/>
          </rPr>
          <t xml:space="preserve">
Backed out. Reported as 118</t>
        </r>
      </text>
    </comment>
    <comment ref="AT117" authorId="0" shapeId="0" xr:uid="{00000000-0006-0000-0100-000019000000}">
      <text>
        <r>
          <rPr>
            <b/>
            <sz val="9"/>
            <rFont val="Tahoma"/>
            <family val="2"/>
          </rPr>
          <t>Author:</t>
        </r>
        <r>
          <rPr>
            <sz val="9"/>
            <rFont val="Tahoma"/>
            <family val="2"/>
          </rPr>
          <t xml:space="preserve">
Backed out. Reported as 355.</t>
        </r>
      </text>
    </comment>
    <comment ref="AU122" authorId="0" shapeId="0" xr:uid="{00000000-0006-0000-0100-00001A000000}">
      <text>
        <r>
          <rPr>
            <b/>
            <sz val="9"/>
            <rFont val="Tahoma"/>
            <family val="2"/>
          </rPr>
          <t>Author:</t>
        </r>
        <r>
          <rPr>
            <sz val="9"/>
            <rFont val="Tahoma"/>
            <family val="2"/>
          </rPr>
          <t xml:space="preserve">
Backed out</t>
        </r>
      </text>
    </comment>
    <comment ref="C123" authorId="0" shapeId="0" xr:uid="{00000000-0006-0000-0100-00001B000000}">
      <text>
        <r>
          <rPr>
            <b/>
            <sz val="9"/>
            <rFont val="Tahoma"/>
            <family val="2"/>
          </rPr>
          <t>Author:</t>
        </r>
        <r>
          <rPr>
            <sz val="9"/>
            <rFont val="Tahoma"/>
            <family val="2"/>
          </rPr>
          <t xml:space="preserve">
Estimated, not reported.</t>
        </r>
      </text>
    </comment>
    <comment ref="D123" authorId="0" shapeId="0" xr:uid="{00000000-0006-0000-0100-00001C000000}">
      <text>
        <r>
          <rPr>
            <b/>
            <sz val="9"/>
            <rFont val="Tahoma"/>
            <family val="2"/>
          </rPr>
          <t>Author:</t>
        </r>
        <r>
          <rPr>
            <sz val="9"/>
            <rFont val="Tahoma"/>
            <family val="2"/>
          </rPr>
          <t xml:space="preserve">
Estimated, not reported.</t>
        </r>
      </text>
    </comment>
    <comment ref="E123" authorId="0" shapeId="0" xr:uid="{00000000-0006-0000-0100-00001D000000}">
      <text>
        <r>
          <rPr>
            <b/>
            <sz val="9"/>
            <rFont val="Tahoma"/>
            <family val="2"/>
          </rPr>
          <t>Author:</t>
        </r>
        <r>
          <rPr>
            <sz val="9"/>
            <rFont val="Tahoma"/>
            <family val="2"/>
          </rPr>
          <t xml:space="preserve">
Estimated, not reported.</t>
        </r>
      </text>
    </comment>
    <comment ref="F123" authorId="0" shapeId="0" xr:uid="{00000000-0006-0000-0100-00001E000000}">
      <text>
        <r>
          <rPr>
            <b/>
            <sz val="9"/>
            <rFont val="Tahoma"/>
            <family val="2"/>
          </rPr>
          <t>Author:</t>
        </r>
        <r>
          <rPr>
            <sz val="9"/>
            <rFont val="Tahoma"/>
            <family val="2"/>
          </rPr>
          <t xml:space="preserve">
Estimated, not reported.</t>
        </r>
      </text>
    </comment>
    <comment ref="G123" authorId="0" shapeId="0" xr:uid="{00000000-0006-0000-0100-00001F000000}">
      <text>
        <r>
          <rPr>
            <b/>
            <sz val="9"/>
            <rFont val="Tahoma"/>
            <family val="2"/>
          </rPr>
          <t>Author:</t>
        </r>
        <r>
          <rPr>
            <sz val="9"/>
            <rFont val="Tahoma"/>
            <family val="2"/>
          </rPr>
          <t xml:space="preserve">
Estimated, not reported.</t>
        </r>
      </text>
    </comment>
    <comment ref="H123" authorId="0" shapeId="0" xr:uid="{00000000-0006-0000-0100-000020000000}">
      <text>
        <r>
          <rPr>
            <b/>
            <sz val="9"/>
            <rFont val="Tahoma"/>
            <family val="2"/>
          </rPr>
          <t>Author:</t>
        </r>
        <r>
          <rPr>
            <sz val="9"/>
            <rFont val="Tahoma"/>
            <family val="2"/>
          </rPr>
          <t xml:space="preserve">
Estimated, not reported.</t>
        </r>
      </text>
    </comment>
    <comment ref="I123" authorId="0" shapeId="0" xr:uid="{00000000-0006-0000-0100-000021000000}">
      <text>
        <r>
          <rPr>
            <b/>
            <sz val="9"/>
            <rFont val="Tahoma"/>
            <family val="2"/>
          </rPr>
          <t>Author:</t>
        </r>
        <r>
          <rPr>
            <sz val="9"/>
            <rFont val="Tahoma"/>
            <family val="2"/>
          </rPr>
          <t xml:space="preserve">
Estimated, not reported.</t>
        </r>
      </text>
    </comment>
    <comment ref="J123" authorId="0" shapeId="0" xr:uid="{00000000-0006-0000-0100-000022000000}">
      <text>
        <r>
          <rPr>
            <b/>
            <sz val="9"/>
            <rFont val="Tahoma"/>
            <family val="2"/>
          </rPr>
          <t>Author:</t>
        </r>
        <r>
          <rPr>
            <sz val="9"/>
            <rFont val="Tahoma"/>
            <family val="2"/>
          </rPr>
          <t xml:space="preserve">
Estimated, not reported.</t>
        </r>
      </text>
    </comment>
    <comment ref="L123" authorId="0" shapeId="0" xr:uid="{00000000-0006-0000-0100-000023000000}">
      <text>
        <r>
          <rPr>
            <b/>
            <sz val="9"/>
            <rFont val="Tahoma"/>
            <family val="2"/>
          </rPr>
          <t>Author:</t>
        </r>
        <r>
          <rPr>
            <sz val="9"/>
            <rFont val="Tahoma"/>
            <family val="2"/>
          </rPr>
          <t xml:space="preserve">
Estimated, not reported.</t>
        </r>
      </text>
    </comment>
    <comment ref="M123" authorId="0" shapeId="0" xr:uid="{00000000-0006-0000-0100-000024000000}">
      <text>
        <r>
          <rPr>
            <b/>
            <sz val="9"/>
            <rFont val="Tahoma"/>
            <family val="2"/>
          </rPr>
          <t>Author:</t>
        </r>
        <r>
          <rPr>
            <sz val="9"/>
            <rFont val="Tahoma"/>
            <family val="2"/>
          </rPr>
          <t xml:space="preserve">
Estimated, not reported.</t>
        </r>
      </text>
    </comment>
    <comment ref="N123" authorId="0" shapeId="0" xr:uid="{00000000-0006-0000-0100-000025000000}">
      <text>
        <r>
          <rPr>
            <b/>
            <sz val="9"/>
            <rFont val="Tahoma"/>
            <family val="2"/>
          </rPr>
          <t>Author:</t>
        </r>
        <r>
          <rPr>
            <sz val="9"/>
            <rFont val="Tahoma"/>
            <family val="2"/>
          </rPr>
          <t xml:space="preserve">
Estimated, not reported.</t>
        </r>
      </text>
    </comment>
    <comment ref="O123" authorId="0" shapeId="0" xr:uid="{00000000-0006-0000-0100-000026000000}">
      <text>
        <r>
          <rPr>
            <b/>
            <sz val="9"/>
            <rFont val="Tahoma"/>
            <family val="2"/>
          </rPr>
          <t>Author:</t>
        </r>
        <r>
          <rPr>
            <sz val="9"/>
            <rFont val="Tahoma"/>
            <family val="2"/>
          </rPr>
          <t xml:space="preserve">
Estimated, not reported.</t>
        </r>
      </text>
    </comment>
    <comment ref="Q123" authorId="0" shapeId="0" xr:uid="{00000000-0006-0000-0100-000027000000}">
      <text>
        <r>
          <rPr>
            <b/>
            <sz val="9"/>
            <rFont val="Tahoma"/>
            <family val="2"/>
          </rPr>
          <t>Author:</t>
        </r>
        <r>
          <rPr>
            <sz val="9"/>
            <rFont val="Tahoma"/>
            <family val="2"/>
          </rPr>
          <t xml:space="preserve">
Estimated, not reported.</t>
        </r>
      </text>
    </comment>
    <comment ref="R123" authorId="0" shapeId="0" xr:uid="{00000000-0006-0000-0100-000028000000}">
      <text>
        <r>
          <rPr>
            <b/>
            <sz val="9"/>
            <rFont val="Tahoma"/>
            <family val="2"/>
          </rPr>
          <t>Author:</t>
        </r>
        <r>
          <rPr>
            <sz val="9"/>
            <rFont val="Tahoma"/>
            <family val="2"/>
          </rPr>
          <t xml:space="preserve">
Estimated, not reported.</t>
        </r>
      </text>
    </comment>
    <comment ref="S123" authorId="0" shapeId="0" xr:uid="{00000000-0006-0000-0100-000029000000}">
      <text>
        <r>
          <rPr>
            <b/>
            <sz val="9"/>
            <rFont val="Tahoma"/>
            <family val="2"/>
          </rPr>
          <t>Author:</t>
        </r>
        <r>
          <rPr>
            <sz val="9"/>
            <rFont val="Tahoma"/>
            <family val="2"/>
          </rPr>
          <t xml:space="preserve">
Estimated, not reported.</t>
        </r>
      </text>
    </comment>
    <comment ref="T123" authorId="0" shapeId="0" xr:uid="{00000000-0006-0000-0100-00002A000000}">
      <text>
        <r>
          <rPr>
            <b/>
            <sz val="9"/>
            <rFont val="Tahoma"/>
            <family val="2"/>
          </rPr>
          <t>Author:</t>
        </r>
        <r>
          <rPr>
            <sz val="9"/>
            <rFont val="Tahoma"/>
            <family val="2"/>
          </rPr>
          <t xml:space="preserve">
Estimated, not reported.</t>
        </r>
      </text>
    </comment>
    <comment ref="V123" authorId="0" shapeId="0" xr:uid="{00000000-0006-0000-0100-00002B000000}">
      <text>
        <r>
          <rPr>
            <b/>
            <sz val="9"/>
            <rFont val="Tahoma"/>
            <family val="2"/>
          </rPr>
          <t>Author:</t>
        </r>
        <r>
          <rPr>
            <sz val="9"/>
            <rFont val="Tahoma"/>
            <family val="2"/>
          </rPr>
          <t xml:space="preserve">
Estimated, not reported.</t>
        </r>
      </text>
    </comment>
    <comment ref="W123" authorId="0" shapeId="0" xr:uid="{00000000-0006-0000-0100-00002C000000}">
      <text>
        <r>
          <rPr>
            <b/>
            <sz val="9"/>
            <rFont val="Tahoma"/>
            <family val="2"/>
          </rPr>
          <t>Author:</t>
        </r>
        <r>
          <rPr>
            <sz val="9"/>
            <rFont val="Tahoma"/>
            <family val="2"/>
          </rPr>
          <t xml:space="preserve">
Estimated, not reported.</t>
        </r>
      </text>
    </comment>
    <comment ref="X123" authorId="0" shapeId="0" xr:uid="{00000000-0006-0000-0100-00002D000000}">
      <text>
        <r>
          <rPr>
            <b/>
            <sz val="9"/>
            <rFont val="Tahoma"/>
            <family val="2"/>
          </rPr>
          <t>Author:</t>
        </r>
        <r>
          <rPr>
            <sz val="9"/>
            <rFont val="Tahoma"/>
            <family val="2"/>
          </rPr>
          <t xml:space="preserve">
Estimated, not reported.</t>
        </r>
      </text>
    </comment>
    <comment ref="Y123" authorId="0" shapeId="0" xr:uid="{00000000-0006-0000-0100-00002E000000}">
      <text>
        <r>
          <rPr>
            <b/>
            <sz val="9"/>
            <rFont val="Tahoma"/>
            <family val="2"/>
          </rPr>
          <t>Author:</t>
        </r>
        <r>
          <rPr>
            <sz val="9"/>
            <rFont val="Tahoma"/>
            <family val="2"/>
          </rPr>
          <t xml:space="preserve">
Estimated, not reported.</t>
        </r>
      </text>
    </comment>
    <comment ref="AA123" authorId="0" shapeId="0" xr:uid="{00000000-0006-0000-0100-00002F000000}">
      <text>
        <r>
          <rPr>
            <b/>
            <sz val="9"/>
            <rFont val="Tahoma"/>
            <family val="2"/>
          </rPr>
          <t>Author:</t>
        </r>
        <r>
          <rPr>
            <sz val="9"/>
            <rFont val="Tahoma"/>
            <family val="2"/>
          </rPr>
          <t xml:space="preserve">
Estimated, not reported.</t>
        </r>
      </text>
    </comment>
    <comment ref="AB123" authorId="0" shapeId="0" xr:uid="{00000000-0006-0000-0100-000030000000}">
      <text>
        <r>
          <rPr>
            <b/>
            <sz val="9"/>
            <rFont val="Tahoma"/>
            <family val="2"/>
          </rPr>
          <t>Author:</t>
        </r>
        <r>
          <rPr>
            <sz val="9"/>
            <rFont val="Tahoma"/>
            <family val="2"/>
          </rPr>
          <t xml:space="preserve">
Estimated, not reported.</t>
        </r>
      </text>
    </comment>
    <comment ref="AC123" authorId="0" shapeId="0" xr:uid="{00000000-0006-0000-0100-000031000000}">
      <text>
        <r>
          <rPr>
            <b/>
            <sz val="9"/>
            <rFont val="Tahoma"/>
            <family val="2"/>
          </rPr>
          <t>Author:</t>
        </r>
        <r>
          <rPr>
            <sz val="9"/>
            <rFont val="Tahoma"/>
            <family val="2"/>
          </rPr>
          <t xml:space="preserve">
Estimated, not reported.</t>
        </r>
      </text>
    </comment>
    <comment ref="AD123" authorId="0" shapeId="0" xr:uid="{00000000-0006-0000-0100-000032000000}">
      <text>
        <r>
          <rPr>
            <b/>
            <sz val="9"/>
            <rFont val="Tahoma"/>
            <family val="2"/>
          </rPr>
          <t>Author:</t>
        </r>
        <r>
          <rPr>
            <sz val="9"/>
            <rFont val="Tahoma"/>
            <family val="2"/>
          </rPr>
          <t xml:space="preserve">
Estimated, not reported.</t>
        </r>
      </text>
    </comment>
    <comment ref="AF123" authorId="0" shapeId="0" xr:uid="{00000000-0006-0000-0100-000033000000}">
      <text>
        <r>
          <rPr>
            <b/>
            <sz val="9"/>
            <rFont val="Tahoma"/>
            <family val="2"/>
          </rPr>
          <t>Author:</t>
        </r>
        <r>
          <rPr>
            <sz val="9"/>
            <rFont val="Tahoma"/>
            <family val="2"/>
          </rPr>
          <t xml:space="preserve">
Estimated, not reported.</t>
        </r>
      </text>
    </comment>
    <comment ref="AG123" authorId="0" shapeId="0" xr:uid="{00000000-0006-0000-0100-000034000000}">
      <text>
        <r>
          <rPr>
            <b/>
            <sz val="9"/>
            <rFont val="Tahoma"/>
            <family val="2"/>
          </rPr>
          <t>Author:</t>
        </r>
        <r>
          <rPr>
            <sz val="9"/>
            <rFont val="Tahoma"/>
            <family val="2"/>
          </rPr>
          <t xml:space="preserve">
Estimated, not reported.</t>
        </r>
      </text>
    </comment>
    <comment ref="AH123" authorId="0" shapeId="0" xr:uid="{00000000-0006-0000-0100-000035000000}">
      <text>
        <r>
          <rPr>
            <b/>
            <sz val="9"/>
            <rFont val="Tahoma"/>
            <family val="2"/>
          </rPr>
          <t>Author:</t>
        </r>
        <r>
          <rPr>
            <sz val="9"/>
            <rFont val="Tahoma"/>
            <family val="2"/>
          </rPr>
          <t xml:space="preserve">
Estimated, not reported.</t>
        </r>
      </text>
    </comment>
    <comment ref="AI123" authorId="0" shapeId="0" xr:uid="{00000000-0006-0000-0100-000036000000}">
      <text>
        <r>
          <rPr>
            <b/>
            <sz val="9"/>
            <rFont val="Tahoma"/>
            <family val="2"/>
          </rPr>
          <t>Author:</t>
        </r>
        <r>
          <rPr>
            <sz val="9"/>
            <rFont val="Tahoma"/>
            <family val="2"/>
          </rPr>
          <t xml:space="preserve">
Estimated, not reported.</t>
        </r>
      </text>
    </comment>
    <comment ref="AK123" authorId="0" shapeId="0" xr:uid="{00000000-0006-0000-0100-000037000000}">
      <text>
        <r>
          <rPr>
            <b/>
            <sz val="9"/>
            <rFont val="Tahoma"/>
            <family val="2"/>
          </rPr>
          <t>Author:</t>
        </r>
        <r>
          <rPr>
            <sz val="9"/>
            <rFont val="Tahoma"/>
            <family val="2"/>
          </rPr>
          <t xml:space="preserve">
Estimated, not reported.</t>
        </r>
      </text>
    </comment>
    <comment ref="AL123" authorId="0" shapeId="0" xr:uid="{00000000-0006-0000-0100-000038000000}">
      <text>
        <r>
          <rPr>
            <b/>
            <sz val="9"/>
            <rFont val="Tahoma"/>
            <family val="2"/>
          </rPr>
          <t>Author:</t>
        </r>
        <r>
          <rPr>
            <sz val="9"/>
            <rFont val="Tahoma"/>
            <family val="2"/>
          </rPr>
          <t xml:space="preserve">
Estimated, not reported.</t>
        </r>
      </text>
    </comment>
    <comment ref="AM123" authorId="0" shapeId="0" xr:uid="{00000000-0006-0000-0100-000039000000}">
      <text>
        <r>
          <rPr>
            <b/>
            <sz val="9"/>
            <rFont val="Tahoma"/>
            <family val="2"/>
          </rPr>
          <t>Author:</t>
        </r>
        <r>
          <rPr>
            <sz val="9"/>
            <rFont val="Tahoma"/>
            <family val="2"/>
          </rPr>
          <t xml:space="preserve">
Estimated, not reported.</t>
        </r>
      </text>
    </comment>
    <comment ref="AN123" authorId="0" shapeId="0" xr:uid="{00000000-0006-0000-0100-00003A000000}">
      <text>
        <r>
          <rPr>
            <b/>
            <sz val="9"/>
            <rFont val="Tahoma"/>
            <family val="2"/>
          </rPr>
          <t>Author:</t>
        </r>
        <r>
          <rPr>
            <sz val="9"/>
            <rFont val="Tahoma"/>
            <family val="2"/>
          </rPr>
          <t xml:space="preserve">
Estimated, not reported.</t>
        </r>
      </text>
    </comment>
    <comment ref="AO123" authorId="0" shapeId="0" xr:uid="{00000000-0006-0000-0100-00003B000000}">
      <text>
        <r>
          <rPr>
            <b/>
            <sz val="9"/>
            <rFont val="Tahoma"/>
            <family val="2"/>
          </rPr>
          <t>Author:</t>
        </r>
        <r>
          <rPr>
            <sz val="9"/>
            <rFont val="Tahoma"/>
            <family val="2"/>
          </rPr>
          <t xml:space="preserve">
Estimated, not reported.</t>
        </r>
      </text>
    </comment>
    <comment ref="AP123" authorId="0" shapeId="0" xr:uid="{00000000-0006-0000-0100-00003C000000}">
      <text>
        <r>
          <rPr>
            <b/>
            <sz val="9"/>
            <rFont val="Tahoma"/>
            <family val="2"/>
          </rPr>
          <t>Author:</t>
        </r>
        <r>
          <rPr>
            <sz val="9"/>
            <rFont val="Tahoma"/>
            <family val="2"/>
          </rPr>
          <t xml:space="preserve">
Estimated, not reported.</t>
        </r>
      </text>
    </comment>
    <comment ref="AQ123" authorId="0" shapeId="0" xr:uid="{00000000-0006-0000-0100-00003D000000}">
      <text>
        <r>
          <rPr>
            <b/>
            <sz val="9"/>
            <rFont val="Tahoma"/>
            <family val="2"/>
          </rPr>
          <t>Author:</t>
        </r>
        <r>
          <rPr>
            <sz val="9"/>
            <rFont val="Tahoma"/>
            <family val="2"/>
          </rPr>
          <t xml:space="preserve">
Estimated, not reported.</t>
        </r>
      </text>
    </comment>
    <comment ref="AU123" authorId="0" shapeId="0" xr:uid="{00000000-0006-0000-0100-00003E000000}">
      <text>
        <r>
          <rPr>
            <b/>
            <sz val="9"/>
            <rFont val="Tahoma"/>
            <family val="2"/>
          </rPr>
          <t>Author:</t>
        </r>
        <r>
          <rPr>
            <sz val="9"/>
            <rFont val="Tahoma"/>
            <family val="2"/>
          </rPr>
          <t xml:space="preserve">
Estimated, not reported.</t>
        </r>
      </text>
    </comment>
    <comment ref="AJ128" authorId="0" shapeId="0" xr:uid="{00000000-0006-0000-0100-00003F000000}">
      <text>
        <r>
          <rPr>
            <b/>
            <sz val="9"/>
            <rFont val="Tahoma"/>
            <family val="2"/>
          </rPr>
          <t>Author:</t>
        </r>
        <r>
          <rPr>
            <sz val="9"/>
            <rFont val="Tahoma"/>
            <family val="2"/>
          </rPr>
          <t xml:space="preserve">
Hardcoded as reported.</t>
        </r>
      </text>
    </comment>
    <comment ref="A133" authorId="0" shapeId="0" xr:uid="{00000000-0006-0000-0100-000040000000}">
      <text>
        <r>
          <rPr>
            <b/>
            <sz val="9"/>
            <rFont val="Tahoma"/>
            <family val="2"/>
          </rPr>
          <t>Author:</t>
        </r>
        <r>
          <rPr>
            <sz val="9"/>
            <rFont val="Tahoma"/>
            <family val="2"/>
          </rPr>
          <t xml:space="preserve">
Starting with the first quarter of fiscal 2021, the company's reportable segments have changed to “Graphics” and “Compute &amp; Networking.” </t>
        </r>
      </text>
    </comment>
    <comment ref="A134" authorId="0" shapeId="0" xr:uid="{00000000-0006-0000-0100-000041000000}">
      <text>
        <r>
          <rPr>
            <b/>
            <sz val="9"/>
            <rFont val="Tahoma"/>
            <family val="2"/>
          </rPr>
          <t>Author:</t>
        </r>
        <r>
          <rPr>
            <sz val="9"/>
            <rFont val="Tahoma"/>
            <family val="2"/>
          </rPr>
          <t xml:space="preserve">
Starting with the first quarter of fiscal 2021, the company's reportable segments have changed to “Graphics” and “Compute &amp; Networking.”. Starting with the second quarter of fiscal 2021, the company will also include Company1796 revenue in this segment.</t>
        </r>
      </text>
    </comment>
    <comment ref="AT153" authorId="0" shapeId="0" xr:uid="{00000000-0006-0000-0100-000042000000}">
      <text>
        <r>
          <rPr>
            <b/>
            <sz val="9"/>
            <rFont val="Tahoma"/>
            <family val="2"/>
          </rPr>
          <t>Author:</t>
        </r>
        <r>
          <rPr>
            <sz val="9"/>
            <rFont val="Tahoma"/>
            <family val="2"/>
          </rPr>
          <t xml:space="preserve">
Acquisition-related intangible asset amortization of -6, Acquisition-related and other costs of -25. </t>
        </r>
      </text>
    </comment>
    <comment ref="AY153" authorId="0" shapeId="0" xr:uid="{00000000-0006-0000-0100-000043000000}">
      <text>
        <r>
          <rPr>
            <b/>
            <sz val="9"/>
            <rFont val="Tahoma"/>
            <family val="2"/>
          </rPr>
          <t>Author:</t>
        </r>
        <r>
          <rPr>
            <sz val="9"/>
            <rFont val="Tahoma"/>
            <family val="2"/>
          </rPr>
          <t xml:space="preserve">
Acquisition-related intangible asset amortization of -591, Acquisition-related inventory step-up charge of -161, Acquisition-related and other costs of -84. </t>
        </r>
      </text>
    </comment>
    <comment ref="BW162" authorId="2" shapeId="0" xr:uid="{00000000-0006-0000-0100-000044000000}">
      <text>
        <r>
          <rPr>
            <b/>
            <sz val="9"/>
            <rFont val="Tahoma"/>
            <family val="2"/>
          </rPr>
          <t>Author:</t>
        </r>
        <r>
          <rPr>
            <sz val="9"/>
            <rFont val="Tahoma"/>
            <family val="2"/>
          </rPr>
          <t xml:space="preserve">
Estimated, walk no longer reported. New walk is reconciliation to Income before income tax.</t>
        </r>
      </text>
    </comment>
    <comment ref="BX162" authorId="2" shapeId="0" xr:uid="{00000000-0006-0000-0100-000045000000}">
      <text>
        <r>
          <rPr>
            <b/>
            <sz val="9"/>
            <rFont val="Tahoma"/>
            <family val="2"/>
          </rPr>
          <t>Author:</t>
        </r>
        <r>
          <rPr>
            <sz val="9"/>
            <rFont val="Tahoma"/>
            <family val="2"/>
          </rPr>
          <t xml:space="preserve">
Estimated, walk no longer reported. New walk is reconciliation to Income before income tax.</t>
        </r>
      </text>
    </comment>
    <comment ref="BY162" authorId="2" shapeId="0" xr:uid="{00000000-0006-0000-0100-000046000000}">
      <text>
        <r>
          <rPr>
            <b/>
            <sz val="9"/>
            <rFont val="Tahoma"/>
            <family val="2"/>
          </rPr>
          <t>Author:</t>
        </r>
        <r>
          <rPr>
            <sz val="9"/>
            <rFont val="Tahoma"/>
            <family val="2"/>
          </rPr>
          <t xml:space="preserve">
Estimated, walk no longer reported. New walk is reconciliation to Income before income tax.</t>
        </r>
      </text>
    </comment>
    <comment ref="BO192" authorId="3" shapeId="0" xr:uid="{00000000-0006-0000-0100-000047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P192" authorId="3" shapeId="0" xr:uid="{00000000-0006-0000-0100-000048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Q192" authorId="3" shapeId="0" xr:uid="{00000000-0006-0000-0100-000049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R192" authorId="3" shapeId="0" xr:uid="{00000000-0006-0000-0100-00004A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S192" authorId="3" shapeId="0" xr:uid="{00000000-0006-0000-0100-00004B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will not be restated due to inability to restate Q1 and Q2 data</t>
        </r>
      </text>
    </comment>
    <comment ref="BT192" authorId="3" shapeId="0" xr:uid="{00000000-0006-0000-0100-00004C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to be restated</t>
        </r>
      </text>
    </comment>
    <comment ref="BU192" authorId="3" shapeId="0" xr:uid="{00000000-0006-0000-0100-00004D000000}">
      <text>
        <r>
          <rPr>
            <b/>
            <sz val="9"/>
            <rFont val="Tahoma"/>
            <family val="2"/>
          </rPr>
          <t>Author:</t>
        </r>
        <r>
          <rPr>
            <sz val="9"/>
            <rFont val="Tahoma"/>
            <family val="2"/>
          </rPr>
          <t xml:space="preserve">
The company has changed its geographic revenue  breakdown based on headquarters location to have a better representation of its geographic distribution in Q3-2026, this period to be restated</t>
        </r>
      </text>
    </comment>
    <comment ref="BV192" authorId="3" shapeId="0" xr:uid="{00000000-0006-0000-0100-00004E000000}">
      <text>
        <r>
          <rPr>
            <b/>
            <sz val="9"/>
            <rFont val="Tahoma"/>
            <family val="2"/>
          </rPr>
          <t>Author:</t>
        </r>
        <r>
          <rPr>
            <sz val="9"/>
            <rFont val="Tahoma"/>
            <family val="2"/>
          </rPr>
          <t xml:space="preserve">
Previously, revenue by geographic area was reported based on the billing location of customers. The company has changed its geographic revenue  breakdown based on headquarters location to have a better representation of its geographic distribution</t>
        </r>
      </text>
    </comment>
    <comment ref="BJ200" authorId="0" shapeId="0" xr:uid="{00000000-0006-0000-0100-00004F000000}">
      <text>
        <r>
          <rPr>
            <b/>
            <sz val="9"/>
            <rFont val="Tahoma"/>
            <family val="2"/>
          </rPr>
          <t>Author:</t>
        </r>
        <r>
          <rPr>
            <sz val="9"/>
            <rFont val="Tahoma"/>
            <family val="2"/>
          </rPr>
          <t xml:space="preserve">
Singapore + Other countires</t>
        </r>
      </text>
    </comment>
    <comment ref="BW201" authorId="2" shapeId="0" xr:uid="{00000000-0006-0000-0100-000050000000}">
      <text>
        <r>
          <rPr>
            <b/>
            <sz val="9"/>
            <rFont val="Tahoma"/>
            <family val="2"/>
          </rPr>
          <t>Author:</t>
        </r>
        <r>
          <rPr>
            <sz val="9"/>
            <rFont val="Tahoma"/>
            <family val="2"/>
          </rPr>
          <t xml:space="preserve">
NMF due to restatement.</t>
        </r>
      </text>
    </comment>
    <comment ref="BP224" authorId="2" shapeId="0" xr:uid="{00000000-0006-0000-0100-000051000000}">
      <text>
        <r>
          <rPr>
            <b/>
            <sz val="9"/>
            <rFont val="Tahoma"/>
            <family val="2"/>
            <charset val="1"/>
          </rPr>
          <t>Author:</t>
        </r>
        <r>
          <rPr>
            <sz val="9"/>
            <rFont val="Tahoma"/>
            <family val="2"/>
            <charset val="1"/>
          </rPr>
          <t xml:space="preserve">
For revenue contracts with a length greater than one year, $1.3 billion is included in deferred revenue and $123 million has not yet been billed nor recognized as revenue as of July 28, 2024. Approximately 37% of this combined amount will be recognized as revenue over the next twelve months.</t>
        </r>
      </text>
    </comment>
    <comment ref="BQ224" authorId="4" shapeId="0" xr:uid="{00000000-0006-0000-0100-000052000000}">
      <text>
        <r>
          <rPr>
            <b/>
            <sz val="9"/>
            <rFont val="Tahoma"/>
            <family val="2"/>
          </rPr>
          <t>Author:</t>
        </r>
        <r>
          <rPr>
            <sz val="9"/>
            <rFont val="Tahoma"/>
            <family val="2"/>
          </rPr>
          <t xml:space="preserve">
As of October 27, 2024, revenue related to remaining performance obligations from contracts greater than one year in length was $1.6 billion, which includes $1.4 billion from deferred revenue and $187 million which has not yet been billed nor recognized as revenue.</t>
        </r>
      </text>
    </comment>
    <comment ref="BS224" authorId="2" shapeId="0" xr:uid="{00000000-0006-0000-0100-000053000000}">
      <text>
        <r>
          <rPr>
            <b/>
            <sz val="9"/>
            <rFont val="Tahoma"/>
            <family val="2"/>
          </rPr>
          <t>Author:</t>
        </r>
        <r>
          <rPr>
            <sz val="9"/>
            <rFont val="Tahoma"/>
            <family val="2"/>
          </rPr>
          <t xml:space="preserve">
As of January 26, 2025, revenue related to remaining performance obligations from contracts greater than one year in length was $1.7 billion, which includes $1.6 billion from deferred revenue and $151 million which has not yet been billed nor recognized as revenue. Approximately 39% of revenue from contracts greater than one year in length will be recognized over the next twelve months.</t>
        </r>
      </text>
    </comment>
    <comment ref="BT224" authorId="2" shapeId="0" xr:uid="{00000000-0006-0000-0100-000054000000}">
      <text>
        <r>
          <rPr>
            <b/>
            <sz val="9"/>
            <rFont val="Tahoma"/>
            <family val="2"/>
            <charset val="1"/>
          </rPr>
          <t>Author:</t>
        </r>
        <r>
          <rPr>
            <sz val="9"/>
            <rFont val="Tahoma"/>
            <family val="2"/>
            <charset val="1"/>
          </rPr>
          <t xml:space="preserve">
As of April 27, 2025, revenue related to remaining performance obligations from contracts greater than one year in length was $1.8 billion, which includes $1.6 billion from deferred revenue and $160 million which has not yet been billed nor recognized as revenue. Approximately 39% of revenue from contracts greater than one year in length will be recognized over the next twelve months.</t>
        </r>
      </text>
    </comment>
    <comment ref="BU224" authorId="2" shapeId="0" xr:uid="{00000000-0006-0000-0100-000055000000}">
      <text>
        <r>
          <rPr>
            <b/>
            <sz val="9"/>
            <rFont val="Tahoma"/>
            <family val="2"/>
            <charset val="1"/>
          </rPr>
          <t>Author:</t>
        </r>
        <r>
          <rPr>
            <sz val="9"/>
            <rFont val="Tahoma"/>
            <family val="2"/>
            <charset val="1"/>
          </rPr>
          <t xml:space="preserve">
As of July 27, 2025, revenue related to remaining performance obligations from contracts greater than one year in length was $1.9 billion, which includes $1.8 billion from deferred revenue and $118 million which has not yet been billed nor recognized as revenue. Approximately 40% of revenue from contracts greater than one year in length will be recognized over the next twelve months.</t>
        </r>
      </text>
    </comment>
    <comment ref="BV224" authorId="3" shapeId="0" xr:uid="{00000000-0006-0000-0100-000056000000}">
      <text>
        <r>
          <rPr>
            <b/>
            <sz val="9"/>
            <rFont val="Tahoma"/>
            <family val="2"/>
          </rPr>
          <t>Author:</t>
        </r>
        <r>
          <rPr>
            <sz val="9"/>
            <rFont val="Tahoma"/>
            <family val="2"/>
          </rPr>
          <t xml:space="preserve">
As of October 26, 2025, revenue related to remaining performance obligations from contracts greater than one year in length was $2.5 billion, which includes $2.0 billion from deferred revenue and $449 million which has not yet been billed nor recognized as revenue.</t>
        </r>
      </text>
    </comment>
    <comment ref="BX224" authorId="2" shapeId="0" xr:uid="{00000000-0006-0000-0100-000057000000}">
      <text>
        <r>
          <rPr>
            <b/>
            <sz val="9"/>
            <rFont val="Tahoma"/>
            <family val="2"/>
          </rPr>
          <t>Author:</t>
        </r>
        <r>
          <rPr>
            <sz val="9"/>
            <rFont val="Tahoma"/>
            <family val="2"/>
          </rPr>
          <t xml:space="preserve">
As of January 25, 2026, revenue related to remaining performance obligations from contracts greater than one year in length was $2.3 billion, which includes $1.9 billion from deferred revenue and $390 million which has not yet been billed nor recognized as revenue. Approximately 42% of revenue from contracts greater than one year in length will be recognized over the next twelve months.</t>
        </r>
      </text>
    </comment>
    <comment ref="BY224" authorId="2" shapeId="0" xr:uid="{00000000-0006-0000-0100-000058000000}">
      <text>
        <r>
          <rPr>
            <b/>
            <sz val="9"/>
            <rFont val="Tahoma"/>
            <family val="2"/>
          </rPr>
          <t>Author:</t>
        </r>
        <r>
          <rPr>
            <sz val="9"/>
            <rFont val="Tahoma"/>
            <family val="2"/>
          </rPr>
          <t xml:space="preserve">
As of April 26, 2026, revenue related to remaining performance obligations from contracts greater than one year in length was $2.6 billion, which includes $2.3 billion from deferred revenue and $304 million, which has not yet been billed or recognized as revenue. Approximately 40% of revenue from contracts greater than one year in length will be recognized over the next twelve months.</t>
        </r>
      </text>
    </comment>
    <comment ref="BY226" authorId="2" shapeId="0" xr:uid="{00000000-0006-0000-0100-000059000000}">
      <text>
        <r>
          <rPr>
            <b/>
            <sz val="9"/>
            <rFont val="Tahoma"/>
            <family val="2"/>
          </rPr>
          <t>Author:</t>
        </r>
        <r>
          <rPr>
            <sz val="9"/>
            <rFont val="Tahoma"/>
            <family val="2"/>
          </rPr>
          <t xml:space="preserve">
As of April 26, 2026, revenue related to remaining performance obligations from contracts greater than one year in length was $2.6 billion, which includes $2.3 billion from deferred revenue and $304 million, which has not yet been billed or recognized as revenue. Approximately 40% of revenue from contracts greater than one year in length will be recognized over the next twelve months.</t>
        </r>
      </text>
    </comment>
    <comment ref="C229" authorId="0" shapeId="0" xr:uid="{00000000-0006-0000-0100-00005A000000}">
      <text>
        <r>
          <rPr>
            <b/>
            <sz val="9"/>
            <rFont val="Tahoma"/>
            <family val="2"/>
          </rPr>
          <t>Author:</t>
        </r>
        <r>
          <rPr>
            <sz val="9"/>
            <rFont val="Tahoma"/>
            <family val="2"/>
          </rPr>
          <t xml:space="preserve">
Not reported.</t>
        </r>
      </text>
    </comment>
    <comment ref="C231" authorId="0" shapeId="0" xr:uid="{00000000-0006-0000-0100-00005B000000}">
      <text>
        <r>
          <rPr>
            <b/>
            <sz val="9"/>
            <rFont val="Tahoma"/>
            <family val="2"/>
          </rPr>
          <t>Author:</t>
        </r>
        <r>
          <rPr>
            <sz val="9"/>
            <rFont val="Tahoma"/>
            <family val="2"/>
          </rPr>
          <t xml:space="preserve">
Not reported.</t>
        </r>
      </text>
    </comment>
    <comment ref="D231" authorId="0" shapeId="0" xr:uid="{00000000-0006-0000-0100-00005C000000}">
      <text>
        <r>
          <rPr>
            <b/>
            <sz val="9"/>
            <rFont val="Tahoma"/>
            <family val="2"/>
          </rPr>
          <t>Author:</t>
        </r>
        <r>
          <rPr>
            <sz val="9"/>
            <rFont val="Tahoma"/>
            <family val="2"/>
          </rPr>
          <t xml:space="preserve">
Reported as " Inventory days on hand at quarter-end"</t>
        </r>
      </text>
    </comment>
    <comment ref="E231" authorId="0" shapeId="0" xr:uid="{00000000-0006-0000-0100-00005D000000}">
      <text>
        <r>
          <rPr>
            <b/>
            <sz val="9"/>
            <rFont val="Tahoma"/>
            <family val="2"/>
          </rPr>
          <t>Author:</t>
        </r>
        <r>
          <rPr>
            <sz val="9"/>
            <rFont val="Tahoma"/>
            <family val="2"/>
          </rPr>
          <t xml:space="preserve">
Not reported in FY2011, backfilled from FY2012 fiilings</t>
        </r>
      </text>
    </comment>
    <comment ref="BU231" authorId="2" shapeId="0" xr:uid="{00000000-0006-0000-0100-00005E000000}">
      <text>
        <r>
          <rPr>
            <b/>
            <sz val="9"/>
            <rFont val="Tahoma"/>
            <family val="2"/>
            <charset val="1"/>
          </rPr>
          <t>Author:</t>
        </r>
        <r>
          <rPr>
            <sz val="9"/>
            <rFont val="Tahoma"/>
            <family val="2"/>
            <charset val="1"/>
          </rPr>
          <t xml:space="preserve">
Not reported</t>
        </r>
      </text>
    </comment>
    <comment ref="BV231" authorId="3" shapeId="0" xr:uid="{00000000-0006-0000-0100-00005F000000}">
      <text>
        <r>
          <rPr>
            <b/>
            <sz val="9"/>
            <rFont val="Tahoma"/>
            <family val="2"/>
          </rPr>
          <t>Author:</t>
        </r>
        <r>
          <rPr>
            <sz val="9"/>
            <rFont val="Tahoma"/>
            <family val="2"/>
          </rPr>
          <t xml:space="preserve">
Not reported</t>
        </r>
      </text>
    </comment>
    <comment ref="BW231" authorId="3" shapeId="0" xr:uid="{00000000-0006-0000-0100-000060000000}">
      <text>
        <r>
          <rPr>
            <b/>
            <sz val="9"/>
            <rFont val="Tahoma"/>
            <family val="2"/>
          </rPr>
          <t>Author:</t>
        </r>
        <r>
          <rPr>
            <sz val="9"/>
            <rFont val="Tahoma"/>
            <family val="2"/>
          </rPr>
          <t xml:space="preserve">
Not reported</t>
        </r>
      </text>
    </comment>
    <comment ref="BX231" authorId="3" shapeId="0" xr:uid="{00000000-0006-0000-0100-000061000000}">
      <text>
        <r>
          <rPr>
            <b/>
            <sz val="9"/>
            <rFont val="Tahoma"/>
            <family val="2"/>
          </rPr>
          <t>Author:</t>
        </r>
        <r>
          <rPr>
            <sz val="9"/>
            <rFont val="Tahoma"/>
            <family val="2"/>
          </rPr>
          <t xml:space="preserve">
Not reported</t>
        </r>
      </text>
    </comment>
    <comment ref="BY231" authorId="3" shapeId="0" xr:uid="{00000000-0006-0000-0100-000062000000}">
      <text>
        <r>
          <rPr>
            <b/>
            <sz val="9"/>
            <rFont val="Tahoma"/>
            <family val="2"/>
          </rPr>
          <t>Author:</t>
        </r>
        <r>
          <rPr>
            <sz val="9"/>
            <rFont val="Tahoma"/>
            <family val="2"/>
          </rPr>
          <t xml:space="preserve">
Not reported</t>
        </r>
      </text>
    </comment>
    <comment ref="BO233" authorId="0" shapeId="0" xr:uid="{00000000-0006-0000-0100-000063000000}">
      <text>
        <r>
          <rPr>
            <b/>
            <sz val="9"/>
            <rFont val="Tahoma"/>
            <family val="2"/>
          </rPr>
          <t>Author:</t>
        </r>
        <r>
          <rPr>
            <sz val="9"/>
            <rFont val="Tahoma"/>
            <family val="2"/>
          </rPr>
          <t xml:space="preserve">
Not reported</t>
        </r>
      </text>
    </comment>
    <comment ref="BP233" authorId="2" shapeId="0" xr:uid="{00000000-0006-0000-0100-000064000000}">
      <text>
        <r>
          <rPr>
            <b/>
            <sz val="9"/>
            <rFont val="Tahoma"/>
            <family val="2"/>
          </rPr>
          <t>Author:</t>
        </r>
        <r>
          <rPr>
            <sz val="9"/>
            <rFont val="Tahoma"/>
            <family val="2"/>
          </rPr>
          <t xml:space="preserve">
To be updated with Quarterly Presentation</t>
        </r>
      </text>
    </comment>
    <comment ref="BQ233" authorId="4" shapeId="0" xr:uid="{00000000-0006-0000-0100-000065000000}">
      <text>
        <r>
          <rPr>
            <b/>
            <sz val="9"/>
            <rFont val="Tahoma"/>
            <family val="2"/>
          </rPr>
          <t>Author:</t>
        </r>
        <r>
          <rPr>
            <sz val="9"/>
            <rFont val="Tahoma"/>
            <family val="2"/>
          </rPr>
          <t xml:space="preserve">
To be updated with Quarterly Presentation</t>
        </r>
      </text>
    </comment>
    <comment ref="BR233" authorId="4" shapeId="0" xr:uid="{00000000-0006-0000-0100-000066000000}">
      <text>
        <r>
          <rPr>
            <b/>
            <sz val="9"/>
            <rFont val="Tahoma"/>
            <family val="2"/>
          </rPr>
          <t>Author:</t>
        </r>
        <r>
          <rPr>
            <sz val="9"/>
            <rFont val="Tahoma"/>
            <family val="2"/>
          </rPr>
          <t xml:space="preserve">
To be updated with Quarterly Presentation</t>
        </r>
      </text>
    </comment>
    <comment ref="BS233" authorId="4" shapeId="0" xr:uid="{00000000-0006-0000-0100-000067000000}">
      <text>
        <r>
          <rPr>
            <b/>
            <sz val="9"/>
            <rFont val="Tahoma"/>
            <family val="2"/>
          </rPr>
          <t>Author:</t>
        </r>
        <r>
          <rPr>
            <sz val="9"/>
            <rFont val="Tahoma"/>
            <family val="2"/>
          </rPr>
          <t xml:space="preserve">
To be updated with Quarterly Presentation</t>
        </r>
      </text>
    </comment>
    <comment ref="A237" authorId="0" shapeId="0" xr:uid="{00000000-0006-0000-0100-000068000000}">
      <text>
        <r>
          <rPr>
            <b/>
            <sz val="9"/>
            <rFont val="Tahoma"/>
            <family val="2"/>
          </rPr>
          <t>Author:</t>
        </r>
        <r>
          <rPr>
            <sz val="9"/>
            <rFont val="Tahoma"/>
            <family val="2"/>
          </rPr>
          <t xml:space="preserve">
Called Chips &amp; Systems prior Q3-2024.</t>
        </r>
      </text>
    </comment>
    <comment ref="BF239" authorId="0" shapeId="0" xr:uid="{00000000-0006-0000-0100-000069000000}">
      <text>
        <r>
          <rPr>
            <b/>
            <sz val="9"/>
            <rFont val="Tahoma"/>
            <family val="2"/>
          </rPr>
          <t>Author:</t>
        </r>
        <r>
          <rPr>
            <sz val="9"/>
            <rFont val="Tahoma"/>
            <family val="2"/>
          </rPr>
          <t xml:space="preserve">
Not reported prior this period.</t>
        </r>
      </text>
    </comment>
    <comment ref="BQ247" authorId="4" shapeId="0" xr:uid="{00000000-0006-0000-0100-00006A000000}">
      <text>
        <r>
          <rPr>
            <b/>
            <sz val="9"/>
            <rFont val="Tahoma"/>
            <family val="2"/>
          </rPr>
          <t>Author:</t>
        </r>
        <r>
          <rPr>
            <sz val="9"/>
            <rFont val="Tahoma"/>
            <family val="2"/>
          </rPr>
          <t xml:space="preserve">
We recorded an inventory provision of $322 million and $208 million for the third quarter, and $876 million and $657 million for the first nine months, of fiscal years 2025 and 2024, respectively, in cost of revenue.</t>
        </r>
      </text>
    </comment>
    <comment ref="BS247" authorId="4" shapeId="0" xr:uid="{00000000-0006-0000-0100-00006B000000}">
      <text>
        <r>
          <rPr>
            <b/>
            <sz val="9"/>
            <rFont val="Tahoma"/>
            <family val="2"/>
          </rPr>
          <t>Author:</t>
        </r>
        <r>
          <rPr>
            <sz val="9"/>
            <rFont val="Tahoma"/>
            <family val="2"/>
          </rPr>
          <t xml:space="preserve">
In fiscal years 2025 and 2024, we recorded an inventory provision of $1.6 billion and $774 million</t>
        </r>
      </text>
    </comment>
    <comment ref="BT247" authorId="2" shapeId="0" xr:uid="{00000000-0006-0000-0100-00006C000000}">
      <text>
        <r>
          <rPr>
            <b/>
            <sz val="9"/>
            <rFont val="Tahoma"/>
            <family val="2"/>
            <charset val="1"/>
          </rPr>
          <t>Author:</t>
        </r>
        <r>
          <rPr>
            <sz val="9"/>
            <rFont val="Tahoma"/>
            <family val="2"/>
            <charset val="1"/>
          </rPr>
          <t xml:space="preserve">
We recorded an inventory provision of $2.3 billion in cost of revenue, including $1.9 billion for H20 product inventory for the first quarter of fiscal year 2026. The $1.9 billion inventory provision for H20 product inventory is part of the overall $4.5 billion charge associated with H20 product excess inventory and purchase obligations; the remaining portion is included in excess inventory purchase obligation liabilities.</t>
        </r>
      </text>
    </comment>
    <comment ref="BU247" authorId="2" shapeId="0" xr:uid="{00000000-0006-0000-0100-00006D000000}">
      <text>
        <r>
          <rPr>
            <b/>
            <sz val="9"/>
            <rFont val="Tahoma"/>
            <family val="2"/>
          </rPr>
          <t>Author:</t>
        </r>
        <r>
          <rPr>
            <sz val="9"/>
            <rFont val="Tahoma"/>
            <family val="2"/>
          </rPr>
          <t xml:space="preserve">
We recorded an inventory provision of $886 million and $345 million for the second quarter of fiscal years 2026 and 2025, respectively, and $3.2 billion and $555 million for the first half of fiscal years 2026 and 2025, respectively, in cost of revenue.</t>
        </r>
      </text>
    </comment>
    <comment ref="BV247" authorId="3" shapeId="0" xr:uid="{00000000-0006-0000-0100-00006E000000}">
      <text>
        <r>
          <rPr>
            <b/>
            <sz val="9"/>
            <rFont val="Tahoma"/>
            <family val="2"/>
          </rPr>
          <t>Author:</t>
        </r>
        <r>
          <rPr>
            <sz val="9"/>
            <rFont val="Tahoma"/>
            <family val="2"/>
          </rPr>
          <t xml:space="preserve">
We recorded inventory provisions of $378 million and $322 million for the third quarter of fiscal years 2026 and 2025, respectively, and $3.6 billion and $876 million for the first nine months of fiscal years 2026 and 2025, respectively, in cost of revenue</t>
        </r>
      </text>
    </comment>
    <comment ref="BX247" authorId="1" shapeId="0" xr:uid="{00000000-0006-0000-0100-00006F000000}">
      <text>
        <r>
          <rPr>
            <b/>
            <sz val="9"/>
            <rFont val="Tahoma"/>
            <family val="2"/>
          </rPr>
          <t>Author:</t>
        </r>
        <r>
          <rPr>
            <sz val="9"/>
            <rFont val="Tahoma"/>
            <family val="2"/>
          </rPr>
          <t xml:space="preserve">
In fiscal years 2026 and 2025, we recorded inventory provisions of $4.0 billion and $1.6 billion, respectively, in cost of revenue.</t>
        </r>
      </text>
    </comment>
    <comment ref="BY247" authorId="2" shapeId="0" xr:uid="{00000000-0006-0000-0100-000070000000}">
      <text>
        <r>
          <rPr>
            <b/>
            <sz val="9"/>
            <rFont val="Tahoma"/>
            <family val="2"/>
          </rPr>
          <t>Author:</t>
        </r>
        <r>
          <rPr>
            <sz val="9"/>
            <rFont val="Tahoma"/>
            <family val="2"/>
          </rPr>
          <t xml:space="preserve">
We recorded inventory provisions of $0.8 billion and $2.3 billion for the first quarter of fiscal years 2027 and 2026, respectively, in Cost of revenue.</t>
        </r>
      </text>
    </comment>
    <comment ref="H249" authorId="4" shapeId="0" xr:uid="{00000000-0006-0000-0100-000071000000}">
      <text>
        <r>
          <rPr>
            <b/>
            <sz val="9"/>
            <rFont val="Tahoma"/>
            <family val="2"/>
            <charset val="1"/>
          </rPr>
          <t>Author:</t>
        </r>
        <r>
          <rPr>
            <sz val="9"/>
            <rFont val="Tahoma"/>
            <family val="2"/>
            <charset val="1"/>
          </rPr>
          <t xml:space="preserve">
6-month</t>
        </r>
      </text>
    </comment>
    <comment ref="BS249" authorId="4" shapeId="0" xr:uid="{00000000-0006-0000-0100-000072000000}">
      <text>
        <r>
          <rPr>
            <b/>
            <sz val="9"/>
            <rFont val="Tahoma"/>
            <family val="2"/>
            <charset val="1"/>
          </rPr>
          <t>Author:</t>
        </r>
        <r>
          <rPr>
            <sz val="9"/>
            <rFont val="Tahoma"/>
            <family val="2"/>
            <charset val="1"/>
          </rPr>
          <t xml:space="preserve">
Provisions for inventory and excess inventory purchase obligations totaled $3.7 billion and $2.2 billion for fiscal years 2025 and 2024, respectively.</t>
        </r>
      </text>
    </comment>
    <comment ref="BT249" authorId="2" shapeId="0" xr:uid="{00000000-0006-0000-0100-000073000000}">
      <text>
        <r>
          <rPr>
            <b/>
            <sz val="9"/>
            <rFont val="Tahoma"/>
            <family val="2"/>
            <charset val="1"/>
          </rPr>
          <t>Author:</t>
        </r>
        <r>
          <rPr>
            <sz val="9"/>
            <rFont val="Tahoma"/>
            <family val="2"/>
            <charset val="1"/>
          </rPr>
          <t xml:space="preserve">
Provisions for inventory and excess inventory purchase obligations totaled $5.3 billion, including $4.5 billion associated with H20 excess inventory and purchase obligations, and $393 million for the first quarter of fiscal years 2026 and 2025, respectively.</t>
        </r>
      </text>
    </comment>
    <comment ref="BU249" authorId="2" shapeId="0" xr:uid="{00000000-0006-0000-0100-000074000000}">
      <text>
        <r>
          <rPr>
            <b/>
            <sz val="9"/>
            <rFont val="Tahoma"/>
            <family val="2"/>
          </rPr>
          <t>Author:</t>
        </r>
        <r>
          <rPr>
            <sz val="9"/>
            <rFont val="Tahoma"/>
            <family val="2"/>
          </rPr>
          <t xml:space="preserve">
Provisions for inventory and excess inventory purchase obligations totaled $1.0 billion and $6.3 billion for the second quarter and first half of fiscal year 2026, respectively, including $4.5 billion associated with H20 excess inventory and purchase obligations for the first quarter of fiscal year 2026.</t>
        </r>
      </text>
    </comment>
    <comment ref="BV249" authorId="3" shapeId="0" xr:uid="{00000000-0006-0000-0100-000075000000}">
      <text>
        <r>
          <rPr>
            <b/>
            <sz val="9"/>
            <rFont val="Tahoma"/>
            <family val="2"/>
          </rPr>
          <t>Author:</t>
        </r>
        <r>
          <rPr>
            <sz val="9"/>
            <rFont val="Tahoma"/>
            <family val="2"/>
          </rPr>
          <t xml:space="preserve">
Provisions for inventory and excess inventory purchase obligations totaled $410 million and $6.7 billion for the third quarter and first nine months of fiscal year 2026</t>
        </r>
      </text>
    </comment>
    <comment ref="BX249" authorId="2" shapeId="0" xr:uid="{00000000-0006-0000-0100-000076000000}">
      <text>
        <r>
          <rPr>
            <b/>
            <sz val="9"/>
            <rFont val="Tahoma"/>
            <family val="2"/>
          </rPr>
          <t>Author:</t>
        </r>
        <r>
          <rPr>
            <sz val="9"/>
            <rFont val="Tahoma"/>
            <family val="2"/>
          </rPr>
          <t xml:space="preserve">
Provisions for inventory and excess inventory purchase obligations totaled $7.2 billion and $3.7 billion for fiscal years 2026 and 2025, respectively, including $4.5 billion associated with H20 excess inventory and purchase obligations for the first quarter of fiscal year 2026. Sales of previously reserved inventory and settlements of excess inventory purchase obligations resulted in a provision release of $1.5 billion and $689 million for fiscal years 2026 and 2025, respectively. The net effect on our gross margin was an unfavorable impact of 2.6% and 2.3% in fiscal years 2026 and 2025, respectively.</t>
        </r>
      </text>
    </comment>
    <comment ref="BY249" authorId="2" shapeId="0" xr:uid="{00000000-0006-0000-0100-000077000000}">
      <text>
        <r>
          <rPr>
            <b/>
            <sz val="9"/>
            <rFont val="Tahoma"/>
            <family val="2"/>
          </rPr>
          <t>Author:</t>
        </r>
        <r>
          <rPr>
            <sz val="9"/>
            <rFont val="Tahoma"/>
            <family val="2"/>
          </rPr>
          <t xml:space="preserve">
Provisions for inventory and excess inventory purchase obligations totaled $1.1 billion and $5.3 billion for the first quarter of fiscal years 2027 and 2026, respectively.</t>
        </r>
      </text>
    </comment>
    <comment ref="H251" authorId="4" shapeId="0" xr:uid="{00000000-0006-0000-0100-000078000000}">
      <text>
        <r>
          <rPr>
            <b/>
            <sz val="9"/>
            <rFont val="Tahoma"/>
            <family val="2"/>
            <charset val="1"/>
          </rPr>
          <t>Author:</t>
        </r>
        <r>
          <rPr>
            <sz val="9"/>
            <rFont val="Tahoma"/>
            <family val="2"/>
            <charset val="1"/>
          </rPr>
          <t xml:space="preserve">
6-month</t>
        </r>
      </text>
    </comment>
    <comment ref="R251" authorId="4" shapeId="0" xr:uid="{00000000-0006-0000-0100-000079000000}">
      <text>
        <r>
          <rPr>
            <b/>
            <sz val="9"/>
            <rFont val="Tahoma"/>
            <family val="2"/>
            <charset val="1"/>
          </rPr>
          <t>Author:</t>
        </r>
        <r>
          <rPr>
            <sz val="9"/>
            <rFont val="Tahoma"/>
            <family val="2"/>
            <charset val="1"/>
          </rPr>
          <t xml:space="preserve">
Unrestated</t>
        </r>
      </text>
    </comment>
    <comment ref="BS251" authorId="4" shapeId="0" xr:uid="{00000000-0006-0000-0100-00007A000000}">
      <text>
        <r>
          <rPr>
            <b/>
            <sz val="9"/>
            <rFont val="Tahoma"/>
            <family val="2"/>
            <charset val="1"/>
          </rPr>
          <t>Author:</t>
        </r>
        <r>
          <rPr>
            <sz val="9"/>
            <rFont val="Tahoma"/>
            <family val="2"/>
            <charset val="1"/>
          </rPr>
          <t xml:space="preserve">
Sales of previously reserved inventory and settlements of excess inventory purchase obligations resulted in a provision release of $689 million and $540 million for fiscal years 2025 and 2024, respectively.</t>
        </r>
      </text>
    </comment>
    <comment ref="BT251" authorId="2" shapeId="0" xr:uid="{00000000-0006-0000-0100-00007B000000}">
      <text>
        <r>
          <rPr>
            <b/>
            <sz val="9"/>
            <rFont val="Tahoma"/>
            <family val="2"/>
            <charset val="1"/>
          </rPr>
          <t>Author:</t>
        </r>
        <r>
          <rPr>
            <sz val="9"/>
            <rFont val="Tahoma"/>
            <family val="2"/>
            <charset val="1"/>
          </rPr>
          <t xml:space="preserve">
Sales of previously reserved inventory and settlements of excess inventory purchase obligations resulted in a provision release of $436 million and $114 million for the first quarter of fiscal years 2026 and 2025, respectively.</t>
        </r>
      </text>
    </comment>
    <comment ref="BU251" authorId="2" shapeId="0" xr:uid="{00000000-0006-0000-0100-00007C000000}">
      <text>
        <r>
          <rPr>
            <b/>
            <sz val="9"/>
            <rFont val="Tahoma"/>
            <family val="2"/>
          </rPr>
          <t>Author:</t>
        </r>
        <r>
          <rPr>
            <sz val="9"/>
            <rFont val="Tahoma"/>
            <family val="2"/>
          </rPr>
          <t xml:space="preserve">
Sales of previously reserved inventory and settlements of excess inventory purchase obligations resulted in a provision release of $501 million and $937 million for the second quarter and first half of fiscal year 2026, respectively. The second quarter of fiscal year 2026 included a provision release of $180 million upon the sale of H20 products outside of the China market.</t>
        </r>
      </text>
    </comment>
    <comment ref="BV251" authorId="3" shapeId="0" xr:uid="{00000000-0006-0000-0100-00007D000000}">
      <text>
        <r>
          <rPr>
            <b/>
            <sz val="9"/>
            <rFont val="Tahoma"/>
            <family val="2"/>
          </rPr>
          <t>Author:</t>
        </r>
        <r>
          <rPr>
            <sz val="9"/>
            <rFont val="Tahoma"/>
            <family val="2"/>
          </rPr>
          <t xml:space="preserve">
Sales of previously reserved inventory and settlements of excess inventory purchase obligations resulted in a provision release of $366 million and $1.3 billion for the third quarter and first nine months of fiscal year 2026, respectively</t>
        </r>
      </text>
    </comment>
    <comment ref="BX251" authorId="2" shapeId="0" xr:uid="{00000000-0006-0000-0100-00007E000000}">
      <text>
        <r>
          <rPr>
            <b/>
            <sz val="9"/>
            <rFont val="Tahoma"/>
            <family val="2"/>
          </rPr>
          <t>Author:</t>
        </r>
        <r>
          <rPr>
            <sz val="9"/>
            <rFont val="Tahoma"/>
            <family val="2"/>
          </rPr>
          <t xml:space="preserve">
Sales of previously reserved inventory and settlements of excess inventory purchase obligations resulted in a provision release of $1.5 billion and $689 million for fiscal years 2026 and 2025, respectively.</t>
        </r>
      </text>
    </comment>
    <comment ref="BY251" authorId="2" shapeId="0" xr:uid="{00000000-0006-0000-0100-00007F000000}">
      <text>
        <r>
          <rPr>
            <b/>
            <sz val="9"/>
            <rFont val="Tahoma"/>
            <family val="2"/>
          </rPr>
          <t>Author:</t>
        </r>
        <r>
          <rPr>
            <sz val="9"/>
            <rFont val="Tahoma"/>
            <family val="2"/>
          </rPr>
          <t xml:space="preserve">
Sales of previously reserved inventory and settlements of excess inventory purchase obligations resulted in a provision release of $103 million and $436 million for the first quarter of fiscal years 2027 and 2026, respectively.</t>
        </r>
      </text>
    </comment>
    <comment ref="AA253" authorId="0" shapeId="0" xr:uid="{00000000-0006-0000-0100-000080000000}">
      <text>
        <r>
          <rPr>
            <b/>
            <sz val="9"/>
            <rFont val="Tahoma"/>
            <family val="2"/>
          </rPr>
          <t>Author:</t>
        </r>
        <r>
          <rPr>
            <sz val="9"/>
            <rFont val="Tahoma"/>
            <family val="2"/>
          </rPr>
          <t xml:space="preserve">
No restated figures available</t>
        </r>
      </text>
    </comment>
    <comment ref="AB253" authorId="0" shapeId="0" xr:uid="{00000000-0006-0000-0100-000081000000}">
      <text>
        <r>
          <rPr>
            <b/>
            <sz val="9"/>
            <rFont val="Tahoma"/>
            <family val="2"/>
          </rPr>
          <t>Author:</t>
        </r>
        <r>
          <rPr>
            <sz val="9"/>
            <rFont val="Tahoma"/>
            <family val="2"/>
          </rPr>
          <t xml:space="preserve">
No restated figures available</t>
        </r>
      </text>
    </comment>
    <comment ref="AC253" authorId="0" shapeId="0" xr:uid="{00000000-0006-0000-0100-000082000000}">
      <text>
        <r>
          <rPr>
            <b/>
            <sz val="9"/>
            <rFont val="Tahoma"/>
            <family val="2"/>
          </rPr>
          <t>Author:</t>
        </r>
        <r>
          <rPr>
            <sz val="9"/>
            <rFont val="Tahoma"/>
            <family val="2"/>
          </rPr>
          <t xml:space="preserve">
No restated figures available</t>
        </r>
      </text>
    </comment>
    <comment ref="AD253" authorId="0" shapeId="0" xr:uid="{00000000-0006-0000-0100-000083000000}">
      <text>
        <r>
          <rPr>
            <b/>
            <sz val="9"/>
            <rFont val="Tahoma"/>
            <family val="2"/>
          </rPr>
          <t>Author:</t>
        </r>
        <r>
          <rPr>
            <sz val="9"/>
            <rFont val="Tahoma"/>
            <family val="2"/>
          </rPr>
          <t xml:space="preserve">
No restated figures available</t>
        </r>
      </text>
    </comment>
    <comment ref="AE253" authorId="0" shapeId="0" xr:uid="{00000000-0006-0000-0100-000084000000}">
      <text>
        <r>
          <rPr>
            <b/>
            <sz val="9"/>
            <rFont val="Tahoma"/>
            <family val="2"/>
          </rPr>
          <t>Author:</t>
        </r>
        <r>
          <rPr>
            <sz val="9"/>
            <rFont val="Tahoma"/>
            <family val="2"/>
          </rPr>
          <t xml:space="preserve">
No restated figures available</t>
        </r>
      </text>
    </comment>
    <comment ref="BB254" authorId="0" shapeId="0" xr:uid="{00000000-0006-0000-0100-000085000000}">
      <text>
        <r>
          <rPr>
            <b/>
            <sz val="9"/>
            <rFont val="Tahoma"/>
            <family val="2"/>
          </rPr>
          <t>Author:</t>
        </r>
        <r>
          <rPr>
            <sz val="9"/>
            <rFont val="Tahoma"/>
            <family val="2"/>
          </rPr>
          <t xml:space="preserve">
Not reported</t>
        </r>
      </text>
    </comment>
    <comment ref="BD254" authorId="0" shapeId="0" xr:uid="{00000000-0006-0000-0100-000086000000}">
      <text>
        <r>
          <rPr>
            <b/>
            <sz val="9"/>
            <rFont val="Tahoma"/>
            <family val="2"/>
          </rPr>
          <t>Author:</t>
        </r>
        <r>
          <rPr>
            <sz val="9"/>
            <rFont val="Tahoma"/>
            <family val="2"/>
          </rPr>
          <t xml:space="preserve">
Not reported</t>
        </r>
      </text>
    </comment>
    <comment ref="BB255" authorId="0" shapeId="0" xr:uid="{00000000-0006-0000-0100-000087000000}">
      <text>
        <r>
          <rPr>
            <b/>
            <sz val="9"/>
            <rFont val="Tahoma"/>
            <family val="2"/>
          </rPr>
          <t>Author:</t>
        </r>
        <r>
          <rPr>
            <sz val="9"/>
            <rFont val="Tahoma"/>
            <family val="2"/>
          </rPr>
          <t xml:space="preserve">
Not reported</t>
        </r>
      </text>
    </comment>
    <comment ref="BD255" authorId="0" shapeId="0" xr:uid="{00000000-0006-0000-0100-000088000000}">
      <text>
        <r>
          <rPr>
            <b/>
            <sz val="9"/>
            <rFont val="Tahoma"/>
            <family val="2"/>
          </rPr>
          <t>Author:</t>
        </r>
        <r>
          <rPr>
            <sz val="9"/>
            <rFont val="Tahoma"/>
            <family val="2"/>
          </rPr>
          <t xml:space="preserve">
Not reported</t>
        </r>
      </text>
    </comment>
    <comment ref="BT256" authorId="2" shapeId="0" xr:uid="{00000000-0006-0000-0100-000089000000}">
      <text>
        <r>
          <rPr>
            <b/>
            <sz val="9"/>
            <rFont val="Tahoma"/>
            <family val="2"/>
            <charset val="1"/>
          </rPr>
          <t>Author:</t>
        </r>
        <r>
          <rPr>
            <sz val="9"/>
            <rFont val="Tahoma"/>
            <family val="2"/>
            <charset val="1"/>
          </rPr>
          <t xml:space="preserve">
As of April 27, 2025, we had outstanding inventory purchase and long-term supply and capacity obligations totaling $29.8 billion, an increase from the prior year led by commitments, capacity and components for our Product0075 architecture.</t>
        </r>
      </text>
    </comment>
    <comment ref="BU256" authorId="2" shapeId="0" xr:uid="{00000000-0006-0000-0100-00008A000000}">
      <text>
        <r>
          <rPr>
            <b/>
            <sz val="9"/>
            <rFont val="Tahoma"/>
            <family val="2"/>
          </rPr>
          <t>Author:</t>
        </r>
        <r>
          <rPr>
            <sz val="9"/>
            <rFont val="Tahoma"/>
            <family val="2"/>
          </rPr>
          <t xml:space="preserve">
Not reported</t>
        </r>
      </text>
    </comment>
    <comment ref="BV256" authorId="3" shapeId="0" xr:uid="{00000000-0006-0000-0100-00008B000000}">
      <text>
        <r>
          <rPr>
            <b/>
            <sz val="9"/>
            <rFont val="Tahoma"/>
            <family val="2"/>
          </rPr>
          <t>Author:</t>
        </r>
        <r>
          <rPr>
            <sz val="9"/>
            <rFont val="Tahoma"/>
            <family val="2"/>
          </rPr>
          <t xml:space="preserve">
Not reported</t>
        </r>
      </text>
    </comment>
    <comment ref="C258" authorId="0" shapeId="0" xr:uid="{00000000-0006-0000-0100-00008C000000}">
      <text>
        <r>
          <rPr>
            <b/>
            <sz val="9"/>
            <rFont val="Tahoma"/>
            <family val="2"/>
          </rPr>
          <t>Author:</t>
        </r>
        <r>
          <rPr>
            <sz val="9"/>
            <rFont val="Tahoma"/>
            <family val="2"/>
          </rPr>
          <t xml:space="preserve">
Capital purchase obligations</t>
        </r>
      </text>
    </comment>
    <comment ref="D258" authorId="0" shapeId="0" xr:uid="{00000000-0006-0000-0100-00008D000000}">
      <text>
        <r>
          <rPr>
            <b/>
            <sz val="9"/>
            <rFont val="Tahoma"/>
            <family val="2"/>
          </rPr>
          <t>Author:</t>
        </r>
        <r>
          <rPr>
            <sz val="9"/>
            <rFont val="Tahoma"/>
            <family val="2"/>
          </rPr>
          <t xml:space="preserve">
Capital purchase obligations</t>
        </r>
      </text>
    </comment>
    <comment ref="E258" authorId="0" shapeId="0" xr:uid="{00000000-0006-0000-0100-00008E000000}">
      <text>
        <r>
          <rPr>
            <b/>
            <sz val="9"/>
            <rFont val="Tahoma"/>
            <family val="2"/>
          </rPr>
          <t>Author:</t>
        </r>
        <r>
          <rPr>
            <sz val="9"/>
            <rFont val="Tahoma"/>
            <family val="2"/>
          </rPr>
          <t xml:space="preserve">
Capital purchase obligations</t>
        </r>
      </text>
    </comment>
    <comment ref="F258" authorId="0" shapeId="0" xr:uid="{00000000-0006-0000-0100-00008F000000}">
      <text>
        <r>
          <rPr>
            <b/>
            <sz val="9"/>
            <rFont val="Tahoma"/>
            <family val="2"/>
          </rPr>
          <t>Author:</t>
        </r>
        <r>
          <rPr>
            <sz val="9"/>
            <rFont val="Tahoma"/>
            <family val="2"/>
          </rPr>
          <t xml:space="preserve">
Capital purchase obligations</t>
        </r>
      </text>
    </comment>
    <comment ref="J258" authorId="0" shapeId="0" xr:uid="{00000000-0006-0000-0100-000090000000}">
      <text>
        <r>
          <rPr>
            <b/>
            <sz val="9"/>
            <rFont val="Tahoma"/>
            <family val="2"/>
          </rPr>
          <t>Author:</t>
        </r>
        <r>
          <rPr>
            <sz val="9"/>
            <rFont val="Tahoma"/>
            <family val="2"/>
          </rPr>
          <t xml:space="preserve">
Capital purchase obligations</t>
        </r>
      </text>
    </comment>
    <comment ref="K258" authorId="0" shapeId="0" xr:uid="{00000000-0006-0000-0100-000091000000}">
      <text>
        <r>
          <rPr>
            <b/>
            <sz val="9"/>
            <rFont val="Tahoma"/>
            <family val="2"/>
          </rPr>
          <t>Author:</t>
        </r>
        <r>
          <rPr>
            <sz val="9"/>
            <rFont val="Tahoma"/>
            <family val="2"/>
          </rPr>
          <t xml:space="preserve">
Capital purchase obligations</t>
        </r>
      </text>
    </comment>
    <comment ref="O258" authorId="0" shapeId="0" xr:uid="{00000000-0006-0000-0100-000092000000}">
      <text>
        <r>
          <rPr>
            <b/>
            <sz val="9"/>
            <rFont val="Tahoma"/>
            <family val="2"/>
          </rPr>
          <t>Author:</t>
        </r>
        <r>
          <rPr>
            <sz val="9"/>
            <rFont val="Tahoma"/>
            <family val="2"/>
          </rPr>
          <t xml:space="preserve">
Capital purchase obligations</t>
        </r>
      </text>
    </comment>
    <comment ref="P258" authorId="0" shapeId="0" xr:uid="{00000000-0006-0000-0100-000093000000}">
      <text>
        <r>
          <rPr>
            <b/>
            <sz val="9"/>
            <rFont val="Tahoma"/>
            <family val="2"/>
          </rPr>
          <t>Author:</t>
        </r>
        <r>
          <rPr>
            <sz val="9"/>
            <rFont val="Tahoma"/>
            <family val="2"/>
          </rPr>
          <t xml:space="preserve">
Capital purchase obligations</t>
        </r>
      </text>
    </comment>
    <comment ref="T258" authorId="0" shapeId="0" xr:uid="{00000000-0006-0000-0100-000094000000}">
      <text>
        <r>
          <rPr>
            <b/>
            <sz val="9"/>
            <rFont val="Tahoma"/>
            <family val="2"/>
          </rPr>
          <t>Author:</t>
        </r>
        <r>
          <rPr>
            <sz val="9"/>
            <rFont val="Tahoma"/>
            <family val="2"/>
          </rPr>
          <t xml:space="preserve">
Capital purchase obligations</t>
        </r>
      </text>
    </comment>
    <comment ref="U258" authorId="0" shapeId="0" xr:uid="{00000000-0006-0000-0100-000095000000}">
      <text>
        <r>
          <rPr>
            <b/>
            <sz val="9"/>
            <rFont val="Tahoma"/>
            <family val="2"/>
          </rPr>
          <t>Author:</t>
        </r>
        <r>
          <rPr>
            <sz val="9"/>
            <rFont val="Tahoma"/>
            <family val="2"/>
          </rPr>
          <t xml:space="preserve">
Capital purchase obligations</t>
        </r>
      </text>
    </comment>
    <comment ref="Y258" authorId="0" shapeId="0" xr:uid="{00000000-0006-0000-0100-000096000000}">
      <text>
        <r>
          <rPr>
            <b/>
            <sz val="9"/>
            <rFont val="Tahoma"/>
            <family val="2"/>
          </rPr>
          <t>Author:</t>
        </r>
        <r>
          <rPr>
            <sz val="9"/>
            <rFont val="Tahoma"/>
            <family val="2"/>
          </rPr>
          <t xml:space="preserve">
Capital purchase obligations</t>
        </r>
      </text>
    </comment>
    <comment ref="Z258" authorId="0" shapeId="0" xr:uid="{00000000-0006-0000-0100-000097000000}">
      <text>
        <r>
          <rPr>
            <b/>
            <sz val="9"/>
            <rFont val="Tahoma"/>
            <family val="2"/>
          </rPr>
          <t>Author:</t>
        </r>
        <r>
          <rPr>
            <sz val="9"/>
            <rFont val="Tahoma"/>
            <family val="2"/>
          </rPr>
          <t xml:space="preserve">
Capital purchase obligations</t>
        </r>
      </text>
    </comment>
    <comment ref="AD258" authorId="0" shapeId="0" xr:uid="{00000000-0006-0000-0100-000098000000}">
      <text>
        <r>
          <rPr>
            <b/>
            <sz val="9"/>
            <rFont val="Tahoma"/>
            <family val="2"/>
          </rPr>
          <t>Author:</t>
        </r>
        <r>
          <rPr>
            <sz val="9"/>
            <rFont val="Tahoma"/>
            <family val="2"/>
          </rPr>
          <t xml:space="preserve">
Capital purchase obligations</t>
        </r>
      </text>
    </comment>
    <comment ref="AE258" authorId="0" shapeId="0" xr:uid="{00000000-0006-0000-0100-000099000000}">
      <text>
        <r>
          <rPr>
            <b/>
            <sz val="9"/>
            <rFont val="Tahoma"/>
            <family val="2"/>
          </rPr>
          <t>Author:</t>
        </r>
        <r>
          <rPr>
            <sz val="9"/>
            <rFont val="Tahoma"/>
            <family val="2"/>
          </rPr>
          <t xml:space="preserve">
Capital purchase obligations</t>
        </r>
      </text>
    </comment>
    <comment ref="AI258" authorId="0" shapeId="0" xr:uid="{00000000-0006-0000-0100-00009A000000}">
      <text>
        <r>
          <rPr>
            <b/>
            <sz val="9"/>
            <rFont val="Tahoma"/>
            <family val="2"/>
          </rPr>
          <t>Author:</t>
        </r>
        <r>
          <rPr>
            <sz val="9"/>
            <rFont val="Tahoma"/>
            <family val="2"/>
          </rPr>
          <t xml:space="preserve">
Capital purchase obligations</t>
        </r>
      </text>
    </comment>
    <comment ref="AJ258" authorId="0" shapeId="0" xr:uid="{00000000-0006-0000-0100-00009B000000}">
      <text>
        <r>
          <rPr>
            <b/>
            <sz val="9"/>
            <rFont val="Tahoma"/>
            <family val="2"/>
          </rPr>
          <t>Author:</t>
        </r>
        <r>
          <rPr>
            <sz val="9"/>
            <rFont val="Tahoma"/>
            <family val="2"/>
          </rPr>
          <t xml:space="preserve">
Capital purchase obligations</t>
        </r>
      </text>
    </comment>
    <comment ref="AN258" authorId="0" shapeId="0" xr:uid="{00000000-0006-0000-0100-00009C000000}">
      <text>
        <r>
          <rPr>
            <b/>
            <sz val="9"/>
            <rFont val="Tahoma"/>
            <family val="2"/>
          </rPr>
          <t>Author:</t>
        </r>
        <r>
          <rPr>
            <sz val="9"/>
            <rFont val="Tahoma"/>
            <family val="2"/>
          </rPr>
          <t xml:space="preserve">
Capital purchase obligations</t>
        </r>
      </text>
    </comment>
    <comment ref="AO258" authorId="0" shapeId="0" xr:uid="{00000000-0006-0000-0100-00009D000000}">
      <text>
        <r>
          <rPr>
            <b/>
            <sz val="9"/>
            <rFont val="Tahoma"/>
            <family val="2"/>
          </rPr>
          <t>Author:</t>
        </r>
        <r>
          <rPr>
            <sz val="9"/>
            <rFont val="Tahoma"/>
            <family val="2"/>
          </rPr>
          <t xml:space="preserve">
Capital purchase obligations</t>
        </r>
      </text>
    </comment>
    <comment ref="AP258" authorId="0" shapeId="0" xr:uid="{00000000-0006-0000-0100-00009E000000}">
      <text>
        <r>
          <rPr>
            <b/>
            <sz val="9"/>
            <rFont val="Tahoma"/>
            <family val="2"/>
          </rPr>
          <t>Author:</t>
        </r>
        <r>
          <rPr>
            <sz val="9"/>
            <rFont val="Tahoma"/>
            <family val="2"/>
          </rPr>
          <t xml:space="preserve">
Capital purchase obligations</t>
        </r>
      </text>
    </comment>
    <comment ref="AQ258" authorId="0" shapeId="0" xr:uid="{00000000-0006-0000-0100-00009F000000}">
      <text>
        <r>
          <rPr>
            <b/>
            <sz val="9"/>
            <rFont val="Tahoma"/>
            <family val="2"/>
          </rPr>
          <t>Author:</t>
        </r>
        <r>
          <rPr>
            <sz val="9"/>
            <rFont val="Tahoma"/>
            <family val="2"/>
          </rPr>
          <t xml:space="preserve">
Capital purchase obligations</t>
        </r>
      </text>
    </comment>
    <comment ref="BG258" authorId="0" shapeId="0" xr:uid="{00000000-0006-0000-0100-0000A0000000}">
      <text>
        <r>
          <rPr>
            <b/>
            <sz val="9"/>
            <rFont val="Tahoma"/>
            <family val="2"/>
          </rPr>
          <t>Author:</t>
        </r>
        <r>
          <rPr>
            <sz val="9"/>
            <rFont val="Tahoma"/>
            <family val="2"/>
          </rPr>
          <t xml:space="preserve">
reported as other non-inventory purchase obligations. Include $1.59bn of multi-year cloud service agreements.</t>
        </r>
      </text>
    </comment>
    <comment ref="BI258" authorId="0" shapeId="0" xr:uid="{00000000-0006-0000-0100-0000A1000000}">
      <text>
        <r>
          <rPr>
            <b/>
            <sz val="9"/>
            <rFont val="Tahoma"/>
            <family val="2"/>
          </rPr>
          <t>Author:</t>
        </r>
        <r>
          <rPr>
            <sz val="9"/>
            <rFont val="Tahoma"/>
            <family val="2"/>
          </rPr>
          <t xml:space="preserve">
Other non-inventory purchase obligations of $3.14 billion include $2.23 billion of multi-year cloud service agreements.</t>
        </r>
      </text>
    </comment>
    <comment ref="BJ258" authorId="0" shapeId="0" xr:uid="{00000000-0006-0000-0100-0000A2000000}">
      <text>
        <r>
          <rPr>
            <b/>
            <sz val="9"/>
            <rFont val="Tahoma"/>
            <family val="2"/>
          </rPr>
          <t>Author:</t>
        </r>
        <r>
          <rPr>
            <sz val="9"/>
            <rFont val="Tahoma"/>
            <family val="2"/>
          </rPr>
          <t xml:space="preserve">
Other non-inventory purchase obligations of $3.26 billion include $2.43 billion of multi-year cloud service agreements</t>
        </r>
      </text>
    </comment>
    <comment ref="BK258" authorId="0" shapeId="0" xr:uid="{00000000-0006-0000-0100-0000A3000000}">
      <text>
        <r>
          <rPr>
            <b/>
            <sz val="9"/>
            <rFont val="Tahoma"/>
            <family val="2"/>
          </rPr>
          <t>Author:</t>
        </r>
        <r>
          <rPr>
            <sz val="9"/>
            <rFont val="Tahoma"/>
            <family val="2"/>
          </rPr>
          <t xml:space="preserve">
Other non-inventory purchase obligations of $4.31 billion include $3.50 billion of multi-year cloud service agreements.</t>
        </r>
      </text>
    </comment>
    <comment ref="BL258" authorId="0" shapeId="0" xr:uid="{00000000-0006-0000-0100-0000A4000000}">
      <text>
        <r>
          <rPr>
            <b/>
            <sz val="9"/>
            <rFont val="Tahoma"/>
            <family val="2"/>
          </rPr>
          <t>Author:</t>
        </r>
        <r>
          <rPr>
            <sz val="9"/>
            <rFont val="Tahoma"/>
            <family val="2"/>
          </rPr>
          <t xml:space="preserve">
Other non-inventory purchase obligations were $4.43 billion, which includes $3.60 billion of multi-year cloud service agreements, primarily to support our research and development efforts.</t>
        </r>
      </text>
    </comment>
    <comment ref="BN258" authorId="0" shapeId="0" xr:uid="{00000000-0006-0000-0100-0000A5000000}">
      <text>
        <r>
          <rPr>
            <b/>
            <sz val="9"/>
            <rFont val="Tahoma"/>
            <family val="2"/>
          </rPr>
          <t>Author:</t>
        </r>
        <r>
          <rPr>
            <sz val="9"/>
            <rFont val="Tahoma"/>
            <family val="2"/>
          </rPr>
          <t xml:space="preserve">
Other non-inventory purchase obligations were $4.6 billion, which includes $3.5 billion of multi-year cloud service agreements, primarily to support our research and development efforts.</t>
        </r>
      </text>
    </comment>
    <comment ref="BO258" authorId="0" shapeId="0" xr:uid="{00000000-0006-0000-0100-0000A6000000}">
      <text>
        <r>
          <rPr>
            <b/>
            <sz val="9"/>
            <rFont val="Tahoma"/>
            <family val="2"/>
          </rPr>
          <t>Author:</t>
        </r>
        <r>
          <rPr>
            <sz val="9"/>
            <rFont val="Tahoma"/>
            <family val="2"/>
          </rPr>
          <t xml:space="preserve">
"Other non-inventory purchase obligations were $10.6 billion, including $8.8 billion of multi-year cloud service agreements"</t>
        </r>
      </text>
    </comment>
    <comment ref="BP258" authorId="2" shapeId="0" xr:uid="{00000000-0006-0000-0100-0000A7000000}">
      <text>
        <r>
          <rPr>
            <b/>
            <sz val="9"/>
            <rFont val="Tahoma"/>
            <family val="2"/>
          </rPr>
          <t>Author:</t>
        </r>
        <r>
          <rPr>
            <sz val="9"/>
            <rFont val="Tahoma"/>
            <family val="2"/>
          </rPr>
          <t xml:space="preserve">
Other non-inventory purchase obligations were $12.0 billion, including $9.8 billion of multi-year cloud service agreements.</t>
        </r>
      </text>
    </comment>
    <comment ref="BQ258" authorId="4" shapeId="0" xr:uid="{00000000-0006-0000-0100-0000A8000000}">
      <text>
        <r>
          <rPr>
            <b/>
            <sz val="9"/>
            <rFont val="Tahoma"/>
            <family val="2"/>
          </rPr>
          <t>Author:</t>
        </r>
        <r>
          <rPr>
            <sz val="9"/>
            <rFont val="Tahoma"/>
            <family val="2"/>
          </rPr>
          <t xml:space="preserve">
Other non-inventory purchase obligations were $13.2 billion, including $11.3 billion of multi-year cloud service agreements.</t>
        </r>
      </text>
    </comment>
    <comment ref="BS258" authorId="2" shapeId="0" xr:uid="{00000000-0006-0000-0100-0000A9000000}">
      <text>
        <r>
          <rPr>
            <b/>
            <sz val="9"/>
            <rFont val="Tahoma"/>
            <family val="2"/>
          </rPr>
          <t>Author:</t>
        </r>
        <r>
          <rPr>
            <sz val="9"/>
            <rFont val="Tahoma"/>
            <family val="2"/>
          </rPr>
          <t xml:space="preserve">
Other non-inventory purchase obligations were $14.3 billion, including $10.9 billion of multi-year cloud service agreements.</t>
        </r>
      </text>
    </comment>
    <comment ref="BT258" authorId="2" shapeId="0" xr:uid="{00000000-0006-0000-0100-0000AA000000}">
      <text>
        <r>
          <rPr>
            <b/>
            <sz val="9"/>
            <rFont val="Tahoma"/>
            <family val="2"/>
            <charset val="1"/>
          </rPr>
          <t>Author:</t>
        </r>
        <r>
          <rPr>
            <sz val="9"/>
            <rFont val="Tahoma"/>
            <family val="2"/>
            <charset val="1"/>
          </rPr>
          <t xml:space="preserve">
Though, changes to these agreements may result in additional costs. Other non-inventory purchase obligations were $13.7 billion, including $10.6 billion of multi-year cloud service agreements. We expect our cloud service agreements to primarily be used to support our research and development efforts, as well as our Product0120 Cloud offerings.</t>
        </r>
      </text>
    </comment>
    <comment ref="BU258" authorId="2" shapeId="0" xr:uid="{00000000-0006-0000-0100-0000AB000000}">
      <text>
        <r>
          <rPr>
            <b/>
            <sz val="9"/>
            <rFont val="Tahoma"/>
            <family val="2"/>
          </rPr>
          <t>Author:</t>
        </r>
        <r>
          <rPr>
            <sz val="9"/>
            <rFont val="Tahoma"/>
            <family val="2"/>
          </rPr>
          <t xml:space="preserve">
Not reported</t>
        </r>
      </text>
    </comment>
    <comment ref="BV258" authorId="3" shapeId="0" xr:uid="{00000000-0006-0000-0100-0000AC000000}">
      <text>
        <r>
          <rPr>
            <b/>
            <sz val="9"/>
            <rFont val="Tahoma"/>
            <family val="2"/>
          </rPr>
          <t>Author:</t>
        </r>
        <r>
          <rPr>
            <sz val="9"/>
            <rFont val="Tahoma"/>
            <family val="2"/>
          </rPr>
          <t xml:space="preserve">
Not reported</t>
        </r>
      </text>
    </comment>
    <comment ref="BJ259" authorId="0" shapeId="0" xr:uid="{00000000-0006-0000-0100-0000AD000000}">
      <text>
        <r>
          <rPr>
            <b/>
            <sz val="9"/>
            <rFont val="Tahoma"/>
            <family val="2"/>
          </rPr>
          <t>Author:</t>
        </r>
        <r>
          <rPr>
            <sz val="9"/>
            <rFont val="Tahoma"/>
            <family val="2"/>
          </rPr>
          <t xml:space="preserve">
Not reported</t>
        </r>
      </text>
    </comment>
    <comment ref="BE266" authorId="0" shapeId="0" xr:uid="{00000000-0006-0000-0100-0000AE000000}">
      <text>
        <r>
          <rPr>
            <b/>
            <sz val="9"/>
            <rFont val="Tahoma"/>
            <family val="2"/>
          </rPr>
          <t>Author:</t>
        </r>
        <r>
          <rPr>
            <sz val="9"/>
            <rFont val="Tahoma"/>
            <family val="2"/>
          </rPr>
          <t xml:space="preserve">
Due in 2028 and thereafter</t>
        </r>
      </text>
    </comment>
    <comment ref="BF266" authorId="0" shapeId="0" xr:uid="{00000000-0006-0000-0100-0000AF000000}">
      <text>
        <r>
          <rPr>
            <b/>
            <sz val="9"/>
            <rFont val="Tahoma"/>
            <family val="2"/>
          </rPr>
          <t>Author:</t>
        </r>
        <r>
          <rPr>
            <sz val="9"/>
            <rFont val="Tahoma"/>
            <family val="2"/>
          </rPr>
          <t xml:space="preserve">
Due in 2028 and thereafter</t>
        </r>
      </text>
    </comment>
    <comment ref="BG266" authorId="0" shapeId="0" xr:uid="{00000000-0006-0000-0100-0000B0000000}">
      <text>
        <r>
          <rPr>
            <b/>
            <sz val="9"/>
            <rFont val="Tahoma"/>
            <family val="2"/>
          </rPr>
          <t>Author:</t>
        </r>
        <r>
          <rPr>
            <sz val="9"/>
            <rFont val="Tahoma"/>
            <family val="2"/>
          </rPr>
          <t xml:space="preserve">
due in 2028 and thereafter</t>
        </r>
      </text>
    </comment>
    <comment ref="BN266" authorId="0" shapeId="0" xr:uid="{00000000-0006-0000-0100-0000B1000000}">
      <text>
        <r>
          <rPr>
            <b/>
            <sz val="9"/>
            <rFont val="Tahoma"/>
            <family val="2"/>
          </rPr>
          <t>Author:</t>
        </r>
        <r>
          <rPr>
            <sz val="9"/>
            <rFont val="Tahoma"/>
            <family val="2"/>
          </rPr>
          <t xml:space="preserve">
2029 and thereafter</t>
        </r>
      </text>
    </comment>
    <comment ref="BH267" authorId="0" shapeId="0" xr:uid="{00000000-0006-0000-0100-0000B2000000}">
      <text>
        <r>
          <rPr>
            <b/>
            <sz val="9"/>
            <rFont val="Tahoma"/>
            <family val="2"/>
          </rPr>
          <t>Author:</t>
        </r>
        <r>
          <rPr>
            <sz val="9"/>
            <rFont val="Tahoma"/>
            <family val="2"/>
          </rPr>
          <t xml:space="preserve">
2029 and thereafter</t>
        </r>
      </text>
    </comment>
    <comment ref="BI267" authorId="0" shapeId="0" xr:uid="{00000000-0006-0000-0100-0000B3000000}">
      <text>
        <r>
          <rPr>
            <b/>
            <sz val="9"/>
            <rFont val="Tahoma"/>
            <family val="2"/>
          </rPr>
          <t>Author:</t>
        </r>
        <r>
          <rPr>
            <sz val="9"/>
            <rFont val="Tahoma"/>
            <family val="2"/>
          </rPr>
          <t xml:space="preserve">
2029 and thereafter</t>
        </r>
      </text>
    </comment>
    <comment ref="BV268" authorId="3" shapeId="0" xr:uid="{00000000-0006-0000-0100-0000B4000000}">
      <text>
        <r>
          <rPr>
            <b/>
            <sz val="9"/>
            <rFont val="Tahoma"/>
            <family val="2"/>
          </rPr>
          <t>Author:</t>
        </r>
        <r>
          <rPr>
            <sz val="9"/>
            <rFont val="Tahoma"/>
            <family val="2"/>
          </rPr>
          <t xml:space="preserve">
Breakdown not reported. 
Multi-year cloud service agreement commitments as of October 26, 2025, were $26 billion for which $1 billion, $6 billion, $6 billion, $5 billion, $4 billion, and $4 billion will be paid in fiscal years 2026 (fourth quarter), 2027, 2028, 2029, 2030, and 2031 &amp; thereafter, respectively.</t>
        </r>
      </text>
    </comment>
    <comment ref="BX268" authorId="2" shapeId="0" xr:uid="{00000000-0006-0000-0100-0000B5000000}">
      <text>
        <r>
          <rPr>
            <b/>
            <sz val="9"/>
            <rFont val="Tahoma"/>
            <family val="2"/>
          </rPr>
          <t>Author:</t>
        </r>
        <r>
          <rPr>
            <sz val="9"/>
            <rFont val="Tahoma"/>
            <family val="2"/>
          </rPr>
          <t xml:space="preserve">
As of January 25, 2026, these commitments were $95.2 billion, of which substantially all will be paid through fiscal year 2027.</t>
        </r>
      </text>
    </comment>
    <comment ref="BY268" authorId="2" shapeId="0" xr:uid="{00000000-0006-0000-0100-0000B6000000}">
      <text>
        <r>
          <rPr>
            <b/>
            <sz val="9"/>
            <rFont val="Tahoma"/>
            <family val="2"/>
          </rPr>
          <t>Author:</t>
        </r>
        <r>
          <rPr>
            <sz val="9"/>
            <rFont val="Tahoma"/>
            <family val="2"/>
          </rPr>
          <t xml:space="preserve">
As of April 26, 2026, these commitments were $119 billion for which $95 billion will be paid in the remainder of fiscal year 2027 and the remaining balance will be paid in fiscal years 2028 through 2031.
Multi-year cloud service agreement commitments as of April 26, 2026, were $30 billion for which $6 billion, $7 billion, $7 billion, $5 billion, $3 billion, and $2 billion will be paid in the remainder of fiscal year 2027, each fiscal year from 2028 through 2031, and fiscal year 2032 and thereafter, respectively. Cloud service capacity may be reduced or terminated. Cloud service agreements will be primarily used to support our research and development efforts.
Other vendor commitments were $6 billion as of April 26, 2026, of which the majority will be paid through fiscal year 2027.</t>
        </r>
      </text>
    </comment>
    <comment ref="A271" authorId="0" shapeId="0" xr:uid="{00000000-0006-0000-0100-0000B7000000}">
      <text>
        <r>
          <rPr>
            <b/>
            <sz val="9"/>
            <rFont val="Tahoma"/>
            <family val="2"/>
          </rPr>
          <t>Author:</t>
        </r>
        <r>
          <rPr>
            <sz val="9"/>
            <rFont val="Tahoma"/>
            <family val="2"/>
          </rPr>
          <t xml:space="preserve">
May not represent the same customer across periods.</t>
        </r>
      </text>
    </comment>
    <comment ref="BN271" authorId="0" shapeId="0" xr:uid="{00000000-0006-0000-0100-0000B8000000}">
      <text>
        <r>
          <rPr>
            <b/>
            <sz val="9"/>
            <rFont val="Tahoma"/>
            <family val="2"/>
          </rPr>
          <t>Author:</t>
        </r>
        <r>
          <rPr>
            <sz val="9"/>
            <rFont val="Tahoma"/>
            <family val="2"/>
          </rPr>
          <t xml:space="preserve">
One indirect customer which primarily purchases our products through system integrators and distributors, including through Customer A, is estimated to have represented approximately 19% of total revenue for fiscal year 2024, attributable to the Compute &amp; Networking segment.</t>
        </r>
      </text>
    </comment>
    <comment ref="BO271" authorId="0" shapeId="0" xr:uid="{00000000-0006-0000-0100-0000B9000000}">
      <text>
        <r>
          <rPr>
            <b/>
            <sz val="9"/>
            <rFont val="Tahoma"/>
            <family val="2"/>
          </rPr>
          <t>Author:</t>
        </r>
        <r>
          <rPr>
            <sz val="9"/>
            <rFont val="Tahoma"/>
            <family val="2"/>
          </rPr>
          <t xml:space="preserve">
Attributable to Compute and Networking segment</t>
        </r>
      </text>
    </comment>
    <comment ref="BP271" authorId="5" shapeId="0" xr:uid="{00000000-0006-0000-0100-0000BA000000}">
      <text>
        <r>
          <rPr>
            <b/>
            <sz val="9"/>
            <rFont val="Tahoma"/>
            <family val="2"/>
            <charset val="1"/>
          </rPr>
          <t>Author:</t>
        </r>
        <r>
          <rPr>
            <sz val="9"/>
            <rFont val="Tahoma"/>
            <family val="2"/>
            <charset val="1"/>
          </rPr>
          <t xml:space="preserve">
attributable to the Compute &amp; Networking segment.</t>
        </r>
      </text>
    </comment>
    <comment ref="BQ271" authorId="5" shapeId="0" xr:uid="{00000000-0006-0000-0100-0000BB000000}">
      <text>
        <r>
          <rPr>
            <b/>
            <sz val="9"/>
            <rFont val="Tahoma"/>
            <family val="2"/>
            <charset val="1"/>
          </rPr>
          <t>Author:</t>
        </r>
        <r>
          <rPr>
            <sz val="9"/>
            <rFont val="Tahoma"/>
            <family val="2"/>
            <charset val="1"/>
          </rPr>
          <t xml:space="preserve">
attributable to the Compute &amp; Networking segment.</t>
        </r>
      </text>
    </comment>
    <comment ref="BR271" authorId="5" shapeId="0" xr:uid="{00000000-0006-0000-0100-0000BC000000}">
      <text>
        <r>
          <rPr>
            <b/>
            <sz val="9"/>
            <rFont val="Tahoma"/>
            <family val="2"/>
            <charset val="1"/>
          </rPr>
          <t>Author:</t>
        </r>
        <r>
          <rPr>
            <sz val="9"/>
            <rFont val="Tahoma"/>
            <family val="2"/>
            <charset val="1"/>
          </rPr>
          <t xml:space="preserve">
attributable to the Compute &amp; Networking segment.</t>
        </r>
      </text>
    </comment>
    <comment ref="BS271" authorId="5" shapeId="0" xr:uid="{00000000-0006-0000-0100-0000BD000000}">
      <text>
        <r>
          <rPr>
            <b/>
            <sz val="9"/>
            <rFont val="Tahoma"/>
            <family val="2"/>
            <charset val="1"/>
          </rPr>
          <t>Author:</t>
        </r>
        <r>
          <rPr>
            <sz val="9"/>
            <rFont val="Tahoma"/>
            <family val="2"/>
            <charset val="1"/>
          </rPr>
          <t xml:space="preserve">
attributable to the Compute &amp; Networking segment.</t>
        </r>
      </text>
    </comment>
    <comment ref="BT271" authorId="2" shapeId="0" xr:uid="{00000000-0006-0000-0100-0000BE000000}">
      <text>
        <r>
          <rPr>
            <b/>
            <sz val="9"/>
            <rFont val="Tahoma"/>
            <family val="2"/>
            <charset val="1"/>
          </rPr>
          <t>Author:</t>
        </r>
        <r>
          <rPr>
            <sz val="9"/>
            <rFont val="Tahoma"/>
            <family val="2"/>
            <charset val="1"/>
          </rPr>
          <t xml:space="preserve">
Sales to one direct customer, Customer A, represented 16% of total revenue and sales to a second direct customer, Customer B, represented 14% of total revenue for the first quarter of fiscal year 2026, both of which were attributable to the Compute &amp; Networking segment.</t>
        </r>
      </text>
    </comment>
    <comment ref="BU271" authorId="2" shapeId="0" xr:uid="{00000000-0006-0000-0100-0000BF000000}">
      <text>
        <r>
          <rPr>
            <b/>
            <sz val="9"/>
            <rFont val="Tahoma"/>
            <family val="2"/>
          </rPr>
          <t>Author:</t>
        </r>
        <r>
          <rPr>
            <sz val="9"/>
            <rFont val="Tahoma"/>
            <family val="2"/>
          </rPr>
          <t xml:space="preserve">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r>
      </text>
    </comment>
    <comment ref="BY271" authorId="2" shapeId="0" xr:uid="{00000000-0006-0000-0100-0000C0000000}">
      <text>
        <r>
          <rPr>
            <b/>
            <sz val="9"/>
            <rFont val="Tahoma"/>
            <family val="2"/>
          </rPr>
          <t>Author:</t>
        </r>
        <r>
          <rPr>
            <sz val="9"/>
            <rFont val="Tahoma"/>
            <family val="2"/>
          </rPr>
          <t xml:space="preserve">
For the first quarter of fiscal year 2027, three direct customers represented 21%, 17%, and 16% of total revenue, all of which was primarily attributable to the Compute &amp; Networking segment.</t>
        </r>
      </text>
    </comment>
    <comment ref="A272" authorId="0" shapeId="0" xr:uid="{00000000-0006-0000-0100-0000C1000000}">
      <text>
        <r>
          <rPr>
            <b/>
            <sz val="9"/>
            <rFont val="Tahoma"/>
            <family val="2"/>
          </rPr>
          <t>Author:</t>
        </r>
        <r>
          <rPr>
            <sz val="9"/>
            <rFont val="Tahoma"/>
            <family val="2"/>
          </rPr>
          <t xml:space="preserve">
May not represent the same customer across periods.</t>
        </r>
      </text>
    </comment>
    <comment ref="BN272" authorId="0" shapeId="0" xr:uid="{00000000-0006-0000-0100-0000C2000000}">
      <text>
        <r>
          <rPr>
            <b/>
            <sz val="9"/>
            <rFont val="Tahoma"/>
            <family val="2"/>
          </rPr>
          <t>Author:</t>
        </r>
        <r>
          <rPr>
            <sz val="9"/>
            <rFont val="Tahoma"/>
            <family val="2"/>
          </rPr>
          <t xml:space="preserve">
attributable to the Compute &amp; Networking segment.</t>
        </r>
      </text>
    </comment>
    <comment ref="BO272" authorId="0" shapeId="0" xr:uid="{00000000-0006-0000-0100-0000C3000000}">
      <text>
        <r>
          <rPr>
            <b/>
            <sz val="9"/>
            <rFont val="Tahoma"/>
            <family val="2"/>
          </rPr>
          <t>Author:</t>
        </r>
        <r>
          <rPr>
            <sz val="9"/>
            <rFont val="Tahoma"/>
            <family val="2"/>
          </rPr>
          <t xml:space="preserve">
Attributable to Compute and Networking segment</t>
        </r>
      </text>
    </comment>
    <comment ref="BP272" authorId="5" shapeId="0" xr:uid="{00000000-0006-0000-0100-0000C4000000}">
      <text>
        <r>
          <rPr>
            <b/>
            <sz val="9"/>
            <rFont val="Tahoma"/>
            <family val="2"/>
            <charset val="1"/>
          </rPr>
          <t>Author:</t>
        </r>
        <r>
          <rPr>
            <sz val="9"/>
            <rFont val="Tahoma"/>
            <family val="2"/>
            <charset val="1"/>
          </rPr>
          <t xml:space="preserve">
attributable to the Compute &amp; Networking segment.</t>
        </r>
      </text>
    </comment>
    <comment ref="BQ272" authorId="5" shapeId="0" xr:uid="{00000000-0006-0000-0100-0000C5000000}">
      <text>
        <r>
          <rPr>
            <b/>
            <sz val="9"/>
            <rFont val="Tahoma"/>
            <family val="2"/>
            <charset val="1"/>
          </rPr>
          <t>Author:</t>
        </r>
        <r>
          <rPr>
            <sz val="9"/>
            <rFont val="Tahoma"/>
            <family val="2"/>
            <charset val="1"/>
          </rPr>
          <t xml:space="preserve">
attributable to the Compute &amp; Networking segment.</t>
        </r>
      </text>
    </comment>
    <comment ref="BR272" authorId="5" shapeId="0" xr:uid="{00000000-0006-0000-0100-0000C6000000}">
      <text>
        <r>
          <rPr>
            <b/>
            <sz val="9"/>
            <rFont val="Tahoma"/>
            <family val="2"/>
            <charset val="1"/>
          </rPr>
          <t>Author:</t>
        </r>
        <r>
          <rPr>
            <sz val="9"/>
            <rFont val="Tahoma"/>
            <family val="2"/>
            <charset val="1"/>
          </rPr>
          <t xml:space="preserve">
attributable to the Compute &amp; Networking segment.</t>
        </r>
      </text>
    </comment>
    <comment ref="BS272" authorId="5" shapeId="0" xr:uid="{00000000-0006-0000-0100-0000C7000000}">
      <text>
        <r>
          <rPr>
            <b/>
            <sz val="9"/>
            <rFont val="Tahoma"/>
            <family val="2"/>
            <charset val="1"/>
          </rPr>
          <t>Author:</t>
        </r>
        <r>
          <rPr>
            <sz val="9"/>
            <rFont val="Tahoma"/>
            <family val="2"/>
            <charset val="1"/>
          </rPr>
          <t xml:space="preserve">
attributable to the Compute &amp; Networking segment.</t>
        </r>
      </text>
    </comment>
    <comment ref="BT272" authorId="2" shapeId="0" xr:uid="{00000000-0006-0000-0100-0000C8000000}">
      <text>
        <r>
          <rPr>
            <b/>
            <sz val="9"/>
            <rFont val="Tahoma"/>
            <family val="2"/>
            <charset val="1"/>
          </rPr>
          <t>Author:</t>
        </r>
        <r>
          <rPr>
            <sz val="9"/>
            <rFont val="Tahoma"/>
            <family val="2"/>
            <charset val="1"/>
          </rPr>
          <t xml:space="preserve">
Sales to one direct customer, Customer A, represented 16% of total revenue and sales to a second direct customer, Customer B, represented 14% of total revenue for the first quarter of fiscal year 2026, both of which were attributable to the Compute &amp; Networking segment.</t>
        </r>
      </text>
    </comment>
    <comment ref="BU272" authorId="2" shapeId="0" xr:uid="{00000000-0006-0000-0100-0000C9000000}">
      <text>
        <r>
          <rPr>
            <b/>
            <sz val="9"/>
            <rFont val="Tahoma"/>
            <family val="2"/>
          </rPr>
          <t>Author:</t>
        </r>
        <r>
          <rPr>
            <sz val="9"/>
            <rFont val="Tahoma"/>
            <family val="2"/>
          </rPr>
          <t xml:space="preserve">
For the second quarter of fiscal year 2026, sales to one direct customer, Customer A, represented 23% of total revenue; and sales to a second direct customer, Customer B, represented 16% of total revenue, respectively, both of which were attributable to the Compute &amp; Networking segment.</t>
        </r>
      </text>
    </comment>
    <comment ref="A273" authorId="0" shapeId="0" xr:uid="{00000000-0006-0000-0100-0000CA000000}">
      <text>
        <r>
          <rPr>
            <b/>
            <sz val="9"/>
            <rFont val="Tahoma"/>
            <family val="2"/>
          </rPr>
          <t>Author:</t>
        </r>
        <r>
          <rPr>
            <sz val="9"/>
            <rFont val="Tahoma"/>
            <family val="2"/>
          </rPr>
          <t xml:space="preserve">
May not represent the same customer across periods.</t>
        </r>
      </text>
    </comment>
    <comment ref="BP273" authorId="5" shapeId="0" xr:uid="{00000000-0006-0000-0100-0000CB000000}">
      <text>
        <r>
          <rPr>
            <b/>
            <sz val="9"/>
            <rFont val="Tahoma"/>
            <family val="2"/>
            <charset val="1"/>
          </rPr>
          <t>Author:</t>
        </r>
        <r>
          <rPr>
            <sz val="9"/>
            <rFont val="Tahoma"/>
            <family val="2"/>
            <charset val="1"/>
          </rPr>
          <t xml:space="preserve">
attributable to the Compute &amp; Networking segment.</t>
        </r>
      </text>
    </comment>
    <comment ref="BQ273" authorId="5" shapeId="0" xr:uid="{00000000-0006-0000-0100-0000CC000000}">
      <text>
        <r>
          <rPr>
            <b/>
            <sz val="9"/>
            <rFont val="Tahoma"/>
            <family val="2"/>
            <charset val="1"/>
          </rPr>
          <t>Author:</t>
        </r>
        <r>
          <rPr>
            <sz val="9"/>
            <rFont val="Tahoma"/>
            <family val="2"/>
            <charset val="1"/>
          </rPr>
          <t xml:space="preserve">
attributable to the Compute &amp; Networking segment.</t>
        </r>
      </text>
    </comment>
    <comment ref="BR273" authorId="5" shapeId="0" xr:uid="{00000000-0006-0000-0100-0000CD000000}">
      <text>
        <r>
          <rPr>
            <b/>
            <sz val="9"/>
            <rFont val="Tahoma"/>
            <family val="2"/>
            <charset val="1"/>
          </rPr>
          <t>Author:</t>
        </r>
        <r>
          <rPr>
            <sz val="9"/>
            <rFont val="Tahoma"/>
            <family val="2"/>
            <charset val="1"/>
          </rPr>
          <t xml:space="preserve">
attributable to the Compute &amp; Networking segment.</t>
        </r>
      </text>
    </comment>
    <comment ref="BS273" authorId="5" shapeId="0" xr:uid="{00000000-0006-0000-0100-0000CE000000}">
      <text>
        <r>
          <rPr>
            <b/>
            <sz val="9"/>
            <rFont val="Tahoma"/>
            <family val="2"/>
            <charset val="1"/>
          </rPr>
          <t>Author:</t>
        </r>
        <r>
          <rPr>
            <sz val="9"/>
            <rFont val="Tahoma"/>
            <family val="2"/>
            <charset val="1"/>
          </rPr>
          <t xml:space="preserve">
attributable to the Compute &amp; Networking segment.</t>
        </r>
      </text>
    </comment>
    <comment ref="S317" authorId="0" shapeId="0" xr:uid="{00000000-0006-0000-0100-0000CF000000}">
      <text>
        <r>
          <rPr>
            <b/>
            <sz val="9"/>
            <rFont val="Tahoma"/>
            <family val="2"/>
          </rPr>
          <t>Author:</t>
        </r>
        <r>
          <rPr>
            <sz val="9"/>
            <rFont val="Tahoma"/>
            <family val="2"/>
          </rPr>
          <t xml:space="preserve">
Company2747 SC: Error due to change in rounding</t>
        </r>
      </text>
    </comment>
    <comment ref="T317" authorId="0" shapeId="0" xr:uid="{00000000-0006-0000-0100-0000D0000000}">
      <text>
        <r>
          <rPr>
            <b/>
            <sz val="9"/>
            <rFont val="Tahoma"/>
            <family val="2"/>
          </rPr>
          <t>Author:</t>
        </r>
        <r>
          <rPr>
            <sz val="9"/>
            <rFont val="Tahoma"/>
            <family val="2"/>
          </rPr>
          <t xml:space="preserve">
Error due to change in rounding </t>
        </r>
      </text>
    </comment>
    <comment ref="Y317" authorId="0" shapeId="0" xr:uid="{00000000-0006-0000-0100-0000D1000000}">
      <text>
        <r>
          <rPr>
            <b/>
            <sz val="9"/>
            <rFont val="Tahoma"/>
            <family val="2"/>
          </rPr>
          <t>Author:</t>
        </r>
        <r>
          <rPr>
            <sz val="9"/>
            <rFont val="Tahoma"/>
            <family val="2"/>
          </rPr>
          <t xml:space="preserve">
Rounding error. Q4 IS hardcoded as reported.</t>
        </r>
      </text>
    </comment>
    <comment ref="AC317" authorId="0" shapeId="0" xr:uid="{00000000-0006-0000-0100-0000D2000000}">
      <text>
        <r>
          <rPr>
            <b/>
            <sz val="9"/>
            <rFont val="Tahoma"/>
            <family val="2"/>
          </rPr>
          <t>Author:</t>
        </r>
        <r>
          <rPr>
            <sz val="9"/>
            <rFont val="Tahoma"/>
            <family val="2"/>
          </rPr>
          <t xml:space="preserve">
Rounding error</t>
        </r>
      </text>
    </comment>
    <comment ref="AD317" authorId="0" shapeId="0" xr:uid="{00000000-0006-0000-0100-0000D3000000}">
      <text>
        <r>
          <rPr>
            <b/>
            <sz val="9"/>
            <rFont val="Tahoma"/>
            <family val="2"/>
          </rPr>
          <t>Author:</t>
        </r>
        <r>
          <rPr>
            <sz val="9"/>
            <rFont val="Tahoma"/>
            <family val="2"/>
          </rPr>
          <t xml:space="preserve">
Discrepancy as reported</t>
        </r>
      </text>
    </comment>
    <comment ref="AG317" authorId="0" shapeId="0" xr:uid="{00000000-0006-0000-0100-0000D4000000}">
      <text>
        <r>
          <rPr>
            <b/>
            <sz val="9"/>
            <rFont val="Tahoma"/>
            <family val="2"/>
          </rPr>
          <t>Author:</t>
        </r>
        <r>
          <rPr>
            <sz val="9"/>
            <rFont val="Tahoma"/>
            <family val="2"/>
          </rPr>
          <t xml:space="preserve">
Due to rounding error</t>
        </r>
      </text>
    </comment>
    <comment ref="AH317" authorId="0" shapeId="0" xr:uid="{00000000-0006-0000-0100-0000D5000000}">
      <text>
        <r>
          <rPr>
            <b/>
            <sz val="9"/>
            <rFont val="Tahoma"/>
            <family val="2"/>
          </rPr>
          <t>Author:</t>
        </r>
        <r>
          <rPr>
            <sz val="9"/>
            <rFont val="Tahoma"/>
            <family val="2"/>
          </rPr>
          <t xml:space="preserve">
Due to rounding error</t>
        </r>
      </text>
    </comment>
    <comment ref="AI317" authorId="0" shapeId="0" xr:uid="{00000000-0006-0000-0100-0000D6000000}">
      <text>
        <r>
          <rPr>
            <b/>
            <sz val="9"/>
            <rFont val="Tahoma"/>
            <family val="2"/>
          </rPr>
          <t>Author:</t>
        </r>
        <r>
          <rPr>
            <sz val="9"/>
            <rFont val="Tahoma"/>
            <family val="2"/>
          </rPr>
          <t xml:space="preserve">
Due to rounding error.</t>
        </r>
      </text>
    </comment>
    <comment ref="AN317" authorId="0" shapeId="0" xr:uid="{00000000-0006-0000-0100-0000D7000000}">
      <text>
        <r>
          <rPr>
            <b/>
            <sz val="9"/>
            <rFont val="Tahoma"/>
            <family val="2"/>
          </rPr>
          <t>Author:</t>
        </r>
        <r>
          <rPr>
            <sz val="9"/>
            <rFont val="Tahoma"/>
            <family val="2"/>
          </rPr>
          <t xml:space="preserve">
Rounding error</t>
        </r>
      </text>
    </comment>
    <comment ref="AQ317" authorId="0" shapeId="0" xr:uid="{00000000-0006-0000-0100-0000D8000000}">
      <text>
        <r>
          <rPr>
            <b/>
            <sz val="9"/>
            <rFont val="Tahoma"/>
            <family val="2"/>
          </rPr>
          <t>Author:</t>
        </r>
        <r>
          <rPr>
            <sz val="9"/>
            <rFont val="Tahoma"/>
            <family val="2"/>
          </rPr>
          <t xml:space="preserve">
-as reported -error due to rounding</t>
        </r>
      </text>
    </comment>
    <comment ref="AR317" authorId="0" shapeId="0" xr:uid="{00000000-0006-0000-0100-0000D9000000}">
      <text>
        <r>
          <rPr>
            <b/>
            <sz val="9"/>
            <rFont val="Tahoma"/>
            <family val="2"/>
          </rPr>
          <t>Author:</t>
        </r>
        <r>
          <rPr>
            <sz val="9"/>
            <rFont val="Tahoma"/>
            <family val="2"/>
          </rPr>
          <t xml:space="preserve">
-as reported -error due to rounding</t>
        </r>
      </text>
    </comment>
    <comment ref="AS317" authorId="0" shapeId="0" xr:uid="{00000000-0006-0000-0100-0000DA000000}">
      <text>
        <r>
          <rPr>
            <b/>
            <sz val="9"/>
            <rFont val="Tahoma"/>
            <family val="2"/>
          </rPr>
          <t>Author:</t>
        </r>
        <r>
          <rPr>
            <sz val="9"/>
            <rFont val="Tahoma"/>
            <family val="2"/>
          </rPr>
          <t xml:space="preserve">
-as reported -error due to rounding</t>
        </r>
      </text>
    </comment>
    <comment ref="BA317" authorId="0" shapeId="0" xr:uid="{00000000-0006-0000-0100-0000DB000000}">
      <text>
        <r>
          <rPr>
            <b/>
            <sz val="9"/>
            <rFont val="Tahoma"/>
            <family val="2"/>
          </rPr>
          <t>Author:</t>
        </r>
        <r>
          <rPr>
            <sz val="9"/>
            <rFont val="Tahoma"/>
            <family val="2"/>
          </rPr>
          <t xml:space="preserve">
As reported</t>
        </r>
      </text>
    </comment>
    <comment ref="BK317" authorId="0" shapeId="0" xr:uid="{00000000-0006-0000-0100-0000DC000000}">
      <text>
        <r>
          <rPr>
            <b/>
            <sz val="9"/>
            <rFont val="Tahoma"/>
            <family val="2"/>
          </rPr>
          <t>Author:</t>
        </r>
        <r>
          <rPr>
            <sz val="9"/>
            <rFont val="Tahoma"/>
            <family val="2"/>
          </rPr>
          <t xml:space="preserve">
Rounding error</t>
        </r>
      </text>
    </comment>
    <comment ref="BT319" authorId="2" shapeId="0" xr:uid="{00000000-0006-0000-0100-0000DD000000}">
      <text>
        <r>
          <rPr>
            <b/>
            <sz val="9"/>
            <rFont val="Tahoma"/>
            <family val="2"/>
          </rPr>
          <t>Author:</t>
        </r>
        <r>
          <rPr>
            <sz val="9"/>
            <rFont val="Tahoma"/>
            <family val="2"/>
          </rPr>
          <t xml:space="preserve">
As of Q1-2027, Non-GAAP figures no longer adjust for SBC</t>
        </r>
      </text>
    </comment>
    <comment ref="BU319" authorId="2" shapeId="0" xr:uid="{00000000-0006-0000-0100-0000DE000000}">
      <text>
        <r>
          <rPr>
            <b/>
            <sz val="9"/>
            <rFont val="Tahoma"/>
            <family val="2"/>
          </rPr>
          <t>Author:</t>
        </r>
        <r>
          <rPr>
            <sz val="9"/>
            <rFont val="Tahoma"/>
            <family val="2"/>
          </rPr>
          <t xml:space="preserve">
As of Q1-2027, Non-GAAP figures no longer adjust for SBC</t>
        </r>
      </text>
    </comment>
    <comment ref="BV319" authorId="2" shapeId="0" xr:uid="{00000000-0006-0000-0100-0000DF000000}">
      <text>
        <r>
          <rPr>
            <b/>
            <sz val="9"/>
            <rFont val="Tahoma"/>
            <family val="2"/>
          </rPr>
          <t>Author:</t>
        </r>
        <r>
          <rPr>
            <sz val="9"/>
            <rFont val="Tahoma"/>
            <family val="2"/>
          </rPr>
          <t xml:space="preserve">
As of Q1-2027, Non-GAAP figures no longer adjust for SBC</t>
        </r>
      </text>
    </comment>
    <comment ref="BW319" authorId="2" shapeId="0" xr:uid="{00000000-0006-0000-0100-0000E0000000}">
      <text>
        <r>
          <rPr>
            <b/>
            <sz val="9"/>
            <rFont val="Tahoma"/>
            <family val="2"/>
          </rPr>
          <t>Author:</t>
        </r>
        <r>
          <rPr>
            <sz val="9"/>
            <rFont val="Tahoma"/>
            <family val="2"/>
          </rPr>
          <t xml:space="preserve">
As of Q1-2027, Non-GAAP figures no longer adjust for SBC</t>
        </r>
      </text>
    </comment>
    <comment ref="BX319" authorId="2" shapeId="0" xr:uid="{00000000-0006-0000-0100-0000E1000000}">
      <text>
        <r>
          <rPr>
            <b/>
            <sz val="9"/>
            <rFont val="Tahoma"/>
            <family val="2"/>
          </rPr>
          <t>Author:</t>
        </r>
        <r>
          <rPr>
            <sz val="9"/>
            <rFont val="Tahoma"/>
            <family val="2"/>
          </rPr>
          <t xml:space="preserve">
As of Q1-2027, Non-GAAP figures no longer adjust for SBC</t>
        </r>
      </text>
    </comment>
    <comment ref="T339" authorId="0" shapeId="0" xr:uid="{00000000-0006-0000-0100-0000E2000000}">
      <text>
        <r>
          <rPr>
            <b/>
            <sz val="9"/>
            <rFont val="Tahoma"/>
            <family val="2"/>
          </rPr>
          <t>Author:</t>
        </r>
        <r>
          <rPr>
            <sz val="9"/>
            <rFont val="Tahoma"/>
            <family val="2"/>
          </rPr>
          <t xml:space="preserve">
Company reported $703</t>
        </r>
      </text>
    </comment>
    <comment ref="U339" authorId="0" shapeId="0" xr:uid="{00000000-0006-0000-0100-0000E3000000}">
      <text>
        <r>
          <rPr>
            <b/>
            <sz val="9"/>
            <rFont val="Tahoma"/>
            <family val="2"/>
          </rPr>
          <t>Author:</t>
        </r>
        <r>
          <rPr>
            <sz val="9"/>
            <rFont val="Tahoma"/>
            <family val="2"/>
          </rPr>
          <t xml:space="preserve">
Quarterly data is as reported but does not add up to annually data.</t>
        </r>
      </text>
    </comment>
    <comment ref="C344" authorId="0" shapeId="0" xr:uid="{00000000-0006-0000-0100-0000E4000000}">
      <text>
        <r>
          <rPr>
            <b/>
            <sz val="9"/>
            <rFont val="Tahoma"/>
            <family val="2"/>
          </rPr>
          <t>Author:</t>
        </r>
        <r>
          <rPr>
            <sz val="9"/>
            <rFont val="Tahoma"/>
            <family val="2"/>
          </rPr>
          <t xml:space="preserve">
Estimated. Not reported</t>
        </r>
      </text>
    </comment>
    <comment ref="C349" authorId="0" shapeId="0" xr:uid="{00000000-0006-0000-0100-0000E5000000}">
      <text>
        <r>
          <rPr>
            <b/>
            <sz val="9"/>
            <rFont val="Tahoma"/>
            <family val="2"/>
          </rPr>
          <t>Author:</t>
        </r>
        <r>
          <rPr>
            <sz val="9"/>
            <rFont val="Tahoma"/>
            <family val="2"/>
          </rPr>
          <t xml:space="preserve">
Estimated as the discrepancy between "Total pre-tax impact of non-GAAP adjustments" and the remaining non-GAAP Adjustments</t>
        </r>
      </text>
    </comment>
    <comment ref="T354" authorId="0" shapeId="0" xr:uid="{00000000-0006-0000-0100-0000E6000000}">
      <text>
        <r>
          <rPr>
            <b/>
            <sz val="9"/>
            <rFont val="Tahoma"/>
            <family val="2"/>
          </rPr>
          <t>Author:</t>
        </r>
        <r>
          <rPr>
            <sz val="9"/>
            <rFont val="Tahoma"/>
            <family val="2"/>
          </rPr>
          <t xml:space="preserve">
Hardcoded as reported</t>
        </r>
      </text>
    </comment>
    <comment ref="AE356" authorId="0" shapeId="0" xr:uid="{00000000-0006-0000-0100-0000E7000000}">
      <text>
        <r>
          <rPr>
            <b/>
            <sz val="9"/>
            <rFont val="Tahoma"/>
            <family val="2"/>
          </rPr>
          <t>Author:</t>
        </r>
        <r>
          <rPr>
            <sz val="9"/>
            <rFont val="Tahoma"/>
            <family val="2"/>
          </rPr>
          <t xml:space="preserve">
row fliping</t>
        </r>
      </text>
    </comment>
    <comment ref="AJ356" authorId="0" shapeId="0" xr:uid="{00000000-0006-0000-0100-0000E8000000}">
      <text>
        <r>
          <rPr>
            <b/>
            <sz val="9"/>
            <rFont val="Tahoma"/>
            <family val="2"/>
          </rPr>
          <t>Author:</t>
        </r>
        <r>
          <rPr>
            <sz val="9"/>
            <rFont val="Tahoma"/>
            <family val="2"/>
          </rPr>
          <t xml:space="preserve">
row fliping</t>
        </r>
      </text>
    </comment>
    <comment ref="AE357" authorId="0" shapeId="0" xr:uid="{00000000-0006-0000-0100-0000E9000000}">
      <text>
        <r>
          <rPr>
            <b/>
            <sz val="9"/>
            <rFont val="Tahoma"/>
            <family val="2"/>
          </rPr>
          <t>Author:</t>
        </r>
        <r>
          <rPr>
            <sz val="9"/>
            <rFont val="Tahoma"/>
            <family val="2"/>
          </rPr>
          <t xml:space="preserve">
row fliping</t>
        </r>
      </text>
    </comment>
    <comment ref="AJ357" authorId="0" shapeId="0" xr:uid="{00000000-0006-0000-0100-0000EA000000}">
      <text>
        <r>
          <rPr>
            <b/>
            <sz val="9"/>
            <rFont val="Tahoma"/>
            <family val="2"/>
          </rPr>
          <t>Author:</t>
        </r>
        <r>
          <rPr>
            <sz val="9"/>
            <rFont val="Tahoma"/>
            <family val="2"/>
          </rPr>
          <t xml:space="preserve">
row fliping</t>
        </r>
      </text>
    </comment>
    <comment ref="Q360" authorId="0" shapeId="0" xr:uid="{00000000-0006-0000-0100-0000EB000000}">
      <text>
        <r>
          <rPr>
            <b/>
            <sz val="9"/>
            <rFont val="Tahoma"/>
            <family val="2"/>
          </rPr>
          <t>Author:</t>
        </r>
        <r>
          <rPr>
            <sz val="9"/>
            <rFont val="Tahoma"/>
            <family val="2"/>
          </rPr>
          <t xml:space="preserve">
Company did not report</t>
        </r>
      </text>
    </comment>
    <comment ref="R360" authorId="0" shapeId="0" xr:uid="{00000000-0006-0000-0100-0000EC000000}">
      <text>
        <r>
          <rPr>
            <b/>
            <sz val="9"/>
            <rFont val="Tahoma"/>
            <family val="2"/>
          </rPr>
          <t>Author:</t>
        </r>
        <r>
          <rPr>
            <sz val="9"/>
            <rFont val="Tahoma"/>
            <family val="2"/>
          </rPr>
          <t xml:space="preserve">
Company did not report</t>
        </r>
      </text>
    </comment>
    <comment ref="Q361" authorId="0" shapeId="0" xr:uid="{00000000-0006-0000-0100-0000ED000000}">
      <text>
        <r>
          <rPr>
            <b/>
            <sz val="9"/>
            <rFont val="Tahoma"/>
            <family val="2"/>
          </rPr>
          <t>Author:</t>
        </r>
        <r>
          <rPr>
            <sz val="9"/>
            <rFont val="Tahoma"/>
            <family val="2"/>
          </rPr>
          <t xml:space="preserve">
Company did not report adjustment for Non-GAAP income from operations</t>
        </r>
      </text>
    </comment>
    <comment ref="R361" authorId="0" shapeId="0" xr:uid="{00000000-0006-0000-0100-0000EE000000}">
      <text>
        <r>
          <rPr>
            <b/>
            <sz val="9"/>
            <rFont val="Tahoma"/>
            <family val="2"/>
          </rPr>
          <t>Author:</t>
        </r>
        <r>
          <rPr>
            <sz val="9"/>
            <rFont val="Tahoma"/>
            <family val="2"/>
          </rPr>
          <t xml:space="preserve">
Company did not report adjustment for Non-GAAP income from operations</t>
        </r>
      </text>
    </comment>
    <comment ref="BT369" authorId="2" shapeId="0" xr:uid="{00000000-0006-0000-0100-0000EF000000}">
      <text>
        <r>
          <rPr>
            <b/>
            <sz val="9"/>
            <rFont val="Tahoma"/>
            <family val="2"/>
          </rPr>
          <t>Author:</t>
        </r>
        <r>
          <rPr>
            <sz val="9"/>
            <rFont val="Tahoma"/>
            <family val="2"/>
          </rPr>
          <t xml:space="preserve">
As of Q1-2027, Non-GAAP figures no longer adjust for SBC</t>
        </r>
      </text>
    </comment>
    <comment ref="BU369" authorId="2" shapeId="0" xr:uid="{00000000-0006-0000-0100-0000F0000000}">
      <text>
        <r>
          <rPr>
            <b/>
            <sz val="9"/>
            <rFont val="Tahoma"/>
            <family val="2"/>
          </rPr>
          <t>Author:</t>
        </r>
        <r>
          <rPr>
            <sz val="9"/>
            <rFont val="Tahoma"/>
            <family val="2"/>
          </rPr>
          <t xml:space="preserve">
As of Q1-2027, Non-GAAP figures no longer adjust for SBC</t>
        </r>
      </text>
    </comment>
    <comment ref="BV369" authorId="2" shapeId="0" xr:uid="{00000000-0006-0000-0100-0000F1000000}">
      <text>
        <r>
          <rPr>
            <b/>
            <sz val="9"/>
            <rFont val="Tahoma"/>
            <family val="2"/>
          </rPr>
          <t>Author:</t>
        </r>
        <r>
          <rPr>
            <sz val="9"/>
            <rFont val="Tahoma"/>
            <family val="2"/>
          </rPr>
          <t xml:space="preserve">
As of Q1-2027, Non-GAAP figures no longer adjust for SBC</t>
        </r>
      </text>
    </comment>
    <comment ref="BW369" authorId="2" shapeId="0" xr:uid="{00000000-0006-0000-0100-0000F2000000}">
      <text>
        <r>
          <rPr>
            <b/>
            <sz val="9"/>
            <rFont val="Tahoma"/>
            <family val="2"/>
          </rPr>
          <t>Author:</t>
        </r>
        <r>
          <rPr>
            <sz val="9"/>
            <rFont val="Tahoma"/>
            <family val="2"/>
          </rPr>
          <t xml:space="preserve">
As of Q1-2027, Non-GAAP figures no longer adjust for SBC</t>
        </r>
      </text>
    </comment>
    <comment ref="BX369" authorId="2" shapeId="0" xr:uid="{00000000-0006-0000-0100-0000F3000000}">
      <text>
        <r>
          <rPr>
            <b/>
            <sz val="9"/>
            <rFont val="Tahoma"/>
            <family val="2"/>
          </rPr>
          <t>Author:</t>
        </r>
        <r>
          <rPr>
            <sz val="9"/>
            <rFont val="Tahoma"/>
            <family val="2"/>
          </rPr>
          <t xml:space="preserve">
As of Q1-2027, Non-GAAP figures no longer adjust for SBC</t>
        </r>
      </text>
    </comment>
    <comment ref="BY375" authorId="2" shapeId="0" xr:uid="{00000000-0006-0000-0100-0000F4000000}">
      <text>
        <r>
          <rPr>
            <b/>
            <sz val="9"/>
            <rFont val="Tahoma"/>
            <family val="2"/>
          </rPr>
          <t>Author:</t>
        </r>
        <r>
          <rPr>
            <sz val="9"/>
            <rFont val="Tahoma"/>
            <family val="2"/>
          </rPr>
          <t xml:space="preserve">
As of Q1-2027, Non-GAAP figures no longer adjust for SBC</t>
        </r>
      </text>
    </comment>
    <comment ref="BY382" authorId="2" shapeId="0" xr:uid="{00000000-0006-0000-0100-0000F5000000}">
      <text>
        <r>
          <rPr>
            <b/>
            <sz val="9"/>
            <rFont val="Tahoma"/>
            <family val="2"/>
          </rPr>
          <t>Author:</t>
        </r>
        <r>
          <rPr>
            <sz val="9"/>
            <rFont val="Tahoma"/>
            <family val="2"/>
          </rPr>
          <t xml:space="preserve">
As of Q1-2027, Non-GAAP figures no longer adjust for SBC</t>
        </r>
      </text>
    </comment>
    <comment ref="BY387" authorId="2" shapeId="0" xr:uid="{00000000-0006-0000-0100-0000F6000000}">
      <text>
        <r>
          <rPr>
            <b/>
            <sz val="9"/>
            <rFont val="Tahoma"/>
            <family val="2"/>
          </rPr>
          <t>Author:</t>
        </r>
        <r>
          <rPr>
            <sz val="9"/>
            <rFont val="Tahoma"/>
            <family val="2"/>
          </rPr>
          <t xml:space="preserve">
As of Q1-2027, Non-GAAP figures no longer adjust for SBC</t>
        </r>
      </text>
    </comment>
    <comment ref="AZ389" authorId="0" shapeId="0" xr:uid="{00000000-0006-0000-0100-0000F7000000}">
      <text>
        <r>
          <rPr>
            <b/>
            <sz val="9"/>
            <rFont val="Tahoma"/>
            <family val="2"/>
          </rPr>
          <t>Author:</t>
        </r>
        <r>
          <rPr>
            <sz val="9"/>
            <rFont val="Tahoma"/>
            <family val="2"/>
          </rPr>
          <t xml:space="preserve">
Formula changed starting this quarter</t>
        </r>
      </text>
    </comment>
    <comment ref="AZ392" authorId="0" shapeId="0" xr:uid="{00000000-0006-0000-0100-0000F8000000}">
      <text>
        <r>
          <rPr>
            <b/>
            <sz val="9"/>
            <rFont val="Tahoma"/>
            <family val="2"/>
          </rPr>
          <t>Author:</t>
        </r>
        <r>
          <rPr>
            <sz val="9"/>
            <rFont val="Tahoma"/>
            <family val="2"/>
          </rPr>
          <t xml:space="preserve">
Formula changed starting this quarter</t>
        </r>
      </text>
    </comment>
    <comment ref="C396" authorId="0" shapeId="0" xr:uid="{00000000-0006-0000-0100-0000F9000000}">
      <text>
        <r>
          <rPr>
            <b/>
            <sz val="9"/>
            <rFont val="Tahoma"/>
            <family val="2"/>
          </rPr>
          <t>Author:</t>
        </r>
        <r>
          <rPr>
            <sz val="9"/>
            <rFont val="Tahoma"/>
            <family val="2"/>
          </rPr>
          <t xml:space="preserve">
Calculated</t>
        </r>
      </text>
    </comment>
    <comment ref="BY416" authorId="2" shapeId="0" xr:uid="{00000000-0006-0000-0100-0000FA000000}">
      <text>
        <r>
          <rPr>
            <b/>
            <sz val="9"/>
            <rFont val="Tahoma"/>
            <family val="2"/>
          </rPr>
          <t>Author:</t>
        </r>
        <r>
          <rPr>
            <sz val="9"/>
            <rFont val="Tahoma"/>
            <family val="2"/>
          </rPr>
          <t xml:space="preserve">
As of Q1-2027, Non-GAAP figures no longer adjust for SBC</t>
        </r>
      </text>
    </comment>
    <comment ref="Q431" authorId="0" shapeId="0" xr:uid="{00000000-0006-0000-0100-0000FB000000}">
      <text>
        <r>
          <rPr>
            <b/>
            <sz val="9"/>
            <rFont val="Tahoma"/>
            <family val="2"/>
          </rPr>
          <t>Author:</t>
        </r>
        <r>
          <rPr>
            <sz val="9"/>
            <rFont val="Tahoma"/>
            <family val="2"/>
          </rPr>
          <t xml:space="preserve">
Reported as $0.24</t>
        </r>
      </text>
    </comment>
    <comment ref="A436" authorId="0" shapeId="0" xr:uid="{00000000-0006-0000-0100-0000FC000000}">
      <text>
        <r>
          <rPr>
            <b/>
            <sz val="9"/>
            <rFont val="Tahoma"/>
            <family val="2"/>
          </rPr>
          <t>Author:</t>
        </r>
        <r>
          <rPr>
            <sz val="9"/>
            <rFont val="Tahoma"/>
            <family val="2"/>
          </rPr>
          <t xml:space="preserve">
Periods prior to Q1-2024 adjusted for 10-for-1 stock split occurred June 10, 2024. Periods prior to Q1-2022 adjusted for 4-for-1 stock split occurred July 20, 2021. </t>
        </r>
      </text>
    </comment>
    <comment ref="A437" authorId="0" shapeId="0" xr:uid="{00000000-0006-0000-0100-0000FD000000}">
      <text>
        <r>
          <rPr>
            <b/>
            <sz val="9"/>
            <rFont val="Tahoma"/>
            <family val="2"/>
          </rPr>
          <t>Author:</t>
        </r>
        <r>
          <rPr>
            <sz val="9"/>
            <rFont val="Tahoma"/>
            <family val="2"/>
          </rPr>
          <t xml:space="preserve">
Periods prior to Q1-2024 adjusted for 10-for-1 stock split occurred June 10, 2024. Periods prior to Q1-2022 adjusted for 4-for-1 stock split occurred July 20, 2021. </t>
        </r>
      </text>
    </comment>
    <comment ref="A438" authorId="0" shapeId="0" xr:uid="{00000000-0006-0000-0100-0000FE000000}">
      <text>
        <r>
          <rPr>
            <b/>
            <sz val="9"/>
            <rFont val="Tahoma"/>
            <family val="2"/>
          </rPr>
          <t>Author:</t>
        </r>
        <r>
          <rPr>
            <sz val="9"/>
            <rFont val="Tahoma"/>
            <family val="2"/>
          </rPr>
          <t xml:space="preserve">
Periods prior to Q1-2024 adjusted for 10-for-1 stock split occurred June 10, 2024. Periods prior to Q1-2022 adjusted for 4-for-1 stock split occurred July 20, 2021. </t>
        </r>
      </text>
    </comment>
    <comment ref="A444" authorId="0" shapeId="0" xr:uid="{00000000-0006-0000-0100-0000FF000000}">
      <text>
        <r>
          <rPr>
            <b/>
            <sz val="9"/>
            <rFont val="Tahoma"/>
            <family val="2"/>
          </rPr>
          <t>Author:</t>
        </r>
        <r>
          <rPr>
            <sz val="9"/>
            <rFont val="Tahoma"/>
            <family val="2"/>
          </rPr>
          <t xml:space="preserve">
Red quarters are estimated</t>
        </r>
      </text>
    </comment>
    <comment ref="G444" authorId="1" shapeId="0" xr:uid="{00000000-0006-0000-0100-0000FF000000}">
      <text>
        <r>
          <rPr>
            <b/>
            <sz val="9"/>
            <rFont val="Tahoma"/>
            <family val="2"/>
          </rPr>
          <t>Author:</t>
        </r>
        <r>
          <rPr>
            <sz val="9"/>
            <rFont val="Tahoma"/>
            <family val="2"/>
          </rPr>
          <t xml:space="preserve">
Assumption by Source</t>
        </r>
      </text>
    </comment>
    <comment ref="H444" authorId="1" shapeId="0" xr:uid="{00000000-0006-0000-0100-000000010000}">
      <text>
        <r>
          <rPr>
            <b/>
            <sz val="9"/>
            <rFont val="Tahoma"/>
            <family val="2"/>
          </rPr>
          <t>Author:</t>
        </r>
        <r>
          <rPr>
            <sz val="9"/>
            <rFont val="Tahoma"/>
            <family val="2"/>
          </rPr>
          <t xml:space="preserve">
Assumption by Source</t>
        </r>
      </text>
    </comment>
    <comment ref="I444" authorId="1" shapeId="0" xr:uid="{00000000-0006-0000-0100-000001010000}">
      <text>
        <r>
          <rPr>
            <b/>
            <sz val="9"/>
            <rFont val="Tahoma"/>
            <family val="2"/>
          </rPr>
          <t>Author:</t>
        </r>
        <r>
          <rPr>
            <sz val="9"/>
            <rFont val="Tahoma"/>
            <family val="2"/>
          </rPr>
          <t xml:space="preserve">
Assumption by Source</t>
        </r>
      </text>
    </comment>
    <comment ref="L444" authorId="1" shapeId="0" xr:uid="{00000000-0006-0000-0100-000002010000}">
      <text>
        <r>
          <rPr>
            <b/>
            <sz val="9"/>
            <rFont val="Tahoma"/>
            <family val="2"/>
          </rPr>
          <t>Author:</t>
        </r>
        <r>
          <rPr>
            <sz val="9"/>
            <rFont val="Tahoma"/>
            <family val="2"/>
          </rPr>
          <t xml:space="preserve">
Assumption by Source</t>
        </r>
      </text>
    </comment>
    <comment ref="M444" authorId="1" shapeId="0" xr:uid="{00000000-0006-0000-0100-000003010000}">
      <text>
        <r>
          <rPr>
            <b/>
            <sz val="9"/>
            <rFont val="Tahoma"/>
            <family val="2"/>
          </rPr>
          <t>Author:</t>
        </r>
        <r>
          <rPr>
            <sz val="9"/>
            <rFont val="Tahoma"/>
            <family val="2"/>
          </rPr>
          <t xml:space="preserve">
Assumption by Source</t>
        </r>
      </text>
    </comment>
    <comment ref="N444" authorId="1" shapeId="0" xr:uid="{00000000-0006-0000-0100-000004010000}">
      <text>
        <r>
          <rPr>
            <b/>
            <sz val="9"/>
            <rFont val="Tahoma"/>
            <family val="2"/>
          </rPr>
          <t>Author:</t>
        </r>
        <r>
          <rPr>
            <sz val="9"/>
            <rFont val="Tahoma"/>
            <family val="2"/>
          </rPr>
          <t xml:space="preserve">
Assumption by Source</t>
        </r>
      </text>
    </comment>
    <comment ref="Q444" authorId="1" shapeId="0" xr:uid="{00000000-0006-0000-0100-000005010000}">
      <text>
        <r>
          <rPr>
            <b/>
            <sz val="9"/>
            <rFont val="Tahoma"/>
            <family val="2"/>
          </rPr>
          <t>Author:</t>
        </r>
        <r>
          <rPr>
            <sz val="9"/>
            <rFont val="Tahoma"/>
            <family val="2"/>
          </rPr>
          <t xml:space="preserve">
Assumption by Source</t>
        </r>
      </text>
    </comment>
    <comment ref="R444" authorId="1" shapeId="0" xr:uid="{00000000-0006-0000-0100-000006010000}">
      <text>
        <r>
          <rPr>
            <b/>
            <sz val="9"/>
            <rFont val="Tahoma"/>
            <family val="2"/>
          </rPr>
          <t>Author:</t>
        </r>
        <r>
          <rPr>
            <sz val="9"/>
            <rFont val="Tahoma"/>
            <family val="2"/>
          </rPr>
          <t xml:space="preserve">
Assumption by Source</t>
        </r>
      </text>
    </comment>
    <comment ref="S444" authorId="1" shapeId="0" xr:uid="{00000000-0006-0000-0100-000007010000}">
      <text>
        <r>
          <rPr>
            <b/>
            <sz val="9"/>
            <rFont val="Tahoma"/>
            <family val="2"/>
          </rPr>
          <t>Author:</t>
        </r>
        <r>
          <rPr>
            <sz val="9"/>
            <rFont val="Tahoma"/>
            <family val="2"/>
          </rPr>
          <t xml:space="preserve">
Assumption by Source</t>
        </r>
      </text>
    </comment>
    <comment ref="V444" authorId="1" shapeId="0" xr:uid="{00000000-0006-0000-0100-000008010000}">
      <text>
        <r>
          <rPr>
            <b/>
            <sz val="9"/>
            <rFont val="Tahoma"/>
            <family val="2"/>
          </rPr>
          <t>Author:</t>
        </r>
        <r>
          <rPr>
            <sz val="9"/>
            <rFont val="Tahoma"/>
            <family val="2"/>
          </rPr>
          <t xml:space="preserve">
Assumption by Source</t>
        </r>
      </text>
    </comment>
    <comment ref="W444" authorId="1" shapeId="0" xr:uid="{00000000-0006-0000-0100-000009010000}">
      <text>
        <r>
          <rPr>
            <b/>
            <sz val="9"/>
            <rFont val="Tahoma"/>
            <family val="2"/>
          </rPr>
          <t>Author:</t>
        </r>
        <r>
          <rPr>
            <sz val="9"/>
            <rFont val="Tahoma"/>
            <family val="2"/>
          </rPr>
          <t xml:space="preserve">
Assumption by Source</t>
        </r>
      </text>
    </comment>
    <comment ref="X444" authorId="1" shapeId="0" xr:uid="{00000000-0006-0000-0100-00000A010000}">
      <text>
        <r>
          <rPr>
            <b/>
            <sz val="9"/>
            <rFont val="Tahoma"/>
            <family val="2"/>
          </rPr>
          <t>Author:</t>
        </r>
        <r>
          <rPr>
            <sz val="9"/>
            <rFont val="Tahoma"/>
            <family val="2"/>
          </rPr>
          <t xml:space="preserve">
Assumption by Source</t>
        </r>
      </text>
    </comment>
    <comment ref="AA444" authorId="1" shapeId="0" xr:uid="{00000000-0006-0000-0100-00000B010000}">
      <text>
        <r>
          <rPr>
            <b/>
            <sz val="9"/>
            <rFont val="Tahoma"/>
            <family val="2"/>
          </rPr>
          <t>Author:</t>
        </r>
        <r>
          <rPr>
            <sz val="9"/>
            <rFont val="Tahoma"/>
            <family val="2"/>
          </rPr>
          <t xml:space="preserve">
Assumption by Source</t>
        </r>
      </text>
    </comment>
    <comment ref="AB444" authorId="1" shapeId="0" xr:uid="{00000000-0006-0000-0100-00000C010000}">
      <text>
        <r>
          <rPr>
            <b/>
            <sz val="9"/>
            <rFont val="Tahoma"/>
            <family val="2"/>
          </rPr>
          <t>Author:</t>
        </r>
        <r>
          <rPr>
            <sz val="9"/>
            <rFont val="Tahoma"/>
            <family val="2"/>
          </rPr>
          <t xml:space="preserve">
Assumption by Source</t>
        </r>
      </text>
    </comment>
    <comment ref="AC444" authorId="1" shapeId="0" xr:uid="{00000000-0006-0000-0100-00000D010000}">
      <text>
        <r>
          <rPr>
            <b/>
            <sz val="9"/>
            <rFont val="Tahoma"/>
            <family val="2"/>
          </rPr>
          <t>Author:</t>
        </r>
        <r>
          <rPr>
            <sz val="9"/>
            <rFont val="Tahoma"/>
            <family val="2"/>
          </rPr>
          <t xml:space="preserve">
Assumption by Source</t>
        </r>
      </text>
    </comment>
    <comment ref="AF444" authorId="1" shapeId="0" xr:uid="{00000000-0006-0000-0100-00000E010000}">
      <text>
        <r>
          <rPr>
            <b/>
            <sz val="9"/>
            <rFont val="Tahoma"/>
            <family val="2"/>
          </rPr>
          <t>Author:</t>
        </r>
        <r>
          <rPr>
            <sz val="9"/>
            <rFont val="Tahoma"/>
            <family val="2"/>
          </rPr>
          <t xml:space="preserve">
Assumption by Source</t>
        </r>
      </text>
    </comment>
    <comment ref="AG444" authorId="1" shapeId="0" xr:uid="{00000000-0006-0000-0100-00000F010000}">
      <text>
        <r>
          <rPr>
            <b/>
            <sz val="9"/>
            <rFont val="Tahoma"/>
            <family val="2"/>
          </rPr>
          <t>Author:</t>
        </r>
        <r>
          <rPr>
            <sz val="9"/>
            <rFont val="Tahoma"/>
            <family val="2"/>
          </rPr>
          <t xml:space="preserve">
Assumption by Source</t>
        </r>
      </text>
    </comment>
    <comment ref="AH444" authorId="1" shapeId="0" xr:uid="{00000000-0006-0000-0100-000010010000}">
      <text>
        <r>
          <rPr>
            <b/>
            <sz val="9"/>
            <rFont val="Tahoma"/>
            <family val="2"/>
          </rPr>
          <t>Author:</t>
        </r>
        <r>
          <rPr>
            <sz val="9"/>
            <rFont val="Tahoma"/>
            <family val="2"/>
          </rPr>
          <t xml:space="preserve">
Assumption by Source</t>
        </r>
      </text>
    </comment>
    <comment ref="BA444" authorId="0" shapeId="0" xr:uid="{00000000-0006-0000-0100-000000010000}">
      <text>
        <r>
          <rPr>
            <b/>
            <sz val="9"/>
            <rFont val="Tahoma"/>
            <family val="2"/>
          </rPr>
          <t>Author:</t>
        </r>
        <r>
          <rPr>
            <sz val="9"/>
            <rFont val="Tahoma"/>
            <family val="2"/>
          </rPr>
          <t xml:space="preserve">
All shares have been retroactively restated for all previous periods to reflect the four-for-one stock split, in the form of a stock dividend, distributed after the close of trading on July 19, 2021</t>
        </r>
      </text>
    </comment>
    <comment ref="A452" authorId="0" shapeId="0" xr:uid="{00000000-0006-0000-0100-000001010000}">
      <text>
        <r>
          <rPr>
            <b/>
            <sz val="9"/>
            <rFont val="Tahoma"/>
            <family val="2"/>
          </rPr>
          <t>Author:</t>
        </r>
        <r>
          <rPr>
            <sz val="9"/>
            <rFont val="Tahoma"/>
            <family val="2"/>
          </rPr>
          <t xml:space="preserve">
In periods where EPS is negative, this amount is calculated using the closest prior period where EPS was positive.</t>
        </r>
      </text>
    </comment>
    <comment ref="D452" authorId="0" shapeId="0" xr:uid="{00000000-0006-0000-0100-000002010000}">
      <text>
        <r>
          <rPr>
            <b/>
            <sz val="9"/>
            <rFont val="Tahoma"/>
            <family val="2"/>
          </rPr>
          <t>Author:</t>
        </r>
        <r>
          <rPr>
            <sz val="9"/>
            <rFont val="Tahoma"/>
            <family val="2"/>
          </rPr>
          <t xml:space="preserve">
Previously, all dilutive securities were excluded from WAD due to the antidilutive effect.</t>
        </r>
      </text>
    </comment>
    <comment ref="D460" authorId="0" shapeId="0" xr:uid="{00000000-0006-0000-0100-000003010000}">
      <text>
        <r>
          <rPr>
            <b/>
            <sz val="9"/>
            <rFont val="Tahoma"/>
            <family val="2"/>
          </rPr>
          <t>Author:</t>
        </r>
        <r>
          <rPr>
            <sz val="9"/>
            <rFont val="Tahoma"/>
            <family val="2"/>
          </rPr>
          <t xml:space="preserve">
Cancelled and cancellations related to stock option holders.</t>
        </r>
      </text>
    </comment>
    <comment ref="U461" authorId="0" shapeId="0" xr:uid="{00000000-0006-0000-0100-000004010000}">
      <text>
        <r>
          <rPr>
            <b/>
            <sz val="9"/>
            <rFont val="Tahoma"/>
            <family val="2"/>
          </rPr>
          <t>Author:</t>
        </r>
        <r>
          <rPr>
            <sz val="9"/>
            <rFont val="Tahoma"/>
            <family val="2"/>
          </rPr>
          <t xml:space="preserve">
Rounding error. Outstanding #'s switched to reporting in millions.</t>
        </r>
      </text>
    </comment>
    <comment ref="U467" authorId="0" shapeId="0" xr:uid="{00000000-0006-0000-0100-000005010000}">
      <text>
        <r>
          <rPr>
            <b/>
            <sz val="9"/>
            <rFont val="Tahoma"/>
            <family val="2"/>
          </rPr>
          <t>Author:</t>
        </r>
        <r>
          <rPr>
            <sz val="9"/>
            <rFont val="Tahoma"/>
            <family val="2"/>
          </rPr>
          <t xml:space="preserve">
Rounding error. Set to equal BoP reported in later filings. Originally reported as 85 mln (split-adjusted).</t>
        </r>
      </text>
    </comment>
    <comment ref="D472" authorId="0" shapeId="0" xr:uid="{00000000-0006-0000-0100-000006010000}">
      <text>
        <r>
          <rPr>
            <b/>
            <sz val="9"/>
            <rFont val="Tahoma"/>
            <family val="2"/>
          </rPr>
          <t>Author:</t>
        </r>
        <r>
          <rPr>
            <sz val="9"/>
            <rFont val="Tahoma"/>
            <family val="2"/>
          </rPr>
          <t xml:space="preserve">
Cancelled and cancellations related to stock option holders.</t>
        </r>
      </text>
    </comment>
    <comment ref="AI473" authorId="0" shapeId="0" xr:uid="{00000000-0006-0000-0100-000007010000}">
      <text>
        <r>
          <rPr>
            <b/>
            <sz val="9"/>
            <rFont val="Tahoma"/>
            <family val="2"/>
          </rPr>
          <t>Author:</t>
        </r>
        <r>
          <rPr>
            <sz val="9"/>
            <rFont val="Tahoma"/>
            <family val="2"/>
          </rPr>
          <t xml:space="preserve">
Not reported, estimated</t>
        </r>
      </text>
    </comment>
    <comment ref="AJ473" authorId="0" shapeId="0" xr:uid="{00000000-0006-0000-0100-000008010000}">
      <text>
        <r>
          <rPr>
            <b/>
            <sz val="9"/>
            <rFont val="Tahoma"/>
            <family val="2"/>
          </rPr>
          <t>Author:</t>
        </r>
        <r>
          <rPr>
            <sz val="9"/>
            <rFont val="Tahoma"/>
            <family val="2"/>
          </rPr>
          <t xml:space="preserve">
Not reported, estimated</t>
        </r>
      </text>
    </comment>
    <comment ref="AI479" authorId="0" shapeId="0" xr:uid="{00000000-0006-0000-0100-000009010000}">
      <text>
        <r>
          <rPr>
            <b/>
            <sz val="9"/>
            <rFont val="Tahoma"/>
            <family val="2"/>
          </rPr>
          <t>Author:</t>
        </r>
        <r>
          <rPr>
            <sz val="9"/>
            <rFont val="Tahoma"/>
            <family val="2"/>
          </rPr>
          <t xml:space="preserve">
Not reported, estimated</t>
        </r>
      </text>
    </comment>
    <comment ref="AJ479" authorId="0" shapeId="0" xr:uid="{00000000-0006-0000-0100-00000A010000}">
      <text>
        <r>
          <rPr>
            <b/>
            <sz val="9"/>
            <rFont val="Tahoma"/>
            <family val="2"/>
          </rPr>
          <t>Author:</t>
        </r>
        <r>
          <rPr>
            <sz val="9"/>
            <rFont val="Tahoma"/>
            <family val="2"/>
          </rPr>
          <t xml:space="preserve">
Not reported, estimated</t>
        </r>
      </text>
    </comment>
    <comment ref="A482" authorId="0" shapeId="0" xr:uid="{00000000-0006-0000-0100-00000B010000}">
      <text>
        <r>
          <rPr>
            <b/>
            <sz val="9"/>
            <rFont val="Tahoma"/>
            <family val="2"/>
          </rPr>
          <t>Author:</t>
        </r>
        <r>
          <rPr>
            <sz val="9"/>
            <rFont val="Tahoma"/>
            <family val="2"/>
          </rPr>
          <t xml:space="preserve">
Quarterly data not reported.</t>
        </r>
      </text>
    </comment>
    <comment ref="AJ482" authorId="0" shapeId="0" xr:uid="{00000000-0006-0000-0100-00000C010000}">
      <text>
        <r>
          <rPr>
            <b/>
            <sz val="9"/>
            <rFont val="Tahoma"/>
            <family val="2"/>
          </rPr>
          <t>Author:</t>
        </r>
        <r>
          <rPr>
            <sz val="9"/>
            <rFont val="Tahoma"/>
            <family val="2"/>
          </rPr>
          <t xml:space="preserve">
The amount of unvested stock options was not significant.</t>
        </r>
      </text>
    </comment>
    <comment ref="A488" authorId="0" shapeId="0" xr:uid="{00000000-0006-0000-0100-00000D010000}">
      <text>
        <r>
          <rPr>
            <b/>
            <sz val="9"/>
            <rFont val="Tahoma"/>
            <family val="2"/>
          </rPr>
          <t>Author:</t>
        </r>
        <r>
          <rPr>
            <sz val="9"/>
            <rFont val="Tahoma"/>
            <family val="2"/>
          </rPr>
          <t xml:space="preserve">
Dilutive impact of future ESPP purchases not reported.</t>
        </r>
      </text>
    </comment>
    <comment ref="BA494" authorId="0" shapeId="0" xr:uid="{00000000-0006-0000-0100-00000E010000}">
      <text>
        <r>
          <rPr>
            <b/>
            <sz val="9"/>
            <rFont val="Tahoma"/>
            <family val="2"/>
          </rPr>
          <t>Author:</t>
        </r>
        <r>
          <rPr>
            <sz val="9"/>
            <rFont val="Tahoma"/>
            <family val="2"/>
          </rPr>
          <t xml:space="preserve">
All shares have been retroactively restated for all previous periods to reflect the four-for-one stock split, in the form of a stock dividend, distributed after the close of trading on July 19, 2021</t>
        </r>
      </text>
    </comment>
    <comment ref="BN494" authorId="0" shapeId="0" xr:uid="{00000000-0006-0000-0100-00000F010000}">
      <text>
        <r>
          <rPr>
            <b/>
            <sz val="9"/>
            <rFont val="Tahoma"/>
            <family val="2"/>
          </rPr>
          <t>Author:</t>
        </r>
        <r>
          <rPr>
            <sz val="9"/>
            <rFont val="Tahoma"/>
            <family val="2"/>
          </rPr>
          <t xml:space="preserve">
2.5 billion</t>
        </r>
      </text>
    </comment>
    <comment ref="C502" authorId="0" shapeId="0" xr:uid="{00000000-0006-0000-0100-000010010000}">
      <text>
        <r>
          <rPr>
            <b/>
            <sz val="9"/>
            <rFont val="Tahoma"/>
            <family val="2"/>
          </rPr>
          <t>Author:</t>
        </r>
        <r>
          <rPr>
            <sz val="9"/>
            <rFont val="Tahoma"/>
            <family val="2"/>
          </rPr>
          <t xml:space="preserve">
Hardcoded as reported</t>
        </r>
      </text>
    </comment>
    <comment ref="BB502" authorId="0" shapeId="0" xr:uid="{00000000-0006-0000-0100-000011010000}">
      <text>
        <r>
          <rPr>
            <b/>
            <sz val="9"/>
            <rFont val="Tahoma"/>
            <family val="2"/>
          </rPr>
          <t>Author:</t>
        </r>
        <r>
          <rPr>
            <sz val="9"/>
            <rFont val="Tahoma"/>
            <family val="2"/>
          </rPr>
          <t xml:space="preserve">
Adjust for stock-split prior this period.</t>
        </r>
      </text>
    </comment>
    <comment ref="L506" authorId="0" shapeId="0" xr:uid="{00000000-0006-0000-0100-000012010000}">
      <text>
        <r>
          <rPr>
            <b/>
            <sz val="9"/>
            <rFont val="Tahoma"/>
            <family val="2"/>
          </rPr>
          <t>Author:</t>
        </r>
        <r>
          <rPr>
            <sz val="9"/>
            <rFont val="Tahoma"/>
            <family val="2"/>
          </rPr>
          <t xml:space="preserve">
Under ASRs. Remaining delivery after the up-front payment</t>
        </r>
      </text>
    </comment>
    <comment ref="N506" authorId="0" shapeId="0" xr:uid="{00000000-0006-0000-0100-000013010000}">
      <text>
        <r>
          <rPr>
            <b/>
            <sz val="9"/>
            <rFont val="Tahoma"/>
            <family val="2"/>
          </rPr>
          <t>Author:</t>
        </r>
        <r>
          <rPr>
            <sz val="9"/>
            <rFont val="Tahoma"/>
            <family val="2"/>
          </rPr>
          <t xml:space="preserve">
Under ASRs. Remaining delivery after the up-front payment</t>
        </r>
      </text>
    </comment>
    <comment ref="R506" authorId="0" shapeId="0" xr:uid="{00000000-0006-0000-0100-000014010000}">
      <text>
        <r>
          <rPr>
            <b/>
            <sz val="9"/>
            <rFont val="Tahoma"/>
            <family val="2"/>
          </rPr>
          <t>Author:</t>
        </r>
        <r>
          <rPr>
            <sz val="9"/>
            <rFont val="Tahoma"/>
            <family val="2"/>
          </rPr>
          <t xml:space="preserve">
Under ASRs. Remaining delivery after the up-front payment</t>
        </r>
      </text>
    </comment>
    <comment ref="S506" authorId="0" shapeId="0" xr:uid="{00000000-0006-0000-0100-000015010000}">
      <text>
        <r>
          <rPr>
            <b/>
            <sz val="9"/>
            <rFont val="Tahoma"/>
            <family val="2"/>
          </rPr>
          <t>Author:</t>
        </r>
        <r>
          <rPr>
            <sz val="9"/>
            <rFont val="Tahoma"/>
            <family val="2"/>
          </rPr>
          <t xml:space="preserve">
Under ASRs. Remaining delivery after the up-front payment</t>
        </r>
      </text>
    </comment>
    <comment ref="X506" authorId="0" shapeId="0" xr:uid="{00000000-0006-0000-0100-000016010000}">
      <text>
        <r>
          <rPr>
            <b/>
            <sz val="9"/>
            <rFont val="Tahoma"/>
            <family val="2"/>
          </rPr>
          <t>Author:</t>
        </r>
        <r>
          <rPr>
            <sz val="9"/>
            <rFont val="Tahoma"/>
            <family val="2"/>
          </rPr>
          <t xml:space="preserve">
Under ASRs. Remaining delivery after the up-front payment</t>
        </r>
      </text>
    </comment>
    <comment ref="AA506" authorId="0" shapeId="0" xr:uid="{00000000-0006-0000-0100-000017010000}">
      <text>
        <r>
          <rPr>
            <b/>
            <sz val="9"/>
            <rFont val="Tahoma"/>
            <family val="2"/>
          </rPr>
          <t>Author:</t>
        </r>
        <r>
          <rPr>
            <sz val="9"/>
            <rFont val="Tahoma"/>
            <family val="2"/>
          </rPr>
          <t xml:space="preserve">
Under ASRs. Remaining delivery after the up-front payment</t>
        </r>
      </text>
    </comment>
    <comment ref="BB507" authorId="0" shapeId="0" xr:uid="{00000000-0006-0000-0100-000018010000}">
      <text>
        <r>
          <rPr>
            <b/>
            <sz val="9"/>
            <rFont val="Tahoma"/>
            <family val="2"/>
          </rPr>
          <t>Author:</t>
        </r>
        <r>
          <rPr>
            <sz val="9"/>
            <rFont val="Tahoma"/>
            <family val="2"/>
          </rPr>
          <t xml:space="preserve">
Adjust for stock-split prior this period.</t>
        </r>
      </text>
    </comment>
    <comment ref="J509" authorId="0" shapeId="0" xr:uid="{00000000-0006-0000-0100-000019010000}">
      <text>
        <r>
          <rPr>
            <b/>
            <sz val="9"/>
            <rFont val="Tahoma"/>
            <family val="2"/>
          </rPr>
          <t>Author:</t>
        </r>
        <r>
          <rPr>
            <sz val="9"/>
            <rFont val="Tahoma"/>
            <family val="2"/>
          </rPr>
          <t xml:space="preserve">
Hardcoded. Due to reporting unit changed</t>
        </r>
      </text>
    </comment>
    <comment ref="AB511" authorId="0" shapeId="0" xr:uid="{00000000-0006-0000-0100-00001A010000}">
      <text>
        <r>
          <rPr>
            <b/>
            <sz val="9"/>
            <rFont val="Tahoma"/>
            <family val="2"/>
          </rPr>
          <t>Author:</t>
        </r>
        <r>
          <rPr>
            <sz val="9"/>
            <rFont val="Tahoma"/>
            <family val="2"/>
          </rPr>
          <t xml:space="preserve">
COMPANY0150 up-front payment. No share delivered during this quarter.</t>
        </r>
      </text>
    </comment>
    <comment ref="C512" authorId="0" shapeId="0" xr:uid="{00000000-0006-0000-0100-00001B010000}">
      <text>
        <r>
          <rPr>
            <b/>
            <sz val="9"/>
            <rFont val="Tahoma"/>
            <family val="2"/>
          </rPr>
          <t>Author:</t>
        </r>
        <r>
          <rPr>
            <sz val="9"/>
            <rFont val="Tahoma"/>
            <family val="2"/>
          </rPr>
          <t xml:space="preserve">
Hardcoded as reported</t>
        </r>
      </text>
    </comment>
    <comment ref="O514" authorId="0" shapeId="0" xr:uid="{00000000-0006-0000-0100-00001C010000}">
      <text>
        <r>
          <rPr>
            <b/>
            <sz val="9"/>
            <rFont val="Tahoma"/>
            <family val="2"/>
          </rPr>
          <t>Author:</t>
        </r>
        <r>
          <rPr>
            <sz val="9"/>
            <rFont val="Tahoma"/>
            <family val="2"/>
          </rPr>
          <t xml:space="preserve">
In November 2013,, the Company authorized an additional $1 billion under the repurchase program.</t>
        </r>
      </text>
    </comment>
    <comment ref="W514" authorId="0" shapeId="0" xr:uid="{00000000-0006-0000-0100-00001D010000}">
      <text>
        <r>
          <rPr>
            <b/>
            <sz val="9"/>
            <rFont val="Tahoma"/>
            <family val="2"/>
          </rPr>
          <t>Author:</t>
        </r>
        <r>
          <rPr>
            <sz val="9"/>
            <rFont val="Tahoma"/>
            <family val="2"/>
          </rPr>
          <t xml:space="preserve">
In May 2015, the Company authorized an additional $1.62 billion under the repurchase program.</t>
        </r>
      </text>
    </comment>
    <comment ref="AD514" authorId="0" shapeId="0" xr:uid="{00000000-0006-0000-0100-00001E010000}">
      <text>
        <r>
          <rPr>
            <b/>
            <sz val="9"/>
            <rFont val="Tahoma"/>
            <family val="2"/>
          </rPr>
          <t>Author:</t>
        </r>
        <r>
          <rPr>
            <sz val="9"/>
            <rFont val="Tahoma"/>
            <family val="2"/>
          </rPr>
          <t xml:space="preserve">
On November 7, 2016, the Company authorized an additional $2 billion under repurchase program.</t>
        </r>
      </text>
    </comment>
    <comment ref="AN514" authorId="0" shapeId="0" xr:uid="{00000000-0006-0000-0100-00001F010000}">
      <text>
        <r>
          <rPr>
            <b/>
            <sz val="9"/>
            <rFont val="Tahoma"/>
            <family val="2"/>
          </rPr>
          <t>Author:</t>
        </r>
        <r>
          <rPr>
            <sz val="9"/>
            <rFont val="Tahoma"/>
            <family val="2"/>
          </rPr>
          <t xml:space="preserve">
In November 2018, the Company authorized an additional $7 billion under repurchase program.</t>
        </r>
      </text>
    </comment>
    <comment ref="BF514" authorId="0" shapeId="0" xr:uid="{00000000-0006-0000-0100-000020010000}">
      <text>
        <r>
          <rPr>
            <b/>
            <sz val="9"/>
            <rFont val="Tahoma"/>
            <family val="2"/>
          </rPr>
          <t>Author:</t>
        </r>
        <r>
          <rPr>
            <sz val="9"/>
            <rFont val="Tahoma"/>
            <family val="2"/>
          </rPr>
          <t xml:space="preserve">
On May 23, 2022,the Company increased and extended share repurchase program to repurchase additional common stock up to a total of $15 billion </t>
        </r>
      </text>
    </comment>
    <comment ref="BL514" authorId="0" shapeId="0" xr:uid="{00000000-0006-0000-0100-000021010000}">
      <text>
        <r>
          <rPr>
            <b/>
            <sz val="9"/>
            <rFont val="Tahoma"/>
            <family val="2"/>
          </rPr>
          <t>Author:</t>
        </r>
        <r>
          <rPr>
            <sz val="9"/>
            <rFont val="Tahoma"/>
            <family val="2"/>
          </rPr>
          <t xml:space="preserve">
On August 21, 2023, the Company approved an increase to share repurchase program of an additional $25 billion.</t>
        </r>
      </text>
    </comment>
    <comment ref="BZ514" authorId="2" shapeId="0" xr:uid="{00000000-0006-0000-0100-000022010000}">
      <text>
        <r>
          <rPr>
            <b/>
            <sz val="9"/>
            <rFont val="Tahoma"/>
            <family val="2"/>
          </rPr>
          <t>Author:</t>
        </r>
        <r>
          <rPr>
            <sz val="9"/>
            <rFont val="Tahoma"/>
            <family val="2"/>
          </rPr>
          <t xml:space="preserve">
On May 18, 2026, our Board of Directors approved an additional $80.0 billion in share repurchase authorization, without expiration.</t>
        </r>
      </text>
    </comment>
    <comment ref="BQ515" authorId="4" shapeId="0" xr:uid="{00000000-0006-0000-0100-000023010000}">
      <text>
        <r>
          <rPr>
            <b/>
            <sz val="9"/>
            <rFont val="Tahoma"/>
            <family val="2"/>
          </rPr>
          <t>Author:</t>
        </r>
        <r>
          <rPr>
            <sz val="9"/>
            <rFont val="Tahoma"/>
            <family val="2"/>
          </rPr>
          <t xml:space="preserve">
On August 26, 2024, our Board of Directors approved an additional $50 billion to our share repurchase authorization, without expiration.</t>
        </r>
      </text>
    </comment>
    <comment ref="AA519" authorId="0" shapeId="0" xr:uid="{00000000-0006-0000-0100-000024010000}">
      <text>
        <r>
          <rPr>
            <b/>
            <sz val="9"/>
            <rFont val="Tahoma"/>
            <family val="2"/>
          </rPr>
          <t>Author:</t>
        </r>
        <r>
          <rPr>
            <sz val="9"/>
            <rFont val="Tahoma"/>
            <family val="2"/>
          </rPr>
          <t xml:space="preserve">
Adjusted formular due to reporting unit changed</t>
        </r>
      </text>
    </comment>
    <comment ref="BJ519" authorId="0" shapeId="0" xr:uid="{00000000-0006-0000-0100-000025010000}">
      <text>
        <r>
          <rPr>
            <b/>
            <sz val="9"/>
            <rFont val="Tahoma"/>
            <family val="2"/>
          </rPr>
          <t>Author:</t>
        </r>
        <r>
          <rPr>
            <sz val="9"/>
            <rFont val="Tahoma"/>
            <family val="2"/>
          </rPr>
          <t xml:space="preserve">
The Company did not repurchase any shares during the first quarter of FY2024</t>
        </r>
      </text>
    </comment>
    <comment ref="AA520" authorId="0" shapeId="0" xr:uid="{00000000-0006-0000-0100-000026010000}">
      <text>
        <r>
          <rPr>
            <b/>
            <sz val="9"/>
            <rFont val="Tahoma"/>
            <family val="2"/>
          </rPr>
          <t>Author:</t>
        </r>
        <r>
          <rPr>
            <sz val="9"/>
            <rFont val="Tahoma"/>
            <family val="2"/>
          </rPr>
          <t xml:space="preserve">
Adjusted formular due to reporting unit changed</t>
        </r>
      </text>
    </comment>
    <comment ref="BJ520" authorId="0" shapeId="0" xr:uid="{00000000-0006-0000-0100-000027010000}">
      <text>
        <r>
          <rPr>
            <b/>
            <sz val="9"/>
            <rFont val="Tahoma"/>
            <family val="2"/>
          </rPr>
          <t>Author:</t>
        </r>
        <r>
          <rPr>
            <sz val="9"/>
            <rFont val="Tahoma"/>
            <family val="2"/>
          </rPr>
          <t xml:space="preserve">
The Company did not repurchase any shares during the first quarter of FY2024</t>
        </r>
      </text>
    </comment>
    <comment ref="BJ521" authorId="0" shapeId="0" xr:uid="{00000000-0006-0000-0100-000028010000}">
      <text>
        <r>
          <rPr>
            <b/>
            <sz val="9"/>
            <rFont val="Tahoma"/>
            <family val="2"/>
          </rPr>
          <t>Author:</t>
        </r>
        <r>
          <rPr>
            <sz val="9"/>
            <rFont val="Tahoma"/>
            <family val="2"/>
          </rPr>
          <t xml:space="preserve">
The Company did not repurchase any shares during the first quarter of FY2024</t>
        </r>
      </text>
    </comment>
    <comment ref="C522" authorId="0" shapeId="0" xr:uid="{00000000-0006-0000-0100-000029010000}">
      <text>
        <r>
          <rPr>
            <b/>
            <sz val="9"/>
            <rFont val="Tahoma"/>
            <family val="2"/>
          </rPr>
          <t>Author:</t>
        </r>
        <r>
          <rPr>
            <sz val="9"/>
            <rFont val="Tahoma"/>
            <family val="2"/>
          </rPr>
          <t xml:space="preserve">
Hardcoded as reported</t>
        </r>
      </text>
    </comment>
    <comment ref="D522" authorId="0" shapeId="0" xr:uid="{00000000-0006-0000-0100-00002A010000}">
      <text>
        <r>
          <rPr>
            <b/>
            <sz val="9"/>
            <rFont val="Tahoma"/>
            <family val="2"/>
          </rPr>
          <t>Author:</t>
        </r>
        <r>
          <rPr>
            <sz val="9"/>
            <rFont val="Tahoma"/>
            <family val="2"/>
          </rPr>
          <t xml:space="preserve">
The Company did not enter into any structured share repurchase transitions during FY2010</t>
        </r>
      </text>
    </comment>
    <comment ref="E522" authorId="0" shapeId="0" xr:uid="{00000000-0006-0000-0100-00002B010000}">
      <text>
        <r>
          <rPr>
            <b/>
            <sz val="9"/>
            <rFont val="Tahoma"/>
            <family val="2"/>
          </rPr>
          <t>Author:</t>
        </r>
        <r>
          <rPr>
            <sz val="9"/>
            <rFont val="Tahoma"/>
            <family val="2"/>
          </rPr>
          <t xml:space="preserve">
The Company did not enter into any structured share repurchase transitions during FY2011</t>
        </r>
      </text>
    </comment>
    <comment ref="F522" authorId="0" shapeId="0" xr:uid="{00000000-0006-0000-0100-00002C010000}">
      <text>
        <r>
          <rPr>
            <b/>
            <sz val="9"/>
            <rFont val="Tahoma"/>
            <family val="2"/>
          </rPr>
          <t>Author:</t>
        </r>
        <r>
          <rPr>
            <sz val="9"/>
            <rFont val="Tahoma"/>
            <family val="2"/>
          </rPr>
          <t xml:space="preserve">
The Company did not enter into any structured share repurchase transitions during FY2012</t>
        </r>
      </text>
    </comment>
    <comment ref="AC522" authorId="0" shapeId="0" xr:uid="{00000000-0006-0000-0100-00002D010000}">
      <text>
        <r>
          <rPr>
            <b/>
            <sz val="9"/>
            <rFont val="Tahoma"/>
            <family val="2"/>
          </rPr>
          <t>Author:</t>
        </r>
        <r>
          <rPr>
            <sz val="9"/>
            <rFont val="Tahoma"/>
            <family val="2"/>
          </rPr>
          <t xml:space="preserve">
The Company did not enter any structured share repurchase transactions during the Q3-2017</t>
        </r>
      </text>
    </comment>
    <comment ref="AL522" authorId="0" shapeId="0" xr:uid="{00000000-0006-0000-0100-00002E010000}">
      <text>
        <r>
          <rPr>
            <b/>
            <sz val="9"/>
            <rFont val="Tahoma"/>
            <family val="2"/>
          </rPr>
          <t>Author:</t>
        </r>
        <r>
          <rPr>
            <sz val="9"/>
            <rFont val="Tahoma"/>
            <family val="2"/>
          </rPr>
          <t xml:space="preserve">
The Company had no share repurchase transactions during Q2-2019</t>
        </r>
      </text>
    </comment>
    <comment ref="AT522" authorId="0" shapeId="0" xr:uid="{00000000-0006-0000-0100-00002F010000}">
      <text>
        <r>
          <rPr>
            <b/>
            <sz val="9"/>
            <rFont val="Tahoma"/>
            <family val="2"/>
          </rPr>
          <t>Author:</t>
        </r>
        <r>
          <rPr>
            <sz val="9"/>
            <rFont val="Tahoma"/>
            <family val="2"/>
          </rPr>
          <t xml:space="preserve">
The Company did not repurchase any shares during FY2020</t>
        </r>
      </text>
    </comment>
    <comment ref="AY522" authorId="0" shapeId="0" xr:uid="{00000000-0006-0000-0100-000030010000}">
      <text>
        <r>
          <rPr>
            <b/>
            <sz val="9"/>
            <rFont val="Tahoma"/>
            <family val="2"/>
          </rPr>
          <t>Author:</t>
        </r>
        <r>
          <rPr>
            <sz val="9"/>
            <rFont val="Tahoma"/>
            <family val="2"/>
          </rPr>
          <t xml:space="preserve">
The Company did not repurchase any shares during FY2021 </t>
        </r>
      </text>
    </comment>
    <comment ref="BD522" authorId="0" shapeId="0" xr:uid="{00000000-0006-0000-0100-000031010000}">
      <text>
        <r>
          <rPr>
            <b/>
            <sz val="9"/>
            <rFont val="Tahoma"/>
            <family val="2"/>
          </rPr>
          <t>Author:</t>
        </r>
        <r>
          <rPr>
            <sz val="9"/>
            <rFont val="Tahoma"/>
            <family val="2"/>
          </rPr>
          <t xml:space="preserve">
The Company did not repurchase any shares during FY2022</t>
        </r>
      </text>
    </comment>
    <comment ref="BJ522" authorId="0" shapeId="0" xr:uid="{00000000-0006-0000-0100-000032010000}">
      <text>
        <r>
          <rPr>
            <b/>
            <sz val="9"/>
            <rFont val="Tahoma"/>
            <family val="2"/>
          </rPr>
          <t>Author:</t>
        </r>
        <r>
          <rPr>
            <sz val="9"/>
            <rFont val="Tahoma"/>
            <family val="2"/>
          </rPr>
          <t xml:space="preserve">
The Company did not repurchase any shares during the first quarter of FY2024</t>
        </r>
      </text>
    </comment>
    <comment ref="AV712" authorId="0" shapeId="0" xr:uid="{00000000-0006-0000-0100-000033010000}">
      <text>
        <r>
          <rPr>
            <b/>
            <sz val="9"/>
            <rFont val="Tahoma"/>
            <family val="2"/>
          </rPr>
          <t>Author:</t>
        </r>
        <r>
          <rPr>
            <sz val="9"/>
            <rFont val="Tahoma"/>
            <family val="2"/>
          </rPr>
          <t xml:space="preserve">
The company closed the acquisition of Company1796 for a transaction value of approximately $7.0 billion in cash on April 27, 2020. </t>
        </r>
      </text>
    </comment>
    <comment ref="A715" authorId="0" shapeId="0" xr:uid="{00000000-0006-0000-0100-000034010000}">
      <text>
        <r>
          <rPr>
            <b/>
            <sz val="9"/>
            <rFont val="Tahoma"/>
            <family val="2"/>
          </rPr>
          <t>Author:</t>
        </r>
        <r>
          <rPr>
            <sz val="9"/>
            <rFont val="Tahoma"/>
            <family val="2"/>
          </rPr>
          <t xml:space="preserve">
Periods prior to Q1-2024 adjusted for 10-for-1 stock split occurred June 10, 2024. Periods prior to Q1-2022 adjusted for 4-for-1 stock split occurred July 20, 2021. </t>
        </r>
      </text>
    </comment>
    <comment ref="BX814" authorId="2" shapeId="0" xr:uid="{00000000-0006-0000-0100-000035010000}">
      <text>
        <r>
          <rPr>
            <b/>
            <sz val="9"/>
            <rFont val="Tahoma"/>
            <family val="2"/>
            <charset val="1"/>
          </rPr>
          <t>Author:</t>
        </r>
        <r>
          <rPr>
            <sz val="9"/>
            <rFont val="Tahoma"/>
            <family val="2"/>
            <charset val="1"/>
          </rPr>
          <t xml:space="preserve">
Including Company1163 Inc.</t>
        </r>
      </text>
    </comment>
    <comment ref="BP816" authorId="2" shapeId="0" xr:uid="{00000000-0006-0000-0100-000036010000}">
      <text>
        <r>
          <rPr>
            <b/>
            <sz val="9"/>
            <rFont val="Tahoma"/>
            <family val="2"/>
          </rPr>
          <t>Author:</t>
        </r>
        <r>
          <rPr>
            <sz val="9"/>
            <rFont val="Tahoma"/>
            <family val="2"/>
          </rPr>
          <t xml:space="preserve">
Purchases and proceeds from sales of investments in non-affiliated entities </t>
        </r>
      </text>
    </comment>
    <comment ref="BQ816" authorId="4" shapeId="0" xr:uid="{00000000-0006-0000-0100-000037010000}">
      <text>
        <r>
          <rPr>
            <b/>
            <sz val="9"/>
            <rFont val="Tahoma"/>
            <family val="2"/>
          </rPr>
          <t>Author:</t>
        </r>
        <r>
          <rPr>
            <sz val="9"/>
            <rFont val="Tahoma"/>
            <family val="2"/>
          </rPr>
          <t xml:space="preserve">
Purchases and proceeds from sales of investments in non-affiliated entities </t>
        </r>
      </text>
    </comment>
    <comment ref="BT816" authorId="2" shapeId="0" xr:uid="{00000000-0006-0000-0100-000038010000}">
      <text>
        <r>
          <rPr>
            <b/>
            <sz val="9"/>
            <rFont val="Tahoma"/>
            <family val="2"/>
            <charset val="1"/>
          </rPr>
          <t>Author:</t>
        </r>
        <r>
          <rPr>
            <sz val="9"/>
            <rFont val="Tahoma"/>
            <family val="2"/>
            <charset val="1"/>
          </rPr>
          <t xml:space="preserve">
Purchases of non-marketable equity securities: -649
Proceeds from sales of non-marketable equity securities: 0</t>
        </r>
      </text>
    </comment>
    <comment ref="BU816" authorId="2" shapeId="0" xr:uid="{00000000-0006-0000-0100-000039010000}">
      <text>
        <r>
          <rPr>
            <b/>
            <sz val="9"/>
            <rFont val="Tahoma"/>
            <family val="2"/>
            <charset val="1"/>
          </rPr>
          <t>Author:</t>
        </r>
        <r>
          <rPr>
            <sz val="9"/>
            <rFont val="Tahoma"/>
            <family val="2"/>
            <charset val="1"/>
          </rPr>
          <t xml:space="preserve">
Purchases of non-marketable equity securities: -995
Proceeds from sales of non-marketable equity securities: 70</t>
        </r>
      </text>
    </comment>
    <comment ref="BV816" authorId="3" shapeId="0" xr:uid="{00000000-0006-0000-0100-00003A010000}">
      <text>
        <r>
          <rPr>
            <b/>
            <sz val="9"/>
            <rFont val="Tahoma"/>
            <family val="2"/>
          </rPr>
          <t>Author:</t>
        </r>
        <r>
          <rPr>
            <sz val="9"/>
            <rFont val="Tahoma"/>
            <family val="2"/>
          </rPr>
          <t xml:space="preserve">
Purchases of non-marketable equity securities: 4,720</t>
        </r>
      </text>
    </comment>
    <comment ref="BX816" authorId="3" shapeId="0" xr:uid="{00000000-0006-0000-0100-00003B010000}">
      <text>
        <r>
          <rPr>
            <b/>
            <sz val="9"/>
            <rFont val="Tahoma"/>
            <family val="2"/>
          </rPr>
          <t>Author:</t>
        </r>
        <r>
          <rPr>
            <sz val="9"/>
            <rFont val="Tahoma"/>
            <family val="2"/>
          </rPr>
          <t xml:space="preserve">
Purchases of non-marketable equity securities: 4,720</t>
        </r>
      </text>
    </comment>
    <comment ref="AC831" authorId="0" shapeId="0" xr:uid="{00000000-0006-0000-0100-00003C010000}">
      <text>
        <r>
          <rPr>
            <b/>
            <sz val="9"/>
            <rFont val="Tahoma"/>
            <family val="2"/>
          </rPr>
          <t>Author:</t>
        </r>
        <r>
          <rPr>
            <sz val="9"/>
            <rFont val="Tahoma"/>
            <family val="2"/>
          </rPr>
          <t xml:space="preserve">
Ommission</t>
        </r>
      </text>
    </comment>
    <comment ref="AE831" authorId="0" shapeId="0" xr:uid="{00000000-0006-0000-0100-00003D010000}">
      <text>
        <r>
          <rPr>
            <b/>
            <sz val="9"/>
            <rFont val="Tahoma"/>
            <family val="2"/>
          </rPr>
          <t>Author:</t>
        </r>
        <r>
          <rPr>
            <sz val="9"/>
            <rFont val="Tahoma"/>
            <family val="2"/>
          </rPr>
          <t xml:space="preserve">
Ommission</t>
        </r>
      </text>
    </comment>
    <comment ref="A846" authorId="0" shapeId="0" xr:uid="{00000000-0006-0000-0100-00003E010000}">
      <text>
        <r>
          <rPr>
            <b/>
            <sz val="9"/>
            <rFont val="Tahoma"/>
            <family val="2"/>
          </rPr>
          <t>Author:</t>
        </r>
        <r>
          <rPr>
            <sz val="9"/>
            <rFont val="Tahoma"/>
            <family val="2"/>
          </rPr>
          <t xml:space="preserve">
Reported as "Cash paid for interest on capital lease obligations" for periods prior to FY2015.</t>
        </r>
      </text>
    </comment>
    <comment ref="BX846" authorId="2" shapeId="0" xr:uid="{00000000-0006-0000-0100-00003F010000}">
      <text>
        <r>
          <rPr>
            <b/>
            <sz val="9"/>
            <rFont val="Tahoma"/>
            <family val="2"/>
          </rPr>
          <t>Author:</t>
        </r>
        <r>
          <rPr>
            <sz val="9"/>
            <rFont val="Tahoma"/>
            <family val="2"/>
          </rPr>
          <t xml:space="preserve">
Not reported</t>
        </r>
      </text>
    </comment>
    <comment ref="BY847" authorId="2" shapeId="0" xr:uid="{00000000-0006-0000-0100-000040010000}">
      <text>
        <r>
          <rPr>
            <b/>
            <sz val="9"/>
            <rFont val="Tahoma"/>
            <family val="2"/>
          </rPr>
          <t>Author:</t>
        </r>
        <r>
          <rPr>
            <sz val="9"/>
            <rFont val="Tahoma"/>
            <family val="2"/>
          </rPr>
          <t xml:space="preserve">
We made no federal income tax payments in the first quarter of fiscal year 2027, whereas our second quarter of fiscal year 2027 is scheduled to include two payments.</t>
        </r>
      </text>
    </comment>
    <comment ref="U915" authorId="0" shapeId="0" xr:uid="{00000000-0006-0000-0100-000041010000}">
      <text>
        <r>
          <rPr>
            <b/>
            <sz val="9"/>
            <rFont val="Tahoma"/>
            <family val="2"/>
          </rPr>
          <t>Author:</t>
        </r>
        <r>
          <rPr>
            <sz val="9"/>
            <rFont val="Tahoma"/>
            <family val="2"/>
          </rPr>
          <t xml:space="preserve">
Company2747 SC: Hardcoded due to change in rounding</t>
        </r>
      </text>
    </comment>
    <comment ref="A918" authorId="0" shapeId="0" xr:uid="{00000000-0006-0000-0100-000042010000}">
      <text>
        <r>
          <rPr>
            <b/>
            <sz val="9"/>
            <rFont val="Tahoma"/>
            <family val="2"/>
          </rPr>
          <t>Author:</t>
        </r>
        <r>
          <rPr>
            <sz val="9"/>
            <rFont val="Tahoma"/>
            <family val="2"/>
          </rPr>
          <t xml:space="preserve">
Reported as "Cash paid for interest on capital lease obligations" for periods prior to FY2015.</t>
        </r>
      </text>
    </comment>
    <comment ref="BX918" authorId="2" shapeId="0" xr:uid="{00000000-0006-0000-0100-000043010000}">
      <text>
        <r>
          <rPr>
            <b/>
            <sz val="9"/>
            <rFont val="Tahoma"/>
            <family val="2"/>
          </rPr>
          <t>Author:</t>
        </r>
        <r>
          <rPr>
            <sz val="9"/>
            <rFont val="Tahoma"/>
            <family val="2"/>
          </rPr>
          <t xml:space="preserve">
Not reported</t>
        </r>
      </text>
    </comment>
    <comment ref="BO919" authorId="2" shapeId="0" xr:uid="{00000000-0006-0000-0100-000044010000}">
      <text>
        <r>
          <rPr>
            <b/>
            <sz val="9"/>
            <rFont val="Tahoma"/>
            <family val="2"/>
          </rPr>
          <t>Author:</t>
        </r>
        <r>
          <rPr>
            <sz val="9"/>
            <rFont val="Tahoma"/>
            <family val="2"/>
          </rPr>
          <t xml:space="preserve">
Backed out of Q2-2024 cumulative</t>
        </r>
      </text>
    </comment>
    <comment ref="BT919" authorId="2" shapeId="0" xr:uid="{00000000-0006-0000-0100-000045010000}">
      <text>
        <r>
          <rPr>
            <b/>
            <sz val="9"/>
            <rFont val="Tahoma"/>
            <family val="2"/>
            <charset val="1"/>
          </rPr>
          <t>Author:</t>
        </r>
        <r>
          <rPr>
            <sz val="9"/>
            <rFont val="Tahoma"/>
            <family val="2"/>
            <charset val="1"/>
          </rPr>
          <t xml:space="preserve">
To be backed out in Q2-2026</t>
        </r>
      </text>
    </comment>
    <comment ref="Q921" authorId="0" shapeId="0" xr:uid="{00000000-0006-0000-0100-000046010000}">
      <text>
        <r>
          <rPr>
            <b/>
            <sz val="9"/>
            <rFont val="Tahoma"/>
            <family val="2"/>
          </rPr>
          <t>Author:</t>
        </r>
        <r>
          <rPr>
            <sz val="9"/>
            <rFont val="Tahoma"/>
            <family val="2"/>
          </rPr>
          <t xml:space="preserve">
Company2747 SC: Errors due to change in rounding </t>
        </r>
      </text>
    </comment>
    <comment ref="R921" authorId="0" shapeId="0" xr:uid="{00000000-0006-0000-0100-000047010000}">
      <text>
        <r>
          <rPr>
            <b/>
            <sz val="9"/>
            <rFont val="Tahoma"/>
            <family val="2"/>
          </rPr>
          <t>Author:</t>
        </r>
        <r>
          <rPr>
            <sz val="9"/>
            <rFont val="Tahoma"/>
            <family val="2"/>
          </rPr>
          <t xml:space="preserve">
Company2747 SC: Errors due to change in rounding </t>
        </r>
      </text>
    </comment>
    <comment ref="S921" authorId="0" shapeId="0" xr:uid="{00000000-0006-0000-0100-000048010000}">
      <text>
        <r>
          <rPr>
            <b/>
            <sz val="9"/>
            <rFont val="Tahoma"/>
            <family val="2"/>
          </rPr>
          <t>Author:</t>
        </r>
        <r>
          <rPr>
            <sz val="9"/>
            <rFont val="Tahoma"/>
            <family val="2"/>
          </rPr>
          <t xml:space="preserve">
Company2747 SC: Errors due to change in rounding</t>
        </r>
      </text>
    </comment>
    <comment ref="T921" authorId="0" shapeId="0" xr:uid="{00000000-0006-0000-0100-000049010000}">
      <text>
        <r>
          <rPr>
            <b/>
            <sz val="9"/>
            <rFont val="Tahoma"/>
            <family val="2"/>
          </rPr>
          <t>Author:</t>
        </r>
        <r>
          <rPr>
            <sz val="9"/>
            <rFont val="Tahoma"/>
            <family val="2"/>
          </rPr>
          <t xml:space="preserve">
Company2747 SC: Errors due to change in rounding </t>
        </r>
      </text>
    </comment>
    <comment ref="BK921" authorId="0" shapeId="0" xr:uid="{00000000-0006-0000-0100-00004A010000}">
      <text>
        <r>
          <rPr>
            <b/>
            <sz val="9"/>
            <rFont val="Tahoma"/>
            <family val="2"/>
          </rPr>
          <t>Author:</t>
        </r>
        <r>
          <rPr>
            <sz val="9"/>
            <rFont val="Tahoma"/>
            <family val="2"/>
          </rPr>
          <t xml:space="preserve">
formula adj.</t>
        </r>
      </text>
    </comment>
    <comment ref="BY961" authorId="2" shapeId="0" xr:uid="{00000000-0006-0000-0100-00004B010000}">
      <text>
        <r>
          <rPr>
            <b/>
            <sz val="9"/>
            <rFont val="Tahoma"/>
            <family val="2"/>
          </rPr>
          <t>Author:</t>
        </r>
        <r>
          <rPr>
            <sz val="9"/>
            <rFont val="Tahoma"/>
            <family val="2"/>
          </rPr>
          <t xml:space="preserve">
Marketable debt securities: 37098
Marketable equity securities: 30237</t>
        </r>
      </text>
    </comment>
    <comment ref="BK968" authorId="0" shapeId="0" xr:uid="{00000000-0006-0000-0100-00004C010000}">
      <text>
        <r>
          <rPr>
            <b/>
            <sz val="9"/>
            <rFont val="Tahoma"/>
            <family val="2"/>
          </rPr>
          <t>Author:</t>
        </r>
        <r>
          <rPr>
            <sz val="9"/>
            <rFont val="Tahoma"/>
            <family val="2"/>
          </rPr>
          <t xml:space="preserve">
adj for restricted cash</t>
        </r>
      </text>
    </comment>
    <comment ref="BL968" authorId="0" shapeId="0" xr:uid="{00000000-0006-0000-0100-00004D010000}">
      <text>
        <r>
          <rPr>
            <b/>
            <sz val="9"/>
            <rFont val="Tahoma"/>
            <family val="2"/>
          </rPr>
          <t>Author:</t>
        </r>
        <r>
          <rPr>
            <sz val="9"/>
            <rFont val="Tahoma"/>
            <family val="2"/>
          </rPr>
          <t xml:space="preserve">
adj for restricted cash</t>
        </r>
      </text>
    </comment>
    <comment ref="BP968" authorId="0" shapeId="0" xr:uid="{00000000-0006-0000-0100-00004E010000}">
      <text>
        <r>
          <rPr>
            <b/>
            <sz val="9"/>
            <rFont val="Tahoma"/>
            <family val="2"/>
          </rPr>
          <t>Author:</t>
        </r>
        <r>
          <rPr>
            <sz val="9"/>
            <rFont val="Tahoma"/>
            <family val="2"/>
          </rPr>
          <t xml:space="preserve">
adj for restricted cash</t>
        </r>
      </text>
    </comment>
    <comment ref="BX975" authorId="2" shapeId="0" xr:uid="{00000000-0006-0000-0100-00004F010000}">
      <text>
        <r>
          <rPr>
            <b/>
            <sz val="9"/>
            <rFont val="Tahoma"/>
            <family val="2"/>
          </rPr>
          <t>Author:</t>
        </r>
        <r>
          <rPr>
            <sz val="9"/>
            <rFont val="Tahoma"/>
            <family val="2"/>
          </rPr>
          <t xml:space="preserve">
In December 2025, we entered into a non‑exclusive license agreement with Company1163, Inc., or Company1163, for its language processing unit technology and hired certain Company1163 employees. No customer contracts, existing products, or equity interests were purchased. We recorded $14.4 billion of goodwill and a $2.5 billion developed technology intangible asset, valued using a cost‑to‑recreate methodology with a five‑year useful life. Goodwill, primarily attributable to the workforce and future development of the licensed technology, was recorded in the Compute &amp; Networking reporting unit. Total consideration consists of $13.0 billion paid at closing and $4 billion, inclusive of imputed interest, payable within one year included in Accrued and Other Current Liabilities on our Consolidated Balance Sheets.</t>
        </r>
      </text>
    </comment>
    <comment ref="BX976" authorId="2" shapeId="0" xr:uid="{00000000-0006-0000-0100-000050010000}">
      <text>
        <r>
          <rPr>
            <b/>
            <sz val="9"/>
            <rFont val="Tahoma"/>
            <family val="2"/>
          </rPr>
          <t>Author:</t>
        </r>
        <r>
          <rPr>
            <sz val="9"/>
            <rFont val="Tahoma"/>
            <family val="2"/>
          </rPr>
          <t xml:space="preserve">
In December 2025, we entered into a non‑exclusive license agreement with Company1163, Inc., or Company1163, for its language processing unit technology and hired certain Company1163 employees. No customer contracts, existing products, or equity interests were purchased. We recorded $14.4 billion of goodwill and a $2.5 billion developed technology intangible asset, valued using a cost‑to‑recreate methodology with a five‑year useful life. Goodwill, primarily attributable to the workforce and future development of the licensed technology, was recorded in the Compute &amp; Networking reporting unit. Total consideration consists of $13.0 billion paid at closing and $4 billion, inclusive of imputed interest, payable within one year included in Accrued and Other Current Liabilities on our Consolidated Balance Sheets.</t>
        </r>
      </text>
    </comment>
    <comment ref="BS982" authorId="2" shapeId="0" xr:uid="{00000000-0006-0000-0100-000051010000}">
      <text>
        <r>
          <rPr>
            <b/>
            <sz val="9"/>
            <rFont val="Tahoma"/>
            <family val="2"/>
          </rPr>
          <t>Author:</t>
        </r>
        <r>
          <rPr>
            <sz val="9"/>
            <rFont val="Tahoma"/>
            <family val="2"/>
          </rPr>
          <t xml:space="preserve">
Non-Marketable Equity Securities</t>
        </r>
      </text>
    </comment>
    <comment ref="BP987" authorId="5" shapeId="0" xr:uid="{00000000-0006-0000-0100-000052010000}">
      <text>
        <r>
          <rPr>
            <b/>
            <sz val="9"/>
            <rFont val="Tahoma"/>
            <family val="2"/>
            <charset val="1"/>
          </rPr>
          <t>Author:</t>
        </r>
        <r>
          <rPr>
            <sz val="9"/>
            <rFont val="Tahoma"/>
            <family val="2"/>
            <charset val="1"/>
          </rPr>
          <t xml:space="preserve">
prepaid tax 331
other 186</t>
        </r>
      </text>
    </comment>
    <comment ref="BX987" authorId="2" shapeId="0" xr:uid="{00000000-0006-0000-0100-000053010000}">
      <text>
        <r>
          <rPr>
            <b/>
            <sz val="9"/>
            <rFont val="Tahoma"/>
            <family val="2"/>
          </rPr>
          <t>Author:</t>
        </r>
        <r>
          <rPr>
            <sz val="9"/>
            <rFont val="Tahoma"/>
            <family val="2"/>
          </rPr>
          <t xml:space="preserve">
Not reported</t>
        </r>
      </text>
    </comment>
    <comment ref="BX988" authorId="2" shapeId="0" xr:uid="{00000000-0006-0000-0100-000054010000}">
      <text>
        <r>
          <rPr>
            <b/>
            <sz val="9"/>
            <rFont val="Tahoma"/>
            <family val="2"/>
            <charset val="1"/>
          </rPr>
          <t>Author:</t>
        </r>
        <r>
          <rPr>
            <sz val="9"/>
            <rFont val="Tahoma"/>
            <family val="2"/>
            <charset val="1"/>
          </rPr>
          <t xml:space="preserve">
Inc Non-Marketable equity securities</t>
        </r>
      </text>
    </comment>
    <comment ref="BY988" authorId="2" shapeId="0" xr:uid="{00000000-0006-0000-0100-000055010000}">
      <text>
        <r>
          <rPr>
            <b/>
            <sz val="9"/>
            <rFont val="Tahoma"/>
            <family val="2"/>
            <charset val="1"/>
          </rPr>
          <t>Author:</t>
        </r>
        <r>
          <rPr>
            <sz val="9"/>
            <rFont val="Tahoma"/>
            <family val="2"/>
            <charset val="1"/>
          </rPr>
          <t xml:space="preserve">
Inc Non-Marketable equity securities</t>
        </r>
      </text>
    </comment>
    <comment ref="AP995" authorId="0" shapeId="0" xr:uid="{00000000-0006-0000-0100-000056010000}">
      <text>
        <r>
          <rPr>
            <b/>
            <sz val="9"/>
            <rFont val="Tahoma"/>
            <family val="2"/>
          </rPr>
          <t>Author:</t>
        </r>
        <r>
          <rPr>
            <sz val="9"/>
            <rFont val="Tahoma"/>
            <family val="2"/>
          </rPr>
          <t xml:space="preserve">
Adjusted for short-term operating lease liabilities</t>
        </r>
      </text>
    </comment>
    <comment ref="AQ995" authorId="0" shapeId="0" xr:uid="{00000000-0006-0000-0100-000057010000}">
      <text>
        <r>
          <rPr>
            <b/>
            <sz val="9"/>
            <rFont val="Tahoma"/>
            <family val="2"/>
          </rPr>
          <t>Author:</t>
        </r>
        <r>
          <rPr>
            <sz val="9"/>
            <rFont val="Tahoma"/>
            <family val="2"/>
          </rPr>
          <t xml:space="preserve">
Adjusted for short-term operating lease liabilities</t>
        </r>
      </text>
    </comment>
    <comment ref="AR995" authorId="0" shapeId="0" xr:uid="{00000000-0006-0000-0100-000058010000}">
      <text>
        <r>
          <rPr>
            <b/>
            <sz val="9"/>
            <rFont val="Tahoma"/>
            <family val="2"/>
          </rPr>
          <t>Author:</t>
        </r>
        <r>
          <rPr>
            <sz val="9"/>
            <rFont val="Tahoma"/>
            <family val="2"/>
          </rPr>
          <t xml:space="preserve">
Adjusted for short-term operating lease liabilities</t>
        </r>
      </text>
    </comment>
    <comment ref="AS995" authorId="0" shapeId="0" xr:uid="{00000000-0006-0000-0100-000059010000}">
      <text>
        <r>
          <rPr>
            <b/>
            <sz val="9"/>
            <rFont val="Tahoma"/>
            <family val="2"/>
          </rPr>
          <t>Author:</t>
        </r>
        <r>
          <rPr>
            <sz val="9"/>
            <rFont val="Tahoma"/>
            <family val="2"/>
          </rPr>
          <t xml:space="preserve">
Adjusted for short-term operating lease liabilities</t>
        </r>
      </text>
    </comment>
    <comment ref="AT995" authorId="0" shapeId="0" xr:uid="{00000000-0006-0000-0100-00005A010000}">
      <text>
        <r>
          <rPr>
            <b/>
            <sz val="9"/>
            <rFont val="Tahoma"/>
            <family val="2"/>
          </rPr>
          <t>Author:</t>
        </r>
        <r>
          <rPr>
            <sz val="9"/>
            <rFont val="Tahoma"/>
            <family val="2"/>
          </rPr>
          <t xml:space="preserve">
Adjusted for short-term operating lease liabilities</t>
        </r>
      </text>
    </comment>
    <comment ref="AU995" authorId="0" shapeId="0" xr:uid="{00000000-0006-0000-0100-00005B010000}">
      <text>
        <r>
          <rPr>
            <b/>
            <sz val="9"/>
            <rFont val="Tahoma"/>
            <family val="2"/>
          </rPr>
          <t>Author:</t>
        </r>
        <r>
          <rPr>
            <sz val="9"/>
            <rFont val="Tahoma"/>
            <family val="2"/>
          </rPr>
          <t xml:space="preserve">
Adjusted for short-term operating lease liabilities</t>
        </r>
      </text>
    </comment>
    <comment ref="AV995" authorId="0" shapeId="0" xr:uid="{00000000-0006-0000-0100-00005C010000}">
      <text>
        <r>
          <rPr>
            <b/>
            <sz val="9"/>
            <rFont val="Tahoma"/>
            <family val="2"/>
          </rPr>
          <t>Author:</t>
        </r>
        <r>
          <rPr>
            <sz val="9"/>
            <rFont val="Tahoma"/>
            <family val="2"/>
          </rPr>
          <t xml:space="preserve">
Adjusted for short-term operating lease liabilities</t>
        </r>
      </text>
    </comment>
    <comment ref="AW995" authorId="0" shapeId="0" xr:uid="{00000000-0006-0000-0100-00005D010000}">
      <text>
        <r>
          <rPr>
            <b/>
            <sz val="9"/>
            <rFont val="Tahoma"/>
            <family val="2"/>
          </rPr>
          <t>Author:</t>
        </r>
        <r>
          <rPr>
            <sz val="9"/>
            <rFont val="Tahoma"/>
            <family val="2"/>
          </rPr>
          <t xml:space="preserve">
Adjusted for short-term operating lease liabilities</t>
        </r>
      </text>
    </comment>
    <comment ref="AX995" authorId="0" shapeId="0" xr:uid="{00000000-0006-0000-0100-00005E010000}">
      <text>
        <r>
          <rPr>
            <b/>
            <sz val="9"/>
            <rFont val="Tahoma"/>
            <family val="2"/>
          </rPr>
          <t>Author:</t>
        </r>
        <r>
          <rPr>
            <sz val="9"/>
            <rFont val="Tahoma"/>
            <family val="2"/>
          </rPr>
          <t xml:space="preserve">
Adjusted for short-term operating lease liabilities</t>
        </r>
      </text>
    </comment>
    <comment ref="AY995" authorId="0" shapeId="0" xr:uid="{00000000-0006-0000-0100-00005F010000}">
      <text>
        <r>
          <rPr>
            <b/>
            <sz val="9"/>
            <rFont val="Tahoma"/>
            <family val="2"/>
          </rPr>
          <t>Author:</t>
        </r>
        <r>
          <rPr>
            <sz val="9"/>
            <rFont val="Tahoma"/>
            <family val="2"/>
          </rPr>
          <t xml:space="preserve">
Adjusted for short-term operating lease liabilities</t>
        </r>
      </text>
    </comment>
    <comment ref="AZ995" authorId="0" shapeId="0" xr:uid="{00000000-0006-0000-0100-000060010000}">
      <text>
        <r>
          <rPr>
            <b/>
            <sz val="9"/>
            <rFont val="Tahoma"/>
            <family val="2"/>
          </rPr>
          <t>Author:</t>
        </r>
        <r>
          <rPr>
            <sz val="9"/>
            <rFont val="Tahoma"/>
            <family val="2"/>
          </rPr>
          <t xml:space="preserve">
Adjusted for short-term operating lease liabilities</t>
        </r>
      </text>
    </comment>
    <comment ref="BA995" authorId="0" shapeId="0" xr:uid="{00000000-0006-0000-0100-000061010000}">
      <text>
        <r>
          <rPr>
            <b/>
            <sz val="9"/>
            <rFont val="Tahoma"/>
            <family val="2"/>
          </rPr>
          <t>Author:</t>
        </r>
        <r>
          <rPr>
            <sz val="9"/>
            <rFont val="Tahoma"/>
            <family val="2"/>
          </rPr>
          <t xml:space="preserve">
Adjusted for short-term operating lease liabilities</t>
        </r>
      </text>
    </comment>
    <comment ref="BB995" authorId="0" shapeId="0" xr:uid="{00000000-0006-0000-0100-000062010000}">
      <text>
        <r>
          <rPr>
            <b/>
            <sz val="9"/>
            <rFont val="Tahoma"/>
            <family val="2"/>
          </rPr>
          <t>Author:</t>
        </r>
        <r>
          <rPr>
            <sz val="9"/>
            <rFont val="Tahoma"/>
            <family val="2"/>
          </rPr>
          <t xml:space="preserve">
Adjusted for short-term operating lease liabilities</t>
        </r>
      </text>
    </comment>
    <comment ref="BC995" authorId="0" shapeId="0" xr:uid="{00000000-0006-0000-0100-000063010000}">
      <text>
        <r>
          <rPr>
            <b/>
            <sz val="9"/>
            <rFont val="Tahoma"/>
            <family val="2"/>
          </rPr>
          <t>Author:</t>
        </r>
        <r>
          <rPr>
            <sz val="9"/>
            <rFont val="Tahoma"/>
            <family val="2"/>
          </rPr>
          <t xml:space="preserve">
Adjusted for short-term operating lease liabilities</t>
        </r>
      </text>
    </comment>
    <comment ref="BD995" authorId="0" shapeId="0" xr:uid="{00000000-0006-0000-0100-000064010000}">
      <text>
        <r>
          <rPr>
            <b/>
            <sz val="9"/>
            <rFont val="Tahoma"/>
            <family val="2"/>
          </rPr>
          <t>Author:</t>
        </r>
        <r>
          <rPr>
            <sz val="9"/>
            <rFont val="Tahoma"/>
            <family val="2"/>
          </rPr>
          <t xml:space="preserve">
Adjusted for short-term operating lease liabilities</t>
        </r>
      </text>
    </comment>
    <comment ref="BE995" authorId="0" shapeId="0" xr:uid="{00000000-0006-0000-0100-000065010000}">
      <text>
        <r>
          <rPr>
            <b/>
            <sz val="9"/>
            <rFont val="Tahoma"/>
            <family val="2"/>
          </rPr>
          <t>Author:</t>
        </r>
        <r>
          <rPr>
            <sz val="9"/>
            <rFont val="Tahoma"/>
            <family val="2"/>
          </rPr>
          <t xml:space="preserve">
Adjusted for short-term operating lease liabilities</t>
        </r>
      </text>
    </comment>
    <comment ref="BF995" authorId="0" shapeId="0" xr:uid="{00000000-0006-0000-0100-000066010000}">
      <text>
        <r>
          <rPr>
            <b/>
            <sz val="9"/>
            <rFont val="Tahoma"/>
            <family val="2"/>
          </rPr>
          <t>Author:</t>
        </r>
        <r>
          <rPr>
            <sz val="9"/>
            <rFont val="Tahoma"/>
            <family val="2"/>
          </rPr>
          <t xml:space="preserve">
Adjusted for short-term operating lease liabilities</t>
        </r>
      </text>
    </comment>
    <comment ref="BG995" authorId="0" shapeId="0" xr:uid="{00000000-0006-0000-0100-000067010000}">
      <text>
        <r>
          <rPr>
            <b/>
            <sz val="9"/>
            <rFont val="Tahoma"/>
            <family val="2"/>
          </rPr>
          <t>Author:</t>
        </r>
        <r>
          <rPr>
            <sz val="9"/>
            <rFont val="Tahoma"/>
            <family val="2"/>
          </rPr>
          <t xml:space="preserve">
Adjusted for short-term operating lease liabilities</t>
        </r>
      </text>
    </comment>
    <comment ref="BH995" authorId="0" shapeId="0" xr:uid="{00000000-0006-0000-0100-000068010000}">
      <text>
        <r>
          <rPr>
            <b/>
            <sz val="9"/>
            <rFont val="Tahoma"/>
            <family val="2"/>
          </rPr>
          <t>Author:</t>
        </r>
        <r>
          <rPr>
            <sz val="9"/>
            <rFont val="Tahoma"/>
            <family val="2"/>
          </rPr>
          <t xml:space="preserve">
Adjusted for short-term operating lease liabilities</t>
        </r>
      </text>
    </comment>
    <comment ref="BI995" authorId="0" shapeId="0" xr:uid="{00000000-0006-0000-0100-000069010000}">
      <text>
        <r>
          <rPr>
            <b/>
            <sz val="9"/>
            <rFont val="Tahoma"/>
            <family val="2"/>
          </rPr>
          <t>Author:</t>
        </r>
        <r>
          <rPr>
            <sz val="9"/>
            <rFont val="Tahoma"/>
            <family val="2"/>
          </rPr>
          <t xml:space="preserve">
Adjusted for short-term operating lease liabilities</t>
        </r>
      </text>
    </comment>
    <comment ref="BJ995" authorId="0" shapeId="0" xr:uid="{00000000-0006-0000-0100-00006A010000}">
      <text>
        <r>
          <rPr>
            <b/>
            <sz val="9"/>
            <rFont val="Tahoma"/>
            <family val="2"/>
          </rPr>
          <t>Author:</t>
        </r>
        <r>
          <rPr>
            <sz val="9"/>
            <rFont val="Tahoma"/>
            <family val="2"/>
          </rPr>
          <t xml:space="preserve">
Adjusted for short-term operating lease liabilities</t>
        </r>
      </text>
    </comment>
    <comment ref="BK995" authorId="0" shapeId="0" xr:uid="{00000000-0006-0000-0100-00006B010000}">
      <text>
        <r>
          <rPr>
            <b/>
            <sz val="9"/>
            <rFont val="Tahoma"/>
            <family val="2"/>
          </rPr>
          <t>Author:</t>
        </r>
        <r>
          <rPr>
            <sz val="9"/>
            <rFont val="Tahoma"/>
            <family val="2"/>
          </rPr>
          <t xml:space="preserve">
Adjusted for short-term operating lease liabilities</t>
        </r>
      </text>
    </comment>
    <comment ref="BL995" authorId="0" shapeId="0" xr:uid="{00000000-0006-0000-0100-00006C010000}">
      <text>
        <r>
          <rPr>
            <b/>
            <sz val="9"/>
            <rFont val="Tahoma"/>
            <family val="2"/>
          </rPr>
          <t>Author:</t>
        </r>
        <r>
          <rPr>
            <sz val="9"/>
            <rFont val="Tahoma"/>
            <family val="2"/>
          </rPr>
          <t xml:space="preserve">
Adjusted for short-term operating lease liabilities</t>
        </r>
      </text>
    </comment>
    <comment ref="BM995" authorId="0" shapeId="0" xr:uid="{00000000-0006-0000-0100-00006D010000}">
      <text>
        <r>
          <rPr>
            <b/>
            <sz val="9"/>
            <rFont val="Tahoma"/>
            <family val="2"/>
          </rPr>
          <t>Author:</t>
        </r>
        <r>
          <rPr>
            <sz val="9"/>
            <rFont val="Tahoma"/>
            <family val="2"/>
          </rPr>
          <t xml:space="preserve">
Adjusted for short-term operating lease liabilities</t>
        </r>
      </text>
    </comment>
    <comment ref="BN995" authorId="0" shapeId="0" xr:uid="{00000000-0006-0000-0100-00006E010000}">
      <text>
        <r>
          <rPr>
            <b/>
            <sz val="9"/>
            <rFont val="Tahoma"/>
            <family val="2"/>
          </rPr>
          <t>Author:</t>
        </r>
        <r>
          <rPr>
            <sz val="9"/>
            <rFont val="Tahoma"/>
            <family val="2"/>
          </rPr>
          <t xml:space="preserve">
Adjusted for short-term operating lease liabilities</t>
        </r>
      </text>
    </comment>
    <comment ref="BO995" authorId="0" shapeId="0" xr:uid="{00000000-0006-0000-0100-00006F010000}">
      <text>
        <r>
          <rPr>
            <b/>
            <sz val="9"/>
            <rFont val="Tahoma"/>
            <family val="2"/>
          </rPr>
          <t>Author:</t>
        </r>
        <r>
          <rPr>
            <sz val="9"/>
            <rFont val="Tahoma"/>
            <family val="2"/>
          </rPr>
          <t xml:space="preserve">
Adjusted for short-term operating lease liabilities</t>
        </r>
      </text>
    </comment>
    <comment ref="BP995" authorId="2" shapeId="0" xr:uid="{00000000-0006-0000-0100-000070010000}">
      <text>
        <r>
          <rPr>
            <b/>
            <sz val="9"/>
            <rFont val="Tahoma"/>
            <family val="2"/>
          </rPr>
          <t>Author:</t>
        </r>
        <r>
          <rPr>
            <sz val="9"/>
            <rFont val="Tahoma"/>
            <family val="2"/>
          </rPr>
          <t xml:space="preserve">
Adjusted for short-term operating lease liabilities</t>
        </r>
      </text>
    </comment>
    <comment ref="BQ995" authorId="2" shapeId="0" xr:uid="{00000000-0006-0000-0100-000071010000}">
      <text>
        <r>
          <rPr>
            <b/>
            <sz val="9"/>
            <rFont val="Tahoma"/>
            <family val="2"/>
          </rPr>
          <t>Author:</t>
        </r>
        <r>
          <rPr>
            <sz val="9"/>
            <rFont val="Tahoma"/>
            <family val="2"/>
          </rPr>
          <t xml:space="preserve">
Adjusted for short-term operating lease liabilities</t>
        </r>
      </text>
    </comment>
    <comment ref="BR995" authorId="2" shapeId="0" xr:uid="{00000000-0006-0000-0100-000072010000}">
      <text>
        <r>
          <rPr>
            <b/>
            <sz val="9"/>
            <rFont val="Tahoma"/>
            <family val="2"/>
          </rPr>
          <t>Author:</t>
        </r>
        <r>
          <rPr>
            <sz val="9"/>
            <rFont val="Tahoma"/>
            <family val="2"/>
          </rPr>
          <t xml:space="preserve">
Adjusted for short-term operating lease liabilities</t>
        </r>
      </text>
    </comment>
    <comment ref="BS995" authorId="2" shapeId="0" xr:uid="{00000000-0006-0000-0100-000073010000}">
      <text>
        <r>
          <rPr>
            <b/>
            <sz val="9"/>
            <rFont val="Tahoma"/>
            <family val="2"/>
          </rPr>
          <t>Author:</t>
        </r>
        <r>
          <rPr>
            <sz val="9"/>
            <rFont val="Tahoma"/>
            <family val="2"/>
          </rPr>
          <t xml:space="preserve">
Adjusted for short-term operating lease liabilities</t>
        </r>
      </text>
    </comment>
    <comment ref="BT995" authorId="0" shapeId="0" xr:uid="{00000000-0006-0000-0100-000074010000}">
      <text>
        <r>
          <rPr>
            <b/>
            <sz val="9"/>
            <rFont val="Tahoma"/>
            <family val="2"/>
          </rPr>
          <t>Author:</t>
        </r>
        <r>
          <rPr>
            <sz val="9"/>
            <rFont val="Tahoma"/>
            <family val="2"/>
          </rPr>
          <t xml:space="preserve">
Adjusted for short-term operating lease liabilities</t>
        </r>
      </text>
    </comment>
    <comment ref="BU995" authorId="0" shapeId="0" xr:uid="{00000000-0006-0000-0100-000075010000}">
      <text>
        <r>
          <rPr>
            <b/>
            <sz val="9"/>
            <rFont val="Tahoma"/>
            <family val="2"/>
          </rPr>
          <t>Author:</t>
        </r>
        <r>
          <rPr>
            <sz val="9"/>
            <rFont val="Tahoma"/>
            <family val="2"/>
          </rPr>
          <t xml:space="preserve">
Adjusted for short-term operating lease liabilities</t>
        </r>
      </text>
    </comment>
    <comment ref="BV995" authorId="0" shapeId="0" xr:uid="{00000000-0006-0000-0100-000076010000}">
      <text>
        <r>
          <rPr>
            <b/>
            <sz val="9"/>
            <rFont val="Tahoma"/>
            <family val="2"/>
          </rPr>
          <t>Author:</t>
        </r>
        <r>
          <rPr>
            <sz val="9"/>
            <rFont val="Tahoma"/>
            <family val="2"/>
          </rPr>
          <t xml:space="preserve">
Adjusted for short-term operating lease liabilities</t>
        </r>
      </text>
    </comment>
    <comment ref="BX995" authorId="2" shapeId="0" xr:uid="{00000000-0006-0000-0100-000077010000}">
      <text>
        <r>
          <rPr>
            <b/>
            <sz val="9"/>
            <rFont val="Tahoma"/>
            <family val="2"/>
          </rPr>
          <t>Author:</t>
        </r>
        <r>
          <rPr>
            <sz val="9"/>
            <rFont val="Tahoma"/>
            <family val="2"/>
          </rPr>
          <t xml:space="preserve">
Adjusted for short-term operating lease liabilities</t>
        </r>
      </text>
    </comment>
    <comment ref="BY995" authorId="2" shapeId="0" xr:uid="{00000000-0006-0000-0100-000078010000}">
      <text>
        <r>
          <rPr>
            <b/>
            <sz val="9"/>
            <rFont val="Tahoma"/>
            <family val="2"/>
          </rPr>
          <t>Author:</t>
        </r>
        <r>
          <rPr>
            <sz val="9"/>
            <rFont val="Tahoma"/>
            <family val="2"/>
          </rPr>
          <t xml:space="preserve">
Adjusted for short-term operating lease liabilities</t>
        </r>
      </text>
    </comment>
    <comment ref="Q1022" authorId="0" shapeId="0" xr:uid="{00000000-0006-0000-0100-000079010000}">
      <text>
        <r>
          <rPr>
            <b/>
            <sz val="9"/>
            <rFont val="Tahoma"/>
            <family val="2"/>
          </rPr>
          <t>Author:</t>
        </r>
        <r>
          <rPr>
            <sz val="9"/>
            <rFont val="Tahoma"/>
            <family val="2"/>
          </rPr>
          <t xml:space="preserve">
Due to change in rounding</t>
        </r>
      </text>
    </comment>
    <comment ref="S1022" authorId="0" shapeId="0" xr:uid="{00000000-0006-0000-0100-00007A010000}">
      <text>
        <r>
          <rPr>
            <b/>
            <sz val="9"/>
            <rFont val="Tahoma"/>
            <family val="2"/>
          </rPr>
          <t>Author:</t>
        </r>
        <r>
          <rPr>
            <sz val="9"/>
            <rFont val="Tahoma"/>
            <family val="2"/>
          </rPr>
          <t xml:space="preserve">
Company2747 SC: Error due to change in rounding </t>
        </r>
      </text>
    </comment>
    <comment ref="T1022" authorId="0" shapeId="0" xr:uid="{00000000-0006-0000-0100-00007B010000}">
      <text>
        <r>
          <rPr>
            <b/>
            <sz val="9"/>
            <rFont val="Tahoma"/>
            <family val="2"/>
          </rPr>
          <t>Author:</t>
        </r>
        <r>
          <rPr>
            <sz val="9"/>
            <rFont val="Tahoma"/>
            <family val="2"/>
          </rPr>
          <t xml:space="preserve">
Company2747 SC: Error due to change in rounding </t>
        </r>
      </text>
    </comment>
    <comment ref="U1022" authorId="0" shapeId="0" xr:uid="{00000000-0006-0000-0100-00007C010000}">
      <text>
        <r>
          <rPr>
            <b/>
            <sz val="9"/>
            <rFont val="Tahoma"/>
            <family val="2"/>
          </rPr>
          <t>Author:</t>
        </r>
        <r>
          <rPr>
            <sz val="9"/>
            <rFont val="Tahoma"/>
            <family val="2"/>
          </rPr>
          <t xml:space="preserve">
Due to change in rounding</t>
        </r>
      </text>
    </comment>
    <comment ref="Y1022" authorId="0" shapeId="0" xr:uid="{00000000-0006-0000-0100-00007D010000}">
      <text>
        <r>
          <rPr>
            <b/>
            <sz val="9"/>
            <rFont val="Tahoma"/>
            <family val="2"/>
          </rPr>
          <t>Author:</t>
        </r>
        <r>
          <rPr>
            <sz val="9"/>
            <rFont val="Tahoma"/>
            <family val="2"/>
          </rPr>
          <t xml:space="preserve">
Rounding error. Q4 IS hardcoded as reported.</t>
        </r>
      </text>
    </comment>
    <comment ref="Z1022" authorId="0" shapeId="0" xr:uid="{00000000-0006-0000-0100-00007E010000}">
      <text>
        <r>
          <rPr>
            <b/>
            <sz val="9"/>
            <rFont val="Tahoma"/>
            <family val="2"/>
          </rPr>
          <t>Author:</t>
        </r>
        <r>
          <rPr>
            <sz val="9"/>
            <rFont val="Tahoma"/>
            <family val="2"/>
          </rPr>
          <t xml:space="preserve">
Rounding error. Q4 IS hardcoded as reported.</t>
        </r>
      </text>
    </comment>
    <comment ref="AC1022" authorId="0" shapeId="0" xr:uid="{00000000-0006-0000-0100-00007F010000}">
      <text>
        <r>
          <rPr>
            <b/>
            <sz val="9"/>
            <rFont val="Tahoma"/>
            <family val="2"/>
          </rPr>
          <t>Author:</t>
        </r>
        <r>
          <rPr>
            <sz val="9"/>
            <rFont val="Tahoma"/>
            <family val="2"/>
          </rPr>
          <t xml:space="preserve">
Rounding error</t>
        </r>
      </text>
    </comment>
    <comment ref="AD1022" authorId="0" shapeId="0" xr:uid="{00000000-0006-0000-0100-000080010000}">
      <text>
        <r>
          <rPr>
            <b/>
            <sz val="9"/>
            <rFont val="Tahoma"/>
            <family val="2"/>
          </rPr>
          <t>Author:</t>
        </r>
        <r>
          <rPr>
            <sz val="9"/>
            <rFont val="Tahoma"/>
            <family val="2"/>
          </rPr>
          <t xml:space="preserve">
Discrepancy as reported. Likely due to rounding in financial statements.</t>
        </r>
      </text>
    </comment>
    <comment ref="AG1022" authorId="0" shapeId="0" xr:uid="{00000000-0006-0000-0100-000081010000}">
      <text>
        <r>
          <rPr>
            <b/>
            <sz val="9"/>
            <rFont val="Tahoma"/>
            <family val="2"/>
          </rPr>
          <t>Author:</t>
        </r>
        <r>
          <rPr>
            <sz val="9"/>
            <rFont val="Tahoma"/>
            <family val="2"/>
          </rPr>
          <t xml:space="preserve">
Due to rounding error</t>
        </r>
      </text>
    </comment>
    <comment ref="AH1022" authorId="0" shapeId="0" xr:uid="{00000000-0006-0000-0100-000082010000}">
      <text>
        <r>
          <rPr>
            <b/>
            <sz val="9"/>
            <rFont val="Tahoma"/>
            <family val="2"/>
          </rPr>
          <t>Author:</t>
        </r>
        <r>
          <rPr>
            <sz val="9"/>
            <rFont val="Tahoma"/>
            <family val="2"/>
          </rPr>
          <t xml:space="preserve">
Due to rounding error</t>
        </r>
      </text>
    </comment>
    <comment ref="AI1022" authorId="0" shapeId="0" xr:uid="{00000000-0006-0000-0100-000083010000}">
      <text>
        <r>
          <rPr>
            <b/>
            <sz val="9"/>
            <rFont val="Tahoma"/>
            <family val="2"/>
          </rPr>
          <t>Author:</t>
        </r>
        <r>
          <rPr>
            <sz val="9"/>
            <rFont val="Tahoma"/>
            <family val="2"/>
          </rPr>
          <t xml:space="preserve">
Due to rounding error.</t>
        </r>
      </text>
    </comment>
    <comment ref="AN1022" authorId="0" shapeId="0" xr:uid="{00000000-0006-0000-0100-000084010000}">
      <text>
        <r>
          <rPr>
            <b/>
            <sz val="9"/>
            <rFont val="Tahoma"/>
            <family val="2"/>
          </rPr>
          <t>Author:</t>
        </r>
        <r>
          <rPr>
            <sz val="9"/>
            <rFont val="Tahoma"/>
            <family val="2"/>
          </rPr>
          <t xml:space="preserve">
Rounding error</t>
        </r>
      </text>
    </comment>
    <comment ref="AQ1022" authorId="0" shapeId="0" xr:uid="{00000000-0006-0000-0100-000085010000}">
      <text>
        <r>
          <rPr>
            <b/>
            <sz val="9"/>
            <rFont val="Tahoma"/>
            <family val="2"/>
          </rPr>
          <t>Author:</t>
        </r>
        <r>
          <rPr>
            <sz val="9"/>
            <rFont val="Tahoma"/>
            <family val="2"/>
          </rPr>
          <t xml:space="preserve">
-as reported -error due to rounding</t>
        </r>
      </text>
    </comment>
    <comment ref="AR1022" authorId="0" shapeId="0" xr:uid="{00000000-0006-0000-0100-000086010000}">
      <text>
        <r>
          <rPr>
            <b/>
            <sz val="9"/>
            <rFont val="Tahoma"/>
            <family val="2"/>
          </rPr>
          <t>Author:</t>
        </r>
        <r>
          <rPr>
            <sz val="9"/>
            <rFont val="Tahoma"/>
            <family val="2"/>
          </rPr>
          <t xml:space="preserve">
-as reported -error due to rounding</t>
        </r>
      </text>
    </comment>
    <comment ref="AS1022" authorId="0" shapeId="0" xr:uid="{00000000-0006-0000-0100-000087010000}">
      <text>
        <r>
          <rPr>
            <b/>
            <sz val="9"/>
            <rFont val="Tahoma"/>
            <family val="2"/>
          </rPr>
          <t>Author:</t>
        </r>
        <r>
          <rPr>
            <sz val="9"/>
            <rFont val="Tahoma"/>
            <family val="2"/>
          </rPr>
          <t xml:space="preserve">
-as reported -error due to rounding</t>
        </r>
      </text>
    </comment>
    <comment ref="BA1022" authorId="0" shapeId="0" xr:uid="{00000000-0006-0000-0100-000088010000}">
      <text>
        <r>
          <rPr>
            <b/>
            <sz val="9"/>
            <rFont val="Tahoma"/>
            <family val="2"/>
          </rPr>
          <t>Author:</t>
        </r>
        <r>
          <rPr>
            <sz val="9"/>
            <rFont val="Tahoma"/>
            <family val="2"/>
          </rPr>
          <t xml:space="preserve">
As reported</t>
        </r>
      </text>
    </comment>
    <comment ref="BK1022" authorId="0" shapeId="0" xr:uid="{00000000-0006-0000-0100-000089010000}">
      <text>
        <r>
          <rPr>
            <b/>
            <sz val="9"/>
            <rFont val="Tahoma"/>
            <family val="2"/>
          </rPr>
          <t>Author:</t>
        </r>
        <r>
          <rPr>
            <sz val="9"/>
            <rFont val="Tahoma"/>
            <family val="2"/>
          </rPr>
          <t xml:space="preserve">
Rounding error</t>
        </r>
      </text>
    </comment>
    <comment ref="Q1023" authorId="0" shapeId="0" xr:uid="{00000000-0006-0000-0100-00008A010000}">
      <text>
        <r>
          <rPr>
            <b/>
            <sz val="9"/>
            <rFont val="Tahoma"/>
            <family val="2"/>
          </rPr>
          <t>Author:</t>
        </r>
        <r>
          <rPr>
            <sz val="9"/>
            <rFont val="Tahoma"/>
            <family val="2"/>
          </rPr>
          <t xml:space="preserve">
Due to change in rounding</t>
        </r>
      </text>
    </comment>
    <comment ref="S1023" authorId="0" shapeId="0" xr:uid="{00000000-0006-0000-0100-00008B010000}">
      <text>
        <r>
          <rPr>
            <b/>
            <sz val="9"/>
            <rFont val="Tahoma"/>
            <family val="2"/>
          </rPr>
          <t>Author:</t>
        </r>
        <r>
          <rPr>
            <sz val="9"/>
            <rFont val="Tahoma"/>
            <family val="2"/>
          </rPr>
          <t xml:space="preserve">
Due to change in rounding</t>
        </r>
      </text>
    </comment>
    <comment ref="U1023" authorId="0" shapeId="0" xr:uid="{00000000-0006-0000-0100-00008C010000}">
      <text>
        <r>
          <rPr>
            <b/>
            <sz val="9"/>
            <rFont val="Tahoma"/>
            <family val="2"/>
          </rPr>
          <t>Author:</t>
        </r>
        <r>
          <rPr>
            <sz val="9"/>
            <rFont val="Tahoma"/>
            <family val="2"/>
          </rPr>
          <t xml:space="preserve">
Due to change in rounding</t>
        </r>
      </text>
    </comment>
    <comment ref="Z1023" authorId="0" shapeId="0" xr:uid="{00000000-0006-0000-0100-00008D010000}">
      <text>
        <r>
          <rPr>
            <b/>
            <sz val="9"/>
            <rFont val="Tahoma"/>
            <family val="2"/>
          </rPr>
          <t>Author:</t>
        </r>
        <r>
          <rPr>
            <sz val="9"/>
            <rFont val="Tahoma"/>
            <family val="2"/>
          </rPr>
          <t xml:space="preserve">
Rounding error. Q4 IS hardcoded as reported.</t>
        </r>
      </text>
    </comment>
    <comment ref="P1026" authorId="0" shapeId="0" xr:uid="{00000000-0006-0000-0100-00008E010000}">
      <text>
        <r>
          <rPr>
            <b/>
            <sz val="9"/>
            <rFont val="Tahoma"/>
            <family val="2"/>
          </rPr>
          <t>Author:</t>
        </r>
        <r>
          <rPr>
            <sz val="9"/>
            <rFont val="Tahoma"/>
            <family val="2"/>
          </rPr>
          <t xml:space="preserve">
Segmented revenue reported to 0 decimal places whereas IS revenue reported to 3 decimal places.</t>
        </r>
      </text>
    </comment>
    <comment ref="P1027" authorId="0" shapeId="0" xr:uid="{00000000-0006-0000-0100-00008F010000}">
      <text>
        <r>
          <rPr>
            <b/>
            <sz val="9"/>
            <rFont val="Tahoma"/>
            <family val="2"/>
          </rPr>
          <t>Author:</t>
        </r>
        <r>
          <rPr>
            <sz val="9"/>
            <rFont val="Tahoma"/>
            <family val="2"/>
          </rPr>
          <t xml:space="preserve">
Segmented revenue reported to 0 decimal places whereas IS revenue reported to 3 decimal places.</t>
        </r>
      </text>
    </comment>
    <comment ref="U1034" authorId="0" shapeId="0" xr:uid="{00000000-0006-0000-0100-000090010000}">
      <text>
        <r>
          <rPr>
            <b/>
            <sz val="9"/>
            <rFont val="Tahoma"/>
            <family val="2"/>
          </rPr>
          <t>Author:</t>
        </r>
        <r>
          <rPr>
            <sz val="9"/>
            <rFont val="Tahoma"/>
            <family val="2"/>
          </rPr>
          <t xml:space="preserve">
Non-GAAP adjustments do not sum due to rounding</t>
        </r>
      </text>
    </comment>
    <comment ref="AE1034" authorId="0" shapeId="0" xr:uid="{00000000-0006-0000-0100-000091010000}">
      <text>
        <r>
          <rPr>
            <b/>
            <sz val="9"/>
            <rFont val="Tahoma"/>
            <family val="2"/>
          </rPr>
          <t>Author:</t>
        </r>
        <r>
          <rPr>
            <sz val="9"/>
            <rFont val="Tahoma"/>
            <family val="2"/>
          </rPr>
          <t xml:space="preserve">
Discrepancy as reported</t>
        </r>
      </text>
    </comment>
    <comment ref="AO1034" authorId="0" shapeId="0" xr:uid="{00000000-0006-0000-0100-000092010000}">
      <text>
        <r>
          <rPr>
            <b/>
            <sz val="9"/>
            <rFont val="Tahoma"/>
            <family val="2"/>
          </rPr>
          <t>Author:</t>
        </r>
        <r>
          <rPr>
            <sz val="9"/>
            <rFont val="Tahoma"/>
            <family val="2"/>
          </rPr>
          <t xml:space="preserve">
As reported</t>
        </r>
      </text>
    </comment>
    <comment ref="BI1034" authorId="0" shapeId="0" xr:uid="{00000000-0006-0000-0100-000093010000}">
      <text>
        <r>
          <rPr>
            <b/>
            <sz val="9"/>
            <rFont val="Tahoma"/>
            <family val="2"/>
          </rPr>
          <t>Author:</t>
        </r>
        <r>
          <rPr>
            <sz val="9"/>
            <rFont val="Tahoma"/>
            <family val="2"/>
          </rPr>
          <t xml:space="preserve">
Rounding</t>
        </r>
      </text>
    </comment>
    <comment ref="BS1034" authorId="2" shapeId="0" xr:uid="{00000000-0006-0000-0100-000094010000}">
      <text>
        <r>
          <rPr>
            <b/>
            <sz val="9"/>
            <rFont val="Tahoma"/>
            <family val="2"/>
          </rPr>
          <t>Author:</t>
        </r>
        <r>
          <rPr>
            <sz val="9"/>
            <rFont val="Tahoma"/>
            <family val="2"/>
          </rPr>
          <t xml:space="preserve">
Rounding, NG NI as reported</t>
        </r>
      </text>
    </comment>
    <comment ref="BX1034" authorId="2" shapeId="0" xr:uid="{00000000-0006-0000-0100-000095010000}">
      <text>
        <r>
          <rPr>
            <b/>
            <sz val="9"/>
            <rFont val="Tahoma"/>
            <family val="2"/>
          </rPr>
          <t>Author:</t>
        </r>
        <r>
          <rPr>
            <sz val="9"/>
            <rFont val="Tahoma"/>
            <family val="2"/>
          </rPr>
          <t xml:space="preserve">
Rounding, NG NI as reported</t>
        </r>
      </text>
    </comment>
    <comment ref="U1037" authorId="0" shapeId="0" xr:uid="{00000000-0006-0000-0100-000096010000}">
      <text>
        <r>
          <rPr>
            <b/>
            <sz val="9"/>
            <rFont val="Tahoma"/>
            <family val="2"/>
          </rPr>
          <t>Author:</t>
        </r>
        <r>
          <rPr>
            <sz val="9"/>
            <rFont val="Tahoma"/>
            <family val="2"/>
          </rPr>
          <t xml:space="preserve">
Due to change in rounding</t>
        </r>
      </text>
    </comment>
    <comment ref="Z1037" authorId="0" shapeId="0" xr:uid="{00000000-0006-0000-0100-000097010000}">
      <text>
        <r>
          <rPr>
            <b/>
            <sz val="9"/>
            <rFont val="Tahoma"/>
            <family val="2"/>
          </rPr>
          <t>Author:</t>
        </r>
        <r>
          <rPr>
            <sz val="9"/>
            <rFont val="Tahoma"/>
            <family val="2"/>
          </rPr>
          <t xml:space="preserve">
Rounding error. Q4 IS hardcoded as reported.</t>
        </r>
      </text>
    </comment>
    <comment ref="AJ1037" authorId="0" shapeId="0" xr:uid="{00000000-0006-0000-0100-000098010000}">
      <text>
        <r>
          <rPr>
            <b/>
            <sz val="9"/>
            <rFont val="Tahoma"/>
            <family val="2"/>
          </rPr>
          <t>Author:</t>
        </r>
        <r>
          <rPr>
            <sz val="9"/>
            <rFont val="Tahoma"/>
            <family val="2"/>
          </rPr>
          <t xml:space="preserve">
Rounding error. As reported.</t>
        </r>
      </text>
    </comment>
    <comment ref="AO1037" authorId="0" shapeId="0" xr:uid="{00000000-0006-0000-0100-000099010000}">
      <text>
        <r>
          <rPr>
            <b/>
            <sz val="9"/>
            <rFont val="Tahoma"/>
            <family val="2"/>
          </rPr>
          <t>Author:</t>
        </r>
        <r>
          <rPr>
            <sz val="9"/>
            <rFont val="Tahoma"/>
            <family val="2"/>
          </rPr>
          <t xml:space="preserve">
As reported</t>
        </r>
      </text>
    </comment>
    <comment ref="AT1037" authorId="0" shapeId="0" xr:uid="{00000000-0006-0000-0100-00009A010000}">
      <text>
        <r>
          <rPr>
            <b/>
            <sz val="9"/>
            <rFont val="Tahoma"/>
            <family val="2"/>
          </rPr>
          <t>Author:</t>
        </r>
        <r>
          <rPr>
            <sz val="9"/>
            <rFont val="Tahoma"/>
            <family val="2"/>
          </rPr>
          <t xml:space="preserve">
As reported</t>
        </r>
      </text>
    </comment>
    <comment ref="BD1037" authorId="0" shapeId="0" xr:uid="{00000000-0006-0000-0100-00009B010000}">
      <text>
        <r>
          <rPr>
            <b/>
            <sz val="9"/>
            <rFont val="Tahoma"/>
            <family val="2"/>
          </rPr>
          <t>Author:</t>
        </r>
        <r>
          <rPr>
            <sz val="9"/>
            <rFont val="Tahoma"/>
            <family val="2"/>
          </rPr>
          <t xml:space="preserve">
As reported. Due to Q2 2021 ISAR being off by 1</t>
        </r>
      </text>
    </comment>
    <comment ref="BN1037" authorId="0" shapeId="0" xr:uid="{00000000-0006-0000-0100-00009C010000}">
      <text>
        <r>
          <rPr>
            <b/>
            <sz val="9"/>
            <rFont val="Tahoma"/>
            <family val="2"/>
          </rPr>
          <t>Author:</t>
        </r>
        <r>
          <rPr>
            <sz val="9"/>
            <rFont val="Tahoma"/>
            <family val="2"/>
          </rPr>
          <t xml:space="preserve">
Rounding error</t>
        </r>
      </text>
    </comment>
    <comment ref="U1038" authorId="0" shapeId="0" xr:uid="{00000000-0006-0000-0100-00009D010000}">
      <text>
        <r>
          <rPr>
            <b/>
            <sz val="9"/>
            <rFont val="Tahoma"/>
            <family val="2"/>
          </rPr>
          <t>Author:</t>
        </r>
        <r>
          <rPr>
            <sz val="9"/>
            <rFont val="Tahoma"/>
            <family val="2"/>
          </rPr>
          <t xml:space="preserve">
Company2747 SC: Non-GAAP adjustments do not sum due to rounding </t>
        </r>
      </text>
    </comment>
    <comment ref="AE1038" authorId="0" shapeId="0" xr:uid="{00000000-0006-0000-0100-00009E010000}">
      <text>
        <r>
          <rPr>
            <b/>
            <sz val="9"/>
            <rFont val="Tahoma"/>
            <family val="2"/>
          </rPr>
          <t>Author:</t>
        </r>
        <r>
          <rPr>
            <sz val="9"/>
            <rFont val="Tahoma"/>
            <family val="2"/>
          </rPr>
          <t xml:space="preserve">
Discrepancy as reported</t>
        </r>
      </text>
    </comment>
    <comment ref="AO1038" authorId="0" shapeId="0" xr:uid="{00000000-0006-0000-0100-00009F010000}">
      <text>
        <r>
          <rPr>
            <b/>
            <sz val="9"/>
            <rFont val="Tahoma"/>
            <family val="2"/>
          </rPr>
          <t>Author:</t>
        </r>
        <r>
          <rPr>
            <sz val="9"/>
            <rFont val="Tahoma"/>
            <family val="2"/>
          </rPr>
          <t xml:space="preserve">
As reported</t>
        </r>
      </text>
    </comment>
    <comment ref="BI1038" authorId="0" shapeId="0" xr:uid="{00000000-0006-0000-0100-0000A0010000}">
      <text>
        <r>
          <rPr>
            <b/>
            <sz val="9"/>
            <rFont val="Tahoma"/>
            <family val="2"/>
          </rPr>
          <t>Author:</t>
        </r>
        <r>
          <rPr>
            <sz val="9"/>
            <rFont val="Tahoma"/>
            <family val="2"/>
          </rPr>
          <t xml:space="preserve">
Rounding</t>
        </r>
      </text>
    </comment>
    <comment ref="BS1038" authorId="2" shapeId="0" xr:uid="{00000000-0006-0000-0100-0000A1010000}">
      <text>
        <r>
          <rPr>
            <b/>
            <sz val="9"/>
            <rFont val="Tahoma"/>
            <family val="2"/>
          </rPr>
          <t>Author:</t>
        </r>
        <r>
          <rPr>
            <sz val="9"/>
            <rFont val="Tahoma"/>
            <family val="2"/>
          </rPr>
          <t xml:space="preserve">
Rounding</t>
        </r>
      </text>
    </comment>
    <comment ref="BX1038" authorId="2" shapeId="0" xr:uid="{00000000-0006-0000-0100-0000A2010000}">
      <text>
        <r>
          <rPr>
            <b/>
            <sz val="9"/>
            <rFont val="Tahoma"/>
            <family val="2"/>
          </rPr>
          <t>Author:</t>
        </r>
        <r>
          <rPr>
            <sz val="9"/>
            <rFont val="Tahoma"/>
            <family val="2"/>
          </rPr>
          <t xml:space="preserve">
Rounding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BN52" authorId="0" shapeId="0" xr:uid="{00000000-0006-0000-0200-000001000000}">
      <text>
        <r>
          <rPr>
            <b/>
            <sz val="9"/>
            <rFont val="Tahoma"/>
            <family val="2"/>
          </rPr>
          <t>Author:</t>
        </r>
        <r>
          <rPr>
            <sz val="9"/>
            <rFont val="Tahoma"/>
            <family val="2"/>
          </rPr>
          <t xml:space="preserve">
Board currently consists of 14 members. The company only listed 12 members in the Board Diversity Matrix (as of May 14, 2024)</t>
        </r>
      </text>
    </comment>
    <comment ref="BN53" authorId="0" shapeId="0" xr:uid="{00000000-0006-0000-0200-000002000000}">
      <text>
        <r>
          <rPr>
            <b/>
            <sz val="9"/>
            <rFont val="Tahoma"/>
            <family val="2"/>
          </rPr>
          <t>Author:</t>
        </r>
        <r>
          <rPr>
            <sz val="9"/>
            <rFont val="Tahoma"/>
            <family val="2"/>
          </rPr>
          <t xml:space="preserve">
except for Mr. Person0471, all of our directors are “independent”</t>
        </r>
      </text>
    </comment>
    <comment ref="BN54" authorId="0" shapeId="0" xr:uid="{00000000-0006-0000-0200-000003000000}">
      <text>
        <r>
          <rPr>
            <b/>
            <sz val="9"/>
            <rFont val="Tahoma"/>
            <family val="2"/>
          </rPr>
          <t>Author:</t>
        </r>
        <r>
          <rPr>
            <sz val="9"/>
            <rFont val="Tahoma"/>
            <family val="2"/>
          </rPr>
          <t xml:space="preserve">
Board currently consists of 14 members. The company only listed 12 members in the Board Diversity Matrix (as of May 14, 2024)</t>
        </r>
      </text>
    </comment>
    <comment ref="BN55" authorId="0" shapeId="0" xr:uid="{00000000-0006-0000-0200-000004000000}">
      <text>
        <r>
          <rPr>
            <b/>
            <sz val="9"/>
            <rFont val="Tahoma"/>
            <family val="2"/>
          </rPr>
          <t>Author:</t>
        </r>
        <r>
          <rPr>
            <sz val="9"/>
            <rFont val="Tahoma"/>
            <family val="2"/>
          </rPr>
          <t xml:space="preserve">
Board currently consists of 14 members. The company only listed 12 members in the Board Diversity Matrix (as of May 14, 2024)</t>
        </r>
      </text>
    </comment>
    <comment ref="A116" authorId="0" shapeId="0" xr:uid="{00000000-0006-0000-0200-000005000000}">
      <text>
        <r>
          <rPr>
            <b/>
            <sz val="9"/>
            <rFont val="Tahoma"/>
            <family val="2"/>
          </rPr>
          <t>Author:</t>
        </r>
        <r>
          <rPr>
            <sz val="9"/>
            <rFont val="Tahoma"/>
            <family val="2"/>
          </rPr>
          <t xml:space="preserve">
Standardized scale for dashboard purposes.</t>
        </r>
      </text>
    </comment>
    <comment ref="A121" authorId="0" shapeId="0" xr:uid="{00000000-0006-0000-0200-000006000000}">
      <text>
        <r>
          <rPr>
            <b/>
            <sz val="9"/>
            <rFont val="Tahoma"/>
            <family val="2"/>
          </rPr>
          <t>Author:</t>
        </r>
        <r>
          <rPr>
            <sz val="9"/>
            <rFont val="Tahoma"/>
            <family val="2"/>
          </rPr>
          <t xml:space="preserve">
Standardized scale for dashboard purposes.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Author1</author>
    <author>Author3</author>
    <author>Author4</author>
  </authors>
  <commentList>
    <comment ref="A4" authorId="0" shapeId="0" xr:uid="{00000000-0006-0000-0300-000001000000}">
      <text>
        <r>
          <rPr>
            <b/>
            <sz val="9"/>
            <rFont val="Tahoma"/>
            <family val="2"/>
          </rPr>
          <t>Author:</t>
        </r>
        <r>
          <rPr>
            <sz val="9"/>
            <rFont val="Tahoma"/>
            <family val="2"/>
          </rPr>
          <t xml:space="preserve">
Sort Largest to Smallest to return to default.</t>
        </r>
      </text>
    </comment>
    <comment ref="K6" authorId="0" shapeId="0" xr:uid="{00000000-0006-0000-0300-000002000000}">
      <text>
        <r>
          <rPr>
            <b/>
            <sz val="9"/>
            <rFont val="Tahoma"/>
            <family val="2"/>
          </rPr>
          <t>Author:</t>
        </r>
        <r>
          <rPr>
            <sz val="9"/>
            <rFont val="Tahoma"/>
            <family val="2"/>
          </rPr>
          <t xml:space="preserve">
+/- 2%. We are not assuming any Data
Center compute revenue from China in our outlook.
</t>
        </r>
      </text>
    </comment>
    <comment ref="D9" authorId="0" shapeId="0" xr:uid="{00000000-0006-0000-0300-000003000000}">
      <text>
        <r>
          <rPr>
            <b/>
            <sz val="9"/>
            <rFont val="Tahoma"/>
            <family val="2"/>
          </rPr>
          <t>Author:</t>
        </r>
        <r>
          <rPr>
            <sz val="9"/>
            <rFont val="Tahoma"/>
            <family val="2"/>
          </rPr>
          <t xml:space="preserve">
OPEX guidance only includes R&amp;D and SG&amp;A expense.</t>
        </r>
      </text>
    </comment>
    <comment ref="K14" authorId="0" shapeId="0" xr:uid="{00000000-0006-0000-0300-000004000000}">
      <text>
        <r>
          <rPr>
            <b/>
            <sz val="9"/>
            <rFont val="Tahoma"/>
            <family val="2"/>
          </rPr>
          <t>Author:</t>
        </r>
        <r>
          <rPr>
            <sz val="9"/>
            <rFont val="Tahoma"/>
            <family val="2"/>
          </rPr>
          <t xml:space="preserve">
+/- 2%. We are not assuming any Data
Center compute revenue from China in our outlook.
</t>
        </r>
      </text>
    </comment>
    <comment ref="K16" authorId="0" shapeId="0" xr:uid="{00000000-0006-0000-0300-000005000000}">
      <text>
        <r>
          <rPr>
            <b/>
            <sz val="9"/>
            <rFont val="Tahoma"/>
            <family val="2"/>
          </rPr>
          <t>Author:</t>
        </r>
        <r>
          <rPr>
            <sz val="9"/>
            <rFont val="Tahoma"/>
            <family val="2"/>
          </rPr>
          <t xml:space="preserve">
Inclusive of 0.1% impact from SBC</t>
        </r>
      </text>
    </comment>
    <comment ref="D17" authorId="0" shapeId="0" xr:uid="{00000000-0006-0000-0300-000006000000}">
      <text>
        <r>
          <rPr>
            <b/>
            <sz val="9"/>
            <rFont val="Tahoma"/>
            <family val="2"/>
          </rPr>
          <t>Author:</t>
        </r>
        <r>
          <rPr>
            <sz val="9"/>
            <rFont val="Tahoma"/>
            <family val="2"/>
          </rPr>
          <t xml:space="preserve">
OPEX guidance only includes R&amp;D and SG&amp;A expense.</t>
        </r>
      </text>
    </comment>
    <comment ref="K18" authorId="1" shapeId="0" xr:uid="{00000000-0006-0000-0300-000007000000}">
      <text>
        <r>
          <rPr>
            <b/>
            <sz val="9"/>
            <rFont val="Tahoma"/>
            <family val="2"/>
          </rPr>
          <t>Author:</t>
        </r>
        <r>
          <rPr>
            <sz val="9"/>
            <rFont val="Tahoma"/>
            <family val="2"/>
          </rPr>
          <t xml:space="preserve">
Inclusive of $1.9 billion of SBC. Possibly a reporting error.</t>
        </r>
      </text>
    </comment>
    <comment ref="K19" authorId="0" shapeId="0" xr:uid="{00000000-0006-0000-0300-000008000000}">
      <text>
        <r>
          <rPr>
            <b/>
            <sz val="9"/>
            <rFont val="Tahoma"/>
            <family val="2"/>
          </rPr>
          <t>Author:</t>
        </r>
        <r>
          <rPr>
            <sz val="9"/>
            <rFont val="Tahoma"/>
            <family val="2"/>
          </rPr>
          <t xml:space="preserve">
+/- 1%</t>
        </r>
      </text>
    </comment>
    <comment ref="K20" authorId="0" shapeId="0" xr:uid="{00000000-0006-0000-0300-000009000000}">
      <text>
        <r>
          <rPr>
            <b/>
            <sz val="9"/>
            <rFont val="Tahoma"/>
            <family val="2"/>
          </rPr>
          <t>Author:</t>
        </r>
        <r>
          <rPr>
            <sz val="9"/>
            <rFont val="Tahoma"/>
            <family val="2"/>
          </rPr>
          <t xml:space="preserve">
+/- 1%</t>
        </r>
      </text>
    </comment>
    <comment ref="K22" authorId="0" shapeId="0" xr:uid="{00000000-0006-0000-0300-00000A000000}">
      <text>
        <r>
          <rPr>
            <b/>
            <sz val="9"/>
            <rFont val="Tahoma"/>
            <family val="2"/>
          </rPr>
          <t>Author:</t>
        </r>
        <r>
          <rPr>
            <sz val="9"/>
            <rFont val="Tahoma"/>
            <family val="2"/>
          </rPr>
          <t xml:space="preserve">
+/- 2%</t>
        </r>
      </text>
    </comment>
    <comment ref="K23" authorId="0" shapeId="0" xr:uid="{00000000-0006-0000-0300-00000B000000}">
      <text>
        <r>
          <rPr>
            <b/>
            <sz val="9"/>
            <rFont val="Tahoma"/>
            <family val="2"/>
          </rPr>
          <t>Author:</t>
        </r>
        <r>
          <rPr>
            <sz val="9"/>
            <rFont val="Tahoma"/>
            <family val="2"/>
          </rPr>
          <t xml:space="preserve">
+/- 50 bps</t>
        </r>
      </text>
    </comment>
    <comment ref="K24" authorId="0" shapeId="0" xr:uid="{00000000-0006-0000-0300-00000C000000}">
      <text>
        <r>
          <rPr>
            <b/>
            <sz val="9"/>
            <rFont val="Tahoma"/>
            <family val="2"/>
          </rPr>
          <t>Author:</t>
        </r>
        <r>
          <rPr>
            <sz val="9"/>
            <rFont val="Tahoma"/>
            <family val="2"/>
          </rPr>
          <t xml:space="preserve">
+/- 50 bps</t>
        </r>
      </text>
    </comment>
    <comment ref="D25" authorId="0" shapeId="0" xr:uid="{00000000-0006-0000-0300-00000D000000}">
      <text>
        <r>
          <rPr>
            <b/>
            <sz val="9"/>
            <rFont val="Tahoma"/>
            <family val="2"/>
          </rPr>
          <t>Author:</t>
        </r>
        <r>
          <rPr>
            <sz val="9"/>
            <rFont val="Tahoma"/>
            <family val="2"/>
          </rPr>
          <t xml:space="preserve">
OPEX guidance only includes R&amp;D and SG&amp;A expense.</t>
        </r>
      </text>
    </comment>
    <comment ref="K27" authorId="2" shapeId="0" xr:uid="{00000000-0006-0000-0300-00000E000000}">
      <text>
        <r>
          <rPr>
            <b/>
            <sz val="9"/>
            <rFont val="Tahoma"/>
            <family val="2"/>
          </rPr>
          <t>Author:</t>
        </r>
        <r>
          <rPr>
            <sz val="9"/>
            <rFont val="Tahoma"/>
            <family val="2"/>
          </rPr>
          <t xml:space="preserve">
excluding gains and losses from non-marketable and publicly-held equity securities</t>
        </r>
      </text>
    </comment>
    <comment ref="N27" authorId="0" shapeId="0" xr:uid="{00000000-0006-0000-0300-00000F000000}">
      <text>
        <r>
          <rPr>
            <b/>
            <sz val="9"/>
            <rFont val="Tahoma"/>
            <family val="2"/>
          </rPr>
          <t>Author:</t>
        </r>
        <r>
          <rPr>
            <sz val="9"/>
            <rFont val="Tahoma"/>
            <family val="2"/>
          </rPr>
          <t xml:space="preserve">
Company2747 does not currently forecast this number.</t>
        </r>
      </text>
    </comment>
    <comment ref="K28" authorId="2" shapeId="0" xr:uid="{00000000-0006-0000-0300-000010000000}">
      <text>
        <r>
          <rPr>
            <b/>
            <sz val="9"/>
            <rFont val="Tahoma"/>
            <family val="2"/>
          </rPr>
          <t>Author:</t>
        </r>
        <r>
          <rPr>
            <sz val="9"/>
            <rFont val="Tahoma"/>
            <family val="2"/>
          </rPr>
          <t xml:space="preserve">
excluding gains and losses from non-marketable and publicly-held equity securities</t>
        </r>
      </text>
    </comment>
    <comment ref="K29" authorId="0" shapeId="0" xr:uid="{00000000-0006-0000-0300-000011000000}">
      <text>
        <r>
          <rPr>
            <b/>
            <sz val="9"/>
            <rFont val="Tahoma"/>
            <family val="2"/>
          </rPr>
          <t>Author:</t>
        </r>
        <r>
          <rPr>
            <sz val="9"/>
            <rFont val="Tahoma"/>
            <family val="2"/>
          </rPr>
          <t xml:space="preserve">
+/- 1%</t>
        </r>
      </text>
    </comment>
    <comment ref="K30" authorId="0" shapeId="0" xr:uid="{00000000-0006-0000-0300-000012000000}">
      <text>
        <r>
          <rPr>
            <b/>
            <sz val="9"/>
            <rFont val="Tahoma"/>
            <family val="2"/>
          </rPr>
          <t>Author:</t>
        </r>
        <r>
          <rPr>
            <sz val="9"/>
            <rFont val="Tahoma"/>
            <family val="2"/>
          </rPr>
          <t xml:space="preserve">
+/- 1%</t>
        </r>
      </text>
    </comment>
    <comment ref="K32" authorId="0" shapeId="0" xr:uid="{00000000-0006-0000-0300-000013000000}">
      <text>
        <r>
          <rPr>
            <b/>
            <sz val="9"/>
            <rFont val="Tahoma"/>
            <family val="2"/>
          </rPr>
          <t>Author:</t>
        </r>
        <r>
          <rPr>
            <sz val="9"/>
            <rFont val="Tahoma"/>
            <family val="2"/>
          </rPr>
          <t xml:space="preserve">
+/- 2%</t>
        </r>
      </text>
    </comment>
    <comment ref="K33" authorId="0" shapeId="0" xr:uid="{00000000-0006-0000-0300-000014000000}">
      <text>
        <r>
          <rPr>
            <b/>
            <sz val="9"/>
            <rFont val="Tahoma"/>
            <family val="2"/>
          </rPr>
          <t>Author:</t>
        </r>
        <r>
          <rPr>
            <sz val="9"/>
            <rFont val="Tahoma"/>
            <family val="2"/>
          </rPr>
          <t xml:space="preserve">
+/- 50 bps</t>
        </r>
      </text>
    </comment>
    <comment ref="K34" authorId="0" shapeId="0" xr:uid="{00000000-0006-0000-0300-000015000000}">
      <text>
        <r>
          <rPr>
            <b/>
            <sz val="9"/>
            <rFont val="Tahoma"/>
            <family val="2"/>
          </rPr>
          <t>Author:</t>
        </r>
        <r>
          <rPr>
            <sz val="9"/>
            <rFont val="Tahoma"/>
            <family val="2"/>
          </rPr>
          <t xml:space="preserve">
+/- 50 bps</t>
        </r>
      </text>
    </comment>
    <comment ref="D35" authorId="0" shapeId="0" xr:uid="{00000000-0006-0000-0300-000016000000}">
      <text>
        <r>
          <rPr>
            <b/>
            <sz val="9"/>
            <rFont val="Tahoma"/>
            <family val="2"/>
          </rPr>
          <t>Author:</t>
        </r>
        <r>
          <rPr>
            <sz val="9"/>
            <rFont val="Tahoma"/>
            <family val="2"/>
          </rPr>
          <t xml:space="preserve">
OPEX guidance only includes R&amp;D and SG&amp;A expense.</t>
        </r>
      </text>
    </comment>
    <comment ref="K37" authorId="0" shapeId="0" xr:uid="{00000000-0006-0000-0300-000017000000}">
      <text>
        <r>
          <rPr>
            <b/>
            <sz val="9"/>
            <rFont val="Tahoma"/>
            <family val="2"/>
          </rPr>
          <t>Author:</t>
        </r>
        <r>
          <rPr>
            <sz val="9"/>
            <rFont val="Tahoma"/>
            <family val="2"/>
          </rPr>
          <t xml:space="preserve">
Negative in RIS means income</t>
        </r>
      </text>
    </comment>
    <comment ref="N37" authorId="0" shapeId="0" xr:uid="{00000000-0006-0000-0300-000018000000}">
      <text>
        <r>
          <rPr>
            <b/>
            <sz val="9"/>
            <rFont val="Tahoma"/>
            <family val="2"/>
          </rPr>
          <t>Author:</t>
        </r>
        <r>
          <rPr>
            <sz val="9"/>
            <rFont val="Tahoma"/>
            <family val="2"/>
          </rPr>
          <t xml:space="preserve">
Company2747 does not currently forecast this number.</t>
        </r>
      </text>
    </comment>
    <comment ref="K38" authorId="0" shapeId="0" xr:uid="{00000000-0006-0000-0300-000019000000}">
      <text>
        <r>
          <rPr>
            <b/>
            <sz val="9"/>
            <rFont val="Tahoma"/>
            <family val="2"/>
          </rPr>
          <t>Author:</t>
        </r>
        <r>
          <rPr>
            <sz val="9"/>
            <rFont val="Tahoma"/>
            <family val="2"/>
          </rPr>
          <t xml:space="preserve">
Negative in RIS means income</t>
        </r>
      </text>
    </comment>
    <comment ref="K39" authorId="0" shapeId="0" xr:uid="{00000000-0006-0000-0300-00001A000000}">
      <text>
        <r>
          <rPr>
            <b/>
            <sz val="9"/>
            <rFont val="Tahoma"/>
            <family val="2"/>
          </rPr>
          <t>Author:</t>
        </r>
        <r>
          <rPr>
            <sz val="9"/>
            <rFont val="Tahoma"/>
            <family val="2"/>
          </rPr>
          <t xml:space="preserve">
+/- 1%</t>
        </r>
      </text>
    </comment>
    <comment ref="N39" authorId="0" shapeId="0" xr:uid="{00000000-0006-0000-0300-00001B000000}">
      <text>
        <r>
          <rPr>
            <b/>
            <sz val="9"/>
            <rFont val="Tahoma"/>
            <family val="2"/>
          </rPr>
          <t>Author:</t>
        </r>
        <r>
          <rPr>
            <sz val="9"/>
            <rFont val="Tahoma"/>
            <family val="2"/>
          </rPr>
          <t xml:space="preserve">
Company2747 does not currently forecast this number.</t>
        </r>
      </text>
    </comment>
    <comment ref="K40" authorId="0" shapeId="0" xr:uid="{00000000-0006-0000-0300-00001C000000}">
      <text>
        <r>
          <rPr>
            <b/>
            <sz val="9"/>
            <rFont val="Tahoma"/>
            <family val="2"/>
          </rPr>
          <t>Author:</t>
        </r>
        <r>
          <rPr>
            <sz val="9"/>
            <rFont val="Tahoma"/>
            <family val="2"/>
          </rPr>
          <t xml:space="preserve">
+/- 1%</t>
        </r>
      </text>
    </comment>
    <comment ref="K42" authorId="0" shapeId="0" xr:uid="{00000000-0006-0000-0300-00001D000000}">
      <text>
        <r>
          <rPr>
            <b/>
            <sz val="9"/>
            <rFont val="Tahoma"/>
            <family val="2"/>
          </rPr>
          <t>Author:</t>
        </r>
        <r>
          <rPr>
            <sz val="9"/>
            <rFont val="Tahoma"/>
            <family val="2"/>
          </rPr>
          <t xml:space="preserve">
+/- 2%</t>
        </r>
      </text>
    </comment>
    <comment ref="K43" authorId="0" shapeId="0" xr:uid="{00000000-0006-0000-0300-00001E000000}">
      <text>
        <r>
          <rPr>
            <b/>
            <sz val="9"/>
            <rFont val="Tahoma"/>
            <family val="2"/>
          </rPr>
          <t>Author:</t>
        </r>
        <r>
          <rPr>
            <sz val="9"/>
            <rFont val="Tahoma"/>
            <family val="2"/>
          </rPr>
          <t xml:space="preserve">
+/- 50 bps</t>
        </r>
      </text>
    </comment>
    <comment ref="K44" authorId="0" shapeId="0" xr:uid="{00000000-0006-0000-0300-00001F000000}">
      <text>
        <r>
          <rPr>
            <b/>
            <sz val="9"/>
            <rFont val="Tahoma"/>
            <family val="2"/>
          </rPr>
          <t>Author:</t>
        </r>
        <r>
          <rPr>
            <sz val="9"/>
            <rFont val="Tahoma"/>
            <family val="2"/>
          </rPr>
          <t xml:space="preserve">
+/- 50 bps</t>
        </r>
      </text>
    </comment>
    <comment ref="D45" authorId="0" shapeId="0" xr:uid="{00000000-0006-0000-0300-000020000000}">
      <text>
        <r>
          <rPr>
            <b/>
            <sz val="9"/>
            <rFont val="Tahoma"/>
            <family val="2"/>
          </rPr>
          <t>Author:</t>
        </r>
        <r>
          <rPr>
            <sz val="9"/>
            <rFont val="Tahoma"/>
            <family val="2"/>
          </rPr>
          <t xml:space="preserve">
OPEX guidance only includes R&amp;D and SG&amp;A expense.</t>
        </r>
      </text>
    </comment>
    <comment ref="K47" authorId="0" shapeId="0" xr:uid="{00000000-0006-0000-0300-000021000000}">
      <text>
        <r>
          <rPr>
            <b/>
            <sz val="9"/>
            <rFont val="Tahoma"/>
            <family val="2"/>
          </rPr>
          <t>Author:</t>
        </r>
        <r>
          <rPr>
            <sz val="9"/>
            <rFont val="Tahoma"/>
            <family val="2"/>
          </rPr>
          <t xml:space="preserve">
Negative in RIS means income</t>
        </r>
      </text>
    </comment>
    <comment ref="N47" authorId="0" shapeId="0" xr:uid="{00000000-0006-0000-0300-000022000000}">
      <text>
        <r>
          <rPr>
            <b/>
            <sz val="9"/>
            <rFont val="Tahoma"/>
            <family val="2"/>
          </rPr>
          <t>Author:</t>
        </r>
        <r>
          <rPr>
            <sz val="9"/>
            <rFont val="Tahoma"/>
            <family val="2"/>
          </rPr>
          <t xml:space="preserve">
Company2747 does not currently forecast this number.</t>
        </r>
      </text>
    </comment>
    <comment ref="K48" authorId="0" shapeId="0" xr:uid="{00000000-0006-0000-0300-000023000000}">
      <text>
        <r>
          <rPr>
            <b/>
            <sz val="9"/>
            <rFont val="Tahoma"/>
            <family val="2"/>
          </rPr>
          <t>Author:</t>
        </r>
        <r>
          <rPr>
            <sz val="9"/>
            <rFont val="Tahoma"/>
            <family val="2"/>
          </rPr>
          <t xml:space="preserve">
Negative in RIS means income</t>
        </r>
      </text>
    </comment>
    <comment ref="K49" authorId="0" shapeId="0" xr:uid="{00000000-0006-0000-0300-000024000000}">
      <text>
        <r>
          <rPr>
            <b/>
            <sz val="9"/>
            <rFont val="Tahoma"/>
            <family val="2"/>
          </rPr>
          <t>Author:</t>
        </r>
        <r>
          <rPr>
            <sz val="9"/>
            <rFont val="Tahoma"/>
            <family val="2"/>
          </rPr>
          <t xml:space="preserve">
+/- 1%</t>
        </r>
      </text>
    </comment>
    <comment ref="N49" authorId="0" shapeId="0" xr:uid="{00000000-0006-0000-0300-000025000000}">
      <text>
        <r>
          <rPr>
            <b/>
            <sz val="9"/>
            <rFont val="Tahoma"/>
            <family val="2"/>
          </rPr>
          <t>Author:</t>
        </r>
        <r>
          <rPr>
            <sz val="9"/>
            <rFont val="Tahoma"/>
            <family val="2"/>
          </rPr>
          <t xml:space="preserve">
Company2747 does not currently forecast this number.</t>
        </r>
      </text>
    </comment>
    <comment ref="K50" authorId="0" shapeId="0" xr:uid="{00000000-0006-0000-0300-000026000000}">
      <text>
        <r>
          <rPr>
            <b/>
            <sz val="9"/>
            <rFont val="Tahoma"/>
            <family val="2"/>
          </rPr>
          <t>Author:</t>
        </r>
        <r>
          <rPr>
            <sz val="9"/>
            <rFont val="Tahoma"/>
            <family val="2"/>
          </rPr>
          <t xml:space="preserve">
+/- 1%</t>
        </r>
      </text>
    </comment>
    <comment ref="K52" authorId="0" shapeId="0" xr:uid="{00000000-0006-0000-0300-000027000000}">
      <text>
        <r>
          <rPr>
            <b/>
            <sz val="9"/>
            <rFont val="Tahoma"/>
            <family val="2"/>
          </rPr>
          <t>Author:</t>
        </r>
        <r>
          <rPr>
            <sz val="9"/>
            <rFont val="Tahoma"/>
            <family val="2"/>
          </rPr>
          <t xml:space="preserve">
+/- 2%</t>
        </r>
      </text>
    </comment>
    <comment ref="K53" authorId="0" shapeId="0" xr:uid="{00000000-0006-0000-0300-000028000000}">
      <text>
        <r>
          <rPr>
            <b/>
            <sz val="9"/>
            <rFont val="Tahoma"/>
            <family val="2"/>
          </rPr>
          <t>Author:</t>
        </r>
        <r>
          <rPr>
            <sz val="9"/>
            <rFont val="Tahoma"/>
            <family val="2"/>
          </rPr>
          <t xml:space="preserve">
+/- 50 bps</t>
        </r>
      </text>
    </comment>
    <comment ref="K54" authorId="0" shapeId="0" xr:uid="{00000000-0006-0000-0300-000029000000}">
      <text>
        <r>
          <rPr>
            <b/>
            <sz val="9"/>
            <rFont val="Tahoma"/>
            <family val="2"/>
          </rPr>
          <t>Author:</t>
        </r>
        <r>
          <rPr>
            <sz val="9"/>
            <rFont val="Tahoma"/>
            <family val="2"/>
          </rPr>
          <t xml:space="preserve">
+/- 50 bps</t>
        </r>
      </text>
    </comment>
    <comment ref="D55" authorId="0" shapeId="0" xr:uid="{00000000-0006-0000-0300-00002A000000}">
      <text>
        <r>
          <rPr>
            <b/>
            <sz val="9"/>
            <rFont val="Tahoma"/>
            <family val="2"/>
          </rPr>
          <t>Author:</t>
        </r>
        <r>
          <rPr>
            <sz val="9"/>
            <rFont val="Tahoma"/>
            <family val="2"/>
          </rPr>
          <t xml:space="preserve">
OPEX guidance only includes R&amp;D and SG&amp;A expense.</t>
        </r>
      </text>
    </comment>
    <comment ref="K57" authorId="0" shapeId="0" xr:uid="{00000000-0006-0000-0300-00002B000000}">
      <text>
        <r>
          <rPr>
            <b/>
            <sz val="9"/>
            <rFont val="Tahoma"/>
            <family val="2"/>
          </rPr>
          <t>Author:</t>
        </r>
        <r>
          <rPr>
            <sz val="9"/>
            <rFont val="Tahoma"/>
            <family val="2"/>
          </rPr>
          <t xml:space="preserve">
Negative in RIS means income</t>
        </r>
      </text>
    </comment>
    <comment ref="N57" authorId="0" shapeId="0" xr:uid="{00000000-0006-0000-0300-00002C000000}">
      <text>
        <r>
          <rPr>
            <b/>
            <sz val="9"/>
            <rFont val="Tahoma"/>
            <family val="2"/>
          </rPr>
          <t>Author:</t>
        </r>
        <r>
          <rPr>
            <sz val="9"/>
            <rFont val="Tahoma"/>
            <family val="2"/>
          </rPr>
          <t xml:space="preserve">
Company2747 does not currently forecast this number.</t>
        </r>
      </text>
    </comment>
    <comment ref="K58" authorId="0" shapeId="0" xr:uid="{00000000-0006-0000-0300-00002D000000}">
      <text>
        <r>
          <rPr>
            <b/>
            <sz val="9"/>
            <rFont val="Tahoma"/>
            <family val="2"/>
          </rPr>
          <t>Author:</t>
        </r>
        <r>
          <rPr>
            <sz val="9"/>
            <rFont val="Tahoma"/>
            <family val="2"/>
          </rPr>
          <t xml:space="preserve">
Negative in RIS means income</t>
        </r>
      </text>
    </comment>
    <comment ref="K59" authorId="0" shapeId="0" xr:uid="{00000000-0006-0000-0300-00002E000000}">
      <text>
        <r>
          <rPr>
            <b/>
            <sz val="9"/>
            <rFont val="Tahoma"/>
            <family val="2"/>
          </rPr>
          <t>Author:</t>
        </r>
        <r>
          <rPr>
            <sz val="9"/>
            <rFont val="Tahoma"/>
            <family val="2"/>
          </rPr>
          <t xml:space="preserve">
+/- 1%</t>
        </r>
      </text>
    </comment>
    <comment ref="N59" authorId="0" shapeId="0" xr:uid="{00000000-0006-0000-0300-00002F000000}">
      <text>
        <r>
          <rPr>
            <b/>
            <sz val="9"/>
            <rFont val="Tahoma"/>
            <family val="2"/>
          </rPr>
          <t>Author:</t>
        </r>
        <r>
          <rPr>
            <sz val="9"/>
            <rFont val="Tahoma"/>
            <family val="2"/>
          </rPr>
          <t xml:space="preserve">
Company2747 does not currently forecast this number.</t>
        </r>
      </text>
    </comment>
    <comment ref="K60" authorId="0" shapeId="0" xr:uid="{00000000-0006-0000-0300-000030000000}">
      <text>
        <r>
          <rPr>
            <b/>
            <sz val="9"/>
            <rFont val="Tahoma"/>
            <family val="2"/>
          </rPr>
          <t>Author:</t>
        </r>
        <r>
          <rPr>
            <sz val="9"/>
            <rFont val="Tahoma"/>
            <family val="2"/>
          </rPr>
          <t xml:space="preserve">
+/- 1%</t>
        </r>
      </text>
    </comment>
    <comment ref="K62" authorId="0" shapeId="0" xr:uid="{00000000-0006-0000-0300-000031000000}">
      <text>
        <r>
          <rPr>
            <b/>
            <sz val="9"/>
            <rFont val="Tahoma"/>
            <family val="2"/>
          </rPr>
          <t>Author:</t>
        </r>
        <r>
          <rPr>
            <sz val="9"/>
            <rFont val="Tahoma"/>
            <family val="2"/>
          </rPr>
          <t xml:space="preserve">
+/- 2%</t>
        </r>
      </text>
    </comment>
    <comment ref="K63" authorId="0" shapeId="0" xr:uid="{00000000-0006-0000-0300-000032000000}">
      <text>
        <r>
          <rPr>
            <b/>
            <sz val="9"/>
            <rFont val="Tahoma"/>
            <family val="2"/>
          </rPr>
          <t>Author:</t>
        </r>
        <r>
          <rPr>
            <sz val="9"/>
            <rFont val="Tahoma"/>
            <family val="2"/>
          </rPr>
          <t xml:space="preserve">
+/- 50 bps</t>
        </r>
      </text>
    </comment>
    <comment ref="K64" authorId="0" shapeId="0" xr:uid="{00000000-0006-0000-0300-000033000000}">
      <text>
        <r>
          <rPr>
            <b/>
            <sz val="9"/>
            <rFont val="Tahoma"/>
            <family val="2"/>
          </rPr>
          <t>Author:</t>
        </r>
        <r>
          <rPr>
            <sz val="9"/>
            <rFont val="Tahoma"/>
            <family val="2"/>
          </rPr>
          <t xml:space="preserve">
+/- 50 bps</t>
        </r>
      </text>
    </comment>
    <comment ref="D65" authorId="0" shapeId="0" xr:uid="{00000000-0006-0000-0300-000034000000}">
      <text>
        <r>
          <rPr>
            <b/>
            <sz val="9"/>
            <rFont val="Tahoma"/>
            <family val="2"/>
          </rPr>
          <t>Author:</t>
        </r>
        <r>
          <rPr>
            <sz val="9"/>
            <rFont val="Tahoma"/>
            <family val="2"/>
          </rPr>
          <t xml:space="preserve">
OPEX guidance only includes R&amp;D and SG&amp;A expense.</t>
        </r>
      </text>
    </comment>
    <comment ref="K67" authorId="0" shapeId="0" xr:uid="{00000000-0006-0000-0300-000035000000}">
      <text>
        <r>
          <rPr>
            <b/>
            <sz val="9"/>
            <rFont val="Tahoma"/>
            <family val="2"/>
          </rPr>
          <t>Author:</t>
        </r>
        <r>
          <rPr>
            <sz val="9"/>
            <rFont val="Tahoma"/>
            <family val="2"/>
          </rPr>
          <t xml:space="preserve">
Negative in RIS means income</t>
        </r>
      </text>
    </comment>
    <comment ref="N67" authorId="0" shapeId="0" xr:uid="{00000000-0006-0000-0300-000036000000}">
      <text>
        <r>
          <rPr>
            <b/>
            <sz val="9"/>
            <rFont val="Tahoma"/>
            <family val="2"/>
          </rPr>
          <t>Author:</t>
        </r>
        <r>
          <rPr>
            <sz val="9"/>
            <rFont val="Tahoma"/>
            <family val="2"/>
          </rPr>
          <t xml:space="preserve">
Company2747 does not currently forecast this number.</t>
        </r>
      </text>
    </comment>
    <comment ref="K68" authorId="0" shapeId="0" xr:uid="{00000000-0006-0000-0300-000037000000}">
      <text>
        <r>
          <rPr>
            <b/>
            <sz val="9"/>
            <rFont val="Tahoma"/>
            <family val="2"/>
          </rPr>
          <t>Author:</t>
        </r>
        <r>
          <rPr>
            <sz val="9"/>
            <rFont val="Tahoma"/>
            <family val="2"/>
          </rPr>
          <t xml:space="preserve">
Negative in RIS means income</t>
        </r>
      </text>
    </comment>
    <comment ref="K69" authorId="0" shapeId="0" xr:uid="{00000000-0006-0000-0300-000038000000}">
      <text>
        <r>
          <rPr>
            <b/>
            <sz val="9"/>
            <rFont val="Tahoma"/>
            <family val="2"/>
          </rPr>
          <t>Author:</t>
        </r>
        <r>
          <rPr>
            <sz val="9"/>
            <rFont val="Tahoma"/>
            <family val="2"/>
          </rPr>
          <t xml:space="preserve">
+/- 1%</t>
        </r>
      </text>
    </comment>
    <comment ref="N69" authorId="0" shapeId="0" xr:uid="{00000000-0006-0000-0300-000039000000}">
      <text>
        <r>
          <rPr>
            <b/>
            <sz val="9"/>
            <rFont val="Tahoma"/>
            <family val="2"/>
          </rPr>
          <t>Author:</t>
        </r>
        <r>
          <rPr>
            <sz val="9"/>
            <rFont val="Tahoma"/>
            <family val="2"/>
          </rPr>
          <t xml:space="preserve">
Company2747 does not currently forecast this number.</t>
        </r>
      </text>
    </comment>
    <comment ref="K70" authorId="0" shapeId="0" xr:uid="{00000000-0006-0000-0300-00003A000000}">
      <text>
        <r>
          <rPr>
            <b/>
            <sz val="9"/>
            <rFont val="Tahoma"/>
            <family val="2"/>
          </rPr>
          <t>Author:</t>
        </r>
        <r>
          <rPr>
            <sz val="9"/>
            <rFont val="Tahoma"/>
            <family val="2"/>
          </rPr>
          <t xml:space="preserve">
+/- 1%</t>
        </r>
      </text>
    </comment>
    <comment ref="K72" authorId="0" shapeId="0" xr:uid="{00000000-0006-0000-0300-00003B000000}">
      <text>
        <r>
          <rPr>
            <b/>
            <sz val="9"/>
            <rFont val="Tahoma"/>
            <family val="2"/>
          </rPr>
          <t>Author:</t>
        </r>
        <r>
          <rPr>
            <sz val="9"/>
            <rFont val="Tahoma"/>
            <family val="2"/>
          </rPr>
          <t xml:space="preserve">
For the full year, gross margins are expected to be in the mid-70% range.</t>
        </r>
      </text>
    </comment>
    <comment ref="K73" authorId="0" shapeId="0" xr:uid="{00000000-0006-0000-0300-00003C000000}">
      <text>
        <r>
          <rPr>
            <b/>
            <sz val="9"/>
            <rFont val="Tahoma"/>
            <family val="2"/>
          </rPr>
          <t>Author:</t>
        </r>
        <r>
          <rPr>
            <sz val="9"/>
            <rFont val="Tahoma"/>
            <family val="2"/>
          </rPr>
          <t xml:space="preserve">
For the full year, gross margins are expected to be in the mid-70% range.</t>
        </r>
      </text>
    </comment>
    <comment ref="D74" authorId="0" shapeId="0" xr:uid="{00000000-0006-0000-0300-00003D000000}">
      <text>
        <r>
          <rPr>
            <b/>
            <sz val="9"/>
            <rFont val="Tahoma"/>
            <family val="2"/>
          </rPr>
          <t>Author:</t>
        </r>
        <r>
          <rPr>
            <sz val="9"/>
            <rFont val="Tahoma"/>
            <family val="2"/>
          </rPr>
          <t xml:space="preserve">
OPEX guidance only includes R&amp;D and SG&amp;A expense.</t>
        </r>
      </text>
    </comment>
    <comment ref="K74" authorId="0" shapeId="0" xr:uid="{00000000-0006-0000-0300-00003E000000}">
      <text>
        <r>
          <rPr>
            <b/>
            <sz val="9"/>
            <rFont val="Tahoma"/>
            <family val="2"/>
          </rPr>
          <t>Author:</t>
        </r>
        <r>
          <rPr>
            <sz val="9"/>
            <rFont val="Tahoma"/>
            <family val="2"/>
          </rPr>
          <t xml:space="preserve">
Full-year operating expenses are expected to grow in the mid to
upper 40% range.</t>
        </r>
      </text>
    </comment>
    <comment ref="K75" authorId="0" shapeId="0" xr:uid="{00000000-0006-0000-0300-00003F000000}">
      <text>
        <r>
          <rPr>
            <b/>
            <sz val="9"/>
            <rFont val="Tahoma"/>
            <family val="2"/>
          </rPr>
          <t>Author:</t>
        </r>
        <r>
          <rPr>
            <sz val="9"/>
            <rFont val="Tahoma"/>
            <family val="2"/>
          </rPr>
          <t xml:space="preserve">
Full-year operating expenses are expected to grow in the mid to
upper 40% range.</t>
        </r>
      </text>
    </comment>
    <comment ref="K77" authorId="0" shapeId="0" xr:uid="{00000000-0006-0000-0300-000040000000}">
      <text>
        <r>
          <rPr>
            <b/>
            <sz val="9"/>
            <rFont val="Tahoma"/>
            <family val="2"/>
          </rPr>
          <t>Author:</t>
        </r>
        <r>
          <rPr>
            <sz val="9"/>
            <rFont val="Tahoma"/>
            <family val="2"/>
          </rPr>
          <t xml:space="preserve">
+/- 2%</t>
        </r>
      </text>
    </comment>
    <comment ref="K78" authorId="0" shapeId="0" xr:uid="{00000000-0006-0000-0300-000041000000}">
      <text>
        <r>
          <rPr>
            <b/>
            <sz val="9"/>
            <rFont val="Tahoma"/>
            <family val="2"/>
          </rPr>
          <t>Author:</t>
        </r>
        <r>
          <rPr>
            <sz val="9"/>
            <rFont val="Tahoma"/>
            <family val="2"/>
          </rPr>
          <t xml:space="preserve">
+/- 50 bps</t>
        </r>
      </text>
    </comment>
    <comment ref="K79" authorId="0" shapeId="0" xr:uid="{00000000-0006-0000-0300-000042000000}">
      <text>
        <r>
          <rPr>
            <b/>
            <sz val="9"/>
            <rFont val="Tahoma"/>
            <family val="2"/>
          </rPr>
          <t>Author:</t>
        </r>
        <r>
          <rPr>
            <sz val="9"/>
            <rFont val="Tahoma"/>
            <family val="2"/>
          </rPr>
          <t xml:space="preserve">
+/- 50 bps</t>
        </r>
      </text>
    </comment>
    <comment ref="D80" authorId="0" shapeId="0" xr:uid="{00000000-0006-0000-0300-000043000000}">
      <text>
        <r>
          <rPr>
            <b/>
            <sz val="9"/>
            <rFont val="Tahoma"/>
            <family val="2"/>
          </rPr>
          <t>Author:</t>
        </r>
        <r>
          <rPr>
            <sz val="9"/>
            <rFont val="Tahoma"/>
            <family val="2"/>
          </rPr>
          <t xml:space="preserve">
OPEX guidance only includes R&amp;D and SG&amp;A expense.</t>
        </r>
      </text>
    </comment>
    <comment ref="K82" authorId="0" shapeId="0" xr:uid="{00000000-0006-0000-0300-000044000000}">
      <text>
        <r>
          <rPr>
            <b/>
            <sz val="9"/>
            <rFont val="Tahoma"/>
            <family val="2"/>
          </rPr>
          <t>Author:</t>
        </r>
        <r>
          <rPr>
            <sz val="9"/>
            <rFont val="Tahoma"/>
            <family val="2"/>
          </rPr>
          <t xml:space="preserve">
Negative in RIS means income</t>
        </r>
      </text>
    </comment>
    <comment ref="N82" authorId="0" shapeId="0" xr:uid="{00000000-0006-0000-0300-000045000000}">
      <text>
        <r>
          <rPr>
            <b/>
            <sz val="9"/>
            <rFont val="Tahoma"/>
            <family val="2"/>
          </rPr>
          <t>Author:</t>
        </r>
        <r>
          <rPr>
            <sz val="9"/>
            <rFont val="Tahoma"/>
            <family val="2"/>
          </rPr>
          <t xml:space="preserve">
Company2747 does not currently forecast this number.</t>
        </r>
      </text>
    </comment>
    <comment ref="K83" authorId="0" shapeId="0" xr:uid="{00000000-0006-0000-0300-000046000000}">
      <text>
        <r>
          <rPr>
            <b/>
            <sz val="9"/>
            <rFont val="Tahoma"/>
            <family val="2"/>
          </rPr>
          <t>Author:</t>
        </r>
        <r>
          <rPr>
            <sz val="9"/>
            <rFont val="Tahoma"/>
            <family val="2"/>
          </rPr>
          <t xml:space="preserve">
Negative in RIS means income</t>
        </r>
      </text>
    </comment>
    <comment ref="K84" authorId="0" shapeId="0" xr:uid="{00000000-0006-0000-0300-000047000000}">
      <text>
        <r>
          <rPr>
            <b/>
            <sz val="9"/>
            <rFont val="Tahoma"/>
            <family val="2"/>
          </rPr>
          <t>Author:</t>
        </r>
        <r>
          <rPr>
            <sz val="9"/>
            <rFont val="Tahoma"/>
            <family val="2"/>
          </rPr>
          <t xml:space="preserve">
+/- 1%</t>
        </r>
      </text>
    </comment>
    <comment ref="N84" authorId="0" shapeId="0" xr:uid="{00000000-0006-0000-0300-000048000000}">
      <text>
        <r>
          <rPr>
            <b/>
            <sz val="9"/>
            <rFont val="Tahoma"/>
            <family val="2"/>
          </rPr>
          <t>Author:</t>
        </r>
        <r>
          <rPr>
            <sz val="9"/>
            <rFont val="Tahoma"/>
            <family val="2"/>
          </rPr>
          <t xml:space="preserve">
Company2747 does not currently forecast this number.</t>
        </r>
      </text>
    </comment>
    <comment ref="K85" authorId="0" shapeId="0" xr:uid="{00000000-0006-0000-0300-000049000000}">
      <text>
        <r>
          <rPr>
            <b/>
            <sz val="9"/>
            <rFont val="Tahoma"/>
            <family val="2"/>
          </rPr>
          <t>Author:</t>
        </r>
        <r>
          <rPr>
            <sz val="9"/>
            <rFont val="Tahoma"/>
            <family val="2"/>
          </rPr>
          <t xml:space="preserve">
+/- 1%</t>
        </r>
      </text>
    </comment>
    <comment ref="K87" authorId="0" shapeId="0" xr:uid="{00000000-0006-0000-0300-00004A000000}">
      <text>
        <r>
          <rPr>
            <b/>
            <sz val="9"/>
            <rFont val="Tahoma"/>
            <family val="2"/>
          </rPr>
          <t>Author:</t>
        </r>
        <r>
          <rPr>
            <sz val="9"/>
            <rFont val="Tahoma"/>
            <family val="2"/>
          </rPr>
          <t xml:space="preserve">
For the full year, gross margins are expected to be in the mid-70% range.</t>
        </r>
      </text>
    </comment>
    <comment ref="K88" authorId="0" shapeId="0" xr:uid="{00000000-0006-0000-0300-00004B000000}">
      <text>
        <r>
          <rPr>
            <b/>
            <sz val="9"/>
            <rFont val="Tahoma"/>
            <family val="2"/>
          </rPr>
          <t>Author:</t>
        </r>
        <r>
          <rPr>
            <sz val="9"/>
            <rFont val="Tahoma"/>
            <family val="2"/>
          </rPr>
          <t xml:space="preserve">
For the full year, gross margins are expected to be in the mid-70% range.</t>
        </r>
      </text>
    </comment>
    <comment ref="D89" authorId="0" shapeId="0" xr:uid="{00000000-0006-0000-0300-00004C000000}">
      <text>
        <r>
          <rPr>
            <b/>
            <sz val="9"/>
            <rFont val="Tahoma"/>
            <family val="2"/>
          </rPr>
          <t>Author:</t>
        </r>
        <r>
          <rPr>
            <sz val="9"/>
            <rFont val="Tahoma"/>
            <family val="2"/>
          </rPr>
          <t xml:space="preserve">
OPEX guidance only includes R&amp;D and SG&amp;A expense.</t>
        </r>
      </text>
    </comment>
    <comment ref="K89" authorId="0" shapeId="0" xr:uid="{00000000-0006-0000-0300-00004D000000}">
      <text>
        <r>
          <rPr>
            <b/>
            <sz val="9"/>
            <rFont val="Tahoma"/>
            <family val="2"/>
          </rPr>
          <t>Author:</t>
        </r>
        <r>
          <rPr>
            <sz val="9"/>
            <rFont val="Tahoma"/>
            <family val="2"/>
          </rPr>
          <t xml:space="preserve">
Full-year operating expenses are expected to grow in the low-40% range. </t>
        </r>
      </text>
    </comment>
    <comment ref="K90" authorId="0" shapeId="0" xr:uid="{00000000-0006-0000-0300-00004E000000}">
      <text>
        <r>
          <rPr>
            <b/>
            <sz val="9"/>
            <rFont val="Tahoma"/>
            <family val="2"/>
          </rPr>
          <t>Author:</t>
        </r>
        <r>
          <rPr>
            <sz val="9"/>
            <rFont val="Tahoma"/>
            <family val="2"/>
          </rPr>
          <t xml:space="preserve">
Full-year operating expenses are expected to grow in the low-40% range. </t>
        </r>
      </text>
    </comment>
    <comment ref="K92" authorId="0" shapeId="0" xr:uid="{00000000-0006-0000-0300-00004F000000}">
      <text>
        <r>
          <rPr>
            <b/>
            <sz val="9"/>
            <rFont val="Tahoma"/>
            <family val="2"/>
          </rPr>
          <t>Author:</t>
        </r>
        <r>
          <rPr>
            <sz val="9"/>
            <rFont val="Tahoma"/>
            <family val="2"/>
          </rPr>
          <t xml:space="preserve">
+/- 2%</t>
        </r>
      </text>
    </comment>
    <comment ref="K93" authorId="0" shapeId="0" xr:uid="{00000000-0006-0000-0300-000050000000}">
      <text>
        <r>
          <rPr>
            <b/>
            <sz val="9"/>
            <rFont val="Tahoma"/>
            <family val="2"/>
          </rPr>
          <t>Author:</t>
        </r>
        <r>
          <rPr>
            <sz val="9"/>
            <rFont val="Tahoma"/>
            <family val="2"/>
          </rPr>
          <t xml:space="preserve">
+/- 50 bps</t>
        </r>
      </text>
    </comment>
    <comment ref="K94" authorId="0" shapeId="0" xr:uid="{00000000-0006-0000-0300-000051000000}">
      <text>
        <r>
          <rPr>
            <b/>
            <sz val="9"/>
            <rFont val="Tahoma"/>
            <family val="2"/>
          </rPr>
          <t>Author:</t>
        </r>
        <r>
          <rPr>
            <sz val="9"/>
            <rFont val="Tahoma"/>
            <family val="2"/>
          </rPr>
          <t xml:space="preserve">
+/- 50 bps</t>
        </r>
      </text>
    </comment>
    <comment ref="D95" authorId="0" shapeId="0" xr:uid="{00000000-0006-0000-0300-000052000000}">
      <text>
        <r>
          <rPr>
            <b/>
            <sz val="9"/>
            <rFont val="Tahoma"/>
            <family val="2"/>
          </rPr>
          <t>Author:</t>
        </r>
        <r>
          <rPr>
            <sz val="9"/>
            <rFont val="Tahoma"/>
            <family val="2"/>
          </rPr>
          <t xml:space="preserve">
OPEX guidance only includes R&amp;D and SG&amp;A expense.</t>
        </r>
      </text>
    </comment>
    <comment ref="K97" authorId="0" shapeId="0" xr:uid="{00000000-0006-0000-0300-000053000000}">
      <text>
        <r>
          <rPr>
            <b/>
            <sz val="9"/>
            <rFont val="Tahoma"/>
            <family val="2"/>
          </rPr>
          <t>Author:</t>
        </r>
        <r>
          <rPr>
            <sz val="9"/>
            <rFont val="Tahoma"/>
            <family val="2"/>
          </rPr>
          <t xml:space="preserve">
Negative in RIS means income</t>
        </r>
      </text>
    </comment>
    <comment ref="N97" authorId="0" shapeId="0" xr:uid="{00000000-0006-0000-0300-000054000000}">
      <text>
        <r>
          <rPr>
            <b/>
            <sz val="9"/>
            <rFont val="Tahoma"/>
            <family val="2"/>
          </rPr>
          <t>Author:</t>
        </r>
        <r>
          <rPr>
            <sz val="9"/>
            <rFont val="Tahoma"/>
            <family val="2"/>
          </rPr>
          <t xml:space="preserve">
Company2747 does not currently forecast this number.</t>
        </r>
      </text>
    </comment>
    <comment ref="K98" authorId="0" shapeId="0" xr:uid="{00000000-0006-0000-0300-000055000000}">
      <text>
        <r>
          <rPr>
            <b/>
            <sz val="9"/>
            <rFont val="Tahoma"/>
            <family val="2"/>
          </rPr>
          <t>Author:</t>
        </r>
        <r>
          <rPr>
            <sz val="9"/>
            <rFont val="Tahoma"/>
            <family val="2"/>
          </rPr>
          <t xml:space="preserve">
Negative in RIS means income</t>
        </r>
      </text>
    </comment>
    <comment ref="K99" authorId="0" shapeId="0" xr:uid="{00000000-0006-0000-0300-000056000000}">
      <text>
        <r>
          <rPr>
            <b/>
            <sz val="9"/>
            <rFont val="Tahoma"/>
            <family val="2"/>
          </rPr>
          <t>Author:</t>
        </r>
        <r>
          <rPr>
            <sz val="9"/>
            <rFont val="Tahoma"/>
            <family val="2"/>
          </rPr>
          <t xml:space="preserve">
+/- 1%</t>
        </r>
      </text>
    </comment>
    <comment ref="N99" authorId="0" shapeId="0" xr:uid="{00000000-0006-0000-0300-000057000000}">
      <text>
        <r>
          <rPr>
            <b/>
            <sz val="9"/>
            <rFont val="Tahoma"/>
            <family val="2"/>
          </rPr>
          <t>Author:</t>
        </r>
        <r>
          <rPr>
            <sz val="9"/>
            <rFont val="Tahoma"/>
            <family val="2"/>
          </rPr>
          <t xml:space="preserve">
Company2747 does not currently forecast this number.</t>
        </r>
      </text>
    </comment>
    <comment ref="K100" authorId="0" shapeId="0" xr:uid="{00000000-0006-0000-0300-000058000000}">
      <text>
        <r>
          <rPr>
            <b/>
            <sz val="9"/>
            <rFont val="Tahoma"/>
            <family val="2"/>
          </rPr>
          <t>Author:</t>
        </r>
        <r>
          <rPr>
            <sz val="9"/>
            <rFont val="Tahoma"/>
            <family val="2"/>
          </rPr>
          <t xml:space="preserve">
+/- 1%</t>
        </r>
      </text>
    </comment>
    <comment ref="K102" authorId="0" shapeId="0" xr:uid="{00000000-0006-0000-0300-000059000000}">
      <text>
        <r>
          <rPr>
            <b/>
            <sz val="9"/>
            <rFont val="Tahoma"/>
            <family val="2"/>
          </rPr>
          <t>Author:</t>
        </r>
        <r>
          <rPr>
            <sz val="9"/>
            <rFont val="Tahoma"/>
            <family val="2"/>
          </rPr>
          <t xml:space="preserve">
+/- 2%</t>
        </r>
      </text>
    </comment>
    <comment ref="K103" authorId="0" shapeId="0" xr:uid="{00000000-0006-0000-0300-00005A000000}">
      <text>
        <r>
          <rPr>
            <b/>
            <sz val="9"/>
            <rFont val="Tahoma"/>
            <family val="2"/>
          </rPr>
          <t>Author:</t>
        </r>
        <r>
          <rPr>
            <sz val="9"/>
            <rFont val="Tahoma"/>
            <family val="2"/>
          </rPr>
          <t xml:space="preserve">
+/- 50 bps</t>
        </r>
      </text>
    </comment>
    <comment ref="K104" authorId="0" shapeId="0" xr:uid="{00000000-0006-0000-0300-00005B000000}">
      <text>
        <r>
          <rPr>
            <b/>
            <sz val="9"/>
            <rFont val="Tahoma"/>
            <family val="2"/>
          </rPr>
          <t>Author:</t>
        </r>
        <r>
          <rPr>
            <sz val="9"/>
            <rFont val="Tahoma"/>
            <family val="2"/>
          </rPr>
          <t xml:space="preserve">
+/- 50 bps</t>
        </r>
      </text>
    </comment>
    <comment ref="D105" authorId="0" shapeId="0" xr:uid="{00000000-0006-0000-0300-00005C000000}">
      <text>
        <r>
          <rPr>
            <b/>
            <sz val="9"/>
            <rFont val="Tahoma"/>
            <family val="2"/>
          </rPr>
          <t>Author:</t>
        </r>
        <r>
          <rPr>
            <sz val="9"/>
            <rFont val="Tahoma"/>
            <family val="2"/>
          </rPr>
          <t xml:space="preserve">
OPEX guidance only includes R&amp;D and SG&amp;A expense.</t>
        </r>
      </text>
    </comment>
    <comment ref="K107" authorId="0" shapeId="0" xr:uid="{00000000-0006-0000-0300-00005D000000}">
      <text>
        <r>
          <rPr>
            <b/>
            <sz val="9"/>
            <rFont val="Tahoma"/>
            <family val="2"/>
          </rPr>
          <t>Author:</t>
        </r>
        <r>
          <rPr>
            <sz val="9"/>
            <rFont val="Tahoma"/>
            <family val="2"/>
          </rPr>
          <t xml:space="preserve">
Negative in RIS means income</t>
        </r>
      </text>
    </comment>
    <comment ref="N107" authorId="0" shapeId="0" xr:uid="{00000000-0006-0000-0300-00005E000000}">
      <text>
        <r>
          <rPr>
            <b/>
            <sz val="9"/>
            <rFont val="Tahoma"/>
            <family val="2"/>
          </rPr>
          <t>Author:</t>
        </r>
        <r>
          <rPr>
            <sz val="9"/>
            <rFont val="Tahoma"/>
            <family val="2"/>
          </rPr>
          <t xml:space="preserve">
Company2747 does not currently forecast this number.</t>
        </r>
      </text>
    </comment>
    <comment ref="K108" authorId="0" shapeId="0" xr:uid="{00000000-0006-0000-0300-00005F000000}">
      <text>
        <r>
          <rPr>
            <b/>
            <sz val="9"/>
            <rFont val="Tahoma"/>
            <family val="2"/>
          </rPr>
          <t>Author:</t>
        </r>
        <r>
          <rPr>
            <sz val="9"/>
            <rFont val="Tahoma"/>
            <family val="2"/>
          </rPr>
          <t xml:space="preserve">
Negative in RIS means income</t>
        </r>
      </text>
    </comment>
    <comment ref="K109" authorId="0" shapeId="0" xr:uid="{00000000-0006-0000-0300-000060000000}">
      <text>
        <r>
          <rPr>
            <b/>
            <sz val="9"/>
            <rFont val="Tahoma"/>
            <family val="2"/>
          </rPr>
          <t>Author:</t>
        </r>
        <r>
          <rPr>
            <sz val="9"/>
            <rFont val="Tahoma"/>
            <family val="2"/>
          </rPr>
          <t xml:space="preserve">
+/- 1%</t>
        </r>
      </text>
    </comment>
    <comment ref="N109" authorId="0" shapeId="0" xr:uid="{00000000-0006-0000-0300-000061000000}">
      <text>
        <r>
          <rPr>
            <b/>
            <sz val="9"/>
            <rFont val="Tahoma"/>
            <family val="2"/>
          </rPr>
          <t>Author:</t>
        </r>
        <r>
          <rPr>
            <sz val="9"/>
            <rFont val="Tahoma"/>
            <family val="2"/>
          </rPr>
          <t xml:space="preserve">
Company2747 does not currently forecast this number.</t>
        </r>
      </text>
    </comment>
    <comment ref="K110" authorId="0" shapeId="0" xr:uid="{00000000-0006-0000-0300-000062000000}">
      <text>
        <r>
          <rPr>
            <b/>
            <sz val="9"/>
            <rFont val="Tahoma"/>
            <family val="2"/>
          </rPr>
          <t>Author:</t>
        </r>
        <r>
          <rPr>
            <sz val="9"/>
            <rFont val="Tahoma"/>
            <family val="2"/>
          </rPr>
          <t xml:space="preserve">
+/- 1%</t>
        </r>
      </text>
    </comment>
    <comment ref="K112" authorId="0" shapeId="0" xr:uid="{00000000-0006-0000-0300-000063000000}">
      <text>
        <r>
          <rPr>
            <b/>
            <sz val="9"/>
            <rFont val="Tahoma"/>
            <family val="2"/>
          </rPr>
          <t>Author:</t>
        </r>
        <r>
          <rPr>
            <sz val="9"/>
            <rFont val="Tahoma"/>
            <family val="2"/>
          </rPr>
          <t xml:space="preserve">
+/- 2%</t>
        </r>
      </text>
    </comment>
    <comment ref="K113" authorId="0" shapeId="0" xr:uid="{00000000-0006-0000-0300-000064000000}">
      <text>
        <r>
          <rPr>
            <b/>
            <sz val="9"/>
            <rFont val="Tahoma"/>
            <family val="2"/>
          </rPr>
          <t>Author:</t>
        </r>
        <r>
          <rPr>
            <sz val="9"/>
            <rFont val="Tahoma"/>
            <family val="2"/>
          </rPr>
          <t xml:space="preserve">
+/- 50 bps</t>
        </r>
      </text>
    </comment>
    <comment ref="K114" authorId="0" shapeId="0" xr:uid="{00000000-0006-0000-0300-000065000000}">
      <text>
        <r>
          <rPr>
            <b/>
            <sz val="9"/>
            <rFont val="Tahoma"/>
            <family val="2"/>
          </rPr>
          <t>Author:</t>
        </r>
        <r>
          <rPr>
            <sz val="9"/>
            <rFont val="Tahoma"/>
            <family val="2"/>
          </rPr>
          <t xml:space="preserve">
+/- 50 bps</t>
        </r>
      </text>
    </comment>
    <comment ref="D115" authorId="0" shapeId="0" xr:uid="{00000000-0006-0000-0300-000066000000}">
      <text>
        <r>
          <rPr>
            <b/>
            <sz val="9"/>
            <rFont val="Tahoma"/>
            <family val="2"/>
          </rPr>
          <t>Author:</t>
        </r>
        <r>
          <rPr>
            <sz val="9"/>
            <rFont val="Tahoma"/>
            <family val="2"/>
          </rPr>
          <t xml:space="preserve">
OPEX guidance only includes R&amp;D and SG&amp;A expense.</t>
        </r>
      </text>
    </comment>
    <comment ref="K117" authorId="0" shapeId="0" xr:uid="{00000000-0006-0000-0300-000067000000}">
      <text>
        <r>
          <rPr>
            <b/>
            <sz val="9"/>
            <rFont val="Tahoma"/>
            <family val="2"/>
          </rPr>
          <t>Author:</t>
        </r>
        <r>
          <rPr>
            <sz val="9"/>
            <rFont val="Tahoma"/>
            <family val="2"/>
          </rPr>
          <t xml:space="preserve">
Negative in RIS means income</t>
        </r>
      </text>
    </comment>
    <comment ref="N117" authorId="0" shapeId="0" xr:uid="{00000000-0006-0000-0300-000068000000}">
      <text>
        <r>
          <rPr>
            <b/>
            <sz val="9"/>
            <rFont val="Tahoma"/>
            <family val="2"/>
          </rPr>
          <t>Author:</t>
        </r>
        <r>
          <rPr>
            <sz val="9"/>
            <rFont val="Tahoma"/>
            <family val="2"/>
          </rPr>
          <t xml:space="preserve">
Company2747 does not currently forecast this number.</t>
        </r>
      </text>
    </comment>
    <comment ref="K118" authorId="0" shapeId="0" xr:uid="{00000000-0006-0000-0300-000069000000}">
      <text>
        <r>
          <rPr>
            <b/>
            <sz val="9"/>
            <rFont val="Tahoma"/>
            <family val="2"/>
          </rPr>
          <t>Author:</t>
        </r>
        <r>
          <rPr>
            <sz val="9"/>
            <rFont val="Tahoma"/>
            <family val="2"/>
          </rPr>
          <t xml:space="preserve">
Negative in RIS means income</t>
        </r>
      </text>
    </comment>
    <comment ref="K119" authorId="0" shapeId="0" xr:uid="{00000000-0006-0000-0300-00006A000000}">
      <text>
        <r>
          <rPr>
            <b/>
            <sz val="9"/>
            <rFont val="Tahoma"/>
            <family val="2"/>
          </rPr>
          <t>Author:</t>
        </r>
        <r>
          <rPr>
            <sz val="9"/>
            <rFont val="Tahoma"/>
            <family val="2"/>
          </rPr>
          <t xml:space="preserve">
+/- 1%</t>
        </r>
      </text>
    </comment>
    <comment ref="N119" authorId="0" shapeId="0" xr:uid="{00000000-0006-0000-0300-00006B000000}">
      <text>
        <r>
          <rPr>
            <b/>
            <sz val="9"/>
            <rFont val="Tahoma"/>
            <family val="2"/>
          </rPr>
          <t>Author:</t>
        </r>
        <r>
          <rPr>
            <sz val="9"/>
            <rFont val="Tahoma"/>
            <family val="2"/>
          </rPr>
          <t xml:space="preserve">
Company2747 does not currently forecast this number.</t>
        </r>
      </text>
    </comment>
    <comment ref="K120" authorId="0" shapeId="0" xr:uid="{00000000-0006-0000-0300-00006C000000}">
      <text>
        <r>
          <rPr>
            <b/>
            <sz val="9"/>
            <rFont val="Tahoma"/>
            <family val="2"/>
          </rPr>
          <t>Author:</t>
        </r>
        <r>
          <rPr>
            <sz val="9"/>
            <rFont val="Tahoma"/>
            <family val="2"/>
          </rPr>
          <t xml:space="preserve">
+/- 1%</t>
        </r>
      </text>
    </comment>
    <comment ref="K122" authorId="0" shapeId="0" xr:uid="{00000000-0006-0000-0300-00006D000000}">
      <text>
        <r>
          <rPr>
            <b/>
            <sz val="9"/>
            <rFont val="Tahoma"/>
            <family val="2"/>
          </rPr>
          <t>Author:</t>
        </r>
        <r>
          <rPr>
            <sz val="9"/>
            <rFont val="Tahoma"/>
            <family val="2"/>
          </rPr>
          <t xml:space="preserve">
+/- 2%</t>
        </r>
      </text>
    </comment>
    <comment ref="K123" authorId="0" shapeId="0" xr:uid="{00000000-0006-0000-0300-00006E000000}">
      <text>
        <r>
          <rPr>
            <b/>
            <sz val="9"/>
            <rFont val="Tahoma"/>
            <family val="2"/>
          </rPr>
          <t>Author:</t>
        </r>
        <r>
          <rPr>
            <sz val="9"/>
            <rFont val="Tahoma"/>
            <family val="2"/>
          </rPr>
          <t xml:space="preserve">
+/- 50 bps</t>
        </r>
      </text>
    </comment>
    <comment ref="K124" authorId="0" shapeId="0" xr:uid="{00000000-0006-0000-0300-00006F000000}">
      <text>
        <r>
          <rPr>
            <b/>
            <sz val="9"/>
            <rFont val="Tahoma"/>
            <family val="2"/>
          </rPr>
          <t>Author:</t>
        </r>
        <r>
          <rPr>
            <sz val="9"/>
            <rFont val="Tahoma"/>
            <family val="2"/>
          </rPr>
          <t xml:space="preserve">
+/- 50 bps</t>
        </r>
      </text>
    </comment>
    <comment ref="D125" authorId="0" shapeId="0" xr:uid="{00000000-0006-0000-0300-000070000000}">
      <text>
        <r>
          <rPr>
            <b/>
            <sz val="9"/>
            <rFont val="Tahoma"/>
            <family val="2"/>
          </rPr>
          <t>Author:</t>
        </r>
        <r>
          <rPr>
            <sz val="9"/>
            <rFont val="Tahoma"/>
            <family val="2"/>
          </rPr>
          <t xml:space="preserve">
OPEX guidance only includes R&amp;D and SG&amp;A expense.</t>
        </r>
      </text>
    </comment>
    <comment ref="K127" authorId="0" shapeId="0" xr:uid="{00000000-0006-0000-0300-000071000000}">
      <text>
        <r>
          <rPr>
            <b/>
            <sz val="9"/>
            <rFont val="Tahoma"/>
            <family val="2"/>
          </rPr>
          <t>Author:</t>
        </r>
        <r>
          <rPr>
            <sz val="9"/>
            <rFont val="Tahoma"/>
            <family val="2"/>
          </rPr>
          <t xml:space="preserve">
Negative in RIS means income</t>
        </r>
      </text>
    </comment>
    <comment ref="N127" authorId="0" shapeId="0" xr:uid="{00000000-0006-0000-0300-000072000000}">
      <text>
        <r>
          <rPr>
            <b/>
            <sz val="9"/>
            <rFont val="Tahoma"/>
            <family val="2"/>
          </rPr>
          <t>Author:</t>
        </r>
        <r>
          <rPr>
            <sz val="9"/>
            <rFont val="Tahoma"/>
            <family val="2"/>
          </rPr>
          <t xml:space="preserve">
Company2747 does not currently forecast this number.</t>
        </r>
      </text>
    </comment>
    <comment ref="K128" authorId="0" shapeId="0" xr:uid="{00000000-0006-0000-0300-000073000000}">
      <text>
        <r>
          <rPr>
            <b/>
            <sz val="9"/>
            <rFont val="Tahoma"/>
            <family val="2"/>
          </rPr>
          <t>Author:</t>
        </r>
        <r>
          <rPr>
            <sz val="9"/>
            <rFont val="Tahoma"/>
            <family val="2"/>
          </rPr>
          <t xml:space="preserve">
Negative in RIS means income</t>
        </r>
      </text>
    </comment>
    <comment ref="N129" authorId="0" shapeId="0" xr:uid="{00000000-0006-0000-0300-000074000000}">
      <text>
        <r>
          <rPr>
            <b/>
            <sz val="9"/>
            <rFont val="Tahoma"/>
            <family val="2"/>
          </rPr>
          <t>Author:</t>
        </r>
        <r>
          <rPr>
            <sz val="9"/>
            <rFont val="Tahoma"/>
            <family val="2"/>
          </rPr>
          <t xml:space="preserve">
Company2747 does not currently forecast this number.</t>
        </r>
      </text>
    </comment>
    <comment ref="K134" authorId="0" shapeId="0" xr:uid="{00000000-0006-0000-0300-000075000000}">
      <text>
        <r>
          <rPr>
            <b/>
            <sz val="9"/>
            <rFont val="Tahoma"/>
            <family val="2"/>
          </rPr>
          <t>Author:</t>
        </r>
        <r>
          <rPr>
            <sz val="9"/>
            <rFont val="Tahoma"/>
            <family val="2"/>
          </rPr>
          <t xml:space="preserve">
+/- 2%</t>
        </r>
      </text>
    </comment>
    <comment ref="K135" authorId="0" shapeId="0" xr:uid="{00000000-0006-0000-0300-000076000000}">
      <text>
        <r>
          <rPr>
            <b/>
            <sz val="9"/>
            <rFont val="Tahoma"/>
            <family val="2"/>
          </rPr>
          <t>Author:</t>
        </r>
        <r>
          <rPr>
            <sz val="9"/>
            <rFont val="Tahoma"/>
            <family val="2"/>
          </rPr>
          <t xml:space="preserve">
+/- 50 bps</t>
        </r>
      </text>
    </comment>
    <comment ref="K136" authorId="0" shapeId="0" xr:uid="{00000000-0006-0000-0300-000077000000}">
      <text>
        <r>
          <rPr>
            <b/>
            <sz val="9"/>
            <rFont val="Tahoma"/>
            <family val="2"/>
          </rPr>
          <t>Author:</t>
        </r>
        <r>
          <rPr>
            <sz val="9"/>
            <rFont val="Tahoma"/>
            <family val="2"/>
          </rPr>
          <t xml:space="preserve">
+/- 50 bps</t>
        </r>
      </text>
    </comment>
    <comment ref="D137" authorId="0" shapeId="0" xr:uid="{00000000-0006-0000-0300-000078000000}">
      <text>
        <r>
          <rPr>
            <b/>
            <sz val="9"/>
            <rFont val="Tahoma"/>
            <family val="2"/>
          </rPr>
          <t>Author:</t>
        </r>
        <r>
          <rPr>
            <sz val="9"/>
            <rFont val="Tahoma"/>
            <family val="2"/>
          </rPr>
          <t xml:space="preserve">
OPEX guidance only includes R&amp;D and SG&amp;A expense.</t>
        </r>
      </text>
    </comment>
    <comment ref="K139" authorId="0" shapeId="0" xr:uid="{00000000-0006-0000-0300-000079000000}">
      <text>
        <r>
          <rPr>
            <b/>
            <sz val="9"/>
            <rFont val="Tahoma"/>
            <family val="2"/>
          </rPr>
          <t>Author:</t>
        </r>
        <r>
          <rPr>
            <sz val="9"/>
            <rFont val="Tahoma"/>
            <family val="2"/>
          </rPr>
          <t xml:space="preserve">
Negative in RIS means income</t>
        </r>
      </text>
    </comment>
    <comment ref="N139" authorId="0" shapeId="0" xr:uid="{00000000-0006-0000-0300-00007A000000}">
      <text>
        <r>
          <rPr>
            <b/>
            <sz val="9"/>
            <rFont val="Tahoma"/>
            <family val="2"/>
          </rPr>
          <t>Author:</t>
        </r>
        <r>
          <rPr>
            <sz val="9"/>
            <rFont val="Tahoma"/>
            <family val="2"/>
          </rPr>
          <t xml:space="preserve">
Company2747 does not currently forecast this number.</t>
        </r>
      </text>
    </comment>
    <comment ref="K140" authorId="0" shapeId="0" xr:uid="{00000000-0006-0000-0300-00007B000000}">
      <text>
        <r>
          <rPr>
            <b/>
            <sz val="9"/>
            <rFont val="Tahoma"/>
            <family val="2"/>
          </rPr>
          <t>Author:</t>
        </r>
        <r>
          <rPr>
            <sz val="9"/>
            <rFont val="Tahoma"/>
            <family val="2"/>
          </rPr>
          <t xml:space="preserve">
Negative in RIS means income</t>
        </r>
      </text>
    </comment>
    <comment ref="N141" authorId="0" shapeId="0" xr:uid="{00000000-0006-0000-0300-00007C000000}">
      <text>
        <r>
          <rPr>
            <b/>
            <sz val="9"/>
            <rFont val="Tahoma"/>
            <family val="2"/>
          </rPr>
          <t>Author:</t>
        </r>
        <r>
          <rPr>
            <sz val="9"/>
            <rFont val="Tahoma"/>
            <family val="2"/>
          </rPr>
          <t xml:space="preserve">
Company2747 does not currently forecast this number.</t>
        </r>
      </text>
    </comment>
    <comment ref="I147" authorId="0" shapeId="0" xr:uid="{00000000-0006-0000-0300-00007D000000}">
      <text>
        <r>
          <rPr>
            <b/>
            <sz val="9"/>
            <rFont val="Tahoma"/>
            <family val="2"/>
          </rPr>
          <t>Author:</t>
        </r>
        <r>
          <rPr>
            <sz val="9"/>
            <rFont val="Tahoma"/>
            <family val="2"/>
          </rPr>
          <t xml:space="preserve">
6.50 billion, plus or minus 2%</t>
        </r>
      </text>
    </comment>
    <comment ref="J147" authorId="0" shapeId="0" xr:uid="{00000000-0006-0000-0300-00007E000000}">
      <text>
        <r>
          <rPr>
            <b/>
            <sz val="9"/>
            <rFont val="Tahoma"/>
            <family val="2"/>
          </rPr>
          <t>Author:</t>
        </r>
        <r>
          <rPr>
            <sz val="9"/>
            <rFont val="Tahoma"/>
            <family val="2"/>
          </rPr>
          <t xml:space="preserve">
6.50 billion, plus or minus 2%</t>
        </r>
      </text>
    </comment>
    <comment ref="K148" authorId="0" shapeId="0" xr:uid="{00000000-0006-0000-0300-00007F000000}">
      <text>
        <r>
          <rPr>
            <b/>
            <sz val="9"/>
            <rFont val="Tahoma"/>
            <family val="2"/>
          </rPr>
          <t>Author:</t>
        </r>
        <r>
          <rPr>
            <sz val="9"/>
            <rFont val="Tahoma"/>
            <family val="2"/>
          </rPr>
          <t xml:space="preserve">
GAAP gross margin is expected to be 64.1%, plus or minus 50 basis points.</t>
        </r>
      </text>
    </comment>
    <comment ref="K149" authorId="0" shapeId="0" xr:uid="{00000000-0006-0000-0300-000080000000}">
      <text>
        <r>
          <rPr>
            <b/>
            <sz val="9"/>
            <rFont val="Tahoma"/>
            <family val="2"/>
          </rPr>
          <t>Author:</t>
        </r>
        <r>
          <rPr>
            <sz val="9"/>
            <rFont val="Tahoma"/>
            <family val="2"/>
          </rPr>
          <t xml:space="preserve">
non-GAAP gross margin is expected to be 66.5%, plus or minus 50 basis points.</t>
        </r>
      </text>
    </comment>
    <comment ref="D150" authorId="0" shapeId="0" xr:uid="{00000000-0006-0000-0300-000081000000}">
      <text>
        <r>
          <rPr>
            <b/>
            <sz val="9"/>
            <rFont val="Tahoma"/>
            <family val="2"/>
          </rPr>
          <t>Author:</t>
        </r>
        <r>
          <rPr>
            <sz val="9"/>
            <rFont val="Tahoma"/>
            <family val="2"/>
          </rPr>
          <t xml:space="preserve">
OPEX guidance only includes R&amp;D and SG&amp;A expense.</t>
        </r>
      </text>
    </comment>
    <comment ref="K152" authorId="0" shapeId="0" xr:uid="{00000000-0006-0000-0300-000082000000}">
      <text>
        <r>
          <rPr>
            <b/>
            <sz val="9"/>
            <rFont val="Tahoma"/>
            <family val="2"/>
          </rPr>
          <t>Author:</t>
        </r>
        <r>
          <rPr>
            <sz val="9"/>
            <rFont val="Tahoma"/>
            <family val="2"/>
          </rPr>
          <t xml:space="preserve">
excluding gains and losses from non-affiliated investments.</t>
        </r>
      </text>
    </comment>
    <comment ref="N152" authorId="0" shapeId="0" xr:uid="{00000000-0006-0000-0300-000083000000}">
      <text>
        <r>
          <rPr>
            <b/>
            <sz val="9"/>
            <rFont val="Tahoma"/>
            <family val="2"/>
          </rPr>
          <t>Author:</t>
        </r>
        <r>
          <rPr>
            <sz val="9"/>
            <rFont val="Tahoma"/>
            <family val="2"/>
          </rPr>
          <t xml:space="preserve">
Company2747 does not currently forecast this number.</t>
        </r>
      </text>
    </comment>
    <comment ref="K153" authorId="0" shapeId="0" xr:uid="{00000000-0006-0000-0300-000084000000}">
      <text>
        <r>
          <rPr>
            <b/>
            <sz val="9"/>
            <rFont val="Tahoma"/>
            <family val="2"/>
          </rPr>
          <t>Author:</t>
        </r>
        <r>
          <rPr>
            <sz val="9"/>
            <rFont val="Tahoma"/>
            <family val="2"/>
          </rPr>
          <t xml:space="preserve">
excluding gains and losses from non-affiliated investments.</t>
        </r>
      </text>
    </comment>
    <comment ref="K154" authorId="0" shapeId="0" xr:uid="{00000000-0006-0000-0300-000085000000}">
      <text>
        <r>
          <rPr>
            <b/>
            <sz val="9"/>
            <rFont val="Tahoma"/>
            <family val="2"/>
          </rPr>
          <t>Author:</t>
        </r>
        <r>
          <rPr>
            <sz val="9"/>
            <rFont val="Tahoma"/>
            <family val="2"/>
          </rPr>
          <t xml:space="preserve">
GAAP and non-GAAP tax rates are expected to be 13.0%, plus or minus 1%, excluding any discrete items.</t>
        </r>
      </text>
    </comment>
    <comment ref="N154" authorId="0" shapeId="0" xr:uid="{00000000-0006-0000-0300-000086000000}">
      <text>
        <r>
          <rPr>
            <b/>
            <sz val="9"/>
            <rFont val="Tahoma"/>
            <family val="2"/>
          </rPr>
          <t>Author:</t>
        </r>
        <r>
          <rPr>
            <sz val="9"/>
            <rFont val="Tahoma"/>
            <family val="2"/>
          </rPr>
          <t xml:space="preserve">
Company2747 does not currently forecast this number.</t>
        </r>
      </text>
    </comment>
    <comment ref="I158" authorId="0" shapeId="0" xr:uid="{00000000-0006-0000-0300-000087000000}">
      <text>
        <r>
          <rPr>
            <b/>
            <sz val="9"/>
            <rFont val="Tahoma"/>
            <family val="2"/>
          </rPr>
          <t>Author:</t>
        </r>
        <r>
          <rPr>
            <sz val="9"/>
            <rFont val="Tahoma"/>
            <family val="2"/>
          </rPr>
          <t xml:space="preserve">
6.00 billion, plus or minus 2%</t>
        </r>
      </text>
    </comment>
    <comment ref="J158" authorId="0" shapeId="0" xr:uid="{00000000-0006-0000-0300-000088000000}">
      <text>
        <r>
          <rPr>
            <b/>
            <sz val="9"/>
            <rFont val="Tahoma"/>
            <family val="2"/>
          </rPr>
          <t>Author:</t>
        </r>
        <r>
          <rPr>
            <sz val="9"/>
            <rFont val="Tahoma"/>
            <family val="2"/>
          </rPr>
          <t xml:space="preserve">
6.00 billion, plus or minus 2%</t>
        </r>
      </text>
    </comment>
    <comment ref="K159" authorId="0" shapeId="0" xr:uid="{00000000-0006-0000-0300-000089000000}">
      <text>
        <r>
          <rPr>
            <b/>
            <sz val="9"/>
            <rFont val="Tahoma"/>
            <family val="2"/>
          </rPr>
          <t>Author:</t>
        </r>
        <r>
          <rPr>
            <sz val="9"/>
            <rFont val="Tahoma"/>
            <family val="2"/>
          </rPr>
          <t xml:space="preserve">
GAAP and non-GAAP gross margins are expected to be 63.2% and 66.0%, respectively, plus or minus 50 basis points.</t>
        </r>
      </text>
    </comment>
    <comment ref="K160" authorId="0" shapeId="0" xr:uid="{00000000-0006-0000-0300-00008A000000}">
      <text>
        <r>
          <rPr>
            <b/>
            <sz val="9"/>
            <rFont val="Tahoma"/>
            <family val="2"/>
          </rPr>
          <t>Author:</t>
        </r>
        <r>
          <rPr>
            <sz val="9"/>
            <rFont val="Tahoma"/>
            <family val="2"/>
          </rPr>
          <t xml:space="preserve">
GAAP and non-GAAP gross margins are expected to be 63.2% and 66.0%, respectively, plus or minus 50 basis points.</t>
        </r>
      </text>
    </comment>
    <comment ref="D161" authorId="0" shapeId="0" xr:uid="{00000000-0006-0000-0300-00008B000000}">
      <text>
        <r>
          <rPr>
            <b/>
            <sz val="9"/>
            <rFont val="Tahoma"/>
            <family val="2"/>
          </rPr>
          <t>Author:</t>
        </r>
        <r>
          <rPr>
            <sz val="9"/>
            <rFont val="Tahoma"/>
            <family val="2"/>
          </rPr>
          <t xml:space="preserve">
OPEX guidance only includes R&amp;D and SG&amp;A expense.</t>
        </r>
      </text>
    </comment>
    <comment ref="N163" authorId="0" shapeId="0" xr:uid="{00000000-0006-0000-0300-00008C000000}">
      <text>
        <r>
          <rPr>
            <b/>
            <sz val="9"/>
            <rFont val="Tahoma"/>
            <family val="2"/>
          </rPr>
          <t>Author:</t>
        </r>
        <r>
          <rPr>
            <sz val="9"/>
            <rFont val="Tahoma"/>
            <family val="2"/>
          </rPr>
          <t xml:space="preserve">
Company2747 does not currently forecast this number.</t>
        </r>
      </text>
    </comment>
    <comment ref="N165" authorId="0" shapeId="0" xr:uid="{00000000-0006-0000-0300-00008D000000}">
      <text>
        <r>
          <rPr>
            <b/>
            <sz val="9"/>
            <rFont val="Tahoma"/>
            <family val="2"/>
          </rPr>
          <t>Author:</t>
        </r>
        <r>
          <rPr>
            <sz val="9"/>
            <rFont val="Tahoma"/>
            <family val="2"/>
          </rPr>
          <t xml:space="preserve">
Company2747 does not currently forecast this number.</t>
        </r>
      </text>
    </comment>
    <comment ref="I169" authorId="0" shapeId="0" xr:uid="{00000000-0006-0000-0300-00008E000000}">
      <text>
        <r>
          <rPr>
            <b/>
            <sz val="9"/>
            <rFont val="Tahoma"/>
            <family val="2"/>
          </rPr>
          <t>Author:</t>
        </r>
        <r>
          <rPr>
            <sz val="9"/>
            <rFont val="Tahoma"/>
            <family val="2"/>
          </rPr>
          <t xml:space="preserve">
Revenue is expected to be $5.90 billion, plus or minus 2%. Gaming and Professional Visualization revenue are expected to decline sequentially, as OEMs and channel partners reduce inventory levels to align with current levels of demand and prepare for Company1915’s new product generation. The company expects that decline to be partially offset by sequential growth in Data Center and Automotive.</t>
        </r>
      </text>
    </comment>
    <comment ref="J169" authorId="0" shapeId="0" xr:uid="{00000000-0006-0000-0300-00008F000000}">
      <text>
        <r>
          <rPr>
            <b/>
            <sz val="9"/>
            <rFont val="Tahoma"/>
            <family val="2"/>
          </rPr>
          <t>Author:</t>
        </r>
        <r>
          <rPr>
            <sz val="9"/>
            <rFont val="Tahoma"/>
            <family val="2"/>
          </rPr>
          <t xml:space="preserve">
Revenue is expected to be $5.90 billion, plus or minus 2%. Gaming and Professional Visualization revenue are expected to decline sequentially, as OEMs and channel partners reduce inventory levels to align with current levels of demand and prepare for Company1915’s new product generation. The company expects that decline to be partially offset by sequential growth in Data Center and Automotive.</t>
        </r>
      </text>
    </comment>
    <comment ref="I170" authorId="0" shapeId="0" xr:uid="{00000000-0006-0000-0300-000090000000}">
      <text>
        <r>
          <rPr>
            <b/>
            <sz val="9"/>
            <rFont val="Tahoma"/>
            <family val="2"/>
          </rPr>
          <t>Author:</t>
        </r>
        <r>
          <rPr>
            <sz val="9"/>
            <rFont val="Tahoma"/>
            <family val="2"/>
          </rPr>
          <t xml:space="preserve">
GAAP and non-GAAP gross margins are expected to be 62.4% and 65.0%, respectively, plus or minus 50 basis points. </t>
        </r>
      </text>
    </comment>
    <comment ref="J170" authorId="0" shapeId="0" xr:uid="{00000000-0006-0000-0300-000091000000}">
      <text>
        <r>
          <rPr>
            <b/>
            <sz val="9"/>
            <rFont val="Tahoma"/>
            <family val="2"/>
          </rPr>
          <t>Author:</t>
        </r>
        <r>
          <rPr>
            <sz val="9"/>
            <rFont val="Tahoma"/>
            <family val="2"/>
          </rPr>
          <t xml:space="preserve">
GAAP and non-GAAP gross margins are expected to be 62.4% and 65.0%, respectively, plus or minus 50 basis points. </t>
        </r>
      </text>
    </comment>
    <comment ref="I171" authorId="0" shapeId="0" xr:uid="{00000000-0006-0000-0300-000092000000}">
      <text>
        <r>
          <rPr>
            <b/>
            <sz val="9"/>
            <rFont val="Tahoma"/>
            <family val="2"/>
          </rPr>
          <t>Author:</t>
        </r>
        <r>
          <rPr>
            <sz val="9"/>
            <rFont val="Tahoma"/>
            <family val="2"/>
          </rPr>
          <t xml:space="preserve">
GAAP and non-GAAP gross margins are expected to be 62.4% and 65.0%, respectively, plus or minus 50 basis points. </t>
        </r>
      </text>
    </comment>
    <comment ref="J171" authorId="0" shapeId="0" xr:uid="{00000000-0006-0000-0300-000093000000}">
      <text>
        <r>
          <rPr>
            <b/>
            <sz val="9"/>
            <rFont val="Tahoma"/>
            <family val="2"/>
          </rPr>
          <t>Author:</t>
        </r>
        <r>
          <rPr>
            <sz val="9"/>
            <rFont val="Tahoma"/>
            <family val="2"/>
          </rPr>
          <t xml:space="preserve">
GAAP and non-GAAP gross margins are expected to be 62.4% and 65.0%, respectively, plus or minus 50 basis points. </t>
        </r>
      </text>
    </comment>
    <comment ref="D172" authorId="0" shapeId="0" xr:uid="{00000000-0006-0000-0300-000094000000}">
      <text>
        <r>
          <rPr>
            <b/>
            <sz val="9"/>
            <rFont val="Tahoma"/>
            <family val="2"/>
          </rPr>
          <t>Author:</t>
        </r>
        <r>
          <rPr>
            <sz val="9"/>
            <rFont val="Tahoma"/>
            <family val="2"/>
          </rPr>
          <t xml:space="preserve">
OPEX guidance only includes R&amp;D and SG&amp;A expense.</t>
        </r>
      </text>
    </comment>
    <comment ref="N174" authorId="0" shapeId="0" xr:uid="{00000000-0006-0000-0300-000095000000}">
      <text>
        <r>
          <rPr>
            <b/>
            <sz val="9"/>
            <rFont val="Tahoma"/>
            <family val="2"/>
          </rPr>
          <t>Author:</t>
        </r>
        <r>
          <rPr>
            <sz val="9"/>
            <rFont val="Tahoma"/>
            <family val="2"/>
          </rPr>
          <t xml:space="preserve">
Company2747 does not currently forecast this number.</t>
        </r>
      </text>
    </comment>
    <comment ref="N176" authorId="0" shapeId="0" xr:uid="{00000000-0006-0000-0300-000096000000}">
      <text>
        <r>
          <rPr>
            <b/>
            <sz val="9"/>
            <rFont val="Tahoma"/>
            <family val="2"/>
          </rPr>
          <t>Author:</t>
        </r>
        <r>
          <rPr>
            <sz val="9"/>
            <rFont val="Tahoma"/>
            <family val="2"/>
          </rPr>
          <t xml:space="preserve">
Company2747 does not currently forecast this number.</t>
        </r>
      </text>
    </comment>
    <comment ref="I180" authorId="0" shapeId="0" xr:uid="{00000000-0006-0000-0300-000097000000}">
      <text>
        <r>
          <rPr>
            <b/>
            <sz val="9"/>
            <rFont val="Tahoma"/>
            <family val="2"/>
          </rPr>
          <t>Author:</t>
        </r>
        <r>
          <rPr>
            <sz val="9"/>
            <rFont val="Tahoma"/>
            <family val="2"/>
          </rPr>
          <t xml:space="preserve">
Revenue is expected to be $8.1 billion, plus or minus 2 percent. This includes an estimated reduction of approximately $500 million relating to Russia and the COVID lockdowns in China.</t>
        </r>
      </text>
    </comment>
    <comment ref="J180" authorId="0" shapeId="0" xr:uid="{00000000-0006-0000-0300-000098000000}">
      <text>
        <r>
          <rPr>
            <b/>
            <sz val="9"/>
            <rFont val="Tahoma"/>
            <family val="2"/>
          </rPr>
          <t>Author:</t>
        </r>
        <r>
          <rPr>
            <sz val="9"/>
            <rFont val="Tahoma"/>
            <family val="2"/>
          </rPr>
          <t xml:space="preserve">
Revenue is expected to be $8.1 billion, plus or minus 2 percent. This includes an estimated reduction of approximately $500 million relating to Russia and the COVID lockdowns in China.</t>
        </r>
      </text>
    </comment>
    <comment ref="I181" authorId="0" shapeId="0" xr:uid="{00000000-0006-0000-0300-000099000000}">
      <text>
        <r>
          <rPr>
            <b/>
            <sz val="9"/>
            <rFont val="Tahoma"/>
            <family val="2"/>
          </rPr>
          <t>Author:</t>
        </r>
        <r>
          <rPr>
            <sz val="9"/>
            <rFont val="Tahoma"/>
            <family val="2"/>
          </rPr>
          <t xml:space="preserve">
expected to be 65.1 percent plus or minus 50 basis points. </t>
        </r>
      </text>
    </comment>
    <comment ref="J181" authorId="0" shapeId="0" xr:uid="{00000000-0006-0000-0300-00009A000000}">
      <text>
        <r>
          <rPr>
            <b/>
            <sz val="9"/>
            <rFont val="Tahoma"/>
            <family val="2"/>
          </rPr>
          <t>Author:</t>
        </r>
        <r>
          <rPr>
            <sz val="9"/>
            <rFont val="Tahoma"/>
            <family val="2"/>
          </rPr>
          <t xml:space="preserve">
expected to be 65.1 percent plus or minus 50 basis points. </t>
        </r>
      </text>
    </comment>
    <comment ref="I182" authorId="0" shapeId="0" xr:uid="{00000000-0006-0000-0300-00009B000000}">
      <text>
        <r>
          <rPr>
            <b/>
            <sz val="9"/>
            <rFont val="Tahoma"/>
            <family val="2"/>
          </rPr>
          <t>Author:</t>
        </r>
        <r>
          <rPr>
            <sz val="9"/>
            <rFont val="Tahoma"/>
            <family val="2"/>
          </rPr>
          <t xml:space="preserve">
expected to be 67.1 percent plus or minus 50 basis points. </t>
        </r>
      </text>
    </comment>
    <comment ref="J182" authorId="0" shapeId="0" xr:uid="{00000000-0006-0000-0300-00009C000000}">
      <text>
        <r>
          <rPr>
            <b/>
            <sz val="9"/>
            <rFont val="Tahoma"/>
            <family val="2"/>
          </rPr>
          <t>Author:</t>
        </r>
        <r>
          <rPr>
            <sz val="9"/>
            <rFont val="Tahoma"/>
            <family val="2"/>
          </rPr>
          <t xml:space="preserve">
expected to be 67.1 percent plus or minus 50 basis points. </t>
        </r>
      </text>
    </comment>
    <comment ref="D183" authorId="0" shapeId="0" xr:uid="{00000000-0006-0000-0300-00009D000000}">
      <text>
        <r>
          <rPr>
            <b/>
            <sz val="9"/>
            <rFont val="Tahoma"/>
            <family val="2"/>
          </rPr>
          <t>Author:</t>
        </r>
        <r>
          <rPr>
            <sz val="9"/>
            <rFont val="Tahoma"/>
            <family val="2"/>
          </rPr>
          <t xml:space="preserve">
OPEX guidance only includes R&amp;D and SG&amp;A expense.</t>
        </r>
      </text>
    </comment>
    <comment ref="N185" authorId="0" shapeId="0" xr:uid="{00000000-0006-0000-0300-00009E000000}">
      <text>
        <r>
          <rPr>
            <b/>
            <sz val="9"/>
            <rFont val="Tahoma"/>
            <family val="2"/>
          </rPr>
          <t>Author:</t>
        </r>
        <r>
          <rPr>
            <sz val="9"/>
            <rFont val="Tahoma"/>
            <family val="2"/>
          </rPr>
          <t xml:space="preserve">
Company2747 does not currently forecast this number.</t>
        </r>
      </text>
    </comment>
    <comment ref="N187" authorId="0" shapeId="0" xr:uid="{00000000-0006-0000-0300-00009F000000}">
      <text>
        <r>
          <rPr>
            <b/>
            <sz val="9"/>
            <rFont val="Tahoma"/>
            <family val="2"/>
          </rPr>
          <t>Author:</t>
        </r>
        <r>
          <rPr>
            <sz val="9"/>
            <rFont val="Tahoma"/>
            <family val="2"/>
          </rPr>
          <t xml:space="preserve">
Company2747 does not currently forecast this number.</t>
        </r>
      </text>
    </comment>
    <comment ref="I191" authorId="0" shapeId="0" xr:uid="{00000000-0006-0000-0300-0000A0000000}">
      <text>
        <r>
          <rPr>
            <b/>
            <sz val="9"/>
            <rFont val="Tahoma"/>
            <family val="2"/>
          </rPr>
          <t>Author:</t>
        </r>
        <r>
          <rPr>
            <sz val="9"/>
            <rFont val="Tahoma"/>
            <family val="2"/>
          </rPr>
          <t xml:space="preserve">
Revenue is expected to be $8.1 billion, plus or minus 2 percent</t>
        </r>
      </text>
    </comment>
    <comment ref="J191" authorId="0" shapeId="0" xr:uid="{00000000-0006-0000-0300-0000A1000000}">
      <text>
        <r>
          <rPr>
            <b/>
            <sz val="9"/>
            <rFont val="Tahoma"/>
            <family val="2"/>
          </rPr>
          <t>Author:</t>
        </r>
        <r>
          <rPr>
            <sz val="9"/>
            <rFont val="Tahoma"/>
            <family val="2"/>
          </rPr>
          <t xml:space="preserve">
Revenue is expected to be $8.1 billion, plus or minus 2 percent</t>
        </r>
      </text>
    </comment>
    <comment ref="I192" authorId="0" shapeId="0" xr:uid="{00000000-0006-0000-0300-0000A2000000}">
      <text>
        <r>
          <rPr>
            <b/>
            <sz val="9"/>
            <rFont val="Tahoma"/>
            <family val="2"/>
          </rPr>
          <t>Author:</t>
        </r>
        <r>
          <rPr>
            <sz val="9"/>
            <rFont val="Tahoma"/>
            <family val="2"/>
          </rPr>
          <t xml:space="preserve">
expected to be 65.2 percent plus or minus 50 basis points. </t>
        </r>
      </text>
    </comment>
    <comment ref="J192" authorId="0" shapeId="0" xr:uid="{00000000-0006-0000-0300-0000A3000000}">
      <text>
        <r>
          <rPr>
            <b/>
            <sz val="9"/>
            <rFont val="Tahoma"/>
            <family val="2"/>
          </rPr>
          <t>Author:</t>
        </r>
        <r>
          <rPr>
            <sz val="9"/>
            <rFont val="Tahoma"/>
            <family val="2"/>
          </rPr>
          <t xml:space="preserve">
expected to be 65.2 percent plus or minus 50 basis points. </t>
        </r>
      </text>
    </comment>
    <comment ref="I193" authorId="0" shapeId="0" xr:uid="{00000000-0006-0000-0300-0000A4000000}">
      <text>
        <r>
          <rPr>
            <b/>
            <sz val="9"/>
            <rFont val="Tahoma"/>
            <family val="2"/>
          </rPr>
          <t>Author:</t>
        </r>
        <r>
          <rPr>
            <sz val="9"/>
            <rFont val="Tahoma"/>
            <family val="2"/>
          </rPr>
          <t xml:space="preserve">
expected to be 67 percent plus or minus 50 basis points. </t>
        </r>
      </text>
    </comment>
    <comment ref="J193" authorId="0" shapeId="0" xr:uid="{00000000-0006-0000-0300-0000A5000000}">
      <text>
        <r>
          <rPr>
            <b/>
            <sz val="9"/>
            <rFont val="Tahoma"/>
            <family val="2"/>
          </rPr>
          <t>Author:</t>
        </r>
        <r>
          <rPr>
            <sz val="9"/>
            <rFont val="Tahoma"/>
            <family val="2"/>
          </rPr>
          <t xml:space="preserve">
expected to be 67 percent plus or minus 50 basis points. </t>
        </r>
      </text>
    </comment>
    <comment ref="I194" authorId="0" shapeId="0" xr:uid="{00000000-0006-0000-0300-0000A6000000}">
      <text>
        <r>
          <rPr>
            <b/>
            <sz val="9"/>
            <rFont val="Tahoma"/>
            <family val="2"/>
          </rPr>
          <t>Author:</t>
        </r>
        <r>
          <rPr>
            <sz val="9"/>
            <rFont val="Tahoma"/>
            <family val="2"/>
          </rPr>
          <t xml:space="preserve">
Including the Arm Write-off of $1.36 billion</t>
        </r>
      </text>
    </comment>
    <comment ref="J194" authorId="0" shapeId="0" xr:uid="{00000000-0006-0000-0300-0000A7000000}">
      <text>
        <r>
          <rPr>
            <b/>
            <sz val="9"/>
            <rFont val="Tahoma"/>
            <family val="2"/>
          </rPr>
          <t>Author:</t>
        </r>
        <r>
          <rPr>
            <sz val="9"/>
            <rFont val="Tahoma"/>
            <family val="2"/>
          </rPr>
          <t xml:space="preserve">
Including the Arm Write-off of $1.36 billion</t>
        </r>
      </text>
    </comment>
    <comment ref="N196" authorId="0" shapeId="0" xr:uid="{00000000-0006-0000-0300-0000A8000000}">
      <text>
        <r>
          <rPr>
            <b/>
            <sz val="9"/>
            <rFont val="Tahoma"/>
            <family val="2"/>
          </rPr>
          <t>Author:</t>
        </r>
        <r>
          <rPr>
            <sz val="9"/>
            <rFont val="Tahoma"/>
            <family val="2"/>
          </rPr>
          <t xml:space="preserve">
Company2747 does not currently forecast this number.</t>
        </r>
      </text>
    </comment>
    <comment ref="N198" authorId="0" shapeId="0" xr:uid="{00000000-0006-0000-0300-0000A9000000}">
      <text>
        <r>
          <rPr>
            <b/>
            <sz val="9"/>
            <rFont val="Tahoma"/>
            <family val="2"/>
          </rPr>
          <t>Author:</t>
        </r>
        <r>
          <rPr>
            <sz val="9"/>
            <rFont val="Tahoma"/>
            <family val="2"/>
          </rPr>
          <t xml:space="preserve">
Company2747 does not currently forecast this number.</t>
        </r>
      </text>
    </comment>
    <comment ref="I202" authorId="0" shapeId="0" xr:uid="{00000000-0006-0000-0300-0000AA000000}">
      <text>
        <r>
          <rPr>
            <b/>
            <sz val="9"/>
            <rFont val="Tahoma"/>
            <family val="2"/>
          </rPr>
          <t>Author:</t>
        </r>
        <r>
          <rPr>
            <sz val="9"/>
            <rFont val="Tahoma"/>
            <family val="2"/>
          </rPr>
          <t xml:space="preserve">
Revenue is expected to be $7.40 billion, plus or minus 2 percent</t>
        </r>
      </text>
    </comment>
    <comment ref="J202" authorId="0" shapeId="0" xr:uid="{00000000-0006-0000-0300-0000AB000000}">
      <text>
        <r>
          <rPr>
            <b/>
            <sz val="9"/>
            <rFont val="Tahoma"/>
            <family val="2"/>
          </rPr>
          <t>Author:</t>
        </r>
        <r>
          <rPr>
            <sz val="9"/>
            <rFont val="Tahoma"/>
            <family val="2"/>
          </rPr>
          <t xml:space="preserve">
Revenue is expected to be $7.40 billion, plus or minus 2 percent</t>
        </r>
      </text>
    </comment>
    <comment ref="N207" authorId="0" shapeId="0" xr:uid="{00000000-0006-0000-0300-0000AC000000}">
      <text>
        <r>
          <rPr>
            <b/>
            <sz val="9"/>
            <rFont val="Tahoma"/>
            <family val="2"/>
          </rPr>
          <t>Author:</t>
        </r>
        <r>
          <rPr>
            <sz val="9"/>
            <rFont val="Tahoma"/>
            <family val="2"/>
          </rPr>
          <t xml:space="preserve">
Company2747 does not currently forecast this number.</t>
        </r>
      </text>
    </comment>
    <comment ref="N209" authorId="0" shapeId="0" xr:uid="{00000000-0006-0000-0300-0000AD000000}">
      <text>
        <r>
          <rPr>
            <b/>
            <sz val="9"/>
            <rFont val="Tahoma"/>
            <family val="2"/>
          </rPr>
          <t>Author:</t>
        </r>
        <r>
          <rPr>
            <sz val="9"/>
            <rFont val="Tahoma"/>
            <family val="2"/>
          </rPr>
          <t xml:space="preserve">
Company2747 does not currently forecast this number.</t>
        </r>
      </text>
    </comment>
    <comment ref="I215" authorId="0" shapeId="0" xr:uid="{00000000-0006-0000-0300-0000AE000000}">
      <text>
        <r>
          <rPr>
            <b/>
            <sz val="9"/>
            <rFont val="Tahoma"/>
            <family val="2"/>
          </rPr>
          <t>Author:</t>
        </r>
        <r>
          <rPr>
            <sz val="9"/>
            <rFont val="Tahoma"/>
            <family val="2"/>
          </rPr>
          <t xml:space="preserve">
Revenue is expected to be $6.80 billion, plus or minus 2 percent</t>
        </r>
      </text>
    </comment>
    <comment ref="J215" authorId="0" shapeId="0" xr:uid="{00000000-0006-0000-0300-0000AF000000}">
      <text>
        <r>
          <rPr>
            <b/>
            <sz val="9"/>
            <rFont val="Tahoma"/>
            <family val="2"/>
          </rPr>
          <t>Author:</t>
        </r>
        <r>
          <rPr>
            <sz val="9"/>
            <rFont val="Tahoma"/>
            <family val="2"/>
          </rPr>
          <t xml:space="preserve">
Revenue is expected to be $6.80 billion, plus or minus 2 percent</t>
        </r>
      </text>
    </comment>
    <comment ref="N220" authorId="0" shapeId="0" xr:uid="{00000000-0006-0000-0300-0000B0000000}">
      <text>
        <r>
          <rPr>
            <b/>
            <sz val="9"/>
            <rFont val="Tahoma"/>
            <family val="2"/>
          </rPr>
          <t>Author:</t>
        </r>
        <r>
          <rPr>
            <sz val="9"/>
            <rFont val="Tahoma"/>
            <family val="2"/>
          </rPr>
          <t xml:space="preserve">
Company2747 does not currently forecast this number.</t>
        </r>
      </text>
    </comment>
    <comment ref="N222" authorId="0" shapeId="0" xr:uid="{00000000-0006-0000-0300-0000B1000000}">
      <text>
        <r>
          <rPr>
            <b/>
            <sz val="9"/>
            <rFont val="Tahoma"/>
            <family val="2"/>
          </rPr>
          <t>Author:</t>
        </r>
        <r>
          <rPr>
            <sz val="9"/>
            <rFont val="Tahoma"/>
            <family val="2"/>
          </rPr>
          <t xml:space="preserve">
Company2747 does not currently forecast this number.</t>
        </r>
      </text>
    </comment>
    <comment ref="N233" authorId="0" shapeId="0" xr:uid="{00000000-0006-0000-0300-0000B2000000}">
      <text>
        <r>
          <rPr>
            <b/>
            <sz val="9"/>
            <rFont val="Tahoma"/>
            <family val="2"/>
          </rPr>
          <t>Author:</t>
        </r>
        <r>
          <rPr>
            <sz val="9"/>
            <rFont val="Tahoma"/>
            <family val="2"/>
          </rPr>
          <t xml:space="preserve">
Company2747 does not currently forecast this number.</t>
        </r>
      </text>
    </comment>
    <comment ref="N235" authorId="0" shapeId="0" xr:uid="{00000000-0006-0000-0300-0000B3000000}">
      <text>
        <r>
          <rPr>
            <b/>
            <sz val="9"/>
            <rFont val="Tahoma"/>
            <family val="2"/>
          </rPr>
          <t>Author:</t>
        </r>
        <r>
          <rPr>
            <sz val="9"/>
            <rFont val="Tahoma"/>
            <family val="2"/>
          </rPr>
          <t xml:space="preserve">
Company2747 does not currently forecast this number.</t>
        </r>
      </text>
    </comment>
    <comment ref="N246" authorId="0" shapeId="0" xr:uid="{00000000-0006-0000-0300-0000B4000000}">
      <text>
        <r>
          <rPr>
            <b/>
            <sz val="9"/>
            <rFont val="Tahoma"/>
            <family val="2"/>
          </rPr>
          <t>Author:</t>
        </r>
        <r>
          <rPr>
            <sz val="9"/>
            <rFont val="Tahoma"/>
            <family val="2"/>
          </rPr>
          <t xml:space="preserve">
Company2747 does not currently forecast this number.</t>
        </r>
      </text>
    </comment>
    <comment ref="N248" authorId="0" shapeId="0" xr:uid="{00000000-0006-0000-0300-0000B5000000}">
      <text>
        <r>
          <rPr>
            <b/>
            <sz val="9"/>
            <rFont val="Tahoma"/>
            <family val="2"/>
          </rPr>
          <t>Author:</t>
        </r>
        <r>
          <rPr>
            <sz val="9"/>
            <rFont val="Tahoma"/>
            <family val="2"/>
          </rPr>
          <t xml:space="preserve">
Company2747 does not currently forecast this number.</t>
        </r>
      </text>
    </comment>
    <comment ref="N259" authorId="0" shapeId="0" xr:uid="{00000000-0006-0000-0300-0000B6000000}">
      <text>
        <r>
          <rPr>
            <b/>
            <sz val="9"/>
            <rFont val="Tahoma"/>
            <family val="2"/>
          </rPr>
          <t>Author:</t>
        </r>
        <r>
          <rPr>
            <sz val="9"/>
            <rFont val="Tahoma"/>
            <family val="2"/>
          </rPr>
          <t xml:space="preserve">
Company2747 does not currently forecast this number.</t>
        </r>
      </text>
    </comment>
    <comment ref="N261" authorId="0" shapeId="0" xr:uid="{00000000-0006-0000-0300-0000B7000000}">
      <text>
        <r>
          <rPr>
            <b/>
            <sz val="9"/>
            <rFont val="Tahoma"/>
            <family val="2"/>
          </rPr>
          <t>Author:</t>
        </r>
        <r>
          <rPr>
            <sz val="9"/>
            <rFont val="Tahoma"/>
            <family val="2"/>
          </rPr>
          <t xml:space="preserve">
Company2747 does not currently forecast this number.</t>
        </r>
      </text>
    </comment>
    <comment ref="N271" authorId="0" shapeId="0" xr:uid="{00000000-0006-0000-0300-0000B8000000}">
      <text>
        <r>
          <rPr>
            <b/>
            <sz val="9"/>
            <rFont val="Tahoma"/>
            <family val="2"/>
          </rPr>
          <t>Author:</t>
        </r>
        <r>
          <rPr>
            <sz val="9"/>
            <rFont val="Tahoma"/>
            <family val="2"/>
          </rPr>
          <t xml:space="preserve">
Company2747 does not currently forecast this number.</t>
        </r>
      </text>
    </comment>
    <comment ref="N273" authorId="0" shapeId="0" xr:uid="{00000000-0006-0000-0300-0000B9000000}">
      <text>
        <r>
          <rPr>
            <b/>
            <sz val="9"/>
            <rFont val="Tahoma"/>
            <family val="2"/>
          </rPr>
          <t>Author:</t>
        </r>
        <r>
          <rPr>
            <sz val="9"/>
            <rFont val="Tahoma"/>
            <family val="2"/>
          </rPr>
          <t xml:space="preserve">
Company2747 does not currently forecast this number.</t>
        </r>
      </text>
    </comment>
    <comment ref="K279" authorId="0" shapeId="0" xr:uid="{00000000-0006-0000-0300-0000BA000000}">
      <text>
        <r>
          <rPr>
            <b/>
            <sz val="9"/>
            <rFont val="Tahoma"/>
            <family val="2"/>
          </rPr>
          <t>Author:</t>
        </r>
        <r>
          <rPr>
            <sz val="9"/>
            <rFont val="Tahoma"/>
            <family val="2"/>
          </rPr>
          <t xml:space="preserve">
Includes Company1796</t>
        </r>
      </text>
    </comment>
    <comment ref="K280" authorId="0" shapeId="0" xr:uid="{00000000-0006-0000-0300-0000BB000000}">
      <text>
        <r>
          <rPr>
            <b/>
            <sz val="9"/>
            <rFont val="Tahoma"/>
            <family val="2"/>
          </rPr>
          <t>Author:</t>
        </r>
        <r>
          <rPr>
            <sz val="9"/>
            <rFont val="Tahoma"/>
            <family val="2"/>
          </rPr>
          <t xml:space="preserve">
Includes Company1796</t>
        </r>
      </text>
    </comment>
    <comment ref="I283" authorId="0" shapeId="0" xr:uid="{00000000-0006-0000-0300-0000BC000000}">
      <text>
        <r>
          <rPr>
            <b/>
            <sz val="9"/>
            <rFont val="Tahoma"/>
            <family val="2"/>
          </rPr>
          <t>Author:</t>
        </r>
        <r>
          <rPr>
            <sz val="9"/>
            <rFont val="Tahoma"/>
            <family val="2"/>
          </rPr>
          <t xml:space="preserve">
"$3.65bn +/- 2%"</t>
        </r>
      </text>
    </comment>
    <comment ref="J283" authorId="0" shapeId="0" xr:uid="{00000000-0006-0000-0300-0000BD000000}">
      <text>
        <r>
          <rPr>
            <b/>
            <sz val="9"/>
            <rFont val="Tahoma"/>
            <family val="2"/>
          </rPr>
          <t>Author:</t>
        </r>
        <r>
          <rPr>
            <sz val="9"/>
            <rFont val="Tahoma"/>
            <family val="2"/>
          </rPr>
          <t xml:space="preserve">
"$3.65bn +/- 2%"</t>
        </r>
      </text>
    </comment>
    <comment ref="K283" authorId="0" shapeId="0" xr:uid="{00000000-0006-0000-0300-0000BE000000}">
      <text>
        <r>
          <rPr>
            <b/>
            <sz val="9"/>
            <rFont val="Tahoma"/>
            <family val="2"/>
          </rPr>
          <t>Author:</t>
        </r>
        <r>
          <rPr>
            <sz val="9"/>
            <rFont val="Tahoma"/>
            <family val="2"/>
          </rPr>
          <t xml:space="preserve">
"$3.65bn +/- 2%"</t>
        </r>
      </text>
    </comment>
    <comment ref="I284" authorId="0" shapeId="0" xr:uid="{00000000-0006-0000-0300-0000BF000000}">
      <text>
        <r>
          <rPr>
            <b/>
            <sz val="9"/>
            <rFont val="Tahoma"/>
            <family val="2"/>
          </rPr>
          <t>Author:</t>
        </r>
        <r>
          <rPr>
            <sz val="9"/>
            <rFont val="Tahoma"/>
            <family val="2"/>
          </rPr>
          <t xml:space="preserve">
65% plus or minus 50 basis points</t>
        </r>
      </text>
    </comment>
    <comment ref="J284" authorId="0" shapeId="0" xr:uid="{00000000-0006-0000-0300-0000C0000000}">
      <text>
        <r>
          <rPr>
            <b/>
            <sz val="9"/>
            <rFont val="Tahoma"/>
            <family val="2"/>
          </rPr>
          <t>Author:</t>
        </r>
        <r>
          <rPr>
            <sz val="9"/>
            <rFont val="Tahoma"/>
            <family val="2"/>
          </rPr>
          <t xml:space="preserve">
65% plus or minus 50 basis points</t>
        </r>
      </text>
    </comment>
    <comment ref="K284" authorId="0" shapeId="0" xr:uid="{00000000-0006-0000-0300-0000C1000000}">
      <text>
        <r>
          <rPr>
            <b/>
            <sz val="9"/>
            <rFont val="Tahoma"/>
            <family val="2"/>
          </rPr>
          <t>Author:</t>
        </r>
        <r>
          <rPr>
            <sz val="9"/>
            <rFont val="Tahoma"/>
            <family val="2"/>
          </rPr>
          <t xml:space="preserve">
58.6% plus or minus 50 basis points</t>
        </r>
      </text>
    </comment>
    <comment ref="I285" authorId="0" shapeId="0" xr:uid="{00000000-0006-0000-0300-0000C2000000}">
      <text>
        <r>
          <rPr>
            <b/>
            <sz val="9"/>
            <rFont val="Tahoma"/>
            <family val="2"/>
          </rPr>
          <t>Author:</t>
        </r>
        <r>
          <rPr>
            <sz val="9"/>
            <rFont val="Tahoma"/>
            <family val="2"/>
          </rPr>
          <t xml:space="preserve">
65.4% plus or minus 50 basis points</t>
        </r>
      </text>
    </comment>
    <comment ref="J285" authorId="0" shapeId="0" xr:uid="{00000000-0006-0000-0300-0000C3000000}">
      <text>
        <r>
          <rPr>
            <b/>
            <sz val="9"/>
            <rFont val="Tahoma"/>
            <family val="2"/>
          </rPr>
          <t>Author:</t>
        </r>
        <r>
          <rPr>
            <sz val="9"/>
            <rFont val="Tahoma"/>
            <family val="2"/>
          </rPr>
          <t xml:space="preserve">
65.4% plus or minus 50 basis points</t>
        </r>
      </text>
    </comment>
    <comment ref="K285" authorId="0" shapeId="0" xr:uid="{00000000-0006-0000-0300-0000C4000000}">
      <text>
        <r>
          <rPr>
            <b/>
            <sz val="9"/>
            <rFont val="Tahoma"/>
            <family val="2"/>
          </rPr>
          <t>Author:</t>
        </r>
        <r>
          <rPr>
            <sz val="9"/>
            <rFont val="Tahoma"/>
            <family val="2"/>
          </rPr>
          <t xml:space="preserve">
66% plus or minus 50 basis points</t>
        </r>
      </text>
    </comment>
    <comment ref="N288" authorId="0" shapeId="0" xr:uid="{00000000-0006-0000-0300-0000C5000000}">
      <text>
        <r>
          <rPr>
            <b/>
            <sz val="9"/>
            <rFont val="Tahoma"/>
            <family val="2"/>
          </rPr>
          <t>Author:</t>
        </r>
        <r>
          <rPr>
            <sz val="9"/>
            <rFont val="Tahoma"/>
            <family val="2"/>
          </rPr>
          <t xml:space="preserve">
Company2747 does not currently forecast this number.</t>
        </r>
      </text>
    </comment>
    <comment ref="N290" authorId="0" shapeId="0" xr:uid="{00000000-0006-0000-0300-0000C6000000}">
      <text>
        <r>
          <rPr>
            <b/>
            <sz val="9"/>
            <rFont val="Tahoma"/>
            <family val="2"/>
          </rPr>
          <t>Author:</t>
        </r>
        <r>
          <rPr>
            <sz val="9"/>
            <rFont val="Tahoma"/>
            <family val="2"/>
          </rPr>
          <t xml:space="preserve">
Company2747 does not currently forecast this number.</t>
        </r>
      </text>
    </comment>
    <comment ref="N295" authorId="0" shapeId="0" xr:uid="{00000000-0006-0000-0300-0000C7000000}">
      <text>
        <r>
          <rPr>
            <b/>
            <sz val="9"/>
            <rFont val="Tahoma"/>
            <family val="2"/>
          </rPr>
          <t>Author:</t>
        </r>
        <r>
          <rPr>
            <sz val="9"/>
            <rFont val="Tahoma"/>
            <family val="2"/>
          </rPr>
          <t xml:space="preserve">
Company2747 does not currently forecast this number.</t>
        </r>
      </text>
    </comment>
    <comment ref="I297" authorId="0" shapeId="0" xr:uid="{00000000-0006-0000-0300-0000C8000000}">
      <text>
        <r>
          <rPr>
            <b/>
            <sz val="9"/>
            <rFont val="Tahoma"/>
            <family val="2"/>
          </rPr>
          <t>Author:</t>
        </r>
        <r>
          <rPr>
            <sz val="9"/>
            <rFont val="Tahoma"/>
            <family val="2"/>
          </rPr>
          <t xml:space="preserve">
"$3.00bn +/- 2%"</t>
        </r>
      </text>
    </comment>
    <comment ref="J297" authorId="0" shapeId="0" xr:uid="{00000000-0006-0000-0300-0000C9000000}">
      <text>
        <r>
          <rPr>
            <b/>
            <sz val="9"/>
            <rFont val="Tahoma"/>
            <family val="2"/>
          </rPr>
          <t>Author:</t>
        </r>
        <r>
          <rPr>
            <sz val="9"/>
            <rFont val="Tahoma"/>
            <family val="2"/>
          </rPr>
          <t xml:space="preserve">
"$3.00bn +/- 2%"</t>
        </r>
      </text>
    </comment>
    <comment ref="K297" authorId="0" shapeId="0" xr:uid="{00000000-0006-0000-0300-0000CA000000}">
      <text>
        <r>
          <rPr>
            <b/>
            <sz val="9"/>
            <rFont val="Tahoma"/>
            <family val="2"/>
          </rPr>
          <t>Author:</t>
        </r>
        <r>
          <rPr>
            <sz val="9"/>
            <rFont val="Tahoma"/>
            <family val="2"/>
          </rPr>
          <t xml:space="preserve">
"$3.00bn +/- 2%"</t>
        </r>
      </text>
    </comment>
    <comment ref="I298" authorId="0" shapeId="0" xr:uid="{00000000-0006-0000-0300-0000CB000000}">
      <text>
        <r>
          <rPr>
            <b/>
            <sz val="9"/>
            <rFont val="Tahoma"/>
            <family val="2"/>
          </rPr>
          <t>Author:</t>
        </r>
        <r>
          <rPr>
            <sz val="9"/>
            <rFont val="Tahoma"/>
            <family val="2"/>
          </rPr>
          <t xml:space="preserve">
65% plus or minus 50 basis points</t>
        </r>
      </text>
    </comment>
    <comment ref="J298" authorId="0" shapeId="0" xr:uid="{00000000-0006-0000-0300-0000CC000000}">
      <text>
        <r>
          <rPr>
            <b/>
            <sz val="9"/>
            <rFont val="Tahoma"/>
            <family val="2"/>
          </rPr>
          <t>Author:</t>
        </r>
        <r>
          <rPr>
            <sz val="9"/>
            <rFont val="Tahoma"/>
            <family val="2"/>
          </rPr>
          <t xml:space="preserve">
65% plus or minus 50 basis points</t>
        </r>
      </text>
    </comment>
    <comment ref="K298" authorId="0" shapeId="0" xr:uid="{00000000-0006-0000-0300-0000CD000000}">
      <text>
        <r>
          <rPr>
            <b/>
            <sz val="9"/>
            <rFont val="Tahoma"/>
            <family val="2"/>
          </rPr>
          <t>Author:</t>
        </r>
        <r>
          <rPr>
            <sz val="9"/>
            <rFont val="Tahoma"/>
            <family val="2"/>
          </rPr>
          <t xml:space="preserve">
65% plus or minus 50 basis points</t>
        </r>
      </text>
    </comment>
    <comment ref="I299" authorId="0" shapeId="0" xr:uid="{00000000-0006-0000-0300-0000CE000000}">
      <text>
        <r>
          <rPr>
            <b/>
            <sz val="9"/>
            <rFont val="Tahoma"/>
            <family val="2"/>
          </rPr>
          <t>Author:</t>
        </r>
        <r>
          <rPr>
            <sz val="9"/>
            <rFont val="Tahoma"/>
            <family val="2"/>
          </rPr>
          <t xml:space="preserve">
65.4% plus or minus 50 basis points</t>
        </r>
      </text>
    </comment>
    <comment ref="J299" authorId="0" shapeId="0" xr:uid="{00000000-0006-0000-0300-0000CF000000}">
      <text>
        <r>
          <rPr>
            <b/>
            <sz val="9"/>
            <rFont val="Tahoma"/>
            <family val="2"/>
          </rPr>
          <t>Author:</t>
        </r>
        <r>
          <rPr>
            <sz val="9"/>
            <rFont val="Tahoma"/>
            <family val="2"/>
          </rPr>
          <t xml:space="preserve">
65.4% plus or minus 50 basis points</t>
        </r>
      </text>
    </comment>
    <comment ref="K299" authorId="0" shapeId="0" xr:uid="{00000000-0006-0000-0300-0000D0000000}">
      <text>
        <r>
          <rPr>
            <b/>
            <sz val="9"/>
            <rFont val="Tahoma"/>
            <family val="2"/>
          </rPr>
          <t>Author:</t>
        </r>
        <r>
          <rPr>
            <sz val="9"/>
            <rFont val="Tahoma"/>
            <family val="2"/>
          </rPr>
          <t xml:space="preserve">
65.4% plus or minus 50 basis points</t>
        </r>
      </text>
    </comment>
    <comment ref="N302" authorId="0" shapeId="0" xr:uid="{00000000-0006-0000-0300-0000D1000000}">
      <text>
        <r>
          <rPr>
            <b/>
            <sz val="9"/>
            <rFont val="Tahoma"/>
            <family val="2"/>
          </rPr>
          <t>Author:</t>
        </r>
        <r>
          <rPr>
            <sz val="9"/>
            <rFont val="Tahoma"/>
            <family val="2"/>
          </rPr>
          <t xml:space="preserve">
Company2747 does not currently forecast this number.</t>
        </r>
      </text>
    </comment>
    <comment ref="N304" authorId="0" shapeId="0" xr:uid="{00000000-0006-0000-0300-0000D2000000}">
      <text>
        <r>
          <rPr>
            <b/>
            <sz val="9"/>
            <rFont val="Tahoma"/>
            <family val="2"/>
          </rPr>
          <t>Author:</t>
        </r>
        <r>
          <rPr>
            <sz val="9"/>
            <rFont val="Tahoma"/>
            <family val="2"/>
          </rPr>
          <t xml:space="preserve">
Company2747 does not currently forecast this number.</t>
        </r>
      </text>
    </comment>
    <comment ref="I309" authorId="0" shapeId="0" xr:uid="{00000000-0006-0000-0300-0000D3000000}">
      <text>
        <r>
          <rPr>
            <b/>
            <sz val="9"/>
            <rFont val="Tahoma"/>
            <family val="2"/>
          </rPr>
          <t>Author:</t>
        </r>
        <r>
          <rPr>
            <sz val="9"/>
            <rFont val="Tahoma"/>
            <family val="2"/>
          </rPr>
          <t xml:space="preserve">
"$2.950bn +/- 2%"</t>
        </r>
      </text>
    </comment>
    <comment ref="J309" authorId="0" shapeId="0" xr:uid="{00000000-0006-0000-0300-0000D4000000}">
      <text>
        <r>
          <rPr>
            <b/>
            <sz val="9"/>
            <rFont val="Tahoma"/>
            <family val="2"/>
          </rPr>
          <t>Author:</t>
        </r>
        <r>
          <rPr>
            <sz val="9"/>
            <rFont val="Tahoma"/>
            <family val="2"/>
          </rPr>
          <t xml:space="preserve">
"$2.950bn +/- 2%"</t>
        </r>
      </text>
    </comment>
    <comment ref="K309" authorId="0" shapeId="0" xr:uid="{00000000-0006-0000-0300-0000D5000000}">
      <text>
        <r>
          <rPr>
            <b/>
            <sz val="9"/>
            <rFont val="Tahoma"/>
            <family val="2"/>
          </rPr>
          <t>Author:</t>
        </r>
        <r>
          <rPr>
            <sz val="9"/>
            <rFont val="Tahoma"/>
            <family val="2"/>
          </rPr>
          <t xml:space="preserve">
"$2.950bn +/- 2%"</t>
        </r>
      </text>
    </comment>
    <comment ref="N314" authorId="0" shapeId="0" xr:uid="{00000000-0006-0000-0300-0000D6000000}">
      <text>
        <r>
          <rPr>
            <b/>
            <sz val="9"/>
            <rFont val="Tahoma"/>
            <family val="2"/>
          </rPr>
          <t>Author:</t>
        </r>
        <r>
          <rPr>
            <sz val="9"/>
            <rFont val="Tahoma"/>
            <family val="2"/>
          </rPr>
          <t xml:space="preserve">
Company2747 does not currently forecast this number.</t>
        </r>
      </text>
    </comment>
    <comment ref="N316" authorId="0" shapeId="0" xr:uid="{00000000-0006-0000-0300-0000D7000000}">
      <text>
        <r>
          <rPr>
            <b/>
            <sz val="9"/>
            <rFont val="Tahoma"/>
            <family val="2"/>
          </rPr>
          <t>Author:</t>
        </r>
        <r>
          <rPr>
            <sz val="9"/>
            <rFont val="Tahoma"/>
            <family val="2"/>
          </rPr>
          <t xml:space="preserve">
Company2747 does not currently forecast this number.</t>
        </r>
      </text>
    </comment>
    <comment ref="I322" authorId="0" shapeId="0" xr:uid="{00000000-0006-0000-0300-0000D8000000}">
      <text>
        <r>
          <rPr>
            <b/>
            <sz val="9"/>
            <rFont val="Tahoma"/>
            <family val="2"/>
          </rPr>
          <t>Author:</t>
        </r>
        <r>
          <rPr>
            <sz val="9"/>
            <rFont val="Tahoma"/>
            <family val="2"/>
          </rPr>
          <t xml:space="preserve">
"$2.9bn +/- 2%"</t>
        </r>
      </text>
    </comment>
    <comment ref="J322" authorId="0" shapeId="0" xr:uid="{00000000-0006-0000-0300-0000D9000000}">
      <text>
        <r>
          <rPr>
            <b/>
            <sz val="9"/>
            <rFont val="Tahoma"/>
            <family val="2"/>
          </rPr>
          <t>Author:</t>
        </r>
        <r>
          <rPr>
            <sz val="9"/>
            <rFont val="Tahoma"/>
            <family val="2"/>
          </rPr>
          <t xml:space="preserve">
"$2.9bn +/- 2%"</t>
        </r>
      </text>
    </comment>
    <comment ref="K322" authorId="0" shapeId="0" xr:uid="{00000000-0006-0000-0300-0000DA000000}">
      <text>
        <r>
          <rPr>
            <b/>
            <sz val="9"/>
            <rFont val="Tahoma"/>
            <family val="2"/>
          </rPr>
          <t>Author:</t>
        </r>
        <r>
          <rPr>
            <sz val="9"/>
            <rFont val="Tahoma"/>
            <family val="2"/>
          </rPr>
          <t xml:space="preserve">
"$2.9bn +/- 2%"</t>
        </r>
      </text>
    </comment>
    <comment ref="N327" authorId="0" shapeId="0" xr:uid="{00000000-0006-0000-0300-0000DB000000}">
      <text>
        <r>
          <rPr>
            <b/>
            <sz val="9"/>
            <rFont val="Tahoma"/>
            <family val="2"/>
          </rPr>
          <t>Author:</t>
        </r>
        <r>
          <rPr>
            <sz val="9"/>
            <rFont val="Tahoma"/>
            <family val="2"/>
          </rPr>
          <t xml:space="preserve">
Company2747 does not currently forecast this number.</t>
        </r>
      </text>
    </comment>
    <comment ref="N329" authorId="0" shapeId="0" xr:uid="{00000000-0006-0000-0300-0000DC000000}">
      <text>
        <r>
          <rPr>
            <b/>
            <sz val="9"/>
            <rFont val="Tahoma"/>
            <family val="2"/>
          </rPr>
          <t>Author:</t>
        </r>
        <r>
          <rPr>
            <sz val="9"/>
            <rFont val="Tahoma"/>
            <family val="2"/>
          </rPr>
          <t xml:space="preserve">
Company2747 does not currently forecast this number.</t>
        </r>
      </text>
    </comment>
    <comment ref="I334" authorId="0" shapeId="0" xr:uid="{00000000-0006-0000-0300-0000DD000000}">
      <text>
        <r>
          <rPr>
            <b/>
            <sz val="9"/>
            <rFont val="Tahoma"/>
            <family val="2"/>
          </rPr>
          <t>Author:</t>
        </r>
        <r>
          <rPr>
            <sz val="9"/>
            <rFont val="Tahoma"/>
            <family val="2"/>
          </rPr>
          <t xml:space="preserve">
"$2.55bn +/- 2%"</t>
        </r>
      </text>
    </comment>
    <comment ref="J334" authorId="0" shapeId="0" xr:uid="{00000000-0006-0000-0300-0000DE000000}">
      <text>
        <r>
          <rPr>
            <b/>
            <sz val="9"/>
            <rFont val="Tahoma"/>
            <family val="2"/>
          </rPr>
          <t>Author:</t>
        </r>
        <r>
          <rPr>
            <sz val="9"/>
            <rFont val="Tahoma"/>
            <family val="2"/>
          </rPr>
          <t xml:space="preserve">
"$2.55bn +/- 2%"</t>
        </r>
      </text>
    </comment>
    <comment ref="K334" authorId="0" shapeId="0" xr:uid="{00000000-0006-0000-0300-0000DF000000}">
      <text>
        <r>
          <rPr>
            <b/>
            <sz val="9"/>
            <rFont val="Tahoma"/>
            <family val="2"/>
          </rPr>
          <t>Author:</t>
        </r>
        <r>
          <rPr>
            <sz val="9"/>
            <rFont val="Tahoma"/>
            <family val="2"/>
          </rPr>
          <t xml:space="preserve">
"$2.55bn +/- 2%"</t>
        </r>
      </text>
    </comment>
    <comment ref="N339" authorId="0" shapeId="0" xr:uid="{00000000-0006-0000-0300-0000E0000000}">
      <text>
        <r>
          <rPr>
            <b/>
            <sz val="9"/>
            <rFont val="Tahoma"/>
            <family val="2"/>
          </rPr>
          <t>Author:</t>
        </r>
        <r>
          <rPr>
            <sz val="9"/>
            <rFont val="Tahoma"/>
            <family val="2"/>
          </rPr>
          <t xml:space="preserve">
Company2747 does not currently forecast this number.</t>
        </r>
      </text>
    </comment>
    <comment ref="N341" authorId="0" shapeId="0" xr:uid="{00000000-0006-0000-0300-0000E1000000}">
      <text>
        <r>
          <rPr>
            <b/>
            <sz val="9"/>
            <rFont val="Tahoma"/>
            <family val="2"/>
          </rPr>
          <t>Author:</t>
        </r>
        <r>
          <rPr>
            <sz val="9"/>
            <rFont val="Tahoma"/>
            <family val="2"/>
          </rPr>
          <t xml:space="preserve">
Company2747 does not currently forecast this number.</t>
        </r>
      </text>
    </comment>
    <comment ref="K346" authorId="0" shapeId="0" xr:uid="{00000000-0006-0000-0300-0000E2000000}">
      <text>
        <r>
          <rPr>
            <b/>
            <sz val="9"/>
            <rFont val="Tahoma"/>
            <family val="2"/>
          </rPr>
          <t>Author:</t>
        </r>
        <r>
          <rPr>
            <sz val="9"/>
            <rFont val="Tahoma"/>
            <family val="2"/>
          </rPr>
          <t xml:space="preserve">
2.2Bn +/- 2%</t>
        </r>
      </text>
    </comment>
    <comment ref="N351" authorId="0" shapeId="0" xr:uid="{00000000-0006-0000-0300-0000E3000000}">
      <text>
        <r>
          <rPr>
            <b/>
            <sz val="9"/>
            <rFont val="Tahoma"/>
            <family val="2"/>
          </rPr>
          <t>Author:</t>
        </r>
        <r>
          <rPr>
            <sz val="9"/>
            <rFont val="Tahoma"/>
            <family val="2"/>
          </rPr>
          <t xml:space="preserve">
Company2747 does not currently forecast this number.</t>
        </r>
      </text>
    </comment>
    <comment ref="N353" authorId="0" shapeId="0" xr:uid="{00000000-0006-0000-0300-0000E4000000}">
      <text>
        <r>
          <rPr>
            <b/>
            <sz val="9"/>
            <rFont val="Tahoma"/>
            <family val="2"/>
          </rPr>
          <t>Author:</t>
        </r>
        <r>
          <rPr>
            <sz val="9"/>
            <rFont val="Tahoma"/>
            <family val="2"/>
          </rPr>
          <t xml:space="preserve">
Company2747 does not currently forecast this number.</t>
        </r>
      </text>
    </comment>
    <comment ref="N363" authorId="0" shapeId="0" xr:uid="{00000000-0006-0000-0300-0000E5000000}">
      <text>
        <r>
          <rPr>
            <b/>
            <sz val="9"/>
            <rFont val="Tahoma"/>
            <family val="2"/>
          </rPr>
          <t>Author:</t>
        </r>
        <r>
          <rPr>
            <sz val="9"/>
            <rFont val="Tahoma"/>
            <family val="2"/>
          </rPr>
          <t xml:space="preserve">
Company2747 does not currently forecast this number.</t>
        </r>
      </text>
    </comment>
    <comment ref="N365" authorId="0" shapeId="0" xr:uid="{00000000-0006-0000-0300-0000E6000000}">
      <text>
        <r>
          <rPr>
            <b/>
            <sz val="9"/>
            <rFont val="Tahoma"/>
            <family val="2"/>
          </rPr>
          <t>Author:</t>
        </r>
        <r>
          <rPr>
            <sz val="9"/>
            <rFont val="Tahoma"/>
            <family val="2"/>
          </rPr>
          <t xml:space="preserve">
Company2747 does not currently forecast this number.</t>
        </r>
      </text>
    </comment>
    <comment ref="I370" authorId="0" shapeId="0" xr:uid="{00000000-0006-0000-0300-0000E7000000}">
      <text>
        <r>
          <rPr>
            <b/>
            <sz val="9"/>
            <rFont val="Tahoma"/>
            <family val="2"/>
          </rPr>
          <t>Author:</t>
        </r>
        <r>
          <rPr>
            <sz val="9"/>
            <rFont val="Tahoma"/>
            <family val="2"/>
          </rPr>
          <t xml:space="preserve">
Company expected revgenue to be $3.25B, +/- 2%</t>
        </r>
      </text>
    </comment>
    <comment ref="J370" authorId="0" shapeId="0" xr:uid="{00000000-0006-0000-0300-0000E8000000}">
      <text>
        <r>
          <rPr>
            <b/>
            <sz val="9"/>
            <rFont val="Tahoma"/>
            <family val="2"/>
          </rPr>
          <t>Author:</t>
        </r>
        <r>
          <rPr>
            <sz val="9"/>
            <rFont val="Tahoma"/>
            <family val="2"/>
          </rPr>
          <t xml:space="preserve">
Company expected revgenue to be $3.25B, +/- 2%</t>
        </r>
      </text>
    </comment>
    <comment ref="N375" authorId="0" shapeId="0" xr:uid="{00000000-0006-0000-0300-0000E9000000}">
      <text>
        <r>
          <rPr>
            <b/>
            <sz val="9"/>
            <rFont val="Tahoma"/>
            <family val="2"/>
          </rPr>
          <t>Author:</t>
        </r>
        <r>
          <rPr>
            <sz val="9"/>
            <rFont val="Tahoma"/>
            <family val="2"/>
          </rPr>
          <t xml:space="preserve">
Company2747 does not currently forecast this number.</t>
        </r>
      </text>
    </comment>
    <comment ref="N377" authorId="0" shapeId="0" xr:uid="{00000000-0006-0000-0300-0000EA000000}">
      <text>
        <r>
          <rPr>
            <b/>
            <sz val="9"/>
            <rFont val="Tahoma"/>
            <family val="2"/>
          </rPr>
          <t>Author:</t>
        </r>
        <r>
          <rPr>
            <sz val="9"/>
            <rFont val="Tahoma"/>
            <family val="2"/>
          </rPr>
          <t xml:space="preserve">
Company2747 does not currently forecast this number.</t>
        </r>
      </text>
    </comment>
    <comment ref="I382" authorId="0" shapeId="0" xr:uid="{00000000-0006-0000-0300-0000EB000000}">
      <text>
        <r>
          <rPr>
            <b/>
            <sz val="9"/>
            <rFont val="Tahoma"/>
            <family val="2"/>
          </rPr>
          <t>Author:</t>
        </r>
        <r>
          <rPr>
            <sz val="9"/>
            <rFont val="Tahoma"/>
            <family val="2"/>
          </rPr>
          <t xml:space="preserve">
Company expected revgenue to be $3.1B, +/- 2%</t>
        </r>
      </text>
    </comment>
    <comment ref="J382" authorId="0" shapeId="0" xr:uid="{00000000-0006-0000-0300-0000EC000000}">
      <text>
        <r>
          <rPr>
            <b/>
            <sz val="9"/>
            <rFont val="Tahoma"/>
            <family val="2"/>
          </rPr>
          <t>Author:</t>
        </r>
        <r>
          <rPr>
            <sz val="9"/>
            <rFont val="Tahoma"/>
            <family val="2"/>
          </rPr>
          <t xml:space="preserve">
Company expected revgenue to be $3.1B, +/- 2%</t>
        </r>
      </text>
    </comment>
    <comment ref="N387" authorId="0" shapeId="0" xr:uid="{00000000-0006-0000-0300-0000ED000000}">
      <text>
        <r>
          <rPr>
            <b/>
            <sz val="9"/>
            <rFont val="Tahoma"/>
            <family val="2"/>
          </rPr>
          <t>Author:</t>
        </r>
        <r>
          <rPr>
            <sz val="9"/>
            <rFont val="Tahoma"/>
            <family val="2"/>
          </rPr>
          <t xml:space="preserve">
Company2747 does not currently forecast this number.</t>
        </r>
      </text>
    </comment>
    <comment ref="N398" authorId="0" shapeId="0" xr:uid="{00000000-0006-0000-0300-0000EE000000}">
      <text>
        <r>
          <rPr>
            <b/>
            <sz val="9"/>
            <rFont val="Tahoma"/>
            <family val="2"/>
          </rPr>
          <t>Author:</t>
        </r>
        <r>
          <rPr>
            <sz val="9"/>
            <rFont val="Tahoma"/>
            <family val="2"/>
          </rPr>
          <t xml:space="preserve">
Company2747 does not currently forecast this number.</t>
        </r>
      </text>
    </comment>
    <comment ref="N408" authorId="0" shapeId="0" xr:uid="{00000000-0006-0000-0300-0000EF000000}">
      <text>
        <r>
          <rPr>
            <b/>
            <sz val="9"/>
            <rFont val="Tahoma"/>
            <family val="2"/>
          </rPr>
          <t>Author:</t>
        </r>
        <r>
          <rPr>
            <sz val="9"/>
            <rFont val="Tahoma"/>
            <family val="2"/>
          </rPr>
          <t xml:space="preserve">
Company2747 does not currently forecast this number.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Author1</author>
  </authors>
  <commentList>
    <comment ref="A1" authorId="0" shapeId="0" xr:uid="{00000000-0006-0000-0500-000001000000}">
      <text>
        <r>
          <rPr>
            <b/>
            <sz val="9"/>
            <rFont val="Tahoma"/>
            <family val="2"/>
          </rPr>
          <t>Author:</t>
        </r>
        <r>
          <rPr>
            <sz val="9"/>
            <rFont val="Tahoma"/>
            <family val="2"/>
          </rPr>
          <t xml:space="preserve">
Customizations on this worksheet are not supported by the Product0438.</t>
        </r>
      </text>
    </comment>
    <comment ref="A27" authorId="0" shapeId="0" xr:uid="{00000000-0006-0000-0500-000002000000}">
      <text>
        <r>
          <rPr>
            <b/>
            <sz val="9"/>
            <rFont val="Tahoma"/>
            <family val="2"/>
          </rPr>
          <t>Author:</t>
        </r>
        <r>
          <rPr>
            <sz val="9"/>
            <rFont val="Tahoma"/>
            <family val="2"/>
          </rPr>
          <t xml:space="preserve">
Includes QDR after FY 2013</t>
        </r>
      </text>
    </comment>
    <comment ref="J34" authorId="0" shapeId="0" xr:uid="{00000000-0006-0000-0500-000003000000}">
      <text>
        <r>
          <rPr>
            <b/>
            <sz val="9"/>
            <rFont val="Tahoma"/>
            <family val="2"/>
          </rPr>
          <t>Author:</t>
        </r>
        <r>
          <rPr>
            <sz val="9"/>
            <rFont val="Tahoma"/>
            <family val="2"/>
          </rPr>
          <t xml:space="preserve">
calculated </t>
        </r>
      </text>
    </comment>
    <comment ref="T34" authorId="0" shapeId="0" xr:uid="{00000000-0006-0000-0500-000004000000}">
      <text>
        <r>
          <rPr>
            <b/>
            <sz val="9"/>
            <rFont val="Tahoma"/>
            <family val="2"/>
          </rPr>
          <t>Author:</t>
        </r>
        <r>
          <rPr>
            <sz val="9"/>
            <rFont val="Tahoma"/>
            <family val="2"/>
          </rPr>
          <t xml:space="preserve">
calculated </t>
        </r>
      </text>
    </comment>
    <comment ref="Y34" authorId="0" shapeId="0" xr:uid="{00000000-0006-0000-0500-000005000000}">
      <text>
        <r>
          <rPr>
            <b/>
            <sz val="9"/>
            <rFont val="Tahoma"/>
            <family val="2"/>
          </rPr>
          <t>Author:</t>
        </r>
        <r>
          <rPr>
            <sz val="9"/>
            <rFont val="Tahoma"/>
            <family val="2"/>
          </rPr>
          <t xml:space="preserve">
calculated </t>
        </r>
      </text>
    </comment>
    <comment ref="AD34" authorId="0" shapeId="0" xr:uid="{00000000-0006-0000-0500-000006000000}">
      <text>
        <r>
          <rPr>
            <b/>
            <sz val="9"/>
            <rFont val="Tahoma"/>
            <family val="2"/>
          </rPr>
          <t>Author:</t>
        </r>
        <r>
          <rPr>
            <sz val="9"/>
            <rFont val="Tahoma"/>
            <family val="2"/>
          </rPr>
          <t xml:space="preserve">
calculated </t>
        </r>
      </text>
    </comment>
    <comment ref="AI35" authorId="0" shapeId="0" xr:uid="{00000000-0006-0000-0500-000007000000}">
      <text>
        <r>
          <rPr>
            <b/>
            <sz val="9"/>
            <rFont val="Tahoma"/>
            <family val="2"/>
          </rPr>
          <t>Author:</t>
        </r>
        <r>
          <rPr>
            <sz val="9"/>
            <rFont val="Tahoma"/>
            <family val="2"/>
          </rPr>
          <t xml:space="preserve">
calculated </t>
        </r>
      </text>
    </comment>
    <comment ref="J36" authorId="0" shapeId="0" xr:uid="{00000000-0006-0000-0500-000008000000}">
      <text>
        <r>
          <rPr>
            <b/>
            <sz val="9"/>
            <rFont val="Tahoma"/>
            <family val="2"/>
          </rPr>
          <t>Author:</t>
        </r>
        <r>
          <rPr>
            <sz val="9"/>
            <rFont val="Tahoma"/>
            <family val="2"/>
          </rPr>
          <t xml:space="preserve">
calculated </t>
        </r>
      </text>
    </comment>
    <comment ref="C40" authorId="0" shapeId="0" xr:uid="{00000000-0006-0000-0500-000009000000}">
      <text>
        <r>
          <rPr>
            <b/>
            <sz val="9"/>
            <rFont val="Tahoma"/>
            <family val="2"/>
          </rPr>
          <t>Author:</t>
        </r>
        <r>
          <rPr>
            <sz val="9"/>
            <rFont val="Tahoma"/>
            <family val="2"/>
          </rPr>
          <t xml:space="preserve">
Non-GAAP metric not reported for this period</t>
        </r>
      </text>
    </comment>
    <comment ref="C46" authorId="0" shapeId="0" xr:uid="{00000000-0006-0000-0500-00000A000000}">
      <text>
        <r>
          <rPr>
            <b/>
            <sz val="9"/>
            <rFont val="Tahoma"/>
            <family val="2"/>
          </rPr>
          <t>Author:</t>
        </r>
        <r>
          <rPr>
            <sz val="9"/>
            <rFont val="Tahoma"/>
            <family val="2"/>
          </rPr>
          <t xml:space="preserve">
Non-GAAP metric not reported for this period</t>
        </r>
      </text>
    </comment>
    <comment ref="C48" authorId="0" shapeId="0" xr:uid="{00000000-0006-0000-0500-00000B000000}">
      <text>
        <r>
          <rPr>
            <b/>
            <sz val="9"/>
            <rFont val="Tahoma"/>
            <family val="2"/>
          </rPr>
          <t>Author:</t>
        </r>
        <r>
          <rPr>
            <sz val="9"/>
            <rFont val="Tahoma"/>
            <family val="2"/>
          </rPr>
          <t xml:space="preserve">
Non-GAAP metric not reported for this period</t>
        </r>
      </text>
    </comment>
    <comment ref="C50" authorId="0" shapeId="0" xr:uid="{00000000-0006-0000-0500-00000C000000}">
      <text>
        <r>
          <rPr>
            <b/>
            <sz val="9"/>
            <rFont val="Tahoma"/>
            <family val="2"/>
          </rPr>
          <t>Author:</t>
        </r>
        <r>
          <rPr>
            <sz val="9"/>
            <rFont val="Tahoma"/>
            <family val="2"/>
          </rPr>
          <t xml:space="preserve">
Non-GAAP metric not reported for this period</t>
        </r>
      </text>
    </comment>
    <comment ref="C51" authorId="0" shapeId="0" xr:uid="{00000000-0006-0000-0500-00000D000000}">
      <text>
        <r>
          <rPr>
            <b/>
            <sz val="9"/>
            <rFont val="Tahoma"/>
            <family val="2"/>
          </rPr>
          <t>Author:</t>
        </r>
        <r>
          <rPr>
            <sz val="9"/>
            <rFont val="Tahoma"/>
            <family val="2"/>
          </rPr>
          <t xml:space="preserve">
Non-GAAP metric not reported for this period</t>
        </r>
      </text>
    </comment>
    <comment ref="C52" authorId="0" shapeId="0" xr:uid="{00000000-0006-0000-0500-00000E000000}">
      <text>
        <r>
          <rPr>
            <b/>
            <sz val="9"/>
            <rFont val="Tahoma"/>
            <family val="2"/>
          </rPr>
          <t>Author:</t>
        </r>
        <r>
          <rPr>
            <sz val="9"/>
            <rFont val="Tahoma"/>
            <family val="2"/>
          </rPr>
          <t xml:space="preserve">
Non-GAAP metric not reported for this period</t>
        </r>
      </text>
    </comment>
    <comment ref="AJ66" authorId="0" shapeId="0" xr:uid="{00000000-0006-0000-0500-00000F000000}">
      <text>
        <r>
          <rPr>
            <b/>
            <sz val="9"/>
            <rFont val="Tahoma"/>
            <family val="2"/>
          </rPr>
          <t>Author:</t>
        </r>
        <r>
          <rPr>
            <sz val="9"/>
            <rFont val="Tahoma"/>
            <family val="2"/>
          </rPr>
          <t xml:space="preserve">
as reported</t>
        </r>
      </text>
    </comment>
    <comment ref="AJ69" authorId="0" shapeId="0" xr:uid="{00000000-0006-0000-0500-000010000000}">
      <text>
        <r>
          <rPr>
            <b/>
            <sz val="9"/>
            <rFont val="Tahoma"/>
            <family val="2"/>
          </rPr>
          <t>Author:</t>
        </r>
        <r>
          <rPr>
            <sz val="9"/>
            <rFont val="Tahoma"/>
            <family val="2"/>
          </rPr>
          <t xml:space="preserve">
as reported</t>
        </r>
      </text>
    </comment>
    <comment ref="I72" authorId="0" shapeId="0" xr:uid="{00000000-0006-0000-0500-000011000000}">
      <text>
        <r>
          <rPr>
            <b/>
            <sz val="9"/>
            <rFont val="Tahoma"/>
            <family val="2"/>
          </rPr>
          <t>Author:</t>
        </r>
        <r>
          <rPr>
            <sz val="9"/>
            <rFont val="Tahoma"/>
            <family val="2"/>
          </rPr>
          <t xml:space="preserve">
Discrepancy in net income reported on income statement and balance sheet</t>
        </r>
      </text>
    </comment>
    <comment ref="J72" authorId="0" shapeId="0" xr:uid="{00000000-0006-0000-0500-000012000000}">
      <text>
        <r>
          <rPr>
            <b/>
            <sz val="9"/>
            <rFont val="Tahoma"/>
            <family val="2"/>
          </rPr>
          <t>Author:</t>
        </r>
        <r>
          <rPr>
            <sz val="9"/>
            <rFont val="Tahoma"/>
            <family val="2"/>
          </rPr>
          <t xml:space="preserve">
Discrepancy in net income reported on income statement and balance sheet</t>
        </r>
      </text>
    </comment>
    <comment ref="AJ81" authorId="0" shapeId="0" xr:uid="{00000000-0006-0000-0500-000013000000}">
      <text>
        <r>
          <rPr>
            <b/>
            <sz val="9"/>
            <rFont val="Tahoma"/>
            <family val="2"/>
          </rPr>
          <t>Author:</t>
        </r>
        <r>
          <rPr>
            <sz val="9"/>
            <rFont val="Tahoma"/>
            <family val="2"/>
          </rPr>
          <t xml:space="preserve">
as reported </t>
        </r>
      </text>
    </comment>
    <comment ref="AJ90" authorId="0" shapeId="0" xr:uid="{00000000-0006-0000-0500-000014000000}">
      <text>
        <r>
          <rPr>
            <b/>
            <sz val="9"/>
            <rFont val="Tahoma"/>
            <family val="2"/>
          </rPr>
          <t>Author:</t>
        </r>
        <r>
          <rPr>
            <sz val="9"/>
            <rFont val="Tahoma"/>
            <family val="2"/>
          </rPr>
          <t xml:space="preserve">
as reported </t>
        </r>
      </text>
    </comment>
    <comment ref="C93" authorId="0" shapeId="0" xr:uid="{00000000-0006-0000-0500-000015000000}">
      <text>
        <r>
          <rPr>
            <b/>
            <sz val="9"/>
            <rFont val="Tahoma"/>
            <family val="2"/>
          </rPr>
          <t>Author:</t>
        </r>
        <r>
          <rPr>
            <sz val="9"/>
            <rFont val="Tahoma"/>
            <family val="2"/>
          </rPr>
          <t xml:space="preserve">
Non-GAAP breakdown not reported for this period</t>
        </r>
      </text>
    </comment>
    <comment ref="AJ97" authorId="0" shapeId="0" xr:uid="{00000000-0006-0000-0500-000016000000}">
      <text>
        <r>
          <rPr>
            <b/>
            <sz val="9"/>
            <rFont val="Tahoma"/>
            <family val="2"/>
          </rPr>
          <t>Author:</t>
        </r>
        <r>
          <rPr>
            <sz val="9"/>
            <rFont val="Tahoma"/>
            <family val="2"/>
          </rPr>
          <t xml:space="preserve">
as reported</t>
        </r>
      </text>
    </comment>
    <comment ref="AJ100" authorId="0" shapeId="0" xr:uid="{00000000-0006-0000-0500-000017000000}">
      <text>
        <r>
          <rPr>
            <b/>
            <sz val="9"/>
            <rFont val="Tahoma"/>
            <family val="2"/>
          </rPr>
          <t>Author:</t>
        </r>
        <r>
          <rPr>
            <sz val="9"/>
            <rFont val="Tahoma"/>
            <family val="2"/>
          </rPr>
          <t xml:space="preserve">
as reported</t>
        </r>
      </text>
    </comment>
    <comment ref="C101" authorId="0" shapeId="0" xr:uid="{00000000-0006-0000-0500-000018000000}">
      <text>
        <r>
          <rPr>
            <b/>
            <sz val="9"/>
            <rFont val="Tahoma"/>
            <family val="2"/>
          </rPr>
          <t>Author:</t>
        </r>
        <r>
          <rPr>
            <sz val="9"/>
            <rFont val="Tahoma"/>
            <family val="2"/>
          </rPr>
          <t xml:space="preserve">
Non-GAAP breakdown not reported for this period</t>
        </r>
      </text>
    </comment>
    <comment ref="AJ108" authorId="0" shapeId="0" xr:uid="{00000000-0006-0000-0500-000019000000}">
      <text>
        <r>
          <rPr>
            <b/>
            <sz val="9"/>
            <rFont val="Tahoma"/>
            <family val="2"/>
          </rPr>
          <t>Author:</t>
        </r>
        <r>
          <rPr>
            <sz val="9"/>
            <rFont val="Tahoma"/>
            <family val="2"/>
          </rPr>
          <t xml:space="preserve">
as reported </t>
        </r>
      </text>
    </comment>
    <comment ref="C109" authorId="0" shapeId="0" xr:uid="{00000000-0006-0000-0500-00001A000000}">
      <text>
        <r>
          <rPr>
            <b/>
            <sz val="9"/>
            <rFont val="Tahoma"/>
            <family val="2"/>
          </rPr>
          <t>Author:</t>
        </r>
        <r>
          <rPr>
            <sz val="9"/>
            <rFont val="Tahoma"/>
            <family val="2"/>
          </rPr>
          <t xml:space="preserve">
Non-GAAP breakdown not reported for this period</t>
        </r>
      </text>
    </comment>
    <comment ref="Y115" authorId="0" shapeId="0" xr:uid="{00000000-0006-0000-0500-00001B000000}">
      <text>
        <r>
          <rPr>
            <b/>
            <sz val="9"/>
            <rFont val="Tahoma"/>
            <family val="2"/>
          </rPr>
          <t>Author:</t>
        </r>
        <r>
          <rPr>
            <sz val="9"/>
            <rFont val="Tahoma"/>
            <family val="2"/>
          </rPr>
          <t xml:space="preserve">
Discrepancy with SBC reported on CF statement. As reported</t>
        </r>
      </text>
    </comment>
    <comment ref="Z115" authorId="0" shapeId="0" xr:uid="{00000000-0006-0000-0500-00001C000000}">
      <text>
        <r>
          <rPr>
            <b/>
            <sz val="9"/>
            <rFont val="Tahoma"/>
            <family val="2"/>
          </rPr>
          <t>Author:</t>
        </r>
        <r>
          <rPr>
            <sz val="9"/>
            <rFont val="Tahoma"/>
            <family val="2"/>
          </rPr>
          <t xml:space="preserve">
Discrepancy with SBC reported on CF statement. As reported</t>
        </r>
      </text>
    </comment>
    <comment ref="C141" authorId="0" shapeId="0" xr:uid="{00000000-0006-0000-0500-00001D000000}">
      <text>
        <r>
          <rPr>
            <b/>
            <sz val="9"/>
            <rFont val="Tahoma"/>
            <family val="2"/>
          </rPr>
          <t>Author:</t>
        </r>
        <r>
          <rPr>
            <sz val="9"/>
            <rFont val="Tahoma"/>
            <family val="2"/>
          </rPr>
          <t xml:space="preserve">
Non-GAAP breakdown not reported for this period</t>
        </r>
      </text>
    </comment>
    <comment ref="C147" authorId="0" shapeId="0" xr:uid="{00000000-0006-0000-0500-00001E000000}">
      <text>
        <r>
          <rPr>
            <b/>
            <sz val="9"/>
            <rFont val="Tahoma"/>
            <family val="2"/>
          </rPr>
          <t>Author:</t>
        </r>
        <r>
          <rPr>
            <sz val="9"/>
            <rFont val="Tahoma"/>
            <family val="2"/>
          </rPr>
          <t xml:space="preserve">
Non-GAAP breakdown not reported for this period</t>
        </r>
      </text>
    </comment>
    <comment ref="C152" authorId="0" shapeId="0" xr:uid="{00000000-0006-0000-0500-00001F000000}">
      <text>
        <r>
          <rPr>
            <b/>
            <sz val="9"/>
            <rFont val="Tahoma"/>
            <family val="2"/>
          </rPr>
          <t>Author:</t>
        </r>
        <r>
          <rPr>
            <sz val="9"/>
            <rFont val="Tahoma"/>
            <family val="2"/>
          </rPr>
          <t xml:space="preserve">
Non-GAAP breakdown not reported for this period</t>
        </r>
      </text>
    </comment>
    <comment ref="C157" authorId="0" shapeId="0" xr:uid="{00000000-0006-0000-0500-000020000000}">
      <text>
        <r>
          <rPr>
            <b/>
            <sz val="9"/>
            <rFont val="Tahoma"/>
            <family val="2"/>
          </rPr>
          <t>Author:</t>
        </r>
        <r>
          <rPr>
            <sz val="9"/>
            <rFont val="Tahoma"/>
            <family val="2"/>
          </rPr>
          <t xml:space="preserve">
Non-GAAP breakdown not reported for this period</t>
        </r>
      </text>
    </comment>
    <comment ref="C160" authorId="0" shapeId="0" xr:uid="{00000000-0006-0000-0500-000021000000}">
      <text>
        <r>
          <rPr>
            <b/>
            <sz val="9"/>
            <rFont val="Tahoma"/>
            <family val="2"/>
          </rPr>
          <t>Author:</t>
        </r>
        <r>
          <rPr>
            <sz val="9"/>
            <rFont val="Tahoma"/>
            <family val="2"/>
          </rPr>
          <t xml:space="preserve">
Non-GAAP breakdown not reported for this period</t>
        </r>
      </text>
    </comment>
    <comment ref="AH167" authorId="0" shapeId="0" xr:uid="{00000000-0006-0000-0500-000022000000}">
      <text>
        <r>
          <rPr>
            <b/>
            <sz val="9"/>
            <rFont val="Tahoma"/>
            <family val="2"/>
          </rPr>
          <t>Author:</t>
        </r>
        <r>
          <rPr>
            <sz val="9"/>
            <rFont val="Tahoma"/>
            <family val="2"/>
          </rPr>
          <t xml:space="preserve">
On April 30, 2018, the company paid off all outstanding principal and interest related to the Term Debt.</t>
        </r>
      </text>
    </comment>
    <comment ref="AL180" authorId="0" shapeId="0" xr:uid="{00000000-0006-0000-0500-000023000000}">
      <text>
        <r>
          <rPr>
            <b/>
            <sz val="9"/>
            <rFont val="Tahoma"/>
            <family val="2"/>
          </rPr>
          <t>Author:</t>
        </r>
        <r>
          <rPr>
            <sz val="9"/>
            <rFont val="Tahoma"/>
            <family val="2"/>
          </rPr>
          <t xml:space="preserve">
Company's Beneficiary Etnerprise Status in Israel entitles the company to 10% tax rate. Actual rate may vary depending on the percentage of foreign investment in the company</t>
        </r>
      </text>
    </comment>
    <comment ref="N185" authorId="0" shapeId="0" xr:uid="{00000000-0006-0000-0500-000024000000}">
      <text>
        <r>
          <rPr>
            <b/>
            <sz val="9"/>
            <rFont val="Tahoma"/>
            <family val="2"/>
          </rPr>
          <t>Author:</t>
        </r>
        <r>
          <rPr>
            <sz val="9"/>
            <rFont val="Tahoma"/>
            <family val="2"/>
          </rPr>
          <t xml:space="preserve">
Company reported $0.38</t>
        </r>
      </text>
    </comment>
    <comment ref="V198" authorId="0" shapeId="0" xr:uid="{00000000-0006-0000-0500-000025000000}">
      <text>
        <r>
          <rPr>
            <b/>
            <sz val="9"/>
            <rFont val="Tahoma"/>
            <family val="2"/>
          </rPr>
          <t>Author:</t>
        </r>
        <r>
          <rPr>
            <sz val="9"/>
            <rFont val="Tahoma"/>
            <family val="2"/>
          </rPr>
          <t xml:space="preserve">
Acquisition of Company0905 Semiconductor, Ltd.</t>
        </r>
      </text>
    </comment>
    <comment ref="AD336" authorId="0" shapeId="0" xr:uid="{00000000-0006-0000-0500-000026000000}">
      <text>
        <r>
          <rPr>
            <b/>
            <sz val="9"/>
            <rFont val="Tahoma"/>
            <family val="2"/>
          </rPr>
          <t>Author:</t>
        </r>
        <r>
          <rPr>
            <sz val="9"/>
            <rFont val="Tahoma"/>
            <family val="2"/>
          </rPr>
          <t xml:space="preserve">
Company began including restricted cash in the ending cash balance on the CFS, but not in the cash balance on the balance sheet. Check altered to reflect this change.</t>
        </r>
      </text>
    </comment>
    <comment ref="AE336" authorId="0" shapeId="0" xr:uid="{00000000-0006-0000-0500-000027000000}">
      <text>
        <r>
          <rPr>
            <b/>
            <sz val="9"/>
            <rFont val="Tahoma"/>
            <family val="2"/>
          </rPr>
          <t>Author:</t>
        </r>
        <r>
          <rPr>
            <sz val="9"/>
            <rFont val="Tahoma"/>
            <family val="2"/>
          </rPr>
          <t xml:space="preserve">
Company began including restricted cash in the ending cash balance on the CFS, but not in the cash balance on the balance sheet. Check altered to reflect this change.</t>
        </r>
      </text>
    </comment>
    <comment ref="AE366" authorId="0" shapeId="0" xr:uid="{00000000-0006-0000-0500-000028000000}">
      <text>
        <r>
          <rPr>
            <b/>
            <sz val="9"/>
            <rFont val="Tahoma"/>
            <family val="2"/>
          </rPr>
          <t>Author:</t>
        </r>
        <r>
          <rPr>
            <sz val="9"/>
            <rFont val="Tahoma"/>
            <family val="2"/>
          </rPr>
          <t xml:space="preserve">
Long-Term restricted cash has been taken out of long-term assets.</t>
        </r>
      </text>
    </comment>
    <comment ref="AF366" authorId="0" shapeId="0" xr:uid="{00000000-0006-0000-0500-000029000000}">
      <text>
        <r>
          <rPr>
            <b/>
            <sz val="9"/>
            <rFont val="Tahoma"/>
            <family val="2"/>
          </rPr>
          <t>Author:</t>
        </r>
        <r>
          <rPr>
            <sz val="9"/>
            <rFont val="Tahoma"/>
            <family val="2"/>
          </rPr>
          <t xml:space="preserve">
adjusted for restricted cash</t>
        </r>
      </text>
    </comment>
    <comment ref="AG366" authorId="0" shapeId="0" xr:uid="{00000000-0006-0000-0500-00002A000000}">
      <text>
        <r>
          <rPr>
            <b/>
            <sz val="9"/>
            <rFont val="Tahoma"/>
            <family val="2"/>
          </rPr>
          <t>Author:</t>
        </r>
        <r>
          <rPr>
            <sz val="9"/>
            <rFont val="Tahoma"/>
            <family val="2"/>
          </rPr>
          <t xml:space="preserve">
adjusted for restricted cash</t>
        </r>
      </text>
    </comment>
    <comment ref="AH366" authorId="0" shapeId="0" xr:uid="{00000000-0006-0000-0500-00002B000000}">
      <text>
        <r>
          <rPr>
            <b/>
            <sz val="9"/>
            <rFont val="Tahoma"/>
            <family val="2"/>
          </rPr>
          <t>Author:</t>
        </r>
        <r>
          <rPr>
            <sz val="9"/>
            <rFont val="Tahoma"/>
            <family val="2"/>
          </rPr>
          <t xml:space="preserve">
adjusted for restricted cash</t>
        </r>
      </text>
    </comment>
    <comment ref="AI366" authorId="0" shapeId="0" xr:uid="{00000000-0006-0000-0500-00002C000000}">
      <text>
        <r>
          <rPr>
            <b/>
            <sz val="9"/>
            <rFont val="Tahoma"/>
            <family val="2"/>
          </rPr>
          <t>Author:</t>
        </r>
        <r>
          <rPr>
            <sz val="9"/>
            <rFont val="Tahoma"/>
            <family val="2"/>
          </rPr>
          <t xml:space="preserve">
adjusted for restricted cash</t>
        </r>
      </text>
    </comment>
    <comment ref="AJ366" authorId="0" shapeId="0" xr:uid="{00000000-0006-0000-0500-00002D000000}">
      <text>
        <r>
          <rPr>
            <b/>
            <sz val="9"/>
            <rFont val="Tahoma"/>
            <family val="2"/>
          </rPr>
          <t>Author:</t>
        </r>
        <r>
          <rPr>
            <sz val="9"/>
            <rFont val="Tahoma"/>
            <family val="2"/>
          </rPr>
          <t xml:space="preserve">
adjusted for restricted cash</t>
        </r>
      </text>
    </comment>
    <comment ref="AK366" authorId="0" shapeId="0" xr:uid="{00000000-0006-0000-0500-00002E000000}">
      <text>
        <r>
          <rPr>
            <b/>
            <sz val="9"/>
            <rFont val="Tahoma"/>
            <family val="2"/>
          </rPr>
          <t>Author:</t>
        </r>
        <r>
          <rPr>
            <sz val="9"/>
            <rFont val="Tahoma"/>
            <family val="2"/>
          </rPr>
          <t xml:space="preserve">
adjusted for restricted cash</t>
        </r>
      </text>
    </comment>
    <comment ref="A376" authorId="0" shapeId="0" xr:uid="{00000000-0006-0000-0500-00002F000000}">
      <text>
        <r>
          <rPr>
            <b/>
            <sz val="9"/>
            <rFont val="Tahoma"/>
            <family val="2"/>
          </rPr>
          <t>Author:</t>
        </r>
        <r>
          <rPr>
            <sz val="9"/>
            <rFont val="Tahoma"/>
            <family val="2"/>
          </rPr>
          <t xml:space="preserve">
operating lease as a result of ASC 842 adoption</t>
        </r>
      </text>
    </comment>
    <comment ref="A384" authorId="0" shapeId="0" xr:uid="{00000000-0006-0000-0500-000030000000}">
      <text>
        <r>
          <rPr>
            <b/>
            <sz val="9"/>
            <rFont val="Tahoma"/>
            <family val="2"/>
          </rPr>
          <t>Author:</t>
        </r>
        <r>
          <rPr>
            <sz val="9"/>
            <rFont val="Tahoma"/>
            <family val="2"/>
          </rPr>
          <t xml:space="preserve">
operating lease as a result of ASC 842 adoption</t>
        </r>
      </text>
    </comment>
    <comment ref="I402" authorId="0" shapeId="0" xr:uid="{00000000-0006-0000-0500-000031000000}">
      <text>
        <r>
          <rPr>
            <b/>
            <sz val="9"/>
            <rFont val="Tahoma"/>
            <family val="2"/>
          </rPr>
          <t>Author:</t>
        </r>
        <r>
          <rPr>
            <sz val="9"/>
            <rFont val="Tahoma"/>
            <family val="2"/>
          </rPr>
          <t xml:space="preserve">
Discrepancy in net income reported on income statement and balance sheet</t>
        </r>
      </text>
    </comment>
    <comment ref="J402" authorId="0" shapeId="0" xr:uid="{00000000-0006-0000-0500-000032000000}">
      <text>
        <r>
          <rPr>
            <b/>
            <sz val="9"/>
            <rFont val="Tahoma"/>
            <family val="2"/>
          </rPr>
          <t>Author:</t>
        </r>
        <r>
          <rPr>
            <sz val="9"/>
            <rFont val="Tahoma"/>
            <family val="2"/>
          </rPr>
          <t xml:space="preserve">
Discrepancy in net income reported on income statement and balance sheet</t>
        </r>
      </text>
    </comment>
    <comment ref="Z412" authorId="0" shapeId="0" xr:uid="{00000000-0006-0000-0500-000033000000}">
      <text>
        <r>
          <rPr>
            <b/>
            <sz val="9"/>
            <rFont val="Tahoma"/>
            <family val="2"/>
          </rPr>
          <t>Author:</t>
        </r>
        <r>
          <rPr>
            <sz val="9"/>
            <rFont val="Tahoma"/>
            <family val="2"/>
          </rPr>
          <t xml:space="preserve">
Reported adjusted figures do not sum at year end.</t>
        </r>
      </text>
    </comment>
    <comment ref="Y414" authorId="0" shapeId="0" xr:uid="{00000000-0006-0000-0500-000034000000}">
      <text>
        <r>
          <rPr>
            <b/>
            <sz val="9"/>
            <rFont val="Tahoma"/>
            <family val="2"/>
          </rPr>
          <t>Author:</t>
        </r>
        <r>
          <rPr>
            <sz val="9"/>
            <rFont val="Tahoma"/>
            <family val="2"/>
          </rPr>
          <t xml:space="preserve">
Acquisitions are net of cash acquired.</t>
        </r>
      </text>
    </comment>
    <comment ref="Z416" authorId="0" shapeId="0" xr:uid="{00000000-0006-0000-0500-000035000000}">
      <text>
        <r>
          <rPr>
            <b/>
            <sz val="9"/>
            <rFont val="Tahoma"/>
            <family val="2"/>
          </rPr>
          <t>Author:</t>
        </r>
        <r>
          <rPr>
            <sz val="9"/>
            <rFont val="Tahoma"/>
            <family val="2"/>
          </rPr>
          <t xml:space="preserve">
Reported adjusted figures do not sum at year end.</t>
        </r>
      </text>
    </comment>
  </commentList>
</comments>
</file>

<file path=xl/sharedStrings.xml><?xml version="1.0" encoding="utf-8"?>
<sst xmlns="http://schemas.openxmlformats.org/spreadsheetml/2006/main" count="4715" uniqueCount="1297">
  <si>
    <t xml:space="preserve">Please contact this email for any model-specific questions: </t>
  </si>
  <si>
    <t>person@example.com</t>
  </si>
  <si>
    <t>Company Model:</t>
  </si>
  <si>
    <t>Comments on Model:</t>
  </si>
  <si>
    <t xml:space="preserve">Updated: </t>
  </si>
  <si>
    <t>For:</t>
  </si>
  <si>
    <t>Consensus Data and Real-Time Stock Price:</t>
  </si>
  <si>
    <t>Bloomberg</t>
  </si>
  <si>
    <t>Real-Time Stock Price:</t>
  </si>
  <si>
    <t>Stock Price Override:</t>
  </si>
  <si>
    <t>Company1915 Company0697</t>
  </si>
  <si>
    <t>Restated</t>
  </si>
  <si>
    <t>USD</t>
  </si>
  <si>
    <t>FY2009</t>
  </si>
  <si>
    <t>Growth Analysis</t>
  </si>
  <si>
    <t>Total Revenue Growth, %</t>
  </si>
  <si>
    <t>Gaming Revenue, mm</t>
  </si>
  <si>
    <t>Professional Visualization Revenue, mm</t>
  </si>
  <si>
    <t>Datacenter Revenue, mm</t>
  </si>
  <si>
    <t>Automotive Revenue, mm</t>
  </si>
  <si>
    <t>OEM &amp; IP Revenue, mm</t>
  </si>
  <si>
    <t>Total Revenue, mm</t>
  </si>
  <si>
    <t>GPU Revenue, mm</t>
  </si>
  <si>
    <t>Product0409 Processor Revenue, mm</t>
  </si>
  <si>
    <t>All Other Revenue, mm</t>
  </si>
  <si>
    <t>Segmented Results - Geographic Breakdown (FS)</t>
  </si>
  <si>
    <t>Taiwan Revenue, mm</t>
  </si>
  <si>
    <t>China Revenue, mm</t>
  </si>
  <si>
    <t>United States Revenue, mm</t>
  </si>
  <si>
    <t>Other Asia Pacific Revenue, mm</t>
  </si>
  <si>
    <t>Europe Revenue, mm</t>
  </si>
  <si>
    <t>Other Americas Revenue, mm</t>
  </si>
  <si>
    <t>Margin Analysis</t>
  </si>
  <si>
    <t>GAAP COGS Margin, %</t>
  </si>
  <si>
    <t>Non-GAAP COGS Margin, %</t>
  </si>
  <si>
    <t>GAAP Gross Margin, %</t>
  </si>
  <si>
    <t>Non-GAAP Gross Margin, %</t>
  </si>
  <si>
    <t>Consensus Estimates - Gross Margin, %</t>
  </si>
  <si>
    <t>GAAP R&amp;D Margin, %</t>
  </si>
  <si>
    <t>Non-GAAP R&amp;D Margin, %</t>
  </si>
  <si>
    <t>GAAP Operating Income Margin, %</t>
  </si>
  <si>
    <t>Non-GAAP S&amp;M Margin, %</t>
  </si>
  <si>
    <t>Non-GAAP Operating Income Margin, %</t>
  </si>
  <si>
    <t>Company Reported Non-GAAP Operating Income Margin, %</t>
  </si>
  <si>
    <t>Income Statement AS REPORTED</t>
  </si>
  <si>
    <t>Revenue</t>
  </si>
  <si>
    <t>Cost of revenue</t>
  </si>
  <si>
    <t>Gross profit</t>
  </si>
  <si>
    <t>Research and development</t>
  </si>
  <si>
    <t>Sales, general and administrative</t>
  </si>
  <si>
    <t>Restructuring Charges and Other</t>
  </si>
  <si>
    <t>Legal Settlement</t>
  </si>
  <si>
    <t>Restructuring and other charges</t>
  </si>
  <si>
    <t>Total operating expenses</t>
  </si>
  <si>
    <t>Income from operations</t>
  </si>
  <si>
    <t>Interest income</t>
  </si>
  <si>
    <t>Interest expense</t>
  </si>
  <si>
    <t>Other income, net</t>
  </si>
  <si>
    <t>Income before income tax expense</t>
  </si>
  <si>
    <t>Income tax expense</t>
  </si>
  <si>
    <t>Net income</t>
  </si>
  <si>
    <t>IS Check</t>
  </si>
  <si>
    <t>Adjusted Numbers AS REPORTED</t>
  </si>
  <si>
    <t>GAAP net income</t>
  </si>
  <si>
    <t>Total pre-tax impact of non-GAAP adjustments</t>
  </si>
  <si>
    <t>Provisional tax benefit from income tax reform</t>
  </si>
  <si>
    <t>Income tax impact of non-GAAP adjustments</t>
  </si>
  <si>
    <t>Non-GAAP net income</t>
  </si>
  <si>
    <t>GAAP gross profit</t>
  </si>
  <si>
    <t>Stock-based compensation expense</t>
  </si>
  <si>
    <t>Legal settlement costs</t>
  </si>
  <si>
    <t>Credit from a weak die/packaging material set</t>
  </si>
  <si>
    <t>Non-recurring charge related to royalty dispute</t>
  </si>
  <si>
    <t>Stock option purchase charge related to cost of revenue</t>
  </si>
  <si>
    <t>Product warranty change</t>
  </si>
  <si>
    <t>Non-GAAP gross profit</t>
  </si>
  <si>
    <t>GAAP operating expenses</t>
  </si>
  <si>
    <t>Amortization of acquisition-related intangible assets</t>
  </si>
  <si>
    <t>Stock option purchase charge related to operating expenses</t>
  </si>
  <si>
    <t>Acquisition-related costs</t>
  </si>
  <si>
    <t>Contributions</t>
  </si>
  <si>
    <t>Non-GAAP operating expenses</t>
  </si>
  <si>
    <t>GAAP income from operations</t>
  </si>
  <si>
    <t>Total impact of non-GAAP adjustments to income from operations</t>
  </si>
  <si>
    <t>Non-GAAP income from operations</t>
  </si>
  <si>
    <t>Revised Income Statement</t>
  </si>
  <si>
    <t>Net Revenue</t>
  </si>
  <si>
    <t>GAAP COGS</t>
  </si>
  <si>
    <t>SBC in COGS</t>
  </si>
  <si>
    <t>Other COGS adjustments</t>
  </si>
  <si>
    <t>Non-GAAP Gross Profit</t>
  </si>
  <si>
    <t>GAAP R&amp;D</t>
  </si>
  <si>
    <t>SBC</t>
  </si>
  <si>
    <t>Non-GAAP R&amp;D</t>
  </si>
  <si>
    <t>GAAP SG&amp;A</t>
  </si>
  <si>
    <t>Non-GAAP SG&amp;A</t>
  </si>
  <si>
    <t>Non-GAAP Operating Income Before Other</t>
  </si>
  <si>
    <t>Other Non-GAAP Operating Items</t>
  </si>
  <si>
    <t>Company Reported Non-GAAP Operating Income</t>
  </si>
  <si>
    <t>Reported Depreciation</t>
  </si>
  <si>
    <t>Non-GAAP EBITDA</t>
  </si>
  <si>
    <t>Non-GAAP Interest Expense</t>
  </si>
  <si>
    <t>Non-GAAP Other Items</t>
  </si>
  <si>
    <t>Non-GAAP Earnings before Taxes</t>
  </si>
  <si>
    <t>Non-GAAP Provision for taxes</t>
  </si>
  <si>
    <t>Intangible Amortization + Acquisition Adj.</t>
  </si>
  <si>
    <t>Other Adjustments</t>
  </si>
  <si>
    <t>Non-GAAP Tax Rate</t>
  </si>
  <si>
    <t>Deferred Income Tax as % of Non-GAAP Taxes, %</t>
  </si>
  <si>
    <t>GAAP Earnings Per Share - Company2917</t>
  </si>
  <si>
    <t>GAAP Earnings Per Share - WAD</t>
  </si>
  <si>
    <t>Non-GAAP Adjusted Earnings Per Share - WAD</t>
  </si>
  <si>
    <t>Shares Outstanding - Company2917</t>
  </si>
  <si>
    <t>Shares Outstanding - WAD</t>
  </si>
  <si>
    <t>Adjusted Shares Outstanding - WAD</t>
  </si>
  <si>
    <t>Cash Flow Summary</t>
  </si>
  <si>
    <t>Operating Cash Flow before WC</t>
  </si>
  <si>
    <t>Cash Flow Per Diluted Share</t>
  </si>
  <si>
    <t>Capex</t>
  </si>
  <si>
    <t>Acquisitions</t>
  </si>
  <si>
    <t>Divestiture</t>
  </si>
  <si>
    <t>Dividend Paid</t>
  </si>
  <si>
    <t>Dividend Per Share</t>
  </si>
  <si>
    <t>FCF, Pre Div</t>
  </si>
  <si>
    <t>FCF, Post Div Pre A/D</t>
  </si>
  <si>
    <t>FCF, Post Div Post A/D</t>
  </si>
  <si>
    <t>Balance Sheet Summary</t>
  </si>
  <si>
    <t>Cash</t>
  </si>
  <si>
    <t>Debt</t>
  </si>
  <si>
    <t>Net Debt</t>
  </si>
  <si>
    <t>Net Debt / EBITDA</t>
  </si>
  <si>
    <t>Net Debt / Cash Flow</t>
  </si>
  <si>
    <t>Valuation</t>
  </si>
  <si>
    <t>Stock Price (Reporting Cur.) - Avg, USD</t>
  </si>
  <si>
    <t>Avg</t>
  </si>
  <si>
    <t>Enterprise Value Components</t>
  </si>
  <si>
    <t>Noncontrolling Interest</t>
  </si>
  <si>
    <t>Preferred Shares</t>
  </si>
  <si>
    <t>Other EV Components</t>
  </si>
  <si>
    <t>Cumulative Cash Flow Statement</t>
  </si>
  <si>
    <t>CFO</t>
  </si>
  <si>
    <t>Stock-based compensation expense related to stock option purchase</t>
  </si>
  <si>
    <t>Depreciation and amortization</t>
  </si>
  <si>
    <t>Amortization of debt discount</t>
  </si>
  <si>
    <t>Net gain on sale and disposal of long-lived assets and investments</t>
  </si>
  <si>
    <t>Loss on early debt conversion</t>
  </si>
  <si>
    <t>Deferred income taxes</t>
  </si>
  <si>
    <t>Payments under patent licensing arrangement</t>
  </si>
  <si>
    <t>In-process research and development expenses</t>
  </si>
  <si>
    <t>Tax benefit from stock options</t>
  </si>
  <si>
    <t>Tax benefit from stock-based compensation</t>
  </si>
  <si>
    <t>Other</t>
  </si>
  <si>
    <t>Impairment charge on investments</t>
  </si>
  <si>
    <t>CFO before WC</t>
  </si>
  <si>
    <t>Accounts receivable</t>
  </si>
  <si>
    <t>Inventories</t>
  </si>
  <si>
    <t>Prepaid expenses and other current assets</t>
  </si>
  <si>
    <t>Deposits and other assets</t>
  </si>
  <si>
    <t>Prepaid expenses and other assets</t>
  </si>
  <si>
    <t>Accounts payable</t>
  </si>
  <si>
    <t>Accrued and other current liabilities</t>
  </si>
  <si>
    <t>Other long-term liabilities</t>
  </si>
  <si>
    <t>Net CFO</t>
  </si>
  <si>
    <t>CFI</t>
  </si>
  <si>
    <t>Purchases of marketable securities</t>
  </si>
  <si>
    <t>Proceeds from sales of marketable securities</t>
  </si>
  <si>
    <t>Proceeds from maturities of marketable securities</t>
  </si>
  <si>
    <t>Purchases of property and equipment and intangible assets</t>
  </si>
  <si>
    <t>Proceeds from sale of long-lived assets and investments</t>
  </si>
  <si>
    <t>Acquisition of businesses, net of cash and cash equivalents</t>
  </si>
  <si>
    <t>Reimbursement of headquarters building development costs from banks</t>
  </si>
  <si>
    <t>Net CFI</t>
  </si>
  <si>
    <t>CFF</t>
  </si>
  <si>
    <t>Payments related to stock option purchase</t>
  </si>
  <si>
    <t>Proceeds from issuance of convertible notes, net</t>
  </si>
  <si>
    <t>Purchase of convertible note hedges</t>
  </si>
  <si>
    <t>Proceeds from the sale of common stock warrants</t>
  </si>
  <si>
    <t>Proceeds from issuance of common stock under employee stock plans</t>
  </si>
  <si>
    <t>Payments related to repurchases of common stock</t>
  </si>
  <si>
    <t>Repayment of Convertible Notes</t>
  </si>
  <si>
    <t>Dividends paid</t>
  </si>
  <si>
    <t>Payments related to tax on restricted stock units</t>
  </si>
  <si>
    <t>Payment of notes payable from acquisition</t>
  </si>
  <si>
    <t>Payments under capital lease obligations</t>
  </si>
  <si>
    <t>Payments for debt issuance costs</t>
  </si>
  <si>
    <t>Net CFF</t>
  </si>
  <si>
    <t>FX</t>
  </si>
  <si>
    <t>Net Change in Cash Balance</t>
  </si>
  <si>
    <t>Beginning Cash Balance</t>
  </si>
  <si>
    <t>Ending Cash Balance</t>
  </si>
  <si>
    <t>Cash Flow Statement</t>
  </si>
  <si>
    <t>CF Check</t>
  </si>
  <si>
    <t>Working Capital Forecasting</t>
  </si>
  <si>
    <t>Accounts receivable, net, % of LTM Sales</t>
  </si>
  <si>
    <t>Inventories, % of LTM Sales</t>
  </si>
  <si>
    <t>Accounts payable, % of LTM Sales</t>
  </si>
  <si>
    <t>Accrued and other current liabilities, % of LTM Sales</t>
  </si>
  <si>
    <t>Accounts receivable, net, Y/Y Change, %</t>
  </si>
  <si>
    <t>Inventories, Y/Y Change, %</t>
  </si>
  <si>
    <t>Accounts payable, Y/Y Change, %</t>
  </si>
  <si>
    <t>Accrued and other current liabilities, Y/Y Change, %</t>
  </si>
  <si>
    <t>Balance Sheet</t>
  </si>
  <si>
    <t>Current Assets</t>
  </si>
  <si>
    <t>Cash and cash equivalents</t>
  </si>
  <si>
    <t>Marketable securities</t>
  </si>
  <si>
    <t>Accounts receivable, net</t>
  </si>
  <si>
    <t>Total Current Assets</t>
  </si>
  <si>
    <t>Non-Current Assets</t>
  </si>
  <si>
    <t>Property and equipment, net</t>
  </si>
  <si>
    <t>Goodwill</t>
  </si>
  <si>
    <t>Intangible assets, net</t>
  </si>
  <si>
    <t>Other assets</t>
  </si>
  <si>
    <t>Total Non-Current Assets</t>
  </si>
  <si>
    <t>Total Assets</t>
  </si>
  <si>
    <t>Current Liabilities</t>
  </si>
  <si>
    <t>Total Current Liabilities</t>
  </si>
  <si>
    <t>Non-Current Liabilities</t>
  </si>
  <si>
    <t>Convertible long-term debt</t>
  </si>
  <si>
    <t>Capital lease obligations, long term</t>
  </si>
  <si>
    <t>Convertible debt conversion obligation</t>
  </si>
  <si>
    <t>Total Non-Current liabilities</t>
  </si>
  <si>
    <t>Total Liabilities</t>
  </si>
  <si>
    <t>Shareholders' Equity</t>
  </si>
  <si>
    <t>Preferred stock</t>
  </si>
  <si>
    <t>Common stock</t>
  </si>
  <si>
    <t>Additional paid-in capital</t>
  </si>
  <si>
    <t>Treasury stock, at cost</t>
  </si>
  <si>
    <t>Accumulated other comprehensive income (loss)</t>
  </si>
  <si>
    <t>Retained earnings</t>
  </si>
  <si>
    <t>Total SE</t>
  </si>
  <si>
    <t>NCI</t>
  </si>
  <si>
    <t>Total Liabilities &amp; SE</t>
  </si>
  <si>
    <t>BS Check</t>
  </si>
  <si>
    <t>Model Checks</t>
  </si>
  <si>
    <t>Net Income on Revised IS = NI on CF statement</t>
  </si>
  <si>
    <t>Net Income on Reported IS = NI on Revised</t>
  </si>
  <si>
    <t>Segmented Revenue = Revenue</t>
  </si>
  <si>
    <t>Cash Flow is not Repeated</t>
  </si>
  <si>
    <t>Income Statement is not Repeated</t>
  </si>
  <si>
    <t>Balance Sheet is not Repeated</t>
  </si>
  <si>
    <t>Ending CF = Ending Cumulative CF</t>
  </si>
  <si>
    <t>Capex is Updated</t>
  </si>
  <si>
    <t>Margin is Updated</t>
  </si>
  <si>
    <t>Adjusted Numbers FY = Sum of Qs</t>
  </si>
  <si>
    <t>*Share Count is Updated</t>
  </si>
  <si>
    <t>*Margin adds up to 100%</t>
  </si>
  <si>
    <t>*Cash Flow Summary Signs are Correct</t>
  </si>
  <si>
    <t>*RIS NI FY = Sum of Qs</t>
  </si>
  <si>
    <t>*RIS Adjusted NI FY = Sum of Qs</t>
  </si>
  <si>
    <t>*CFO Before WC subtotal FY = Sum of Qs</t>
  </si>
  <si>
    <t>*CFO subtotal FY = Sum of Qs</t>
  </si>
  <si>
    <t>*CFI subtotal FY = Sum of Qs</t>
  </si>
  <si>
    <t>*CFF subtotal FY = Sum of Qs</t>
  </si>
  <si>
    <t>*CF Summary FY = Sum of Qs</t>
  </si>
  <si>
    <t>Valuation &amp; Consensus Table</t>
  </si>
  <si>
    <t>Ticker Symbol</t>
  </si>
  <si>
    <t>Ticker0027 US</t>
  </si>
  <si>
    <t>NASDAQ:Ticker0027</t>
  </si>
  <si>
    <t>Company1911</t>
  </si>
  <si>
    <t>Company1912</t>
  </si>
  <si>
    <t>Valuation Toggle Table</t>
  </si>
  <si>
    <t>High</t>
  </si>
  <si>
    <t>Low</t>
  </si>
  <si>
    <t>Consensus Estimate Table</t>
  </si>
  <si>
    <t>FY or FQ</t>
  </si>
  <si>
    <t>Period</t>
  </si>
  <si>
    <t>Stock Price Table</t>
  </si>
  <si>
    <t>Fiscal Period Start Date</t>
  </si>
  <si>
    <t>Real-Time Off Source</t>
  </si>
  <si>
    <t>Capital IQ</t>
  </si>
  <si>
    <t>FactSet</t>
  </si>
  <si>
    <t>Thomson</t>
  </si>
  <si>
    <t>General Table</t>
  </si>
  <si>
    <t>Last Price</t>
  </si>
  <si>
    <t>Last Price Date</t>
  </si>
  <si>
    <t>Real-Time Stock Price</t>
  </si>
  <si>
    <t>Last Price Formula</t>
  </si>
  <si>
    <t>Trade Currency</t>
  </si>
  <si>
    <t>Trade Currency Hardcoded</t>
  </si>
  <si>
    <t>Model Sheet Currency Hardcoded</t>
  </si>
  <si>
    <t>Most Recent FX</t>
  </si>
  <si>
    <t>Most Recent FX Hardcoded</t>
  </si>
  <si>
    <t>MRFP Column Number</t>
  </si>
  <si>
    <t>Most Recent Fiscal Period (MRFP)</t>
  </si>
  <si>
    <t>Current Fiscal Year</t>
  </si>
  <si>
    <t>Data Source Index</t>
  </si>
  <si>
    <t>Guidance</t>
  </si>
  <si>
    <t>Model</t>
  </si>
  <si>
    <t>Difference vs. Mid</t>
  </si>
  <si>
    <t>Update Log</t>
  </si>
  <si>
    <t>Type</t>
  </si>
  <si>
    <t>Item</t>
  </si>
  <si>
    <t>Item Name</t>
  </si>
  <si>
    <t>Fiscal Period</t>
  </si>
  <si>
    <t>Mid</t>
  </si>
  <si>
    <t>Output</t>
  </si>
  <si>
    <t>Absolute</t>
  </si>
  <si>
    <t>Relative</t>
  </si>
  <si>
    <t>Date</t>
  </si>
  <si>
    <t>Link</t>
  </si>
  <si>
    <t>MO_RIS_REV</t>
  </si>
  <si>
    <t>Q1-2020</t>
  </si>
  <si>
    <t>Press Release</t>
  </si>
  <si>
    <t>MO_MA_GM</t>
  </si>
  <si>
    <t>MO_MA_GM_NONGAAP</t>
  </si>
  <si>
    <t>GAAP Operating Expenses</t>
  </si>
  <si>
    <t>Non-GAAP Operating Expenses</t>
  </si>
  <si>
    <t>GAAP Other Income</t>
  </si>
  <si>
    <t>Non-GAAP Other Income</t>
  </si>
  <si>
    <t>GAAP Tax Rate</t>
  </si>
  <si>
    <t>MO_RIS_TaxRate_NONGAAP</t>
  </si>
  <si>
    <t>SBC COGS as % of revenue</t>
  </si>
  <si>
    <t>SBC, acquisition related costs and other costs (adjustments for Non-GAAP operating expenses)</t>
  </si>
  <si>
    <t>Q4-2019</t>
  </si>
  <si>
    <t>Q3-2019</t>
  </si>
  <si>
    <t>Q2-2019</t>
  </si>
  <si>
    <t>Cash dividends and share repurchases</t>
  </si>
  <si>
    <t>FY2019</t>
  </si>
  <si>
    <t>Q1-2019</t>
  </si>
  <si>
    <t>Q4-2018</t>
  </si>
  <si>
    <t>Reports</t>
  </si>
  <si>
    <t>Capitalization Summary</t>
  </si>
  <si>
    <t>Company-Specific Operational Data</t>
  </si>
  <si>
    <t>GAAP and Non-GAAP Financials</t>
  </si>
  <si>
    <t>GAAP Adjustments</t>
  </si>
  <si>
    <t>Base Period</t>
  </si>
  <si>
    <t>Non-GAAP Financials</t>
  </si>
  <si>
    <t>Cash Flow Analysis</t>
  </si>
  <si>
    <t>Core FCF, Pre Div</t>
  </si>
  <si>
    <t>Core FCF, Post Div</t>
  </si>
  <si>
    <t>Change in WC</t>
  </si>
  <si>
    <t>New Equity Issuance</t>
  </si>
  <si>
    <t>New Debt Issuance</t>
  </si>
  <si>
    <t>Other Items</t>
  </si>
  <si>
    <t>Change in Cash Position</t>
  </si>
  <si>
    <t>Operating Cash Flow Per Share</t>
  </si>
  <si>
    <t>Core Free Cash Flow Per Share, Pre Div</t>
  </si>
  <si>
    <t>Dividend Payout Ratio vs Core FCF, Pre Div</t>
  </si>
  <si>
    <t>Dividend Payout Ratio vs Earnings Per Share</t>
  </si>
  <si>
    <t>Balance Sheet Ratios</t>
  </si>
  <si>
    <t>Net Debt / Capital</t>
  </si>
  <si>
    <t>LTM EBITDA</t>
  </si>
  <si>
    <t>LTM Cash Flow</t>
  </si>
  <si>
    <t>Net Income</t>
  </si>
  <si>
    <t>LTM Net Income</t>
  </si>
  <si>
    <t>Shareholder's Equity</t>
  </si>
  <si>
    <t>Average Shareholder's Equity</t>
  </si>
  <si>
    <t>ROE</t>
  </si>
  <si>
    <t>Net Operating Profit</t>
  </si>
  <si>
    <t>LTM Net Operating Profit</t>
  </si>
  <si>
    <t>Average Total Assets</t>
  </si>
  <si>
    <t>ROA</t>
  </si>
  <si>
    <t>Total Debt</t>
  </si>
  <si>
    <t>Average Book Value of Debt</t>
  </si>
  <si>
    <t>Average Invested Capital</t>
  </si>
  <si>
    <t>ROIC</t>
  </si>
  <si>
    <t>EBIT</t>
  </si>
  <si>
    <t>LTM EBIT</t>
  </si>
  <si>
    <t>Average Current Liabilities</t>
  </si>
  <si>
    <t>Average Capital Employed</t>
  </si>
  <si>
    <t>ROCE</t>
  </si>
  <si>
    <t>Per-Share Growth Metrics</t>
  </si>
  <si>
    <t>Revenue Per Share Growth</t>
  </si>
  <si>
    <t>Adj. EBITDA Per Share Growth</t>
  </si>
  <si>
    <t>Adj. Earnings Per Share Growth</t>
  </si>
  <si>
    <t>Operating Cash Flow Per Share Growth</t>
  </si>
  <si>
    <t>Free Cash Flow Per Share Growth</t>
  </si>
  <si>
    <t>Valuation Metrics</t>
  </si>
  <si>
    <t>Check</t>
  </si>
  <si>
    <t>Adjusted EBITDA</t>
  </si>
  <si>
    <t>Non GAAP NI</t>
  </si>
  <si>
    <t>GAAP NI</t>
  </si>
  <si>
    <t>Change in Cash Summary = Change in Cash Model</t>
  </si>
  <si>
    <t>Update Date</t>
  </si>
  <si>
    <t>Updated By (Initials)</t>
  </si>
  <si>
    <t>Update Type</t>
  </si>
  <si>
    <t>Special Comments</t>
  </si>
  <si>
    <t>Link to Press Release / News Item</t>
  </si>
  <si>
    <t>LZ JK</t>
  </si>
  <si>
    <t>Earnings Press Release</t>
  </si>
  <si>
    <t>NQ</t>
  </si>
  <si>
    <t>WC Project</t>
  </si>
  <si>
    <t>LZ HS</t>
  </si>
  <si>
    <t>TF RG</t>
  </si>
  <si>
    <t>AH</t>
  </si>
  <si>
    <t>AB VT</t>
  </si>
  <si>
    <t>FY2018</t>
  </si>
  <si>
    <t>YK GJ</t>
  </si>
  <si>
    <t>Q3-2018</t>
  </si>
  <si>
    <t>Q2-2018</t>
  </si>
  <si>
    <t>BP TN</t>
  </si>
  <si>
    <t>Q1-2018</t>
  </si>
  <si>
    <t>JA KY</t>
  </si>
  <si>
    <t>FY2017</t>
  </si>
  <si>
    <t>BL</t>
  </si>
  <si>
    <t>Model Improvement</t>
  </si>
  <si>
    <t>Summary Page</t>
  </si>
  <si>
    <t>BP</t>
  </si>
  <si>
    <t>Q3-2017</t>
  </si>
  <si>
    <t>Q2-2017</t>
  </si>
  <si>
    <t>SC</t>
  </si>
  <si>
    <t>New Build</t>
  </si>
  <si>
    <r>
      <rPr>
        <b/>
        <sz val="7"/>
        <color rgb="FF000000"/>
        <rFont val="Calibri"/>
        <family val="2"/>
        <scheme val="minor"/>
      </rPr>
      <t>DISCLAIMER</t>
    </r>
    <r>
      <rPr>
        <sz val="7"/>
        <color rgb="FF000000"/>
        <rFont val="Calibri"/>
        <family val="2"/>
        <scheme val="minor"/>
      </rPr>
      <t xml:space="preserve">
Access to and use of this model, including the data contained herein (this "Model") is subject to Company2747, Inc.'s (a successor entity to Source Financial Modeling Company0697)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
    </r>
    <r>
      <rPr>
        <b/>
        <sz val="7"/>
        <color rgb="FF000000"/>
        <rFont val="Calibri"/>
        <family val="2"/>
        <scheme val="minor"/>
      </rPr>
      <t>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person@example.com OF SUCH UNLAWFUL OR UNAUTHORIZED ACCESS AND USE; AND, (III) CERTIFY THAT YOU HAVE DESTROYED THIS MODEL (AND ANY DERIVATIVE WORKS ARISING FROM OR RELATING THERETO) AND ANY COPIES FROM YOUR SYSTEMS SO AS TO ENSURE THEY ARE INCAPABLE OF RETRIEVAL.</t>
    </r>
    <r>
      <rPr>
        <sz val="7"/>
        <color rgb="FF000000"/>
        <rFont val="Calibri"/>
        <family val="2"/>
        <scheme val="minor"/>
      </rPr>
      <t xml:space="preserve">
A portion of the data contained in this Model may be powered by third party contributors and their respective licensors, or derived from data provided by such contributors, including (but not limited to): (i) </t>
    </r>
    <r>
      <rPr>
        <b/>
        <sz val="7"/>
        <color rgb="FF000000"/>
        <rFont val="Calibri"/>
        <family val="2"/>
        <scheme val="minor"/>
      </rPr>
      <t>QuoteMedia Inc.</t>
    </r>
    <r>
      <rPr>
        <sz val="7"/>
        <color rgb="FF000000"/>
        <rFont val="Calibri"/>
        <family val="2"/>
        <scheme val="minor"/>
      </rPr>
      <t xml:space="preserve">: A portion of the market data is powered by Quotemedia.com. All rights reserved. Data delayed 15 minutes unless otherwise indicated; (ii) </t>
    </r>
    <r>
      <rPr>
        <b/>
        <sz val="7"/>
        <color rgb="FF000000"/>
        <rFont val="Calibri"/>
        <family val="2"/>
        <scheme val="minor"/>
      </rPr>
      <t>S&amp;P Global Market Intelligence LLC</t>
    </r>
    <r>
      <rPr>
        <sz val="7"/>
        <color rgb="FF000000"/>
        <rFont val="Calibri"/>
        <family val="2"/>
        <scheme val="minor"/>
      </rPr>
      <t xml:space="preserve">: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t>
    </r>
    <r>
      <rPr>
        <b/>
        <sz val="7"/>
        <color rgb="FF000000"/>
        <rFont val="Calibri"/>
        <family val="2"/>
        <scheme val="minor"/>
      </rPr>
      <t>Refinitiv Canada Holdings Limited</t>
    </r>
    <r>
      <rPr>
        <sz val="7"/>
        <color rgb="FF000000"/>
        <rFont val="Calibri"/>
        <family val="2"/>
        <scheme val="minor"/>
      </rPr>
      <t xml:space="preserve">: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
    </r>
    <r>
      <rPr>
        <b/>
        <sz val="7"/>
        <color rgb="FF000000"/>
        <rFont val="Calibri"/>
        <family val="2"/>
        <scheme val="minor"/>
      </rPr>
      <t>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t>
    </r>
    <r>
      <rPr>
        <sz val="7"/>
        <color rgb="FF000000"/>
        <rFont val="Calibri"/>
        <family val="2"/>
        <scheme val="minor"/>
      </rPr>
      <t xml:space="preserve"> Access to data in this Model that is sourced from third party contributors is subject to termination in the event that any agreement between the Company and such third party contributors terminates for any reason.
</t>
    </r>
    <r>
      <rPr>
        <b/>
        <sz val="7"/>
        <color rgb="FF000000"/>
        <rFont val="Calibri"/>
        <family val="2"/>
        <scheme val="minor"/>
      </rPr>
      <t>Copyright 2023 Company2747. All rights reserved.</t>
    </r>
  </si>
  <si>
    <t>Is Historical Period</t>
  </si>
  <si>
    <t>Segmented Results - Revenue Breakdown (FS/CFO Commentary)</t>
  </si>
  <si>
    <t>Operating lease assets</t>
  </si>
  <si>
    <t>Deferred income tax assets</t>
  </si>
  <si>
    <t>Long-term operating lease liabilities</t>
  </si>
  <si>
    <t>Q2-2020</t>
  </si>
  <si>
    <t>WC</t>
  </si>
  <si>
    <t>Most Recent Period:</t>
  </si>
  <si>
    <t>(C) 2019 Source. All rights reserved.</t>
  </si>
  <si>
    <t>Q3-2020</t>
  </si>
  <si>
    <t>Profitability Ratios</t>
  </si>
  <si>
    <t>Investment in non-affiliates</t>
  </si>
  <si>
    <t>Company1796 Company2746, Ltd.</t>
  </si>
  <si>
    <t>ICs Revenue Growth, %</t>
  </si>
  <si>
    <t>Boards Revenue Growth, %</t>
  </si>
  <si>
    <t>Switch and Gateway Systems Revenue Growth, %</t>
  </si>
  <si>
    <t>Cables, Accessories, and Other Revenue Growth, %</t>
  </si>
  <si>
    <t>Segmented Results - Revenue Breakdown - Product Category (FS)</t>
  </si>
  <si>
    <t>ICs Revenue, mm</t>
  </si>
  <si>
    <t>Boards Revenue, mm</t>
  </si>
  <si>
    <t>Switch and Gateway Systems Revenue, mm</t>
  </si>
  <si>
    <t>Cables, Accessories, and Other Revenue, mm</t>
  </si>
  <si>
    <t>Segmented Results - Revenue Breakdown - Interconnect Protocol and Data Rate (FS)</t>
  </si>
  <si>
    <t>HDR Revenue, mm</t>
  </si>
  <si>
    <t>EDR Revenue, mm</t>
  </si>
  <si>
    <t>FDR Revenue, mm</t>
  </si>
  <si>
    <t>DDR Revenue, mm</t>
  </si>
  <si>
    <t>QDR Revenue, mm</t>
  </si>
  <si>
    <t>SDR Revenue, mm</t>
  </si>
  <si>
    <t>DDR/SDR Revenue, mm</t>
  </si>
  <si>
    <t>Total Infiniband Revenue, mm</t>
  </si>
  <si>
    <t>Ethernet Revenue, mm</t>
  </si>
  <si>
    <t>Other Revenue, mm</t>
  </si>
  <si>
    <t>Key Metrics - Major Customers with Revenues &gt; 10% (FS)</t>
  </si>
  <si>
    <t>Company1246 Company2139, %</t>
  </si>
  <si>
    <t>Dell, %</t>
  </si>
  <si>
    <t>IBM, %</t>
  </si>
  <si>
    <t>GAAP G&amp;A Margin, %</t>
  </si>
  <si>
    <t>Non-GAAP G&amp;A Margin, %</t>
  </si>
  <si>
    <t>GAAP S&amp;M Margin, %</t>
  </si>
  <si>
    <t>Total revenues</t>
  </si>
  <si>
    <t>Cost of revenues</t>
  </si>
  <si>
    <t>Sales and marketing</t>
  </si>
  <si>
    <t>General and administrative</t>
  </si>
  <si>
    <t>Restructuring charges</t>
  </si>
  <si>
    <t>Impairment of long-lived assets</t>
  </si>
  <si>
    <t>(Loss) income from operations</t>
  </si>
  <si>
    <t>Other loss, net</t>
  </si>
  <si>
    <t>(Loss) income before taxes on income</t>
  </si>
  <si>
    <t>Provision for taxes on income</t>
  </si>
  <si>
    <t>Net (loss) income</t>
  </si>
  <si>
    <t>GAAP (loss) net income</t>
  </si>
  <si>
    <t>SBC expense</t>
  </si>
  <si>
    <t>Amortization of acquired intangibles</t>
  </si>
  <si>
    <t>Settlement costs</t>
  </si>
  <si>
    <t>Acquisition related charges</t>
  </si>
  <si>
    <t>Impairment loss on equity investment in a private company</t>
  </si>
  <si>
    <t>(Benefit from) provision for income taxes-valuation allowance adjustment</t>
  </si>
  <si>
    <t>Restructuring and related charges</t>
  </si>
  <si>
    <t>Non-operating foreign exchange loss</t>
  </si>
  <si>
    <t>Deferred taxes on NOL Israel</t>
  </si>
  <si>
    <t>GAAP Gross Profit</t>
  </si>
  <si>
    <t>Amortization of acquired intangible assets</t>
  </si>
  <si>
    <t>GAAP income (loss) from operations</t>
  </si>
  <si>
    <t>Non-GAAP Income from Operations</t>
  </si>
  <si>
    <t>Cost of goods sold SBC</t>
  </si>
  <si>
    <t>Research and development SBC</t>
  </si>
  <si>
    <t>Sales and marketing SBC</t>
  </si>
  <si>
    <t>General and administrative SBC</t>
  </si>
  <si>
    <t>Total Share-based Compensation Expense</t>
  </si>
  <si>
    <t>Cost of revenues intangible amortization</t>
  </si>
  <si>
    <t>Research and development intangible amortization</t>
  </si>
  <si>
    <t>Sales and marketing intangible amortization</t>
  </si>
  <si>
    <t>Total Amortization of Acquired Intangibles</t>
  </si>
  <si>
    <t>Cost of goods sold acquisition related charges</t>
  </si>
  <si>
    <t>Research and development acquisition related charges</t>
  </si>
  <si>
    <t>Sales and marketing acquisition related charges</t>
  </si>
  <si>
    <t>General and administrative acquisition related charges</t>
  </si>
  <si>
    <t>Total Acquisition Related Charges</t>
  </si>
  <si>
    <t>Cost of goods sold Settlement Costs</t>
  </si>
  <si>
    <t>General and administrative Settlement Costs</t>
  </si>
  <si>
    <t>Total Settlement Costs</t>
  </si>
  <si>
    <t>SBC COGS</t>
  </si>
  <si>
    <t>Amortization of Intangibles COGS</t>
  </si>
  <si>
    <t>Acquisition related charges COGS</t>
  </si>
  <si>
    <t>Other COGS Adjustments</t>
  </si>
  <si>
    <t>Amortization of Intangibles R&amp;D</t>
  </si>
  <si>
    <t>Acquisition related charges R&amp;D</t>
  </si>
  <si>
    <t>GAAP G&amp;A</t>
  </si>
  <si>
    <t>Acquisition related charges G&amp;A</t>
  </si>
  <si>
    <t>Others</t>
  </si>
  <si>
    <t>Non-GAAP G&amp;A</t>
  </si>
  <si>
    <t>GAAP S&amp;M</t>
  </si>
  <si>
    <t>Amortization of Intangibles S&amp;M</t>
  </si>
  <si>
    <t>Acquisition related charges S&amp;M</t>
  </si>
  <si>
    <t>Non-GAAP S&amp;M</t>
  </si>
  <si>
    <t>Consensus Estimates - Company Reported Non-GAAP Operating Income</t>
  </si>
  <si>
    <t>Consensus Estimates - Non-GAAP EBITDA</t>
  </si>
  <si>
    <t>Non-GAAP Earnings Before Taxes</t>
  </si>
  <si>
    <t>Non-GAAP Net Income to common shareholders</t>
  </si>
  <si>
    <t>Amortizations of Intangibles</t>
  </si>
  <si>
    <t>GAAP Net Income to common shareholders - Basic</t>
  </si>
  <si>
    <t>Adjustments for Convertible Securities</t>
  </si>
  <si>
    <t>GAAP Net Income to common shareholders - Diluted</t>
  </si>
  <si>
    <t>Deferred Income Tax as % of Non-GAAP Taxes</t>
  </si>
  <si>
    <t>Share-based compensation</t>
  </si>
  <si>
    <t>Loss (gain) on investments, net</t>
  </si>
  <si>
    <t>Gain on sale of an investment in a privately-held company</t>
  </si>
  <si>
    <t>Loss on disposal of property and equipment</t>
  </si>
  <si>
    <t>Excess tax benefit from share-based compensation</t>
  </si>
  <si>
    <t>Impairment charges</t>
  </si>
  <si>
    <t>Accrued liabilities and other liabilities</t>
  </si>
  <si>
    <t>Purchase of severance-related insurance policies</t>
  </si>
  <si>
    <t>Purchase of short-term investments</t>
  </si>
  <si>
    <t>Proceeds from sales of short-term investments</t>
  </si>
  <si>
    <t>Proceeds from sale of an investment in privately-held companies</t>
  </si>
  <si>
    <t>Proceeds from maturities of short-term investments</t>
  </si>
  <si>
    <t>Purchase of property and equipment</t>
  </si>
  <si>
    <t>Restricted cash</t>
  </si>
  <si>
    <t>Purchase of intangible assets</t>
  </si>
  <si>
    <t>Purchase of equity investments in private companies</t>
  </si>
  <si>
    <t>Divestiture/ sale of PP&amp;E</t>
  </si>
  <si>
    <t>Acquisition net of cash acquired</t>
  </si>
  <si>
    <t>Proceeds from bank term debt</t>
  </si>
  <si>
    <t>Debt issuance costs</t>
  </si>
  <si>
    <t>Principal payments on term debt</t>
  </si>
  <si>
    <t>Principal payments on capital lease obligations and intangible asset financing</t>
  </si>
  <si>
    <t>Proceeds from exercise of share awards</t>
  </si>
  <si>
    <t>Excess tax benefit from SBC</t>
  </si>
  <si>
    <t>Dividend paid</t>
  </si>
  <si>
    <t>Proceeds from public offering, net</t>
  </si>
  <si>
    <t>Accrued liabilities, % of LTM Sales</t>
  </si>
  <si>
    <t>Accrued liabilities, Y/Y Change, %</t>
  </si>
  <si>
    <t>Short-term investments</t>
  </si>
  <si>
    <t>Deferred Taxes</t>
  </si>
  <si>
    <t>Other current assets</t>
  </si>
  <si>
    <t>Severance assets</t>
  </si>
  <si>
    <t>Right-of-use assets</t>
  </si>
  <si>
    <t>Deferred taxes and other long-term assets</t>
  </si>
  <si>
    <t>Accrued liabilities</t>
  </si>
  <si>
    <t>Deferred revenue</t>
  </si>
  <si>
    <t>Capital lease liabilities, current</t>
  </si>
  <si>
    <t>Lease liabilities</t>
  </si>
  <si>
    <t>Current portion of term debt</t>
  </si>
  <si>
    <t>Accrued severance</t>
  </si>
  <si>
    <t>Capital lease liabilities</t>
  </si>
  <si>
    <t>Lease liabilities, long term</t>
  </si>
  <si>
    <t>Term debt</t>
  </si>
  <si>
    <t>Ordinary shares</t>
  </si>
  <si>
    <t>Margin adds up to 100%</t>
  </si>
  <si>
    <t>Company1719 US</t>
  </si>
  <si>
    <t>NASDAQ:Company1719</t>
  </si>
  <si>
    <t>Company1720</t>
  </si>
  <si>
    <t>Company1721</t>
  </si>
  <si>
    <t>First Forecast Fiscal Year</t>
  </si>
  <si>
    <t>Income Statement - As Reported</t>
  </si>
  <si>
    <t>Adjusted Numbers - As Reported</t>
  </si>
  <si>
    <t>MO_CFSum_Capex</t>
  </si>
  <si>
    <t>Q4-2020</t>
  </si>
  <si>
    <t>Operating Lease Liabilities</t>
  </si>
  <si>
    <t>Short-term operating lease liabilities</t>
  </si>
  <si>
    <t>Most Recent Period</t>
  </si>
  <si>
    <t>Quarterly (Earnings Report)</t>
  </si>
  <si>
    <t>Annual (Earnings Report)</t>
  </si>
  <si>
    <t>Q1-2017</t>
  </si>
  <si>
    <t>FY2020</t>
  </si>
  <si>
    <t>AW</t>
  </si>
  <si>
    <t>Initial (Press Release)</t>
  </si>
  <si>
    <t>Q1-2021</t>
  </si>
  <si>
    <t>AP</t>
  </si>
  <si>
    <t>Non-GAAP Net Income Attributable to Common Shareholders</t>
  </si>
  <si>
    <t>Key Outputs</t>
  </si>
  <si>
    <t>Other Tables</t>
  </si>
  <si>
    <t>Raw materials, mm</t>
  </si>
  <si>
    <t>Work in-process, mm</t>
  </si>
  <si>
    <t>Finished goods, mm</t>
  </si>
  <si>
    <t>Acquisition-related intangible assets, mm</t>
  </si>
  <si>
    <t>Patents and licensed technology, mm</t>
  </si>
  <si>
    <t>Issuance of debt, net of issuance costs</t>
  </si>
  <si>
    <t>Acquisition-related and other costs</t>
  </si>
  <si>
    <t>Graphics revenue, mm</t>
  </si>
  <si>
    <t>Compute &amp; Networking revenue, mm</t>
  </si>
  <si>
    <t>FY2021</t>
  </si>
  <si>
    <t>Q2-2021</t>
  </si>
  <si>
    <t>Interest expense from amortization of debt discount and other costs</t>
  </si>
  <si>
    <t>Interest Expense</t>
  </si>
  <si>
    <t>Effective Interest Rate on Debt</t>
  </si>
  <si>
    <t>Interest Income</t>
  </si>
  <si>
    <t>Effective Interest Rate on Cash</t>
  </si>
  <si>
    <t>Net Interest Expense (Income)</t>
  </si>
  <si>
    <t>Effective Net Interest Rate on Debt</t>
  </si>
  <si>
    <t>EBITDA / Net Interest Expense</t>
  </si>
  <si>
    <t>ST Debt</t>
  </si>
  <si>
    <t>LT Debt</t>
  </si>
  <si>
    <t>Net Debt Issuance (Repayment)</t>
  </si>
  <si>
    <t>Cash is Positive</t>
  </si>
  <si>
    <t>Debt is Positive</t>
  </si>
  <si>
    <t>Net Share Issuance (Buybacks)</t>
  </si>
  <si>
    <t>Estimated Share Price for Issuance/Buybacks, USD</t>
  </si>
  <si>
    <t>FCF (before WC), Post Div, Debt, Buyback, A/D</t>
  </si>
  <si>
    <t>GAAP Net Interest Expense</t>
  </si>
  <si>
    <t>Non-GAAP Adjustments to Net Interest Expense</t>
  </si>
  <si>
    <t>GAAP Interest Expense</t>
  </si>
  <si>
    <t>GAAP Interest Income</t>
  </si>
  <si>
    <t>KZZH</t>
  </si>
  <si>
    <t>Q3-2021</t>
  </si>
  <si>
    <t>SBC Non-GAAP Adjustments as % of revenue</t>
  </si>
  <si>
    <t>Non-GAAP Net Interest Expense</t>
  </si>
  <si>
    <t>HS</t>
  </si>
  <si>
    <t>Q4-2021</t>
  </si>
  <si>
    <t>Short-term debt</t>
  </si>
  <si>
    <t>OFF</t>
  </si>
  <si>
    <t>GAAP SG&amp;A Margin, %</t>
  </si>
  <si>
    <t>Non-GAAP SG&amp;A Margin, %</t>
  </si>
  <si>
    <t>Consensus Estimates - Company Reported Non-GAAP Operating Income Margin, %</t>
  </si>
  <si>
    <t>Refinitiv</t>
  </si>
  <si>
    <t>TP</t>
  </si>
  <si>
    <t>Principal payments on property and equipment</t>
  </si>
  <si>
    <t>Q1-2022</t>
  </si>
  <si>
    <t>CFO Commentary</t>
  </si>
  <si>
    <t>SBC and other Non-GAAP COGS Adjustments as % of revenue</t>
  </si>
  <si>
    <t>(Gains) losses on investments in non affiliates, net</t>
  </si>
  <si>
    <t>Q2-2022</t>
  </si>
  <si>
    <t>Acquisition-related costs COGS</t>
  </si>
  <si>
    <t>Acquisition-related costs R&amp;D</t>
  </si>
  <si>
    <t>Acquisition related costs SG&amp;A</t>
  </si>
  <si>
    <t>Segmented Results - Operating Income Breakdown (FS)</t>
  </si>
  <si>
    <t>Graphics Operating Income (loss), mm</t>
  </si>
  <si>
    <t>Compute &amp; Networking Operating Income (loss), mm</t>
  </si>
  <si>
    <t>Total Operating Income (loss), mm</t>
  </si>
  <si>
    <t>All Other Operating Income (loss), mm</t>
  </si>
  <si>
    <t>GPU Operating Income (loss), mm</t>
  </si>
  <si>
    <t>Product0409 Processor Operating Income (loss), mm</t>
  </si>
  <si>
    <t>GPU Depreciation and amortization, mm</t>
  </si>
  <si>
    <t>Product0409 Processor Depreciation and amortization, mm</t>
  </si>
  <si>
    <t>All Other Depreciation and amortization, mm</t>
  </si>
  <si>
    <t>Total Depreciation and amortization, mm</t>
  </si>
  <si>
    <t>Key Metrics - Deferred Revenues and RPOs (FS)</t>
  </si>
  <si>
    <t>RPOs, mm</t>
  </si>
  <si>
    <t>Current RPOs, %</t>
  </si>
  <si>
    <t>Current RPOs, mm</t>
  </si>
  <si>
    <t>Non-Current RPOs, mm</t>
  </si>
  <si>
    <t>YTD Deferred Revenue Balance at beginning of period, mm</t>
  </si>
  <si>
    <t>YTD Deferred Revenue added during the period, mm</t>
  </si>
  <si>
    <t>YTD Addition due to business combinations, mm</t>
  </si>
  <si>
    <t>YTD Revenue recognized during the period, mm</t>
  </si>
  <si>
    <t>YTD Deferred Revenue Balance at End of period, mm</t>
  </si>
  <si>
    <t>Data Addition</t>
  </si>
  <si>
    <t>SK</t>
  </si>
  <si>
    <t>Domestication tax benefit</t>
  </si>
  <si>
    <t>Q3-2022</t>
  </si>
  <si>
    <t>R&amp;D, # of employees</t>
  </si>
  <si>
    <t>Sales, marketing, operations &amp; admin, # of employees</t>
  </si>
  <si>
    <t>Employee count, # of employees</t>
  </si>
  <si>
    <t>Key Metrics - Employee Count (FS)</t>
  </si>
  <si>
    <t>LZ</t>
  </si>
  <si>
    <t>Repayment of debt</t>
  </si>
  <si>
    <t>Q4-2022</t>
  </si>
  <si>
    <t>AA</t>
  </si>
  <si>
    <t>GAAP other income (expense), net</t>
  </si>
  <si>
    <t>(Gains) losses from non-affiliated investments</t>
  </si>
  <si>
    <t>Interest expense related to amortization of debt discount</t>
  </si>
  <si>
    <t>Non-GAAP other income (expense), net</t>
  </si>
  <si>
    <t>Debt related costs</t>
  </si>
  <si>
    <t>Key Metrics - Inventory Purchase and Long-term Supply Obligations (FS)</t>
  </si>
  <si>
    <t>Inventory purchase and long-term supply obligations, mm</t>
  </si>
  <si>
    <t>Other purchase obligations, mm</t>
  </si>
  <si>
    <t>Long-term supply agreements unpaid obligations, mm</t>
  </si>
  <si>
    <t>Current inventory purchase and long-term supply obligations, mm</t>
  </si>
  <si>
    <t>Non-current inventory purchase and long-term supply obligations, mm</t>
  </si>
  <si>
    <t>Unrestated</t>
  </si>
  <si>
    <t>FY2022</t>
  </si>
  <si>
    <t>EC</t>
  </si>
  <si>
    <t>Foreign tax benefit</t>
  </si>
  <si>
    <t>Q1-2023</t>
  </si>
  <si>
    <t>DH</t>
  </si>
  <si>
    <t>Other countries Revenue, mm</t>
  </si>
  <si>
    <t>Share Count Analysis</t>
  </si>
  <si>
    <t>Acquisition termination cost</t>
  </si>
  <si>
    <t>Q2-2023</t>
  </si>
  <si>
    <t>Q/Q Gaming Revenue growth, %</t>
  </si>
  <si>
    <t>Q/Q Professional Visualization Revenue growth, %</t>
  </si>
  <si>
    <t>Q/Q Datacenter Revenue growth, %</t>
  </si>
  <si>
    <t>Q/Q Automotive Revenue growth, %</t>
  </si>
  <si>
    <t>Q/Q OEM &amp; IP Revenue growth, %</t>
  </si>
  <si>
    <t>Y/Y Gaming Revenue Growth, %</t>
  </si>
  <si>
    <t>Y/Y Professional Visualization Revenue Growth, %</t>
  </si>
  <si>
    <t>Y/Y Datacenter Revenue Growth, %</t>
  </si>
  <si>
    <t>Y/Y Automotive Revenue Growth, %</t>
  </si>
  <si>
    <t>Y/Y OEM &amp; IP Revenue Growth, %</t>
  </si>
  <si>
    <t>Y/Y Total Revenue Growth, %</t>
  </si>
  <si>
    <t>Q/Q Total Revenue growth, %</t>
  </si>
  <si>
    <t>Revenue Build (FS/PR)</t>
  </si>
  <si>
    <t>Operating Expense Forecasting</t>
  </si>
  <si>
    <t>Revenue, mm</t>
  </si>
  <si>
    <t>Cost of revenue, mm</t>
  </si>
  <si>
    <t>GAAP Gross Profit, mm</t>
  </si>
  <si>
    <t>Y/Y growth in Gross Profit, %</t>
  </si>
  <si>
    <t>Y/Y improvement in GAAP Gross Margin, bps</t>
  </si>
  <si>
    <t>SBC COGS, mm</t>
  </si>
  <si>
    <t>SBC COGS as % of revenue, %</t>
  </si>
  <si>
    <t>Other COGS Adjustments, mm</t>
  </si>
  <si>
    <t>Non-GAAP Gross Profit, mm</t>
  </si>
  <si>
    <t>Non-GAAP COGS, mm</t>
  </si>
  <si>
    <t>GAAP R&amp;D Expense, mm</t>
  </si>
  <si>
    <t>Y/Y growth in GAAP R&amp;D, %</t>
  </si>
  <si>
    <t>Y/Y Improvement in GAAP R&amp;D Margin, bps</t>
  </si>
  <si>
    <t>Y/Y growth in GAAP SG&amp;A, %</t>
  </si>
  <si>
    <t>Y/Y Improvement in GAAP SG&amp;A Margin, bps</t>
  </si>
  <si>
    <t>GAAP SG&amp;A Expense, mm</t>
  </si>
  <si>
    <t>SBC R&amp;D, mm</t>
  </si>
  <si>
    <t>SBC R&amp;D as % of revenue, %</t>
  </si>
  <si>
    <t>Non-GAAP R&amp;D Expense, mm</t>
  </si>
  <si>
    <t>Y/Y Non-GAAP gross profit growth, %</t>
  </si>
  <si>
    <t>Y/Y Improvement in non-GAAP gross margin, bps</t>
  </si>
  <si>
    <t>Y/Y Growth in non-GAAP R&amp;D Expense, %</t>
  </si>
  <si>
    <t>Y/Y Improvement in Non-GAAP R&amp;D Margin, bps</t>
  </si>
  <si>
    <t>SBC SG&amp;A, mm</t>
  </si>
  <si>
    <t>SBC SG&amp;A as % of revenue, %</t>
  </si>
  <si>
    <t>Non-GAAP SG&amp;A Expense, mm</t>
  </si>
  <si>
    <t>Y/Y Growth in non-GAAP SG&amp;A Expense, %</t>
  </si>
  <si>
    <t>Y/Y Improvement in Non-GAAP SG&amp;A Margin, bps</t>
  </si>
  <si>
    <t>Other Non-GAAP Operating Items, mm</t>
  </si>
  <si>
    <t>Non-GAAP Operating Income, mm</t>
  </si>
  <si>
    <t>Depreciation, mm</t>
  </si>
  <si>
    <t>Amortization, mm</t>
  </si>
  <si>
    <t>Depreciation &amp; Amortization, mm</t>
  </si>
  <si>
    <t>Acquisition-related costs in Direct Costs, mm</t>
  </si>
  <si>
    <t>Acquisition-related costs in R&amp;D, mm</t>
  </si>
  <si>
    <t>Acquisition-related costs in G&amp;A, mm</t>
  </si>
  <si>
    <t>Total Acquisition-related costs, mm</t>
  </si>
  <si>
    <t>SBC In Direct Costs, mm</t>
  </si>
  <si>
    <t>SBC in R&amp;D, mm</t>
  </si>
  <si>
    <t>SBC in G&amp;A, mm</t>
  </si>
  <si>
    <t>Total SBC, mm</t>
  </si>
  <si>
    <t>Acquisition-related costs COGS, mm</t>
  </si>
  <si>
    <t>Acquisition-related costs COGS as % of revenue, %</t>
  </si>
  <si>
    <t>Acquisition-related costs R&amp;D, mm</t>
  </si>
  <si>
    <t>Acquisition-related costs R&amp;D as % of revenue, %</t>
  </si>
  <si>
    <t>Acquisition-related costs SG&amp;A, mm</t>
  </si>
  <si>
    <t>Acquisition-related costs SG&amp;A as % of revenue, %</t>
  </si>
  <si>
    <t>Future unconditional purchase commitments due in 2 years, mm</t>
  </si>
  <si>
    <t>Future unconditional purchase commitments due in 3 years, mm</t>
  </si>
  <si>
    <t>Future unconditional purchase commitments due in 4 year, mm</t>
  </si>
  <si>
    <t>Future unconditional purchase commitments due in 5 years, mm</t>
  </si>
  <si>
    <t>Total future unconditional purchase commitments, mm</t>
  </si>
  <si>
    <t>Future unconditional purchase commitments due in 1 year, mm</t>
  </si>
  <si>
    <t>Remaining Future unconditional purchase commitments due in current year, mm</t>
  </si>
  <si>
    <t>CMP Revenue, mm</t>
  </si>
  <si>
    <t>Supplemental Data</t>
  </si>
  <si>
    <t>Consensus Estimates - Non-GAAP Gross Margin, %</t>
  </si>
  <si>
    <t>Consensus Estimates - Non-GAAP Operating Income Margin, %</t>
  </si>
  <si>
    <t>Non-GAAP Operating Income margin, %</t>
  </si>
  <si>
    <t>Y/Y Improvement in Non-GAAP Operating Income margin, bps</t>
  </si>
  <si>
    <t>SBC, D&amp;A, Acquisition-related Costs Breakdown (FS)</t>
  </si>
  <si>
    <t>Y/Y Growth in Non-GAAP Operating Income, %</t>
  </si>
  <si>
    <t>D&amp;A Forecasting</t>
  </si>
  <si>
    <t>PP&amp;E EoP, mm</t>
  </si>
  <si>
    <t>PP&amp;E BoP, mm</t>
  </si>
  <si>
    <t>Depreciation of fixed assets, mm</t>
  </si>
  <si>
    <t>Depreciation as percentage of PP&amp;E BoP, %</t>
  </si>
  <si>
    <t>Capex of PP&amp;E, mm</t>
  </si>
  <si>
    <t>Other net additions to PP&amp;E, mm</t>
  </si>
  <si>
    <t>Intangibles EoP, mm</t>
  </si>
  <si>
    <t>Intangibles BoP, mm</t>
  </si>
  <si>
    <t>Amortization of intangibles, mm</t>
  </si>
  <si>
    <t>Amortization as percentage of Intangibles BoP, %</t>
  </si>
  <si>
    <t>Other net additions to intangibles, mm</t>
  </si>
  <si>
    <t>Implied life of fixed assets, yr</t>
  </si>
  <si>
    <t>Implied life of intangibles, yr</t>
  </si>
  <si>
    <t>D&amp;A of PPE and Intangibles, mm</t>
  </si>
  <si>
    <t>Capex of PPE and Intangibles, mm</t>
  </si>
  <si>
    <t>Percentage of capex allocated to intangible assets, %</t>
  </si>
  <si>
    <t>Total Acquisitions, mm</t>
  </si>
  <si>
    <t>Percentage of acquisition expenditure allocated to intangible assets, %</t>
  </si>
  <si>
    <t>Additions to acquired intangibles, mm</t>
  </si>
  <si>
    <t>SBC expense as % of revenue</t>
  </si>
  <si>
    <t>RIS Adjusted EBIT = Adjusted EBIT</t>
  </si>
  <si>
    <t>Prepaid supply agreements</t>
  </si>
  <si>
    <t>Prepaid royalties</t>
  </si>
  <si>
    <t>Investment in non-affiliated entities</t>
  </si>
  <si>
    <t>Advanced consideration for acquisition</t>
  </si>
  <si>
    <t>Deposits</t>
  </si>
  <si>
    <t>Acquisition termination cost, mm</t>
  </si>
  <si>
    <t>Stock-based compensation expense, mm</t>
  </si>
  <si>
    <t>Acquisition-related and other costs, mm</t>
  </si>
  <si>
    <t>Unallocated cost of revenue and operating expenses, mm</t>
  </si>
  <si>
    <t>Legal settlement costs, mm</t>
  </si>
  <si>
    <t>Restructuring and other, mm</t>
  </si>
  <si>
    <t>Contributions, mm</t>
  </si>
  <si>
    <t>Product warranty charges</t>
  </si>
  <si>
    <t>Other non-recurring expenses and benefits, mm</t>
  </si>
  <si>
    <t>GAAP Net Income - Basic</t>
  </si>
  <si>
    <t>GAAP Net Income - Diluted</t>
  </si>
  <si>
    <t>Other Adjustments SG&amp;A</t>
  </si>
  <si>
    <t>Other Adjustments R&amp;D</t>
  </si>
  <si>
    <t>Other Operating Adjustments</t>
  </si>
  <si>
    <t>GAAP Other Items</t>
  </si>
  <si>
    <t>Non-GAAP Adjustments to Other Items</t>
  </si>
  <si>
    <t>GAAP Provision for Taxes</t>
  </si>
  <si>
    <t>Non-GAAP Adjustments to Income Taxes</t>
  </si>
  <si>
    <t>Marginal Tax Rate on Adjustments, %</t>
  </si>
  <si>
    <t>GAAP Tax Rate, %</t>
  </si>
  <si>
    <t>Interest Expense Adjustments</t>
  </si>
  <si>
    <t>Tax Impact on non-GAAP Adjustments</t>
  </si>
  <si>
    <t>GAAP OPEX</t>
  </si>
  <si>
    <t>Other Adjustments OPEX</t>
  </si>
  <si>
    <t>Non-GAAP OPEX</t>
  </si>
  <si>
    <t>Other OPEX Adjustments, mm</t>
  </si>
  <si>
    <t>GAAP OPEX Expense, mm</t>
  </si>
  <si>
    <t>Y/Y growth in GAAP OPEX, %</t>
  </si>
  <si>
    <t>GAAP OPEX Margin, %</t>
  </si>
  <si>
    <t>Y/Y Improvement in GAAP OPEX Margin, bps</t>
  </si>
  <si>
    <t>Non-GAAP OPEX Expense, mm</t>
  </si>
  <si>
    <t>Non-GAAP OPEX Margin, %</t>
  </si>
  <si>
    <t>MO_RIS_TaxRate</t>
  </si>
  <si>
    <t>Taiwan Revenue %, %</t>
  </si>
  <si>
    <t>China Revenue %, %</t>
  </si>
  <si>
    <t>United States Revenue %, %</t>
  </si>
  <si>
    <t>Other Asia Pacific Revenue %, %</t>
  </si>
  <si>
    <t>Europe Revenue %, %</t>
  </si>
  <si>
    <t>Other Americas Revenue %, %</t>
  </si>
  <si>
    <t>Other Countries Revenue %, %</t>
  </si>
  <si>
    <t>Total Revenue %, %</t>
  </si>
  <si>
    <t>Graphics Operating Income Margin, %</t>
  </si>
  <si>
    <t>Total Operating Income Margin, %</t>
  </si>
  <si>
    <t>Compute &amp; Networking Operating Income Margin, %</t>
  </si>
  <si>
    <t>GPU Operating Income Margin, %</t>
  </si>
  <si>
    <t>Product0409 Operating Income Margin, %</t>
  </si>
  <si>
    <t>All Other Operating Income Margin, %</t>
  </si>
  <si>
    <t>Y/Y Growth in non-GAAP OPEX Expense, %</t>
  </si>
  <si>
    <t>Y/Y Improvement in Non-GAAP OPEX Margin, bps</t>
  </si>
  <si>
    <t>Last Working Day In Period</t>
  </si>
  <si>
    <t>Stock Price EoP</t>
  </si>
  <si>
    <t>FX EoP</t>
  </si>
  <si>
    <t>Ticker0027_US</t>
  </si>
  <si>
    <t>Q3-2023</t>
  </si>
  <si>
    <t>IP-related and legal settlement costs, mm</t>
  </si>
  <si>
    <t>Other R&amp;D, mm</t>
  </si>
  <si>
    <t>Other SG&amp;A, mm</t>
  </si>
  <si>
    <t>Q4-2023</t>
  </si>
  <si>
    <t>Restructuring costs, mm</t>
  </si>
  <si>
    <t>Cash paid for interest</t>
  </si>
  <si>
    <t>Cash (received) paid for income taxes, net</t>
  </si>
  <si>
    <t>Q/Q basic share expansion from dilutive securities, %</t>
  </si>
  <si>
    <t>Y/Y basic share expansion from dilutive securities, %</t>
  </si>
  <si>
    <t>Q/Q basic share expansion from share issuance (buyback), %</t>
  </si>
  <si>
    <t>Y/Y basic share expansion from share issuance (buyback), %</t>
  </si>
  <si>
    <t>Q/Q basic share expansion - EoP, %</t>
  </si>
  <si>
    <t>Y/Y basic share expansion - EoP, %</t>
  </si>
  <si>
    <t>Diluted share count to basic share count ratio, x</t>
  </si>
  <si>
    <t>EoP</t>
  </si>
  <si>
    <t>Change in Working Capital</t>
  </si>
  <si>
    <t>Operating Cash Flow after WC</t>
  </si>
  <si>
    <t>Cash Flow Per Diluted Share before WC</t>
  </si>
  <si>
    <t>FCF, Post Div, Pre A/D</t>
  </si>
  <si>
    <t>FCF, Post Div, Post A/D</t>
  </si>
  <si>
    <t>FCF, Post Div, Debt, Buyback, A/D</t>
  </si>
  <si>
    <t>Consensus Estimates - Cash Flow Per Diluted Share</t>
  </si>
  <si>
    <t>FCF (before WC), Pre Div</t>
  </si>
  <si>
    <t>FCF (before WC), Post Div, Pre A/D</t>
  </si>
  <si>
    <t>FCF (before WC), Post Div, Post A/D</t>
  </si>
  <si>
    <t>FY2023</t>
  </si>
  <si>
    <t>SH</t>
  </si>
  <si>
    <t>Q1-2024</t>
  </si>
  <si>
    <t>FY2024</t>
  </si>
  <si>
    <t>ALT</t>
  </si>
  <si>
    <t>Future unconditional purchase commitments due in 6 years, mm</t>
  </si>
  <si>
    <t>Last Working Day, date</t>
  </si>
  <si>
    <t>End of Period Stock Price, $/share</t>
  </si>
  <si>
    <t>BoP Total Stock Options Outstanding, mm options</t>
  </si>
  <si>
    <t>Granted Stock Options, mm options</t>
  </si>
  <si>
    <t>Exercised Stock Options, mm options</t>
  </si>
  <si>
    <t>Forfeited and Canceled Stock Options, mm options</t>
  </si>
  <si>
    <t>EoP Total Stock Options Outstanding, mm options</t>
  </si>
  <si>
    <t>BoP Weighted Average Exercise Price, $/share</t>
  </si>
  <si>
    <t>Granted Average Exercise Price, $/share</t>
  </si>
  <si>
    <t>Exercised Average Exercise Price, $/share</t>
  </si>
  <si>
    <t>Forfeited and Canceled Average Exercise Price, $/share</t>
  </si>
  <si>
    <t>EoP Weighted Average Exercise Price, $/share</t>
  </si>
  <si>
    <t>Dilutive Shares from Exercised Options (Treasury Method), mm shares</t>
  </si>
  <si>
    <t>EoP Total Stock Options Exercisable, mm options</t>
  </si>
  <si>
    <t>EoP Weighted Average Exercisable Option Exercise Price, $/share</t>
  </si>
  <si>
    <t>EoP RSUs, PSUs and Market-Based PSUs, mm shares</t>
  </si>
  <si>
    <t>EoP Potentially Dilutive Securities, mm shares</t>
  </si>
  <si>
    <t>EoP RSUs, PSUs and Market-Based PSUs Price $/share</t>
  </si>
  <si>
    <t>Cover Page Common Stock Outstanding, mm shares</t>
  </si>
  <si>
    <t>Date of Cover Page Share Count, date</t>
  </si>
  <si>
    <t>Dilutive Shares, mm shares</t>
  </si>
  <si>
    <t>EoP Common Stock Outstanding, mm shares</t>
  </si>
  <si>
    <t>EoP Total Diluted Common Stock Outstanding, mm shares</t>
  </si>
  <si>
    <t>Cumulative BoP Total Stock Options Outstanding, mm options</t>
  </si>
  <si>
    <t>Cumulative Granted Stock Options, mm options</t>
  </si>
  <si>
    <t>Cumulative Exercised Stock Options, mm options</t>
  </si>
  <si>
    <t>Cumulative Forfeited and Canceled Stock Options, mm options</t>
  </si>
  <si>
    <t>Cumulative EoP Total Stock Options Outstanding, mm options</t>
  </si>
  <si>
    <t>Cumulative BoP Weighted Average Exercise Price, $/share</t>
  </si>
  <si>
    <t>Cumulative Granted Average Exercise Price, $/share</t>
  </si>
  <si>
    <t>Cumulative Exercised Average Exercise Price, $/share</t>
  </si>
  <si>
    <t>Cumulative Forfeited and Canceled Average Exercise Price, $/share</t>
  </si>
  <si>
    <t>Cumulative EoP Weighted Average Exercise Price, $/share</t>
  </si>
  <si>
    <t>EoP ESPP Obligations, mm shares</t>
  </si>
  <si>
    <t>Source EoP Fully Diluted Shares Outstanding, mm shares</t>
  </si>
  <si>
    <t>Source Cover Page Fully Diluted Shares Outstanding, mm shares</t>
  </si>
  <si>
    <t>KPI Data</t>
  </si>
  <si>
    <t>MO_RIS_NI_NONGAAP_Diluted</t>
  </si>
  <si>
    <t>MO_RIS_EPS_WAD_Adj</t>
  </si>
  <si>
    <t>MO_RIS_EBITDA_Adj</t>
  </si>
  <si>
    <t>MO_OS_EmployeeCount</t>
  </si>
  <si>
    <t>KPI Count</t>
  </si>
  <si>
    <t>Apply Trade Currency Scaling</t>
  </si>
  <si>
    <t>MO_KPI_REV_SEMI</t>
  </si>
  <si>
    <t>MO_KPI_REV_SEMI_Growth</t>
  </si>
  <si>
    <t>MO_KPI_REV_SEMI_Auto</t>
  </si>
  <si>
    <t>MO_KPI_REV_SEMI_Auto_Growth</t>
  </si>
  <si>
    <t>MO_KPI_REV_SEMI_Comp</t>
  </si>
  <si>
    <t>MO_KPI_REV_SEMI_Comp_Growth</t>
  </si>
  <si>
    <t>MO_KPI_REV_SEMI_Data</t>
  </si>
  <si>
    <t>MO_KPI_REV_SEMI_Data_Growth</t>
  </si>
  <si>
    <t>MO_KPI_REV_SEMI_Cons</t>
  </si>
  <si>
    <t>MO_KPI_REV_SEMI_Cons_Growth</t>
  </si>
  <si>
    <t>MO_MA_RD_NONGAAP</t>
  </si>
  <si>
    <t>TZ</t>
  </si>
  <si>
    <t>Q2-2024</t>
  </si>
  <si>
    <t>DHJ</t>
  </si>
  <si>
    <t>Prepaid cloud services</t>
  </si>
  <si>
    <t>Other, mm</t>
  </si>
  <si>
    <t>Q3-2024</t>
  </si>
  <si>
    <t>WW</t>
  </si>
  <si>
    <t>Q4-2024</t>
  </si>
  <si>
    <t>Quarterly Guidance Table</t>
  </si>
  <si>
    <t>Reporting Date</t>
  </si>
  <si>
    <t>Applicable Period</t>
  </si>
  <si>
    <t>Annual Guidance Table</t>
  </si>
  <si>
    <t>Is Latest</t>
  </si>
  <si>
    <t>Total Non-GAAP Operating Expenses, mm</t>
  </si>
  <si>
    <t>MO_OS_OPEX</t>
  </si>
  <si>
    <t>Low - Net Revenue, mm</t>
  </si>
  <si>
    <t>High - Net Revenue, mm</t>
  </si>
  <si>
    <t>Mid - Net Revenue, mm</t>
  </si>
  <si>
    <t>Low - Non-GAAP Gross Margin, %</t>
  </si>
  <si>
    <t>High - Non-GAAP Gross Margin, %</t>
  </si>
  <si>
    <t>Mid - Non-GAAP Gross Margin, %</t>
  </si>
  <si>
    <t>Low - Total Non-GAAP Operating Expenses, mm</t>
  </si>
  <si>
    <t>High - Total Non-GAAP Operating Expenses, mm</t>
  </si>
  <si>
    <t>Mid - Total Non-GAAP Operating Expenses, mm</t>
  </si>
  <si>
    <t>Low - Capex, mm</t>
  </si>
  <si>
    <t>High - Capex, mm</t>
  </si>
  <si>
    <t>Mid - Capex, mm</t>
  </si>
  <si>
    <t>Guidance Analysis Section</t>
  </si>
  <si>
    <t>Non-GAAP Gross Profit - Guidance Analysis</t>
  </si>
  <si>
    <t>Non-GAAP Gross Profit guidance - initial midpoint, mm</t>
  </si>
  <si>
    <t>Non-GAAP Gross Profit guidance - update 1 midpoint, mm</t>
  </si>
  <si>
    <t>Non-GAAP Gross Profit guidance - update 2 midpoint, mm</t>
  </si>
  <si>
    <t>Non-GAAP Gross Profit guidance - update 3 midpoint, mm</t>
  </si>
  <si>
    <t>Non-GAAP Gross Profit guidance - most recent midpoint, mm</t>
  </si>
  <si>
    <t>Non-GAAP Gross Profit - reported/model estimate, mm</t>
  </si>
  <si>
    <t>Non-GAAP Gross Profit beat/(miss) vs. most recent guidance - midpoint, mm</t>
  </si>
  <si>
    <t>Relative non-GAAP gross profit beat/(miss) vs. most recent guidance - midpoint, %</t>
  </si>
  <si>
    <t>Forward guidance - report date, date</t>
  </si>
  <si>
    <t>Forward quarterly guidance - applicable period, period</t>
  </si>
  <si>
    <t>Forward quarterly non-GAAP gross profit guidance - low, mm</t>
  </si>
  <si>
    <t>Forward quarterly non-GAAP gross profit guidance - high, mm</t>
  </si>
  <si>
    <t>Forward quarterly non-GAAP gross profit guidance - midpoint, mm</t>
  </si>
  <si>
    <t>Forward quarterly non-GAAP gross profit guidance variance, mm</t>
  </si>
  <si>
    <t>Forward quarterly non-GAAP gross profit guidance variance (+/-), %</t>
  </si>
  <si>
    <t>Forward annual guidance - applicable period, period</t>
  </si>
  <si>
    <t>Forward annual non-GAAP gross profit guidance - low, mm</t>
  </si>
  <si>
    <t>Forward annual non-GAAP gross profit guidance - high, mm</t>
  </si>
  <si>
    <t>Forward annual non-GAAP gross profit guidance - midpoint, mm</t>
  </si>
  <si>
    <t>Forward annual non-GAAP gross profit guidance variance, mm</t>
  </si>
  <si>
    <t>Forward annual non-GAAP gross profit guidance variance (+/-), %</t>
  </si>
  <si>
    <t>Y/Y Implied annual guidance non-GAAP gross profit growth, %</t>
  </si>
  <si>
    <t>Y/Y annual guidance beat/(miss) non-GAAP gross profit growth, %</t>
  </si>
  <si>
    <t>Y/Y annual non-GAAP gross profit growth, %</t>
  </si>
  <si>
    <t>Non-GAAP Gross Profit Margin guidance - initial midpoint, %</t>
  </si>
  <si>
    <t>Non-GAAP Gross Profit Margin guidance - update 1 midpoint, %</t>
  </si>
  <si>
    <t>Non-GAAP Gross Profit Margin guidance - update 2 midpoint, %</t>
  </si>
  <si>
    <t>Non-GAAP Gross Profit Margin guidance - update 3 midpoint, %</t>
  </si>
  <si>
    <t>Non-GAAP Gross Profit Margin guidance - most recent midpoint, %</t>
  </si>
  <si>
    <t>Non-GAAP Gross Profit Margin - reported/model estimate, %</t>
  </si>
  <si>
    <t>Relative non-GAAP gross profit margin beat/(miss) vs. most recent guidance - midpoint, bps</t>
  </si>
  <si>
    <t>Forward quarterly non-GAAP gross profit margin guidance - low, %</t>
  </si>
  <si>
    <t>Forward quarterly non-GAAP gross profit margin guidance - high, %</t>
  </si>
  <si>
    <t>Forward quarterly non-GAAP gross profit margin guidance - midpoint, %</t>
  </si>
  <si>
    <t>Forward quarterly non-GAAP gross profit margin guidance variance (+/-), bps</t>
  </si>
  <si>
    <t>Forward quarterly guided Q/Q non-GAAP gross profit margin improvement - low, bps</t>
  </si>
  <si>
    <t>Forward quarterly guided Q/Q non-GAAP gross profit margin improvement - high, bps</t>
  </si>
  <si>
    <t>Forward quarterly guided Q/Q non-GAAP gross profit margin improvement - midpoint, bps</t>
  </si>
  <si>
    <t>Forward quarterly guided Y/Y non-GAAP gross profit margin improvement - low, bps</t>
  </si>
  <si>
    <t>Forward quarterly guided Y/Y non-GAAP gross profit margin improvement - high, bps</t>
  </si>
  <si>
    <t>Forward quarterly guided Y/Y non-GAAP gross profit margin improvement - midpoint, bps</t>
  </si>
  <si>
    <t>Forward annual non-GAAP gross profit margin guidance - low, %</t>
  </si>
  <si>
    <t>Forward annual non-GAAP gross profit margin guidance - high, %</t>
  </si>
  <si>
    <t>Forward annual non-GAAP gross profit margin guidance - midpoint, %</t>
  </si>
  <si>
    <t>Forward annual non-GAAP gross profit margin guidance variance (+/-), bps</t>
  </si>
  <si>
    <t>Forward annual guided Y/Y non-GAAP gross profit margin improvement - low, bps</t>
  </si>
  <si>
    <t>Forward annual guided Y/Y non-GAAP gross profit margin improvement - high, bps</t>
  </si>
  <si>
    <t>Forward annual guided Y/Y non-GAAP gross profit margin improvement - midpoint, bps</t>
  </si>
  <si>
    <t>Y/Y guided non-GAAP gross profit growth, %</t>
  </si>
  <si>
    <t>Y/Y beat/(miss) non-GAAP gross profit growth, %</t>
  </si>
  <si>
    <t>Y/Y non-GAAP gross profit growth, %</t>
  </si>
  <si>
    <t>Q/Q guided non-GAAP gross profit growth, %</t>
  </si>
  <si>
    <t>Q/Q beat/(miss) non-GAAP gross profit growth, %</t>
  </si>
  <si>
    <t>Q/Q non-GAAP gross profit growth, %</t>
  </si>
  <si>
    <t>Forward quarterly guided Y/Y non-GAAP gross profit growth - low, %</t>
  </si>
  <si>
    <t>Forward quarterly guided Y/Y non-GAAP gross profit growth - high, %</t>
  </si>
  <si>
    <t>Forward quarterly guided Y/Y non-GAAP gross profit growth - midpoint, %</t>
  </si>
  <si>
    <t>Forward quarterly guided Q/Q non-GAAP gross profit growth - low, %</t>
  </si>
  <si>
    <t>Forward quarterly guided Q/Q non-GAAP gross profit growth - high, %</t>
  </si>
  <si>
    <t>Forward quarterly guided Q/Q non-GAAP gross profit growth - midpoint, %</t>
  </si>
  <si>
    <t>Forward annual guided Y/Y non-GAAP gross profit growth - low, %</t>
  </si>
  <si>
    <t>Forward annual guided Y/Y non-GAAP gross profit growth - high, %</t>
  </si>
  <si>
    <t>Forward annual guided Y/Y non-GAAP gross profit growth - midpoint, %</t>
  </si>
  <si>
    <t>Revenue - Guidance Analysis</t>
  </si>
  <si>
    <t>Revenue guidance - initial midpoint, mm</t>
  </si>
  <si>
    <t>Revenue guidance - update 1 midpoint, mm</t>
  </si>
  <si>
    <t>Revenue guidance - update 2 midpoint, mm</t>
  </si>
  <si>
    <t>Revenue guidance - update 3 midpoint, mm</t>
  </si>
  <si>
    <t>Revenue guidance - most recent midpoint, mm</t>
  </si>
  <si>
    <t>Revenue - reported/model estimate, mm</t>
  </si>
  <si>
    <t>Revenue beat/(miss) vs. most recent guidance - midpoint, mm</t>
  </si>
  <si>
    <t>Relative revenue beat/(miss) vs. most recent guidance - midpoint, %</t>
  </si>
  <si>
    <t>Forward quarterly revenue guidance - low, mm</t>
  </si>
  <si>
    <t>Forward quarterly revenue guidance - high, mm</t>
  </si>
  <si>
    <t>Forward quarterly revenue guidance - midpoint, mm</t>
  </si>
  <si>
    <t>Forward quarterly revenue guidance variance, mm</t>
  </si>
  <si>
    <t>Forward quarterly revenue guidance variance (+/-), %</t>
  </si>
  <si>
    <t>Forward annual revenue guidance - low, mm</t>
  </si>
  <si>
    <t>Forward annual revenue guidance - high, mm</t>
  </si>
  <si>
    <t>Forward annual revenue guidance - midpoint, mm</t>
  </si>
  <si>
    <t>Forward annual revenue guidance variance, mm</t>
  </si>
  <si>
    <t>Forward annual revenue guidance variance (+/-), %</t>
  </si>
  <si>
    <t>Y/Y guided revenue growth, %</t>
  </si>
  <si>
    <t>Y/Y beat/(miss) revenue growth, %</t>
  </si>
  <si>
    <t>Y/Y revenue growth, %</t>
  </si>
  <si>
    <t>Q/Q guided revenue growth, %</t>
  </si>
  <si>
    <t>Q/Q beat/(miss) revenue growth, %</t>
  </si>
  <si>
    <t>Q/Q revenue growth, %</t>
  </si>
  <si>
    <t>Y/Y Implied annual guidance revenue growth, %</t>
  </si>
  <si>
    <t>Y/Y annual guidance beat/(miss) revenue growth, %</t>
  </si>
  <si>
    <t>Y/Y annual revenue growth, %</t>
  </si>
  <si>
    <t>Forward quarterly guided Y/Y revenue growth - low, %</t>
  </si>
  <si>
    <t>Forward quarterly guided Y/Y revenue growth - high, %</t>
  </si>
  <si>
    <t>Forward quarterly guided Y/Y revenue growth - midpoint, %</t>
  </si>
  <si>
    <t>Forward quarterly guided Q/Q revenue growth - low, %</t>
  </si>
  <si>
    <t>Forward quarterly guided Q/Q revenue growth - high, %</t>
  </si>
  <si>
    <t>Forward quarterly guided Q/Q revenue growth - midpoint, %</t>
  </si>
  <si>
    <t>Forward annual guided Y/Y revenue growth - low, %</t>
  </si>
  <si>
    <t>Forward annual guided Y/Y revenue growth - high, %</t>
  </si>
  <si>
    <t>Forward annual guided Y/Y revenue growth - midpoint, %</t>
  </si>
  <si>
    <t>Quarterly revenue guidance beat/(miss), mm</t>
  </si>
  <si>
    <t>Increase/(decrease) in revenue outlook for ROY, mm</t>
  </si>
  <si>
    <t>Total FY revenue guidance raise/(lower), mm</t>
  </si>
  <si>
    <t>Sequential increase/(decrease) in forward FY revenue guidance, %</t>
  </si>
  <si>
    <t>Implied rest of year revenue at BoP, mm</t>
  </si>
  <si>
    <t>Implied rest of year revenue at EoP, mm</t>
  </si>
  <si>
    <t>Change in implied ROY revenue, %</t>
  </si>
  <si>
    <t>Non-GAAP Operating Expenses - Guidance Analysis</t>
  </si>
  <si>
    <t>Non-GAAP Operating Expenses guidance - update 1 midpoint, mm</t>
  </si>
  <si>
    <t>Non-GAAP Operating Expenses guidance - update 2 midpoint, mm</t>
  </si>
  <si>
    <t>Non-GAAP Operating Expenses guidance - update 3 midpoint, mm</t>
  </si>
  <si>
    <t>Non-GAAP Operating Expenses guidance - most recent midpoint, mm</t>
  </si>
  <si>
    <t>Non-GAAP Operating Expenses - reported/model estimate, mm</t>
  </si>
  <si>
    <t>Non-GAAP Operating Expenses beat/(miss) vs. most recent guidance - midpoint, mm</t>
  </si>
  <si>
    <t>Relative Non-GAAP Operating Expenses beat/(miss) vs. most recent guidance - midpoint, %</t>
  </si>
  <si>
    <t>Forward quarterly Non-GAAP Operating Expenses guidance - low, mm</t>
  </si>
  <si>
    <t>Forward quarterly Non-GAAP Operating Expenses guidance - high, mm</t>
  </si>
  <si>
    <t>Forward quarterly Non-GAAP Operating Expenses guidance - midpoint, mm</t>
  </si>
  <si>
    <t>Forward quarterly Non-GAAP Operating Expenses guidance variance, mm</t>
  </si>
  <si>
    <t>Forward quarterly Non-GAAP Operating Expenses guidance variance (+/-), %</t>
  </si>
  <si>
    <t>Forward annual Non-GAAP Operating Expenses guidance - low, mm</t>
  </si>
  <si>
    <t>Forward annual Non-GAAP Operating Expenses guidance - high, mm</t>
  </si>
  <si>
    <t>Forward annual Non-GAAP Operating Expenses guidance - midpoint, mm</t>
  </si>
  <si>
    <t>Forward annual Non-GAAP Operating Expenses guidance variance, mm</t>
  </si>
  <si>
    <t>Forward annual Non-GAAP Operating Expenses guidance variance (+/-), %</t>
  </si>
  <si>
    <t>Non-GAAP Operating Expenses guidance - initial midpoint, mm</t>
  </si>
  <si>
    <t>Capex guidance - initial midpoint, mm</t>
  </si>
  <si>
    <t>Capex guidance - update 1 midpoint, mm</t>
  </si>
  <si>
    <t>Capex guidance - update 2 midpoint, mm</t>
  </si>
  <si>
    <t>Capex guidance - update 3 midpoint, mm</t>
  </si>
  <si>
    <t>Capex guidance - most recent midpoint, mm</t>
  </si>
  <si>
    <t>Capex - reported/model estimate, mm</t>
  </si>
  <si>
    <t>Capex beat/(miss) vs. most recent guidance - midpoint, mm</t>
  </si>
  <si>
    <t>Relative Capex beat/(miss) vs. most recent guidance - midpoint, %</t>
  </si>
  <si>
    <t>Forward quarterly Capex guidance - low, mm</t>
  </si>
  <si>
    <t>Forward quarterly Capex guidance - high, mm</t>
  </si>
  <si>
    <t>Forward quarterly Capex guidance - midpoint, mm</t>
  </si>
  <si>
    <t>Forward quarterly Capex guidance variance, mm</t>
  </si>
  <si>
    <t>Forward quarterly Capex guidance variance (+/-), %</t>
  </si>
  <si>
    <t>Forward annual Capex guidance - low, mm</t>
  </si>
  <si>
    <t>Forward annual Capex guidance - high, mm</t>
  </si>
  <si>
    <t>Forward annual Capex guidance - midpoint, mm</t>
  </si>
  <si>
    <t>Forward annual Capex guidance variance, mm</t>
  </si>
  <si>
    <t>Forward annual Capex guidance variance (+/-), %</t>
  </si>
  <si>
    <t>Capex - Guidance Analysis</t>
  </si>
  <si>
    <t>Days sales outstanding (DSO), # of days</t>
  </si>
  <si>
    <t>Key Metrics - Days Sales Outstanding (CFO Commentary)</t>
  </si>
  <si>
    <t>Inventories, % of LTM COGS</t>
  </si>
  <si>
    <t>Accounts payable, % of LTM COGS</t>
  </si>
  <si>
    <t>Days sales in inventory (DSI), # of days</t>
  </si>
  <si>
    <t>Key Metrics - Total Addressable Market (IP)</t>
  </si>
  <si>
    <t>Total long term TAM, bn</t>
  </si>
  <si>
    <t>Company1953 AI enterprise &amp; Product0120 Cloud TAM, bn</t>
  </si>
  <si>
    <t>Autonomous machines TAM, bn</t>
  </si>
  <si>
    <t>Data center systems TAM, bn</t>
  </si>
  <si>
    <t>Gaming TAM, bn</t>
  </si>
  <si>
    <t>Product0274 enterprise TAM, bn</t>
  </si>
  <si>
    <t>Key Metrics - Customer Concentration (FS)</t>
  </si>
  <si>
    <t>Sales to largest customer as a % of total sales, %</t>
  </si>
  <si>
    <t>Sales to second largest customer as a % of total sales, %</t>
  </si>
  <si>
    <t>Q1-2025</t>
  </si>
  <si>
    <t>Guidance - Non-GAAP Gross Margin, %</t>
  </si>
  <si>
    <t>Guidance - Total Revenue, mm</t>
  </si>
  <si>
    <t>Non-gaap Operating income actual, bn</t>
  </si>
  <si>
    <t>Non-gaap operating income (Base Operating Plan) goal, bn</t>
  </si>
  <si>
    <t>Revenue actual, bn</t>
  </si>
  <si>
    <t>Revenue (Base Operating Plan) goal, bn</t>
  </si>
  <si>
    <t>Company Financial Goals</t>
  </si>
  <si>
    <t>Other Alignment Data Points</t>
  </si>
  <si>
    <t>Market Cap - EoP, mm</t>
  </si>
  <si>
    <t>Total director compensation, 000s</t>
  </si>
  <si>
    <t>Total director stock award comp, 000s</t>
  </si>
  <si>
    <t>Director 13 stock award comp, 000s</t>
  </si>
  <si>
    <t>Director 12 stock award comp, 000s</t>
  </si>
  <si>
    <t>Director 11 stock award comp, 000s</t>
  </si>
  <si>
    <t>Director 10 stock award comp, 000s</t>
  </si>
  <si>
    <t>Director 9 stock award comp, 000s</t>
  </si>
  <si>
    <t>Director 8 stock award comp, 000s</t>
  </si>
  <si>
    <t>Director 7 stock award comp, 000s</t>
  </si>
  <si>
    <t>Director 6 stock award comp, 000s</t>
  </si>
  <si>
    <t>Director 5 stock award comp, 000s</t>
  </si>
  <si>
    <t>Director 4 stock award comp, 000s</t>
  </si>
  <si>
    <t>Director 3 stock award comp, 000s</t>
  </si>
  <si>
    <t>Director 2 stock award comp, 000s</t>
  </si>
  <si>
    <t>Director 1 stock award comp, 000s</t>
  </si>
  <si>
    <t>Total director cash comp, 000s</t>
  </si>
  <si>
    <t>Director 13 cash comp, 000s</t>
  </si>
  <si>
    <t>Director 12 cash comp, 000s</t>
  </si>
  <si>
    <t>Director 11 cash comp, 000s</t>
  </si>
  <si>
    <t>Director 10 cash comp, 000s</t>
  </si>
  <si>
    <t>Director 9 cash comp, 000s</t>
  </si>
  <si>
    <t>Director 8 cash comp, 000s</t>
  </si>
  <si>
    <t>Director 7 cash comp, 000s</t>
  </si>
  <si>
    <t>Director 6 cash comp, 000s</t>
  </si>
  <si>
    <t>Director 5 cash comp, 000s</t>
  </si>
  <si>
    <t>Director 4 cash comp, 000s</t>
  </si>
  <si>
    <t>Director 3 cash comp, 000s</t>
  </si>
  <si>
    <t>Director 2 cash comp, 000s</t>
  </si>
  <si>
    <t>Director 1 cash comp, 000s</t>
  </si>
  <si>
    <t>Director Compensation</t>
  </si>
  <si>
    <t>Total # of independent director nominees</t>
  </si>
  <si>
    <t>Total # of director nominees</t>
  </si>
  <si>
    <t>Total # of racially/ethnically diverse current directors</t>
  </si>
  <si>
    <t>Total # of female current directors</t>
  </si>
  <si>
    <t>Total # of independent current directors</t>
  </si>
  <si>
    <t>Total # of current directors</t>
  </si>
  <si>
    <t>Board Diversity</t>
  </si>
  <si>
    <t>CFO - EoP shares beneficially owned, 000s</t>
  </si>
  <si>
    <t>CFO - EoP Shares Issuable Within 60 days, 000s</t>
  </si>
  <si>
    <t>CFO - EoP shares owned, 000s</t>
  </si>
  <si>
    <t>CFO - comp tied to equity, %</t>
  </si>
  <si>
    <t>CFO - Total Comp, 000s</t>
  </si>
  <si>
    <t>CFO - All other compensation, 000s</t>
  </si>
  <si>
    <t>CFO - Non-equity incentive plans, 000s</t>
  </si>
  <si>
    <t>CFO - Stock Awards, 000s</t>
  </si>
  <si>
    <t>CFO - Base Pay, 000s</t>
  </si>
  <si>
    <t>CEO - EoP shares beneficially owned, 000s</t>
  </si>
  <si>
    <t>CEO - EoP Shares Issuable Within 60 days, 000s</t>
  </si>
  <si>
    <t>CEO - EoP shares owned, 000s</t>
  </si>
  <si>
    <t>CEO - Options 09/17/2023 exercise price, $</t>
  </si>
  <si>
    <t>CEO - Options 09/17/2023 # of unexercised excercisable options, 000s</t>
  </si>
  <si>
    <t>CEO - Options 03/19/2023 exercise price, $</t>
  </si>
  <si>
    <t>CEO - Options 03/19/2023 # of unexercised exercisable options, 000s</t>
  </si>
  <si>
    <t>CEO - Options 09/18/2022 exercise price, $</t>
  </si>
  <si>
    <t>CEO - Options 09/18/2022 # of unexercised exercisable options, 000s</t>
  </si>
  <si>
    <t>CEO - Options 03/20/2022 exercise price, $</t>
  </si>
  <si>
    <t>CEO - Options 03/20/2022 # of unexercised exercisable options, 000s</t>
  </si>
  <si>
    <t>CEO - Options 09/20/2021 exercise price, $</t>
  </si>
  <si>
    <t>CEO - Options 09/20/2021 # of unexercised exercisable options, 000s</t>
  </si>
  <si>
    <t>CEO - Options 03/17/2021 exercise price, $</t>
  </si>
  <si>
    <t>CEO - Options 03/17/2021 # of unexercised exercisable options, 000s</t>
  </si>
  <si>
    <t>CEO - Options 09/14/2020 exercise price, $</t>
  </si>
  <si>
    <t>CEO - Options 09/14/2020 # of unexercised exercisable options, 000s</t>
  </si>
  <si>
    <t>CEO - comp tied to equity, %</t>
  </si>
  <si>
    <t>CEO - Total Comp, 000s</t>
  </si>
  <si>
    <t>CEO - All other compensation, 000s</t>
  </si>
  <si>
    <t>CEO - Non-equity incentive plans, 000s</t>
  </si>
  <si>
    <t>CEO - Stock Awards, 000s</t>
  </si>
  <si>
    <t>CEO - Base Pay, 000s</t>
  </si>
  <si>
    <t>Executive Compensation</t>
  </si>
  <si>
    <t>CEO - Stock Ownership Guidelines times base salary, x</t>
  </si>
  <si>
    <t>NEO reporting to CEO - Stock Ownership Guidelines base salary, x</t>
  </si>
  <si>
    <t>Directors - Stock Owneshership Guidelines base salary, x</t>
  </si>
  <si>
    <t>Director 1 all other comp, 000s</t>
  </si>
  <si>
    <t>Director 2 all other comp, 000s</t>
  </si>
  <si>
    <t>Director 3 all other comp, 000s</t>
  </si>
  <si>
    <t>Director 4 all other comp, 000s</t>
  </si>
  <si>
    <t>Director 5 all other comp, 000s</t>
  </si>
  <si>
    <t>Director 6 all other comp, 000s</t>
  </si>
  <si>
    <t>Director 7 all other comp, 000s</t>
  </si>
  <si>
    <t>Director 8 all other comp, 000s</t>
  </si>
  <si>
    <t>Director 9 all other comp, 000s</t>
  </si>
  <si>
    <t>Director 10 all other comp, 000s</t>
  </si>
  <si>
    <t>Director 11 all other comp, 000s</t>
  </si>
  <si>
    <t>Director 12 all other comp, 000s</t>
  </si>
  <si>
    <t>Director 13 all other comp, 000s</t>
  </si>
  <si>
    <t>Total director all other comp, 000s</t>
  </si>
  <si>
    <t>Revenue variable cash plan payout, %</t>
  </si>
  <si>
    <t>Operating income PSU payout of CEO, %</t>
  </si>
  <si>
    <t>Operating income PSU payout other NEOs, %</t>
  </si>
  <si>
    <t>Operating PSU income payout, %</t>
  </si>
  <si>
    <t>Relative TSR Performance PSU payout of CEO, %</t>
  </si>
  <si>
    <t>Relative TSR Performance PSU payout of NEO, %</t>
  </si>
  <si>
    <t>Relative TSR Performance (Base Operating Plan) goal,  %</t>
  </si>
  <si>
    <t>Relative TSR Performance (percentile of S&amp;P 500) actual, %</t>
  </si>
  <si>
    <t>Number of share repurchased - month1, 000 shares</t>
  </si>
  <si>
    <t>Number of share repurchased - month2, 000 shares</t>
  </si>
  <si>
    <t>Number of share repurchased - month3, 000 shares</t>
  </si>
  <si>
    <t>Number of share repurchased, 000 shares</t>
  </si>
  <si>
    <t>Average price of share repurchased - month1, $/share</t>
  </si>
  <si>
    <t>Average price of share repurchased - month2, $/share</t>
  </si>
  <si>
    <t>Average price of share repurchased - month3, $/share</t>
  </si>
  <si>
    <t>Repurchase dollar value - month1, mm</t>
  </si>
  <si>
    <t>Repurchase dollar value - month2, mm</t>
  </si>
  <si>
    <t>Repurchase dollar value - month3, mm</t>
  </si>
  <si>
    <t>Repurchase dollar value, mm</t>
  </si>
  <si>
    <t>Addition of repurchase authorized - month1, mm</t>
  </si>
  <si>
    <t>Addition of repurchase authorized - month2, mm</t>
  </si>
  <si>
    <t>Addition of repurchase authorized - month3, mm</t>
  </si>
  <si>
    <t>Addition of repurchase authorized, mm</t>
  </si>
  <si>
    <t>Remaining dollar value under repurchase program - month1, mm</t>
  </si>
  <si>
    <t>Remaining dollar value under repurchase program - month2, mm</t>
  </si>
  <si>
    <t>Remaining dollar value under repurchase program - month3, mm</t>
  </si>
  <si>
    <t>Remaining dollar value under repurchase program, mm</t>
  </si>
  <si>
    <t>Average price of share repurchased (calculated), $/share</t>
  </si>
  <si>
    <t>Revenue (Base Operating Plan) goal, mm</t>
  </si>
  <si>
    <t>Non-gaap operating income (Base Operating Plan) goal, mm</t>
  </si>
  <si>
    <t>Non-GAAP EBITDA Margin, %</t>
  </si>
  <si>
    <t>Q2-2025</t>
  </si>
  <si>
    <t>FY2025</t>
  </si>
  <si>
    <t>AG</t>
  </si>
  <si>
    <t>Singapore Revenue, mm</t>
  </si>
  <si>
    <t>Singapore Revenue, %</t>
  </si>
  <si>
    <t>Company2747</t>
  </si>
  <si>
    <t>Q3-2025</t>
  </si>
  <si>
    <t>CZ</t>
  </si>
  <si>
    <t>Q4-2025</t>
  </si>
  <si>
    <t>Sales to third largest customer as a % of total sales, %</t>
  </si>
  <si>
    <t>Income tax receivable</t>
  </si>
  <si>
    <t>Proceeds from sales of non-marketable equity securities</t>
  </si>
  <si>
    <t>IP-related costs and assets held for sale related adjustments</t>
  </si>
  <si>
    <t>Q1-2026</t>
  </si>
  <si>
    <t>Compute revenue, mm</t>
  </si>
  <si>
    <t>Networking revenue, mm</t>
  </si>
  <si>
    <t>Q/Q Networking Revenue growth, %</t>
  </si>
  <si>
    <t>Y/Y Networking Revenue Growth, %</t>
  </si>
  <si>
    <t>Q/Q Compute Revenue growth, %</t>
  </si>
  <si>
    <t>Y/Y Compute Revenue Growth, %</t>
  </si>
  <si>
    <t>Product0075 Revenue, mm</t>
  </si>
  <si>
    <t>Key Metrics - Inventory Provisions (FS)</t>
  </si>
  <si>
    <t>Provisions for inventory related to COGS, mm</t>
  </si>
  <si>
    <t>Excess inventory purchase obligations related to COGS, mm</t>
  </si>
  <si>
    <t>Provisions for inventory and other related charges - COGS, mm</t>
  </si>
  <si>
    <t>Sales of inventory that was previously written-off or down and settlements of excess inventory purchase obligations, mm</t>
  </si>
  <si>
    <t>Q2-2026</t>
  </si>
  <si>
    <t>GAAP net cash provided by operating activities</t>
  </si>
  <si>
    <t>Purchases related to property and equipment and intangible assets</t>
  </si>
  <si>
    <t>Principal payments on property and equipment and intangible assets</t>
  </si>
  <si>
    <t>Free cash flow</t>
  </si>
  <si>
    <t>Change in Deferred Revenue Balance, mm</t>
  </si>
  <si>
    <t>Q3-2026</t>
  </si>
  <si>
    <t>Tax expense from OBBBA</t>
  </si>
  <si>
    <t>AN</t>
  </si>
  <si>
    <t>Sales to fourth largest customer as a % of total sales, %</t>
  </si>
  <si>
    <t>Q4-2026</t>
  </si>
  <si>
    <t>FY2026</t>
  </si>
  <si>
    <t>Q1-2027</t>
  </si>
  <si>
    <t>Interest income, mm</t>
  </si>
  <si>
    <t>Interest expense, mm</t>
  </si>
  <si>
    <t>Director 14 cash comp, 000s</t>
  </si>
  <si>
    <t>Director 14 stock award comp, 000s</t>
  </si>
  <si>
    <t>Director 14 all other comp, 000s</t>
  </si>
  <si>
    <t>MO_KPI_REV_Geo_Taiwan</t>
  </si>
  <si>
    <t>MO_KPI_REV_Geo_US</t>
  </si>
  <si>
    <t>MO_KPI_REV_Geo_China</t>
  </si>
  <si>
    <t>Q2-2027</t>
  </si>
  <si>
    <t>Hyperscale revenue, mm</t>
  </si>
  <si>
    <t>AI Clouds, Industrial, &amp; Enterprise revenue, mm</t>
  </si>
  <si>
    <t>Data Center revenue, mm</t>
  </si>
  <si>
    <t>Edge Computing, mm</t>
  </si>
  <si>
    <t>On August 26, 2024, the Board of Directors approved an additional $50.0 billion in share repurchase authorization, without expiration.
'On, May 21, 2021, The company announced a 4-for-1 stock split. The model was adjusted for the split on July 20, 2021'
'Starting with the first quarter of fiscal 2021, the company's reportable segments have changed to “Graphics” and “Compute &amp; Networking.” 
During the third quarter, Company1915 announced a definitive agreement to acquire Arm Limited from Company2574 Capital Limited and SVF Holdco (UK) Limited in a transaction valued at $40 billion. The transaction -- which is expected to be immediately accretive to Company1915’s non-GAAP gross margin and non-GAAP earnings per share -- is expected to close in the first quarter of calendar 2022.</t>
  </si>
  <si>
    <t>N/A</t>
  </si>
  <si>
    <t>(Invalid Identifier)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</si>
</sst>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_);_(* \(#,##0.0\);_(* &quot;-&quot;??_);_(@_)"/>
    <numFmt numFmtId="165" formatCode="_(&quot;$&quot;* #,##0_);_(&quot;$&quot;* \(#,##0\);_(&quot;$&quot;* &quot;-&quot;??_);_(@_)"/>
    <numFmt numFmtId="166" formatCode="_(* #,##0_);_(* \(#,##0\);_(* &quot;-&quot;??_);_(@_)"/>
    <numFmt numFmtId="167" formatCode="_(* 0.0%_);_(* \-0.0%_);_(* &quot;-&quot;??_);_(@_)"/>
    <numFmt numFmtId="168" formatCode="_(* #,##0.0_);_(* \(#,##0.0\);_(* &quot;-&quot;??_);@"/>
    <numFmt numFmtId="169" formatCode="_(&quot;$&quot;* 0.00_);_(&quot;$&quot;* \(0.00\);_(&quot;$&quot;* &quot;-&quot;??_);_(@_)"/>
    <numFmt numFmtId="170" formatCode="_(* 0.0\ \x_);\ _(* &quot;n/a&quot;_);_(* &quot;-&quot;??_);_(@_)"/>
    <numFmt numFmtId="171" formatCode=";;;"/>
    <numFmt numFmtId="172" formatCode="_(&quot;$&quot;* 0.000_);_(&quot;$&quot;* \(0.000\);_(&quot;$&quot;* &quot;-&quot;??_);_(@_)"/>
    <numFmt numFmtId="173" formatCode="_(&quot;$&quot;* #,##0.000_);_(&quot;$&quot;* \(#,##0.000\);_(&quot;$&quot;* &quot;-&quot;??_);_(@_)"/>
    <numFmt numFmtId="174" formatCode="_(* #,##0.0_);_(* \(#,##0.0\);_(* &quot;-&quot;??_);_(&quot;Bloomberg &gt;&gt; &quot;@_)"/>
    <numFmt numFmtId="175" formatCode="_(* #,##0.0_);_(* \(#,##0.0\);_(* &quot;-&quot;??_);_(&quot;Capital IQ &gt;&gt; &quot;@_)"/>
    <numFmt numFmtId="176" formatCode="_(* #,##0.0_);_(* \(#,##0.0\);_(* &quot;-&quot;??_);_(&quot;FactSet &gt;&gt; &quot;@_)"/>
    <numFmt numFmtId="177" formatCode="_(* #,##0.0_);_(* \(#,##0.0\);_(* &quot;-&quot;??_);_(&quot;Ticker :   &quot;@_)"/>
    <numFmt numFmtId="178" formatCode="_(&quot;$&quot;* 0.00_);_(&quot;$&quot;* \(0.00\);_(&quot;$&quot;* &quot;-&quot;??_);_(@\ * \ &quot;Toggle  &gt;&gt;&gt;&quot;_)"/>
    <numFmt numFmtId="179" formatCode="_(* #,##0.0_);_(* \(#,##0.0\);_(* &quot; -&quot;??_);_(&quot;Thomson &gt;&gt; &quot;@_)"/>
    <numFmt numFmtId="180" formatCode="_(* #,##0.0_);_(* \(#,##0.0\);_(* &quot;-&quot;??_);_(&quot;Model Sheet Currency :   &quot;@_)"/>
    <numFmt numFmtId="181" formatCode="_(* #,##0.0_);_(* \(#,##0.0\);_(* &quot;-&quot;??_);_(&quot;Source Security Identification #: &quot;@_)"/>
    <numFmt numFmtId="182" formatCode="_(* #,##0.0_);_(* \(#,##0.0\);_(* &quot;-&quot;??_);_(@\ * \ &quot;Toggle  &gt;&gt;&gt;&quot;_)"/>
    <numFmt numFmtId="183" formatCode="_(* 0.0%_);_(* &quot;NMF&quot;_);_(* &quot;-&quot;??_);_(@_)"/>
    <numFmt numFmtId="184" formatCode="_(* 0.0%_);_(* &quot;n/a&quot;_);_(* &quot;-&quot;??_);_(@_)"/>
    <numFmt numFmtId="185" formatCode="_(* #,##0.0_);_(* \(#,##0.0\);_(* &quot;-&quot;??_);_(&quot;Model Version #: &quot;@_)"/>
    <numFmt numFmtId="186" formatCode="_(* #,##0.0_);_(* \(#,##0.0\);_(* &quot; - &quot;??_);_(&quot;Last Price (&quot;@&quot;) &quot;_)"/>
    <numFmt numFmtId="187" formatCode="_(* #,##0.0_);_(* \(#,##0.0\);_(* &quot;-&quot;??_);_(&quot;Real-Time Stock Price :   &quot;@_)"/>
    <numFmt numFmtId="188" formatCode="_(&quot;$&quot;* 0.00_);_(&quot;$&quot;* \(0.00\);_(&quot;$&quot;* &quot; - &quot;??_);_(@_)"/>
    <numFmt numFmtId="189" formatCode="0.0%"/>
    <numFmt numFmtId="190" formatCode="_(* #,##0.000_);_(* \(#,##0.000\);_(* &quot;-&quot;??_);_(@_)"/>
    <numFmt numFmtId="191" formatCode="&quot;Most Recent Period:&quot;"/>
    <numFmt numFmtId="192" formatCode="_(* #,##0.0_);_(* \(#,##0.0\);_(* &quot; -&quot;??_);_(&quot;Refinitiv &gt;&gt; &quot;@_)"/>
    <numFmt numFmtId="193" formatCode="yyyy\-mm\-dd"/>
    <numFmt numFmtId="194" formatCode="m\-d\-yy"/>
    <numFmt numFmtId="195" formatCode="_(\$* 0.00_);_(\$* \(0.00\);_(\$* &quot; - &quot;??_);_(@_)"/>
    <numFmt numFmtId="196" formatCode="_(* 0.00\ \x_);\ _(* &quot;n/a&quot;_);_(* &quot;-&quot;??_);_(@_)"/>
    <numFmt numFmtId="197" formatCode="_(* 0%_);_(* \-0%_);_(* &quot;-&quot;??_);_(@_)"/>
    <numFmt numFmtId="198" formatCode="m/d/yy"/>
    <numFmt numFmtId="199" formatCode="m/d/yy;@"/>
    <numFmt numFmtId="200" formatCode="_(&quot;$&quot;* #,##0.00_);_(&quot;$&quot;* \(#,##0.00\);_(&quot;$&quot;* &quot; - &quot;??_);_(@_)"/>
    <numFmt numFmtId="201" formatCode=";;"/>
    <numFmt numFmtId="202" formatCode="_(* #,##0.0_);_(* \(#,##0.0\);_(* &quot;-&quot;??_);_(&quot;Tegus Ticker &gt;&gt; &quot;@_)"/>
  </numFmts>
  <fonts count="65" x14ac:knownFonts="1">
    <font>
      <sz val="11"/>
      <name val="Calibri"/>
      <family val="2"/>
    </font>
    <font>
      <sz val="10"/>
      <color theme="1"/>
      <name val="Arial"/>
      <family val="2"/>
    </font>
    <font>
      <sz val="11"/>
      <color theme="1"/>
      <name val="Calibri"/>
      <family val="2"/>
      <scheme val="minor"/>
    </font>
    <font>
      <b/>
      <sz val="11"/>
      <color theme="1"/>
      <name val="Calibri"/>
      <family val="2"/>
      <scheme val="minor"/>
    </font>
    <font>
      <u/>
      <sz val="11"/>
      <color theme="10"/>
      <name val="Calibri"/>
      <family val="2"/>
      <scheme val="minor"/>
    </font>
    <font>
      <b/>
      <sz val="11"/>
      <name val="Calibri"/>
      <family val="2"/>
      <scheme val="minor"/>
    </font>
    <font>
      <b/>
      <sz val="11"/>
      <name val="Calibri"/>
      <family val="2"/>
    </font>
    <font>
      <b/>
      <sz val="11"/>
      <color theme="0"/>
      <name val="Calibri"/>
      <family val="2"/>
    </font>
    <font>
      <sz val="11"/>
      <name val="Calibri"/>
      <family val="2"/>
      <scheme val="minor"/>
    </font>
    <font>
      <sz val="11"/>
      <color rgb="FFFF0000"/>
      <name val="Calibri"/>
      <family val="2"/>
    </font>
    <font>
      <b/>
      <i/>
      <sz val="11"/>
      <name val="Calibri"/>
      <family val="2"/>
    </font>
    <font>
      <sz val="22"/>
      <color theme="1"/>
      <name val="Calibri"/>
      <family val="2"/>
      <scheme val="minor"/>
    </font>
    <font>
      <u/>
      <sz val="11"/>
      <color theme="10"/>
      <name val="Calibri"/>
      <family val="2"/>
    </font>
    <font>
      <sz val="14"/>
      <color theme="1"/>
      <name val="Calibri"/>
      <family val="2"/>
      <scheme val="minor"/>
    </font>
    <font>
      <b/>
      <sz val="11"/>
      <color rgb="FFFF0000"/>
      <name val="Calibri"/>
      <family val="2"/>
    </font>
    <font>
      <sz val="11"/>
      <color rgb="FF006100"/>
      <name val="Calibri"/>
      <family val="2"/>
      <scheme val="minor"/>
    </font>
    <font>
      <sz val="10"/>
      <color theme="1"/>
      <name val="Calibri"/>
      <family val="2"/>
      <scheme val="minor"/>
    </font>
    <font>
      <b/>
      <sz val="10"/>
      <color theme="1"/>
      <name val="Calibri"/>
      <family val="2"/>
      <scheme val="minor"/>
    </font>
    <font>
      <b/>
      <sz val="14"/>
      <color theme="1"/>
      <name val="Calibri"/>
      <family val="2"/>
      <scheme val="minor"/>
    </font>
    <font>
      <sz val="14"/>
      <name val="Calibri"/>
      <family val="2"/>
      <scheme val="minor"/>
    </font>
    <font>
      <i/>
      <sz val="11"/>
      <name val="Calibri"/>
      <family val="2"/>
    </font>
    <font>
      <i/>
      <sz val="11"/>
      <name val="Calibri"/>
      <family val="2"/>
      <scheme val="minor"/>
    </font>
    <font>
      <u/>
      <sz val="22"/>
      <color theme="10"/>
      <name val="Calibri"/>
      <family val="2"/>
      <scheme val="minor"/>
    </font>
    <font>
      <sz val="11"/>
      <color rgb="FF000000"/>
      <name val="Calibri"/>
      <family val="2"/>
      <scheme val="minor"/>
    </font>
    <font>
      <b/>
      <sz val="11"/>
      <color rgb="FFFF0000"/>
      <name val="Calibri"/>
      <family val="2"/>
      <scheme val="minor"/>
    </font>
    <font>
      <b/>
      <sz val="11"/>
      <color rgb="FFFFFFFF"/>
      <name val="Calibri"/>
      <family val="2"/>
    </font>
    <font>
      <b/>
      <sz val="11"/>
      <color rgb="FF000000"/>
      <name val="Calibri"/>
      <family val="2"/>
    </font>
    <font>
      <b/>
      <sz val="11"/>
      <color rgb="FF000000"/>
      <name val="Calibri"/>
      <family val="2"/>
      <scheme val="minor"/>
    </font>
    <font>
      <sz val="11"/>
      <color rgb="FF000000"/>
      <name val="Calibri"/>
      <family val="2"/>
    </font>
    <font>
      <i/>
      <sz val="11"/>
      <color rgb="FF000000"/>
      <name val="Calibri"/>
      <family val="2"/>
    </font>
    <font>
      <i/>
      <sz val="11"/>
      <color rgb="FF000000"/>
      <name val="Calibri"/>
      <family val="2"/>
      <scheme val="minor"/>
    </font>
    <font>
      <sz val="10"/>
      <color theme="0"/>
      <name val="Calibri"/>
      <family val="2"/>
      <scheme val="minor"/>
    </font>
    <font>
      <b/>
      <sz val="11"/>
      <color rgb="FFFFFFFF"/>
      <name val="Calibri"/>
      <family val="2"/>
      <scheme val="minor"/>
    </font>
    <font>
      <b/>
      <i/>
      <sz val="11"/>
      <color rgb="FF000000"/>
      <name val="Calibri"/>
      <family val="2"/>
    </font>
    <font>
      <b/>
      <i/>
      <sz val="11"/>
      <color rgb="FF000000"/>
      <name val="Calibri"/>
      <family val="2"/>
      <scheme val="minor"/>
    </font>
    <font>
      <sz val="11"/>
      <color rgb="FFFFFFFF"/>
      <name val="Calibri"/>
      <family val="2"/>
    </font>
    <font>
      <sz val="11"/>
      <color rgb="FFFF0000"/>
      <name val="Calibri"/>
      <family val="2"/>
      <scheme val="minor"/>
    </font>
    <font>
      <sz val="11"/>
      <color theme="0" tint="-3.6286507766960664E-2"/>
      <name val="Calibri"/>
      <family val="2"/>
    </font>
    <font>
      <sz val="11"/>
      <color rgb="FFF2F2F2"/>
      <name val="Calibri"/>
      <family val="2"/>
    </font>
    <font>
      <u/>
      <sz val="22"/>
      <color rgb="FF000000"/>
      <name val="Calibri"/>
      <family val="2"/>
      <scheme val="minor"/>
    </font>
    <font>
      <u/>
      <sz val="11"/>
      <color rgb="FF000000"/>
      <name val="Calibri"/>
      <family val="2"/>
      <scheme val="minor"/>
    </font>
    <font>
      <u/>
      <sz val="11"/>
      <color rgb="FF0000FF"/>
      <name val="Calibri"/>
      <family val="2"/>
      <scheme val="minor"/>
    </font>
    <font>
      <u/>
      <sz val="14"/>
      <color rgb="FF0000FF"/>
      <name val="Calibri"/>
      <family val="2"/>
      <scheme val="minor"/>
    </font>
    <font>
      <b/>
      <i/>
      <sz val="11"/>
      <color rgb="FFFF0000"/>
      <name val="Calibri"/>
      <family val="2"/>
    </font>
    <font>
      <b/>
      <sz val="9"/>
      <name val="Tahoma"/>
      <family val="2"/>
    </font>
    <font>
      <sz val="9"/>
      <name val="Tahoma"/>
      <family val="2"/>
    </font>
    <font>
      <sz val="11"/>
      <color theme="1" tint="4.9989318521683403E-2"/>
      <name val="Calibri"/>
      <family val="2"/>
    </font>
    <font>
      <sz val="7"/>
      <color rgb="FF000000"/>
      <name val="Calibri"/>
      <family val="2"/>
      <scheme val="minor"/>
    </font>
    <font>
      <b/>
      <sz val="7"/>
      <color rgb="FF000000"/>
      <name val="Calibri"/>
      <family val="2"/>
      <scheme val="minor"/>
    </font>
    <font>
      <b/>
      <i/>
      <sz val="11"/>
      <color rgb="FFFFFFFF"/>
      <name val="Calibri"/>
      <family val="2"/>
    </font>
    <font>
      <u/>
      <sz val="26"/>
      <color theme="10"/>
      <name val="Calibri"/>
      <family val="2"/>
      <scheme val="minor"/>
    </font>
    <font>
      <b/>
      <sz val="14"/>
      <color rgb="FFD04B35"/>
      <name val="Calibri"/>
      <family val="2"/>
      <scheme val="minor"/>
    </font>
    <font>
      <u/>
      <sz val="11"/>
      <color rgb="FF000000"/>
      <name val="Calibri"/>
      <family val="2"/>
    </font>
    <font>
      <u/>
      <sz val="22"/>
      <color theme="1"/>
      <name val="Calibri"/>
      <family val="2"/>
      <scheme val="minor"/>
    </font>
    <font>
      <u/>
      <sz val="14"/>
      <color theme="10"/>
      <name val="Calibri"/>
      <family val="2"/>
      <scheme val="minor"/>
    </font>
    <font>
      <sz val="11"/>
      <color rgb="FF0000FC"/>
      <name val="Calibri"/>
      <family val="2"/>
    </font>
    <font>
      <sz val="11"/>
      <color rgb="FF009900"/>
      <name val="Calibri"/>
      <family val="2"/>
    </font>
    <font>
      <b/>
      <sz val="11"/>
      <color rgb="FF009900"/>
      <name val="Calibri"/>
      <family val="2"/>
    </font>
    <font>
      <b/>
      <i/>
      <sz val="11"/>
      <color rgb="FF0000FC"/>
      <name val="Calibri"/>
      <family val="2"/>
    </font>
    <font>
      <b/>
      <sz val="11"/>
      <color rgb="FF0000FC"/>
      <name val="Calibri"/>
      <family val="2"/>
    </font>
    <font>
      <i/>
      <sz val="11"/>
      <color rgb="FF0000FC"/>
      <name val="Calibri"/>
      <family val="2"/>
    </font>
    <font>
      <sz val="11"/>
      <color rgb="FF0000FC"/>
      <name val="Calibri"/>
      <family val="2"/>
      <scheme val="minor"/>
    </font>
    <font>
      <sz val="11"/>
      <name val="Calibri"/>
      <family val="2"/>
    </font>
    <font>
      <b/>
      <sz val="9"/>
      <name val="Tahoma"/>
      <family val="2"/>
      <charset val="1"/>
    </font>
    <font>
      <sz val="9"/>
      <name val="Tahoma"/>
      <family val="2"/>
      <charset val="1"/>
    </font>
  </fonts>
  <fills count="9">
    <fill>
      <patternFill patternType="none"/>
    </fill>
    <fill>
      <patternFill patternType="gray125"/>
    </fill>
    <fill>
      <patternFill patternType="solid">
        <fgColor rgb="FFC6EFCE"/>
        <bgColor indexed="64"/>
      </patternFill>
    </fill>
    <fill>
      <patternFill patternType="solid">
        <fgColor rgb="FFFFFFFF"/>
        <bgColor indexed="64"/>
      </patternFill>
    </fill>
    <fill>
      <patternFill patternType="solid">
        <fgColor rgb="FF89E0FF"/>
        <bgColor indexed="64"/>
      </patternFill>
    </fill>
    <fill>
      <patternFill patternType="solid">
        <fgColor rgb="FF000000"/>
        <bgColor indexed="64"/>
      </patternFill>
    </fill>
    <fill>
      <patternFill patternType="solid">
        <fgColor rgb="FFF2F2F2"/>
        <bgColor indexed="64"/>
      </patternFill>
    </fill>
    <fill>
      <patternFill patternType="solid">
        <fgColor rgb="FFD0F9F2"/>
        <bgColor indexed="64"/>
      </patternFill>
    </fill>
    <fill>
      <patternFill patternType="solid">
        <fgColor rgb="FFECEDF0"/>
        <bgColor indexed="64"/>
      </patternFill>
    </fill>
  </fills>
  <borders count="41">
    <border>
      <left/>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thin">
        <color auto="1"/>
      </top>
      <bottom style="thin">
        <color auto="1"/>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ck">
        <color rgb="FF000000"/>
      </right>
      <top/>
      <bottom/>
      <diagonal/>
    </border>
    <border>
      <left/>
      <right style="thick">
        <color rgb="FF000000"/>
      </right>
      <top style="thin">
        <color auto="1"/>
      </top>
      <bottom/>
      <diagonal/>
    </border>
    <border>
      <left/>
      <right style="thick">
        <color rgb="FF000000"/>
      </right>
      <top/>
      <bottom style="thin">
        <color auto="1"/>
      </bottom>
      <diagonal/>
    </border>
    <border>
      <left/>
      <right style="thick">
        <color rgb="FF000000"/>
      </right>
      <top style="thin">
        <color auto="1"/>
      </top>
      <bottom style="thin">
        <color auto="1"/>
      </bottom>
      <diagonal/>
    </border>
    <border>
      <left/>
      <right style="thick">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ck">
        <color auto="1"/>
      </right>
      <top style="thin">
        <color rgb="FF000000"/>
      </top>
      <bottom/>
      <diagonal/>
    </border>
    <border>
      <left/>
      <right style="thick">
        <color auto="1"/>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auto="1"/>
      </bottom>
      <diagonal/>
    </border>
    <border>
      <left/>
      <right style="thick">
        <color auto="1"/>
      </right>
      <top/>
      <bottom style="thin">
        <color auto="1"/>
      </bottom>
      <diagonal/>
    </border>
    <border>
      <left/>
      <right style="thin">
        <color rgb="FF000000"/>
      </right>
      <top/>
      <bottom style="thin">
        <color auto="1"/>
      </bottom>
      <diagonal/>
    </border>
    <border>
      <left/>
      <right style="thick">
        <color auto="1"/>
      </right>
      <top style="thin">
        <color auto="1"/>
      </top>
      <bottom/>
      <diagonal/>
    </border>
    <border>
      <left style="thin">
        <color auto="1"/>
      </left>
      <right style="thin">
        <color auto="1"/>
      </right>
      <top style="thin">
        <color auto="1"/>
      </top>
      <bottom style="thin">
        <color auto="1"/>
      </bottom>
      <diagonal/>
    </border>
    <border>
      <left style="thin">
        <color rgb="FF000000"/>
      </left>
      <right style="thin">
        <color auto="1"/>
      </right>
      <top/>
      <bottom style="thin">
        <color rgb="FF000000"/>
      </bottom>
      <diagonal/>
    </border>
    <border>
      <left style="thin">
        <color auto="1"/>
      </left>
      <right style="thin">
        <color auto="1"/>
      </right>
      <top/>
      <bottom style="thin">
        <color rgb="FF000000"/>
      </bottom>
      <diagonal/>
    </border>
    <border>
      <left style="thin">
        <color auto="1"/>
      </left>
      <right style="thin">
        <color rgb="FF000000"/>
      </right>
      <top/>
      <bottom style="thin">
        <color rgb="FF000000"/>
      </bottom>
      <diagonal/>
    </border>
    <border>
      <left/>
      <right style="thick">
        <color auto="1"/>
      </right>
      <top style="thin">
        <color auto="1"/>
      </top>
      <bottom style="thin">
        <color auto="1"/>
      </bottom>
      <diagonal/>
    </border>
  </borders>
  <cellStyleXfs count="18">
    <xf numFmtId="0" fontId="0" fillId="0" borderId="0"/>
    <xf numFmtId="9" fontId="62" fillId="0" borderId="0"/>
    <xf numFmtId="44" fontId="62" fillId="0" borderId="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4" fontId="2" fillId="0" borderId="0"/>
    <xf numFmtId="44" fontId="62" fillId="0" borderId="0"/>
    <xf numFmtId="0" fontId="15" fillId="2" borderId="0"/>
    <xf numFmtId="0" fontId="4" fillId="0" borderId="0"/>
    <xf numFmtId="0" fontId="12" fillId="0" borderId="0">
      <alignment vertical="top"/>
      <protection locked="0"/>
    </xf>
    <xf numFmtId="0" fontId="2" fillId="0" borderId="0"/>
    <xf numFmtId="0" fontId="2" fillId="0" borderId="0"/>
    <xf numFmtId="0" fontId="62" fillId="0" borderId="0"/>
    <xf numFmtId="9" fontId="2" fillId="0" borderId="0"/>
    <xf numFmtId="0" fontId="2" fillId="0" borderId="0"/>
    <xf numFmtId="0" fontId="2" fillId="0" borderId="0"/>
    <xf numFmtId="44" fontId="28" fillId="0" borderId="0"/>
  </cellStyleXfs>
  <cellXfs count="1295">
    <xf numFmtId="0" fontId="0" fillId="0" borderId="0" xfId="0"/>
    <xf numFmtId="0" fontId="16" fillId="3" borderId="0" xfId="12" applyFont="1" applyFill="1"/>
    <xf numFmtId="0" fontId="2" fillId="0" borderId="0" xfId="12"/>
    <xf numFmtId="0" fontId="2" fillId="3" borderId="0" xfId="12" applyFill="1"/>
    <xf numFmtId="164" fontId="6" fillId="4" borderId="0" xfId="0" applyNumberFormat="1" applyFont="1" applyFill="1"/>
    <xf numFmtId="164" fontId="0" fillId="0" borderId="0" xfId="0" applyNumberFormat="1"/>
    <xf numFmtId="167" fontId="6" fillId="4" borderId="0" xfId="0" applyNumberFormat="1" applyFont="1" applyFill="1" applyAlignment="1">
      <alignment horizontal="right"/>
    </xf>
    <xf numFmtId="167" fontId="9" fillId="4" borderId="0" xfId="0" applyNumberFormat="1" applyFont="1" applyFill="1" applyAlignment="1">
      <alignment horizontal="right"/>
    </xf>
    <xf numFmtId="164" fontId="14" fillId="4" borderId="0" xfId="0" applyNumberFormat="1" applyFont="1" applyFill="1"/>
    <xf numFmtId="164" fontId="6" fillId="0" borderId="0" xfId="0" applyNumberFormat="1" applyFont="1"/>
    <xf numFmtId="170" fontId="6" fillId="4" borderId="0" xfId="0" applyNumberFormat="1" applyFont="1" applyFill="1" applyAlignment="1">
      <alignment horizontal="right"/>
    </xf>
    <xf numFmtId="170" fontId="0" fillId="4" borderId="0" xfId="0" applyNumberFormat="1" applyFill="1" applyAlignment="1">
      <alignment horizontal="right"/>
    </xf>
    <xf numFmtId="164" fontId="20" fillId="4" borderId="0" xfId="0" applyNumberFormat="1" applyFont="1" applyFill="1"/>
    <xf numFmtId="167" fontId="14" fillId="4" borderId="0" xfId="0" applyNumberFormat="1" applyFont="1" applyFill="1" applyAlignment="1">
      <alignment horizontal="right"/>
    </xf>
    <xf numFmtId="172" fontId="9" fillId="4" borderId="0" xfId="0" applyNumberFormat="1" applyFont="1" applyFill="1"/>
    <xf numFmtId="164" fontId="6" fillId="0" borderId="0" xfId="0" applyNumberFormat="1" applyFont="1" applyAlignment="1">
      <alignment horizontal="center"/>
    </xf>
    <xf numFmtId="167" fontId="6" fillId="0" borderId="0" xfId="0" applyNumberFormat="1" applyFont="1"/>
    <xf numFmtId="164" fontId="20" fillId="0" borderId="0" xfId="0" applyNumberFormat="1" applyFont="1"/>
    <xf numFmtId="169" fontId="6" fillId="0" borderId="0" xfId="0" applyNumberFormat="1" applyFont="1"/>
    <xf numFmtId="170" fontId="6" fillId="0" borderId="0" xfId="0" applyNumberFormat="1" applyFont="1"/>
    <xf numFmtId="167" fontId="6" fillId="4" borderId="7" xfId="0" applyNumberFormat="1" applyFont="1" applyFill="1" applyBorder="1" applyAlignment="1">
      <alignment horizontal="right"/>
    </xf>
    <xf numFmtId="167" fontId="6" fillId="3" borderId="7" xfId="0" applyNumberFormat="1" applyFont="1" applyFill="1" applyBorder="1" applyAlignment="1">
      <alignment horizontal="right"/>
    </xf>
    <xf numFmtId="164" fontId="6" fillId="3" borderId="0" xfId="0" applyNumberFormat="1" applyFont="1" applyFill="1"/>
    <xf numFmtId="167" fontId="6" fillId="3" borderId="0" xfId="0" applyNumberFormat="1" applyFont="1" applyFill="1" applyAlignment="1">
      <alignment horizontal="right"/>
    </xf>
    <xf numFmtId="164" fontId="20" fillId="3" borderId="0" xfId="0" applyNumberFormat="1" applyFont="1" applyFill="1"/>
    <xf numFmtId="167" fontId="6" fillId="3" borderId="0" xfId="0" applyNumberFormat="1" applyFont="1" applyFill="1"/>
    <xf numFmtId="167" fontId="14" fillId="3" borderId="0" xfId="0" applyNumberFormat="1" applyFont="1" applyFill="1" applyAlignment="1">
      <alignment horizontal="right"/>
    </xf>
    <xf numFmtId="166" fontId="0" fillId="3" borderId="0" xfId="0" applyNumberFormat="1" applyFill="1"/>
    <xf numFmtId="166" fontId="6" fillId="3" borderId="0" xfId="0" applyNumberFormat="1" applyFont="1" applyFill="1"/>
    <xf numFmtId="167" fontId="9" fillId="3" borderId="0" xfId="0" applyNumberFormat="1" applyFont="1" applyFill="1" applyAlignment="1">
      <alignment horizontal="right"/>
    </xf>
    <xf numFmtId="170" fontId="6" fillId="3" borderId="0" xfId="0" applyNumberFormat="1" applyFont="1" applyFill="1"/>
    <xf numFmtId="168" fontId="22" fillId="3" borderId="0" xfId="9" applyNumberFormat="1" applyFont="1" applyFill="1" applyAlignment="1">
      <alignment horizontal="left"/>
    </xf>
    <xf numFmtId="0" fontId="6" fillId="0" borderId="0" xfId="0" applyFont="1"/>
    <xf numFmtId="167" fontId="5" fillId="3" borderId="0" xfId="2" applyNumberFormat="1" applyFont="1" applyFill="1"/>
    <xf numFmtId="167" fontId="8" fillId="3" borderId="0" xfId="2" applyNumberFormat="1" applyFont="1" applyFill="1"/>
    <xf numFmtId="164" fontId="6" fillId="3" borderId="0" xfId="0" applyNumberFormat="1" applyFont="1" applyFill="1" applyAlignment="1">
      <alignment horizontal="left"/>
    </xf>
    <xf numFmtId="164" fontId="0" fillId="3" borderId="0" xfId="0" applyNumberFormat="1" applyFill="1" applyAlignment="1">
      <alignment horizontal="left" indent="1"/>
    </xf>
    <xf numFmtId="164" fontId="21" fillId="3" borderId="0" xfId="0" applyNumberFormat="1" applyFont="1" applyFill="1" applyAlignment="1">
      <alignment horizontal="left" indent="1"/>
    </xf>
    <xf numFmtId="169" fontId="3" fillId="3" borderId="0" xfId="2" applyNumberFormat="1" applyFont="1" applyFill="1"/>
    <xf numFmtId="169" fontId="3" fillId="3" borderId="0" xfId="0" applyNumberFormat="1" applyFont="1" applyFill="1" applyAlignment="1">
      <alignment horizontal="left"/>
    </xf>
    <xf numFmtId="170" fontId="3" fillId="3" borderId="0" xfId="0" applyNumberFormat="1" applyFont="1" applyFill="1"/>
    <xf numFmtId="170" fontId="8" fillId="3" borderId="0" xfId="0" applyNumberFormat="1" applyFont="1" applyFill="1"/>
    <xf numFmtId="167" fontId="0" fillId="3" borderId="0" xfId="0" applyNumberFormat="1" applyFill="1" applyAlignment="1">
      <alignment horizontal="left"/>
    </xf>
    <xf numFmtId="164" fontId="6" fillId="3" borderId="0" xfId="0" applyNumberFormat="1" applyFont="1" applyFill="1" applyAlignment="1">
      <alignment horizontal="left" indent="1"/>
    </xf>
    <xf numFmtId="166" fontId="6" fillId="0" borderId="0" xfId="0" applyNumberFormat="1" applyFont="1"/>
    <xf numFmtId="164" fontId="25" fillId="5" borderId="0" xfId="0" applyNumberFormat="1" applyFont="1" applyFill="1"/>
    <xf numFmtId="167" fontId="25" fillId="5" borderId="0" xfId="0" applyNumberFormat="1" applyFont="1" applyFill="1"/>
    <xf numFmtId="0" fontId="27" fillId="3" borderId="0" xfId="0" applyFont="1" applyFill="1" applyAlignment="1">
      <alignment horizontal="center"/>
    </xf>
    <xf numFmtId="167" fontId="28" fillId="4" borderId="0" xfId="0" applyNumberFormat="1" applyFont="1" applyFill="1" applyAlignment="1">
      <alignment horizontal="right"/>
    </xf>
    <xf numFmtId="167" fontId="26" fillId="3" borderId="7" xfId="0" applyNumberFormat="1" applyFont="1" applyFill="1" applyBorder="1" applyAlignment="1">
      <alignment horizontal="right"/>
    </xf>
    <xf numFmtId="167" fontId="26" fillId="4" borderId="7" xfId="0" applyNumberFormat="1" applyFont="1" applyFill="1" applyBorder="1" applyAlignment="1">
      <alignment horizontal="right"/>
    </xf>
    <xf numFmtId="167" fontId="26" fillId="4" borderId="0" xfId="0" applyNumberFormat="1" applyFont="1" applyFill="1" applyAlignment="1">
      <alignment horizontal="right"/>
    </xf>
    <xf numFmtId="169" fontId="29" fillId="4" borderId="0" xfId="0" applyNumberFormat="1" applyFont="1" applyFill="1" applyAlignment="1">
      <alignment horizontal="right"/>
    </xf>
    <xf numFmtId="169" fontId="26" fillId="4" borderId="0" xfId="2" applyNumberFormat="1" applyFont="1" applyFill="1"/>
    <xf numFmtId="169" fontId="30" fillId="4" borderId="0" xfId="2" applyNumberFormat="1" applyFont="1" applyFill="1" applyAlignment="1">
      <alignment horizontal="right"/>
    </xf>
    <xf numFmtId="172" fontId="28" fillId="4" borderId="0" xfId="0" applyNumberFormat="1" applyFont="1" applyFill="1"/>
    <xf numFmtId="170" fontId="26" fillId="4" borderId="0" xfId="0" applyNumberFormat="1" applyFont="1" applyFill="1" applyAlignment="1">
      <alignment horizontal="right"/>
    </xf>
    <xf numFmtId="170" fontId="28" fillId="4" borderId="0" xfId="0" applyNumberFormat="1" applyFont="1" applyFill="1" applyAlignment="1">
      <alignment horizontal="right"/>
    </xf>
    <xf numFmtId="0" fontId="16" fillId="0" borderId="0" xfId="12" applyFont="1"/>
    <xf numFmtId="166" fontId="6" fillId="3" borderId="7" xfId="0" applyNumberFormat="1" applyFont="1" applyFill="1" applyBorder="1" applyAlignment="1">
      <alignment horizontal="left"/>
    </xf>
    <xf numFmtId="166" fontId="6" fillId="3" borderId="7" xfId="0" applyNumberFormat="1" applyFont="1" applyFill="1" applyBorder="1"/>
    <xf numFmtId="166" fontId="26" fillId="3" borderId="7" xfId="0" applyNumberFormat="1" applyFont="1" applyFill="1" applyBorder="1"/>
    <xf numFmtId="166" fontId="6" fillId="3" borderId="0" xfId="0" applyNumberFormat="1" applyFont="1" applyFill="1" applyAlignment="1">
      <alignment horizontal="left"/>
    </xf>
    <xf numFmtId="166" fontId="26" fillId="3" borderId="0" xfId="0" applyNumberFormat="1" applyFont="1" applyFill="1"/>
    <xf numFmtId="166" fontId="6" fillId="3" borderId="9" xfId="0" applyNumberFormat="1" applyFont="1" applyFill="1" applyBorder="1" applyAlignment="1">
      <alignment horizontal="left"/>
    </xf>
    <xf numFmtId="166" fontId="6" fillId="3" borderId="9" xfId="0" applyNumberFormat="1" applyFont="1" applyFill="1" applyBorder="1"/>
    <xf numFmtId="166" fontId="26" fillId="3" borderId="9" xfId="0" applyNumberFormat="1" applyFont="1" applyFill="1" applyBorder="1"/>
    <xf numFmtId="166" fontId="0" fillId="3" borderId="0" xfId="0" applyNumberFormat="1" applyFill="1" applyAlignment="1">
      <alignment horizontal="left" indent="1"/>
    </xf>
    <xf numFmtId="166" fontId="28" fillId="3" borderId="0" xfId="0" applyNumberFormat="1" applyFont="1" applyFill="1"/>
    <xf numFmtId="166" fontId="3" fillId="3" borderId="0" xfId="0" applyNumberFormat="1" applyFont="1" applyFill="1"/>
    <xf numFmtId="1" fontId="26" fillId="3" borderId="0" xfId="0" applyNumberFormat="1" applyFont="1" applyFill="1" applyAlignment="1">
      <alignment horizontal="center"/>
    </xf>
    <xf numFmtId="17" fontId="23" fillId="3" borderId="0" xfId="0" applyNumberFormat="1" applyFont="1" applyFill="1" applyAlignment="1">
      <alignment horizontal="center"/>
    </xf>
    <xf numFmtId="164" fontId="14" fillId="3" borderId="0" xfId="0" applyNumberFormat="1" applyFont="1" applyFill="1"/>
    <xf numFmtId="166" fontId="0" fillId="3" borderId="0" xfId="0" applyNumberFormat="1" applyFill="1" applyAlignment="1">
      <alignment horizontal="left" indent="2"/>
    </xf>
    <xf numFmtId="180" fontId="3" fillId="3" borderId="0" xfId="0" applyNumberFormat="1" applyFont="1" applyFill="1"/>
    <xf numFmtId="166" fontId="30" fillId="3" borderId="0" xfId="0" applyNumberFormat="1" applyFont="1" applyFill="1" applyAlignment="1">
      <alignment horizontal="left" indent="1"/>
    </xf>
    <xf numFmtId="166" fontId="29" fillId="3" borderId="0" xfId="0" applyNumberFormat="1" applyFont="1" applyFill="1"/>
    <xf numFmtId="166" fontId="30" fillId="3" borderId="0" xfId="0" applyNumberFormat="1" applyFont="1" applyFill="1"/>
    <xf numFmtId="169" fontId="30" fillId="3" borderId="0" xfId="0" applyNumberFormat="1" applyFont="1" applyFill="1" applyAlignment="1">
      <alignment horizontal="left" indent="1"/>
    </xf>
    <xf numFmtId="169" fontId="29" fillId="3" borderId="0" xfId="0" applyNumberFormat="1" applyFont="1" applyFill="1"/>
    <xf numFmtId="169" fontId="29" fillId="0" borderId="0" xfId="0" applyNumberFormat="1" applyFont="1"/>
    <xf numFmtId="167" fontId="20" fillId="3" borderId="0" xfId="0" applyNumberFormat="1" applyFont="1" applyFill="1" applyAlignment="1">
      <alignment horizontal="left" indent="1"/>
    </xf>
    <xf numFmtId="167" fontId="20" fillId="0" borderId="0" xfId="0" applyNumberFormat="1" applyFont="1" applyAlignment="1">
      <alignment horizontal="left" indent="1"/>
    </xf>
    <xf numFmtId="167" fontId="5" fillId="3" borderId="7" xfId="2" applyNumberFormat="1" applyFont="1" applyFill="1" applyBorder="1"/>
    <xf numFmtId="167" fontId="21" fillId="3" borderId="0" xfId="2" applyNumberFormat="1" applyFont="1" applyFill="1" applyAlignment="1">
      <alignment horizontal="left" indent="1"/>
    </xf>
    <xf numFmtId="167" fontId="27" fillId="3" borderId="0" xfId="2" applyNumberFormat="1" applyFont="1" applyFill="1"/>
    <xf numFmtId="167" fontId="26" fillId="3" borderId="0" xfId="0" applyNumberFormat="1" applyFont="1" applyFill="1" applyAlignment="1">
      <alignment horizontal="right"/>
    </xf>
    <xf numFmtId="167" fontId="26" fillId="0" borderId="0" xfId="0" applyNumberFormat="1" applyFont="1"/>
    <xf numFmtId="167" fontId="27" fillId="3" borderId="7" xfId="2" applyNumberFormat="1" applyFont="1" applyFill="1" applyBorder="1"/>
    <xf numFmtId="167" fontId="30" fillId="3" borderId="0" xfId="0" applyNumberFormat="1" applyFont="1" applyFill="1" applyAlignment="1">
      <alignment horizontal="left" indent="1"/>
    </xf>
    <xf numFmtId="167" fontId="29" fillId="3" borderId="0" xfId="0" applyNumberFormat="1" applyFont="1" applyFill="1"/>
    <xf numFmtId="167" fontId="29" fillId="4" borderId="0" xfId="0" applyNumberFormat="1" applyFont="1" applyFill="1" applyAlignment="1">
      <alignment horizontal="right"/>
    </xf>
    <xf numFmtId="167" fontId="29" fillId="0" borderId="0" xfId="0" applyNumberFormat="1" applyFont="1"/>
    <xf numFmtId="164" fontId="28" fillId="3" borderId="0" xfId="0" applyNumberFormat="1" applyFont="1" applyFill="1"/>
    <xf numFmtId="169" fontId="26" fillId="3" borderId="0" xfId="2" applyNumberFormat="1" applyFont="1" applyFill="1"/>
    <xf numFmtId="164" fontId="32" fillId="5" borderId="0" xfId="0" applyNumberFormat="1" applyFont="1" applyFill="1"/>
    <xf numFmtId="167" fontId="6" fillId="3" borderId="0" xfId="0" applyNumberFormat="1" applyFont="1" applyFill="1" applyAlignment="1">
      <alignment horizontal="left"/>
    </xf>
    <xf numFmtId="167" fontId="6" fillId="3" borderId="0" xfId="0" applyNumberFormat="1" applyFont="1" applyFill="1" applyAlignment="1">
      <alignment horizontal="left" indent="1"/>
    </xf>
    <xf numFmtId="178" fontId="6" fillId="3" borderId="0" xfId="0" applyNumberFormat="1" applyFont="1" applyFill="1" applyAlignment="1">
      <alignment horizontal="left"/>
    </xf>
    <xf numFmtId="166" fontId="28" fillId="3" borderId="0" xfId="0" applyNumberFormat="1" applyFont="1" applyFill="1" applyAlignment="1">
      <alignment horizontal="left" indent="1"/>
    </xf>
    <xf numFmtId="166" fontId="0" fillId="3" borderId="0" xfId="0" applyNumberFormat="1" applyFill="1" applyAlignment="1">
      <alignment horizontal="left"/>
    </xf>
    <xf numFmtId="167" fontId="29" fillId="3" borderId="0" xfId="0" applyNumberFormat="1" applyFont="1" applyFill="1" applyAlignment="1">
      <alignment horizontal="left" indent="3"/>
    </xf>
    <xf numFmtId="166" fontId="29" fillId="3" borderId="0" xfId="0" applyNumberFormat="1" applyFont="1" applyFill="1" applyAlignment="1">
      <alignment horizontal="left" indent="3"/>
    </xf>
    <xf numFmtId="164" fontId="6" fillId="3" borderId="0" xfId="0" applyNumberFormat="1" applyFont="1" applyFill="1" applyAlignment="1">
      <alignment horizontal="left" indent="3"/>
    </xf>
    <xf numFmtId="164" fontId="20" fillId="3" borderId="0" xfId="0" applyNumberFormat="1" applyFont="1" applyFill="1" applyAlignment="1">
      <alignment horizontal="left" indent="3"/>
    </xf>
    <xf numFmtId="169" fontId="6" fillId="3" borderId="0" xfId="0" applyNumberFormat="1" applyFont="1" applyFill="1" applyAlignment="1">
      <alignment horizontal="left" indent="3"/>
    </xf>
    <xf numFmtId="169" fontId="29" fillId="3" borderId="0" xfId="0" applyNumberFormat="1" applyFont="1" applyFill="1" applyAlignment="1">
      <alignment horizontal="left" indent="3"/>
    </xf>
    <xf numFmtId="170" fontId="6" fillId="3" borderId="0" xfId="0" applyNumberFormat="1" applyFont="1" applyFill="1" applyAlignment="1">
      <alignment horizontal="left" indent="3"/>
    </xf>
    <xf numFmtId="172" fontId="9" fillId="3" borderId="0" xfId="0" applyNumberFormat="1" applyFont="1" applyFill="1"/>
    <xf numFmtId="166" fontId="28" fillId="3" borderId="2" xfId="0" applyNumberFormat="1" applyFont="1" applyFill="1" applyBorder="1"/>
    <xf numFmtId="166" fontId="0" fillId="3" borderId="2" xfId="0" applyNumberFormat="1" applyFill="1" applyBorder="1"/>
    <xf numFmtId="164" fontId="30" fillId="3" borderId="0" xfId="0" applyNumberFormat="1" applyFont="1" applyFill="1" applyAlignment="1">
      <alignment horizontal="left" indent="1"/>
    </xf>
    <xf numFmtId="164" fontId="29" fillId="3" borderId="0" xfId="0" applyNumberFormat="1" applyFont="1" applyFill="1" applyAlignment="1">
      <alignment horizontal="left" indent="3"/>
    </xf>
    <xf numFmtId="164" fontId="29" fillId="3" borderId="0" xfId="0" applyNumberFormat="1" applyFont="1" applyFill="1"/>
    <xf numFmtId="164" fontId="30" fillId="3" borderId="0" xfId="0" applyNumberFormat="1" applyFont="1" applyFill="1"/>
    <xf numFmtId="164" fontId="29" fillId="4" borderId="0" xfId="0" applyNumberFormat="1" applyFont="1" applyFill="1" applyAlignment="1">
      <alignment horizontal="right"/>
    </xf>
    <xf numFmtId="164" fontId="29" fillId="0" borderId="0" xfId="0" applyNumberFormat="1" applyFont="1"/>
    <xf numFmtId="164" fontId="26" fillId="4" borderId="0" xfId="0" applyNumberFormat="1" applyFont="1" applyFill="1"/>
    <xf numFmtId="166" fontId="27" fillId="3" borderId="0" xfId="0" applyNumberFormat="1" applyFont="1" applyFill="1"/>
    <xf numFmtId="166" fontId="27" fillId="3" borderId="9" xfId="0" applyNumberFormat="1" applyFont="1" applyFill="1" applyBorder="1"/>
    <xf numFmtId="169" fontId="6" fillId="3" borderId="0" xfId="0" applyNumberFormat="1" applyFont="1" applyFill="1"/>
    <xf numFmtId="166" fontId="0" fillId="3" borderId="2" xfId="0" applyNumberFormat="1" applyFill="1" applyBorder="1" applyAlignment="1">
      <alignment horizontal="left" indent="1"/>
    </xf>
    <xf numFmtId="166" fontId="34" fillId="3" borderId="0" xfId="0" applyNumberFormat="1" applyFont="1" applyFill="1" applyAlignment="1">
      <alignment horizontal="left" indent="1"/>
    </xf>
    <xf numFmtId="166" fontId="33" fillId="3" borderId="0" xfId="0" applyNumberFormat="1" applyFont="1" applyFill="1" applyAlignment="1">
      <alignment horizontal="left" indent="3"/>
    </xf>
    <xf numFmtId="166" fontId="33" fillId="3" borderId="0" xfId="0" applyNumberFormat="1" applyFont="1" applyFill="1"/>
    <xf numFmtId="166" fontId="34" fillId="3" borderId="0" xfId="0" applyNumberFormat="1" applyFont="1" applyFill="1"/>
    <xf numFmtId="164" fontId="32" fillId="5" borderId="0" xfId="13" applyNumberFormat="1" applyFont="1" applyFill="1"/>
    <xf numFmtId="167" fontId="35" fillId="5" borderId="0" xfId="13" applyNumberFormat="1" applyFont="1" applyFill="1"/>
    <xf numFmtId="164" fontId="27" fillId="3" borderId="0" xfId="13" applyNumberFormat="1" applyFont="1" applyFill="1" applyAlignment="1">
      <alignment horizontal="center"/>
    </xf>
    <xf numFmtId="167" fontId="28" fillId="3" borderId="0" xfId="13" applyNumberFormat="1" applyFont="1" applyFill="1" applyAlignment="1">
      <alignment horizontal="right"/>
    </xf>
    <xf numFmtId="167" fontId="28" fillId="3" borderId="0" xfId="13" applyNumberFormat="1" applyFont="1" applyFill="1"/>
    <xf numFmtId="167" fontId="28" fillId="3" borderId="2" xfId="13" applyNumberFormat="1" applyFont="1" applyFill="1" applyBorder="1"/>
    <xf numFmtId="167" fontId="26" fillId="3" borderId="0" xfId="13" applyNumberFormat="1" applyFont="1" applyFill="1"/>
    <xf numFmtId="169" fontId="26" fillId="3" borderId="0" xfId="13" applyNumberFormat="1" applyFont="1" applyFill="1"/>
    <xf numFmtId="167" fontId="26" fillId="3" borderId="0" xfId="13" applyNumberFormat="1" applyFont="1" applyFill="1" applyAlignment="1">
      <alignment horizontal="center"/>
    </xf>
    <xf numFmtId="167" fontId="26" fillId="3" borderId="7" xfId="13" applyNumberFormat="1" applyFont="1" applyFill="1" applyBorder="1" applyAlignment="1">
      <alignment horizontal="right"/>
    </xf>
    <xf numFmtId="167" fontId="26" fillId="3" borderId="0" xfId="13" applyNumberFormat="1" applyFont="1" applyFill="1" applyAlignment="1">
      <alignment horizontal="right"/>
    </xf>
    <xf numFmtId="170" fontId="26" fillId="3" borderId="0" xfId="13" applyNumberFormat="1" applyFont="1" applyFill="1"/>
    <xf numFmtId="170" fontId="28" fillId="3" borderId="0" xfId="13" applyNumberFormat="1" applyFont="1" applyFill="1"/>
    <xf numFmtId="167" fontId="25" fillId="5" borderId="0" xfId="13" applyNumberFormat="1" applyFont="1" applyFill="1"/>
    <xf numFmtId="167" fontId="28" fillId="3" borderId="0" xfId="13" applyNumberFormat="1" applyFont="1" applyFill="1" applyAlignment="1">
      <alignment horizontal="center"/>
    </xf>
    <xf numFmtId="167" fontId="3" fillId="3" borderId="0" xfId="2" applyNumberFormat="1" applyFont="1" applyFill="1"/>
    <xf numFmtId="167" fontId="6" fillId="3" borderId="0" xfId="0" applyNumberFormat="1" applyFont="1" applyFill="1" applyAlignment="1">
      <alignment horizontal="left" indent="3"/>
    </xf>
    <xf numFmtId="167" fontId="14" fillId="3" borderId="0" xfId="1" applyNumberFormat="1" applyFont="1" applyFill="1"/>
    <xf numFmtId="166" fontId="29" fillId="3" borderId="2" xfId="0" applyNumberFormat="1" applyFont="1" applyFill="1" applyBorder="1" applyAlignment="1">
      <alignment horizontal="left" indent="3"/>
    </xf>
    <xf numFmtId="166" fontId="23" fillId="3" borderId="0" xfId="0" applyNumberFormat="1" applyFont="1" applyFill="1" applyAlignment="1">
      <alignment horizontal="left" indent="1"/>
    </xf>
    <xf numFmtId="166" fontId="28" fillId="3" borderId="0" xfId="0" applyNumberFormat="1" applyFont="1" applyFill="1" applyAlignment="1">
      <alignment horizontal="left" indent="3"/>
    </xf>
    <xf numFmtId="166" fontId="23" fillId="3" borderId="0" xfId="0" applyNumberFormat="1" applyFont="1" applyFill="1"/>
    <xf numFmtId="166" fontId="23" fillId="3" borderId="2" xfId="0" applyNumberFormat="1" applyFont="1" applyFill="1" applyBorder="1" applyAlignment="1">
      <alignment horizontal="left" indent="2"/>
    </xf>
    <xf numFmtId="166" fontId="28" fillId="3" borderId="2" xfId="0" applyNumberFormat="1" applyFont="1" applyFill="1" applyBorder="1" applyAlignment="1">
      <alignment horizontal="left" indent="3"/>
    </xf>
    <xf numFmtId="166" fontId="0" fillId="3" borderId="2" xfId="0" applyNumberFormat="1" applyFill="1" applyBorder="1" applyAlignment="1">
      <alignment horizontal="left" indent="2"/>
    </xf>
    <xf numFmtId="169" fontId="5" fillId="6" borderId="0" xfId="2" applyNumberFormat="1" applyFont="1" applyFill="1" applyAlignment="1">
      <alignment horizontal="center"/>
    </xf>
    <xf numFmtId="0" fontId="24" fillId="3" borderId="0" xfId="2" applyNumberFormat="1" applyFont="1" applyFill="1" applyAlignment="1">
      <alignment horizontal="center"/>
    </xf>
    <xf numFmtId="17" fontId="34" fillId="3" borderId="0" xfId="13" applyNumberFormat="1" applyFont="1" applyFill="1" applyAlignment="1">
      <alignment horizontal="center"/>
    </xf>
    <xf numFmtId="0" fontId="38" fillId="3" borderId="0" xfId="13" applyFont="1" applyFill="1"/>
    <xf numFmtId="0" fontId="0" fillId="3" borderId="0" xfId="0" applyFill="1"/>
    <xf numFmtId="168" fontId="36" fillId="6" borderId="0" xfId="0" applyNumberFormat="1" applyFont="1" applyFill="1" applyAlignment="1">
      <alignment horizontal="center"/>
    </xf>
    <xf numFmtId="164" fontId="26" fillId="3" borderId="10" xfId="0" applyNumberFormat="1" applyFont="1" applyFill="1" applyBorder="1"/>
    <xf numFmtId="164" fontId="28" fillId="3" borderId="11" xfId="0" applyNumberFormat="1" applyFont="1" applyFill="1" applyBorder="1"/>
    <xf numFmtId="164" fontId="26" fillId="3" borderId="12" xfId="0" applyNumberFormat="1" applyFont="1" applyFill="1" applyBorder="1"/>
    <xf numFmtId="164" fontId="26" fillId="3" borderId="13" xfId="0" applyNumberFormat="1" applyFont="1" applyFill="1" applyBorder="1"/>
    <xf numFmtId="167" fontId="28" fillId="3" borderId="13" xfId="0" applyNumberFormat="1" applyFont="1" applyFill="1" applyBorder="1"/>
    <xf numFmtId="164" fontId="28" fillId="3" borderId="13" xfId="0" applyNumberFormat="1" applyFont="1" applyFill="1" applyBorder="1"/>
    <xf numFmtId="164" fontId="28" fillId="3" borderId="14" xfId="0" applyNumberFormat="1" applyFont="1" applyFill="1" applyBorder="1"/>
    <xf numFmtId="164" fontId="26" fillId="3" borderId="15" xfId="0" applyNumberFormat="1" applyFont="1" applyFill="1" applyBorder="1"/>
    <xf numFmtId="164" fontId="26" fillId="3" borderId="16" xfId="0" applyNumberFormat="1" applyFont="1" applyFill="1" applyBorder="1"/>
    <xf numFmtId="164" fontId="23" fillId="3" borderId="16" xfId="11" applyNumberFormat="1" applyFont="1" applyFill="1" applyBorder="1" applyAlignment="1">
      <alignment horizontal="left" indent="1"/>
    </xf>
    <xf numFmtId="168" fontId="39" fillId="3" borderId="0" xfId="9" applyNumberFormat="1" applyFont="1" applyFill="1" applyAlignment="1">
      <alignment horizontal="left"/>
    </xf>
    <xf numFmtId="0" fontId="26" fillId="3" borderId="0" xfId="13" applyFont="1" applyFill="1"/>
    <xf numFmtId="0" fontId="29" fillId="3" borderId="0" xfId="13" applyFont="1" applyFill="1"/>
    <xf numFmtId="0" fontId="28" fillId="3" borderId="0" xfId="13" applyFont="1" applyFill="1" applyAlignment="1">
      <alignment horizontal="left"/>
    </xf>
    <xf numFmtId="0" fontId="28" fillId="3" borderId="0" xfId="13" applyFont="1" applyFill="1"/>
    <xf numFmtId="164" fontId="26" fillId="3" borderId="0" xfId="13" applyNumberFormat="1" applyFont="1" applyFill="1" applyAlignment="1">
      <alignment horizontal="center"/>
    </xf>
    <xf numFmtId="14" fontId="28" fillId="3" borderId="0" xfId="13" applyNumberFormat="1" applyFont="1" applyFill="1" applyAlignment="1">
      <alignment horizontal="left"/>
    </xf>
    <xf numFmtId="0" fontId="40" fillId="3" borderId="0" xfId="9" applyFont="1" applyFill="1"/>
    <xf numFmtId="0" fontId="28" fillId="3" borderId="0" xfId="13" applyFont="1" applyFill="1" applyAlignment="1">
      <alignment horizontal="center"/>
    </xf>
    <xf numFmtId="164" fontId="28" fillId="3" borderId="0" xfId="13" applyNumberFormat="1" applyFont="1" applyFill="1" applyAlignment="1">
      <alignment horizontal="center"/>
    </xf>
    <xf numFmtId="0" fontId="25" fillId="5" borderId="0" xfId="13" applyFont="1" applyFill="1" applyAlignment="1">
      <alignment horizontal="left"/>
    </xf>
    <xf numFmtId="0" fontId="25" fillId="5" borderId="0" xfId="13" applyFont="1" applyFill="1" applyAlignment="1">
      <alignment horizontal="centerContinuous"/>
    </xf>
    <xf numFmtId="0" fontId="25" fillId="5" borderId="0" xfId="13" applyFont="1" applyFill="1" applyAlignment="1">
      <alignment horizontal="center"/>
    </xf>
    <xf numFmtId="167" fontId="25" fillId="5" borderId="0" xfId="13" applyNumberFormat="1" applyFont="1" applyFill="1" applyAlignment="1">
      <alignment horizontal="center"/>
    </xf>
    <xf numFmtId="0" fontId="28" fillId="6" borderId="0" xfId="13" applyFont="1" applyFill="1"/>
    <xf numFmtId="0" fontId="29" fillId="6" borderId="0" xfId="13" applyFont="1" applyFill="1"/>
    <xf numFmtId="164" fontId="28" fillId="6" borderId="0" xfId="13" applyNumberFormat="1" applyFont="1" applyFill="1"/>
    <xf numFmtId="14" fontId="28" fillId="6" borderId="0" xfId="13" applyNumberFormat="1" applyFont="1" applyFill="1" applyAlignment="1">
      <alignment horizontal="left"/>
    </xf>
    <xf numFmtId="167" fontId="28" fillId="6" borderId="0" xfId="13" applyNumberFormat="1" applyFont="1" applyFill="1"/>
    <xf numFmtId="0" fontId="25" fillId="3" borderId="0" xfId="13" applyFont="1" applyFill="1" applyAlignment="1">
      <alignment horizontal="left"/>
    </xf>
    <xf numFmtId="0" fontId="25" fillId="3" borderId="0" xfId="13" applyFont="1" applyFill="1" applyAlignment="1">
      <alignment horizontal="center"/>
    </xf>
    <xf numFmtId="0" fontId="26" fillId="6" borderId="0" xfId="13" applyFont="1" applyFill="1"/>
    <xf numFmtId="164" fontId="26" fillId="6" borderId="0" xfId="13" applyNumberFormat="1" applyFont="1" applyFill="1" applyAlignment="1">
      <alignment horizontal="center"/>
    </xf>
    <xf numFmtId="167" fontId="26" fillId="6" borderId="0" xfId="13" applyNumberFormat="1" applyFont="1" applyFill="1" applyAlignment="1">
      <alignment horizontal="center"/>
    </xf>
    <xf numFmtId="0" fontId="41" fillId="6" borderId="0" xfId="9" applyFont="1" applyFill="1"/>
    <xf numFmtId="0" fontId="41" fillId="3" borderId="0" xfId="9" applyFont="1" applyFill="1"/>
    <xf numFmtId="164" fontId="27" fillId="3" borderId="0" xfId="13" applyNumberFormat="1" applyFont="1" applyFill="1" applyAlignment="1">
      <alignment horizontal="left"/>
    </xf>
    <xf numFmtId="164" fontId="34" fillId="3" borderId="0" xfId="13" applyNumberFormat="1" applyFont="1" applyFill="1" applyAlignment="1">
      <alignment horizontal="center"/>
    </xf>
    <xf numFmtId="182" fontId="26" fillId="3" borderId="0" xfId="13" applyNumberFormat="1" applyFont="1" applyFill="1" applyAlignment="1">
      <alignment horizontal="left" indent="1"/>
    </xf>
    <xf numFmtId="164" fontId="26" fillId="3" borderId="0" xfId="13" applyNumberFormat="1" applyFont="1" applyFill="1" applyAlignment="1">
      <alignment horizontal="left"/>
    </xf>
    <xf numFmtId="164" fontId="28" fillId="3" borderId="0" xfId="13" applyNumberFormat="1" applyFont="1" applyFill="1" applyAlignment="1">
      <alignment horizontal="left" indent="1"/>
    </xf>
    <xf numFmtId="164" fontId="28" fillId="3" borderId="0" xfId="13" applyNumberFormat="1" applyFont="1" applyFill="1" applyAlignment="1">
      <alignment horizontal="left" indent="3"/>
    </xf>
    <xf numFmtId="164" fontId="26" fillId="3" borderId="7" xfId="13" applyNumberFormat="1" applyFont="1" applyFill="1" applyBorder="1" applyAlignment="1">
      <alignment horizontal="left"/>
    </xf>
    <xf numFmtId="164" fontId="26" fillId="3" borderId="0" xfId="13" applyNumberFormat="1" applyFont="1" applyFill="1" applyAlignment="1">
      <alignment horizontal="left" indent="3"/>
    </xf>
    <xf numFmtId="167" fontId="28" fillId="3" borderId="0" xfId="13" applyNumberFormat="1" applyFont="1" applyFill="1" applyAlignment="1">
      <alignment horizontal="left" indent="1"/>
    </xf>
    <xf numFmtId="167" fontId="23" fillId="3" borderId="0" xfId="2" applyNumberFormat="1" applyFont="1" applyFill="1"/>
    <xf numFmtId="167" fontId="28" fillId="3" borderId="0" xfId="13" applyNumberFormat="1" applyFont="1" applyFill="1" applyAlignment="1">
      <alignment horizontal="left" indent="4"/>
    </xf>
    <xf numFmtId="167" fontId="28" fillId="3" borderId="2" xfId="13" applyNumberFormat="1" applyFont="1" applyFill="1" applyBorder="1" applyAlignment="1">
      <alignment horizontal="left" indent="1"/>
    </xf>
    <xf numFmtId="167" fontId="28" fillId="3" borderId="2" xfId="13" applyNumberFormat="1" applyFont="1" applyFill="1" applyBorder="1" applyAlignment="1">
      <alignment horizontal="left" indent="4"/>
    </xf>
    <xf numFmtId="167" fontId="26" fillId="3" borderId="0" xfId="13" applyNumberFormat="1" applyFont="1" applyFill="1" applyAlignment="1">
      <alignment horizontal="left"/>
    </xf>
    <xf numFmtId="167" fontId="26" fillId="3" borderId="0" xfId="13" applyNumberFormat="1" applyFont="1" applyFill="1" applyAlignment="1">
      <alignment horizontal="left" indent="4"/>
    </xf>
    <xf numFmtId="164" fontId="28" fillId="3" borderId="0" xfId="13" applyNumberFormat="1" applyFont="1" applyFill="1" applyAlignment="1">
      <alignment horizontal="left" indent="4"/>
    </xf>
    <xf numFmtId="169" fontId="26" fillId="3" borderId="0" xfId="13" applyNumberFormat="1" applyFont="1" applyFill="1" applyAlignment="1">
      <alignment horizontal="left"/>
    </xf>
    <xf numFmtId="169" fontId="26" fillId="3" borderId="0" xfId="13" applyNumberFormat="1" applyFont="1" applyFill="1" applyAlignment="1">
      <alignment horizontal="left" indent="3"/>
    </xf>
    <xf numFmtId="169" fontId="27" fillId="3" borderId="0" xfId="2" applyNumberFormat="1" applyFont="1" applyFill="1"/>
    <xf numFmtId="167" fontId="26" fillId="3" borderId="7" xfId="13" applyNumberFormat="1" applyFont="1" applyFill="1" applyBorder="1" applyAlignment="1">
      <alignment horizontal="left"/>
    </xf>
    <xf numFmtId="183" fontId="26" fillId="3" borderId="0" xfId="13" applyNumberFormat="1" applyFont="1" applyFill="1" applyAlignment="1">
      <alignment horizontal="left"/>
    </xf>
    <xf numFmtId="183" fontId="27" fillId="3" borderId="0" xfId="2" applyNumberFormat="1" applyFont="1" applyFill="1"/>
    <xf numFmtId="170" fontId="27" fillId="3" borderId="0" xfId="13" applyNumberFormat="1" applyFont="1" applyFill="1"/>
    <xf numFmtId="170" fontId="26" fillId="3" borderId="0" xfId="13" applyNumberFormat="1" applyFont="1" applyFill="1" applyAlignment="1">
      <alignment horizontal="left" indent="3"/>
    </xf>
    <xf numFmtId="184" fontId="26" fillId="3" borderId="0" xfId="13" applyNumberFormat="1" applyFont="1" applyFill="1" applyAlignment="1">
      <alignment horizontal="left"/>
    </xf>
    <xf numFmtId="184" fontId="27" fillId="3" borderId="0" xfId="2" applyNumberFormat="1" applyFont="1" applyFill="1"/>
    <xf numFmtId="167" fontId="28" fillId="3" borderId="0" xfId="13" applyNumberFormat="1" applyFont="1" applyFill="1" applyAlignment="1">
      <alignment horizontal="left"/>
    </xf>
    <xf numFmtId="170" fontId="23" fillId="3" borderId="0" xfId="13" applyNumberFormat="1" applyFont="1" applyFill="1"/>
    <xf numFmtId="170" fontId="28" fillId="3" borderId="0" xfId="13" applyNumberFormat="1" applyFont="1" applyFill="1" applyAlignment="1">
      <alignment horizontal="left" indent="3"/>
    </xf>
    <xf numFmtId="186" fontId="3" fillId="6" borderId="0" xfId="0" applyNumberFormat="1" applyFont="1" applyFill="1" applyAlignment="1">
      <alignment horizontal="left"/>
    </xf>
    <xf numFmtId="187" fontId="3" fillId="6" borderId="0" xfId="0" applyNumberFormat="1" applyFont="1" applyFill="1"/>
    <xf numFmtId="0" fontId="6" fillId="6" borderId="0" xfId="0" applyFont="1" applyFill="1" applyAlignment="1">
      <alignment horizontal="center"/>
    </xf>
    <xf numFmtId="164" fontId="6" fillId="3" borderId="10" xfId="0" applyNumberFormat="1" applyFont="1" applyFill="1" applyBorder="1"/>
    <xf numFmtId="188" fontId="0" fillId="0" borderId="0" xfId="0" applyNumberFormat="1"/>
    <xf numFmtId="166" fontId="0" fillId="0" borderId="0" xfId="0" applyNumberFormat="1"/>
    <xf numFmtId="164" fontId="0" fillId="3" borderId="0" xfId="0" applyNumberFormat="1" applyFill="1"/>
    <xf numFmtId="164" fontId="0" fillId="3" borderId="10" xfId="0" applyNumberFormat="1" applyFill="1" applyBorder="1"/>
    <xf numFmtId="188" fontId="0" fillId="3" borderId="0" xfId="0" applyNumberFormat="1" applyFill="1" applyAlignment="1">
      <alignment horizontal="left" indent="1"/>
    </xf>
    <xf numFmtId="188" fontId="9" fillId="3" borderId="0" xfId="0" applyNumberFormat="1" applyFont="1" applyFill="1"/>
    <xf numFmtId="188" fontId="0" fillId="3" borderId="0" xfId="0" applyNumberFormat="1" applyFill="1"/>
    <xf numFmtId="14" fontId="9" fillId="3" borderId="0" xfId="0" applyNumberFormat="1" applyFont="1" applyFill="1"/>
    <xf numFmtId="166" fontId="0" fillId="3" borderId="11" xfId="0" applyNumberFormat="1" applyFill="1" applyBorder="1" applyAlignment="1">
      <alignment horizontal="left" indent="1"/>
    </xf>
    <xf numFmtId="166" fontId="0" fillId="3" borderId="11" xfId="0" applyNumberFormat="1" applyFill="1" applyBorder="1"/>
    <xf numFmtId="0" fontId="35" fillId="5" borderId="0" xfId="0" applyFont="1" applyFill="1"/>
    <xf numFmtId="0" fontId="6" fillId="3" borderId="0" xfId="0" applyFont="1" applyFill="1"/>
    <xf numFmtId="167" fontId="26" fillId="3" borderId="0" xfId="0" applyNumberFormat="1" applyFont="1" applyFill="1"/>
    <xf numFmtId="183" fontId="26" fillId="3" borderId="0" xfId="13" applyNumberFormat="1" applyFont="1" applyFill="1"/>
    <xf numFmtId="184" fontId="26" fillId="3" borderId="0" xfId="13" applyNumberFormat="1" applyFont="1" applyFill="1"/>
    <xf numFmtId="166" fontId="25" fillId="5" borderId="0" xfId="0" applyNumberFormat="1" applyFont="1" applyFill="1" applyAlignment="1">
      <alignment horizontal="left"/>
    </xf>
    <xf numFmtId="166" fontId="25" fillId="5" borderId="0" xfId="0" applyNumberFormat="1" applyFont="1" applyFill="1" applyAlignment="1">
      <alignment horizontal="left" indent="3"/>
    </xf>
    <xf numFmtId="189" fontId="10" fillId="4" borderId="0" xfId="0" applyNumberFormat="1" applyFont="1" applyFill="1"/>
    <xf numFmtId="189" fontId="10" fillId="3" borderId="0" xfId="0" applyNumberFormat="1" applyFont="1" applyFill="1"/>
    <xf numFmtId="167" fontId="6" fillId="4" borderId="0" xfId="0" applyNumberFormat="1" applyFont="1" applyFill="1"/>
    <xf numFmtId="167" fontId="10" fillId="3" borderId="0" xfId="0" applyNumberFormat="1" applyFont="1" applyFill="1" applyAlignment="1">
      <alignment horizontal="left" indent="1"/>
    </xf>
    <xf numFmtId="167" fontId="10" fillId="3" borderId="0" xfId="0" applyNumberFormat="1" applyFont="1" applyFill="1" applyAlignment="1">
      <alignment horizontal="left" indent="3"/>
    </xf>
    <xf numFmtId="167" fontId="10" fillId="4" borderId="0" xfId="0" applyNumberFormat="1" applyFont="1" applyFill="1"/>
    <xf numFmtId="167" fontId="43" fillId="3" borderId="0" xfId="0" applyNumberFormat="1" applyFont="1" applyFill="1"/>
    <xf numFmtId="167" fontId="43" fillId="4" borderId="0" xfId="0" applyNumberFormat="1" applyFont="1" applyFill="1"/>
    <xf numFmtId="190" fontId="0" fillId="3" borderId="0" xfId="0" applyNumberFormat="1" applyFill="1"/>
    <xf numFmtId="190" fontId="9" fillId="3" borderId="0" xfId="0" applyNumberFormat="1" applyFont="1" applyFill="1"/>
    <xf numFmtId="164" fontId="23" fillId="3" borderId="0" xfId="11" applyNumberFormat="1" applyFont="1" applyFill="1" applyAlignment="1">
      <alignment horizontal="left" indent="1"/>
    </xf>
    <xf numFmtId="164" fontId="28" fillId="3" borderId="10" xfId="0" applyNumberFormat="1" applyFont="1" applyFill="1" applyBorder="1"/>
    <xf numFmtId="164" fontId="23" fillId="3" borderId="10" xfId="11" applyNumberFormat="1" applyFont="1" applyFill="1" applyBorder="1"/>
    <xf numFmtId="164" fontId="28" fillId="3" borderId="12" xfId="0" applyNumberFormat="1" applyFont="1" applyFill="1" applyBorder="1"/>
    <xf numFmtId="165" fontId="27" fillId="3" borderId="15" xfId="11" applyNumberFormat="1" applyFont="1" applyFill="1" applyBorder="1" applyAlignment="1">
      <alignment horizontal="left"/>
    </xf>
    <xf numFmtId="165" fontId="23" fillId="3" borderId="16" xfId="11" applyNumberFormat="1" applyFont="1" applyFill="1" applyBorder="1" applyAlignment="1">
      <alignment horizontal="left"/>
    </xf>
    <xf numFmtId="17" fontId="28" fillId="3" borderId="0" xfId="0" applyNumberFormat="1" applyFont="1" applyFill="1"/>
    <xf numFmtId="17" fontId="28" fillId="3" borderId="13" xfId="0" applyNumberFormat="1" applyFont="1" applyFill="1" applyBorder="1"/>
    <xf numFmtId="188" fontId="23" fillId="3" borderId="16" xfId="11" applyNumberFormat="1" applyFont="1" applyFill="1" applyBorder="1" applyAlignment="1">
      <alignment horizontal="left" indent="1"/>
    </xf>
    <xf numFmtId="188" fontId="28" fillId="3" borderId="0" xfId="0" applyNumberFormat="1" applyFont="1" applyFill="1"/>
    <xf numFmtId="188" fontId="28" fillId="3" borderId="13" xfId="0" applyNumberFormat="1" applyFont="1" applyFill="1" applyBorder="1"/>
    <xf numFmtId="188" fontId="23" fillId="3" borderId="16" xfId="11" applyNumberFormat="1" applyFont="1" applyFill="1" applyBorder="1" applyAlignment="1">
      <alignment horizontal="left" indent="2"/>
    </xf>
    <xf numFmtId="190" fontId="23" fillId="3" borderId="16" xfId="11" applyNumberFormat="1" applyFont="1" applyFill="1" applyBorder="1" applyAlignment="1">
      <alignment horizontal="left" indent="1"/>
    </xf>
    <xf numFmtId="190" fontId="28" fillId="3" borderId="0" xfId="0" applyNumberFormat="1" applyFont="1" applyFill="1"/>
    <xf numFmtId="190" fontId="28" fillId="3" borderId="13" xfId="0" applyNumberFormat="1" applyFont="1" applyFill="1" applyBorder="1"/>
    <xf numFmtId="190" fontId="23" fillId="3" borderId="16" xfId="11" applyNumberFormat="1" applyFont="1" applyFill="1" applyBorder="1" applyAlignment="1">
      <alignment horizontal="left" indent="2"/>
    </xf>
    <xf numFmtId="188" fontId="8" fillId="3" borderId="0" xfId="2" applyNumberFormat="1" applyFont="1" applyFill="1"/>
    <xf numFmtId="188" fontId="28" fillId="4" borderId="0" xfId="0" applyNumberFormat="1" applyFont="1" applyFill="1"/>
    <xf numFmtId="190" fontId="0" fillId="3" borderId="0" xfId="0" applyNumberFormat="1" applyFill="1" applyAlignment="1">
      <alignment horizontal="left" indent="1"/>
    </xf>
    <xf numFmtId="190" fontId="8" fillId="3" borderId="0" xfId="2" applyNumberFormat="1" applyFont="1" applyFill="1"/>
    <xf numFmtId="190" fontId="28" fillId="4" borderId="0" xfId="0" applyNumberFormat="1" applyFont="1" applyFill="1"/>
    <xf numFmtId="188" fontId="14" fillId="3" borderId="0" xfId="0" applyNumberFormat="1" applyFont="1" applyFill="1" applyAlignment="1">
      <alignment horizontal="left"/>
    </xf>
    <xf numFmtId="188" fontId="6" fillId="3" borderId="0" xfId="0" applyNumberFormat="1" applyFont="1" applyFill="1" applyAlignment="1">
      <alignment horizontal="right"/>
    </xf>
    <xf numFmtId="188" fontId="26" fillId="4" borderId="0" xfId="0" applyNumberFormat="1" applyFont="1" applyFill="1"/>
    <xf numFmtId="188" fontId="6" fillId="3" borderId="0" xfId="0" applyNumberFormat="1" applyFont="1" applyFill="1"/>
    <xf numFmtId="188" fontId="6" fillId="0" borderId="0" xfId="0" applyNumberFormat="1" applyFont="1"/>
    <xf numFmtId="166" fontId="26" fillId="3" borderId="0" xfId="0" applyNumberFormat="1" applyFont="1" applyFill="1" applyAlignment="1">
      <alignment horizontal="left" indent="3"/>
    </xf>
    <xf numFmtId="172" fontId="23" fillId="3" borderId="0" xfId="2" applyNumberFormat="1" applyFont="1" applyFill="1"/>
    <xf numFmtId="172" fontId="28" fillId="3" borderId="0" xfId="0" applyNumberFormat="1" applyFont="1" applyFill="1" applyAlignment="1">
      <alignment horizontal="left" indent="3"/>
    </xf>
    <xf numFmtId="166" fontId="28" fillId="3" borderId="2" xfId="0" applyNumberFormat="1" applyFont="1" applyFill="1" applyBorder="1" applyAlignment="1">
      <alignment horizontal="left" indent="1"/>
    </xf>
    <xf numFmtId="167" fontId="26" fillId="3" borderId="0" xfId="0" applyNumberFormat="1" applyFont="1" applyFill="1" applyAlignment="1">
      <alignment horizontal="left" indent="3"/>
    </xf>
    <xf numFmtId="167" fontId="26" fillId="4" borderId="0" xfId="1" applyNumberFormat="1" applyFont="1" applyFill="1"/>
    <xf numFmtId="167" fontId="0" fillId="4" borderId="0" xfId="0" applyNumberFormat="1" applyFill="1" applyAlignment="1">
      <alignment horizontal="right"/>
    </xf>
    <xf numFmtId="166" fontId="25" fillId="5" borderId="0" xfId="0" applyNumberFormat="1" applyFont="1" applyFill="1"/>
    <xf numFmtId="167" fontId="6" fillId="3" borderId="0" xfId="1" applyNumberFormat="1" applyFont="1" applyFill="1"/>
    <xf numFmtId="167" fontId="26" fillId="3" borderId="0" xfId="1" applyNumberFormat="1" applyFont="1" applyFill="1"/>
    <xf numFmtId="172" fontId="28" fillId="3" borderId="0" xfId="0" applyNumberFormat="1" applyFont="1" applyFill="1"/>
    <xf numFmtId="171" fontId="0" fillId="3" borderId="0" xfId="0" applyNumberFormat="1" applyFill="1"/>
    <xf numFmtId="1" fontId="6" fillId="3" borderId="0" xfId="0" applyNumberFormat="1" applyFont="1" applyFill="1" applyAlignment="1">
      <alignment horizontal="center"/>
    </xf>
    <xf numFmtId="17" fontId="2" fillId="3" borderId="0" xfId="0" applyNumberFormat="1" applyFont="1" applyFill="1" applyAlignment="1">
      <alignment horizontal="center"/>
    </xf>
    <xf numFmtId="17" fontId="8" fillId="3" borderId="0" xfId="0" applyNumberFormat="1" applyFont="1" applyFill="1" applyAlignment="1">
      <alignment horizontal="center"/>
    </xf>
    <xf numFmtId="0" fontId="3" fillId="3" borderId="0" xfId="0" applyFont="1" applyFill="1" applyAlignment="1">
      <alignment horizontal="center"/>
    </xf>
    <xf numFmtId="0" fontId="5" fillId="3" borderId="0" xfId="0" applyFont="1" applyFill="1" applyAlignment="1">
      <alignment horizontal="center"/>
    </xf>
    <xf numFmtId="169" fontId="29" fillId="4" borderId="0" xfId="0" applyNumberFormat="1" applyFont="1" applyFill="1"/>
    <xf numFmtId="169" fontId="30" fillId="3" borderId="0" xfId="2" applyNumberFormat="1" applyFont="1" applyFill="1"/>
    <xf numFmtId="188" fontId="0" fillId="4" borderId="0" xfId="0" applyNumberFormat="1" applyFill="1" applyAlignment="1">
      <alignment horizontal="right"/>
    </xf>
    <xf numFmtId="188" fontId="0" fillId="3" borderId="0" xfId="0" applyNumberFormat="1" applyFill="1" applyAlignment="1">
      <alignment horizontal="right"/>
    </xf>
    <xf numFmtId="1" fontId="6" fillId="3" borderId="17" xfId="0" applyNumberFormat="1" applyFont="1" applyFill="1" applyBorder="1" applyAlignment="1">
      <alignment horizontal="center"/>
    </xf>
    <xf numFmtId="17" fontId="8" fillId="3" borderId="17" xfId="0" applyNumberFormat="1" applyFont="1" applyFill="1" applyBorder="1" applyAlignment="1">
      <alignment horizontal="center"/>
    </xf>
    <xf numFmtId="0" fontId="5" fillId="3" borderId="17" xfId="0" applyFont="1" applyFill="1" applyBorder="1" applyAlignment="1">
      <alignment horizontal="center"/>
    </xf>
    <xf numFmtId="167" fontId="25" fillId="5" borderId="17" xfId="0" applyNumberFormat="1" applyFont="1" applyFill="1" applyBorder="1"/>
    <xf numFmtId="167" fontId="6" fillId="3" borderId="18" xfId="0" applyNumberFormat="1" applyFont="1" applyFill="1" applyBorder="1" applyAlignment="1">
      <alignment horizontal="right"/>
    </xf>
    <xf numFmtId="167" fontId="6" fillId="3" borderId="17" xfId="0" applyNumberFormat="1" applyFont="1" applyFill="1" applyBorder="1" applyAlignment="1">
      <alignment horizontal="right"/>
    </xf>
    <xf numFmtId="164" fontId="25" fillId="5" borderId="17" xfId="0" applyNumberFormat="1" applyFont="1" applyFill="1" applyBorder="1"/>
    <xf numFmtId="164" fontId="20" fillId="3" borderId="17" xfId="0" applyNumberFormat="1" applyFont="1" applyFill="1" applyBorder="1"/>
    <xf numFmtId="164" fontId="6" fillId="3" borderId="17" xfId="0" applyNumberFormat="1" applyFont="1" applyFill="1" applyBorder="1"/>
    <xf numFmtId="170" fontId="6" fillId="3" borderId="17" xfId="0" applyNumberFormat="1" applyFont="1" applyFill="1" applyBorder="1"/>
    <xf numFmtId="188" fontId="6" fillId="3" borderId="17" xfId="0" applyNumberFormat="1" applyFont="1" applyFill="1" applyBorder="1" applyAlignment="1">
      <alignment horizontal="right"/>
    </xf>
    <xf numFmtId="167" fontId="6" fillId="3" borderId="17" xfId="0" applyNumberFormat="1" applyFont="1" applyFill="1" applyBorder="1"/>
    <xf numFmtId="167" fontId="10" fillId="3" borderId="17" xfId="0" applyNumberFormat="1" applyFont="1" applyFill="1" applyBorder="1"/>
    <xf numFmtId="189" fontId="10" fillId="3" borderId="17" xfId="0" applyNumberFormat="1" applyFont="1" applyFill="1" applyBorder="1"/>
    <xf numFmtId="164" fontId="32" fillId="5" borderId="17" xfId="0" applyNumberFormat="1" applyFont="1" applyFill="1" applyBorder="1"/>
    <xf numFmtId="167" fontId="28" fillId="3" borderId="0" xfId="0" applyNumberFormat="1" applyFont="1" applyFill="1"/>
    <xf numFmtId="173" fontId="23" fillId="3" borderId="0" xfId="2" applyNumberFormat="1" applyFont="1" applyFill="1"/>
    <xf numFmtId="183" fontId="26" fillId="3" borderId="0" xfId="13" applyNumberFormat="1" applyFont="1" applyFill="1" applyAlignment="1">
      <alignment horizontal="right"/>
    </xf>
    <xf numFmtId="184" fontId="26" fillId="3" borderId="0" xfId="13" applyNumberFormat="1" applyFont="1" applyFill="1" applyAlignment="1">
      <alignment horizontal="right"/>
    </xf>
    <xf numFmtId="167" fontId="26" fillId="3" borderId="17" xfId="0" applyNumberFormat="1" applyFont="1" applyFill="1" applyBorder="1" applyAlignment="1">
      <alignment horizontal="right"/>
    </xf>
    <xf numFmtId="167" fontId="20" fillId="3" borderId="17" xfId="0" applyNumberFormat="1" applyFont="1" applyFill="1" applyBorder="1" applyAlignment="1">
      <alignment horizontal="left" indent="1"/>
    </xf>
    <xf numFmtId="164" fontId="28" fillId="3" borderId="17" xfId="0" applyNumberFormat="1" applyFont="1" applyFill="1" applyBorder="1"/>
    <xf numFmtId="164" fontId="0" fillId="3" borderId="17" xfId="0" applyNumberFormat="1" applyFill="1" applyBorder="1"/>
    <xf numFmtId="0" fontId="0" fillId="3" borderId="17" xfId="0" applyFill="1" applyBorder="1"/>
    <xf numFmtId="0" fontId="26" fillId="3" borderId="12" xfId="0" applyFont="1" applyFill="1" applyBorder="1"/>
    <xf numFmtId="177" fontId="2" fillId="6" borderId="0" xfId="0" applyNumberFormat="1" applyFont="1" applyFill="1" applyAlignment="1">
      <alignment horizontal="left"/>
    </xf>
    <xf numFmtId="164" fontId="6" fillId="3" borderId="0" xfId="0" applyNumberFormat="1" applyFont="1" applyFill="1" applyAlignment="1">
      <alignment horizontal="center"/>
    </xf>
    <xf numFmtId="17" fontId="0" fillId="3" borderId="0" xfId="0" applyNumberFormat="1" applyFill="1" applyAlignment="1">
      <alignment horizontal="center"/>
    </xf>
    <xf numFmtId="0" fontId="6" fillId="3" borderId="0" xfId="0" applyFont="1" applyFill="1" applyAlignment="1">
      <alignment horizontal="center"/>
    </xf>
    <xf numFmtId="167" fontId="0" fillId="3" borderId="0" xfId="0" applyNumberFormat="1" applyFill="1" applyAlignment="1">
      <alignment horizontal="left" indent="1"/>
    </xf>
    <xf numFmtId="167" fontId="0" fillId="3" borderId="0" xfId="0" applyNumberFormat="1" applyFill="1" applyAlignment="1">
      <alignment horizontal="right"/>
    </xf>
    <xf numFmtId="167" fontId="0" fillId="3" borderId="17" xfId="0" applyNumberFormat="1" applyFill="1" applyBorder="1" applyAlignment="1">
      <alignment horizontal="right"/>
    </xf>
    <xf numFmtId="167" fontId="0" fillId="3" borderId="0" xfId="0" applyNumberFormat="1" applyFill="1"/>
    <xf numFmtId="167" fontId="0" fillId="0" borderId="0" xfId="0" applyNumberFormat="1"/>
    <xf numFmtId="167" fontId="0" fillId="3" borderId="2" xfId="0" applyNumberFormat="1" applyFill="1" applyBorder="1" applyAlignment="1">
      <alignment horizontal="left" indent="1"/>
    </xf>
    <xf numFmtId="167" fontId="8" fillId="3" borderId="2" xfId="2" applyNumberFormat="1" applyFont="1" applyFill="1" applyBorder="1"/>
    <xf numFmtId="167" fontId="0" fillId="4" borderId="2" xfId="0" applyNumberFormat="1" applyFill="1" applyBorder="1" applyAlignment="1">
      <alignment horizontal="right"/>
    </xf>
    <xf numFmtId="167" fontId="0" fillId="3" borderId="2" xfId="0" applyNumberFormat="1" applyFill="1" applyBorder="1" applyAlignment="1">
      <alignment horizontal="right"/>
    </xf>
    <xf numFmtId="167" fontId="0" fillId="3" borderId="19" xfId="0" applyNumberFormat="1" applyFill="1" applyBorder="1" applyAlignment="1">
      <alignment horizontal="right"/>
    </xf>
    <xf numFmtId="167" fontId="9" fillId="3" borderId="2" xfId="0" applyNumberFormat="1" applyFont="1" applyFill="1" applyBorder="1" applyAlignment="1">
      <alignment horizontal="right"/>
    </xf>
    <xf numFmtId="167" fontId="28" fillId="4" borderId="2" xfId="0" applyNumberFormat="1" applyFont="1" applyFill="1" applyBorder="1" applyAlignment="1">
      <alignment horizontal="right"/>
    </xf>
    <xf numFmtId="167" fontId="9" fillId="4" borderId="2" xfId="0" applyNumberFormat="1" applyFont="1" applyFill="1" applyBorder="1" applyAlignment="1">
      <alignment horizontal="right"/>
    </xf>
    <xf numFmtId="164" fontId="0" fillId="3" borderId="0" xfId="0" applyNumberFormat="1" applyFill="1" applyAlignment="1">
      <alignment horizontal="left" indent="4"/>
    </xf>
    <xf numFmtId="164" fontId="0" fillId="4" borderId="0" xfId="0" applyNumberFormat="1" applyFill="1"/>
    <xf numFmtId="164" fontId="28" fillId="4" borderId="0" xfId="0" applyNumberFormat="1" applyFont="1" applyFill="1"/>
    <xf numFmtId="164" fontId="0" fillId="3" borderId="2" xfId="0" applyNumberFormat="1" applyFill="1" applyBorder="1"/>
    <xf numFmtId="164" fontId="0" fillId="3" borderId="19" xfId="0" applyNumberFormat="1" applyFill="1" applyBorder="1"/>
    <xf numFmtId="164" fontId="6" fillId="3" borderId="7" xfId="0" applyNumberFormat="1" applyFont="1" applyFill="1" applyBorder="1" applyAlignment="1">
      <alignment horizontal="left"/>
    </xf>
    <xf numFmtId="164" fontId="6" fillId="3" borderId="7" xfId="0" applyNumberFormat="1" applyFont="1" applyFill="1" applyBorder="1" applyAlignment="1">
      <alignment horizontal="left" indent="4"/>
    </xf>
    <xf numFmtId="164" fontId="6" fillId="4" borderId="7" xfId="0" applyNumberFormat="1" applyFont="1" applyFill="1" applyBorder="1"/>
    <xf numFmtId="164" fontId="6" fillId="3" borderId="7" xfId="0" applyNumberFormat="1" applyFont="1" applyFill="1" applyBorder="1"/>
    <xf numFmtId="164" fontId="26" fillId="3" borderId="7" xfId="0" applyNumberFormat="1" applyFont="1" applyFill="1" applyBorder="1"/>
    <xf numFmtId="164" fontId="26" fillId="4" borderId="7" xfId="0" applyNumberFormat="1" applyFont="1" applyFill="1" applyBorder="1"/>
    <xf numFmtId="164" fontId="6" fillId="3" borderId="18" xfId="0" applyNumberFormat="1" applyFont="1" applyFill="1" applyBorder="1"/>
    <xf numFmtId="164" fontId="0" fillId="3" borderId="0" xfId="0" applyNumberFormat="1" applyFill="1" applyAlignment="1">
      <alignment horizontal="left"/>
    </xf>
    <xf numFmtId="167" fontId="2" fillId="3" borderId="0" xfId="2" applyNumberFormat="1" applyFont="1" applyFill="1" applyAlignment="1">
      <alignment horizontal="left" indent="1"/>
    </xf>
    <xf numFmtId="167" fontId="0" fillId="3" borderId="0" xfId="0" applyNumberFormat="1" applyFill="1" applyAlignment="1">
      <alignment horizontal="left" indent="3"/>
    </xf>
    <xf numFmtId="167" fontId="0" fillId="4" borderId="0" xfId="0" applyNumberFormat="1" applyFill="1"/>
    <xf numFmtId="167" fontId="0" fillId="3" borderId="17" xfId="0" applyNumberFormat="1" applyFill="1" applyBorder="1"/>
    <xf numFmtId="167" fontId="6" fillId="3" borderId="0" xfId="13" applyNumberFormat="1" applyFont="1" applyFill="1" applyAlignment="1">
      <alignment horizontal="left" indent="2"/>
    </xf>
    <xf numFmtId="167" fontId="26" fillId="3" borderId="0" xfId="13" applyNumberFormat="1" applyFont="1" applyFill="1" applyAlignment="1">
      <alignment horizontal="left" indent="2"/>
    </xf>
    <xf numFmtId="167" fontId="26" fillId="3" borderId="7" xfId="13" applyNumberFormat="1" applyFont="1" applyFill="1" applyBorder="1" applyAlignment="1">
      <alignment horizontal="left" indent="1"/>
    </xf>
    <xf numFmtId="167" fontId="26" fillId="3" borderId="18" xfId="0" applyNumberFormat="1" applyFont="1" applyFill="1" applyBorder="1" applyAlignment="1">
      <alignment horizontal="right"/>
    </xf>
    <xf numFmtId="167" fontId="26" fillId="3" borderId="0" xfId="13" applyNumberFormat="1" applyFont="1" applyFill="1" applyAlignment="1">
      <alignment horizontal="left" indent="1"/>
    </xf>
    <xf numFmtId="167" fontId="29" fillId="4" borderId="0" xfId="0" applyNumberFormat="1" applyFont="1" applyFill="1"/>
    <xf numFmtId="167" fontId="30" fillId="3" borderId="0" xfId="0" applyNumberFormat="1" applyFont="1" applyFill="1"/>
    <xf numFmtId="167" fontId="20" fillId="3" borderId="0" xfId="0" applyNumberFormat="1" applyFont="1" applyFill="1"/>
    <xf numFmtId="167" fontId="30" fillId="3" borderId="17" xfId="0" applyNumberFormat="1" applyFont="1" applyFill="1" applyBorder="1"/>
    <xf numFmtId="167" fontId="6" fillId="3" borderId="0" xfId="13" applyNumberFormat="1" applyFont="1" applyFill="1" applyAlignment="1">
      <alignment horizontal="left" indent="1"/>
    </xf>
    <xf numFmtId="167" fontId="30" fillId="3" borderId="0" xfId="1" applyNumberFormat="1" applyFont="1" applyFill="1" applyAlignment="1">
      <alignment horizontal="left" indent="1"/>
    </xf>
    <xf numFmtId="167" fontId="20" fillId="4" borderId="0" xfId="0" applyNumberFormat="1" applyFont="1" applyFill="1" applyAlignment="1">
      <alignment horizontal="left" indent="1"/>
    </xf>
    <xf numFmtId="167" fontId="29" fillId="3" borderId="0" xfId="0" applyNumberFormat="1" applyFont="1" applyFill="1" applyAlignment="1">
      <alignment horizontal="left" indent="1"/>
    </xf>
    <xf numFmtId="167" fontId="29" fillId="4" borderId="0" xfId="0" applyNumberFormat="1" applyFont="1" applyFill="1" applyAlignment="1">
      <alignment horizontal="left" indent="1"/>
    </xf>
    <xf numFmtId="167" fontId="0" fillId="4" borderId="0" xfId="0" applyNumberFormat="1" applyFill="1" applyAlignment="1">
      <alignment horizontal="center"/>
    </xf>
    <xf numFmtId="167" fontId="0" fillId="3" borderId="0" xfId="0" applyNumberFormat="1" applyFill="1" applyAlignment="1">
      <alignment horizontal="center"/>
    </xf>
    <xf numFmtId="167" fontId="0" fillId="3" borderId="17" xfId="0" applyNumberFormat="1" applyFill="1" applyBorder="1" applyAlignment="1">
      <alignment horizontal="center"/>
    </xf>
    <xf numFmtId="164" fontId="0" fillId="3" borderId="0" xfId="0" applyNumberFormat="1" applyFill="1" applyAlignment="1">
      <alignment horizontal="left" indent="3"/>
    </xf>
    <xf numFmtId="164" fontId="6" fillId="3" borderId="7" xfId="0" applyNumberFormat="1" applyFont="1" applyFill="1" applyBorder="1" applyAlignment="1">
      <alignment horizontal="left" indent="3"/>
    </xf>
    <xf numFmtId="164" fontId="26" fillId="3" borderId="0" xfId="0" applyNumberFormat="1" applyFont="1" applyFill="1"/>
    <xf numFmtId="164" fontId="6" fillId="3" borderId="9" xfId="0" applyNumberFormat="1" applyFont="1" applyFill="1" applyBorder="1" applyAlignment="1">
      <alignment horizontal="left"/>
    </xf>
    <xf numFmtId="164" fontId="6" fillId="3" borderId="9" xfId="0" applyNumberFormat="1" applyFont="1" applyFill="1" applyBorder="1" applyAlignment="1">
      <alignment horizontal="left" indent="3"/>
    </xf>
    <xf numFmtId="164" fontId="6" fillId="4" borderId="9" xfId="0" applyNumberFormat="1" applyFont="1" applyFill="1" applyBorder="1"/>
    <xf numFmtId="164" fontId="6" fillId="3" borderId="9" xfId="0" applyNumberFormat="1" applyFont="1" applyFill="1" applyBorder="1"/>
    <xf numFmtId="164" fontId="26" fillId="3" borderId="9" xfId="0" applyNumberFormat="1" applyFont="1" applyFill="1" applyBorder="1"/>
    <xf numFmtId="164" fontId="26" fillId="4" borderId="9" xfId="0" applyNumberFormat="1" applyFont="1" applyFill="1" applyBorder="1"/>
    <xf numFmtId="164" fontId="6" fillId="3" borderId="20" xfId="0" applyNumberFormat="1" applyFont="1" applyFill="1" applyBorder="1"/>
    <xf numFmtId="164" fontId="23" fillId="2" borderId="0" xfId="8" applyNumberFormat="1" applyFont="1"/>
    <xf numFmtId="164" fontId="23" fillId="2" borderId="0" xfId="8" applyNumberFormat="1" applyFont="1" applyAlignment="1">
      <alignment horizontal="right"/>
    </xf>
    <xf numFmtId="164" fontId="23" fillId="2" borderId="17" xfId="8" applyNumberFormat="1" applyFont="1" applyBorder="1" applyAlignment="1">
      <alignment horizontal="right"/>
    </xf>
    <xf numFmtId="164" fontId="29" fillId="4" borderId="0" xfId="0" applyNumberFormat="1" applyFont="1" applyFill="1"/>
    <xf numFmtId="164" fontId="30" fillId="3" borderId="17" xfId="0" applyNumberFormat="1" applyFont="1" applyFill="1" applyBorder="1"/>
    <xf numFmtId="164" fontId="9" fillId="3" borderId="0" xfId="0" applyNumberFormat="1" applyFont="1" applyFill="1"/>
    <xf numFmtId="164" fontId="9" fillId="4" borderId="0" xfId="0" applyNumberFormat="1" applyFont="1" applyFill="1"/>
    <xf numFmtId="164" fontId="46" fillId="3" borderId="0" xfId="13" applyNumberFormat="1" applyFont="1" applyFill="1" applyAlignment="1">
      <alignment horizontal="left" indent="1"/>
    </xf>
    <xf numFmtId="164" fontId="28" fillId="3" borderId="0" xfId="13" applyNumberFormat="1" applyFont="1" applyFill="1" applyAlignment="1">
      <alignment horizontal="left" indent="2"/>
    </xf>
    <xf numFmtId="170" fontId="28" fillId="3" borderId="7" xfId="13" applyNumberFormat="1" applyFont="1" applyFill="1" applyBorder="1" applyAlignment="1">
      <alignment horizontal="left" indent="1"/>
    </xf>
    <xf numFmtId="164" fontId="28" fillId="3" borderId="7" xfId="0" applyNumberFormat="1" applyFont="1" applyFill="1" applyBorder="1" applyAlignment="1">
      <alignment horizontal="left" indent="3"/>
    </xf>
    <xf numFmtId="164" fontId="28" fillId="4" borderId="7" xfId="0" applyNumberFormat="1" applyFont="1" applyFill="1" applyBorder="1"/>
    <xf numFmtId="164" fontId="28" fillId="3" borderId="7" xfId="0" applyNumberFormat="1" applyFont="1" applyFill="1" applyBorder="1"/>
    <xf numFmtId="164" fontId="23" fillId="3" borderId="7" xfId="0" applyNumberFormat="1" applyFont="1" applyFill="1" applyBorder="1"/>
    <xf numFmtId="164" fontId="28" fillId="4" borderId="7" xfId="0" applyNumberFormat="1" applyFont="1" applyFill="1" applyBorder="1" applyAlignment="1">
      <alignment horizontal="right"/>
    </xf>
    <xf numFmtId="164" fontId="0" fillId="3" borderId="7" xfId="0" applyNumberFormat="1" applyFill="1" applyBorder="1"/>
    <xf numFmtId="164" fontId="23" fillId="3" borderId="18" xfId="0" applyNumberFormat="1" applyFont="1" applyFill="1" applyBorder="1"/>
    <xf numFmtId="164" fontId="0" fillId="4" borderId="7" xfId="0" applyNumberFormat="1" applyFill="1" applyBorder="1" applyAlignment="1">
      <alignment horizontal="right"/>
    </xf>
    <xf numFmtId="164" fontId="62" fillId="3" borderId="0" xfId="13" applyNumberFormat="1" applyFill="1" applyAlignment="1">
      <alignment horizontal="left" indent="1"/>
    </xf>
    <xf numFmtId="164" fontId="8" fillId="3" borderId="0" xfId="0" applyNumberFormat="1" applyFont="1" applyFill="1"/>
    <xf numFmtId="164" fontId="8" fillId="3" borderId="17" xfId="0" applyNumberFormat="1" applyFont="1" applyFill="1" applyBorder="1"/>
    <xf numFmtId="164" fontId="8" fillId="4" borderId="0" xfId="0" applyNumberFormat="1" applyFont="1" applyFill="1"/>
    <xf numFmtId="169" fontId="20" fillId="3" borderId="0" xfId="0" applyNumberFormat="1" applyFont="1" applyFill="1"/>
    <xf numFmtId="169" fontId="20" fillId="0" borderId="0" xfId="0" applyNumberFormat="1" applyFont="1"/>
    <xf numFmtId="164" fontId="62" fillId="3" borderId="0" xfId="13" applyNumberFormat="1" applyFill="1" applyAlignment="1">
      <alignment horizontal="left" indent="2"/>
    </xf>
    <xf numFmtId="164" fontId="62" fillId="3" borderId="7" xfId="13" applyNumberFormat="1" applyFill="1" applyBorder="1" applyAlignment="1">
      <alignment horizontal="left" indent="1"/>
    </xf>
    <xf numFmtId="164" fontId="0" fillId="3" borderId="7" xfId="0" applyNumberFormat="1" applyFill="1" applyBorder="1" applyAlignment="1">
      <alignment horizontal="left" indent="3"/>
    </xf>
    <xf numFmtId="164" fontId="0" fillId="4" borderId="7" xfId="0" applyNumberFormat="1" applyFill="1" applyBorder="1"/>
    <xf numFmtId="164" fontId="0" fillId="3" borderId="18" xfId="0" applyNumberFormat="1" applyFill="1" applyBorder="1"/>
    <xf numFmtId="164" fontId="62" fillId="3" borderId="9" xfId="13" applyNumberFormat="1" applyFill="1" applyBorder="1" applyAlignment="1">
      <alignment horizontal="left" indent="1"/>
    </xf>
    <xf numFmtId="164" fontId="0" fillId="3" borderId="9" xfId="0" applyNumberFormat="1" applyFill="1" applyBorder="1" applyAlignment="1">
      <alignment horizontal="left" indent="3"/>
    </xf>
    <xf numFmtId="164" fontId="0" fillId="4" borderId="9" xfId="0" applyNumberFormat="1" applyFill="1" applyBorder="1"/>
    <xf numFmtId="164" fontId="0" fillId="3" borderId="9" xfId="0" applyNumberFormat="1" applyFill="1" applyBorder="1"/>
    <xf numFmtId="164" fontId="0" fillId="3" borderId="20" xfId="0" applyNumberFormat="1" applyFill="1" applyBorder="1"/>
    <xf numFmtId="164" fontId="6" fillId="3" borderId="0" xfId="13" applyNumberFormat="1" applyFont="1" applyFill="1" applyAlignment="1">
      <alignment horizontal="left"/>
    </xf>
    <xf numFmtId="164" fontId="6" fillId="3" borderId="7" xfId="13" applyNumberFormat="1" applyFont="1" applyFill="1" applyBorder="1" applyAlignment="1">
      <alignment horizontal="left"/>
    </xf>
    <xf numFmtId="164" fontId="20" fillId="3" borderId="0" xfId="13" applyNumberFormat="1" applyFont="1" applyFill="1" applyAlignment="1">
      <alignment horizontal="left" indent="1"/>
    </xf>
    <xf numFmtId="164" fontId="20" fillId="4" borderId="0" xfId="0" applyNumberFormat="1" applyFont="1" applyFill="1" applyAlignment="1">
      <alignment horizontal="right"/>
    </xf>
    <xf numFmtId="164" fontId="29" fillId="3" borderId="0" xfId="13" applyNumberFormat="1" applyFont="1" applyFill="1" applyAlignment="1">
      <alignment horizontal="left"/>
    </xf>
    <xf numFmtId="164" fontId="28" fillId="3" borderId="0" xfId="13" applyNumberFormat="1" applyFont="1" applyFill="1" applyAlignment="1">
      <alignment horizontal="left"/>
    </xf>
    <xf numFmtId="164" fontId="6" fillId="3" borderId="9" xfId="13" applyNumberFormat="1" applyFont="1" applyFill="1" applyBorder="1" applyAlignment="1">
      <alignment horizontal="left"/>
    </xf>
    <xf numFmtId="164" fontId="62" fillId="3" borderId="2" xfId="13" applyNumberFormat="1" applyFill="1" applyBorder="1" applyAlignment="1">
      <alignment horizontal="left" indent="1"/>
    </xf>
    <xf numFmtId="164" fontId="28" fillId="3" borderId="0" xfId="0" applyNumberFormat="1" applyFont="1" applyFill="1" applyAlignment="1">
      <alignment horizontal="left" indent="3"/>
    </xf>
    <xf numFmtId="164" fontId="23" fillId="3" borderId="0" xfId="0" applyNumberFormat="1" applyFont="1" applyFill="1"/>
    <xf numFmtId="164" fontId="28" fillId="4" borderId="0" xfId="0" applyNumberFormat="1" applyFont="1" applyFill="1" applyAlignment="1">
      <alignment horizontal="right"/>
    </xf>
    <xf numFmtId="164" fontId="23" fillId="3" borderId="17" xfId="0" applyNumberFormat="1" applyFont="1" applyFill="1" applyBorder="1"/>
    <xf numFmtId="164" fontId="0" fillId="4" borderId="0" xfId="0" applyNumberFormat="1" applyFill="1" applyAlignment="1">
      <alignment horizontal="right"/>
    </xf>
    <xf numFmtId="167" fontId="26" fillId="3" borderId="0" xfId="1" applyNumberFormat="1" applyFont="1" applyFill="1" applyAlignment="1">
      <alignment horizontal="left"/>
    </xf>
    <xf numFmtId="167" fontId="26" fillId="3" borderId="0" xfId="1" applyNumberFormat="1" applyFont="1" applyFill="1" applyAlignment="1">
      <alignment horizontal="left" indent="3"/>
    </xf>
    <xf numFmtId="167" fontId="27" fillId="3" borderId="0" xfId="1" applyNumberFormat="1" applyFont="1" applyFill="1"/>
    <xf numFmtId="167" fontId="26" fillId="4" borderId="0" xfId="1" applyNumberFormat="1" applyFont="1" applyFill="1" applyAlignment="1">
      <alignment horizontal="right"/>
    </xf>
    <xf numFmtId="167" fontId="27" fillId="3" borderId="17" xfId="1" applyNumberFormat="1" applyFont="1" applyFill="1" applyBorder="1"/>
    <xf numFmtId="167" fontId="14" fillId="4" borderId="0" xfId="1" applyNumberFormat="1" applyFont="1" applyFill="1" applyAlignment="1">
      <alignment horizontal="right"/>
    </xf>
    <xf numFmtId="167" fontId="33" fillId="3" borderId="0" xfId="1" applyNumberFormat="1" applyFont="1" applyFill="1"/>
    <xf numFmtId="167" fontId="33" fillId="0" borderId="0" xfId="1" applyNumberFormat="1" applyFont="1"/>
    <xf numFmtId="44" fontId="3" fillId="3" borderId="0" xfId="2" applyFont="1" applyFill="1"/>
    <xf numFmtId="44" fontId="26" fillId="3" borderId="0" xfId="2" applyFont="1" applyFill="1" applyAlignment="1">
      <alignment horizontal="left" indent="3"/>
    </xf>
    <xf numFmtId="44" fontId="26" fillId="4" borderId="0" xfId="2" applyFont="1" applyFill="1"/>
    <xf numFmtId="44" fontId="26" fillId="3" borderId="0" xfId="2" applyFont="1" applyFill="1"/>
    <xf numFmtId="44" fontId="27" fillId="3" borderId="0" xfId="2" applyFont="1" applyFill="1"/>
    <xf numFmtId="44" fontId="26" fillId="4" borderId="0" xfId="2" applyFont="1" applyFill="1" applyAlignment="1">
      <alignment horizontal="right"/>
    </xf>
    <xf numFmtId="44" fontId="6" fillId="3" borderId="0" xfId="2" applyFont="1" applyFill="1"/>
    <xf numFmtId="44" fontId="27" fillId="3" borderId="17" xfId="2" applyFont="1" applyFill="1" applyBorder="1"/>
    <xf numFmtId="44" fontId="6" fillId="4" borderId="0" xfId="2" applyFont="1" applyFill="1" applyAlignment="1">
      <alignment horizontal="right"/>
    </xf>
    <xf numFmtId="44" fontId="33" fillId="3" borderId="0" xfId="2" applyFont="1" applyFill="1"/>
    <xf numFmtId="44" fontId="33" fillId="0" borderId="0" xfId="2" applyFont="1"/>
    <xf numFmtId="44" fontId="20" fillId="3" borderId="0" xfId="13" applyNumberFormat="1" applyFont="1" applyFill="1" applyAlignment="1">
      <alignment horizontal="left" indent="1"/>
    </xf>
    <xf numFmtId="44" fontId="28" fillId="3" borderId="0" xfId="0" applyNumberFormat="1" applyFont="1" applyFill="1" applyAlignment="1">
      <alignment horizontal="left" indent="3"/>
    </xf>
    <xf numFmtId="44" fontId="28" fillId="4" borderId="0" xfId="0" applyNumberFormat="1" applyFont="1" applyFill="1"/>
    <xf numFmtId="44" fontId="28" fillId="3" borderId="0" xfId="0" applyNumberFormat="1" applyFont="1" applyFill="1"/>
    <xf numFmtId="44" fontId="23" fillId="3" borderId="0" xfId="0" applyNumberFormat="1" applyFont="1" applyFill="1"/>
    <xf numFmtId="44" fontId="28" fillId="4" borderId="0" xfId="0" applyNumberFormat="1" applyFont="1" applyFill="1" applyAlignment="1">
      <alignment horizontal="right"/>
    </xf>
    <xf numFmtId="44" fontId="0" fillId="3" borderId="0" xfId="0" applyNumberFormat="1" applyFill="1"/>
    <xf numFmtId="44" fontId="23" fillId="3" borderId="17" xfId="0" applyNumberFormat="1" applyFont="1" applyFill="1" applyBorder="1"/>
    <xf numFmtId="44" fontId="29" fillId="3" borderId="0" xfId="0" applyNumberFormat="1" applyFont="1" applyFill="1"/>
    <xf numFmtId="44" fontId="29" fillId="4" borderId="0" xfId="0" applyNumberFormat="1" applyFont="1" applyFill="1" applyAlignment="1">
      <alignment horizontal="right"/>
    </xf>
    <xf numFmtId="164" fontId="23" fillId="3" borderId="0" xfId="0" applyNumberFormat="1" applyFont="1" applyFill="1" applyAlignment="1">
      <alignment horizontal="left" indent="1"/>
    </xf>
    <xf numFmtId="169" fontId="6" fillId="4" borderId="0" xfId="2" applyNumberFormat="1" applyFont="1" applyFill="1" applyAlignment="1">
      <alignment horizontal="right" indent="1"/>
    </xf>
    <xf numFmtId="169" fontId="6" fillId="4" borderId="0" xfId="2" applyNumberFormat="1" applyFont="1" applyFill="1"/>
    <xf numFmtId="169" fontId="6" fillId="3" borderId="0" xfId="2" applyNumberFormat="1" applyFont="1" applyFill="1"/>
    <xf numFmtId="169" fontId="6" fillId="3" borderId="17" xfId="2" applyNumberFormat="1" applyFont="1" applyFill="1" applyBorder="1"/>
    <xf numFmtId="169" fontId="30" fillId="3" borderId="17" xfId="2" applyNumberFormat="1" applyFont="1" applyFill="1" applyBorder="1"/>
    <xf numFmtId="164" fontId="3" fillId="3" borderId="0" xfId="0" applyNumberFormat="1" applyFont="1" applyFill="1"/>
    <xf numFmtId="164" fontId="30" fillId="4" borderId="0" xfId="0" applyNumberFormat="1" applyFont="1" applyFill="1" applyAlignment="1">
      <alignment horizontal="right"/>
    </xf>
    <xf numFmtId="172" fontId="2" fillId="3" borderId="0" xfId="2" applyNumberFormat="1" applyFont="1" applyFill="1"/>
    <xf numFmtId="172" fontId="0" fillId="3" borderId="0" xfId="0" applyNumberFormat="1" applyFill="1" applyAlignment="1">
      <alignment horizontal="left" indent="3"/>
    </xf>
    <xf numFmtId="172" fontId="0" fillId="4" borderId="0" xfId="0" applyNumberFormat="1" applyFill="1"/>
    <xf numFmtId="172" fontId="0" fillId="3" borderId="0" xfId="0" applyNumberFormat="1" applyFill="1"/>
    <xf numFmtId="172" fontId="0" fillId="3" borderId="17" xfId="0" applyNumberFormat="1" applyFill="1" applyBorder="1"/>
    <xf numFmtId="172" fontId="0" fillId="0" borderId="0" xfId="0" applyNumberFormat="1"/>
    <xf numFmtId="170" fontId="6" fillId="3" borderId="0" xfId="0" applyNumberFormat="1" applyFont="1" applyFill="1" applyAlignment="1">
      <alignment horizontal="right"/>
    </xf>
    <xf numFmtId="0" fontId="0" fillId="3" borderId="0" xfId="0" applyFill="1" applyAlignment="1">
      <alignment horizontal="left" indent="3"/>
    </xf>
    <xf numFmtId="0" fontId="0" fillId="4" borderId="0" xfId="0" applyFill="1"/>
    <xf numFmtId="188" fontId="6" fillId="4" borderId="0" xfId="0" applyNumberFormat="1" applyFont="1" applyFill="1" applyAlignment="1">
      <alignment horizontal="right"/>
    </xf>
    <xf numFmtId="170" fontId="0" fillId="3" borderId="0" xfId="0" applyNumberFormat="1" applyFill="1" applyAlignment="1">
      <alignment horizontal="left" indent="3"/>
    </xf>
    <xf numFmtId="170" fontId="0" fillId="3" borderId="0" xfId="0" applyNumberFormat="1" applyFill="1" applyAlignment="1">
      <alignment horizontal="right"/>
    </xf>
    <xf numFmtId="170" fontId="0" fillId="3" borderId="0" xfId="0" applyNumberFormat="1" applyFill="1"/>
    <xf numFmtId="170" fontId="0" fillId="3" borderId="17" xfId="0" applyNumberFormat="1" applyFill="1" applyBorder="1"/>
    <xf numFmtId="170" fontId="0" fillId="0" borderId="0" xfId="0" applyNumberFormat="1"/>
    <xf numFmtId="170" fontId="2" fillId="3" borderId="0" xfId="0" applyNumberFormat="1" applyFont="1" applyFill="1"/>
    <xf numFmtId="188" fontId="0" fillId="3" borderId="17" xfId="0" applyNumberFormat="1" applyFill="1" applyBorder="1" applyAlignment="1">
      <alignment horizontal="right"/>
    </xf>
    <xf numFmtId="190" fontId="0" fillId="4" borderId="0" xfId="0" applyNumberFormat="1" applyFill="1" applyAlignment="1">
      <alignment horizontal="right"/>
    </xf>
    <xf numFmtId="190" fontId="0" fillId="3" borderId="0" xfId="0" applyNumberFormat="1" applyFill="1" applyAlignment="1">
      <alignment horizontal="right"/>
    </xf>
    <xf numFmtId="190" fontId="0" fillId="3" borderId="17" xfId="0" applyNumberFormat="1" applyFill="1" applyBorder="1" applyAlignment="1">
      <alignment horizontal="right"/>
    </xf>
    <xf numFmtId="190" fontId="0" fillId="0" borderId="0" xfId="0" applyNumberFormat="1"/>
    <xf numFmtId="164" fontId="0" fillId="3" borderId="0" xfId="0" applyNumberFormat="1" applyFill="1" applyAlignment="1">
      <alignment horizontal="left" indent="2"/>
    </xf>
    <xf numFmtId="164" fontId="28" fillId="3" borderId="0" xfId="0" applyNumberFormat="1" applyFont="1" applyFill="1" applyAlignment="1">
      <alignment horizontal="left" indent="1"/>
    </xf>
    <xf numFmtId="164" fontId="25" fillId="5" borderId="0" xfId="0" applyNumberFormat="1" applyFont="1" applyFill="1" applyAlignment="1">
      <alignment horizontal="left"/>
    </xf>
    <xf numFmtId="164" fontId="25" fillId="5" borderId="0" xfId="0" applyNumberFormat="1" applyFont="1" applyFill="1" applyAlignment="1">
      <alignment horizontal="left" indent="3"/>
    </xf>
    <xf numFmtId="167" fontId="10" fillId="3" borderId="0" xfId="0" applyNumberFormat="1" applyFont="1" applyFill="1"/>
    <xf numFmtId="164" fontId="10" fillId="3" borderId="0" xfId="0" applyNumberFormat="1" applyFont="1" applyFill="1" applyAlignment="1">
      <alignment horizontal="left" indent="1"/>
    </xf>
    <xf numFmtId="164" fontId="10" fillId="3" borderId="0" xfId="0" applyNumberFormat="1" applyFont="1" applyFill="1" applyAlignment="1">
      <alignment horizontal="left" indent="3"/>
    </xf>
    <xf numFmtId="164" fontId="0" fillId="3" borderId="0" xfId="0" applyNumberFormat="1" applyFill="1" applyAlignment="1">
      <alignment horizontal="right"/>
    </xf>
    <xf numFmtId="164" fontId="0" fillId="3" borderId="21" xfId="0" applyNumberFormat="1" applyFill="1" applyBorder="1"/>
    <xf numFmtId="164" fontId="32" fillId="5" borderId="21" xfId="0" applyNumberFormat="1" applyFont="1" applyFill="1" applyBorder="1"/>
    <xf numFmtId="164" fontId="2" fillId="3" borderId="0" xfId="15" applyNumberFormat="1" applyFill="1" applyAlignment="1">
      <alignment horizontal="left" indent="1"/>
    </xf>
    <xf numFmtId="164" fontId="2" fillId="3" borderId="0" xfId="15" applyNumberFormat="1" applyFill="1"/>
    <xf numFmtId="164" fontId="27" fillId="3" borderId="22" xfId="15" applyNumberFormat="1" applyFont="1" applyFill="1" applyBorder="1"/>
    <xf numFmtId="166" fontId="3" fillId="3" borderId="0" xfId="15" applyNumberFormat="1" applyFont="1" applyFill="1"/>
    <xf numFmtId="166" fontId="6" fillId="3" borderId="21" xfId="0" applyNumberFormat="1" applyFont="1" applyFill="1" applyBorder="1"/>
    <xf numFmtId="174" fontId="23" fillId="3" borderId="23" xfId="15" applyNumberFormat="1" applyFont="1" applyFill="1" applyBorder="1" applyAlignment="1">
      <alignment horizontal="left" indent="1"/>
    </xf>
    <xf numFmtId="166" fontId="2" fillId="3" borderId="0" xfId="15" applyNumberFormat="1" applyFill="1"/>
    <xf numFmtId="166" fontId="0" fillId="3" borderId="21" xfId="0" applyNumberFormat="1" applyFill="1" applyBorder="1"/>
    <xf numFmtId="175" fontId="23" fillId="3" borderId="23" xfId="15" applyNumberFormat="1" applyFont="1" applyFill="1" applyBorder="1" applyAlignment="1">
      <alignment horizontal="left" indent="1"/>
    </xf>
    <xf numFmtId="176" fontId="23" fillId="3" borderId="23" xfId="15" applyNumberFormat="1" applyFont="1" applyFill="1" applyBorder="1" applyAlignment="1">
      <alignment horizontal="left" indent="1"/>
    </xf>
    <xf numFmtId="179" fontId="23" fillId="3" borderId="24" xfId="15" applyNumberFormat="1" applyFont="1" applyFill="1" applyBorder="1" applyAlignment="1">
      <alignment horizontal="left" indent="1"/>
    </xf>
    <xf numFmtId="164" fontId="27" fillId="3" borderId="15" xfId="15" applyNumberFormat="1" applyFont="1" applyFill="1" applyBorder="1"/>
    <xf numFmtId="0" fontId="6" fillId="3" borderId="21" xfId="0" applyFont="1" applyFill="1" applyBorder="1"/>
    <xf numFmtId="164" fontId="23" fillId="3" borderId="16" xfId="15" applyNumberFormat="1" applyFont="1" applyFill="1" applyBorder="1" applyAlignment="1">
      <alignment horizontal="left" indent="1"/>
    </xf>
    <xf numFmtId="166" fontId="23" fillId="3" borderId="13" xfId="15" applyNumberFormat="1" applyFont="1" applyFill="1" applyBorder="1"/>
    <xf numFmtId="164" fontId="23" fillId="3" borderId="25" xfId="15" applyNumberFormat="1" applyFont="1" applyFill="1" applyBorder="1" applyAlignment="1">
      <alignment horizontal="left" indent="1"/>
    </xf>
    <xf numFmtId="166" fontId="23" fillId="3" borderId="14" xfId="15" applyNumberFormat="1" applyFont="1" applyFill="1" applyBorder="1"/>
    <xf numFmtId="167" fontId="23" fillId="3" borderId="0" xfId="15" applyNumberFormat="1" applyFont="1" applyFill="1"/>
    <xf numFmtId="164" fontId="23" fillId="3" borderId="0" xfId="15" applyNumberFormat="1" applyFont="1" applyFill="1"/>
    <xf numFmtId="164" fontId="23" fillId="3" borderId="11" xfId="15" applyNumberFormat="1" applyFont="1" applyFill="1" applyBorder="1"/>
    <xf numFmtId="164" fontId="23" fillId="3" borderId="0" xfId="15" applyNumberFormat="1" applyFont="1" applyFill="1" applyAlignment="1">
      <alignment horizontal="left" indent="1"/>
    </xf>
    <xf numFmtId="164" fontId="28" fillId="3" borderId="21" xfId="0" applyNumberFormat="1" applyFont="1" applyFill="1" applyBorder="1"/>
    <xf numFmtId="165" fontId="27" fillId="3" borderId="15" xfId="15" applyNumberFormat="1" applyFont="1" applyFill="1" applyBorder="1" applyAlignment="1">
      <alignment horizontal="left"/>
    </xf>
    <xf numFmtId="164" fontId="23" fillId="3" borderId="10" xfId="15" applyNumberFormat="1" applyFont="1" applyFill="1" applyBorder="1"/>
    <xf numFmtId="164" fontId="28" fillId="3" borderId="26" xfId="0" applyNumberFormat="1" applyFont="1" applyFill="1" applyBorder="1"/>
    <xf numFmtId="165" fontId="23" fillId="3" borderId="16" xfId="15" applyNumberFormat="1" applyFont="1" applyFill="1" applyBorder="1" applyAlignment="1">
      <alignment horizontal="left"/>
    </xf>
    <xf numFmtId="17" fontId="23" fillId="3" borderId="0" xfId="15" applyNumberFormat="1" applyFont="1" applyFill="1"/>
    <xf numFmtId="17" fontId="28" fillId="3" borderId="21" xfId="0" applyNumberFormat="1" applyFont="1" applyFill="1" applyBorder="1"/>
    <xf numFmtId="188" fontId="23" fillId="3" borderId="16" xfId="15" applyNumberFormat="1" applyFont="1" applyFill="1" applyBorder="1" applyAlignment="1">
      <alignment horizontal="left" indent="1"/>
    </xf>
    <xf numFmtId="188" fontId="23" fillId="3" borderId="0" xfId="15" applyNumberFormat="1" applyFont="1" applyFill="1"/>
    <xf numFmtId="188" fontId="28" fillId="3" borderId="21" xfId="0" applyNumberFormat="1" applyFont="1" applyFill="1" applyBorder="1"/>
    <xf numFmtId="188" fontId="23" fillId="3" borderId="16" xfId="15" applyNumberFormat="1" applyFont="1" applyFill="1" applyBorder="1" applyAlignment="1">
      <alignment horizontal="left" indent="2"/>
    </xf>
    <xf numFmtId="190" fontId="23" fillId="3" borderId="16" xfId="15" applyNumberFormat="1" applyFont="1" applyFill="1" applyBorder="1" applyAlignment="1">
      <alignment horizontal="left" indent="1"/>
    </xf>
    <xf numFmtId="190" fontId="23" fillId="3" borderId="0" xfId="15" applyNumberFormat="1" applyFont="1" applyFill="1"/>
    <xf numFmtId="190" fontId="28" fillId="3" borderId="21" xfId="0" applyNumberFormat="1" applyFont="1" applyFill="1" applyBorder="1"/>
    <xf numFmtId="190" fontId="23" fillId="3" borderId="16" xfId="15" applyNumberFormat="1" applyFont="1" applyFill="1" applyBorder="1" applyAlignment="1">
      <alignment horizontal="left" indent="2"/>
    </xf>
    <xf numFmtId="164" fontId="28" fillId="3" borderId="27" xfId="0" applyNumberFormat="1" applyFont="1" applyFill="1" applyBorder="1"/>
    <xf numFmtId="188" fontId="0" fillId="3" borderId="21" xfId="0" applyNumberFormat="1" applyFill="1" applyBorder="1"/>
    <xf numFmtId="0" fontId="0" fillId="3" borderId="21" xfId="0" applyFill="1" applyBorder="1"/>
    <xf numFmtId="0" fontId="35" fillId="5" borderId="21" xfId="0" applyFont="1" applyFill="1" applyBorder="1"/>
    <xf numFmtId="167" fontId="25" fillId="5" borderId="21" xfId="0" applyNumberFormat="1" applyFont="1" applyFill="1" applyBorder="1"/>
    <xf numFmtId="166" fontId="25" fillId="5" borderId="21" xfId="0" applyNumberFormat="1" applyFont="1" applyFill="1" applyBorder="1"/>
    <xf numFmtId="164" fontId="32" fillId="5" borderId="21" xfId="13" applyNumberFormat="1" applyFont="1" applyFill="1" applyBorder="1"/>
    <xf numFmtId="167" fontId="35" fillId="5" borderId="21" xfId="13" applyNumberFormat="1" applyFont="1" applyFill="1" applyBorder="1"/>
    <xf numFmtId="164" fontId="23" fillId="3" borderId="2" xfId="11" applyNumberFormat="1" applyFont="1" applyFill="1" applyBorder="1"/>
    <xf numFmtId="167" fontId="28" fillId="3" borderId="4" xfId="0" applyNumberFormat="1" applyFont="1" applyFill="1" applyBorder="1"/>
    <xf numFmtId="164" fontId="28" fillId="3" borderId="4" xfId="0" applyNumberFormat="1" applyFont="1" applyFill="1" applyBorder="1"/>
    <xf numFmtId="164" fontId="28" fillId="3" borderId="1" xfId="0" applyNumberFormat="1" applyFont="1" applyFill="1" applyBorder="1"/>
    <xf numFmtId="164" fontId="23" fillId="3" borderId="5" xfId="11" applyNumberFormat="1" applyFont="1" applyFill="1" applyBorder="1" applyAlignment="1">
      <alignment horizontal="left" indent="1"/>
    </xf>
    <xf numFmtId="164" fontId="23" fillId="3" borderId="3" xfId="11" applyNumberFormat="1" applyFont="1" applyFill="1" applyBorder="1" applyAlignment="1">
      <alignment horizontal="left" indent="1"/>
    </xf>
    <xf numFmtId="164" fontId="27" fillId="3" borderId="28" xfId="11" applyNumberFormat="1" applyFont="1" applyFill="1" applyBorder="1"/>
    <xf numFmtId="174" fontId="23" fillId="3" borderId="29" xfId="11" applyNumberFormat="1" applyFont="1" applyFill="1" applyBorder="1" applyAlignment="1">
      <alignment horizontal="left" indent="1"/>
    </xf>
    <xf numFmtId="175" fontId="23" fillId="3" borderId="29" xfId="11" applyNumberFormat="1" applyFont="1" applyFill="1" applyBorder="1" applyAlignment="1">
      <alignment horizontal="left" indent="1"/>
    </xf>
    <xf numFmtId="176" fontId="23" fillId="3" borderId="29" xfId="11" applyNumberFormat="1" applyFont="1" applyFill="1" applyBorder="1" applyAlignment="1">
      <alignment horizontal="left" indent="1"/>
    </xf>
    <xf numFmtId="0" fontId="26" fillId="3" borderId="6" xfId="0" applyFont="1" applyFill="1" applyBorder="1"/>
    <xf numFmtId="164" fontId="27" fillId="3" borderId="8" xfId="11" applyNumberFormat="1" applyFont="1" applyFill="1" applyBorder="1"/>
    <xf numFmtId="164" fontId="3" fillId="3" borderId="6" xfId="11" applyNumberFormat="1" applyFont="1" applyFill="1" applyBorder="1" applyAlignment="1">
      <alignment horizontal="left"/>
    </xf>
    <xf numFmtId="164" fontId="2" fillId="3" borderId="4" xfId="11" applyNumberFormat="1" applyFill="1" applyBorder="1" applyAlignment="1">
      <alignment horizontal="left" indent="1"/>
    </xf>
    <xf numFmtId="166" fontId="0" fillId="3" borderId="7" xfId="0" applyNumberFormat="1" applyFill="1" applyBorder="1" applyAlignment="1">
      <alignment horizontal="left" indent="1"/>
    </xf>
    <xf numFmtId="166" fontId="0" fillId="3" borderId="7" xfId="0" applyNumberFormat="1" applyFill="1" applyBorder="1"/>
    <xf numFmtId="166" fontId="28" fillId="3" borderId="7" xfId="0" applyNumberFormat="1" applyFont="1" applyFill="1" applyBorder="1"/>
    <xf numFmtId="0" fontId="4" fillId="3" borderId="24" xfId="9" applyFill="1" applyBorder="1"/>
    <xf numFmtId="166" fontId="28" fillId="3" borderId="0" xfId="0" applyNumberFormat="1" applyFont="1" applyFill="1" applyAlignment="1">
      <alignment horizontal="right"/>
    </xf>
    <xf numFmtId="170" fontId="26" fillId="3" borderId="0" xfId="0" applyNumberFormat="1" applyFont="1" applyFill="1" applyAlignment="1">
      <alignment horizontal="right"/>
    </xf>
    <xf numFmtId="166" fontId="28" fillId="3" borderId="11" xfId="0" applyNumberFormat="1" applyFont="1" applyFill="1" applyBorder="1"/>
    <xf numFmtId="172" fontId="27" fillId="3" borderId="0" xfId="2" applyNumberFormat="1" applyFont="1" applyFill="1"/>
    <xf numFmtId="172" fontId="26" fillId="3" borderId="0" xfId="0" applyNumberFormat="1" applyFont="1" applyFill="1" applyAlignment="1">
      <alignment horizontal="left" indent="3"/>
    </xf>
    <xf numFmtId="166" fontId="5" fillId="3" borderId="7" xfId="0" applyNumberFormat="1" applyFont="1" applyFill="1" applyBorder="1"/>
    <xf numFmtId="166" fontId="27" fillId="3" borderId="7" xfId="0" applyNumberFormat="1" applyFont="1" applyFill="1" applyBorder="1"/>
    <xf numFmtId="164" fontId="23" fillId="3" borderId="7" xfId="0" applyNumberFormat="1" applyFont="1" applyFill="1" applyBorder="1" applyAlignment="1">
      <alignment horizontal="left" indent="1"/>
    </xf>
    <xf numFmtId="166" fontId="28" fillId="3" borderId="7" xfId="0" applyNumberFormat="1" applyFont="1" applyFill="1" applyBorder="1" applyAlignment="1">
      <alignment horizontal="left" indent="3"/>
    </xf>
    <xf numFmtId="166" fontId="28" fillId="3" borderId="0" xfId="0" applyNumberFormat="1" applyFont="1" applyFill="1" applyAlignment="1">
      <alignment horizontal="left" indent="2"/>
    </xf>
    <xf numFmtId="166" fontId="25" fillId="5" borderId="0" xfId="13" applyNumberFormat="1" applyFont="1" applyFill="1"/>
    <xf numFmtId="166" fontId="26" fillId="3" borderId="0" xfId="13" applyNumberFormat="1" applyFont="1" applyFill="1"/>
    <xf numFmtId="167" fontId="26" fillId="3" borderId="2" xfId="0" applyNumberFormat="1" applyFont="1" applyFill="1" applyBorder="1" applyAlignment="1">
      <alignment horizontal="left" indent="2"/>
    </xf>
    <xf numFmtId="167" fontId="27" fillId="3" borderId="2" xfId="2" applyNumberFormat="1" applyFont="1" applyFill="1" applyBorder="1"/>
    <xf numFmtId="167" fontId="26" fillId="3" borderId="2" xfId="0" applyNumberFormat="1" applyFont="1" applyFill="1" applyBorder="1" applyAlignment="1">
      <alignment horizontal="center"/>
    </xf>
    <xf numFmtId="167" fontId="26" fillId="3" borderId="2" xfId="0" applyNumberFormat="1" applyFont="1" applyFill="1" applyBorder="1" applyAlignment="1">
      <alignment horizontal="left" indent="1"/>
    </xf>
    <xf numFmtId="167" fontId="26" fillId="3" borderId="0" xfId="0" applyNumberFormat="1" applyFont="1" applyFill="1" applyAlignment="1">
      <alignment horizontal="left" indent="1"/>
    </xf>
    <xf numFmtId="167" fontId="26" fillId="3" borderId="0" xfId="0" applyNumberFormat="1" applyFont="1" applyFill="1" applyAlignment="1">
      <alignment horizontal="center"/>
    </xf>
    <xf numFmtId="167" fontId="26" fillId="3" borderId="0" xfId="0" applyNumberFormat="1" applyFont="1" applyFill="1" applyAlignment="1">
      <alignment horizontal="left"/>
    </xf>
    <xf numFmtId="167" fontId="30" fillId="3" borderId="0" xfId="2" applyNumberFormat="1" applyFont="1" applyFill="1"/>
    <xf numFmtId="167" fontId="29" fillId="3" borderId="0" xfId="0" applyNumberFormat="1" applyFont="1" applyFill="1" applyAlignment="1">
      <alignment horizontal="center"/>
    </xf>
    <xf numFmtId="192" fontId="23" fillId="3" borderId="30" xfId="11" applyNumberFormat="1" applyFont="1" applyFill="1" applyBorder="1" applyAlignment="1">
      <alignment horizontal="left" indent="1"/>
    </xf>
    <xf numFmtId="0" fontId="4" fillId="3" borderId="30" xfId="9" applyFill="1" applyBorder="1"/>
    <xf numFmtId="169" fontId="26" fillId="3" borderId="0" xfId="13" applyNumberFormat="1" applyFont="1" applyFill="1" applyAlignment="1">
      <alignment horizontal="right"/>
    </xf>
    <xf numFmtId="166" fontId="26" fillId="3" borderId="21" xfId="0" applyNumberFormat="1" applyFont="1" applyFill="1" applyBorder="1"/>
    <xf numFmtId="166" fontId="28" fillId="3" borderId="21" xfId="0" applyNumberFormat="1" applyFont="1" applyFill="1" applyBorder="1"/>
    <xf numFmtId="177" fontId="2" fillId="3" borderId="0" xfId="0" applyNumberFormat="1" applyFont="1" applyFill="1" applyAlignment="1">
      <alignment horizontal="left"/>
    </xf>
    <xf numFmtId="186" fontId="3" fillId="3" borderId="0" xfId="0" applyNumberFormat="1" applyFont="1" applyFill="1" applyAlignment="1">
      <alignment horizontal="left"/>
    </xf>
    <xf numFmtId="169" fontId="5" fillId="3" borderId="0" xfId="2" applyNumberFormat="1" applyFont="1" applyFill="1" applyAlignment="1">
      <alignment horizontal="center"/>
    </xf>
    <xf numFmtId="187" fontId="3" fillId="3" borderId="0" xfId="0" applyNumberFormat="1" applyFont="1" applyFill="1"/>
    <xf numFmtId="43" fontId="26" fillId="3" borderId="0" xfId="0" applyNumberFormat="1" applyFont="1" applyFill="1"/>
    <xf numFmtId="167" fontId="28" fillId="3" borderId="0" xfId="0" applyNumberFormat="1" applyFont="1" applyFill="1" applyAlignment="1">
      <alignment horizontal="right"/>
    </xf>
    <xf numFmtId="168" fontId="23" fillId="3" borderId="0" xfId="0" applyNumberFormat="1" applyFont="1" applyFill="1" applyAlignment="1">
      <alignment horizontal="center"/>
    </xf>
    <xf numFmtId="0" fontId="28" fillId="3" borderId="0" xfId="0" applyFont="1" applyFill="1"/>
    <xf numFmtId="0" fontId="27" fillId="3" borderId="0" xfId="2" applyNumberFormat="1" applyFont="1" applyFill="1" applyAlignment="1">
      <alignment horizontal="center"/>
    </xf>
    <xf numFmtId="166" fontId="23" fillId="3" borderId="0" xfId="2" applyNumberFormat="1" applyFont="1" applyFill="1"/>
    <xf numFmtId="166" fontId="27" fillId="3" borderId="7" xfId="2" applyNumberFormat="1" applyFont="1" applyFill="1" applyBorder="1"/>
    <xf numFmtId="166" fontId="26" fillId="3" borderId="0" xfId="0" applyNumberFormat="1" applyFont="1" applyFill="1" applyAlignment="1">
      <alignment horizontal="left"/>
    </xf>
    <xf numFmtId="166" fontId="27" fillId="3" borderId="0" xfId="2" applyNumberFormat="1" applyFont="1" applyFill="1"/>
    <xf numFmtId="166" fontId="28" fillId="3" borderId="0" xfId="0" applyNumberFormat="1" applyFont="1" applyFill="1" applyAlignment="1">
      <alignment horizontal="left" indent="4"/>
    </xf>
    <xf numFmtId="166" fontId="28" fillId="3" borderId="2" xfId="0" applyNumberFormat="1" applyFont="1" applyFill="1" applyBorder="1" applyAlignment="1">
      <alignment horizontal="left" indent="4"/>
    </xf>
    <xf numFmtId="166" fontId="26" fillId="3" borderId="7" xfId="0" applyNumberFormat="1" applyFont="1" applyFill="1" applyBorder="1" applyAlignment="1">
      <alignment horizontal="left" indent="4"/>
    </xf>
    <xf numFmtId="164" fontId="28" fillId="3" borderId="0" xfId="0" applyNumberFormat="1" applyFont="1" applyFill="1" applyAlignment="1">
      <alignment horizontal="left"/>
    </xf>
    <xf numFmtId="164" fontId="28" fillId="3" borderId="0" xfId="0" applyNumberFormat="1" applyFont="1" applyFill="1" applyAlignment="1">
      <alignment horizontal="left" indent="4"/>
    </xf>
    <xf numFmtId="166" fontId="26" fillId="3" borderId="7" xfId="0" applyNumberFormat="1" applyFont="1" applyFill="1" applyBorder="1" applyAlignment="1">
      <alignment horizontal="left" indent="3"/>
    </xf>
    <xf numFmtId="166" fontId="26" fillId="3" borderId="9" xfId="0" applyNumberFormat="1" applyFont="1" applyFill="1" applyBorder="1" applyAlignment="1">
      <alignment horizontal="left" indent="3"/>
    </xf>
    <xf numFmtId="164" fontId="26" fillId="3" borderId="0" xfId="0" applyNumberFormat="1" applyFont="1" applyFill="1" applyAlignment="1">
      <alignment horizontal="left"/>
    </xf>
    <xf numFmtId="164" fontId="26" fillId="3" borderId="0" xfId="0" applyNumberFormat="1" applyFont="1" applyFill="1" applyAlignment="1">
      <alignment horizontal="left" indent="3"/>
    </xf>
    <xf numFmtId="43" fontId="26" fillId="3" borderId="0" xfId="0" applyNumberFormat="1" applyFont="1" applyFill="1" applyAlignment="1">
      <alignment horizontal="left"/>
    </xf>
    <xf numFmtId="43" fontId="26" fillId="3" borderId="0" xfId="0" applyNumberFormat="1" applyFont="1" applyFill="1" applyAlignment="1">
      <alignment horizontal="left" indent="3"/>
    </xf>
    <xf numFmtId="169" fontId="26" fillId="3" borderId="0" xfId="0" applyNumberFormat="1" applyFont="1" applyFill="1" applyAlignment="1">
      <alignment horizontal="left" indent="3"/>
    </xf>
    <xf numFmtId="166" fontId="28" fillId="3" borderId="11" xfId="0" applyNumberFormat="1" applyFont="1" applyFill="1" applyBorder="1" applyAlignment="1">
      <alignment horizontal="left" indent="3"/>
    </xf>
    <xf numFmtId="170" fontId="26" fillId="3" borderId="0" xfId="0" applyNumberFormat="1" applyFont="1" applyFill="1" applyAlignment="1">
      <alignment horizontal="left" indent="3"/>
    </xf>
    <xf numFmtId="170" fontId="26" fillId="3" borderId="0" xfId="0" applyNumberFormat="1" applyFont="1" applyFill="1"/>
    <xf numFmtId="0" fontId="28" fillId="3" borderId="0" xfId="0" applyFont="1" applyFill="1" applyAlignment="1">
      <alignment horizontal="left" indent="3"/>
    </xf>
    <xf numFmtId="170" fontId="23" fillId="3" borderId="0" xfId="0" applyNumberFormat="1" applyFont="1" applyFill="1"/>
    <xf numFmtId="170" fontId="28" fillId="3" borderId="0" xfId="0" applyNumberFormat="1" applyFont="1" applyFill="1" applyAlignment="1">
      <alignment horizontal="left" indent="3"/>
    </xf>
    <xf numFmtId="170" fontId="28" fillId="3" borderId="0" xfId="0" applyNumberFormat="1" applyFont="1" applyFill="1"/>
    <xf numFmtId="167" fontId="28" fillId="3" borderId="0" xfId="0" applyNumberFormat="1" applyFont="1" applyFill="1" applyAlignment="1">
      <alignment horizontal="left"/>
    </xf>
    <xf numFmtId="188" fontId="23" fillId="3" borderId="0" xfId="2" applyNumberFormat="1" applyFont="1" applyFill="1"/>
    <xf numFmtId="190" fontId="23" fillId="3" borderId="0" xfId="2" applyNumberFormat="1" applyFont="1" applyFill="1"/>
    <xf numFmtId="164" fontId="28" fillId="3" borderId="0" xfId="0" applyNumberFormat="1" applyFont="1" applyFill="1" applyAlignment="1">
      <alignment horizontal="left" indent="2"/>
    </xf>
    <xf numFmtId="167" fontId="33" fillId="3" borderId="0" xfId="0" applyNumberFormat="1" applyFont="1" applyFill="1" applyAlignment="1">
      <alignment horizontal="left" indent="3"/>
    </xf>
    <xf numFmtId="164" fontId="28" fillId="3" borderId="0" xfId="0" applyNumberFormat="1" applyFont="1" applyFill="1" applyAlignment="1">
      <alignment horizontal="right"/>
    </xf>
    <xf numFmtId="0" fontId="26" fillId="3" borderId="0" xfId="0" applyFont="1" applyFill="1"/>
    <xf numFmtId="0" fontId="26" fillId="3" borderId="21" xfId="0" applyFont="1" applyFill="1" applyBorder="1"/>
    <xf numFmtId="164" fontId="23" fillId="3" borderId="1" xfId="11" applyNumberFormat="1" applyFont="1" applyFill="1" applyBorder="1" applyAlignment="1">
      <alignment horizontal="left" indent="1"/>
    </xf>
    <xf numFmtId="0" fontId="28" fillId="3" borderId="21" xfId="0" applyFont="1" applyFill="1" applyBorder="1"/>
    <xf numFmtId="166" fontId="26" fillId="3" borderId="7" xfId="0" applyNumberFormat="1" applyFont="1" applyFill="1" applyBorder="1" applyAlignment="1">
      <alignment horizontal="left"/>
    </xf>
    <xf numFmtId="166" fontId="23" fillId="3" borderId="0" xfId="0" applyNumberFormat="1" applyFont="1" applyFill="1" applyAlignment="1">
      <alignment horizontal="left" indent="2"/>
    </xf>
    <xf numFmtId="166" fontId="26" fillId="3" borderId="0" xfId="0" applyNumberFormat="1" applyFont="1" applyFill="1" applyAlignment="1">
      <alignment horizontal="left" indent="4"/>
    </xf>
    <xf numFmtId="193" fontId="28" fillId="3" borderId="0" xfId="0" applyNumberFormat="1" applyFont="1" applyFill="1"/>
    <xf numFmtId="0" fontId="4" fillId="3" borderId="31" xfId="9" applyFill="1" applyBorder="1"/>
    <xf numFmtId="166" fontId="28" fillId="3" borderId="0" xfId="0" applyNumberFormat="1" applyFont="1" applyFill="1" applyAlignment="1">
      <alignment horizontal="left"/>
    </xf>
    <xf numFmtId="166" fontId="5" fillId="3" borderId="9" xfId="0" applyNumberFormat="1" applyFont="1" applyFill="1" applyBorder="1"/>
    <xf numFmtId="194" fontId="28" fillId="3" borderId="0" xfId="0" applyNumberFormat="1" applyFont="1" applyFill="1"/>
    <xf numFmtId="166" fontId="23" fillId="3" borderId="2" xfId="2" applyNumberFormat="1" applyFont="1" applyFill="1" applyBorder="1"/>
    <xf numFmtId="166" fontId="20" fillId="3" borderId="0" xfId="0" applyNumberFormat="1" applyFont="1" applyFill="1" applyAlignment="1">
      <alignment horizontal="left" indent="2"/>
    </xf>
    <xf numFmtId="166" fontId="30" fillId="3" borderId="0" xfId="2" applyNumberFormat="1" applyFont="1" applyFill="1"/>
    <xf numFmtId="166" fontId="20" fillId="3" borderId="0" xfId="0" applyNumberFormat="1" applyFont="1" applyFill="1" applyAlignment="1">
      <alignment horizontal="left" indent="1"/>
    </xf>
    <xf numFmtId="167" fontId="29" fillId="3" borderId="0" xfId="0" applyNumberFormat="1" applyFont="1" applyFill="1" applyAlignment="1">
      <alignment horizontal="right"/>
    </xf>
    <xf numFmtId="166" fontId="28" fillId="3" borderId="9" xfId="0" applyNumberFormat="1" applyFont="1" applyFill="1" applyBorder="1" applyAlignment="1">
      <alignment horizontal="left" indent="1"/>
    </xf>
    <xf numFmtId="166" fontId="23" fillId="3" borderId="9" xfId="2" applyNumberFormat="1" applyFont="1" applyFill="1" applyBorder="1"/>
    <xf numFmtId="166" fontId="28" fillId="3" borderId="9" xfId="0" applyNumberFormat="1" applyFont="1" applyFill="1" applyBorder="1"/>
    <xf numFmtId="167" fontId="28" fillId="3" borderId="0" xfId="0" applyNumberFormat="1" applyFont="1" applyFill="1" applyAlignment="1">
      <alignment horizontal="left" indent="1"/>
    </xf>
    <xf numFmtId="167" fontId="29" fillId="3" borderId="0" xfId="0" applyNumberFormat="1" applyFont="1" applyFill="1" applyAlignment="1">
      <alignment horizontal="left" indent="2"/>
    </xf>
    <xf numFmtId="166" fontId="28" fillId="3" borderId="2" xfId="0" applyNumberFormat="1" applyFont="1" applyFill="1" applyBorder="1" applyAlignment="1">
      <alignment horizontal="left" indent="2"/>
    </xf>
    <xf numFmtId="166" fontId="25" fillId="5" borderId="0" xfId="0" applyNumberFormat="1" applyFont="1" applyFill="1" applyAlignment="1">
      <alignment horizontal="right"/>
    </xf>
    <xf numFmtId="166" fontId="26" fillId="3" borderId="10" xfId="0" applyNumberFormat="1" applyFont="1" applyFill="1" applyBorder="1" applyAlignment="1">
      <alignment horizontal="left"/>
    </xf>
    <xf numFmtId="166" fontId="26" fillId="3" borderId="10" xfId="0" applyNumberFormat="1" applyFont="1" applyFill="1" applyBorder="1" applyAlignment="1">
      <alignment horizontal="left" indent="3"/>
    </xf>
    <xf numFmtId="166" fontId="26" fillId="3" borderId="10" xfId="0" applyNumberFormat="1" applyFont="1" applyFill="1" applyBorder="1" applyAlignment="1">
      <alignment horizontal="right"/>
    </xf>
    <xf numFmtId="166" fontId="26" fillId="3" borderId="0" xfId="0" applyNumberFormat="1" applyFont="1" applyFill="1" applyAlignment="1">
      <alignment horizontal="right"/>
    </xf>
    <xf numFmtId="166" fontId="29" fillId="3" borderId="0" xfId="0" applyNumberFormat="1" applyFont="1" applyFill="1" applyAlignment="1">
      <alignment horizontal="left"/>
    </xf>
    <xf numFmtId="166" fontId="29" fillId="3" borderId="0" xfId="0" applyNumberFormat="1" applyFont="1" applyFill="1" applyAlignment="1">
      <alignment horizontal="left" indent="1"/>
    </xf>
    <xf numFmtId="166" fontId="23" fillId="3" borderId="0" xfId="0" applyNumberFormat="1" applyFont="1" applyFill="1" applyAlignment="1">
      <alignment horizontal="left"/>
    </xf>
    <xf numFmtId="166" fontId="26" fillId="3" borderId="9" xfId="0" applyNumberFormat="1" applyFont="1" applyFill="1" applyBorder="1" applyAlignment="1">
      <alignment horizontal="left"/>
    </xf>
    <xf numFmtId="166" fontId="28" fillId="3" borderId="2" xfId="0" applyNumberFormat="1" applyFont="1" applyFill="1" applyBorder="1" applyAlignment="1">
      <alignment horizontal="right"/>
    </xf>
    <xf numFmtId="166" fontId="23" fillId="3" borderId="2" xfId="0" applyNumberFormat="1" applyFont="1" applyFill="1" applyBorder="1" applyAlignment="1">
      <alignment horizontal="right"/>
    </xf>
    <xf numFmtId="166" fontId="28" fillId="3" borderId="7" xfId="0" applyNumberFormat="1" applyFont="1" applyFill="1" applyBorder="1" applyAlignment="1">
      <alignment horizontal="left" indent="1"/>
    </xf>
    <xf numFmtId="166" fontId="28" fillId="3" borderId="7" xfId="0" applyNumberFormat="1" applyFont="1" applyFill="1" applyBorder="1" applyAlignment="1">
      <alignment horizontal="right"/>
    </xf>
    <xf numFmtId="166" fontId="23" fillId="3" borderId="7" xfId="0" applyNumberFormat="1" applyFont="1" applyFill="1" applyBorder="1" applyAlignment="1">
      <alignment horizontal="right"/>
    </xf>
    <xf numFmtId="167" fontId="26" fillId="3" borderId="0" xfId="1" applyNumberFormat="1" applyFont="1" applyFill="1" applyAlignment="1">
      <alignment horizontal="right"/>
    </xf>
    <xf numFmtId="166" fontId="27" fillId="3" borderId="0" xfId="2" applyNumberFormat="1" applyFont="1" applyFill="1" applyAlignment="1">
      <alignment horizontal="left"/>
    </xf>
    <xf numFmtId="167" fontId="26" fillId="3" borderId="7" xfId="0" applyNumberFormat="1" applyFont="1" applyFill="1" applyBorder="1" applyAlignment="1">
      <alignment horizontal="left"/>
    </xf>
    <xf numFmtId="167" fontId="26" fillId="3" borderId="7" xfId="0" applyNumberFormat="1" applyFont="1" applyFill="1" applyBorder="1" applyAlignment="1">
      <alignment horizontal="center"/>
    </xf>
    <xf numFmtId="166" fontId="33" fillId="3" borderId="7" xfId="0" applyNumberFormat="1" applyFont="1" applyFill="1" applyBorder="1" applyAlignment="1">
      <alignment horizontal="left" indent="3"/>
    </xf>
    <xf numFmtId="167" fontId="20" fillId="3" borderId="0" xfId="0" applyNumberFormat="1" applyFont="1" applyFill="1" applyAlignment="1">
      <alignment horizontal="left" indent="2"/>
    </xf>
    <xf numFmtId="167" fontId="28" fillId="3" borderId="0" xfId="0" applyNumberFormat="1" applyFont="1" applyFill="1" applyAlignment="1">
      <alignment horizontal="left" indent="4"/>
    </xf>
    <xf numFmtId="167" fontId="0" fillId="3" borderId="0" xfId="0" applyNumberFormat="1" applyFill="1" applyAlignment="1">
      <alignment horizontal="left" indent="2"/>
    </xf>
    <xf numFmtId="167" fontId="6" fillId="3" borderId="7" xfId="0" applyNumberFormat="1" applyFont="1" applyFill="1" applyBorder="1" applyAlignment="1">
      <alignment horizontal="left"/>
    </xf>
    <xf numFmtId="167" fontId="26" fillId="3" borderId="7" xfId="0" applyNumberFormat="1" applyFont="1" applyFill="1" applyBorder="1" applyAlignment="1">
      <alignment horizontal="left" indent="4"/>
    </xf>
    <xf numFmtId="167" fontId="6" fillId="3" borderId="7" xfId="0" applyNumberFormat="1" applyFont="1" applyFill="1" applyBorder="1"/>
    <xf numFmtId="167" fontId="26" fillId="3" borderId="7" xfId="0" applyNumberFormat="1" applyFont="1" applyFill="1" applyBorder="1"/>
    <xf numFmtId="166" fontId="28" fillId="3" borderId="0" xfId="13" applyNumberFormat="1" applyFont="1" applyFill="1" applyAlignment="1">
      <alignment horizontal="left" indent="1"/>
    </xf>
    <xf numFmtId="166" fontId="28" fillId="3" borderId="0" xfId="13" applyNumberFormat="1" applyFont="1" applyFill="1" applyAlignment="1">
      <alignment horizontal="left" indent="4"/>
    </xf>
    <xf numFmtId="166" fontId="28" fillId="3" borderId="0" xfId="13" applyNumberFormat="1" applyFont="1" applyFill="1"/>
    <xf numFmtId="166" fontId="28" fillId="3" borderId="2" xfId="13" applyNumberFormat="1" applyFont="1" applyFill="1" applyBorder="1" applyAlignment="1">
      <alignment horizontal="left" indent="1"/>
    </xf>
    <xf numFmtId="166" fontId="28" fillId="3" borderId="2" xfId="13" applyNumberFormat="1" applyFont="1" applyFill="1" applyBorder="1" applyAlignment="1">
      <alignment horizontal="left" indent="3"/>
    </xf>
    <xf numFmtId="166" fontId="28" fillId="3" borderId="2" xfId="13" applyNumberFormat="1" applyFont="1" applyFill="1" applyBorder="1"/>
    <xf numFmtId="166" fontId="26" fillId="3" borderId="0" xfId="13" applyNumberFormat="1" applyFont="1" applyFill="1" applyAlignment="1">
      <alignment horizontal="left"/>
    </xf>
    <xf numFmtId="166" fontId="26" fillId="3" borderId="0" xfId="13" applyNumberFormat="1" applyFont="1" applyFill="1" applyAlignment="1">
      <alignment horizontal="left" indent="4"/>
    </xf>
    <xf numFmtId="166" fontId="26" fillId="3" borderId="0" xfId="13" applyNumberFormat="1" applyFont="1" applyFill="1" applyAlignment="1">
      <alignment horizontal="left" indent="3"/>
    </xf>
    <xf numFmtId="166" fontId="28" fillId="3" borderId="0" xfId="13" applyNumberFormat="1" applyFont="1" applyFill="1" applyAlignment="1">
      <alignment horizontal="left" indent="3"/>
    </xf>
    <xf numFmtId="166" fontId="26" fillId="3" borderId="7" xfId="13" applyNumberFormat="1" applyFont="1" applyFill="1" applyBorder="1" applyAlignment="1">
      <alignment horizontal="left"/>
    </xf>
    <xf numFmtId="166" fontId="26" fillId="3" borderId="7" xfId="13" applyNumberFormat="1" applyFont="1" applyFill="1" applyBorder="1" applyAlignment="1">
      <alignment horizontal="left" indent="3"/>
    </xf>
    <xf numFmtId="166" fontId="26" fillId="3" borderId="7" xfId="13" applyNumberFormat="1" applyFont="1" applyFill="1" applyBorder="1"/>
    <xf numFmtId="195" fontId="28" fillId="3" borderId="0" xfId="0" applyNumberFormat="1" applyFont="1" applyFill="1"/>
    <xf numFmtId="195" fontId="28" fillId="3" borderId="13" xfId="0" applyNumberFormat="1" applyFont="1" applyFill="1" applyBorder="1"/>
    <xf numFmtId="164" fontId="23" fillId="3" borderId="32" xfId="11" applyNumberFormat="1" applyFont="1" applyFill="1" applyBorder="1" applyAlignment="1">
      <alignment horizontal="left" indent="1"/>
    </xf>
    <xf numFmtId="190" fontId="23" fillId="3" borderId="2" xfId="11" applyNumberFormat="1" applyFont="1" applyFill="1" applyBorder="1"/>
    <xf numFmtId="190" fontId="28" fillId="3" borderId="2" xfId="0" applyNumberFormat="1" applyFont="1" applyFill="1" applyBorder="1"/>
    <xf numFmtId="190" fontId="28" fillId="3" borderId="33" xfId="0" applyNumberFormat="1" applyFont="1" applyFill="1" applyBorder="1"/>
    <xf numFmtId="190" fontId="28" fillId="3" borderId="34" xfId="0" applyNumberFormat="1" applyFont="1" applyFill="1" applyBorder="1"/>
    <xf numFmtId="164" fontId="23" fillId="3" borderId="2" xfId="2" applyNumberFormat="1" applyFont="1" applyFill="1" applyBorder="1"/>
    <xf numFmtId="167" fontId="0" fillId="3" borderId="2" xfId="0" applyNumberFormat="1" applyFill="1" applyBorder="1" applyAlignment="1">
      <alignment horizontal="left" indent="2"/>
    </xf>
    <xf numFmtId="167" fontId="28" fillId="3" borderId="2" xfId="0" applyNumberFormat="1" applyFont="1" applyFill="1" applyBorder="1" applyAlignment="1">
      <alignment horizontal="left" indent="4"/>
    </xf>
    <xf numFmtId="167" fontId="28" fillId="3" borderId="2" xfId="0" applyNumberFormat="1" applyFont="1" applyFill="1" applyBorder="1"/>
    <xf numFmtId="166" fontId="25" fillId="5" borderId="21" xfId="0" applyNumberFormat="1" applyFont="1" applyFill="1" applyBorder="1" applyAlignment="1">
      <alignment horizontal="right"/>
    </xf>
    <xf numFmtId="166" fontId="29" fillId="3" borderId="11" xfId="0" applyNumberFormat="1" applyFont="1" applyFill="1" applyBorder="1" applyAlignment="1">
      <alignment horizontal="left" indent="1"/>
    </xf>
    <xf numFmtId="166" fontId="29" fillId="3" borderId="11" xfId="0" applyNumberFormat="1" applyFont="1" applyFill="1" applyBorder="1" applyAlignment="1">
      <alignment horizontal="left" indent="3"/>
    </xf>
    <xf numFmtId="167" fontId="29" fillId="3" borderId="11" xfId="0" applyNumberFormat="1" applyFont="1" applyFill="1" applyBorder="1"/>
    <xf numFmtId="164" fontId="29" fillId="3" borderId="0" xfId="0" applyNumberFormat="1" applyFont="1" applyFill="1" applyAlignment="1">
      <alignment horizontal="left" indent="1"/>
    </xf>
    <xf numFmtId="166" fontId="28" fillId="3" borderId="0" xfId="13" applyNumberFormat="1" applyFont="1" applyFill="1" applyAlignment="1">
      <alignment horizontal="left"/>
    </xf>
    <xf numFmtId="164" fontId="28" fillId="3" borderId="11" xfId="13" applyNumberFormat="1" applyFont="1" applyFill="1" applyBorder="1" applyAlignment="1">
      <alignment horizontal="left" indent="1"/>
    </xf>
    <xf numFmtId="44" fontId="28" fillId="3" borderId="0" xfId="0" applyNumberFormat="1" applyFont="1" applyFill="1" applyAlignment="1">
      <alignment horizontal="left" indent="1"/>
    </xf>
    <xf numFmtId="44" fontId="28" fillId="3" borderId="0" xfId="0" applyNumberFormat="1" applyFont="1" applyFill="1" applyAlignment="1">
      <alignment horizontal="left" indent="2"/>
    </xf>
    <xf numFmtId="44" fontId="28" fillId="3" borderId="2" xfId="0" applyNumberFormat="1" applyFont="1" applyFill="1" applyBorder="1" applyAlignment="1">
      <alignment horizontal="left" indent="2"/>
    </xf>
    <xf numFmtId="44" fontId="28" fillId="3" borderId="2" xfId="0" applyNumberFormat="1" applyFont="1" applyFill="1" applyBorder="1" applyAlignment="1">
      <alignment horizontal="left" indent="3"/>
    </xf>
    <xf numFmtId="44" fontId="28" fillId="3" borderId="2" xfId="0" applyNumberFormat="1" applyFont="1" applyFill="1" applyBorder="1"/>
    <xf numFmtId="44" fontId="28" fillId="3" borderId="2" xfId="0" applyNumberFormat="1" applyFont="1" applyFill="1" applyBorder="1" applyAlignment="1">
      <alignment horizontal="left" indent="1"/>
    </xf>
    <xf numFmtId="44" fontId="26" fillId="3" borderId="0" xfId="0" applyNumberFormat="1" applyFont="1" applyFill="1" applyAlignment="1">
      <alignment horizontal="left"/>
    </xf>
    <xf numFmtId="44" fontId="26" fillId="3" borderId="0" xfId="0" applyNumberFormat="1" applyFont="1" applyFill="1" applyAlignment="1">
      <alignment horizontal="left" indent="3"/>
    </xf>
    <xf numFmtId="44" fontId="26" fillId="3" borderId="0" xfId="0" applyNumberFormat="1" applyFont="1" applyFill="1"/>
    <xf numFmtId="44" fontId="6" fillId="3" borderId="0" xfId="0" applyNumberFormat="1" applyFont="1" applyFill="1"/>
    <xf numFmtId="44" fontId="28" fillId="3" borderId="0" xfId="0" applyNumberFormat="1" applyFont="1" applyFill="1" applyAlignment="1">
      <alignment horizontal="left"/>
    </xf>
    <xf numFmtId="164" fontId="28" fillId="3" borderId="2" xfId="0" applyNumberFormat="1" applyFont="1" applyFill="1" applyBorder="1" applyAlignment="1">
      <alignment horizontal="left" indent="3"/>
    </xf>
    <xf numFmtId="169" fontId="27" fillId="3" borderId="0" xfId="0" applyNumberFormat="1" applyFont="1" applyFill="1" applyAlignment="1">
      <alignment horizontal="left"/>
    </xf>
    <xf numFmtId="164" fontId="28" fillId="3" borderId="11" xfId="13" applyNumberFormat="1" applyFont="1" applyFill="1" applyBorder="1" applyAlignment="1">
      <alignment horizontal="left"/>
    </xf>
    <xf numFmtId="169" fontId="26" fillId="3" borderId="0" xfId="0" applyNumberFormat="1" applyFont="1" applyFill="1"/>
    <xf numFmtId="169" fontId="26" fillId="3" borderId="0" xfId="0" applyNumberFormat="1" applyFont="1" applyFill="1" applyAlignment="1">
      <alignment horizontal="right"/>
    </xf>
    <xf numFmtId="188" fontId="28" fillId="3" borderId="0" xfId="0" applyNumberFormat="1" applyFont="1" applyFill="1" applyAlignment="1">
      <alignment horizontal="right"/>
    </xf>
    <xf numFmtId="195" fontId="28" fillId="3" borderId="0" xfId="0" applyNumberFormat="1" applyFont="1" applyFill="1" applyAlignment="1">
      <alignment horizontal="right"/>
    </xf>
    <xf numFmtId="190" fontId="28" fillId="3" borderId="0" xfId="0" applyNumberFormat="1" applyFont="1" applyFill="1" applyAlignment="1">
      <alignment horizontal="right"/>
    </xf>
    <xf numFmtId="167" fontId="33" fillId="3" borderId="0" xfId="0" applyNumberFormat="1" applyFont="1" applyFill="1" applyAlignment="1">
      <alignment horizontal="left"/>
    </xf>
    <xf numFmtId="0" fontId="50" fillId="3" borderId="0" xfId="9" applyFont="1" applyFill="1"/>
    <xf numFmtId="164" fontId="27" fillId="3" borderId="6" xfId="11" applyNumberFormat="1" applyFont="1" applyFill="1" applyBorder="1" applyAlignment="1">
      <alignment horizontal="left"/>
    </xf>
    <xf numFmtId="164" fontId="23" fillId="3" borderId="4" xfId="11" applyNumberFormat="1" applyFont="1" applyFill="1" applyBorder="1" applyAlignment="1">
      <alignment horizontal="left" indent="1"/>
    </xf>
    <xf numFmtId="166" fontId="28" fillId="3" borderId="33" xfId="0" applyNumberFormat="1" applyFont="1" applyFill="1" applyBorder="1"/>
    <xf numFmtId="166" fontId="28" fillId="3" borderId="21" xfId="0" applyNumberFormat="1" applyFont="1" applyFill="1" applyBorder="1" applyAlignment="1">
      <alignment horizontal="right"/>
    </xf>
    <xf numFmtId="167" fontId="28" fillId="3" borderId="21" xfId="0" applyNumberFormat="1" applyFont="1" applyFill="1" applyBorder="1" applyAlignment="1">
      <alignment horizontal="right"/>
    </xf>
    <xf numFmtId="197" fontId="29" fillId="3" borderId="0" xfId="0" applyNumberFormat="1" applyFont="1" applyFill="1" applyAlignment="1">
      <alignment horizontal="left"/>
    </xf>
    <xf numFmtId="197" fontId="29" fillId="3" borderId="0" xfId="0" applyNumberFormat="1" applyFont="1" applyFill="1" applyAlignment="1">
      <alignment horizontal="left" indent="4"/>
    </xf>
    <xf numFmtId="197" fontId="29" fillId="3" borderId="0" xfId="0" applyNumberFormat="1" applyFont="1" applyFill="1"/>
    <xf numFmtId="197" fontId="0" fillId="3" borderId="0" xfId="0" applyNumberFormat="1" applyFill="1"/>
    <xf numFmtId="166" fontId="23" fillId="3" borderId="7" xfId="11" applyNumberFormat="1" applyFont="1" applyFill="1" applyBorder="1"/>
    <xf numFmtId="166" fontId="28" fillId="3" borderId="35" xfId="0" applyNumberFormat="1" applyFont="1" applyFill="1" applyBorder="1"/>
    <xf numFmtId="166" fontId="28" fillId="3" borderId="6" xfId="0" applyNumberFormat="1" applyFont="1" applyFill="1" applyBorder="1"/>
    <xf numFmtId="166" fontId="23" fillId="3" borderId="2" xfId="11" applyNumberFormat="1" applyFont="1" applyFill="1" applyBorder="1"/>
    <xf numFmtId="166" fontId="28" fillId="3" borderId="1" xfId="0" applyNumberFormat="1" applyFont="1" applyFill="1" applyBorder="1"/>
    <xf numFmtId="164" fontId="27" fillId="3" borderId="7" xfId="11" applyNumberFormat="1" applyFont="1" applyFill="1" applyBorder="1" applyAlignment="1">
      <alignment horizontal="left"/>
    </xf>
    <xf numFmtId="164" fontId="27" fillId="3" borderId="0" xfId="11" applyNumberFormat="1" applyFont="1" applyFill="1" applyAlignment="1">
      <alignment horizontal="left"/>
    </xf>
    <xf numFmtId="164" fontId="27" fillId="3" borderId="2" xfId="11" applyNumberFormat="1" applyFont="1" applyFill="1" applyBorder="1" applyAlignment="1">
      <alignment horizontal="left"/>
    </xf>
    <xf numFmtId="198" fontId="26" fillId="3" borderId="0" xfId="0" applyNumberFormat="1" applyFont="1" applyFill="1" applyAlignment="1">
      <alignment horizontal="right"/>
    </xf>
    <xf numFmtId="198" fontId="26" fillId="3" borderId="21" xfId="0" applyNumberFormat="1" applyFont="1" applyFill="1" applyBorder="1" applyAlignment="1">
      <alignment horizontal="right"/>
    </xf>
    <xf numFmtId="198" fontId="26" fillId="3" borderId="4" xfId="0" applyNumberFormat="1" applyFont="1" applyFill="1" applyBorder="1" applyAlignment="1">
      <alignment horizontal="right"/>
    </xf>
    <xf numFmtId="0" fontId="26" fillId="3" borderId="0" xfId="0" applyFont="1" applyFill="1" applyAlignment="1">
      <alignment horizontal="right"/>
    </xf>
    <xf numFmtId="0" fontId="26" fillId="3" borderId="21" xfId="0" applyFont="1" applyFill="1" applyBorder="1" applyAlignment="1">
      <alignment horizontal="right"/>
    </xf>
    <xf numFmtId="0" fontId="26" fillId="3" borderId="4" xfId="0" applyFont="1" applyFill="1" applyBorder="1" applyAlignment="1">
      <alignment horizontal="right"/>
    </xf>
    <xf numFmtId="0" fontId="13" fillId="3" borderId="0" xfId="12" applyFont="1" applyFill="1" applyAlignment="1">
      <alignment vertical="center"/>
    </xf>
    <xf numFmtId="0" fontId="18" fillId="3" borderId="0" xfId="12" applyFont="1" applyFill="1" applyAlignment="1">
      <alignment vertical="center"/>
    </xf>
    <xf numFmtId="0" fontId="2" fillId="3" borderId="0" xfId="12" applyFill="1" applyAlignment="1">
      <alignment vertical="center"/>
    </xf>
    <xf numFmtId="0" fontId="18" fillId="3" borderId="0" xfId="12" applyFont="1" applyFill="1" applyAlignment="1">
      <alignment horizontal="center" vertical="center"/>
    </xf>
    <xf numFmtId="0" fontId="13" fillId="3" borderId="0" xfId="12" applyFont="1" applyFill="1"/>
    <xf numFmtId="14" fontId="13" fillId="3" borderId="0" xfId="12" applyNumberFormat="1" applyFont="1" applyFill="1" applyAlignment="1">
      <alignment horizontal="center" vertical="center"/>
    </xf>
    <xf numFmtId="0" fontId="13" fillId="3" borderId="0" xfId="12" applyFont="1" applyFill="1" applyAlignment="1">
      <alignment horizontal="center"/>
    </xf>
    <xf numFmtId="0" fontId="17" fillId="3" borderId="0" xfId="12" applyFont="1" applyFill="1"/>
    <xf numFmtId="0" fontId="31" fillId="3" borderId="0" xfId="12" applyFont="1" applyFill="1" applyAlignment="1">
      <alignment horizontal="center"/>
    </xf>
    <xf numFmtId="1" fontId="16" fillId="3" borderId="0" xfId="12" applyNumberFormat="1" applyFont="1" applyFill="1" applyAlignment="1">
      <alignment horizontal="center"/>
    </xf>
    <xf numFmtId="0" fontId="17" fillId="3" borderId="0" xfId="12" quotePrefix="1" applyFont="1" applyFill="1"/>
    <xf numFmtId="0" fontId="18" fillId="3" borderId="0" xfId="12" applyFont="1" applyFill="1"/>
    <xf numFmtId="193" fontId="16" fillId="3" borderId="0" xfId="12" applyNumberFormat="1" applyFont="1" applyFill="1"/>
    <xf numFmtId="191" fontId="18" fillId="3" borderId="0" xfId="12" applyNumberFormat="1" applyFont="1" applyFill="1" applyAlignment="1">
      <alignment horizontal="center" vertical="center"/>
    </xf>
    <xf numFmtId="181" fontId="3" fillId="3" borderId="0" xfId="12" applyNumberFormat="1" applyFont="1" applyFill="1" applyAlignment="1">
      <alignment horizontal="right"/>
    </xf>
    <xf numFmtId="185" fontId="3" fillId="3" borderId="0" xfId="12" applyNumberFormat="1" applyFont="1" applyFill="1" applyAlignment="1">
      <alignment horizontal="right"/>
    </xf>
    <xf numFmtId="14" fontId="8" fillId="3" borderId="30" xfId="12" applyNumberFormat="1" applyFont="1" applyFill="1" applyBorder="1" applyAlignment="1">
      <alignment horizontal="center"/>
    </xf>
    <xf numFmtId="0" fontId="8" fillId="3" borderId="30" xfId="12" applyFont="1" applyFill="1" applyBorder="1" applyAlignment="1">
      <alignment horizontal="center"/>
    </xf>
    <xf numFmtId="0" fontId="2" fillId="3" borderId="30" xfId="12" applyFill="1" applyBorder="1" applyAlignment="1">
      <alignment horizontal="center"/>
    </xf>
    <xf numFmtId="0" fontId="8" fillId="3" borderId="30" xfId="12" applyFont="1" applyFill="1" applyBorder="1" applyAlignment="1">
      <alignment horizontal="left"/>
    </xf>
    <xf numFmtId="0" fontId="4" fillId="3" borderId="36" xfId="9" applyFill="1" applyBorder="1"/>
    <xf numFmtId="0" fontId="4" fillId="3" borderId="1" xfId="9" applyFill="1" applyBorder="1"/>
    <xf numFmtId="14" fontId="8" fillId="3" borderId="37" xfId="12" applyNumberFormat="1" applyFont="1" applyFill="1" applyBorder="1" applyAlignment="1">
      <alignment horizontal="center"/>
    </xf>
    <xf numFmtId="0" fontId="8" fillId="3" borderId="38" xfId="12" applyFont="1" applyFill="1" applyBorder="1" applyAlignment="1">
      <alignment horizontal="center"/>
    </xf>
    <xf numFmtId="0" fontId="2" fillId="3" borderId="38" xfId="12" applyFill="1" applyBorder="1" applyAlignment="1">
      <alignment horizontal="center"/>
    </xf>
    <xf numFmtId="0" fontId="8" fillId="3" borderId="38" xfId="12" applyFont="1" applyFill="1" applyBorder="1" applyAlignment="1">
      <alignment horizontal="left"/>
    </xf>
    <xf numFmtId="0" fontId="4" fillId="3" borderId="14" xfId="9" applyFill="1" applyBorder="1"/>
    <xf numFmtId="0" fontId="4" fillId="3" borderId="39" xfId="9" applyFill="1" applyBorder="1" applyAlignment="1">
      <alignment horizontal="left"/>
    </xf>
    <xf numFmtId="0" fontId="4" fillId="3" borderId="30" xfId="9" applyFill="1" applyBorder="1" applyAlignment="1">
      <alignment horizontal="left"/>
    </xf>
    <xf numFmtId="14" fontId="8" fillId="3" borderId="36" xfId="12" applyNumberFormat="1" applyFont="1" applyFill="1" applyBorder="1" applyAlignment="1">
      <alignment horizontal="center"/>
    </xf>
    <xf numFmtId="0" fontId="8" fillId="3" borderId="36" xfId="12" applyFont="1" applyFill="1" applyBorder="1" applyAlignment="1">
      <alignment horizontal="center"/>
    </xf>
    <xf numFmtId="0" fontId="2" fillId="3" borderId="36" xfId="12" applyFill="1" applyBorder="1" applyAlignment="1">
      <alignment horizontal="center"/>
    </xf>
    <xf numFmtId="0" fontId="8" fillId="3" borderId="36" xfId="12" applyFont="1" applyFill="1" applyBorder="1" applyAlignment="1">
      <alignment horizontal="left"/>
    </xf>
    <xf numFmtId="0" fontId="4" fillId="3" borderId="36" xfId="9" applyFill="1" applyBorder="1" applyAlignment="1">
      <alignment horizontal="left"/>
    </xf>
    <xf numFmtId="14" fontId="13" fillId="7" borderId="0" xfId="12" applyNumberFormat="1" applyFont="1" applyFill="1" applyAlignment="1">
      <alignment horizontal="center" vertical="center"/>
    </xf>
    <xf numFmtId="0" fontId="19" fillId="7" borderId="0" xfId="12" applyFont="1" applyFill="1" applyAlignment="1">
      <alignment horizontal="center" vertical="center"/>
    </xf>
    <xf numFmtId="1" fontId="51" fillId="8" borderId="0" xfId="12" applyNumberFormat="1" applyFont="1" applyFill="1" applyAlignment="1">
      <alignment horizontal="center" vertical="center"/>
    </xf>
    <xf numFmtId="169" fontId="51" fillId="8" borderId="0" xfId="2" applyNumberFormat="1" applyFont="1" applyFill="1" applyAlignment="1">
      <alignment horizontal="center" vertical="center"/>
    </xf>
    <xf numFmtId="0" fontId="27" fillId="3" borderId="36" xfId="12" applyFont="1" applyFill="1" applyBorder="1" applyAlignment="1">
      <alignment horizontal="center"/>
    </xf>
    <xf numFmtId="0" fontId="27" fillId="3" borderId="28" xfId="12" applyFont="1" applyFill="1" applyBorder="1" applyAlignment="1">
      <alignment horizontal="center"/>
    </xf>
    <xf numFmtId="0" fontId="20" fillId="3" borderId="0" xfId="0" applyFont="1" applyFill="1"/>
    <xf numFmtId="167" fontId="33" fillId="3" borderId="0" xfId="0" applyNumberFormat="1" applyFont="1" applyFill="1"/>
    <xf numFmtId="166" fontId="23" fillId="3" borderId="0" xfId="11" applyNumberFormat="1" applyFont="1" applyFill="1" applyAlignment="1">
      <alignment horizontal="left"/>
    </xf>
    <xf numFmtId="166" fontId="28" fillId="3" borderId="4" xfId="0" applyNumberFormat="1" applyFont="1" applyFill="1" applyBorder="1" applyAlignment="1">
      <alignment horizontal="right"/>
    </xf>
    <xf numFmtId="167" fontId="23" fillId="3" borderId="0" xfId="11" applyNumberFormat="1" applyFont="1" applyFill="1" applyAlignment="1">
      <alignment horizontal="left"/>
    </xf>
    <xf numFmtId="167" fontId="28" fillId="3" borderId="4" xfId="0" applyNumberFormat="1" applyFont="1" applyFill="1" applyBorder="1" applyAlignment="1">
      <alignment horizontal="right"/>
    </xf>
    <xf numFmtId="164" fontId="33" fillId="3" borderId="0" xfId="0" applyNumberFormat="1" applyFont="1" applyFill="1" applyAlignment="1">
      <alignment horizontal="left" indent="3"/>
    </xf>
    <xf numFmtId="167" fontId="33" fillId="3" borderId="0" xfId="0" applyNumberFormat="1" applyFont="1" applyFill="1" applyAlignment="1">
      <alignment horizontal="left" indent="1"/>
    </xf>
    <xf numFmtId="0" fontId="28" fillId="3" borderId="0" xfId="0" applyFont="1" applyFill="1" applyAlignment="1">
      <alignment horizontal="left"/>
    </xf>
    <xf numFmtId="199" fontId="28" fillId="3" borderId="0" xfId="0" applyNumberFormat="1" applyFont="1" applyFill="1" applyAlignment="1">
      <alignment horizontal="center"/>
    </xf>
    <xf numFmtId="164" fontId="52" fillId="3" borderId="0" xfId="0" applyNumberFormat="1" applyFont="1" applyFill="1" applyAlignment="1">
      <alignment horizontal="left" indent="3"/>
    </xf>
    <xf numFmtId="166" fontId="52" fillId="3" borderId="0" xfId="0" applyNumberFormat="1" applyFont="1" applyFill="1" applyAlignment="1">
      <alignment horizontal="right"/>
    </xf>
    <xf numFmtId="166" fontId="52" fillId="3" borderId="0" xfId="0" applyNumberFormat="1" applyFont="1" applyFill="1" applyAlignment="1">
      <alignment horizontal="left"/>
    </xf>
    <xf numFmtId="164" fontId="29" fillId="3" borderId="2" xfId="0" applyNumberFormat="1" applyFont="1" applyFill="1" applyBorder="1" applyAlignment="1">
      <alignment horizontal="left" indent="3"/>
    </xf>
    <xf numFmtId="167" fontId="29" fillId="3" borderId="2" xfId="0" applyNumberFormat="1" applyFont="1" applyFill="1" applyBorder="1"/>
    <xf numFmtId="167" fontId="29" fillId="3" borderId="2" xfId="0" applyNumberFormat="1" applyFont="1" applyFill="1" applyBorder="1" applyAlignment="1">
      <alignment horizontal="left" indent="1"/>
    </xf>
    <xf numFmtId="164" fontId="33" fillId="3" borderId="7" xfId="0" applyNumberFormat="1" applyFont="1" applyFill="1" applyBorder="1" applyAlignment="1">
      <alignment horizontal="left" indent="3"/>
    </xf>
    <xf numFmtId="167" fontId="33" fillId="3" borderId="7" xfId="0" applyNumberFormat="1" applyFont="1" applyFill="1" applyBorder="1"/>
    <xf numFmtId="167" fontId="33" fillId="3" borderId="7" xfId="0" applyNumberFormat="1" applyFont="1" applyFill="1" applyBorder="1" applyAlignment="1">
      <alignment horizontal="left"/>
    </xf>
    <xf numFmtId="167" fontId="29" fillId="3" borderId="2" xfId="0" applyNumberFormat="1" applyFont="1" applyFill="1" applyBorder="1" applyAlignment="1">
      <alignment horizontal="left" indent="2"/>
    </xf>
    <xf numFmtId="164" fontId="28" fillId="3" borderId="2" xfId="0" applyNumberFormat="1" applyFont="1" applyFill="1" applyBorder="1" applyAlignment="1">
      <alignment horizontal="left"/>
    </xf>
    <xf numFmtId="164" fontId="28" fillId="3" borderId="2" xfId="0" applyNumberFormat="1" applyFont="1" applyFill="1" applyBorder="1" applyAlignment="1">
      <alignment horizontal="left" indent="1"/>
    </xf>
    <xf numFmtId="164" fontId="28" fillId="3" borderId="7" xfId="0" applyNumberFormat="1" applyFont="1" applyFill="1" applyBorder="1" applyAlignment="1">
      <alignment horizontal="left"/>
    </xf>
    <xf numFmtId="164" fontId="26" fillId="3" borderId="7" xfId="0" applyNumberFormat="1" applyFont="1" applyFill="1" applyBorder="1" applyAlignment="1">
      <alignment horizontal="left"/>
    </xf>
    <xf numFmtId="164" fontId="26" fillId="3" borderId="7" xfId="0" applyNumberFormat="1" applyFont="1" applyFill="1" applyBorder="1" applyAlignment="1">
      <alignment horizontal="left" indent="3"/>
    </xf>
    <xf numFmtId="167" fontId="28" fillId="3" borderId="2" xfId="0" applyNumberFormat="1" applyFont="1" applyFill="1" applyBorder="1" applyAlignment="1">
      <alignment horizontal="left" indent="1"/>
    </xf>
    <xf numFmtId="167" fontId="28" fillId="3" borderId="2" xfId="0" applyNumberFormat="1" applyFont="1" applyFill="1" applyBorder="1" applyAlignment="1">
      <alignment horizontal="left"/>
    </xf>
    <xf numFmtId="166" fontId="33" fillId="3" borderId="7" xfId="0" applyNumberFormat="1" applyFont="1" applyFill="1" applyBorder="1" applyAlignment="1">
      <alignment horizontal="left" indent="1"/>
    </xf>
    <xf numFmtId="166" fontId="33" fillId="3" borderId="7" xfId="0" applyNumberFormat="1" applyFont="1" applyFill="1" applyBorder="1"/>
    <xf numFmtId="166" fontId="29" fillId="3" borderId="0" xfId="0" applyNumberFormat="1" applyFont="1" applyFill="1" applyAlignment="1">
      <alignment horizontal="left" indent="2"/>
    </xf>
    <xf numFmtId="166" fontId="29" fillId="3" borderId="2" xfId="0" applyNumberFormat="1" applyFont="1" applyFill="1" applyBorder="1" applyAlignment="1">
      <alignment horizontal="left" indent="2"/>
    </xf>
    <xf numFmtId="166" fontId="29" fillId="3" borderId="2" xfId="0" applyNumberFormat="1" applyFont="1" applyFill="1" applyBorder="1"/>
    <xf numFmtId="164" fontId="28" fillId="3" borderId="11" xfId="0" applyNumberFormat="1" applyFont="1" applyFill="1" applyBorder="1" applyAlignment="1">
      <alignment horizontal="left" indent="1"/>
    </xf>
    <xf numFmtId="164" fontId="28" fillId="3" borderId="11" xfId="0" applyNumberFormat="1" applyFont="1" applyFill="1" applyBorder="1" applyAlignment="1">
      <alignment horizontal="left" indent="3"/>
    </xf>
    <xf numFmtId="0" fontId="62" fillId="3" borderId="0" xfId="13" applyFill="1"/>
    <xf numFmtId="0" fontId="35" fillId="5" borderId="0" xfId="13" applyFont="1" applyFill="1"/>
    <xf numFmtId="166" fontId="62" fillId="3" borderId="0" xfId="13" applyNumberFormat="1" applyFill="1"/>
    <xf numFmtId="164" fontId="6" fillId="3" borderId="0" xfId="13" applyNumberFormat="1" applyFont="1" applyFill="1"/>
    <xf numFmtId="166" fontId="6" fillId="3" borderId="0" xfId="13" applyNumberFormat="1" applyFont="1" applyFill="1"/>
    <xf numFmtId="170" fontId="28" fillId="3" borderId="0" xfId="13" applyNumberFormat="1" applyFont="1" applyFill="1" applyAlignment="1">
      <alignment horizontal="left" indent="4"/>
    </xf>
    <xf numFmtId="170" fontId="28" fillId="3" borderId="0" xfId="13" applyNumberFormat="1" applyFont="1" applyFill="1" applyAlignment="1">
      <alignment horizontal="left"/>
    </xf>
    <xf numFmtId="164" fontId="28" fillId="3" borderId="2" xfId="13" applyNumberFormat="1" applyFont="1" applyFill="1" applyBorder="1" applyAlignment="1">
      <alignment horizontal="left" indent="1"/>
    </xf>
    <xf numFmtId="164" fontId="28" fillId="3" borderId="2" xfId="13" applyNumberFormat="1" applyFont="1" applyFill="1" applyBorder="1" applyAlignment="1">
      <alignment horizontal="left" indent="2"/>
    </xf>
    <xf numFmtId="200" fontId="28" fillId="3" borderId="0" xfId="13" applyNumberFormat="1" applyFont="1" applyFill="1" applyAlignment="1">
      <alignment horizontal="left"/>
    </xf>
    <xf numFmtId="0" fontId="6" fillId="3" borderId="0" xfId="13" applyFont="1" applyFill="1" applyAlignment="1">
      <alignment horizontal="center"/>
    </xf>
    <xf numFmtId="0" fontId="27" fillId="3" borderId="0" xfId="17" applyNumberFormat="1" applyFont="1" applyFill="1" applyAlignment="1">
      <alignment horizontal="center"/>
    </xf>
    <xf numFmtId="180" fontId="3" fillId="3" borderId="0" xfId="13" applyNumberFormat="1" applyFont="1" applyFill="1"/>
    <xf numFmtId="0" fontId="53" fillId="3" borderId="0" xfId="9" applyFont="1" applyFill="1"/>
    <xf numFmtId="177" fontId="2" fillId="3" borderId="0" xfId="13" applyNumberFormat="1" applyFont="1" applyFill="1" applyAlignment="1">
      <alignment horizontal="left"/>
    </xf>
    <xf numFmtId="168" fontId="23" fillId="3" borderId="0" xfId="13" applyNumberFormat="1" applyFont="1" applyFill="1" applyAlignment="1">
      <alignment horizontal="center"/>
    </xf>
    <xf numFmtId="186" fontId="3" fillId="3" borderId="0" xfId="13" applyNumberFormat="1" applyFont="1" applyFill="1" applyAlignment="1">
      <alignment horizontal="left"/>
    </xf>
    <xf numFmtId="169" fontId="5" fillId="3" borderId="0" xfId="17" applyNumberFormat="1" applyFont="1" applyFill="1" applyAlignment="1">
      <alignment horizontal="center"/>
    </xf>
    <xf numFmtId="187" fontId="3" fillId="3" borderId="0" xfId="13" applyNumberFormat="1" applyFont="1" applyFill="1"/>
    <xf numFmtId="201" fontId="62" fillId="3" borderId="21" xfId="13" applyNumberFormat="1" applyFill="1" applyBorder="1"/>
    <xf numFmtId="166" fontId="26" fillId="3" borderId="2" xfId="13" applyNumberFormat="1" applyFont="1" applyFill="1" applyBorder="1" applyAlignment="1">
      <alignment horizontal="left" indent="4"/>
    </xf>
    <xf numFmtId="166" fontId="26" fillId="3" borderId="2" xfId="13" applyNumberFormat="1" applyFont="1" applyFill="1" applyBorder="1"/>
    <xf numFmtId="164" fontId="26" fillId="3" borderId="0" xfId="13" applyNumberFormat="1" applyFont="1" applyFill="1" applyAlignment="1">
      <alignment horizontal="left" indent="4"/>
    </xf>
    <xf numFmtId="200" fontId="26" fillId="3" borderId="0" xfId="13" applyNumberFormat="1" applyFont="1" applyFill="1" applyAlignment="1">
      <alignment horizontal="left" indent="4"/>
    </xf>
    <xf numFmtId="200" fontId="26" fillId="3" borderId="0" xfId="13" applyNumberFormat="1" applyFont="1" applyFill="1"/>
    <xf numFmtId="200" fontId="6" fillId="3" borderId="0" xfId="13" applyNumberFormat="1" applyFont="1" applyFill="1"/>
    <xf numFmtId="167" fontId="6" fillId="3" borderId="0" xfId="13" applyNumberFormat="1" applyFont="1" applyFill="1"/>
    <xf numFmtId="170" fontId="62" fillId="3" borderId="0" xfId="13" applyNumberFormat="1" applyFill="1"/>
    <xf numFmtId="166" fontId="26" fillId="3" borderId="10" xfId="13" applyNumberFormat="1" applyFont="1" applyFill="1" applyBorder="1"/>
    <xf numFmtId="200" fontId="28" fillId="3" borderId="0" xfId="0" applyNumberFormat="1" applyFont="1" applyFill="1" applyAlignment="1">
      <alignment horizontal="left" indent="3"/>
    </xf>
    <xf numFmtId="200" fontId="28" fillId="3" borderId="0" xfId="0" applyNumberFormat="1" applyFont="1" applyFill="1"/>
    <xf numFmtId="200" fontId="0" fillId="3" borderId="0" xfId="0" applyNumberFormat="1" applyFill="1"/>
    <xf numFmtId="200" fontId="28" fillId="3" borderId="2" xfId="0" applyNumberFormat="1" applyFont="1" applyFill="1" applyBorder="1" applyAlignment="1">
      <alignment horizontal="left" indent="3"/>
    </xf>
    <xf numFmtId="200" fontId="28" fillId="3" borderId="2" xfId="0" applyNumberFormat="1" applyFont="1" applyFill="1" applyBorder="1"/>
    <xf numFmtId="167" fontId="62" fillId="3" borderId="0" xfId="13" applyNumberFormat="1" applyFill="1"/>
    <xf numFmtId="164" fontId="62" fillId="3" borderId="0" xfId="13" applyNumberFormat="1" applyFill="1"/>
    <xf numFmtId="164" fontId="28" fillId="3" borderId="2" xfId="13" applyNumberFormat="1" applyFont="1" applyFill="1" applyBorder="1" applyAlignment="1">
      <alignment horizontal="left" indent="4"/>
    </xf>
    <xf numFmtId="166" fontId="28" fillId="3" borderId="2" xfId="13" applyNumberFormat="1" applyFont="1" applyFill="1" applyBorder="1" applyAlignment="1">
      <alignment horizontal="left" indent="4"/>
    </xf>
    <xf numFmtId="0" fontId="4" fillId="0" borderId="30" xfId="9" applyBorder="1"/>
    <xf numFmtId="200" fontId="28" fillId="3" borderId="0" xfId="0" applyNumberFormat="1" applyFont="1" applyFill="1" applyAlignment="1">
      <alignment horizontal="left" indent="1"/>
    </xf>
    <xf numFmtId="200" fontId="28" fillId="3" borderId="2" xfId="0" applyNumberFormat="1" applyFont="1" applyFill="1" applyBorder="1" applyAlignment="1">
      <alignment horizontal="left" indent="1"/>
    </xf>
    <xf numFmtId="200" fontId="28" fillId="3" borderId="0" xfId="0" applyNumberFormat="1" applyFont="1" applyFill="1" applyAlignment="1">
      <alignment horizontal="left"/>
    </xf>
    <xf numFmtId="166" fontId="29" fillId="3" borderId="0" xfId="0" applyNumberFormat="1" applyFont="1" applyFill="1" applyAlignment="1">
      <alignment horizontal="right"/>
    </xf>
    <xf numFmtId="169" fontId="29" fillId="3" borderId="0" xfId="0" applyNumberFormat="1" applyFont="1" applyFill="1" applyAlignment="1">
      <alignment horizontal="right"/>
    </xf>
    <xf numFmtId="0" fontId="13" fillId="0" borderId="0" xfId="12" applyFont="1"/>
    <xf numFmtId="0" fontId="54" fillId="3" borderId="0" xfId="9" applyFont="1" applyFill="1"/>
    <xf numFmtId="202" fontId="23" fillId="3" borderId="29" xfId="11" applyNumberFormat="1" applyFont="1" applyFill="1" applyBorder="1" applyAlignment="1">
      <alignment horizontal="left" indent="1"/>
    </xf>
    <xf numFmtId="201" fontId="28" fillId="3" borderId="0" xfId="13" applyNumberFormat="1" applyFont="1" applyFill="1"/>
    <xf numFmtId="0" fontId="26" fillId="3" borderId="0" xfId="13" applyFont="1" applyFill="1" applyAlignment="1">
      <alignment horizontal="center"/>
    </xf>
    <xf numFmtId="17" fontId="28" fillId="3" borderId="0" xfId="13" applyNumberFormat="1" applyFont="1" applyFill="1" applyAlignment="1">
      <alignment horizontal="center"/>
    </xf>
    <xf numFmtId="166" fontId="23" fillId="3" borderId="7" xfId="2" applyNumberFormat="1" applyFont="1" applyFill="1" applyBorder="1"/>
    <xf numFmtId="0" fontId="42" fillId="3" borderId="0" xfId="9" applyFont="1" applyFill="1"/>
    <xf numFmtId="164" fontId="28" fillId="3" borderId="33" xfId="0" applyNumberFormat="1" applyFont="1" applyFill="1" applyBorder="1"/>
    <xf numFmtId="164" fontId="28" fillId="3" borderId="21" xfId="13" applyNumberFormat="1" applyFont="1" applyFill="1" applyBorder="1"/>
    <xf numFmtId="0" fontId="4" fillId="0" borderId="36" xfId="9" applyBorder="1"/>
    <xf numFmtId="0" fontId="4" fillId="3" borderId="23" xfId="9" applyFill="1" applyBorder="1"/>
    <xf numFmtId="164" fontId="25" fillId="5" borderId="21" xfId="0" applyNumberFormat="1" applyFont="1" applyFill="1" applyBorder="1"/>
    <xf numFmtId="164" fontId="28" fillId="3" borderId="2" xfId="0" applyNumberFormat="1" applyFont="1" applyFill="1" applyBorder="1"/>
    <xf numFmtId="164" fontId="26" fillId="3" borderId="0" xfId="13" applyNumberFormat="1" applyFont="1" applyFill="1"/>
    <xf numFmtId="164" fontId="35" fillId="5" borderId="0" xfId="13" applyNumberFormat="1" applyFont="1" applyFill="1"/>
    <xf numFmtId="164" fontId="28" fillId="3" borderId="0" xfId="13" applyNumberFormat="1" applyFont="1" applyFill="1"/>
    <xf numFmtId="164" fontId="25" fillId="5" borderId="0" xfId="13" applyNumberFormat="1" applyFont="1" applyFill="1"/>
    <xf numFmtId="164" fontId="25" fillId="5" borderId="21" xfId="13" applyNumberFormat="1" applyFont="1" applyFill="1" applyBorder="1"/>
    <xf numFmtId="1" fontId="6" fillId="3" borderId="21" xfId="0" applyNumberFormat="1" applyFont="1" applyFill="1" applyBorder="1" applyAlignment="1">
      <alignment horizontal="center"/>
    </xf>
    <xf numFmtId="0" fontId="5" fillId="3" borderId="21" xfId="0" applyFont="1" applyFill="1" applyBorder="1" applyAlignment="1">
      <alignment horizontal="center"/>
    </xf>
    <xf numFmtId="167" fontId="20" fillId="3" borderId="21" xfId="0" applyNumberFormat="1" applyFont="1" applyFill="1" applyBorder="1"/>
    <xf numFmtId="167" fontId="20" fillId="3" borderId="21" xfId="0" applyNumberFormat="1" applyFont="1" applyFill="1" applyBorder="1" applyAlignment="1">
      <alignment horizontal="right"/>
    </xf>
    <xf numFmtId="167" fontId="29" fillId="3" borderId="21" xfId="0" applyNumberFormat="1" applyFont="1" applyFill="1" applyBorder="1"/>
    <xf numFmtId="166" fontId="29" fillId="3" borderId="21" xfId="0" applyNumberFormat="1" applyFont="1" applyFill="1" applyBorder="1"/>
    <xf numFmtId="166" fontId="0" fillId="3" borderId="35" xfId="0" applyNumberFormat="1" applyFill="1" applyBorder="1"/>
    <xf numFmtId="166" fontId="6" fillId="3" borderId="35" xfId="0" applyNumberFormat="1" applyFont="1" applyFill="1" applyBorder="1"/>
    <xf numFmtId="166" fontId="26" fillId="3" borderId="35" xfId="0" applyNumberFormat="1" applyFont="1" applyFill="1" applyBorder="1"/>
    <xf numFmtId="167" fontId="28" fillId="3" borderId="21" xfId="0" applyNumberFormat="1" applyFont="1" applyFill="1" applyBorder="1"/>
    <xf numFmtId="166" fontId="28" fillId="3" borderId="40" xfId="0" applyNumberFormat="1" applyFont="1" applyFill="1" applyBorder="1"/>
    <xf numFmtId="166" fontId="0" fillId="3" borderId="33" xfId="0" applyNumberFormat="1" applyFill="1" applyBorder="1"/>
    <xf numFmtId="167" fontId="26" fillId="3" borderId="35" xfId="0" applyNumberFormat="1" applyFont="1" applyFill="1" applyBorder="1"/>
    <xf numFmtId="167" fontId="28" fillId="3" borderId="33" xfId="0" applyNumberFormat="1" applyFont="1" applyFill="1" applyBorder="1"/>
    <xf numFmtId="167" fontId="26" fillId="3" borderId="33" xfId="0" applyNumberFormat="1" applyFont="1" applyFill="1" applyBorder="1" applyAlignment="1">
      <alignment horizontal="center"/>
    </xf>
    <xf numFmtId="167" fontId="26" fillId="3" borderId="21" xfId="0" applyNumberFormat="1" applyFont="1" applyFill="1" applyBorder="1" applyAlignment="1">
      <alignment horizontal="center"/>
    </xf>
    <xf numFmtId="167" fontId="26" fillId="3" borderId="35" xfId="0" applyNumberFormat="1" applyFont="1" applyFill="1" applyBorder="1" applyAlignment="1">
      <alignment horizontal="center"/>
    </xf>
    <xf numFmtId="167" fontId="29" fillId="3" borderId="21" xfId="0" applyNumberFormat="1" applyFont="1" applyFill="1" applyBorder="1" applyAlignment="1">
      <alignment horizontal="center"/>
    </xf>
    <xf numFmtId="166" fontId="6" fillId="3" borderId="40" xfId="0" applyNumberFormat="1" applyFont="1" applyFill="1" applyBorder="1"/>
    <xf numFmtId="166" fontId="5" fillId="3" borderId="21" xfId="0" applyNumberFormat="1" applyFont="1" applyFill="1" applyBorder="1"/>
    <xf numFmtId="166" fontId="21" fillId="3" borderId="21" xfId="0" applyNumberFormat="1" applyFont="1" applyFill="1" applyBorder="1"/>
    <xf numFmtId="166" fontId="33" fillId="3" borderId="21" xfId="0" applyNumberFormat="1" applyFont="1" applyFill="1" applyBorder="1"/>
    <xf numFmtId="166" fontId="28" fillId="3" borderId="33" xfId="0" applyNumberFormat="1" applyFont="1" applyFill="1" applyBorder="1" applyAlignment="1">
      <alignment horizontal="right"/>
    </xf>
    <xf numFmtId="166" fontId="5" fillId="3" borderId="35" xfId="0" applyNumberFormat="1" applyFont="1" applyFill="1" applyBorder="1"/>
    <xf numFmtId="166" fontId="23" fillId="3" borderId="35" xfId="0" applyNumberFormat="1" applyFont="1" applyFill="1" applyBorder="1" applyAlignment="1">
      <alignment horizontal="right"/>
    </xf>
    <xf numFmtId="166" fontId="23" fillId="3" borderId="33" xfId="0" applyNumberFormat="1" applyFont="1" applyFill="1" applyBorder="1" applyAlignment="1">
      <alignment horizontal="right"/>
    </xf>
    <xf numFmtId="167" fontId="6" fillId="3" borderId="21" xfId="1" applyNumberFormat="1" applyFont="1" applyFill="1" applyBorder="1"/>
    <xf numFmtId="167" fontId="26" fillId="3" borderId="21" xfId="1" applyNumberFormat="1" applyFont="1" applyFill="1" applyBorder="1" applyAlignment="1">
      <alignment horizontal="right"/>
    </xf>
    <xf numFmtId="43" fontId="26" fillId="3" borderId="21" xfId="0" applyNumberFormat="1" applyFont="1" applyFill="1" applyBorder="1"/>
    <xf numFmtId="169" fontId="29" fillId="3" borderId="21" xfId="0" applyNumberFormat="1" applyFont="1" applyFill="1" applyBorder="1"/>
    <xf numFmtId="194" fontId="28" fillId="3" borderId="21" xfId="0" applyNumberFormat="1" applyFont="1" applyFill="1" applyBorder="1"/>
    <xf numFmtId="44" fontId="26" fillId="3" borderId="21" xfId="0" applyNumberFormat="1" applyFont="1" applyFill="1" applyBorder="1"/>
    <xf numFmtId="167" fontId="29" fillId="3" borderId="27" xfId="0" applyNumberFormat="1" applyFont="1" applyFill="1" applyBorder="1"/>
    <xf numFmtId="196" fontId="29" fillId="3" borderId="21" xfId="0" applyNumberFormat="1" applyFont="1" applyFill="1" applyBorder="1"/>
    <xf numFmtId="44" fontId="28" fillId="3" borderId="21" xfId="0" applyNumberFormat="1" applyFont="1" applyFill="1" applyBorder="1"/>
    <xf numFmtId="44" fontId="28" fillId="3" borderId="33" xfId="0" applyNumberFormat="1" applyFont="1" applyFill="1" applyBorder="1"/>
    <xf numFmtId="200" fontId="28" fillId="3" borderId="21" xfId="0" applyNumberFormat="1" applyFont="1" applyFill="1" applyBorder="1"/>
    <xf numFmtId="167" fontId="33" fillId="3" borderId="21" xfId="0" applyNumberFormat="1" applyFont="1" applyFill="1" applyBorder="1"/>
    <xf numFmtId="199" fontId="28" fillId="3" borderId="21" xfId="0" applyNumberFormat="1" applyFont="1" applyFill="1" applyBorder="1" applyAlignment="1">
      <alignment horizontal="center"/>
    </xf>
    <xf numFmtId="166" fontId="52" fillId="3" borderId="21" xfId="0" applyNumberFormat="1" applyFont="1" applyFill="1" applyBorder="1" applyAlignment="1">
      <alignment horizontal="right"/>
    </xf>
    <xf numFmtId="167" fontId="29" fillId="3" borderId="33" xfId="0" applyNumberFormat="1" applyFont="1" applyFill="1" applyBorder="1"/>
    <xf numFmtId="167" fontId="33" fillId="3" borderId="35" xfId="0" applyNumberFormat="1" applyFont="1" applyFill="1" applyBorder="1"/>
    <xf numFmtId="166" fontId="33" fillId="3" borderId="35" xfId="0" applyNumberFormat="1" applyFont="1" applyFill="1" applyBorder="1"/>
    <xf numFmtId="167" fontId="26" fillId="3" borderId="21" xfId="0" applyNumberFormat="1" applyFont="1" applyFill="1" applyBorder="1"/>
    <xf numFmtId="166" fontId="29" fillId="3" borderId="33" xfId="0" applyNumberFormat="1" applyFont="1" applyFill="1" applyBorder="1"/>
    <xf numFmtId="169" fontId="26" fillId="3" borderId="21" xfId="2" applyNumberFormat="1" applyFont="1" applyFill="1" applyBorder="1"/>
    <xf numFmtId="172" fontId="28" fillId="3" borderId="21" xfId="0" applyNumberFormat="1" applyFont="1" applyFill="1" applyBorder="1"/>
    <xf numFmtId="188" fontId="26" fillId="3" borderId="21" xfId="0" applyNumberFormat="1" applyFont="1" applyFill="1" applyBorder="1"/>
    <xf numFmtId="166" fontId="0" fillId="3" borderId="27" xfId="0" applyNumberFormat="1" applyFill="1" applyBorder="1"/>
    <xf numFmtId="166" fontId="0" fillId="3" borderId="21" xfId="0" applyNumberFormat="1" applyFill="1" applyBorder="1" applyAlignment="1">
      <alignment horizontal="right"/>
    </xf>
    <xf numFmtId="167" fontId="6" fillId="3" borderId="21" xfId="0" applyNumberFormat="1" applyFont="1" applyFill="1" applyBorder="1" applyAlignment="1">
      <alignment horizontal="right"/>
    </xf>
    <xf numFmtId="167" fontId="26" fillId="3" borderId="21" xfId="0" applyNumberFormat="1" applyFont="1" applyFill="1" applyBorder="1" applyAlignment="1">
      <alignment horizontal="right"/>
    </xf>
    <xf numFmtId="170" fontId="26" fillId="3" borderId="21" xfId="0" applyNumberFormat="1" applyFont="1" applyFill="1" applyBorder="1" applyAlignment="1">
      <alignment horizontal="right"/>
    </xf>
    <xf numFmtId="170" fontId="26" fillId="3" borderId="21" xfId="0" applyNumberFormat="1" applyFont="1" applyFill="1" applyBorder="1"/>
    <xf numFmtId="169" fontId="6" fillId="3" borderId="21" xfId="0" applyNumberFormat="1" applyFont="1" applyFill="1" applyBorder="1" applyAlignment="1">
      <alignment horizontal="right"/>
    </xf>
    <xf numFmtId="170" fontId="28" fillId="3" borderId="21" xfId="0" applyNumberFormat="1" applyFont="1" applyFill="1" applyBorder="1"/>
    <xf numFmtId="188" fontId="0" fillId="3" borderId="21" xfId="0" applyNumberFormat="1" applyFill="1" applyBorder="1" applyAlignment="1">
      <alignment horizontal="right"/>
    </xf>
    <xf numFmtId="195" fontId="0" fillId="3" borderId="21" xfId="0" applyNumberFormat="1" applyFill="1" applyBorder="1" applyAlignment="1">
      <alignment horizontal="right"/>
    </xf>
    <xf numFmtId="190" fontId="0" fillId="3" borderId="21" xfId="0" applyNumberFormat="1" applyFill="1" applyBorder="1" applyAlignment="1">
      <alignment horizontal="right"/>
    </xf>
    <xf numFmtId="166" fontId="26" fillId="3" borderId="21" xfId="0" applyNumberFormat="1" applyFont="1" applyFill="1" applyBorder="1" applyAlignment="1">
      <alignment horizontal="right"/>
    </xf>
    <xf numFmtId="166" fontId="26" fillId="3" borderId="26" xfId="0" applyNumberFormat="1" applyFont="1" applyFill="1" applyBorder="1" applyAlignment="1">
      <alignment horizontal="right"/>
    </xf>
    <xf numFmtId="167" fontId="29" fillId="3" borderId="21" xfId="0" applyNumberFormat="1" applyFont="1" applyFill="1" applyBorder="1" applyAlignment="1">
      <alignment horizontal="right"/>
    </xf>
    <xf numFmtId="167" fontId="6" fillId="3" borderId="21" xfId="0" applyNumberFormat="1" applyFont="1" applyFill="1" applyBorder="1"/>
    <xf numFmtId="0" fontId="6" fillId="3" borderId="21" xfId="13" applyFont="1" applyFill="1" applyBorder="1" applyAlignment="1">
      <alignment horizontal="center"/>
    </xf>
    <xf numFmtId="17" fontId="62" fillId="3" borderId="21" xfId="13" applyNumberFormat="1" applyFill="1" applyBorder="1" applyAlignment="1">
      <alignment horizontal="center"/>
    </xf>
    <xf numFmtId="167" fontId="28" fillId="3" borderId="21" xfId="13" applyNumberFormat="1" applyFont="1" applyFill="1" applyBorder="1"/>
    <xf numFmtId="166" fontId="28" fillId="3" borderId="21" xfId="13" applyNumberFormat="1" applyFont="1" applyFill="1" applyBorder="1"/>
    <xf numFmtId="166" fontId="26" fillId="3" borderId="21" xfId="13" applyNumberFormat="1" applyFont="1" applyFill="1" applyBorder="1"/>
    <xf numFmtId="200" fontId="26" fillId="3" borderId="21" xfId="13" applyNumberFormat="1" applyFont="1" applyFill="1" applyBorder="1"/>
    <xf numFmtId="166" fontId="26" fillId="3" borderId="33" xfId="13" applyNumberFormat="1" applyFont="1" applyFill="1" applyBorder="1"/>
    <xf numFmtId="166" fontId="28" fillId="3" borderId="33" xfId="13" applyNumberFormat="1" applyFont="1" applyFill="1" applyBorder="1"/>
    <xf numFmtId="170" fontId="28" fillId="3" borderId="21" xfId="13" applyNumberFormat="1" applyFont="1" applyFill="1" applyBorder="1"/>
    <xf numFmtId="167" fontId="26" fillId="3" borderId="21" xfId="13" applyNumberFormat="1" applyFont="1" applyFill="1" applyBorder="1"/>
    <xf numFmtId="17" fontId="34" fillId="3" borderId="21" xfId="13" applyNumberFormat="1" applyFont="1" applyFill="1" applyBorder="1" applyAlignment="1">
      <alignment horizontal="center"/>
    </xf>
    <xf numFmtId="164" fontId="27" fillId="3" borderId="21" xfId="13" applyNumberFormat="1" applyFont="1" applyFill="1" applyBorder="1" applyAlignment="1">
      <alignment horizontal="center"/>
    </xf>
    <xf numFmtId="169" fontId="26" fillId="3" borderId="21" xfId="13" applyNumberFormat="1" applyFont="1" applyFill="1" applyBorder="1" applyAlignment="1">
      <alignment horizontal="right"/>
    </xf>
    <xf numFmtId="166" fontId="26" fillId="3" borderId="35" xfId="13" applyNumberFormat="1" applyFont="1" applyFill="1" applyBorder="1"/>
    <xf numFmtId="167" fontId="28" fillId="3" borderId="21" xfId="13" applyNumberFormat="1" applyFont="1" applyFill="1" applyBorder="1" applyAlignment="1">
      <alignment horizontal="right"/>
    </xf>
    <xf numFmtId="167" fontId="28" fillId="3" borderId="33" xfId="13" applyNumberFormat="1" applyFont="1" applyFill="1" applyBorder="1"/>
    <xf numFmtId="169" fontId="26" fillId="3" borderId="21" xfId="13" applyNumberFormat="1" applyFont="1" applyFill="1" applyBorder="1"/>
    <xf numFmtId="167" fontId="26" fillId="3" borderId="21" xfId="13" applyNumberFormat="1" applyFont="1" applyFill="1" applyBorder="1" applyAlignment="1">
      <alignment horizontal="center"/>
    </xf>
    <xf numFmtId="167" fontId="26" fillId="3" borderId="35" xfId="13" applyNumberFormat="1" applyFont="1" applyFill="1" applyBorder="1" applyAlignment="1">
      <alignment horizontal="right"/>
    </xf>
    <xf numFmtId="167" fontId="26" fillId="3" borderId="21" xfId="13" applyNumberFormat="1" applyFont="1" applyFill="1" applyBorder="1" applyAlignment="1">
      <alignment horizontal="right"/>
    </xf>
    <xf numFmtId="183" fontId="26" fillId="3" borderId="21" xfId="13" applyNumberFormat="1" applyFont="1" applyFill="1" applyBorder="1" applyAlignment="1">
      <alignment horizontal="right"/>
    </xf>
    <xf numFmtId="170" fontId="26" fillId="3" borderId="21" xfId="13" applyNumberFormat="1" applyFont="1" applyFill="1" applyBorder="1"/>
    <xf numFmtId="184" fontId="26" fillId="3" borderId="21" xfId="13" applyNumberFormat="1" applyFont="1" applyFill="1" applyBorder="1" applyAlignment="1">
      <alignment horizontal="right"/>
    </xf>
    <xf numFmtId="166" fontId="28" fillId="3" borderId="7" xfId="0" applyNumberFormat="1" applyFont="1" applyFill="1" applyBorder="1" applyAlignment="1">
      <alignment horizontal="left" indent="4"/>
    </xf>
    <xf numFmtId="167" fontId="20" fillId="0" borderId="0" xfId="0" applyNumberFormat="1" applyFont="1"/>
    <xf numFmtId="0" fontId="20" fillId="0" borderId="0" xfId="0" applyFont="1"/>
    <xf numFmtId="197" fontId="0" fillId="0" borderId="0" xfId="0" applyNumberFormat="1"/>
    <xf numFmtId="44" fontId="6" fillId="0" borderId="0" xfId="0" applyNumberFormat="1" applyFont="1"/>
    <xf numFmtId="44" fontId="0" fillId="0" borderId="0" xfId="0" applyNumberFormat="1"/>
    <xf numFmtId="200" fontId="0" fillId="0" borderId="0" xfId="0" applyNumberFormat="1"/>
    <xf numFmtId="0" fontId="37" fillId="0" borderId="0" xfId="13" applyFont="1"/>
    <xf numFmtId="0" fontId="62" fillId="0" borderId="0" xfId="13"/>
    <xf numFmtId="0" fontId="6" fillId="0" borderId="0" xfId="13" applyFont="1"/>
    <xf numFmtId="0" fontId="20" fillId="0" borderId="0" xfId="13" applyFont="1"/>
    <xf numFmtId="167" fontId="62" fillId="0" borderId="0" xfId="13" applyNumberFormat="1"/>
    <xf numFmtId="0" fontId="62" fillId="0" borderId="0" xfId="13" applyAlignment="1">
      <alignment horizontal="left"/>
    </xf>
    <xf numFmtId="0" fontId="9" fillId="0" borderId="0" xfId="13" applyFont="1"/>
    <xf numFmtId="0" fontId="7" fillId="0" borderId="0" xfId="13" applyFont="1" applyAlignment="1">
      <alignment horizontal="left"/>
    </xf>
    <xf numFmtId="0" fontId="7" fillId="0" borderId="0" xfId="13" applyFont="1" applyAlignment="1">
      <alignment horizontal="center"/>
    </xf>
    <xf numFmtId="164" fontId="62" fillId="0" borderId="0" xfId="13" applyNumberFormat="1"/>
    <xf numFmtId="169" fontId="6" fillId="0" borderId="0" xfId="13" applyNumberFormat="1" applyFont="1"/>
    <xf numFmtId="166" fontId="6" fillId="0" borderId="0" xfId="13" applyNumberFormat="1" applyFont="1"/>
    <xf numFmtId="166" fontId="62" fillId="0" borderId="0" xfId="13" applyNumberFormat="1"/>
    <xf numFmtId="164" fontId="6" fillId="0" borderId="0" xfId="13" applyNumberFormat="1" applyFont="1"/>
    <xf numFmtId="167" fontId="6" fillId="0" borderId="0" xfId="13" applyNumberFormat="1" applyFont="1"/>
    <xf numFmtId="183" fontId="6" fillId="0" borderId="0" xfId="13" applyNumberFormat="1" applyFont="1"/>
    <xf numFmtId="170" fontId="6" fillId="0" borderId="0" xfId="13" applyNumberFormat="1" applyFont="1"/>
    <xf numFmtId="184" fontId="6" fillId="0" borderId="0" xfId="13" applyNumberFormat="1" applyFont="1"/>
    <xf numFmtId="170" fontId="62" fillId="0" borderId="0" xfId="13" applyNumberFormat="1"/>
    <xf numFmtId="200" fontId="6" fillId="0" borderId="0" xfId="13" applyNumberFormat="1" applyFont="1"/>
    <xf numFmtId="166" fontId="5" fillId="3" borderId="40" xfId="0" applyNumberFormat="1" applyFont="1" applyFill="1" applyBorder="1"/>
    <xf numFmtId="166" fontId="26" fillId="3" borderId="40" xfId="0" applyNumberFormat="1" applyFont="1" applyFill="1" applyBorder="1"/>
    <xf numFmtId="169" fontId="6" fillId="3" borderId="21" xfId="0" applyNumberFormat="1" applyFont="1" applyFill="1" applyBorder="1"/>
    <xf numFmtId="164" fontId="49" fillId="5" borderId="21" xfId="0" applyNumberFormat="1" applyFont="1" applyFill="1" applyBorder="1"/>
    <xf numFmtId="164" fontId="29" fillId="3" borderId="21" xfId="0" applyNumberFormat="1" applyFont="1" applyFill="1" applyBorder="1"/>
    <xf numFmtId="164" fontId="26" fillId="3" borderId="21" xfId="0" applyNumberFormat="1" applyFont="1" applyFill="1" applyBorder="1"/>
    <xf numFmtId="164" fontId="28" fillId="3" borderId="35" xfId="0" applyNumberFormat="1" applyFont="1" applyFill="1" applyBorder="1"/>
    <xf numFmtId="164" fontId="26" fillId="3" borderId="35" xfId="0" applyNumberFormat="1" applyFont="1" applyFill="1" applyBorder="1"/>
    <xf numFmtId="166" fontId="23" fillId="2" borderId="0" xfId="8" applyNumberFormat="1" applyFont="1"/>
    <xf numFmtId="166" fontId="23" fillId="2" borderId="0" xfId="8" applyNumberFormat="1" applyFont="1" applyAlignment="1">
      <alignment horizontal="right"/>
    </xf>
    <xf numFmtId="166" fontId="23" fillId="2" borderId="21" xfId="8" applyNumberFormat="1" applyFont="1" applyBorder="1" applyAlignment="1">
      <alignment horizontal="right"/>
    </xf>
    <xf numFmtId="164" fontId="26" fillId="3" borderId="8" xfId="0" applyNumberFormat="1" applyFont="1" applyFill="1" applyBorder="1"/>
    <xf numFmtId="164" fontId="26" fillId="3" borderId="6" xfId="0" applyNumberFormat="1" applyFont="1" applyFill="1" applyBorder="1"/>
    <xf numFmtId="164" fontId="26" fillId="3" borderId="5" xfId="0" applyNumberFormat="1" applyFont="1" applyFill="1" applyBorder="1"/>
    <xf numFmtId="164" fontId="26" fillId="3" borderId="4" xfId="0" applyNumberFormat="1" applyFont="1" applyFill="1" applyBorder="1"/>
    <xf numFmtId="167" fontId="23" fillId="3" borderId="0" xfId="11" applyNumberFormat="1" applyFont="1" applyFill="1"/>
    <xf numFmtId="164" fontId="23" fillId="3" borderId="0" xfId="11" applyNumberFormat="1" applyFont="1" applyFill="1"/>
    <xf numFmtId="164" fontId="23" fillId="2" borderId="21" xfId="8" applyNumberFormat="1" applyFont="1" applyBorder="1" applyAlignment="1">
      <alignment horizontal="right"/>
    </xf>
    <xf numFmtId="0" fontId="29" fillId="3" borderId="0" xfId="0" applyFont="1" applyFill="1"/>
    <xf numFmtId="167" fontId="20" fillId="3" borderId="0" xfId="0" applyNumberFormat="1" applyFont="1" applyFill="1" applyAlignment="1">
      <alignment horizontal="right"/>
    </xf>
    <xf numFmtId="164" fontId="49" fillId="5" borderId="0" xfId="0" applyNumberFormat="1" applyFont="1" applyFill="1"/>
    <xf numFmtId="166" fontId="5" fillId="3" borderId="0" xfId="0" applyNumberFormat="1" applyFont="1" applyFill="1"/>
    <xf numFmtId="166" fontId="20" fillId="3" borderId="0" xfId="0" applyNumberFormat="1" applyFont="1" applyFill="1"/>
    <xf numFmtId="166" fontId="21" fillId="3" borderId="0" xfId="0" applyNumberFormat="1" applyFont="1" applyFill="1"/>
    <xf numFmtId="169" fontId="30" fillId="3" borderId="0" xfId="0" applyNumberFormat="1" applyFont="1" applyFill="1"/>
    <xf numFmtId="196" fontId="29" fillId="3" borderId="0" xfId="0" applyNumberFormat="1" applyFont="1" applyFill="1"/>
    <xf numFmtId="188" fontId="26" fillId="3" borderId="0" xfId="0" applyNumberFormat="1" applyFont="1" applyFill="1"/>
    <xf numFmtId="166" fontId="0" fillId="3" borderId="0" xfId="0" applyNumberFormat="1" applyFill="1" applyAlignment="1">
      <alignment horizontal="right"/>
    </xf>
    <xf numFmtId="169" fontId="6" fillId="3" borderId="0" xfId="0" applyNumberFormat="1" applyFont="1" applyFill="1" applyAlignment="1">
      <alignment horizontal="right"/>
    </xf>
    <xf numFmtId="170" fontId="28" fillId="3" borderId="0" xfId="0" applyNumberFormat="1" applyFont="1" applyFill="1" applyAlignment="1">
      <alignment horizontal="right"/>
    </xf>
    <xf numFmtId="195" fontId="0" fillId="3" borderId="0" xfId="0" applyNumberFormat="1" applyFill="1" applyAlignment="1">
      <alignment horizontal="right"/>
    </xf>
    <xf numFmtId="166" fontId="28" fillId="2" borderId="0" xfId="8" applyNumberFormat="1" applyFont="1" applyAlignment="1">
      <alignment horizontal="right"/>
    </xf>
    <xf numFmtId="166" fontId="27" fillId="3" borderId="0" xfId="11" applyNumberFormat="1" applyFont="1" applyFill="1"/>
    <xf numFmtId="166" fontId="23" fillId="3" borderId="0" xfId="11" applyNumberFormat="1" applyFont="1" applyFill="1"/>
    <xf numFmtId="198" fontId="27" fillId="3" borderId="0" xfId="11" applyNumberFormat="1" applyFont="1" applyFill="1" applyAlignment="1">
      <alignment horizontal="right"/>
    </xf>
    <xf numFmtId="0" fontId="27" fillId="3" borderId="0" xfId="11" applyFont="1" applyFill="1" applyAlignment="1">
      <alignment horizontal="right"/>
    </xf>
    <xf numFmtId="166" fontId="23" fillId="3" borderId="0" xfId="11" applyNumberFormat="1" applyFont="1" applyFill="1" applyAlignment="1">
      <alignment horizontal="right"/>
    </xf>
    <xf numFmtId="167" fontId="23" fillId="3" borderId="0" xfId="11" applyNumberFormat="1" applyFont="1" applyFill="1" applyAlignment="1">
      <alignment horizontal="right"/>
    </xf>
    <xf numFmtId="17" fontId="23" fillId="3" borderId="0" xfId="11" applyNumberFormat="1" applyFont="1" applyFill="1"/>
    <xf numFmtId="188" fontId="23" fillId="3" borderId="0" xfId="11" applyNumberFormat="1" applyFont="1" applyFill="1"/>
    <xf numFmtId="190" fontId="23" fillId="3" borderId="0" xfId="11" applyNumberFormat="1" applyFont="1" applyFill="1"/>
    <xf numFmtId="164" fontId="28" fillId="3" borderId="11" xfId="13" applyNumberFormat="1" applyFont="1" applyFill="1" applyBorder="1" applyAlignment="1">
      <alignment horizontal="right"/>
    </xf>
    <xf numFmtId="164" fontId="28" fillId="3" borderId="27" xfId="13" applyNumberFormat="1" applyFont="1" applyFill="1" applyBorder="1" applyAlignment="1">
      <alignment horizontal="right"/>
    </xf>
    <xf numFmtId="164" fontId="26" fillId="3" borderId="21" xfId="13" applyNumberFormat="1" applyFont="1" applyFill="1" applyBorder="1"/>
    <xf numFmtId="164" fontId="35" fillId="5" borderId="21" xfId="13" applyNumberFormat="1" applyFont="1" applyFill="1" applyBorder="1"/>
    <xf numFmtId="170" fontId="26" fillId="3" borderId="0" xfId="13" applyNumberFormat="1" applyFont="1" applyFill="1" applyAlignment="1">
      <alignment horizontal="right"/>
    </xf>
    <xf numFmtId="170" fontId="28" fillId="3" borderId="0" xfId="13" applyNumberFormat="1" applyFont="1" applyFill="1" applyAlignment="1">
      <alignment horizontal="right"/>
    </xf>
    <xf numFmtId="164" fontId="28" fillId="3" borderId="2" xfId="13" applyNumberFormat="1" applyFont="1" applyFill="1" applyBorder="1"/>
    <xf numFmtId="164" fontId="28" fillId="3" borderId="33" xfId="13" applyNumberFormat="1" applyFont="1" applyFill="1" applyBorder="1"/>
    <xf numFmtId="201" fontId="62" fillId="3" borderId="0" xfId="13" applyNumberFormat="1" applyFill="1"/>
    <xf numFmtId="17" fontId="62" fillId="3" borderId="0" xfId="13" applyNumberFormat="1" applyFill="1" applyAlignment="1">
      <alignment horizontal="center"/>
    </xf>
    <xf numFmtId="200" fontId="28" fillId="3" borderId="0" xfId="13" applyNumberFormat="1" applyFont="1" applyFill="1"/>
    <xf numFmtId="17" fontId="61" fillId="3" borderId="0" xfId="0" applyNumberFormat="1" applyFont="1" applyFill="1" applyAlignment="1">
      <alignment horizontal="center"/>
    </xf>
    <xf numFmtId="17" fontId="61" fillId="3" borderId="21" xfId="0" applyNumberFormat="1" applyFont="1" applyFill="1" applyBorder="1" applyAlignment="1">
      <alignment horizontal="center"/>
    </xf>
    <xf numFmtId="166" fontId="55" fillId="3" borderId="0" xfId="0" applyNumberFormat="1" applyFont="1" applyFill="1"/>
    <xf numFmtId="167" fontId="60" fillId="3" borderId="0" xfId="0" applyNumberFormat="1" applyFont="1" applyFill="1" applyAlignment="1">
      <alignment horizontal="right"/>
    </xf>
    <xf numFmtId="166" fontId="55" fillId="3" borderId="21" xfId="0" applyNumberFormat="1" applyFont="1" applyFill="1" applyBorder="1"/>
    <xf numFmtId="166" fontId="55" fillId="3" borderId="7" xfId="0" applyNumberFormat="1" applyFont="1" applyFill="1" applyBorder="1"/>
    <xf numFmtId="166" fontId="55" fillId="3" borderId="35" xfId="0" applyNumberFormat="1" applyFont="1" applyFill="1" applyBorder="1"/>
    <xf numFmtId="167" fontId="60" fillId="3" borderId="0" xfId="0" applyNumberFormat="1" applyFont="1" applyFill="1"/>
    <xf numFmtId="164" fontId="55" fillId="3" borderId="2" xfId="0" applyNumberFormat="1" applyFont="1" applyFill="1" applyBorder="1"/>
    <xf numFmtId="166" fontId="55" fillId="3" borderId="2" xfId="0" applyNumberFormat="1" applyFont="1" applyFill="1" applyBorder="1"/>
    <xf numFmtId="166" fontId="55" fillId="3" borderId="33" xfId="0" applyNumberFormat="1" applyFont="1" applyFill="1" applyBorder="1"/>
    <xf numFmtId="166" fontId="59" fillId="3" borderId="0" xfId="0" applyNumberFormat="1" applyFont="1" applyFill="1"/>
    <xf numFmtId="166" fontId="59" fillId="3" borderId="7" xfId="0" applyNumberFormat="1" applyFont="1" applyFill="1" applyBorder="1"/>
    <xf numFmtId="166" fontId="59" fillId="3" borderId="35" xfId="0" applyNumberFormat="1" applyFont="1" applyFill="1" applyBorder="1"/>
    <xf numFmtId="197" fontId="60" fillId="3" borderId="0" xfId="0" applyNumberFormat="1" applyFont="1" applyFill="1"/>
    <xf numFmtId="197" fontId="60" fillId="3" borderId="21" xfId="0" applyNumberFormat="1" applyFont="1" applyFill="1" applyBorder="1"/>
    <xf numFmtId="167" fontId="55" fillId="3" borderId="0" xfId="0" applyNumberFormat="1" applyFont="1" applyFill="1"/>
    <xf numFmtId="167" fontId="55" fillId="3" borderId="21" xfId="0" applyNumberFormat="1" applyFont="1" applyFill="1" applyBorder="1"/>
    <xf numFmtId="166" fontId="59" fillId="3" borderId="21" xfId="0" applyNumberFormat="1" applyFont="1" applyFill="1" applyBorder="1"/>
    <xf numFmtId="166" fontId="55" fillId="3" borderId="2" xfId="0" applyNumberFormat="1" applyFont="1" applyFill="1" applyBorder="1" applyAlignment="1">
      <alignment horizontal="right"/>
    </xf>
    <xf numFmtId="167" fontId="59" fillId="3" borderId="0" xfId="1" applyNumberFormat="1" applyFont="1" applyFill="1"/>
    <xf numFmtId="167" fontId="59" fillId="3" borderId="0" xfId="1" applyNumberFormat="1" applyFont="1" applyFill="1" applyAlignment="1">
      <alignment horizontal="right"/>
    </xf>
    <xf numFmtId="196" fontId="60" fillId="3" borderId="0" xfId="0" applyNumberFormat="1" applyFont="1" applyFill="1"/>
    <xf numFmtId="44" fontId="55" fillId="3" borderId="0" xfId="0" applyNumberFormat="1" applyFont="1" applyFill="1"/>
    <xf numFmtId="44" fontId="55" fillId="3" borderId="2" xfId="0" applyNumberFormat="1" applyFont="1" applyFill="1" applyBorder="1"/>
    <xf numFmtId="44" fontId="55" fillId="3" borderId="21" xfId="0" applyNumberFormat="1" applyFont="1" applyFill="1" applyBorder="1"/>
    <xf numFmtId="194" fontId="55" fillId="3" borderId="0" xfId="0" applyNumberFormat="1" applyFont="1" applyFill="1"/>
    <xf numFmtId="194" fontId="55" fillId="3" borderId="21" xfId="0" applyNumberFormat="1" applyFont="1" applyFill="1" applyBorder="1"/>
    <xf numFmtId="200" fontId="55" fillId="3" borderId="0" xfId="0" applyNumberFormat="1" applyFont="1" applyFill="1"/>
    <xf numFmtId="200" fontId="55" fillId="3" borderId="21" xfId="0" applyNumberFormat="1" applyFont="1" applyFill="1" applyBorder="1"/>
    <xf numFmtId="200" fontId="55" fillId="3" borderId="2" xfId="0" applyNumberFormat="1" applyFont="1" applyFill="1" applyBorder="1"/>
    <xf numFmtId="200" fontId="55" fillId="3" borderId="33" xfId="0" applyNumberFormat="1" applyFont="1" applyFill="1" applyBorder="1"/>
    <xf numFmtId="172" fontId="55" fillId="3" borderId="0" xfId="0" applyNumberFormat="1" applyFont="1" applyFill="1"/>
    <xf numFmtId="172" fontId="55" fillId="3" borderId="21" xfId="0" applyNumberFormat="1" applyFont="1" applyFill="1" applyBorder="1"/>
    <xf numFmtId="188" fontId="59" fillId="3" borderId="0" xfId="0" applyNumberFormat="1" applyFont="1" applyFill="1"/>
    <xf numFmtId="167" fontId="59" fillId="3" borderId="0" xfId="0" applyNumberFormat="1" applyFont="1" applyFill="1" applyAlignment="1">
      <alignment horizontal="right"/>
    </xf>
    <xf numFmtId="188" fontId="59" fillId="3" borderId="0" xfId="0" applyNumberFormat="1" applyFont="1" applyFill="1" applyAlignment="1">
      <alignment horizontal="left"/>
    </xf>
    <xf numFmtId="167" fontId="58" fillId="3" borderId="0" xfId="0" applyNumberFormat="1" applyFont="1" applyFill="1"/>
    <xf numFmtId="166" fontId="61" fillId="3" borderId="4" xfId="11" applyNumberFormat="1" applyFont="1" applyFill="1" applyBorder="1"/>
    <xf numFmtId="166" fontId="61" fillId="3" borderId="1" xfId="11" applyNumberFormat="1" applyFont="1" applyFill="1" applyBorder="1"/>
    <xf numFmtId="198" fontId="59" fillId="3" borderId="0" xfId="0" applyNumberFormat="1" applyFont="1" applyFill="1" applyAlignment="1">
      <alignment horizontal="right"/>
    </xf>
    <xf numFmtId="198" fontId="59" fillId="3" borderId="21" xfId="0" applyNumberFormat="1" applyFont="1" applyFill="1" applyBorder="1" applyAlignment="1">
      <alignment horizontal="right"/>
    </xf>
    <xf numFmtId="188" fontId="61" fillId="3" borderId="0" xfId="11" applyNumberFormat="1" applyFont="1" applyFill="1"/>
    <xf numFmtId="188" fontId="55" fillId="3" borderId="0" xfId="0" applyNumberFormat="1" applyFont="1" applyFill="1"/>
    <xf numFmtId="188" fontId="55" fillId="3" borderId="21" xfId="0" applyNumberFormat="1" applyFont="1" applyFill="1" applyBorder="1"/>
    <xf numFmtId="190" fontId="61" fillId="3" borderId="0" xfId="11" applyNumberFormat="1" applyFont="1" applyFill="1"/>
    <xf numFmtId="190" fontId="55" fillId="3" borderId="0" xfId="0" applyNumberFormat="1" applyFont="1" applyFill="1"/>
    <xf numFmtId="190" fontId="55" fillId="3" borderId="21" xfId="0" applyNumberFormat="1" applyFont="1" applyFill="1" applyBorder="1"/>
    <xf numFmtId="195" fontId="61" fillId="3" borderId="0" xfId="11" applyNumberFormat="1" applyFont="1" applyFill="1"/>
    <xf numFmtId="195" fontId="55" fillId="3" borderId="0" xfId="0" applyNumberFormat="1" applyFont="1" applyFill="1"/>
    <xf numFmtId="195" fontId="55" fillId="3" borderId="21" xfId="0" applyNumberFormat="1" applyFont="1" applyFill="1" applyBorder="1"/>
    <xf numFmtId="1" fontId="6" fillId="6" borderId="0" xfId="0" applyNumberFormat="1" applyFont="1" applyFill="1" applyAlignment="1">
      <alignment horizontal="center"/>
    </xf>
    <xf numFmtId="1" fontId="26" fillId="6" borderId="0" xfId="0" applyNumberFormat="1" applyFont="1" applyFill="1" applyAlignment="1">
      <alignment horizontal="center"/>
    </xf>
    <xf numFmtId="17" fontId="55" fillId="6" borderId="0" xfId="0" applyNumberFormat="1" applyFont="1" applyFill="1" applyAlignment="1">
      <alignment horizontal="center"/>
    </xf>
    <xf numFmtId="17" fontId="61" fillId="6" borderId="0" xfId="0" applyNumberFormat="1" applyFont="1" applyFill="1" applyAlignment="1">
      <alignment horizontal="center"/>
    </xf>
    <xf numFmtId="17" fontId="23" fillId="6" borderId="0" xfId="0" applyNumberFormat="1" applyFont="1" applyFill="1" applyAlignment="1">
      <alignment horizontal="center"/>
    </xf>
    <xf numFmtId="0" fontId="59" fillId="6" borderId="0" xfId="0" applyFont="1" applyFill="1" applyAlignment="1">
      <alignment horizontal="center"/>
    </xf>
    <xf numFmtId="0" fontId="27" fillId="6" borderId="0" xfId="0" applyFont="1" applyFill="1" applyAlignment="1">
      <alignment horizontal="center"/>
    </xf>
    <xf numFmtId="0" fontId="5" fillId="6" borderId="0" xfId="0" applyFont="1" applyFill="1" applyAlignment="1">
      <alignment horizontal="center"/>
    </xf>
    <xf numFmtId="166" fontId="28" fillId="6" borderId="0" xfId="0" applyNumberFormat="1" applyFont="1" applyFill="1"/>
    <xf numFmtId="166" fontId="55" fillId="6" borderId="0" xfId="0" applyNumberFormat="1" applyFont="1" applyFill="1"/>
    <xf numFmtId="166" fontId="0" fillId="6" borderId="0" xfId="0" applyNumberFormat="1" applyFill="1"/>
    <xf numFmtId="167" fontId="29" fillId="6" borderId="0" xfId="0" applyNumberFormat="1" applyFont="1" applyFill="1"/>
    <xf numFmtId="167" fontId="29" fillId="6" borderId="0" xfId="0" applyNumberFormat="1" applyFont="1" applyFill="1" applyAlignment="1">
      <alignment horizontal="right"/>
    </xf>
    <xf numFmtId="167" fontId="20" fillId="6" borderId="0" xfId="0" applyNumberFormat="1" applyFont="1" applyFill="1" applyAlignment="1">
      <alignment horizontal="right"/>
    </xf>
    <xf numFmtId="167" fontId="60" fillId="6" borderId="0" xfId="0" applyNumberFormat="1" applyFont="1" applyFill="1" applyAlignment="1">
      <alignment horizontal="right"/>
    </xf>
    <xf numFmtId="166" fontId="29" fillId="6" borderId="0" xfId="0" applyNumberFormat="1" applyFont="1" applyFill="1"/>
    <xf numFmtId="166" fontId="28" fillId="6" borderId="7" xfId="0" applyNumberFormat="1" applyFont="1" applyFill="1" applyBorder="1"/>
    <xf numFmtId="166" fontId="55" fillId="6" borderId="7" xfId="0" applyNumberFormat="1" applyFont="1" applyFill="1" applyBorder="1"/>
    <xf numFmtId="166" fontId="0" fillId="6" borderId="7" xfId="0" applyNumberFormat="1" applyFill="1" applyBorder="1"/>
    <xf numFmtId="166" fontId="28" fillId="6" borderId="2" xfId="0" applyNumberFormat="1" applyFont="1" applyFill="1" applyBorder="1"/>
    <xf numFmtId="166" fontId="26" fillId="6" borderId="7" xfId="0" applyNumberFormat="1" applyFont="1" applyFill="1" applyBorder="1"/>
    <xf numFmtId="166" fontId="6" fillId="6" borderId="7" xfId="0" applyNumberFormat="1" applyFont="1" applyFill="1" applyBorder="1"/>
    <xf numFmtId="166" fontId="29" fillId="6" borderId="0" xfId="0" applyNumberFormat="1" applyFont="1" applyFill="1" applyAlignment="1">
      <alignment horizontal="right"/>
    </xf>
    <xf numFmtId="166" fontId="26" fillId="6" borderId="0" xfId="0" applyNumberFormat="1" applyFont="1" applyFill="1"/>
    <xf numFmtId="167" fontId="28" fillId="6" borderId="0" xfId="0" applyNumberFormat="1" applyFont="1" applyFill="1"/>
    <xf numFmtId="167" fontId="60" fillId="6" borderId="0" xfId="0" applyNumberFormat="1" applyFont="1" applyFill="1"/>
    <xf numFmtId="166" fontId="28" fillId="6" borderId="9" xfId="0" applyNumberFormat="1" applyFont="1" applyFill="1" applyBorder="1"/>
    <xf numFmtId="164" fontId="28" fillId="6" borderId="2" xfId="0" applyNumberFormat="1" applyFont="1" applyFill="1" applyBorder="1"/>
    <xf numFmtId="164" fontId="55" fillId="6" borderId="2" xfId="0" applyNumberFormat="1" applyFont="1" applyFill="1" applyBorder="1"/>
    <xf numFmtId="166" fontId="55" fillId="6" borderId="2" xfId="0" applyNumberFormat="1" applyFont="1" applyFill="1" applyBorder="1"/>
    <xf numFmtId="166" fontId="6" fillId="6" borderId="0" xfId="0" applyNumberFormat="1" applyFont="1" applyFill="1"/>
    <xf numFmtId="167" fontId="26" fillId="6" borderId="7" xfId="0" applyNumberFormat="1" applyFont="1" applyFill="1" applyBorder="1"/>
    <xf numFmtId="164" fontId="28" fillId="6" borderId="0" xfId="0" applyNumberFormat="1" applyFont="1" applyFill="1"/>
    <xf numFmtId="167" fontId="0" fillId="6" borderId="0" xfId="0" applyNumberFormat="1" applyFill="1"/>
    <xf numFmtId="167" fontId="28" fillId="6" borderId="2" xfId="0" applyNumberFormat="1" applyFont="1" applyFill="1" applyBorder="1"/>
    <xf numFmtId="167" fontId="6" fillId="6" borderId="7" xfId="0" applyNumberFormat="1" applyFont="1" applyFill="1" applyBorder="1"/>
    <xf numFmtId="166" fontId="59" fillId="6" borderId="7" xfId="0" applyNumberFormat="1" applyFont="1" applyFill="1" applyBorder="1"/>
    <xf numFmtId="197" fontId="29" fillId="6" borderId="0" xfId="0" applyNumberFormat="1" applyFont="1" applyFill="1"/>
    <xf numFmtId="197" fontId="60" fillId="6" borderId="0" xfId="0" applyNumberFormat="1" applyFont="1" applyFill="1"/>
    <xf numFmtId="167" fontId="55" fillId="6" borderId="0" xfId="0" applyNumberFormat="1" applyFont="1" applyFill="1"/>
    <xf numFmtId="167" fontId="26" fillId="6" borderId="2" xfId="0" applyNumberFormat="1" applyFont="1" applyFill="1" applyBorder="1" applyAlignment="1">
      <alignment horizontal="center"/>
    </xf>
    <xf numFmtId="167" fontId="26" fillId="6" borderId="2" xfId="0" applyNumberFormat="1" applyFont="1" applyFill="1" applyBorder="1"/>
    <xf numFmtId="167" fontId="26" fillId="6" borderId="0" xfId="0" applyNumberFormat="1" applyFont="1" applyFill="1" applyAlignment="1">
      <alignment horizontal="center"/>
    </xf>
    <xf numFmtId="167" fontId="26" fillId="6" borderId="0" xfId="0" applyNumberFormat="1" applyFont="1" applyFill="1"/>
    <xf numFmtId="167" fontId="26" fillId="6" borderId="7" xfId="0" applyNumberFormat="1" applyFont="1" applyFill="1" applyBorder="1" applyAlignment="1">
      <alignment horizontal="center"/>
    </xf>
    <xf numFmtId="167" fontId="29" fillId="6" borderId="0" xfId="0" applyNumberFormat="1" applyFont="1" applyFill="1" applyAlignment="1">
      <alignment horizontal="center"/>
    </xf>
    <xf numFmtId="166" fontId="59" fillId="6" borderId="0" xfId="0" applyNumberFormat="1" applyFont="1" applyFill="1"/>
    <xf numFmtId="166" fontId="6" fillId="6" borderId="9" xfId="0" applyNumberFormat="1" applyFont="1" applyFill="1" applyBorder="1"/>
    <xf numFmtId="166" fontId="26" fillId="6" borderId="9" xfId="0" applyNumberFormat="1" applyFont="1" applyFill="1" applyBorder="1"/>
    <xf numFmtId="166" fontId="28" fillId="6" borderId="0" xfId="0" applyNumberFormat="1" applyFont="1" applyFill="1" applyAlignment="1">
      <alignment horizontal="right"/>
    </xf>
    <xf numFmtId="166" fontId="28" fillId="6" borderId="2" xfId="0" applyNumberFormat="1" applyFont="1" applyFill="1" applyBorder="1" applyAlignment="1">
      <alignment horizontal="right"/>
    </xf>
    <xf numFmtId="166" fontId="26" fillId="6" borderId="0" xfId="0" applyNumberFormat="1" applyFont="1" applyFill="1" applyAlignment="1">
      <alignment horizontal="right"/>
    </xf>
    <xf numFmtId="166" fontId="20" fillId="6" borderId="0" xfId="0" applyNumberFormat="1" applyFont="1" applyFill="1"/>
    <xf numFmtId="166" fontId="33" fillId="6" borderId="0" xfId="0" applyNumberFormat="1" applyFont="1" applyFill="1" applyAlignment="1">
      <alignment horizontal="right"/>
    </xf>
    <xf numFmtId="166" fontId="26" fillId="6" borderId="7" xfId="0" applyNumberFormat="1" applyFont="1" applyFill="1" applyBorder="1" applyAlignment="1">
      <alignment horizontal="right"/>
    </xf>
    <xf numFmtId="164" fontId="29" fillId="6" borderId="0" xfId="0" applyNumberFormat="1" applyFont="1" applyFill="1"/>
    <xf numFmtId="164" fontId="29" fillId="6" borderId="0" xfId="0" applyNumberFormat="1" applyFont="1" applyFill="1" applyAlignment="1">
      <alignment horizontal="right"/>
    </xf>
    <xf numFmtId="164" fontId="26" fillId="6" borderId="0" xfId="0" applyNumberFormat="1" applyFont="1" applyFill="1"/>
    <xf numFmtId="166" fontId="28" fillId="6" borderId="7" xfId="0" applyNumberFormat="1" applyFont="1" applyFill="1" applyBorder="1" applyAlignment="1">
      <alignment horizontal="right"/>
    </xf>
    <xf numFmtId="166" fontId="55" fillId="6" borderId="2" xfId="0" applyNumberFormat="1" applyFont="1" applyFill="1" applyBorder="1" applyAlignment="1">
      <alignment horizontal="right"/>
    </xf>
    <xf numFmtId="166" fontId="55" fillId="6" borderId="0" xfId="0" applyNumberFormat="1" applyFont="1" applyFill="1" applyAlignment="1">
      <alignment horizontal="right"/>
    </xf>
    <xf numFmtId="166" fontId="27" fillId="6" borderId="7" xfId="0" applyNumberFormat="1" applyFont="1" applyFill="1" applyBorder="1"/>
    <xf numFmtId="166" fontId="23" fillId="6" borderId="7" xfId="0" applyNumberFormat="1" applyFont="1" applyFill="1" applyBorder="1" applyAlignment="1">
      <alignment horizontal="right"/>
    </xf>
    <xf numFmtId="166" fontId="23" fillId="6" borderId="2" xfId="0" applyNumberFormat="1" applyFont="1" applyFill="1" applyBorder="1" applyAlignment="1">
      <alignment horizontal="right"/>
    </xf>
    <xf numFmtId="166" fontId="26" fillId="6" borderId="9" xfId="0" applyNumberFormat="1" applyFont="1" applyFill="1" applyBorder="1" applyAlignment="1">
      <alignment horizontal="right"/>
    </xf>
    <xf numFmtId="167" fontId="6" fillId="6" borderId="0" xfId="1" applyNumberFormat="1" applyFont="1" applyFill="1"/>
    <xf numFmtId="167" fontId="26" fillId="6" borderId="0" xfId="1" applyNumberFormat="1" applyFont="1" applyFill="1"/>
    <xf numFmtId="167" fontId="59" fillId="6" borderId="0" xfId="1" applyNumberFormat="1" applyFont="1" applyFill="1"/>
    <xf numFmtId="167" fontId="26" fillId="6" borderId="0" xfId="1" applyNumberFormat="1" applyFont="1" applyFill="1" applyAlignment="1">
      <alignment horizontal="right"/>
    </xf>
    <xf numFmtId="167" fontId="59" fillId="6" borderId="0" xfId="1" applyNumberFormat="1" applyFont="1" applyFill="1" applyAlignment="1">
      <alignment horizontal="right"/>
    </xf>
    <xf numFmtId="43" fontId="26" fillId="6" borderId="0" xfId="0" applyNumberFormat="1" applyFont="1" applyFill="1"/>
    <xf numFmtId="169" fontId="6" fillId="6" borderId="0" xfId="0" applyNumberFormat="1" applyFont="1" applyFill="1"/>
    <xf numFmtId="169" fontId="26" fillId="6" borderId="0" xfId="0" applyNumberFormat="1" applyFont="1" applyFill="1"/>
    <xf numFmtId="169" fontId="29" fillId="6" borderId="0" xfId="0" applyNumberFormat="1" applyFont="1" applyFill="1"/>
    <xf numFmtId="169" fontId="29" fillId="6" borderId="0" xfId="0" applyNumberFormat="1" applyFont="1" applyFill="1" applyAlignment="1">
      <alignment horizontal="right"/>
    </xf>
    <xf numFmtId="194" fontId="28" fillId="6" borderId="0" xfId="0" applyNumberFormat="1" applyFont="1" applyFill="1"/>
    <xf numFmtId="44" fontId="26" fillId="6" borderId="0" xfId="0" applyNumberFormat="1" applyFont="1" applyFill="1"/>
    <xf numFmtId="167" fontId="29" fillId="6" borderId="11" xfId="0" applyNumberFormat="1" applyFont="1" applyFill="1" applyBorder="1"/>
    <xf numFmtId="196" fontId="29" fillId="6" borderId="0" xfId="0" applyNumberFormat="1" applyFont="1" applyFill="1"/>
    <xf numFmtId="196" fontId="60" fillId="6" borderId="0" xfId="0" applyNumberFormat="1" applyFont="1" applyFill="1"/>
    <xf numFmtId="44" fontId="55" fillId="6" borderId="0" xfId="0" applyNumberFormat="1" applyFont="1" applyFill="1"/>
    <xf numFmtId="44" fontId="28" fillId="6" borderId="0" xfId="0" applyNumberFormat="1" applyFont="1" applyFill="1"/>
    <xf numFmtId="44" fontId="55" fillId="6" borderId="2" xfId="0" applyNumberFormat="1" applyFont="1" applyFill="1" applyBorder="1"/>
    <xf numFmtId="44" fontId="28" fillId="6" borderId="2" xfId="0" applyNumberFormat="1" applyFont="1" applyFill="1" applyBorder="1"/>
    <xf numFmtId="44" fontId="59" fillId="6" borderId="0" xfId="0" applyNumberFormat="1" applyFont="1" applyFill="1"/>
    <xf numFmtId="194" fontId="55" fillId="6" borderId="0" xfId="0" applyNumberFormat="1" applyFont="1" applyFill="1"/>
    <xf numFmtId="200" fontId="28" fillId="6" borderId="0" xfId="0" applyNumberFormat="1" applyFont="1" applyFill="1"/>
    <xf numFmtId="200" fontId="28" fillId="6" borderId="2" xfId="0" applyNumberFormat="1" applyFont="1" applyFill="1" applyBorder="1"/>
    <xf numFmtId="164" fontId="28" fillId="6" borderId="7" xfId="0" applyNumberFormat="1" applyFont="1" applyFill="1" applyBorder="1"/>
    <xf numFmtId="167" fontId="33" fillId="6" borderId="0" xfId="0" applyNumberFormat="1" applyFont="1" applyFill="1"/>
    <xf numFmtId="199" fontId="28" fillId="6" borderId="0" xfId="0" applyNumberFormat="1" applyFont="1" applyFill="1" applyAlignment="1">
      <alignment horizontal="center"/>
    </xf>
    <xf numFmtId="166" fontId="52" fillId="6" borderId="0" xfId="0" applyNumberFormat="1" applyFont="1" applyFill="1" applyAlignment="1">
      <alignment horizontal="right"/>
    </xf>
    <xf numFmtId="167" fontId="29" fillId="6" borderId="2" xfId="0" applyNumberFormat="1" applyFont="1" applyFill="1" applyBorder="1"/>
    <xf numFmtId="167" fontId="33" fillId="6" borderId="7" xfId="0" applyNumberFormat="1" applyFont="1" applyFill="1" applyBorder="1"/>
    <xf numFmtId="164" fontId="26" fillId="6" borderId="7" xfId="0" applyNumberFormat="1" applyFont="1" applyFill="1" applyBorder="1"/>
    <xf numFmtId="166" fontId="33" fillId="6" borderId="7" xfId="0" applyNumberFormat="1" applyFont="1" applyFill="1" applyBorder="1"/>
    <xf numFmtId="166" fontId="29" fillId="6" borderId="2" xfId="0" applyNumberFormat="1" applyFont="1" applyFill="1" applyBorder="1"/>
    <xf numFmtId="164" fontId="28" fillId="6" borderId="11" xfId="0" applyNumberFormat="1" applyFont="1" applyFill="1" applyBorder="1"/>
    <xf numFmtId="169" fontId="26" fillId="6" borderId="0" xfId="2" applyNumberFormat="1" applyFont="1" applyFill="1" applyAlignment="1">
      <alignment horizontal="right" indent="1"/>
    </xf>
    <xf numFmtId="169" fontId="26" fillId="6" borderId="0" xfId="2" applyNumberFormat="1" applyFont="1" applyFill="1"/>
    <xf numFmtId="169" fontId="30" fillId="6" borderId="0" xfId="2" applyNumberFormat="1" applyFont="1" applyFill="1" applyAlignment="1">
      <alignment horizontal="right"/>
    </xf>
    <xf numFmtId="166" fontId="30" fillId="6" borderId="0" xfId="0" applyNumberFormat="1" applyFont="1" applyFill="1" applyAlignment="1">
      <alignment horizontal="right"/>
    </xf>
    <xf numFmtId="172" fontId="55" fillId="6" borderId="0" xfId="0" applyNumberFormat="1" applyFont="1" applyFill="1"/>
    <xf numFmtId="172" fontId="28" fillId="6" borderId="0" xfId="0" applyNumberFormat="1" applyFont="1" applyFill="1"/>
    <xf numFmtId="188" fontId="26" fillId="6" borderId="0" xfId="0" applyNumberFormat="1" applyFont="1" applyFill="1"/>
    <xf numFmtId="188" fontId="59" fillId="6" borderId="0" xfId="0" applyNumberFormat="1" applyFont="1" applyFill="1"/>
    <xf numFmtId="166" fontId="0" fillId="6" borderId="11" xfId="0" applyNumberFormat="1" applyFill="1" applyBorder="1"/>
    <xf numFmtId="166" fontId="28" fillId="6" borderId="11" xfId="0" applyNumberFormat="1" applyFont="1" applyFill="1" applyBorder="1"/>
    <xf numFmtId="166" fontId="0" fillId="6" borderId="0" xfId="0" applyNumberFormat="1" applyFill="1" applyAlignment="1">
      <alignment horizontal="right"/>
    </xf>
    <xf numFmtId="167" fontId="26" fillId="6" borderId="0" xfId="0" applyNumberFormat="1" applyFont="1" applyFill="1" applyAlignment="1">
      <alignment horizontal="right"/>
    </xf>
    <xf numFmtId="167" fontId="6" fillId="6" borderId="0" xfId="0" applyNumberFormat="1" applyFont="1" applyFill="1" applyAlignment="1">
      <alignment horizontal="right"/>
    </xf>
    <xf numFmtId="167" fontId="59" fillId="6" borderId="0" xfId="0" applyNumberFormat="1" applyFont="1" applyFill="1" applyAlignment="1">
      <alignment horizontal="right"/>
    </xf>
    <xf numFmtId="170" fontId="26" fillId="6" borderId="0" xfId="0" applyNumberFormat="1" applyFont="1" applyFill="1" applyAlignment="1">
      <alignment horizontal="right"/>
    </xf>
    <xf numFmtId="170" fontId="6" fillId="6" borderId="0" xfId="0" applyNumberFormat="1" applyFont="1" applyFill="1" applyAlignment="1">
      <alignment horizontal="right"/>
    </xf>
    <xf numFmtId="0" fontId="28" fillId="6" borderId="0" xfId="0" applyFont="1" applyFill="1"/>
    <xf numFmtId="169" fontId="6" fillId="6" borderId="0" xfId="0" applyNumberFormat="1" applyFont="1" applyFill="1" applyAlignment="1">
      <alignment horizontal="right"/>
    </xf>
    <xf numFmtId="170" fontId="28" fillId="6" borderId="0" xfId="0" applyNumberFormat="1" applyFont="1" applyFill="1" applyAlignment="1">
      <alignment horizontal="right"/>
    </xf>
    <xf numFmtId="170" fontId="0" fillId="6" borderId="0" xfId="0" applyNumberFormat="1" applyFill="1" applyAlignment="1">
      <alignment horizontal="right"/>
    </xf>
    <xf numFmtId="167" fontId="0" fillId="6" borderId="0" xfId="0" applyNumberFormat="1" applyFill="1" applyAlignment="1">
      <alignment horizontal="right"/>
    </xf>
    <xf numFmtId="167" fontId="28" fillId="6" borderId="0" xfId="0" applyNumberFormat="1" applyFont="1" applyFill="1" applyAlignment="1">
      <alignment horizontal="right"/>
    </xf>
    <xf numFmtId="188" fontId="0" fillId="6" borderId="0" xfId="0" applyNumberFormat="1" applyFill="1" applyAlignment="1">
      <alignment horizontal="right"/>
    </xf>
    <xf numFmtId="188" fontId="0" fillId="6" borderId="0" xfId="0" applyNumberFormat="1" applyFill="1"/>
    <xf numFmtId="188" fontId="28" fillId="6" borderId="0" xfId="0" applyNumberFormat="1" applyFont="1" applyFill="1"/>
    <xf numFmtId="195" fontId="0" fillId="6" borderId="0" xfId="0" applyNumberFormat="1" applyFill="1" applyAlignment="1">
      <alignment horizontal="right"/>
    </xf>
    <xf numFmtId="195" fontId="0" fillId="6" borderId="0" xfId="0" applyNumberFormat="1" applyFill="1"/>
    <xf numFmtId="195" fontId="28" fillId="6" borderId="0" xfId="0" applyNumberFormat="1" applyFont="1" applyFill="1"/>
    <xf numFmtId="190" fontId="0" fillId="6" borderId="0" xfId="0" applyNumberFormat="1" applyFill="1" applyAlignment="1">
      <alignment horizontal="right"/>
    </xf>
    <xf numFmtId="190" fontId="0" fillId="6" borderId="0" xfId="0" applyNumberFormat="1" applyFill="1"/>
    <xf numFmtId="190" fontId="28" fillId="6" borderId="0" xfId="0" applyNumberFormat="1" applyFont="1" applyFill="1"/>
    <xf numFmtId="166" fontId="26" fillId="6" borderId="10" xfId="0" applyNumberFormat="1" applyFont="1" applyFill="1" applyBorder="1" applyAlignment="1">
      <alignment horizontal="right"/>
    </xf>
    <xf numFmtId="167" fontId="6" fillId="6" borderId="0" xfId="0" applyNumberFormat="1" applyFont="1" applyFill="1"/>
    <xf numFmtId="167" fontId="58" fillId="6" borderId="0" xfId="0" applyNumberFormat="1" applyFont="1" applyFill="1"/>
    <xf numFmtId="17" fontId="33" fillId="6" borderId="0" xfId="13" applyNumberFormat="1" applyFont="1" applyFill="1" applyAlignment="1">
      <alignment horizontal="center"/>
    </xf>
    <xf numFmtId="17" fontId="34" fillId="6" borderId="0" xfId="13" applyNumberFormat="1" applyFont="1" applyFill="1" applyAlignment="1">
      <alignment horizontal="center"/>
    </xf>
    <xf numFmtId="164" fontId="27" fillId="6" borderId="0" xfId="13" applyNumberFormat="1" applyFont="1" applyFill="1" applyAlignment="1">
      <alignment horizontal="center"/>
    </xf>
    <xf numFmtId="169" fontId="26" fillId="6" borderId="0" xfId="13" applyNumberFormat="1" applyFont="1" applyFill="1" applyAlignment="1">
      <alignment horizontal="right"/>
    </xf>
    <xf numFmtId="169" fontId="26" fillId="6" borderId="0" xfId="13" applyNumberFormat="1" applyFont="1" applyFill="1"/>
    <xf numFmtId="164" fontId="28" fillId="6" borderId="11" xfId="13" applyNumberFormat="1" applyFont="1" applyFill="1" applyBorder="1" applyAlignment="1">
      <alignment horizontal="right"/>
    </xf>
    <xf numFmtId="164" fontId="28" fillId="6" borderId="11" xfId="13" applyNumberFormat="1" applyFont="1" applyFill="1" applyBorder="1"/>
    <xf numFmtId="166" fontId="26" fillId="6" borderId="0" xfId="13" applyNumberFormat="1" applyFont="1" applyFill="1"/>
    <xf numFmtId="166" fontId="28" fillId="6" borderId="0" xfId="13" applyNumberFormat="1" applyFont="1" applyFill="1"/>
    <xf numFmtId="166" fontId="26" fillId="6" borderId="7" xfId="13" applyNumberFormat="1" applyFont="1" applyFill="1" applyBorder="1"/>
    <xf numFmtId="164" fontId="26" fillId="6" borderId="0" xfId="13" applyNumberFormat="1" applyFont="1" applyFill="1"/>
    <xf numFmtId="167" fontId="28" fillId="6" borderId="0" xfId="13" applyNumberFormat="1" applyFont="1" applyFill="1" applyAlignment="1">
      <alignment horizontal="right"/>
    </xf>
    <xf numFmtId="167" fontId="28" fillId="6" borderId="2" xfId="13" applyNumberFormat="1" applyFont="1" applyFill="1" applyBorder="1"/>
    <xf numFmtId="167" fontId="26" fillId="6" borderId="0" xfId="13" applyNumberFormat="1" applyFont="1" applyFill="1"/>
    <xf numFmtId="166" fontId="28" fillId="6" borderId="2" xfId="13" applyNumberFormat="1" applyFont="1" applyFill="1" applyBorder="1"/>
    <xf numFmtId="167" fontId="26" fillId="6" borderId="7" xfId="13" applyNumberFormat="1" applyFont="1" applyFill="1" applyBorder="1" applyAlignment="1">
      <alignment horizontal="right"/>
    </xf>
    <xf numFmtId="167" fontId="26" fillId="6" borderId="0" xfId="13" applyNumberFormat="1" applyFont="1" applyFill="1" applyAlignment="1">
      <alignment horizontal="right"/>
    </xf>
    <xf numFmtId="183" fontId="26" fillId="6" borderId="0" xfId="13" applyNumberFormat="1" applyFont="1" applyFill="1" applyAlignment="1">
      <alignment horizontal="right"/>
    </xf>
    <xf numFmtId="170" fontId="26" fillId="6" borderId="0" xfId="13" applyNumberFormat="1" applyFont="1" applyFill="1" applyAlignment="1">
      <alignment horizontal="right"/>
    </xf>
    <xf numFmtId="184" fontId="26" fillId="6" borderId="0" xfId="13" applyNumberFormat="1" applyFont="1" applyFill="1" applyAlignment="1">
      <alignment horizontal="right"/>
    </xf>
    <xf numFmtId="170" fontId="28" fillId="6" borderId="0" xfId="13" applyNumberFormat="1" applyFont="1" applyFill="1" applyAlignment="1">
      <alignment horizontal="right"/>
    </xf>
    <xf numFmtId="0" fontId="57" fillId="3" borderId="0" xfId="13" applyFont="1" applyFill="1" applyAlignment="1">
      <alignment horizontal="center"/>
    </xf>
    <xf numFmtId="0" fontId="57" fillId="3" borderId="21" xfId="13" applyFont="1" applyFill="1" applyBorder="1" applyAlignment="1">
      <alignment horizontal="center"/>
    </xf>
    <xf numFmtId="166" fontId="56" fillId="3" borderId="0" xfId="13" applyNumberFormat="1" applyFont="1" applyFill="1"/>
    <xf numFmtId="166" fontId="56" fillId="3" borderId="21" xfId="13" applyNumberFormat="1" applyFont="1" applyFill="1" applyBorder="1"/>
    <xf numFmtId="0" fontId="6" fillId="6" borderId="0" xfId="13" applyFont="1" applyFill="1" applyAlignment="1">
      <alignment horizontal="center"/>
    </xf>
    <xf numFmtId="0" fontId="26" fillId="6" borderId="0" xfId="13" applyFont="1" applyFill="1" applyAlignment="1">
      <alignment horizontal="center"/>
    </xf>
    <xf numFmtId="17" fontId="62" fillId="6" borderId="0" xfId="13" applyNumberFormat="1" applyFill="1" applyAlignment="1">
      <alignment horizontal="center"/>
    </xf>
    <xf numFmtId="17" fontId="28" fillId="6" borderId="0" xfId="13" applyNumberFormat="1" applyFont="1" applyFill="1" applyAlignment="1">
      <alignment horizontal="center"/>
    </xf>
    <xf numFmtId="0" fontId="57" fillId="6" borderId="0" xfId="13" applyFont="1" applyFill="1" applyAlignment="1">
      <alignment horizontal="center"/>
    </xf>
    <xf numFmtId="164" fontId="55" fillId="6" borderId="0" xfId="13" applyNumberFormat="1" applyFont="1" applyFill="1"/>
    <xf numFmtId="164" fontId="28" fillId="6" borderId="2" xfId="13" applyNumberFormat="1" applyFont="1" applyFill="1" applyBorder="1"/>
    <xf numFmtId="164" fontId="55" fillId="6" borderId="2" xfId="13" applyNumberFormat="1" applyFont="1" applyFill="1" applyBorder="1"/>
    <xf numFmtId="166" fontId="56" fillId="6" borderId="0" xfId="13" applyNumberFormat="1" applyFont="1" applyFill="1"/>
    <xf numFmtId="166" fontId="55" fillId="6" borderId="0" xfId="13" applyNumberFormat="1" applyFont="1" applyFill="1"/>
    <xf numFmtId="200" fontId="26" fillId="6" borderId="0" xfId="13" applyNumberFormat="1" applyFont="1" applyFill="1"/>
    <xf numFmtId="200" fontId="55" fillId="6" borderId="0" xfId="13" applyNumberFormat="1" applyFont="1" applyFill="1"/>
    <xf numFmtId="200" fontId="28" fillId="6" borderId="0" xfId="13" applyNumberFormat="1" applyFont="1" applyFill="1"/>
    <xf numFmtId="166" fontId="26" fillId="6" borderId="2" xfId="13" applyNumberFormat="1" applyFont="1" applyFill="1" applyBorder="1"/>
    <xf numFmtId="166" fontId="26" fillId="6" borderId="10" xfId="13" applyNumberFormat="1" applyFont="1" applyFill="1" applyBorder="1"/>
    <xf numFmtId="166" fontId="55" fillId="6" borderId="2" xfId="13" applyNumberFormat="1" applyFont="1" applyFill="1" applyBorder="1"/>
    <xf numFmtId="170" fontId="28" fillId="6" borderId="0" xfId="13" applyNumberFormat="1" applyFont="1" applyFill="1"/>
    <xf numFmtId="170" fontId="55" fillId="6" borderId="0" xfId="13" applyNumberFormat="1" applyFont="1" applyFill="1"/>
    <xf numFmtId="167" fontId="55" fillId="6" borderId="0" xfId="13" applyNumberFormat="1" applyFont="1" applyFill="1"/>
    <xf numFmtId="0" fontId="11" fillId="3" borderId="0" xfId="12" applyFont="1" applyFill="1" applyAlignment="1">
      <alignment horizontal="center"/>
    </xf>
    <xf numFmtId="0" fontId="47" fillId="3" borderId="8" xfId="12" applyFont="1" applyFill="1" applyBorder="1" applyAlignment="1">
      <alignment vertical="top" wrapText="1"/>
    </xf>
    <xf numFmtId="0" fontId="2" fillId="3" borderId="7" xfId="12" applyFill="1" applyBorder="1" applyAlignment="1">
      <alignment vertical="top" wrapText="1"/>
    </xf>
    <xf numFmtId="0" fontId="2" fillId="3" borderId="6" xfId="12" applyFill="1" applyBorder="1" applyAlignment="1">
      <alignment vertical="top" wrapText="1"/>
    </xf>
    <xf numFmtId="0" fontId="2" fillId="3" borderId="5" xfId="12" applyFill="1" applyBorder="1" applyAlignment="1">
      <alignment vertical="top" wrapText="1"/>
    </xf>
    <xf numFmtId="0" fontId="2" fillId="3" borderId="0" xfId="12" applyFill="1" applyAlignment="1">
      <alignment vertical="top" wrapText="1"/>
    </xf>
    <xf numFmtId="0" fontId="2" fillId="3" borderId="4" xfId="12" applyFill="1" applyBorder="1" applyAlignment="1">
      <alignment vertical="top" wrapText="1"/>
    </xf>
    <xf numFmtId="0" fontId="2" fillId="3" borderId="3" xfId="12" applyFill="1" applyBorder="1" applyAlignment="1">
      <alignment vertical="top" wrapText="1"/>
    </xf>
    <xf numFmtId="0" fontId="2" fillId="3" borderId="2" xfId="12" applyFill="1" applyBorder="1" applyAlignment="1">
      <alignment vertical="top" wrapText="1"/>
    </xf>
    <xf numFmtId="0" fontId="2" fillId="3" borderId="1" xfId="12" applyFill="1" applyBorder="1" applyAlignment="1">
      <alignment vertical="top" wrapText="1"/>
    </xf>
    <xf numFmtId="0" fontId="2" fillId="3" borderId="0" xfId="12" quotePrefix="1" applyFill="1" applyAlignment="1">
      <alignment horizontal="left" vertical="top" wrapText="1"/>
    </xf>
    <xf numFmtId="0" fontId="2" fillId="3" borderId="0" xfId="12" applyFill="1"/>
    <xf numFmtId="0" fontId="2" fillId="0" borderId="0" xfId="12"/>
    <xf numFmtId="0" fontId="16" fillId="3" borderId="0" xfId="12" applyFont="1" applyFill="1"/>
    <xf numFmtId="0" fontId="16" fillId="3" borderId="0" xfId="12" applyFont="1" applyFill="1" applyAlignment="1">
      <alignment horizontal="left" wrapText="1" indent="1"/>
    </xf>
  </cellXfs>
  <cellStyles count="1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Currency 2" xfId="6" xr:uid="{00000000-0005-0000-0000-000006000000}"/>
    <cellStyle name="Currency 2 2" xfId="7" xr:uid="{00000000-0005-0000-0000-000007000000}"/>
    <cellStyle name="Currency 3" xfId="17" xr:uid="{00000000-0005-0000-0000-000011000000}"/>
    <cellStyle name="Good" xfId="8" xr:uid="{00000000-0005-0000-0000-000008000000}"/>
    <cellStyle name="Hyperlink" xfId="9" xr:uid="{00000000-0005-0000-0000-000009000000}"/>
    <cellStyle name="Hyperlink 2" xfId="10" xr:uid="{00000000-0005-0000-0000-00000A000000}"/>
    <cellStyle name="Normal" xfId="0" builtinId="0"/>
    <cellStyle name="Normal 2" xfId="11" xr:uid="{00000000-0005-0000-0000-00000B000000}"/>
    <cellStyle name="Normal 2 2" xfId="15" xr:uid="{00000000-0005-0000-0000-00000F000000}"/>
    <cellStyle name="Normal 3" xfId="12" xr:uid="{00000000-0005-0000-0000-00000C000000}"/>
    <cellStyle name="Normal 4" xfId="13" xr:uid="{00000000-0005-0000-0000-00000D000000}"/>
    <cellStyle name="Normal 5" xfId="16" xr:uid="{00000000-0005-0000-0000-000010000000}"/>
    <cellStyle name="Percent" xfId="1" xr:uid="{00000000-0005-0000-0000-000001000000}"/>
    <cellStyle name="Percent 2" xfId="14" xr:uid="{00000000-0005-0000-0000-00000E000000}"/>
  </cellStyles>
  <dxfs count="31">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ont>
        <color rgb="FFF2F2F2"/>
      </font>
      <fill>
        <patternFill>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5</xdr:col>
      <xdr:colOff>180975</xdr:colOff>
      <xdr:row>6</xdr:row>
      <xdr:rowOff>19050</xdr:rowOff>
    </xdr:to>
    <xdr:pic>
      <xdr:nvPicPr>
        <xdr:cNvPr id="9" name="SourceByASLogo">
          <a:extLst>
            <a:ext uri="{FF2B5EF4-FFF2-40B4-BE49-F238E27FC236}">
              <a16:creationId xmlns:a16="http://schemas.microsoft.com/office/drawing/2014/main" id="{6F66079A-D667-4ADD-9A41-1CA00CB897FD}"/>
            </a:ext>
          </a:extLst>
        </xdr:cNvPr>
        <xdr:cNvPicPr>
          <a:picLocks noChangeAspect="1"/>
        </xdr:cNvPicPr>
      </xdr:nvPicPr>
      <xdr:blipFill>
        <a:blip xmlns:r="http://schemas.openxmlformats.org/officeDocument/2006/relationships" r:embed="rId1"/>
        <a:stretch>
          <a:fillRect/>
        </a:stretch>
      </xdr:blipFill>
      <xdr:spPr>
        <a:xfrm>
          <a:off x="895350" y="190500"/>
          <a:ext cx="2143125" cy="1019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3</xdr:col>
      <xdr:colOff>1257300</xdr:colOff>
      <xdr:row>6</xdr:row>
      <xdr:rowOff>142875</xdr:rowOff>
    </xdr:to>
    <xdr:pic>
      <xdr:nvPicPr>
        <xdr:cNvPr id="9" name="SourceByASLogo">
          <a:extLst>
            <a:ext uri="{FF2B5EF4-FFF2-40B4-BE49-F238E27FC236}">
              <a16:creationId xmlns:a16="http://schemas.microsoft.com/office/drawing/2014/main" id="{9FF70486-7CCE-41C8-A35A-45F3186CA7B3}"/>
            </a:ext>
          </a:extLst>
        </xdr:cNvPr>
        <xdr:cNvPicPr>
          <a:picLocks noChangeAspect="1"/>
        </xdr:cNvPicPr>
      </xdr:nvPicPr>
      <xdr:blipFill>
        <a:blip xmlns:r="http://schemas.openxmlformats.org/officeDocument/2006/relationships" r:embed="rId1"/>
        <a:stretch>
          <a:fillRect/>
        </a:stretch>
      </xdr:blipFill>
      <xdr:spPr>
        <a:xfrm>
          <a:off x="942975" y="190500"/>
          <a:ext cx="2305050" cy="10953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xample.com/" TargetMode="External"/><Relationship Id="rId1" Type="http://schemas.openxmlformats.org/officeDocument/2006/relationships/hyperlink" Target="https://example.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example.com/"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17" Type="http://schemas.openxmlformats.org/officeDocument/2006/relationships/hyperlink" Target="https://example.com/" TargetMode="External"/><Relationship Id="rId299" Type="http://schemas.openxmlformats.org/officeDocument/2006/relationships/hyperlink" Target="https://example.com/" TargetMode="External"/><Relationship Id="rId21" Type="http://schemas.openxmlformats.org/officeDocument/2006/relationships/hyperlink" Target="https://example.com/" TargetMode="External"/><Relationship Id="rId63" Type="http://schemas.openxmlformats.org/officeDocument/2006/relationships/hyperlink" Target="https://example.com/" TargetMode="External"/><Relationship Id="rId159" Type="http://schemas.openxmlformats.org/officeDocument/2006/relationships/hyperlink" Target="https://example.com/" TargetMode="External"/><Relationship Id="rId170" Type="http://schemas.openxmlformats.org/officeDocument/2006/relationships/hyperlink" Target="https://example.com/" TargetMode="External"/><Relationship Id="rId226" Type="http://schemas.openxmlformats.org/officeDocument/2006/relationships/hyperlink" Target="https://example.com/" TargetMode="External"/><Relationship Id="rId268" Type="http://schemas.openxmlformats.org/officeDocument/2006/relationships/hyperlink" Target="https://example.com/" TargetMode="External"/><Relationship Id="rId32" Type="http://schemas.openxmlformats.org/officeDocument/2006/relationships/hyperlink" Target="https://example.com/" TargetMode="External"/><Relationship Id="rId74" Type="http://schemas.openxmlformats.org/officeDocument/2006/relationships/hyperlink" Target="https://example.com/" TargetMode="External"/><Relationship Id="rId128" Type="http://schemas.openxmlformats.org/officeDocument/2006/relationships/hyperlink" Target="https://example.com/" TargetMode="External"/><Relationship Id="rId5" Type="http://schemas.openxmlformats.org/officeDocument/2006/relationships/hyperlink" Target="https://example.com/" TargetMode="External"/><Relationship Id="rId181" Type="http://schemas.openxmlformats.org/officeDocument/2006/relationships/hyperlink" Target="https://example.com/" TargetMode="External"/><Relationship Id="rId237" Type="http://schemas.openxmlformats.org/officeDocument/2006/relationships/hyperlink" Target="https://example.com/" TargetMode="External"/><Relationship Id="rId279" Type="http://schemas.openxmlformats.org/officeDocument/2006/relationships/hyperlink" Target="https://example.com/" TargetMode="External"/><Relationship Id="rId43" Type="http://schemas.openxmlformats.org/officeDocument/2006/relationships/hyperlink" Target="https://example.com/" TargetMode="External"/><Relationship Id="rId139" Type="http://schemas.openxmlformats.org/officeDocument/2006/relationships/hyperlink" Target="https://example.com/" TargetMode="External"/><Relationship Id="rId290" Type="http://schemas.openxmlformats.org/officeDocument/2006/relationships/hyperlink" Target="https://example.com/" TargetMode="External"/><Relationship Id="rId304" Type="http://schemas.openxmlformats.org/officeDocument/2006/relationships/hyperlink" Target="https://example.com/" TargetMode="External"/><Relationship Id="rId85" Type="http://schemas.openxmlformats.org/officeDocument/2006/relationships/hyperlink" Target="https://example.com/" TargetMode="External"/><Relationship Id="rId150" Type="http://schemas.openxmlformats.org/officeDocument/2006/relationships/hyperlink" Target="https://example.com/" TargetMode="External"/><Relationship Id="rId192" Type="http://schemas.openxmlformats.org/officeDocument/2006/relationships/hyperlink" Target="https://example.com/" TargetMode="External"/><Relationship Id="rId206" Type="http://schemas.openxmlformats.org/officeDocument/2006/relationships/hyperlink" Target="https://example.com/" TargetMode="External"/><Relationship Id="rId248" Type="http://schemas.openxmlformats.org/officeDocument/2006/relationships/hyperlink" Target="https://example.com/" TargetMode="External"/><Relationship Id="rId12" Type="http://schemas.openxmlformats.org/officeDocument/2006/relationships/hyperlink" Target="https://example.com/" TargetMode="External"/><Relationship Id="rId108" Type="http://schemas.openxmlformats.org/officeDocument/2006/relationships/hyperlink" Target="https://example.com/" TargetMode="External"/><Relationship Id="rId315" Type="http://schemas.openxmlformats.org/officeDocument/2006/relationships/hyperlink" Target="https://example.com/" TargetMode="External"/><Relationship Id="rId54" Type="http://schemas.openxmlformats.org/officeDocument/2006/relationships/hyperlink" Target="https://example.com/" TargetMode="External"/><Relationship Id="rId96" Type="http://schemas.openxmlformats.org/officeDocument/2006/relationships/hyperlink" Target="https://example.com/" TargetMode="External"/><Relationship Id="rId161" Type="http://schemas.openxmlformats.org/officeDocument/2006/relationships/hyperlink" Target="https://example.com/" TargetMode="External"/><Relationship Id="rId217" Type="http://schemas.openxmlformats.org/officeDocument/2006/relationships/hyperlink" Target="https://example.com/" TargetMode="External"/><Relationship Id="rId259" Type="http://schemas.openxmlformats.org/officeDocument/2006/relationships/hyperlink" Target="https://example.com/" TargetMode="External"/><Relationship Id="rId23" Type="http://schemas.openxmlformats.org/officeDocument/2006/relationships/hyperlink" Target="https://example.com/" TargetMode="External"/><Relationship Id="rId119" Type="http://schemas.openxmlformats.org/officeDocument/2006/relationships/hyperlink" Target="https://example.com/" TargetMode="External"/><Relationship Id="rId270" Type="http://schemas.openxmlformats.org/officeDocument/2006/relationships/hyperlink" Target="https://example.com/" TargetMode="External"/><Relationship Id="rId65" Type="http://schemas.openxmlformats.org/officeDocument/2006/relationships/hyperlink" Target="https://example.com/" TargetMode="External"/><Relationship Id="rId130" Type="http://schemas.openxmlformats.org/officeDocument/2006/relationships/hyperlink" Target="https://example.com/" TargetMode="External"/><Relationship Id="rId172" Type="http://schemas.openxmlformats.org/officeDocument/2006/relationships/hyperlink" Target="https://example.com/" TargetMode="External"/><Relationship Id="rId228" Type="http://schemas.openxmlformats.org/officeDocument/2006/relationships/hyperlink" Target="https://example.com/" TargetMode="External"/><Relationship Id="rId13" Type="http://schemas.openxmlformats.org/officeDocument/2006/relationships/hyperlink" Target="https://example.com/" TargetMode="External"/><Relationship Id="rId109" Type="http://schemas.openxmlformats.org/officeDocument/2006/relationships/hyperlink" Target="https://example.com/" TargetMode="External"/><Relationship Id="rId260" Type="http://schemas.openxmlformats.org/officeDocument/2006/relationships/hyperlink" Target="https://example.com/" TargetMode="External"/><Relationship Id="rId281" Type="http://schemas.openxmlformats.org/officeDocument/2006/relationships/hyperlink" Target="https://example.com/" TargetMode="External"/><Relationship Id="rId316" Type="http://schemas.openxmlformats.org/officeDocument/2006/relationships/vmlDrawing" Target="../drawings/vmlDrawing3.vml"/><Relationship Id="rId34" Type="http://schemas.openxmlformats.org/officeDocument/2006/relationships/hyperlink" Target="https://example.com/" TargetMode="External"/><Relationship Id="rId55" Type="http://schemas.openxmlformats.org/officeDocument/2006/relationships/hyperlink" Target="https://example.com/" TargetMode="External"/><Relationship Id="rId76" Type="http://schemas.openxmlformats.org/officeDocument/2006/relationships/hyperlink" Target="https://example.com/" TargetMode="External"/><Relationship Id="rId97" Type="http://schemas.openxmlformats.org/officeDocument/2006/relationships/hyperlink" Target="https://example.com/" TargetMode="External"/><Relationship Id="rId120" Type="http://schemas.openxmlformats.org/officeDocument/2006/relationships/hyperlink" Target="https://example.com/" TargetMode="External"/><Relationship Id="rId141" Type="http://schemas.openxmlformats.org/officeDocument/2006/relationships/hyperlink" Target="https://example.com/" TargetMode="External"/><Relationship Id="rId7" Type="http://schemas.openxmlformats.org/officeDocument/2006/relationships/hyperlink" Target="https://example.com/" TargetMode="External"/><Relationship Id="rId162" Type="http://schemas.openxmlformats.org/officeDocument/2006/relationships/hyperlink" Target="https://example.com/" TargetMode="External"/><Relationship Id="rId183" Type="http://schemas.openxmlformats.org/officeDocument/2006/relationships/hyperlink" Target="https://example.com/" TargetMode="External"/><Relationship Id="rId218" Type="http://schemas.openxmlformats.org/officeDocument/2006/relationships/hyperlink" Target="https://example.com/" TargetMode="External"/><Relationship Id="rId239" Type="http://schemas.openxmlformats.org/officeDocument/2006/relationships/hyperlink" Target="https://example.com/" TargetMode="External"/><Relationship Id="rId250" Type="http://schemas.openxmlformats.org/officeDocument/2006/relationships/hyperlink" Target="https://example.com/" TargetMode="External"/><Relationship Id="rId271" Type="http://schemas.openxmlformats.org/officeDocument/2006/relationships/hyperlink" Target="https://example.com/" TargetMode="External"/><Relationship Id="rId292" Type="http://schemas.openxmlformats.org/officeDocument/2006/relationships/hyperlink" Target="https://example.com/" TargetMode="External"/><Relationship Id="rId306" Type="http://schemas.openxmlformats.org/officeDocument/2006/relationships/hyperlink" Target="https://example.com/" TargetMode="External"/><Relationship Id="rId24" Type="http://schemas.openxmlformats.org/officeDocument/2006/relationships/hyperlink" Target="https://example.com/" TargetMode="External"/><Relationship Id="rId45" Type="http://schemas.openxmlformats.org/officeDocument/2006/relationships/hyperlink" Target="https://example.com/" TargetMode="External"/><Relationship Id="rId66" Type="http://schemas.openxmlformats.org/officeDocument/2006/relationships/hyperlink" Target="https://example.com/" TargetMode="External"/><Relationship Id="rId87" Type="http://schemas.openxmlformats.org/officeDocument/2006/relationships/hyperlink" Target="https://example.com/" TargetMode="External"/><Relationship Id="rId110" Type="http://schemas.openxmlformats.org/officeDocument/2006/relationships/hyperlink" Target="https://example.com/" TargetMode="External"/><Relationship Id="rId131" Type="http://schemas.openxmlformats.org/officeDocument/2006/relationships/hyperlink" Target="https://example.com/" TargetMode="External"/><Relationship Id="rId152" Type="http://schemas.openxmlformats.org/officeDocument/2006/relationships/hyperlink" Target="https://example.com/" TargetMode="External"/><Relationship Id="rId173" Type="http://schemas.openxmlformats.org/officeDocument/2006/relationships/hyperlink" Target="https://example.com/" TargetMode="External"/><Relationship Id="rId194" Type="http://schemas.openxmlformats.org/officeDocument/2006/relationships/hyperlink" Target="https://example.com/" TargetMode="External"/><Relationship Id="rId208" Type="http://schemas.openxmlformats.org/officeDocument/2006/relationships/hyperlink" Target="https://example.com/" TargetMode="External"/><Relationship Id="rId229" Type="http://schemas.openxmlformats.org/officeDocument/2006/relationships/hyperlink" Target="https://example.com/" TargetMode="External"/><Relationship Id="rId240" Type="http://schemas.openxmlformats.org/officeDocument/2006/relationships/hyperlink" Target="https://example.com/" TargetMode="External"/><Relationship Id="rId261" Type="http://schemas.openxmlformats.org/officeDocument/2006/relationships/hyperlink" Target="https://example.com/" TargetMode="External"/><Relationship Id="rId14" Type="http://schemas.openxmlformats.org/officeDocument/2006/relationships/hyperlink" Target="https://example.com/" TargetMode="External"/><Relationship Id="rId35" Type="http://schemas.openxmlformats.org/officeDocument/2006/relationships/hyperlink" Target="https://example.com/" TargetMode="External"/><Relationship Id="rId56" Type="http://schemas.openxmlformats.org/officeDocument/2006/relationships/hyperlink" Target="https://example.com/" TargetMode="External"/><Relationship Id="rId77" Type="http://schemas.openxmlformats.org/officeDocument/2006/relationships/hyperlink" Target="https://example.com/" TargetMode="External"/><Relationship Id="rId100" Type="http://schemas.openxmlformats.org/officeDocument/2006/relationships/hyperlink" Target="https://example.com/" TargetMode="External"/><Relationship Id="rId282" Type="http://schemas.openxmlformats.org/officeDocument/2006/relationships/hyperlink" Target="https://example.com/" TargetMode="External"/><Relationship Id="rId317" Type="http://schemas.openxmlformats.org/officeDocument/2006/relationships/comments" Target="../comments3.xml"/><Relationship Id="rId8" Type="http://schemas.openxmlformats.org/officeDocument/2006/relationships/hyperlink" Target="https://example.com/" TargetMode="External"/><Relationship Id="rId98" Type="http://schemas.openxmlformats.org/officeDocument/2006/relationships/hyperlink" Target="https://example.com/" TargetMode="External"/><Relationship Id="rId121" Type="http://schemas.openxmlformats.org/officeDocument/2006/relationships/hyperlink" Target="https://example.com/" TargetMode="External"/><Relationship Id="rId142" Type="http://schemas.openxmlformats.org/officeDocument/2006/relationships/hyperlink" Target="https://example.com/" TargetMode="External"/><Relationship Id="rId163" Type="http://schemas.openxmlformats.org/officeDocument/2006/relationships/hyperlink" Target="https://example.com/" TargetMode="External"/><Relationship Id="rId184" Type="http://schemas.openxmlformats.org/officeDocument/2006/relationships/hyperlink" Target="https://example.com/" TargetMode="External"/><Relationship Id="rId219" Type="http://schemas.openxmlformats.org/officeDocument/2006/relationships/hyperlink" Target="https://example.com/" TargetMode="External"/><Relationship Id="rId230" Type="http://schemas.openxmlformats.org/officeDocument/2006/relationships/hyperlink" Target="https://example.com/" TargetMode="External"/><Relationship Id="rId251" Type="http://schemas.openxmlformats.org/officeDocument/2006/relationships/hyperlink" Target="https://example.com/" TargetMode="External"/><Relationship Id="rId25" Type="http://schemas.openxmlformats.org/officeDocument/2006/relationships/hyperlink" Target="https://example.com/" TargetMode="External"/><Relationship Id="rId46" Type="http://schemas.openxmlformats.org/officeDocument/2006/relationships/hyperlink" Target="https://example.com/" TargetMode="External"/><Relationship Id="rId67" Type="http://schemas.openxmlformats.org/officeDocument/2006/relationships/hyperlink" Target="https://example.com/" TargetMode="External"/><Relationship Id="rId272" Type="http://schemas.openxmlformats.org/officeDocument/2006/relationships/hyperlink" Target="https://example.com/" TargetMode="External"/><Relationship Id="rId293" Type="http://schemas.openxmlformats.org/officeDocument/2006/relationships/hyperlink" Target="https://example.com/" TargetMode="External"/><Relationship Id="rId307" Type="http://schemas.openxmlformats.org/officeDocument/2006/relationships/hyperlink" Target="https://example.com/" TargetMode="External"/><Relationship Id="rId88" Type="http://schemas.openxmlformats.org/officeDocument/2006/relationships/hyperlink" Target="https://example.com/" TargetMode="External"/><Relationship Id="rId111" Type="http://schemas.openxmlformats.org/officeDocument/2006/relationships/hyperlink" Target="https://example.com/" TargetMode="External"/><Relationship Id="rId132" Type="http://schemas.openxmlformats.org/officeDocument/2006/relationships/hyperlink" Target="https://example.com/" TargetMode="External"/><Relationship Id="rId153" Type="http://schemas.openxmlformats.org/officeDocument/2006/relationships/hyperlink" Target="https://example.com/" TargetMode="External"/><Relationship Id="rId174" Type="http://schemas.openxmlformats.org/officeDocument/2006/relationships/hyperlink" Target="https://example.com/" TargetMode="External"/><Relationship Id="rId195" Type="http://schemas.openxmlformats.org/officeDocument/2006/relationships/hyperlink" Target="https://example.com/" TargetMode="External"/><Relationship Id="rId209" Type="http://schemas.openxmlformats.org/officeDocument/2006/relationships/hyperlink" Target="https://example.com/" TargetMode="External"/><Relationship Id="rId220" Type="http://schemas.openxmlformats.org/officeDocument/2006/relationships/hyperlink" Target="https://example.com/" TargetMode="External"/><Relationship Id="rId241" Type="http://schemas.openxmlformats.org/officeDocument/2006/relationships/hyperlink" Target="https://example.com/" TargetMode="External"/><Relationship Id="rId15" Type="http://schemas.openxmlformats.org/officeDocument/2006/relationships/hyperlink" Target="https://example.com/" TargetMode="External"/><Relationship Id="rId36" Type="http://schemas.openxmlformats.org/officeDocument/2006/relationships/hyperlink" Target="https://example.com/" TargetMode="External"/><Relationship Id="rId57" Type="http://schemas.openxmlformats.org/officeDocument/2006/relationships/hyperlink" Target="https://example.com/" TargetMode="External"/><Relationship Id="rId262" Type="http://schemas.openxmlformats.org/officeDocument/2006/relationships/hyperlink" Target="https://example.com/" TargetMode="External"/><Relationship Id="rId283" Type="http://schemas.openxmlformats.org/officeDocument/2006/relationships/hyperlink" Target="https://example.com/" TargetMode="External"/><Relationship Id="rId78" Type="http://schemas.openxmlformats.org/officeDocument/2006/relationships/hyperlink" Target="https://example.com/" TargetMode="External"/><Relationship Id="rId99" Type="http://schemas.openxmlformats.org/officeDocument/2006/relationships/hyperlink" Target="https://example.com/" TargetMode="External"/><Relationship Id="rId101" Type="http://schemas.openxmlformats.org/officeDocument/2006/relationships/hyperlink" Target="https://example.com/" TargetMode="External"/><Relationship Id="rId122" Type="http://schemas.openxmlformats.org/officeDocument/2006/relationships/hyperlink" Target="https://example.com/" TargetMode="External"/><Relationship Id="rId143" Type="http://schemas.openxmlformats.org/officeDocument/2006/relationships/hyperlink" Target="https://example.com/" TargetMode="External"/><Relationship Id="rId164" Type="http://schemas.openxmlformats.org/officeDocument/2006/relationships/hyperlink" Target="https://example.com/" TargetMode="External"/><Relationship Id="rId185" Type="http://schemas.openxmlformats.org/officeDocument/2006/relationships/hyperlink" Target="https://example.com/" TargetMode="External"/><Relationship Id="rId9" Type="http://schemas.openxmlformats.org/officeDocument/2006/relationships/hyperlink" Target="https://example.com/" TargetMode="External"/><Relationship Id="rId210" Type="http://schemas.openxmlformats.org/officeDocument/2006/relationships/hyperlink" Target="https://example.com/" TargetMode="External"/><Relationship Id="rId26" Type="http://schemas.openxmlformats.org/officeDocument/2006/relationships/hyperlink" Target="https://example.com/" TargetMode="External"/><Relationship Id="rId231" Type="http://schemas.openxmlformats.org/officeDocument/2006/relationships/hyperlink" Target="https://example.com/" TargetMode="External"/><Relationship Id="rId252" Type="http://schemas.openxmlformats.org/officeDocument/2006/relationships/hyperlink" Target="https://example.com/" TargetMode="External"/><Relationship Id="rId273" Type="http://schemas.openxmlformats.org/officeDocument/2006/relationships/hyperlink" Target="https://example.com/" TargetMode="External"/><Relationship Id="rId294" Type="http://schemas.openxmlformats.org/officeDocument/2006/relationships/hyperlink" Target="https://example.com/" TargetMode="External"/><Relationship Id="rId308" Type="http://schemas.openxmlformats.org/officeDocument/2006/relationships/hyperlink" Target="https://example.com/" TargetMode="External"/><Relationship Id="rId47" Type="http://schemas.openxmlformats.org/officeDocument/2006/relationships/hyperlink" Target="https://example.com/" TargetMode="External"/><Relationship Id="rId68" Type="http://schemas.openxmlformats.org/officeDocument/2006/relationships/hyperlink" Target="https://example.com/" TargetMode="External"/><Relationship Id="rId89" Type="http://schemas.openxmlformats.org/officeDocument/2006/relationships/hyperlink" Target="https://example.com/" TargetMode="External"/><Relationship Id="rId112" Type="http://schemas.openxmlformats.org/officeDocument/2006/relationships/hyperlink" Target="https://example.com/" TargetMode="External"/><Relationship Id="rId133" Type="http://schemas.openxmlformats.org/officeDocument/2006/relationships/hyperlink" Target="https://example.com/" TargetMode="External"/><Relationship Id="rId154" Type="http://schemas.openxmlformats.org/officeDocument/2006/relationships/hyperlink" Target="https://example.com/" TargetMode="External"/><Relationship Id="rId175" Type="http://schemas.openxmlformats.org/officeDocument/2006/relationships/hyperlink" Target="https://example.com/" TargetMode="External"/><Relationship Id="rId196" Type="http://schemas.openxmlformats.org/officeDocument/2006/relationships/hyperlink" Target="https://example.com/" TargetMode="External"/><Relationship Id="rId200" Type="http://schemas.openxmlformats.org/officeDocument/2006/relationships/hyperlink" Target="https://example.com/" TargetMode="External"/><Relationship Id="rId16" Type="http://schemas.openxmlformats.org/officeDocument/2006/relationships/hyperlink" Target="https://example.com/" TargetMode="External"/><Relationship Id="rId221" Type="http://schemas.openxmlformats.org/officeDocument/2006/relationships/hyperlink" Target="https://example.com/" TargetMode="External"/><Relationship Id="rId242" Type="http://schemas.openxmlformats.org/officeDocument/2006/relationships/hyperlink" Target="https://example.com/" TargetMode="External"/><Relationship Id="rId263" Type="http://schemas.openxmlformats.org/officeDocument/2006/relationships/hyperlink" Target="https://example.com/" TargetMode="External"/><Relationship Id="rId284" Type="http://schemas.openxmlformats.org/officeDocument/2006/relationships/hyperlink" Target="https://example.com/" TargetMode="External"/><Relationship Id="rId37" Type="http://schemas.openxmlformats.org/officeDocument/2006/relationships/hyperlink" Target="https://example.com/" TargetMode="External"/><Relationship Id="rId58" Type="http://schemas.openxmlformats.org/officeDocument/2006/relationships/hyperlink" Target="https://example.com/" TargetMode="External"/><Relationship Id="rId79" Type="http://schemas.openxmlformats.org/officeDocument/2006/relationships/hyperlink" Target="https://example.com/" TargetMode="External"/><Relationship Id="rId102" Type="http://schemas.openxmlformats.org/officeDocument/2006/relationships/hyperlink" Target="https://example.com/" TargetMode="External"/><Relationship Id="rId123" Type="http://schemas.openxmlformats.org/officeDocument/2006/relationships/hyperlink" Target="https://example.com/" TargetMode="External"/><Relationship Id="rId144" Type="http://schemas.openxmlformats.org/officeDocument/2006/relationships/hyperlink" Target="https://example.com/" TargetMode="External"/><Relationship Id="rId90" Type="http://schemas.openxmlformats.org/officeDocument/2006/relationships/hyperlink" Target="https://example.com/" TargetMode="External"/><Relationship Id="rId165" Type="http://schemas.openxmlformats.org/officeDocument/2006/relationships/hyperlink" Target="https://example.com/" TargetMode="External"/><Relationship Id="rId186" Type="http://schemas.openxmlformats.org/officeDocument/2006/relationships/hyperlink" Target="https://example.com/" TargetMode="External"/><Relationship Id="rId211" Type="http://schemas.openxmlformats.org/officeDocument/2006/relationships/hyperlink" Target="https://example.com/" TargetMode="External"/><Relationship Id="rId232" Type="http://schemas.openxmlformats.org/officeDocument/2006/relationships/hyperlink" Target="https://example.com/" TargetMode="External"/><Relationship Id="rId253" Type="http://schemas.openxmlformats.org/officeDocument/2006/relationships/hyperlink" Target="https://example.com/" TargetMode="External"/><Relationship Id="rId274" Type="http://schemas.openxmlformats.org/officeDocument/2006/relationships/hyperlink" Target="https://example.com/" TargetMode="External"/><Relationship Id="rId295" Type="http://schemas.openxmlformats.org/officeDocument/2006/relationships/hyperlink" Target="https://example.com/" TargetMode="External"/><Relationship Id="rId309" Type="http://schemas.openxmlformats.org/officeDocument/2006/relationships/hyperlink" Target="https://example.com/" TargetMode="External"/><Relationship Id="rId27" Type="http://schemas.openxmlformats.org/officeDocument/2006/relationships/hyperlink" Target="https://example.com/" TargetMode="External"/><Relationship Id="rId48" Type="http://schemas.openxmlformats.org/officeDocument/2006/relationships/hyperlink" Target="https://example.com/" TargetMode="External"/><Relationship Id="rId69" Type="http://schemas.openxmlformats.org/officeDocument/2006/relationships/hyperlink" Target="https://example.com/" TargetMode="External"/><Relationship Id="rId113" Type="http://schemas.openxmlformats.org/officeDocument/2006/relationships/hyperlink" Target="https://example.com/" TargetMode="External"/><Relationship Id="rId134" Type="http://schemas.openxmlformats.org/officeDocument/2006/relationships/hyperlink" Target="https://example.com/" TargetMode="External"/><Relationship Id="rId80" Type="http://schemas.openxmlformats.org/officeDocument/2006/relationships/hyperlink" Target="https://example.com/" TargetMode="External"/><Relationship Id="rId155" Type="http://schemas.openxmlformats.org/officeDocument/2006/relationships/hyperlink" Target="https://example.com/" TargetMode="External"/><Relationship Id="rId176" Type="http://schemas.openxmlformats.org/officeDocument/2006/relationships/hyperlink" Target="https://example.com/" TargetMode="External"/><Relationship Id="rId197" Type="http://schemas.openxmlformats.org/officeDocument/2006/relationships/hyperlink" Target="https://example.com/" TargetMode="External"/><Relationship Id="rId201" Type="http://schemas.openxmlformats.org/officeDocument/2006/relationships/hyperlink" Target="https://example.com/" TargetMode="External"/><Relationship Id="rId222" Type="http://schemas.openxmlformats.org/officeDocument/2006/relationships/hyperlink" Target="https://example.com/" TargetMode="External"/><Relationship Id="rId243" Type="http://schemas.openxmlformats.org/officeDocument/2006/relationships/hyperlink" Target="https://example.com/" TargetMode="External"/><Relationship Id="rId264" Type="http://schemas.openxmlformats.org/officeDocument/2006/relationships/hyperlink" Target="https://example.com/" TargetMode="External"/><Relationship Id="rId285" Type="http://schemas.openxmlformats.org/officeDocument/2006/relationships/hyperlink" Target="https://example.com/" TargetMode="External"/><Relationship Id="rId17" Type="http://schemas.openxmlformats.org/officeDocument/2006/relationships/hyperlink" Target="https://example.com/" TargetMode="External"/><Relationship Id="rId38" Type="http://schemas.openxmlformats.org/officeDocument/2006/relationships/hyperlink" Target="https://example.com/" TargetMode="External"/><Relationship Id="rId59" Type="http://schemas.openxmlformats.org/officeDocument/2006/relationships/hyperlink" Target="https://example.com/" TargetMode="External"/><Relationship Id="rId103" Type="http://schemas.openxmlformats.org/officeDocument/2006/relationships/hyperlink" Target="https://example.com/" TargetMode="External"/><Relationship Id="rId124" Type="http://schemas.openxmlformats.org/officeDocument/2006/relationships/hyperlink" Target="https://example.com/" TargetMode="External"/><Relationship Id="rId310" Type="http://schemas.openxmlformats.org/officeDocument/2006/relationships/hyperlink" Target="https://example.com/" TargetMode="External"/><Relationship Id="rId70" Type="http://schemas.openxmlformats.org/officeDocument/2006/relationships/hyperlink" Target="https://example.com/" TargetMode="External"/><Relationship Id="rId91" Type="http://schemas.openxmlformats.org/officeDocument/2006/relationships/hyperlink" Target="https://example.com/" TargetMode="External"/><Relationship Id="rId145" Type="http://schemas.openxmlformats.org/officeDocument/2006/relationships/hyperlink" Target="https://example.com/" TargetMode="External"/><Relationship Id="rId166" Type="http://schemas.openxmlformats.org/officeDocument/2006/relationships/hyperlink" Target="https://example.com/" TargetMode="External"/><Relationship Id="rId187" Type="http://schemas.openxmlformats.org/officeDocument/2006/relationships/hyperlink" Target="https://example.com/" TargetMode="External"/><Relationship Id="rId1" Type="http://schemas.openxmlformats.org/officeDocument/2006/relationships/hyperlink" Target="https://example.com/" TargetMode="External"/><Relationship Id="rId212" Type="http://schemas.openxmlformats.org/officeDocument/2006/relationships/hyperlink" Target="https://example.com/" TargetMode="External"/><Relationship Id="rId233" Type="http://schemas.openxmlformats.org/officeDocument/2006/relationships/hyperlink" Target="https://example.com/" TargetMode="External"/><Relationship Id="rId254" Type="http://schemas.openxmlformats.org/officeDocument/2006/relationships/hyperlink" Target="https://example.com/" TargetMode="External"/><Relationship Id="rId28" Type="http://schemas.openxmlformats.org/officeDocument/2006/relationships/hyperlink" Target="https://example.com/" TargetMode="External"/><Relationship Id="rId49" Type="http://schemas.openxmlformats.org/officeDocument/2006/relationships/hyperlink" Target="https://example.com/" TargetMode="External"/><Relationship Id="rId114" Type="http://schemas.openxmlformats.org/officeDocument/2006/relationships/hyperlink" Target="https://example.com/" TargetMode="External"/><Relationship Id="rId275" Type="http://schemas.openxmlformats.org/officeDocument/2006/relationships/hyperlink" Target="https://example.com/" TargetMode="External"/><Relationship Id="rId296" Type="http://schemas.openxmlformats.org/officeDocument/2006/relationships/hyperlink" Target="https://example.com/" TargetMode="External"/><Relationship Id="rId300" Type="http://schemas.openxmlformats.org/officeDocument/2006/relationships/hyperlink" Target="https://example.com/" TargetMode="External"/><Relationship Id="rId60" Type="http://schemas.openxmlformats.org/officeDocument/2006/relationships/hyperlink" Target="https://example.com/" TargetMode="External"/><Relationship Id="rId81" Type="http://schemas.openxmlformats.org/officeDocument/2006/relationships/hyperlink" Target="https://example.com/" TargetMode="External"/><Relationship Id="rId135" Type="http://schemas.openxmlformats.org/officeDocument/2006/relationships/hyperlink" Target="https://example.com/" TargetMode="External"/><Relationship Id="rId156" Type="http://schemas.openxmlformats.org/officeDocument/2006/relationships/hyperlink" Target="https://example.com/" TargetMode="External"/><Relationship Id="rId177" Type="http://schemas.openxmlformats.org/officeDocument/2006/relationships/hyperlink" Target="https://example.com/" TargetMode="External"/><Relationship Id="rId198" Type="http://schemas.openxmlformats.org/officeDocument/2006/relationships/hyperlink" Target="https://example.com/" TargetMode="External"/><Relationship Id="rId202" Type="http://schemas.openxmlformats.org/officeDocument/2006/relationships/hyperlink" Target="https://example.com/" TargetMode="External"/><Relationship Id="rId223" Type="http://schemas.openxmlformats.org/officeDocument/2006/relationships/hyperlink" Target="https://example.com/" TargetMode="External"/><Relationship Id="rId244" Type="http://schemas.openxmlformats.org/officeDocument/2006/relationships/hyperlink" Target="https://example.com/" TargetMode="External"/><Relationship Id="rId18" Type="http://schemas.openxmlformats.org/officeDocument/2006/relationships/hyperlink" Target="https://example.com/" TargetMode="External"/><Relationship Id="rId39" Type="http://schemas.openxmlformats.org/officeDocument/2006/relationships/hyperlink" Target="https://example.com/" TargetMode="External"/><Relationship Id="rId265" Type="http://schemas.openxmlformats.org/officeDocument/2006/relationships/hyperlink" Target="https://example.com/" TargetMode="External"/><Relationship Id="rId286" Type="http://schemas.openxmlformats.org/officeDocument/2006/relationships/hyperlink" Target="https://example.com/" TargetMode="External"/><Relationship Id="rId50" Type="http://schemas.openxmlformats.org/officeDocument/2006/relationships/hyperlink" Target="https://example.com/" TargetMode="External"/><Relationship Id="rId104" Type="http://schemas.openxmlformats.org/officeDocument/2006/relationships/hyperlink" Target="https://example.com/" TargetMode="External"/><Relationship Id="rId125" Type="http://schemas.openxmlformats.org/officeDocument/2006/relationships/hyperlink" Target="https://example.com/" TargetMode="External"/><Relationship Id="rId146" Type="http://schemas.openxmlformats.org/officeDocument/2006/relationships/hyperlink" Target="https://example.com/" TargetMode="External"/><Relationship Id="rId167" Type="http://schemas.openxmlformats.org/officeDocument/2006/relationships/hyperlink" Target="https://example.com/" TargetMode="External"/><Relationship Id="rId188" Type="http://schemas.openxmlformats.org/officeDocument/2006/relationships/hyperlink" Target="https://example.com/" TargetMode="External"/><Relationship Id="rId311" Type="http://schemas.openxmlformats.org/officeDocument/2006/relationships/hyperlink" Target="https://example.com/" TargetMode="External"/><Relationship Id="rId71" Type="http://schemas.openxmlformats.org/officeDocument/2006/relationships/hyperlink" Target="https://example.com/" TargetMode="External"/><Relationship Id="rId92" Type="http://schemas.openxmlformats.org/officeDocument/2006/relationships/hyperlink" Target="https://example.com/" TargetMode="External"/><Relationship Id="rId213" Type="http://schemas.openxmlformats.org/officeDocument/2006/relationships/hyperlink" Target="https://example.com/" TargetMode="External"/><Relationship Id="rId234" Type="http://schemas.openxmlformats.org/officeDocument/2006/relationships/hyperlink" Target="https://example.com/" TargetMode="External"/><Relationship Id="rId2" Type="http://schemas.openxmlformats.org/officeDocument/2006/relationships/hyperlink" Target="https://example.com/" TargetMode="External"/><Relationship Id="rId29" Type="http://schemas.openxmlformats.org/officeDocument/2006/relationships/hyperlink" Target="https://example.com/" TargetMode="External"/><Relationship Id="rId255" Type="http://schemas.openxmlformats.org/officeDocument/2006/relationships/hyperlink" Target="https://example.com/" TargetMode="External"/><Relationship Id="rId276" Type="http://schemas.openxmlformats.org/officeDocument/2006/relationships/hyperlink" Target="https://example.com/" TargetMode="External"/><Relationship Id="rId297" Type="http://schemas.openxmlformats.org/officeDocument/2006/relationships/hyperlink" Target="https://example.com/" TargetMode="External"/><Relationship Id="rId40" Type="http://schemas.openxmlformats.org/officeDocument/2006/relationships/hyperlink" Target="https://example.com/" TargetMode="External"/><Relationship Id="rId115" Type="http://schemas.openxmlformats.org/officeDocument/2006/relationships/hyperlink" Target="https://example.com/" TargetMode="External"/><Relationship Id="rId136" Type="http://schemas.openxmlformats.org/officeDocument/2006/relationships/hyperlink" Target="https://example.com/" TargetMode="External"/><Relationship Id="rId157" Type="http://schemas.openxmlformats.org/officeDocument/2006/relationships/hyperlink" Target="https://example.com/" TargetMode="External"/><Relationship Id="rId178" Type="http://schemas.openxmlformats.org/officeDocument/2006/relationships/hyperlink" Target="https://example.com/" TargetMode="External"/><Relationship Id="rId301" Type="http://schemas.openxmlformats.org/officeDocument/2006/relationships/hyperlink" Target="https://example.com/" TargetMode="External"/><Relationship Id="rId61" Type="http://schemas.openxmlformats.org/officeDocument/2006/relationships/hyperlink" Target="https://example.com/" TargetMode="External"/><Relationship Id="rId82" Type="http://schemas.openxmlformats.org/officeDocument/2006/relationships/hyperlink" Target="https://example.com/" TargetMode="External"/><Relationship Id="rId199" Type="http://schemas.openxmlformats.org/officeDocument/2006/relationships/hyperlink" Target="https://example.com/" TargetMode="External"/><Relationship Id="rId203" Type="http://schemas.openxmlformats.org/officeDocument/2006/relationships/hyperlink" Target="https://example.com/" TargetMode="External"/><Relationship Id="rId19" Type="http://schemas.openxmlformats.org/officeDocument/2006/relationships/hyperlink" Target="https://example.com/" TargetMode="External"/><Relationship Id="rId224" Type="http://schemas.openxmlformats.org/officeDocument/2006/relationships/hyperlink" Target="https://example.com/" TargetMode="External"/><Relationship Id="rId245" Type="http://schemas.openxmlformats.org/officeDocument/2006/relationships/hyperlink" Target="https://example.com/" TargetMode="External"/><Relationship Id="rId266" Type="http://schemas.openxmlformats.org/officeDocument/2006/relationships/hyperlink" Target="https://example.com/" TargetMode="External"/><Relationship Id="rId287" Type="http://schemas.openxmlformats.org/officeDocument/2006/relationships/hyperlink" Target="https://example.com/" TargetMode="External"/><Relationship Id="rId30" Type="http://schemas.openxmlformats.org/officeDocument/2006/relationships/hyperlink" Target="https://example.com/" TargetMode="External"/><Relationship Id="rId105" Type="http://schemas.openxmlformats.org/officeDocument/2006/relationships/hyperlink" Target="https://example.com/" TargetMode="External"/><Relationship Id="rId126" Type="http://schemas.openxmlformats.org/officeDocument/2006/relationships/hyperlink" Target="https://example.com/" TargetMode="External"/><Relationship Id="rId147" Type="http://schemas.openxmlformats.org/officeDocument/2006/relationships/hyperlink" Target="https://example.com/" TargetMode="External"/><Relationship Id="rId168" Type="http://schemas.openxmlformats.org/officeDocument/2006/relationships/hyperlink" Target="https://example.com/" TargetMode="External"/><Relationship Id="rId312" Type="http://schemas.openxmlformats.org/officeDocument/2006/relationships/hyperlink" Target="https://example.com/" TargetMode="External"/><Relationship Id="rId51" Type="http://schemas.openxmlformats.org/officeDocument/2006/relationships/hyperlink" Target="https://example.com/" TargetMode="External"/><Relationship Id="rId72" Type="http://schemas.openxmlformats.org/officeDocument/2006/relationships/hyperlink" Target="https://example.com/" TargetMode="External"/><Relationship Id="rId93" Type="http://schemas.openxmlformats.org/officeDocument/2006/relationships/hyperlink" Target="https://example.com/" TargetMode="External"/><Relationship Id="rId189" Type="http://schemas.openxmlformats.org/officeDocument/2006/relationships/hyperlink" Target="https://example.com/" TargetMode="External"/><Relationship Id="rId3" Type="http://schemas.openxmlformats.org/officeDocument/2006/relationships/hyperlink" Target="https://example.com/" TargetMode="External"/><Relationship Id="rId214" Type="http://schemas.openxmlformats.org/officeDocument/2006/relationships/hyperlink" Target="https://example.com/" TargetMode="External"/><Relationship Id="rId235" Type="http://schemas.openxmlformats.org/officeDocument/2006/relationships/hyperlink" Target="https://example.com/" TargetMode="External"/><Relationship Id="rId256" Type="http://schemas.openxmlformats.org/officeDocument/2006/relationships/hyperlink" Target="https://example.com/" TargetMode="External"/><Relationship Id="rId277" Type="http://schemas.openxmlformats.org/officeDocument/2006/relationships/hyperlink" Target="https://example.com/" TargetMode="External"/><Relationship Id="rId298" Type="http://schemas.openxmlformats.org/officeDocument/2006/relationships/hyperlink" Target="https://example.com/" TargetMode="External"/><Relationship Id="rId116" Type="http://schemas.openxmlformats.org/officeDocument/2006/relationships/hyperlink" Target="https://example.com/" TargetMode="External"/><Relationship Id="rId137" Type="http://schemas.openxmlformats.org/officeDocument/2006/relationships/hyperlink" Target="https://example.com/" TargetMode="External"/><Relationship Id="rId158" Type="http://schemas.openxmlformats.org/officeDocument/2006/relationships/hyperlink" Target="https://example.com/" TargetMode="External"/><Relationship Id="rId302"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62" Type="http://schemas.openxmlformats.org/officeDocument/2006/relationships/hyperlink" Target="https://example.com/" TargetMode="External"/><Relationship Id="rId83" Type="http://schemas.openxmlformats.org/officeDocument/2006/relationships/hyperlink" Target="https://example.com/" TargetMode="External"/><Relationship Id="rId179" Type="http://schemas.openxmlformats.org/officeDocument/2006/relationships/hyperlink" Target="https://example.com/" TargetMode="External"/><Relationship Id="rId190" Type="http://schemas.openxmlformats.org/officeDocument/2006/relationships/hyperlink" Target="https://example.com/" TargetMode="External"/><Relationship Id="rId204" Type="http://schemas.openxmlformats.org/officeDocument/2006/relationships/hyperlink" Target="https://example.com/" TargetMode="External"/><Relationship Id="rId225" Type="http://schemas.openxmlformats.org/officeDocument/2006/relationships/hyperlink" Target="https://example.com/" TargetMode="External"/><Relationship Id="rId246" Type="http://schemas.openxmlformats.org/officeDocument/2006/relationships/hyperlink" Target="https://example.com/" TargetMode="External"/><Relationship Id="rId267" Type="http://schemas.openxmlformats.org/officeDocument/2006/relationships/hyperlink" Target="https://example.com/" TargetMode="External"/><Relationship Id="rId288" Type="http://schemas.openxmlformats.org/officeDocument/2006/relationships/hyperlink" Target="https://example.com/" TargetMode="External"/><Relationship Id="rId106" Type="http://schemas.openxmlformats.org/officeDocument/2006/relationships/hyperlink" Target="https://example.com/" TargetMode="External"/><Relationship Id="rId127" Type="http://schemas.openxmlformats.org/officeDocument/2006/relationships/hyperlink" Target="https://example.com/" TargetMode="External"/><Relationship Id="rId313"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52" Type="http://schemas.openxmlformats.org/officeDocument/2006/relationships/hyperlink" Target="https://example.com/" TargetMode="External"/><Relationship Id="rId73" Type="http://schemas.openxmlformats.org/officeDocument/2006/relationships/hyperlink" Target="https://example.com/" TargetMode="External"/><Relationship Id="rId94" Type="http://schemas.openxmlformats.org/officeDocument/2006/relationships/hyperlink" Target="https://example.com/" TargetMode="External"/><Relationship Id="rId148" Type="http://schemas.openxmlformats.org/officeDocument/2006/relationships/hyperlink" Target="https://example.com/" TargetMode="External"/><Relationship Id="rId169" Type="http://schemas.openxmlformats.org/officeDocument/2006/relationships/hyperlink" Target="https://example.com/" TargetMode="External"/><Relationship Id="rId4" Type="http://schemas.openxmlformats.org/officeDocument/2006/relationships/hyperlink" Target="https://example.com/" TargetMode="External"/><Relationship Id="rId180" Type="http://schemas.openxmlformats.org/officeDocument/2006/relationships/hyperlink" Target="https://example.com/" TargetMode="External"/><Relationship Id="rId215" Type="http://schemas.openxmlformats.org/officeDocument/2006/relationships/hyperlink" Target="https://example.com/" TargetMode="External"/><Relationship Id="rId236" Type="http://schemas.openxmlformats.org/officeDocument/2006/relationships/hyperlink" Target="https://example.com/" TargetMode="External"/><Relationship Id="rId257" Type="http://schemas.openxmlformats.org/officeDocument/2006/relationships/hyperlink" Target="https://example.com/" TargetMode="External"/><Relationship Id="rId278" Type="http://schemas.openxmlformats.org/officeDocument/2006/relationships/hyperlink" Target="https://example.com/" TargetMode="External"/><Relationship Id="rId303" Type="http://schemas.openxmlformats.org/officeDocument/2006/relationships/hyperlink" Target="https://example.com/" TargetMode="External"/><Relationship Id="rId42" Type="http://schemas.openxmlformats.org/officeDocument/2006/relationships/hyperlink" Target="https://example.com/" TargetMode="External"/><Relationship Id="rId84" Type="http://schemas.openxmlformats.org/officeDocument/2006/relationships/hyperlink" Target="https://example.com/" TargetMode="External"/><Relationship Id="rId138" Type="http://schemas.openxmlformats.org/officeDocument/2006/relationships/hyperlink" Target="https://example.com/" TargetMode="External"/><Relationship Id="rId191" Type="http://schemas.openxmlformats.org/officeDocument/2006/relationships/hyperlink" Target="https://example.com/" TargetMode="External"/><Relationship Id="rId205" Type="http://schemas.openxmlformats.org/officeDocument/2006/relationships/hyperlink" Target="https://example.com/" TargetMode="External"/><Relationship Id="rId247" Type="http://schemas.openxmlformats.org/officeDocument/2006/relationships/hyperlink" Target="https://example.com/" TargetMode="External"/><Relationship Id="rId107" Type="http://schemas.openxmlformats.org/officeDocument/2006/relationships/hyperlink" Target="https://example.com/" TargetMode="External"/><Relationship Id="rId289" Type="http://schemas.openxmlformats.org/officeDocument/2006/relationships/hyperlink" Target="https://example.com/" TargetMode="External"/><Relationship Id="rId11" Type="http://schemas.openxmlformats.org/officeDocument/2006/relationships/hyperlink" Target="https://example.com/" TargetMode="External"/><Relationship Id="rId53" Type="http://schemas.openxmlformats.org/officeDocument/2006/relationships/hyperlink" Target="https://example.com/" TargetMode="External"/><Relationship Id="rId149" Type="http://schemas.openxmlformats.org/officeDocument/2006/relationships/hyperlink" Target="https://example.com/" TargetMode="External"/><Relationship Id="rId314" Type="http://schemas.openxmlformats.org/officeDocument/2006/relationships/hyperlink" Target="https://example.com/" TargetMode="External"/><Relationship Id="rId95" Type="http://schemas.openxmlformats.org/officeDocument/2006/relationships/hyperlink" Target="https://example.com/" TargetMode="External"/><Relationship Id="rId160" Type="http://schemas.openxmlformats.org/officeDocument/2006/relationships/hyperlink" Target="https://example.com/" TargetMode="External"/><Relationship Id="rId216" Type="http://schemas.openxmlformats.org/officeDocument/2006/relationships/hyperlink" Target="https://example.com/" TargetMode="External"/><Relationship Id="rId258" Type="http://schemas.openxmlformats.org/officeDocument/2006/relationships/hyperlink" Target="https://example.com/" TargetMode="External"/><Relationship Id="rId22" Type="http://schemas.openxmlformats.org/officeDocument/2006/relationships/hyperlink" Target="https://example.com/" TargetMode="External"/><Relationship Id="rId64" Type="http://schemas.openxmlformats.org/officeDocument/2006/relationships/hyperlink" Target="https://example.com/" TargetMode="External"/><Relationship Id="rId118" Type="http://schemas.openxmlformats.org/officeDocument/2006/relationships/hyperlink" Target="https://example.com/" TargetMode="External"/><Relationship Id="rId171" Type="http://schemas.openxmlformats.org/officeDocument/2006/relationships/hyperlink" Target="https://example.com/" TargetMode="External"/><Relationship Id="rId227" Type="http://schemas.openxmlformats.org/officeDocument/2006/relationships/hyperlink" Target="https://example.com/" TargetMode="External"/><Relationship Id="rId269" Type="http://schemas.openxmlformats.org/officeDocument/2006/relationships/hyperlink" Target="https://example.com/" TargetMode="External"/><Relationship Id="rId33" Type="http://schemas.openxmlformats.org/officeDocument/2006/relationships/hyperlink" Target="https://example.com/" TargetMode="External"/><Relationship Id="rId129" Type="http://schemas.openxmlformats.org/officeDocument/2006/relationships/hyperlink" Target="https://example.com/" TargetMode="External"/><Relationship Id="rId280" Type="http://schemas.openxmlformats.org/officeDocument/2006/relationships/hyperlink" Target="https://example.com/" TargetMode="External"/><Relationship Id="rId75" Type="http://schemas.openxmlformats.org/officeDocument/2006/relationships/hyperlink" Target="https://example.com/" TargetMode="External"/><Relationship Id="rId140" Type="http://schemas.openxmlformats.org/officeDocument/2006/relationships/hyperlink" Target="https://example.com/" TargetMode="External"/><Relationship Id="rId182" Type="http://schemas.openxmlformats.org/officeDocument/2006/relationships/hyperlink" Target="https://example.com/" TargetMode="External"/><Relationship Id="rId6" Type="http://schemas.openxmlformats.org/officeDocument/2006/relationships/hyperlink" Target="https://example.com/" TargetMode="External"/><Relationship Id="rId238" Type="http://schemas.openxmlformats.org/officeDocument/2006/relationships/hyperlink" Target="https://example.com/" TargetMode="External"/><Relationship Id="rId291" Type="http://schemas.openxmlformats.org/officeDocument/2006/relationships/hyperlink" Target="https://example.com/" TargetMode="External"/><Relationship Id="rId305" Type="http://schemas.openxmlformats.org/officeDocument/2006/relationships/hyperlink" Target="https://example.com/" TargetMode="External"/><Relationship Id="rId44" Type="http://schemas.openxmlformats.org/officeDocument/2006/relationships/hyperlink" Target="https://example.com/" TargetMode="External"/><Relationship Id="rId86" Type="http://schemas.openxmlformats.org/officeDocument/2006/relationships/hyperlink" Target="https://example.com/" TargetMode="External"/><Relationship Id="rId151" Type="http://schemas.openxmlformats.org/officeDocument/2006/relationships/hyperlink" Target="https://example.com/" TargetMode="External"/><Relationship Id="rId193" Type="http://schemas.openxmlformats.org/officeDocument/2006/relationships/hyperlink" Target="https://example.com/" TargetMode="External"/><Relationship Id="rId207" Type="http://schemas.openxmlformats.org/officeDocument/2006/relationships/hyperlink" Target="https://example.com/" TargetMode="External"/><Relationship Id="rId249" Type="http://schemas.openxmlformats.org/officeDocument/2006/relationships/hyperlink" Target="https://example.com/"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https://example.com/" TargetMode="External"/><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3" Type="http://schemas.openxmlformats.org/officeDocument/2006/relationships/hyperlink" Target="https://example.com/" TargetMode="External"/><Relationship Id="rId18" Type="http://schemas.openxmlformats.org/officeDocument/2006/relationships/hyperlink" Target="https://example.com/" TargetMode="External"/><Relationship Id="rId26" Type="http://schemas.openxmlformats.org/officeDocument/2006/relationships/hyperlink" Target="https://example.com/" TargetMode="External"/><Relationship Id="rId39" Type="http://schemas.openxmlformats.org/officeDocument/2006/relationships/hyperlink" Target="https://example.com/" TargetMode="External"/><Relationship Id="rId21" Type="http://schemas.openxmlformats.org/officeDocument/2006/relationships/hyperlink" Target="https://example.com/" TargetMode="External"/><Relationship Id="rId34" Type="http://schemas.openxmlformats.org/officeDocument/2006/relationships/hyperlink" Target="https://example.com/" TargetMode="External"/><Relationship Id="rId42" Type="http://schemas.openxmlformats.org/officeDocument/2006/relationships/hyperlink" Target="https://example.com/" TargetMode="External"/><Relationship Id="rId47" Type="http://schemas.openxmlformats.org/officeDocument/2006/relationships/hyperlink" Target="https://example.com/" TargetMode="External"/><Relationship Id="rId50" Type="http://schemas.openxmlformats.org/officeDocument/2006/relationships/hyperlink" Target="https://example.com/" TargetMode="External"/><Relationship Id="rId55" Type="http://schemas.openxmlformats.org/officeDocument/2006/relationships/hyperlink" Target="https://example.com/" TargetMode="External"/><Relationship Id="rId7" Type="http://schemas.openxmlformats.org/officeDocument/2006/relationships/hyperlink" Target="https://example.com/" TargetMode="External"/><Relationship Id="rId2" Type="http://schemas.openxmlformats.org/officeDocument/2006/relationships/hyperlink" Target="https://example.com/" TargetMode="External"/><Relationship Id="rId16" Type="http://schemas.openxmlformats.org/officeDocument/2006/relationships/hyperlink" Target="https://example.com/" TargetMode="External"/><Relationship Id="rId29" Type="http://schemas.openxmlformats.org/officeDocument/2006/relationships/hyperlink" Target="https://example.com/" TargetMode="External"/><Relationship Id="rId11" Type="http://schemas.openxmlformats.org/officeDocument/2006/relationships/hyperlink" Target="https://example.com/" TargetMode="External"/><Relationship Id="rId24" Type="http://schemas.openxmlformats.org/officeDocument/2006/relationships/hyperlink" Target="https://example.com/" TargetMode="External"/><Relationship Id="rId32" Type="http://schemas.openxmlformats.org/officeDocument/2006/relationships/hyperlink" Target="https://example.com/" TargetMode="External"/><Relationship Id="rId37" Type="http://schemas.openxmlformats.org/officeDocument/2006/relationships/hyperlink" Target="https://example.com/" TargetMode="External"/><Relationship Id="rId40" Type="http://schemas.openxmlformats.org/officeDocument/2006/relationships/hyperlink" Target="https://example.com/" TargetMode="External"/><Relationship Id="rId45" Type="http://schemas.openxmlformats.org/officeDocument/2006/relationships/hyperlink" Target="https://example.com/" TargetMode="External"/><Relationship Id="rId53" Type="http://schemas.openxmlformats.org/officeDocument/2006/relationships/hyperlink" Target="https://example.com/" TargetMode="External"/><Relationship Id="rId58" Type="http://schemas.openxmlformats.org/officeDocument/2006/relationships/hyperlink" Target="https://example.com/" TargetMode="External"/><Relationship Id="rId5" Type="http://schemas.openxmlformats.org/officeDocument/2006/relationships/hyperlink" Target="https://example.com/" TargetMode="External"/><Relationship Id="rId61" Type="http://schemas.openxmlformats.org/officeDocument/2006/relationships/drawing" Target="../drawings/drawing2.xml"/><Relationship Id="rId19" Type="http://schemas.openxmlformats.org/officeDocument/2006/relationships/hyperlink" Target="https://example.com/" TargetMode="External"/><Relationship Id="rId14" Type="http://schemas.openxmlformats.org/officeDocument/2006/relationships/hyperlink" Target="https://example.com/" TargetMode="External"/><Relationship Id="rId22" Type="http://schemas.openxmlformats.org/officeDocument/2006/relationships/hyperlink" Target="https://example.com/" TargetMode="External"/><Relationship Id="rId27" Type="http://schemas.openxmlformats.org/officeDocument/2006/relationships/hyperlink" Target="https://example.com/" TargetMode="External"/><Relationship Id="rId30" Type="http://schemas.openxmlformats.org/officeDocument/2006/relationships/hyperlink" Target="https://example.com/" TargetMode="External"/><Relationship Id="rId35" Type="http://schemas.openxmlformats.org/officeDocument/2006/relationships/hyperlink" Target="https://example.com/" TargetMode="External"/><Relationship Id="rId43" Type="http://schemas.openxmlformats.org/officeDocument/2006/relationships/hyperlink" Target="https://example.com/" TargetMode="External"/><Relationship Id="rId48" Type="http://schemas.openxmlformats.org/officeDocument/2006/relationships/hyperlink" Target="https://example.com/" TargetMode="External"/><Relationship Id="rId56" Type="http://schemas.openxmlformats.org/officeDocument/2006/relationships/hyperlink" Target="https://example.com/" TargetMode="External"/><Relationship Id="rId8" Type="http://schemas.openxmlformats.org/officeDocument/2006/relationships/hyperlink" Target="https://example.com/" TargetMode="External"/><Relationship Id="rId51" Type="http://schemas.openxmlformats.org/officeDocument/2006/relationships/hyperlink" Target="https://example.com/" TargetMode="External"/><Relationship Id="rId3" Type="http://schemas.openxmlformats.org/officeDocument/2006/relationships/hyperlink" Target="https://example.com/" TargetMode="External"/><Relationship Id="rId12" Type="http://schemas.openxmlformats.org/officeDocument/2006/relationships/hyperlink" Target="https://example.com/" TargetMode="External"/><Relationship Id="rId17" Type="http://schemas.openxmlformats.org/officeDocument/2006/relationships/hyperlink" Target="https://example.com/" TargetMode="External"/><Relationship Id="rId25" Type="http://schemas.openxmlformats.org/officeDocument/2006/relationships/hyperlink" Target="https://example.com/" TargetMode="External"/><Relationship Id="rId33" Type="http://schemas.openxmlformats.org/officeDocument/2006/relationships/hyperlink" Target="https://example.com/" TargetMode="External"/><Relationship Id="rId38" Type="http://schemas.openxmlformats.org/officeDocument/2006/relationships/hyperlink" Target="https://example.com/" TargetMode="External"/><Relationship Id="rId46" Type="http://schemas.openxmlformats.org/officeDocument/2006/relationships/hyperlink" Target="https://example.com/" TargetMode="External"/><Relationship Id="rId59" Type="http://schemas.openxmlformats.org/officeDocument/2006/relationships/hyperlink" Target="https://example.com/" TargetMode="External"/><Relationship Id="rId20" Type="http://schemas.openxmlformats.org/officeDocument/2006/relationships/hyperlink" Target="https://example.com/" TargetMode="External"/><Relationship Id="rId41" Type="http://schemas.openxmlformats.org/officeDocument/2006/relationships/hyperlink" Target="https://example.com/" TargetMode="External"/><Relationship Id="rId54" Type="http://schemas.openxmlformats.org/officeDocument/2006/relationships/hyperlink" Target="https://example.com/" TargetMode="External"/><Relationship Id="rId1" Type="http://schemas.openxmlformats.org/officeDocument/2006/relationships/hyperlink" Target="https://example.com/" TargetMode="External"/><Relationship Id="rId6" Type="http://schemas.openxmlformats.org/officeDocument/2006/relationships/hyperlink" Target="https://example.com/" TargetMode="External"/><Relationship Id="rId15" Type="http://schemas.openxmlformats.org/officeDocument/2006/relationships/hyperlink" Target="https://example.com/" TargetMode="External"/><Relationship Id="rId23" Type="http://schemas.openxmlformats.org/officeDocument/2006/relationships/hyperlink" Target="https://example.com/" TargetMode="External"/><Relationship Id="rId28" Type="http://schemas.openxmlformats.org/officeDocument/2006/relationships/hyperlink" Target="https://example.com/" TargetMode="External"/><Relationship Id="rId36" Type="http://schemas.openxmlformats.org/officeDocument/2006/relationships/hyperlink" Target="https://example.com/" TargetMode="External"/><Relationship Id="rId49" Type="http://schemas.openxmlformats.org/officeDocument/2006/relationships/hyperlink" Target="https://example.com/" TargetMode="External"/><Relationship Id="rId57" Type="http://schemas.openxmlformats.org/officeDocument/2006/relationships/hyperlink" Target="https://example.com/" TargetMode="External"/><Relationship Id="rId10" Type="http://schemas.openxmlformats.org/officeDocument/2006/relationships/hyperlink" Target="https://example.com/" TargetMode="External"/><Relationship Id="rId31" Type="http://schemas.openxmlformats.org/officeDocument/2006/relationships/hyperlink" Target="https://example.com/" TargetMode="External"/><Relationship Id="rId44" Type="http://schemas.openxmlformats.org/officeDocument/2006/relationships/hyperlink" Target="https://example.com/" TargetMode="External"/><Relationship Id="rId52" Type="http://schemas.openxmlformats.org/officeDocument/2006/relationships/hyperlink" Target="https://example.com/" TargetMode="External"/><Relationship Id="rId60" Type="http://schemas.openxmlformats.org/officeDocument/2006/relationships/hyperlink" Target="https://example.com/" TargetMode="External"/><Relationship Id="rId4" Type="http://schemas.openxmlformats.org/officeDocument/2006/relationships/hyperlink" Target="https://example.com/" TargetMode="External"/><Relationship Id="rId9" Type="http://schemas.openxmlformats.org/officeDocument/2006/relationships/hyperlink" Target="https://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22D5-2EED-4831-B775-05AE65E4F053}">
  <sheetPr codeName="Sheet5">
    <pageSetUpPr fitToPage="1"/>
  </sheetPr>
  <dimension ref="A1:W57"/>
  <sheetViews>
    <sheetView showGridLines="0" workbookViewId="0"/>
  </sheetViews>
  <sheetFormatPr defaultColWidth="8.6640625" defaultRowHeight="14.4" x14ac:dyDescent="0.3"/>
  <cols>
    <col min="1" max="1" width="5.6640625" style="2" customWidth="1"/>
    <col min="2" max="2" width="7.6640625" style="2" customWidth="1"/>
    <col min="3" max="3" width="10.33203125" style="2" customWidth="1"/>
    <col min="4" max="4" width="13.6640625" style="2" customWidth="1"/>
    <col min="5" max="5" width="5.44140625" style="2" customWidth="1"/>
    <col min="6" max="6" width="13.6640625" style="2" customWidth="1"/>
    <col min="7" max="7" width="6.6640625" style="2" customWidth="1"/>
    <col min="8" max="8" width="31.6640625" style="2" customWidth="1"/>
    <col min="9" max="15" width="8.6640625" style="2" customWidth="1"/>
    <col min="16" max="16" width="45.6640625" style="2" customWidth="1"/>
    <col min="17" max="22" width="8.6640625" style="2" customWidth="1"/>
    <col min="23" max="16384" width="8.6640625" style="2"/>
  </cols>
  <sheetData>
    <row r="1" spans="1:23" x14ac:dyDescent="0.3">
      <c r="A1" s="3"/>
      <c r="B1" s="3"/>
      <c r="C1" s="3"/>
      <c r="D1" s="3"/>
      <c r="E1" s="3"/>
      <c r="F1" s="3"/>
      <c r="G1" s="3"/>
      <c r="H1" s="3"/>
      <c r="I1" s="3"/>
      <c r="J1" s="3"/>
      <c r="K1" s="3"/>
      <c r="L1" s="3"/>
      <c r="M1" s="3"/>
      <c r="N1" s="3"/>
      <c r="O1" s="3"/>
      <c r="P1" s="3"/>
      <c r="Q1" s="3"/>
      <c r="R1" s="3"/>
      <c r="S1" s="3"/>
      <c r="T1" s="3"/>
      <c r="U1" s="3"/>
      <c r="V1" s="3"/>
      <c r="W1" s="3"/>
    </row>
    <row r="2" spans="1:23" x14ac:dyDescent="0.3">
      <c r="A2" s="3"/>
      <c r="B2" s="3"/>
      <c r="C2" s="3"/>
      <c r="D2" s="3"/>
      <c r="E2" s="3"/>
      <c r="F2" s="3"/>
      <c r="G2" s="3"/>
      <c r="H2" s="3"/>
      <c r="I2" s="3"/>
      <c r="J2" s="3"/>
      <c r="K2" s="3"/>
      <c r="L2" s="3"/>
      <c r="M2" s="3"/>
      <c r="N2" s="3"/>
      <c r="O2" s="3"/>
      <c r="P2" s="3"/>
      <c r="Q2" s="3"/>
      <c r="R2" s="3"/>
      <c r="S2" s="3"/>
      <c r="T2" s="3"/>
      <c r="U2" s="3"/>
      <c r="V2" s="3"/>
      <c r="W2" s="3"/>
    </row>
    <row r="3" spans="1:23" x14ac:dyDescent="0.3">
      <c r="A3" s="3"/>
      <c r="B3" s="3"/>
      <c r="C3" s="3"/>
      <c r="D3" s="3"/>
      <c r="E3" s="3"/>
      <c r="F3" s="3"/>
      <c r="G3" s="3"/>
      <c r="H3" s="3"/>
      <c r="I3" s="3"/>
      <c r="J3" s="3"/>
      <c r="K3" s="3"/>
      <c r="L3" s="3"/>
      <c r="M3" s="3"/>
      <c r="N3" s="3"/>
      <c r="O3" s="3"/>
      <c r="P3" s="3"/>
      <c r="Q3" s="3"/>
      <c r="R3" s="3"/>
      <c r="S3" s="3"/>
      <c r="T3" s="3"/>
      <c r="U3" s="3"/>
      <c r="V3" s="3"/>
      <c r="W3" s="3"/>
    </row>
    <row r="4" spans="1:23" x14ac:dyDescent="0.3">
      <c r="A4" s="3"/>
      <c r="B4" s="3"/>
      <c r="C4" s="3"/>
      <c r="D4" s="3"/>
      <c r="E4" s="3"/>
      <c r="F4" s="3"/>
      <c r="G4" s="3"/>
      <c r="H4" s="3"/>
      <c r="I4" s="3"/>
      <c r="J4" s="3"/>
      <c r="K4" s="3"/>
      <c r="L4" s="3"/>
      <c r="M4" s="3"/>
      <c r="N4" s="3"/>
      <c r="O4" s="3"/>
      <c r="P4" s="3"/>
      <c r="Q4" s="3"/>
      <c r="R4" s="3"/>
      <c r="S4" s="3"/>
      <c r="T4" s="3"/>
      <c r="U4" s="3"/>
      <c r="V4" s="3"/>
      <c r="W4" s="3"/>
    </row>
    <row r="5" spans="1:23" x14ac:dyDescent="0.3">
      <c r="A5" s="3"/>
      <c r="B5" s="3"/>
      <c r="C5" s="3"/>
      <c r="D5" s="3"/>
      <c r="E5" s="3"/>
      <c r="F5" s="3"/>
      <c r="G5" s="3"/>
      <c r="H5" s="3"/>
      <c r="I5" s="3"/>
      <c r="J5" s="3"/>
      <c r="K5" s="3"/>
      <c r="L5" s="3"/>
      <c r="M5" s="3"/>
      <c r="N5" s="3"/>
      <c r="O5" s="3"/>
      <c r="P5" s="3"/>
      <c r="Q5" s="3"/>
      <c r="R5" s="3"/>
      <c r="S5" s="3"/>
      <c r="T5" s="3"/>
      <c r="U5" s="3"/>
      <c r="V5" s="3"/>
      <c r="W5" s="3"/>
    </row>
    <row r="6" spans="1:23" ht="18" x14ac:dyDescent="0.3">
      <c r="A6" s="3"/>
      <c r="B6" s="3"/>
      <c r="C6" s="3"/>
      <c r="D6" s="3"/>
      <c r="E6" s="3"/>
      <c r="F6" s="3"/>
      <c r="G6" s="3"/>
      <c r="H6" s="3"/>
      <c r="I6" s="3"/>
      <c r="J6" s="3"/>
      <c r="K6" s="3"/>
      <c r="L6" s="3"/>
      <c r="M6" s="751" t="s">
        <v>0</v>
      </c>
      <c r="N6" s="3"/>
      <c r="O6" s="3"/>
      <c r="P6" s="3"/>
      <c r="Q6" s="3"/>
      <c r="R6" s="3"/>
      <c r="S6" s="3"/>
      <c r="T6" s="3"/>
      <c r="U6" s="3"/>
      <c r="V6" s="3"/>
      <c r="W6" s="3"/>
    </row>
    <row r="7" spans="1:23" ht="18" x14ac:dyDescent="0.35">
      <c r="A7" s="3"/>
      <c r="B7" s="3"/>
      <c r="C7" s="3"/>
      <c r="D7" s="3"/>
      <c r="E7" s="3"/>
      <c r="F7" s="3"/>
      <c r="G7" s="3"/>
      <c r="H7" s="3"/>
      <c r="I7" s="3"/>
      <c r="J7" s="3"/>
      <c r="K7" s="3"/>
      <c r="L7" s="3"/>
      <c r="M7" s="876" t="s">
        <v>1</v>
      </c>
      <c r="N7" s="876"/>
      <c r="O7" s="876"/>
      <c r="P7" s="3"/>
      <c r="Q7" s="3"/>
      <c r="R7" s="3"/>
      <c r="S7" s="3"/>
      <c r="T7" s="3"/>
      <c r="U7" s="3"/>
      <c r="V7" s="3"/>
      <c r="W7" s="3"/>
    </row>
    <row r="8" spans="1:23" ht="28.8" x14ac:dyDescent="0.55000000000000004">
      <c r="A8" s="3"/>
      <c r="B8" s="3"/>
      <c r="C8" s="3"/>
      <c r="D8" s="3"/>
      <c r="E8" s="3"/>
      <c r="F8" s="1280"/>
      <c r="G8" s="1280"/>
      <c r="H8" s="1280"/>
      <c r="I8" s="1280"/>
      <c r="J8" s="1280"/>
      <c r="K8" s="1280"/>
      <c r="L8" s="3"/>
      <c r="M8" s="3"/>
      <c r="N8" s="3"/>
      <c r="O8" s="3"/>
      <c r="P8" s="3"/>
      <c r="Q8" s="3"/>
      <c r="R8" s="3"/>
      <c r="S8" s="3"/>
      <c r="T8" s="3"/>
      <c r="U8" s="3"/>
      <c r="V8" s="3"/>
      <c r="W8" s="3"/>
    </row>
    <row r="9" spans="1:23" ht="18" x14ac:dyDescent="0.35">
      <c r="A9" s="3"/>
      <c r="B9" s="3"/>
      <c r="C9" s="752" t="s">
        <v>2</v>
      </c>
      <c r="D9" s="753"/>
      <c r="E9" s="753"/>
      <c r="F9" s="753"/>
      <c r="G9" s="753"/>
      <c r="H9" s="754" t="str">
        <f>Model!A1</f>
        <v>Company1915 Company0697</v>
      </c>
      <c r="I9" s="753"/>
      <c r="J9" s="753"/>
      <c r="K9" s="753"/>
      <c r="L9" s="753"/>
      <c r="M9" s="869"/>
      <c r="N9" s="753"/>
      <c r="O9" s="753"/>
      <c r="Q9" s="3"/>
      <c r="R9" s="3"/>
      <c r="S9" s="3"/>
      <c r="T9" s="3"/>
      <c r="U9" s="3"/>
      <c r="V9" s="3"/>
      <c r="W9" s="3"/>
    </row>
    <row r="10" spans="1:23" ht="18" x14ac:dyDescent="0.35">
      <c r="A10" s="3"/>
      <c r="B10" s="3"/>
      <c r="C10" s="755"/>
      <c r="D10" s="3"/>
      <c r="E10" s="3"/>
      <c r="F10" s="3"/>
      <c r="G10" s="3"/>
      <c r="H10" s="3"/>
      <c r="I10" s="3"/>
      <c r="J10" s="3"/>
      <c r="K10" s="3"/>
      <c r="L10" s="3"/>
      <c r="M10" s="870"/>
      <c r="N10" s="3"/>
      <c r="O10" s="3"/>
      <c r="Q10" s="3"/>
      <c r="R10" s="3"/>
      <c r="S10" s="3"/>
      <c r="T10" s="3"/>
      <c r="U10" s="3"/>
      <c r="V10" s="3"/>
      <c r="W10" s="3"/>
    </row>
    <row r="11" spans="1:23" ht="18" x14ac:dyDescent="0.3">
      <c r="A11" s="3"/>
      <c r="B11" s="3"/>
      <c r="C11" s="752" t="s">
        <v>4</v>
      </c>
      <c r="D11" s="3"/>
      <c r="E11" s="3"/>
      <c r="F11" s="3"/>
      <c r="G11" s="3"/>
      <c r="H11" s="785">
        <f ca="1">OFFSET('Update Log'!$C$10,1,0,1,1)</f>
        <v>46162</v>
      </c>
      <c r="I11" s="3"/>
      <c r="J11" s="3"/>
      <c r="K11" s="3"/>
      <c r="L11" s="3"/>
      <c r="M11" s="3"/>
      <c r="N11" s="3"/>
      <c r="O11" s="3"/>
      <c r="Q11" s="3"/>
      <c r="R11" s="3"/>
      <c r="S11" s="3"/>
      <c r="T11" s="3"/>
      <c r="U11" s="3"/>
      <c r="V11" s="3"/>
      <c r="W11" s="3"/>
    </row>
    <row r="12" spans="1:23" ht="18" x14ac:dyDescent="0.35">
      <c r="A12" s="3"/>
      <c r="B12" s="3"/>
      <c r="C12" s="3"/>
      <c r="D12" s="3"/>
      <c r="E12" s="3"/>
      <c r="F12" s="3"/>
      <c r="G12" s="3"/>
      <c r="H12" s="757"/>
      <c r="I12" s="3"/>
      <c r="J12" s="3"/>
      <c r="K12" s="3"/>
      <c r="L12" s="3"/>
      <c r="M12" s="752" t="s">
        <v>3</v>
      </c>
      <c r="N12" s="3"/>
      <c r="O12" s="3"/>
      <c r="Q12" s="3"/>
      <c r="R12" s="3"/>
      <c r="S12" s="3"/>
      <c r="T12" s="3"/>
      <c r="U12" s="3"/>
      <c r="V12" s="3"/>
      <c r="W12" s="3"/>
    </row>
    <row r="13" spans="1:23" ht="18" x14ac:dyDescent="0.3">
      <c r="A13" s="3"/>
      <c r="B13" s="3"/>
      <c r="C13" s="752" t="s">
        <v>5</v>
      </c>
      <c r="D13" s="3"/>
      <c r="E13" s="3"/>
      <c r="F13" s="3"/>
      <c r="G13" s="3"/>
      <c r="H13" s="786" t="str">
        <f ca="1">OFFSET('Update Log'!$E$10,1,0,1,1)</f>
        <v>Quarterly (Earnings Report)</v>
      </c>
      <c r="I13" s="3"/>
      <c r="J13" s="3"/>
      <c r="K13" s="3"/>
      <c r="L13" s="3"/>
      <c r="M13" s="1290" t="s">
        <v>1294</v>
      </c>
      <c r="N13" s="1291"/>
      <c r="O13" s="1291"/>
      <c r="P13" s="1292"/>
      <c r="Q13" s="3"/>
      <c r="R13" s="3"/>
      <c r="S13" s="3"/>
      <c r="T13" s="3"/>
      <c r="U13" s="3"/>
      <c r="V13" s="3"/>
      <c r="W13" s="3"/>
    </row>
    <row r="14" spans="1:23" x14ac:dyDescent="0.3">
      <c r="A14" s="3"/>
      <c r="B14" s="3"/>
      <c r="C14" s="3"/>
      <c r="D14" s="3"/>
      <c r="E14" s="3"/>
      <c r="F14" s="3"/>
      <c r="G14" s="3"/>
      <c r="H14" s="3"/>
      <c r="I14" s="3"/>
      <c r="J14" s="3"/>
      <c r="K14" s="3"/>
      <c r="L14" s="3"/>
      <c r="M14" s="1290"/>
      <c r="N14" s="1291"/>
      <c r="O14" s="1291"/>
      <c r="P14" s="1292"/>
      <c r="Q14" s="3"/>
      <c r="R14" s="3"/>
      <c r="S14" s="3"/>
      <c r="T14" s="3"/>
      <c r="U14" s="3"/>
      <c r="V14" s="3"/>
      <c r="W14" s="3"/>
    </row>
    <row r="15" spans="1:23" ht="18.75" customHeight="1" x14ac:dyDescent="0.3">
      <c r="A15" s="3"/>
      <c r="B15" s="3"/>
      <c r="C15" s="752" t="s">
        <v>6</v>
      </c>
      <c r="D15" s="753"/>
      <c r="E15" s="753"/>
      <c r="F15" s="753"/>
      <c r="G15" s="753"/>
      <c r="H15" s="787" t="s">
        <v>7</v>
      </c>
      <c r="I15" s="3"/>
      <c r="J15" s="758"/>
      <c r="K15" s="3"/>
      <c r="L15" s="3"/>
      <c r="M15" s="1290"/>
      <c r="N15" s="1291"/>
      <c r="O15" s="1291"/>
      <c r="P15" s="1292"/>
      <c r="Q15" s="3"/>
      <c r="R15" s="3"/>
      <c r="S15" s="3"/>
      <c r="T15" s="3"/>
      <c r="U15" s="3"/>
      <c r="V15" s="3"/>
      <c r="W15" s="3"/>
    </row>
    <row r="16" spans="1:23" ht="15" customHeight="1" x14ac:dyDescent="0.3">
      <c r="A16" s="3"/>
      <c r="B16" s="3"/>
      <c r="C16" s="753"/>
      <c r="D16" s="1"/>
      <c r="E16" s="1"/>
      <c r="F16" s="1"/>
      <c r="G16" s="1"/>
      <c r="H16" s="759">
        <f>IF(FP.DataSourceName="Bloomberg",1,IF(FP.DataSourceName="Capital IQ",2,IF(FP.DataSourceName="FactSet",3,IF(FP.DataSourceName="Refinitiv",4))))</f>
        <v>1</v>
      </c>
      <c r="I16" s="760"/>
      <c r="J16" s="758"/>
      <c r="K16" s="3"/>
      <c r="L16" s="3"/>
      <c r="M16" s="1290"/>
      <c r="N16" s="1291"/>
      <c r="O16" s="1291"/>
      <c r="P16" s="1292"/>
      <c r="Q16" s="3"/>
      <c r="R16" s="3"/>
      <c r="S16" s="3"/>
      <c r="T16" s="3"/>
      <c r="U16" s="3"/>
      <c r="V16" s="3"/>
      <c r="W16" s="3"/>
    </row>
    <row r="17" spans="1:23" s="58" customFormat="1" ht="18" x14ac:dyDescent="0.35">
      <c r="A17" s="1"/>
      <c r="B17" s="1"/>
      <c r="C17" s="755"/>
      <c r="D17" s="1"/>
      <c r="E17" s="1"/>
      <c r="F17" s="1"/>
      <c r="G17" s="1"/>
      <c r="H17" s="1"/>
      <c r="I17" s="760"/>
      <c r="J17" s="758"/>
      <c r="K17" s="3"/>
      <c r="L17" s="3"/>
      <c r="M17" s="1290"/>
      <c r="N17" s="1293"/>
      <c r="O17" s="1293"/>
      <c r="P17" s="1294"/>
      <c r="Q17" s="1"/>
      <c r="R17" s="1"/>
      <c r="S17" s="1"/>
      <c r="T17" s="1"/>
      <c r="U17" s="1"/>
      <c r="V17" s="1"/>
      <c r="W17" s="3"/>
    </row>
    <row r="18" spans="1:23" s="58" customFormat="1" ht="18.75" customHeight="1" x14ac:dyDescent="0.3">
      <c r="A18" s="1"/>
      <c r="B18" s="1"/>
      <c r="C18" s="752" t="s">
        <v>8</v>
      </c>
      <c r="D18" s="753"/>
      <c r="E18" s="753"/>
      <c r="F18" s="753"/>
      <c r="G18" s="753"/>
      <c r="H18" s="787" t="s">
        <v>614</v>
      </c>
      <c r="I18" s="761"/>
      <c r="J18" s="761"/>
      <c r="K18" s="3"/>
      <c r="L18" s="3"/>
      <c r="M18" s="1290"/>
      <c r="N18" s="1293"/>
      <c r="O18" s="1293"/>
      <c r="P18" s="1294"/>
      <c r="Q18" s="1"/>
      <c r="R18" s="1"/>
      <c r="S18" s="1"/>
      <c r="T18" s="1"/>
      <c r="U18" s="1"/>
      <c r="V18" s="1"/>
      <c r="W18" s="3"/>
    </row>
    <row r="19" spans="1:23" s="58" customFormat="1" x14ac:dyDescent="0.3">
      <c r="A19" s="1"/>
      <c r="B19" s="1"/>
      <c r="C19" s="753"/>
      <c r="D19" s="1"/>
      <c r="E19" s="1"/>
      <c r="F19" s="1"/>
      <c r="G19" s="1"/>
      <c r="H19" s="1"/>
      <c r="I19" s="760"/>
      <c r="J19" s="758"/>
      <c r="K19" s="3"/>
      <c r="L19" s="3"/>
      <c r="M19" s="1290"/>
      <c r="N19" s="1293"/>
      <c r="O19" s="1293"/>
      <c r="P19" s="1294"/>
      <c r="Q19" s="1"/>
      <c r="R19" s="1"/>
      <c r="S19" s="1"/>
      <c r="T19" s="1"/>
      <c r="U19" s="1"/>
      <c r="V19" s="1"/>
      <c r="W19" s="3"/>
    </row>
    <row r="20" spans="1:23" s="58" customFormat="1" ht="18.75" customHeight="1" x14ac:dyDescent="0.35">
      <c r="A20" s="1"/>
      <c r="B20" s="1"/>
      <c r="C20" s="762" t="s">
        <v>9</v>
      </c>
      <c r="D20" s="1"/>
      <c r="E20" s="1"/>
      <c r="F20" s="763">
        <v>46175</v>
      </c>
      <c r="G20" s="1"/>
      <c r="H20" s="788">
        <v>222.82</v>
      </c>
      <c r="I20" s="760"/>
      <c r="J20" s="758"/>
      <c r="K20" s="3"/>
      <c r="L20" s="3"/>
      <c r="M20" s="1290"/>
      <c r="N20" s="1293"/>
      <c r="O20" s="1293"/>
      <c r="P20" s="1294"/>
      <c r="Q20" s="1"/>
      <c r="R20" s="1"/>
      <c r="S20" s="1"/>
      <c r="T20" s="1"/>
      <c r="U20" s="1"/>
      <c r="V20" s="1"/>
      <c r="W20" s="3"/>
    </row>
    <row r="21" spans="1:23" s="58" customFormat="1" x14ac:dyDescent="0.3">
      <c r="A21" s="1"/>
      <c r="B21" s="1"/>
      <c r="C21" s="1"/>
      <c r="D21" s="3"/>
      <c r="E21" s="3"/>
      <c r="F21" s="3"/>
      <c r="G21" s="3"/>
      <c r="H21" s="3"/>
      <c r="I21" s="3"/>
      <c r="J21" s="3"/>
      <c r="K21" s="3"/>
      <c r="L21" s="3"/>
      <c r="M21" s="3"/>
      <c r="N21" s="1"/>
      <c r="O21" s="1"/>
      <c r="P21" s="1"/>
      <c r="Q21" s="1"/>
      <c r="R21" s="1"/>
      <c r="S21" s="1"/>
      <c r="T21" s="1"/>
      <c r="U21" s="1"/>
      <c r="V21" s="1"/>
      <c r="W21" s="1"/>
    </row>
    <row r="22" spans="1:23" ht="16.350000000000001" customHeight="1" x14ac:dyDescent="0.3">
      <c r="A22" s="3"/>
      <c r="B22" s="3"/>
      <c r="C22" s="1281" t="s">
        <v>402</v>
      </c>
      <c r="D22" s="1282"/>
      <c r="E22" s="1282"/>
      <c r="F22" s="1282"/>
      <c r="G22" s="1282"/>
      <c r="H22" s="1282"/>
      <c r="I22" s="1282"/>
      <c r="J22" s="1282"/>
      <c r="K22" s="1282"/>
      <c r="L22" s="1282"/>
      <c r="M22" s="1282"/>
      <c r="N22" s="1282"/>
      <c r="O22" s="1282"/>
      <c r="P22" s="1283"/>
      <c r="Q22" s="3"/>
      <c r="R22" s="3"/>
      <c r="S22" s="3"/>
      <c r="T22" s="3"/>
      <c r="U22" s="3"/>
      <c r="V22" s="3"/>
      <c r="W22" s="3"/>
    </row>
    <row r="23" spans="1:23" ht="16.350000000000001" customHeight="1" x14ac:dyDescent="0.3">
      <c r="A23" s="3"/>
      <c r="B23" s="3"/>
      <c r="C23" s="1284"/>
      <c r="D23" s="1285"/>
      <c r="E23" s="1285"/>
      <c r="F23" s="1285"/>
      <c r="G23" s="1285"/>
      <c r="H23" s="1285"/>
      <c r="I23" s="1285"/>
      <c r="J23" s="1285"/>
      <c r="K23" s="1285"/>
      <c r="L23" s="1285"/>
      <c r="M23" s="1285"/>
      <c r="N23" s="1285"/>
      <c r="O23" s="1285"/>
      <c r="P23" s="1286"/>
      <c r="Q23" s="3"/>
      <c r="R23" s="3"/>
      <c r="S23" s="3"/>
      <c r="T23" s="3"/>
      <c r="U23" s="3"/>
      <c r="V23" s="3"/>
      <c r="W23" s="3"/>
    </row>
    <row r="24" spans="1:23" ht="16.350000000000001" customHeight="1" x14ac:dyDescent="0.3">
      <c r="A24" s="3"/>
      <c r="B24" s="3"/>
      <c r="C24" s="1284"/>
      <c r="D24" s="1285"/>
      <c r="E24" s="1285"/>
      <c r="F24" s="1285"/>
      <c r="G24" s="1285"/>
      <c r="H24" s="1285"/>
      <c r="I24" s="1285"/>
      <c r="J24" s="1285"/>
      <c r="K24" s="1285"/>
      <c r="L24" s="1285"/>
      <c r="M24" s="1285"/>
      <c r="N24" s="1285"/>
      <c r="O24" s="1285"/>
      <c r="P24" s="1286"/>
      <c r="Q24" s="3"/>
      <c r="R24" s="3"/>
      <c r="S24" s="3"/>
      <c r="T24" s="3"/>
      <c r="U24" s="3"/>
      <c r="V24" s="3"/>
      <c r="W24" s="3"/>
    </row>
    <row r="25" spans="1:23" ht="16.350000000000001" customHeight="1" x14ac:dyDescent="0.3">
      <c r="A25" s="3"/>
      <c r="B25" s="3"/>
      <c r="C25" s="1284"/>
      <c r="D25" s="1285"/>
      <c r="E25" s="1285"/>
      <c r="F25" s="1285"/>
      <c r="G25" s="1285"/>
      <c r="H25" s="1285"/>
      <c r="I25" s="1285"/>
      <c r="J25" s="1285"/>
      <c r="K25" s="1285"/>
      <c r="L25" s="1285"/>
      <c r="M25" s="1285"/>
      <c r="N25" s="1285"/>
      <c r="O25" s="1285"/>
      <c r="P25" s="1286"/>
      <c r="Q25" s="3"/>
      <c r="R25" s="3"/>
      <c r="S25" s="3"/>
      <c r="T25" s="3"/>
      <c r="U25" s="3"/>
      <c r="V25" s="3"/>
      <c r="W25" s="3"/>
    </row>
    <row r="26" spans="1:23" ht="16.350000000000001" customHeight="1" x14ac:dyDescent="0.3">
      <c r="A26" s="3"/>
      <c r="B26" s="3"/>
      <c r="C26" s="1284"/>
      <c r="D26" s="1285"/>
      <c r="E26" s="1285"/>
      <c r="F26" s="1285"/>
      <c r="G26" s="1285"/>
      <c r="H26" s="1285"/>
      <c r="I26" s="1285"/>
      <c r="J26" s="1285"/>
      <c r="K26" s="1285"/>
      <c r="L26" s="1285"/>
      <c r="M26" s="1285"/>
      <c r="N26" s="1285"/>
      <c r="O26" s="1285"/>
      <c r="P26" s="1286"/>
      <c r="Q26" s="3"/>
      <c r="R26" s="3"/>
      <c r="S26" s="3"/>
      <c r="T26" s="3"/>
      <c r="U26" s="3"/>
      <c r="V26" s="3"/>
      <c r="W26" s="3"/>
    </row>
    <row r="27" spans="1:23" ht="16.350000000000001" customHeight="1" x14ac:dyDescent="0.3">
      <c r="A27" s="3"/>
      <c r="B27" s="3"/>
      <c r="C27" s="1284"/>
      <c r="D27" s="1285"/>
      <c r="E27" s="1285"/>
      <c r="F27" s="1285"/>
      <c r="G27" s="1285"/>
      <c r="H27" s="1285"/>
      <c r="I27" s="1285"/>
      <c r="J27" s="1285"/>
      <c r="K27" s="1285"/>
      <c r="L27" s="1285"/>
      <c r="M27" s="1285"/>
      <c r="N27" s="1285"/>
      <c r="O27" s="1285"/>
      <c r="P27" s="1286"/>
      <c r="Q27" s="3"/>
      <c r="R27" s="3"/>
      <c r="S27" s="3"/>
      <c r="T27" s="3"/>
      <c r="U27" s="3"/>
      <c r="V27" s="3"/>
      <c r="W27" s="3"/>
    </row>
    <row r="28" spans="1:23" ht="16.350000000000001" customHeight="1" x14ac:dyDescent="0.3">
      <c r="A28" s="3"/>
      <c r="B28" s="3"/>
      <c r="C28" s="1284"/>
      <c r="D28" s="1285"/>
      <c r="E28" s="1285"/>
      <c r="F28" s="1285"/>
      <c r="G28" s="1285"/>
      <c r="H28" s="1285"/>
      <c r="I28" s="1285"/>
      <c r="J28" s="1285"/>
      <c r="K28" s="1285"/>
      <c r="L28" s="1285"/>
      <c r="M28" s="1285"/>
      <c r="N28" s="1285"/>
      <c r="O28" s="1285"/>
      <c r="P28" s="1286"/>
      <c r="Q28" s="3"/>
      <c r="R28" s="3"/>
      <c r="S28" s="3"/>
      <c r="T28" s="3"/>
      <c r="U28" s="3"/>
      <c r="V28" s="3"/>
      <c r="W28" s="3"/>
    </row>
    <row r="29" spans="1:23" ht="16.350000000000001" customHeight="1" x14ac:dyDescent="0.3">
      <c r="A29" s="3"/>
      <c r="B29" s="3"/>
      <c r="C29" s="1284"/>
      <c r="D29" s="1285"/>
      <c r="E29" s="1285"/>
      <c r="F29" s="1285"/>
      <c r="G29" s="1285"/>
      <c r="H29" s="1285"/>
      <c r="I29" s="1285"/>
      <c r="J29" s="1285"/>
      <c r="K29" s="1285"/>
      <c r="L29" s="1285"/>
      <c r="M29" s="1285"/>
      <c r="N29" s="1285"/>
      <c r="O29" s="1285"/>
      <c r="P29" s="1286"/>
      <c r="Q29" s="3"/>
      <c r="R29" s="3"/>
      <c r="S29" s="3"/>
      <c r="T29" s="3"/>
      <c r="U29" s="3"/>
      <c r="V29" s="3"/>
      <c r="W29" s="3"/>
    </row>
    <row r="30" spans="1:23" ht="16.350000000000001" customHeight="1" x14ac:dyDescent="0.3">
      <c r="A30" s="3"/>
      <c r="B30" s="3"/>
      <c r="C30" s="1284"/>
      <c r="D30" s="1285"/>
      <c r="E30" s="1285"/>
      <c r="F30" s="1285"/>
      <c r="G30" s="1285"/>
      <c r="H30" s="1285"/>
      <c r="I30" s="1285"/>
      <c r="J30" s="1285"/>
      <c r="K30" s="1285"/>
      <c r="L30" s="1285"/>
      <c r="M30" s="1285"/>
      <c r="N30" s="1285"/>
      <c r="O30" s="1285"/>
      <c r="P30" s="1286"/>
      <c r="Q30" s="3"/>
      <c r="R30" s="3"/>
      <c r="S30" s="3"/>
      <c r="T30" s="3"/>
      <c r="U30" s="3"/>
      <c r="V30" s="3"/>
      <c r="W30" s="3"/>
    </row>
    <row r="31" spans="1:23" ht="16.350000000000001" customHeight="1" x14ac:dyDescent="0.3">
      <c r="A31" s="3"/>
      <c r="B31" s="3"/>
      <c r="C31" s="1284"/>
      <c r="D31" s="1285"/>
      <c r="E31" s="1285"/>
      <c r="F31" s="1285"/>
      <c r="G31" s="1285"/>
      <c r="H31" s="1285"/>
      <c r="I31" s="1285"/>
      <c r="J31" s="1285"/>
      <c r="K31" s="1285"/>
      <c r="L31" s="1285"/>
      <c r="M31" s="1285"/>
      <c r="N31" s="1285"/>
      <c r="O31" s="1285"/>
      <c r="P31" s="1286"/>
      <c r="Q31" s="3"/>
      <c r="R31" s="3"/>
      <c r="S31" s="3"/>
      <c r="T31" s="3"/>
      <c r="U31" s="3"/>
      <c r="V31" s="3"/>
      <c r="W31" s="3"/>
    </row>
    <row r="32" spans="1:23" ht="16.350000000000001" customHeight="1" x14ac:dyDescent="0.3">
      <c r="A32" s="3"/>
      <c r="B32" s="3"/>
      <c r="C32" s="1284"/>
      <c r="D32" s="1285"/>
      <c r="E32" s="1285"/>
      <c r="F32" s="1285"/>
      <c r="G32" s="1285"/>
      <c r="H32" s="1285"/>
      <c r="I32" s="1285"/>
      <c r="J32" s="1285"/>
      <c r="K32" s="1285"/>
      <c r="L32" s="1285"/>
      <c r="M32" s="1285"/>
      <c r="N32" s="1285"/>
      <c r="O32" s="1285"/>
      <c r="P32" s="1286"/>
      <c r="Q32" s="3"/>
      <c r="R32" s="3"/>
      <c r="S32" s="3"/>
      <c r="T32" s="3"/>
      <c r="U32" s="3"/>
      <c r="V32" s="3"/>
      <c r="W32" s="3"/>
    </row>
    <row r="33" spans="1:23" ht="16.350000000000001" customHeight="1" x14ac:dyDescent="0.3">
      <c r="A33" s="3"/>
      <c r="B33" s="3"/>
      <c r="C33" s="1284"/>
      <c r="D33" s="1285"/>
      <c r="E33" s="1285"/>
      <c r="F33" s="1285"/>
      <c r="G33" s="1285"/>
      <c r="H33" s="1285"/>
      <c r="I33" s="1285"/>
      <c r="J33" s="1285"/>
      <c r="K33" s="1285"/>
      <c r="L33" s="1285"/>
      <c r="M33" s="1285"/>
      <c r="N33" s="1285"/>
      <c r="O33" s="1285"/>
      <c r="P33" s="1286"/>
      <c r="Q33" s="3"/>
      <c r="R33" s="3"/>
      <c r="S33" s="3"/>
      <c r="T33" s="3"/>
      <c r="U33" s="3"/>
      <c r="V33" s="3"/>
      <c r="W33" s="3"/>
    </row>
    <row r="34" spans="1:23" ht="16.350000000000001" customHeight="1" x14ac:dyDescent="0.3">
      <c r="A34" s="3"/>
      <c r="B34" s="3"/>
      <c r="C34" s="1284"/>
      <c r="D34" s="1285"/>
      <c r="E34" s="1285"/>
      <c r="F34" s="1285"/>
      <c r="G34" s="1285"/>
      <c r="H34" s="1285"/>
      <c r="I34" s="1285"/>
      <c r="J34" s="1285"/>
      <c r="K34" s="1285"/>
      <c r="L34" s="1285"/>
      <c r="M34" s="1285"/>
      <c r="N34" s="1285"/>
      <c r="O34" s="1285"/>
      <c r="P34" s="1286"/>
      <c r="Q34" s="3"/>
      <c r="R34" s="3"/>
      <c r="S34" s="3"/>
      <c r="T34" s="3"/>
      <c r="U34" s="3"/>
      <c r="V34" s="3"/>
      <c r="W34" s="3"/>
    </row>
    <row r="35" spans="1:23" ht="16.350000000000001" customHeight="1" x14ac:dyDescent="0.3">
      <c r="A35" s="3"/>
      <c r="B35" s="3"/>
      <c r="C35" s="1284"/>
      <c r="D35" s="1285"/>
      <c r="E35" s="1285"/>
      <c r="F35" s="1285"/>
      <c r="G35" s="1285"/>
      <c r="H35" s="1285"/>
      <c r="I35" s="1285"/>
      <c r="J35" s="1285"/>
      <c r="K35" s="1285"/>
      <c r="L35" s="1285"/>
      <c r="M35" s="1285"/>
      <c r="N35" s="1285"/>
      <c r="O35" s="1285"/>
      <c r="P35" s="1286"/>
      <c r="Q35" s="3"/>
      <c r="R35" s="3"/>
      <c r="S35" s="3"/>
      <c r="T35" s="3"/>
      <c r="U35" s="3"/>
      <c r="V35" s="3"/>
      <c r="W35" s="3"/>
    </row>
    <row r="36" spans="1:23" ht="16.350000000000001" customHeight="1" x14ac:dyDescent="0.3">
      <c r="A36" s="3"/>
      <c r="B36" s="3"/>
      <c r="C36" s="1284"/>
      <c r="D36" s="1285"/>
      <c r="E36" s="1285"/>
      <c r="F36" s="1285"/>
      <c r="G36" s="1285"/>
      <c r="H36" s="1285"/>
      <c r="I36" s="1285"/>
      <c r="J36" s="1285"/>
      <c r="K36" s="1285"/>
      <c r="L36" s="1285"/>
      <c r="M36" s="1285"/>
      <c r="N36" s="1285"/>
      <c r="O36" s="1285"/>
      <c r="P36" s="1286"/>
      <c r="Q36" s="3"/>
      <c r="R36" s="3"/>
      <c r="S36" s="3"/>
      <c r="T36" s="3"/>
      <c r="U36" s="3"/>
      <c r="V36" s="3"/>
      <c r="W36" s="3"/>
    </row>
    <row r="37" spans="1:23" ht="16.350000000000001" customHeight="1" x14ac:dyDescent="0.3">
      <c r="A37" s="3"/>
      <c r="B37" s="3"/>
      <c r="C37" s="1284"/>
      <c r="D37" s="1285"/>
      <c r="E37" s="1285"/>
      <c r="F37" s="1285"/>
      <c r="G37" s="1285"/>
      <c r="H37" s="1285"/>
      <c r="I37" s="1285"/>
      <c r="J37" s="1285"/>
      <c r="K37" s="1285"/>
      <c r="L37" s="1285"/>
      <c r="M37" s="1285"/>
      <c r="N37" s="1285"/>
      <c r="O37" s="1285"/>
      <c r="P37" s="1286"/>
      <c r="Q37" s="3"/>
      <c r="R37" s="3"/>
      <c r="S37" s="3"/>
      <c r="T37" s="3"/>
      <c r="U37" s="3"/>
      <c r="V37" s="3"/>
      <c r="W37" s="3"/>
    </row>
    <row r="38" spans="1:23" ht="16.350000000000001" customHeight="1" x14ac:dyDescent="0.3">
      <c r="A38" s="3"/>
      <c r="B38" s="3"/>
      <c r="C38" s="1284"/>
      <c r="D38" s="1285"/>
      <c r="E38" s="1285"/>
      <c r="F38" s="1285"/>
      <c r="G38" s="1285"/>
      <c r="H38" s="1285"/>
      <c r="I38" s="1285"/>
      <c r="J38" s="1285"/>
      <c r="K38" s="1285"/>
      <c r="L38" s="1285"/>
      <c r="M38" s="1285"/>
      <c r="N38" s="1285"/>
      <c r="O38" s="1285"/>
      <c r="P38" s="1286"/>
      <c r="Q38" s="3"/>
      <c r="R38" s="3"/>
      <c r="S38" s="3"/>
      <c r="T38" s="3"/>
      <c r="U38" s="3"/>
      <c r="V38" s="3"/>
      <c r="W38" s="3"/>
    </row>
    <row r="39" spans="1:23" ht="16.350000000000001" customHeight="1" x14ac:dyDescent="0.3">
      <c r="A39" s="3"/>
      <c r="B39" s="3"/>
      <c r="C39" s="1284"/>
      <c r="D39" s="1285"/>
      <c r="E39" s="1285"/>
      <c r="F39" s="1285"/>
      <c r="G39" s="1285"/>
      <c r="H39" s="1285"/>
      <c r="I39" s="1285"/>
      <c r="J39" s="1285"/>
      <c r="K39" s="1285"/>
      <c r="L39" s="1285"/>
      <c r="M39" s="1285"/>
      <c r="N39" s="1285"/>
      <c r="O39" s="1285"/>
      <c r="P39" s="1286"/>
      <c r="Q39" s="3"/>
      <c r="R39" s="3"/>
      <c r="S39" s="3"/>
      <c r="T39" s="3"/>
      <c r="U39" s="3"/>
      <c r="V39" s="3"/>
      <c r="W39" s="3"/>
    </row>
    <row r="40" spans="1:23" ht="16.350000000000001" customHeight="1" x14ac:dyDescent="0.3">
      <c r="A40" s="3"/>
      <c r="B40" s="3"/>
      <c r="C40" s="1284"/>
      <c r="D40" s="1285"/>
      <c r="E40" s="1285"/>
      <c r="F40" s="1285"/>
      <c r="G40" s="1285"/>
      <c r="H40" s="1285"/>
      <c r="I40" s="1285"/>
      <c r="J40" s="1285"/>
      <c r="K40" s="1285"/>
      <c r="L40" s="1285"/>
      <c r="M40" s="1285"/>
      <c r="N40" s="1285"/>
      <c r="O40" s="1285"/>
      <c r="P40" s="1286"/>
      <c r="Q40" s="3"/>
      <c r="R40" s="3"/>
      <c r="S40" s="3"/>
      <c r="T40" s="3"/>
      <c r="U40" s="3"/>
      <c r="V40" s="3"/>
      <c r="W40" s="3"/>
    </row>
    <row r="41" spans="1:23" ht="16.350000000000001" customHeight="1" x14ac:dyDescent="0.3">
      <c r="A41" s="3"/>
      <c r="B41" s="3"/>
      <c r="C41" s="1287"/>
      <c r="D41" s="1288"/>
      <c r="E41" s="1288"/>
      <c r="F41" s="1288"/>
      <c r="G41" s="1288"/>
      <c r="H41" s="1288"/>
      <c r="I41" s="1288"/>
      <c r="J41" s="1288"/>
      <c r="K41" s="1288"/>
      <c r="L41" s="1288"/>
      <c r="M41" s="1288"/>
      <c r="N41" s="1288"/>
      <c r="O41" s="1288"/>
      <c r="P41" s="1289"/>
      <c r="Q41" s="3"/>
      <c r="R41" s="3"/>
      <c r="S41" s="3"/>
      <c r="T41" s="3"/>
      <c r="U41" s="3"/>
      <c r="V41" s="3"/>
      <c r="W41" s="3"/>
    </row>
    <row r="42" spans="1:23" x14ac:dyDescent="0.3">
      <c r="A42" s="3"/>
      <c r="B42" s="3"/>
      <c r="C42" s="3"/>
      <c r="D42" s="3"/>
      <c r="E42" s="3"/>
      <c r="F42" s="3"/>
      <c r="G42" s="3"/>
      <c r="H42" s="3"/>
      <c r="I42" s="3"/>
      <c r="J42" s="3"/>
      <c r="K42" s="3"/>
      <c r="L42" s="3"/>
      <c r="M42" s="3"/>
      <c r="N42" s="3"/>
      <c r="O42" s="3"/>
      <c r="P42" s="3"/>
      <c r="Q42" s="3"/>
      <c r="R42" s="3"/>
      <c r="S42" s="3"/>
      <c r="T42" s="3"/>
      <c r="U42" s="3"/>
      <c r="V42" s="3"/>
      <c r="W42" s="3"/>
    </row>
    <row r="43" spans="1:23" x14ac:dyDescent="0.3">
      <c r="A43" s="3"/>
      <c r="B43" s="3"/>
      <c r="C43" s="3"/>
      <c r="D43" s="3"/>
      <c r="E43" s="3"/>
      <c r="F43" s="3"/>
      <c r="G43" s="3"/>
      <c r="H43" s="3"/>
      <c r="I43" s="3"/>
      <c r="J43" s="3"/>
      <c r="K43" s="3"/>
      <c r="L43" s="3"/>
      <c r="M43" s="3"/>
      <c r="N43" s="3"/>
      <c r="O43" s="3"/>
      <c r="P43" s="3"/>
      <c r="Q43" s="3"/>
      <c r="R43" s="3"/>
      <c r="S43" s="3"/>
      <c r="T43" s="3"/>
      <c r="U43" s="3"/>
      <c r="V43" s="3"/>
      <c r="W43" s="3"/>
    </row>
    <row r="44" spans="1:23" x14ac:dyDescent="0.3">
      <c r="A44" s="3"/>
      <c r="B44" s="3"/>
      <c r="C44" s="3"/>
      <c r="D44" s="3"/>
      <c r="E44" s="3"/>
      <c r="F44" s="3"/>
      <c r="G44" s="3"/>
      <c r="H44" s="3"/>
      <c r="I44" s="3"/>
      <c r="J44" s="3"/>
      <c r="K44" s="3"/>
      <c r="L44" s="3"/>
      <c r="M44" s="3"/>
      <c r="N44" s="3"/>
      <c r="O44" s="3"/>
      <c r="P44" s="3"/>
      <c r="Q44" s="3"/>
      <c r="R44" s="3"/>
      <c r="S44" s="3"/>
      <c r="T44" s="3"/>
      <c r="U44" s="3"/>
      <c r="V44" s="3"/>
      <c r="W44" s="3"/>
    </row>
    <row r="45" spans="1:23" x14ac:dyDescent="0.3">
      <c r="A45" s="3"/>
      <c r="B45" s="3"/>
      <c r="C45" s="3"/>
      <c r="D45" s="3"/>
      <c r="E45" s="3"/>
      <c r="F45" s="3"/>
      <c r="G45" s="3"/>
      <c r="H45" s="3"/>
      <c r="I45" s="3"/>
      <c r="J45" s="3"/>
      <c r="K45" s="3"/>
      <c r="L45" s="3"/>
      <c r="M45" s="3"/>
      <c r="N45" s="3"/>
      <c r="O45" s="3"/>
      <c r="P45" s="3"/>
      <c r="Q45" s="3"/>
      <c r="R45" s="3"/>
      <c r="S45" s="3"/>
      <c r="T45" s="3"/>
      <c r="U45" s="3"/>
      <c r="V45" s="3"/>
      <c r="W45" s="3"/>
    </row>
    <row r="46" spans="1:23" x14ac:dyDescent="0.3">
      <c r="A46" s="3"/>
      <c r="B46" s="3"/>
      <c r="C46" s="3"/>
      <c r="D46" s="3"/>
      <c r="E46" s="3"/>
      <c r="F46" s="3"/>
      <c r="G46" s="3"/>
      <c r="H46" s="3"/>
      <c r="I46" s="3"/>
      <c r="J46" s="3"/>
      <c r="K46" s="3"/>
      <c r="L46" s="3"/>
      <c r="M46" s="3"/>
      <c r="N46" s="3"/>
      <c r="O46" s="3"/>
      <c r="P46" s="3"/>
      <c r="Q46" s="3"/>
      <c r="R46" s="3"/>
      <c r="S46" s="3"/>
      <c r="T46" s="3"/>
      <c r="U46" s="3"/>
      <c r="V46" s="3"/>
      <c r="W46" s="3"/>
    </row>
    <row r="47" spans="1:23" x14ac:dyDescent="0.3">
      <c r="A47" s="3"/>
      <c r="B47" s="3"/>
      <c r="C47" s="3"/>
      <c r="D47" s="3"/>
      <c r="E47" s="3"/>
      <c r="F47" s="3"/>
      <c r="G47" s="3"/>
      <c r="H47" s="3"/>
      <c r="I47" s="3"/>
      <c r="J47" s="3"/>
      <c r="K47" s="3"/>
      <c r="L47" s="3"/>
      <c r="M47" s="3"/>
      <c r="N47" s="3"/>
      <c r="O47" s="3"/>
      <c r="P47" s="3"/>
      <c r="Q47" s="3"/>
      <c r="R47" s="3"/>
      <c r="S47" s="3"/>
      <c r="T47" s="3"/>
      <c r="U47" s="3"/>
      <c r="V47" s="3"/>
      <c r="W47" s="3"/>
    </row>
    <row r="48" spans="1:23" x14ac:dyDescent="0.3">
      <c r="A48" s="3"/>
      <c r="B48" s="3"/>
      <c r="C48" s="3"/>
      <c r="D48" s="3"/>
      <c r="E48" s="3"/>
      <c r="F48" s="3"/>
      <c r="G48" s="3"/>
      <c r="H48" s="3"/>
      <c r="I48" s="3"/>
      <c r="J48" s="3"/>
      <c r="K48" s="3"/>
      <c r="L48" s="3"/>
      <c r="M48" s="3"/>
      <c r="N48" s="3"/>
      <c r="O48" s="3"/>
      <c r="P48" s="3"/>
      <c r="Q48" s="3"/>
      <c r="R48" s="3"/>
      <c r="S48" s="3"/>
      <c r="T48" s="3"/>
      <c r="U48" s="3"/>
      <c r="V48" s="3"/>
      <c r="W48" s="3"/>
    </row>
    <row r="49" spans="1:23" x14ac:dyDescent="0.3">
      <c r="A49" s="3"/>
      <c r="B49" s="3"/>
      <c r="C49" s="3"/>
      <c r="D49" s="3"/>
      <c r="E49" s="3"/>
      <c r="F49" s="3"/>
      <c r="G49" s="3"/>
      <c r="H49" s="3"/>
      <c r="I49" s="3"/>
      <c r="J49" s="3"/>
      <c r="K49" s="3"/>
      <c r="L49" s="3"/>
      <c r="M49" s="3"/>
      <c r="N49" s="3"/>
      <c r="O49" s="3"/>
      <c r="P49" s="3"/>
      <c r="Q49" s="3"/>
      <c r="R49" s="3"/>
      <c r="S49" s="3"/>
      <c r="T49" s="3"/>
      <c r="U49" s="3"/>
      <c r="V49" s="3"/>
      <c r="W49" s="3"/>
    </row>
    <row r="50" spans="1:23" x14ac:dyDescent="0.3">
      <c r="A50" s="3"/>
      <c r="B50" s="3"/>
      <c r="C50" s="3"/>
      <c r="D50" s="3"/>
      <c r="E50" s="3"/>
      <c r="F50" s="3"/>
      <c r="G50" s="3"/>
      <c r="H50" s="3"/>
      <c r="I50" s="3"/>
      <c r="J50" s="3"/>
      <c r="K50" s="3"/>
      <c r="L50" s="3"/>
      <c r="M50" s="3"/>
      <c r="N50" s="3"/>
      <c r="O50" s="3"/>
      <c r="P50" s="3"/>
      <c r="Q50" s="3"/>
      <c r="R50" s="3"/>
      <c r="S50" s="3"/>
      <c r="T50" s="3"/>
      <c r="U50" s="3"/>
      <c r="V50" s="3"/>
      <c r="W50" s="3"/>
    </row>
    <row r="51" spans="1:23" x14ac:dyDescent="0.3">
      <c r="A51" s="3"/>
      <c r="B51" s="3"/>
      <c r="C51" s="3"/>
      <c r="D51" s="3"/>
      <c r="E51" s="3"/>
      <c r="F51" s="3"/>
      <c r="G51" s="3"/>
      <c r="H51" s="3"/>
      <c r="I51" s="3"/>
      <c r="J51" s="3"/>
      <c r="K51" s="3"/>
      <c r="L51" s="3"/>
      <c r="M51" s="3"/>
      <c r="N51" s="3"/>
      <c r="O51" s="3"/>
      <c r="P51" s="3"/>
      <c r="Q51" s="3"/>
      <c r="R51" s="3"/>
      <c r="S51" s="3"/>
      <c r="T51" s="3"/>
      <c r="U51" s="3"/>
      <c r="V51" s="3"/>
      <c r="W51" s="3"/>
    </row>
    <row r="52" spans="1:23" x14ac:dyDescent="0.3">
      <c r="A52" s="3"/>
      <c r="B52" s="3"/>
      <c r="C52" s="3"/>
      <c r="D52" s="3"/>
      <c r="E52" s="3"/>
      <c r="F52" s="3"/>
      <c r="G52" s="3"/>
      <c r="H52" s="3"/>
      <c r="I52" s="3"/>
      <c r="J52" s="3"/>
      <c r="K52" s="3"/>
      <c r="L52" s="3"/>
      <c r="M52" s="3"/>
      <c r="N52" s="3"/>
      <c r="O52" s="3"/>
      <c r="P52" s="3"/>
      <c r="Q52" s="3"/>
      <c r="R52" s="3"/>
      <c r="S52" s="3"/>
      <c r="T52" s="3"/>
      <c r="U52" s="3"/>
      <c r="V52" s="3"/>
      <c r="W52" s="3"/>
    </row>
    <row r="53" spans="1:23" x14ac:dyDescent="0.3">
      <c r="A53" s="3"/>
      <c r="B53" s="3"/>
      <c r="C53" s="3"/>
      <c r="D53" s="3"/>
      <c r="E53" s="3"/>
      <c r="F53" s="3"/>
      <c r="G53" s="3"/>
      <c r="H53" s="3"/>
      <c r="I53" s="3"/>
      <c r="J53" s="3"/>
      <c r="K53" s="3"/>
      <c r="L53" s="3"/>
      <c r="M53" s="3"/>
      <c r="N53" s="3"/>
      <c r="O53" s="3"/>
      <c r="P53" s="3"/>
      <c r="Q53" s="3"/>
      <c r="R53" s="3"/>
      <c r="S53" s="3"/>
      <c r="T53" s="3"/>
      <c r="U53" s="3"/>
      <c r="V53" s="3"/>
      <c r="W53" s="3"/>
    </row>
    <row r="54" spans="1:23" x14ac:dyDescent="0.3">
      <c r="A54" s="3"/>
      <c r="B54" s="3"/>
      <c r="C54" s="3"/>
      <c r="D54" s="3"/>
      <c r="E54" s="3"/>
      <c r="F54" s="3"/>
      <c r="G54" s="3"/>
      <c r="H54" s="3"/>
      <c r="I54" s="3"/>
      <c r="J54" s="3"/>
      <c r="K54" s="3"/>
      <c r="L54" s="3"/>
      <c r="M54" s="3"/>
      <c r="N54" s="3"/>
      <c r="O54" s="3"/>
      <c r="P54" s="3"/>
      <c r="Q54" s="3"/>
      <c r="R54" s="3"/>
      <c r="S54" s="3"/>
      <c r="T54" s="3"/>
      <c r="U54" s="3"/>
      <c r="V54" s="3"/>
      <c r="W54" s="3"/>
    </row>
    <row r="55" spans="1:23" x14ac:dyDescent="0.3">
      <c r="A55" s="3"/>
      <c r="B55" s="3"/>
      <c r="C55" s="3"/>
      <c r="D55" s="3"/>
      <c r="E55" s="3"/>
      <c r="F55" s="3"/>
      <c r="G55" s="3"/>
      <c r="H55" s="3"/>
      <c r="I55" s="3"/>
      <c r="J55" s="3"/>
      <c r="K55" s="3"/>
      <c r="L55" s="3"/>
      <c r="M55" s="3"/>
      <c r="N55" s="3"/>
      <c r="O55" s="3"/>
      <c r="P55" s="3"/>
      <c r="Q55" s="3"/>
      <c r="R55" s="3"/>
      <c r="S55" s="3"/>
      <c r="T55" s="3"/>
      <c r="U55" s="3"/>
      <c r="V55" s="3"/>
      <c r="W55" s="3"/>
    </row>
    <row r="56" spans="1:23" x14ac:dyDescent="0.3">
      <c r="A56" s="3"/>
      <c r="B56" s="3"/>
      <c r="C56" s="3"/>
      <c r="D56" s="3"/>
      <c r="E56" s="3"/>
      <c r="F56" s="3"/>
      <c r="G56" s="3"/>
      <c r="H56" s="3"/>
      <c r="I56" s="3"/>
      <c r="J56" s="3"/>
      <c r="K56" s="3"/>
      <c r="L56" s="3"/>
      <c r="M56" s="3"/>
      <c r="N56" s="3"/>
      <c r="O56" s="3"/>
      <c r="P56" s="3"/>
      <c r="Q56" s="3"/>
      <c r="R56" s="3"/>
      <c r="S56" s="3"/>
      <c r="T56" s="3"/>
      <c r="U56" s="3"/>
      <c r="V56" s="3"/>
      <c r="W56" s="3"/>
    </row>
    <row r="57" spans="1:23" x14ac:dyDescent="0.3">
      <c r="A57" s="3"/>
      <c r="B57" s="3"/>
      <c r="C57" s="3"/>
      <c r="D57" s="3"/>
      <c r="E57" s="3"/>
      <c r="F57" s="3"/>
      <c r="G57" s="3"/>
      <c r="H57" s="3"/>
      <c r="I57" s="3"/>
      <c r="J57" s="3"/>
      <c r="K57" s="3"/>
      <c r="L57" s="3"/>
      <c r="M57" s="3"/>
      <c r="N57" s="3"/>
      <c r="O57" s="3"/>
      <c r="P57" s="3"/>
      <c r="Q57" s="3"/>
      <c r="R57" s="3"/>
      <c r="S57" s="3"/>
      <c r="T57" s="3"/>
      <c r="U57" s="3"/>
      <c r="V57" s="3"/>
      <c r="W57" s="3"/>
    </row>
  </sheetData>
  <mergeCells count="3">
    <mergeCell ref="F8:K8"/>
    <mergeCell ref="C22:P41"/>
    <mergeCell ref="M13:P20"/>
  </mergeCells>
  <conditionalFormatting sqref="C20:H20">
    <cfRule type="expression" dxfId="30" priority="69">
      <formula>AND(FP.RealTimeToggle="ON",MO.RealTime="ON")</formula>
    </cfRule>
  </conditionalFormatting>
  <dataValidations count="3">
    <dataValidation type="list" allowBlank="1" showInputMessage="1" showErrorMessage="1" sqref="H18" xr:uid="{00000000-0002-0000-0000-000000000000}">
      <formula1>"ON, OFF"</formula1>
    </dataValidation>
    <dataValidation allowBlank="1" showInputMessage="1" showErrorMessage="1" sqref="H16" xr:uid="{00000000-0002-0000-0000-000001000000}"/>
    <dataValidation type="list" allowBlank="1" showInputMessage="1" showErrorMessage="1" sqref="H15" xr:uid="{00000000-0002-0000-0000-000002000000}">
      <formula1>"Bloomberg, Capital IQ, FactSet, Refinitiv"</formula1>
    </dataValidation>
  </dataValidations>
  <hyperlinks>
    <hyperlink ref="M7" r:id="rId1" tooltip="Click to directly email Source support" xr:uid="{00000000-0004-0000-0000-000000000000}"/>
    <hyperlink ref="M7:O7" r:id="rId2" tooltip="Click to directly email Source support" display="person@example.com" xr:uid="{00000000-0004-0000-0000-000001000000}"/>
  </hyperlinks>
  <pageMargins left="0.7" right="0.7" top="0.75" bottom="0.75" header="0.3" footer="0.3"/>
  <pageSetup scale="45"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8DDD1-C6B1-4F10-8ADB-5C6E3988CA67}">
  <sheetPr codeName="Sheet2">
    <pageSetUpPr fitToPage="1"/>
  </sheetPr>
  <dimension ref="A1:CL1194"/>
  <sheetViews>
    <sheetView tabSelected="1" zoomScale="85" zoomScaleNormal="85" workbookViewId="0">
      <pane xSplit="2" ySplit="5" topLeftCell="P29" activePane="bottomRight" state="frozenSplit"/>
      <selection pane="topRight" activeCell="C1" sqref="C1"/>
      <selection pane="bottomLeft" activeCell="A6" sqref="A6"/>
      <selection pane="bottomRight" activeCell="BQ7" sqref="BQ7"/>
    </sheetView>
  </sheetViews>
  <sheetFormatPr defaultColWidth="9.33203125" defaultRowHeight="14.4" outlineLevelRow="3" outlineLevelCol="1" x14ac:dyDescent="0.3"/>
  <cols>
    <col min="1" max="1" width="50.6640625" customWidth="1"/>
    <col min="2" max="2" width="10.6640625" customWidth="1"/>
    <col min="3" max="6" width="10.5546875" customWidth="1"/>
    <col min="7" max="10" width="10.5546875" hidden="1" customWidth="1" outlineLevel="1"/>
    <col min="11" max="11" width="10.5546875" customWidth="1" collapsed="1"/>
    <col min="12" max="15" width="10.5546875" hidden="1" customWidth="1" outlineLevel="1"/>
    <col min="16" max="16" width="10.5546875" customWidth="1" collapsed="1"/>
    <col min="17" max="20" width="10.5546875" hidden="1" customWidth="1" outlineLevel="1"/>
    <col min="21" max="21" width="10.5546875" customWidth="1" collapsed="1"/>
    <col min="22" max="25" width="10.5546875" hidden="1" customWidth="1" outlineLevel="1"/>
    <col min="26" max="26" width="10.5546875" customWidth="1" collapsed="1"/>
    <col min="27" max="30" width="10.5546875" hidden="1" customWidth="1" outlineLevel="1"/>
    <col min="31" max="31" width="10.5546875" customWidth="1" collapsed="1"/>
    <col min="32" max="35" width="10.5546875" hidden="1" customWidth="1" outlineLevel="1"/>
    <col min="36" max="36" width="10.5546875" customWidth="1" collapsed="1"/>
    <col min="37" max="40" width="10.5546875" hidden="1" customWidth="1" outlineLevel="1"/>
    <col min="41" max="41" width="10.5546875" customWidth="1" collapsed="1"/>
    <col min="42" max="45" width="10.5546875" hidden="1" customWidth="1" outlineLevel="1"/>
    <col min="46" max="46" width="10.5546875" customWidth="1" collapsed="1"/>
    <col min="47" max="50" width="10.5546875" hidden="1" customWidth="1" outlineLevel="1"/>
    <col min="51" max="51" width="10.5546875" customWidth="1" collapsed="1"/>
    <col min="52" max="55" width="10.5546875" hidden="1" customWidth="1" outlineLevel="1"/>
    <col min="56" max="56" width="10.5546875" customWidth="1" collapsed="1"/>
    <col min="57" max="60" width="10.5546875" hidden="1" customWidth="1" outlineLevel="1"/>
    <col min="61" max="61" width="10.5546875" customWidth="1" collapsed="1"/>
    <col min="62" max="65" width="10.5546875" hidden="1" customWidth="1" outlineLevel="1"/>
    <col min="66" max="66" width="10.5546875" customWidth="1" collapsed="1"/>
    <col min="67" max="70" width="10.5546875" customWidth="1" outlineLevel="1"/>
    <col min="71" max="71" width="10.5546875" customWidth="1"/>
    <col min="72" max="75" width="10.5546875" customWidth="1" outlineLevel="1"/>
    <col min="76" max="76" width="10.5546875" customWidth="1"/>
    <col min="77" max="80" width="10.5546875" customWidth="1" outlineLevel="1"/>
    <col min="81" max="81" width="10.5546875" customWidth="1"/>
    <col min="82" max="85" width="10.5546875" customWidth="1" outlineLevel="1"/>
    <col min="86" max="89" width="10.5546875" customWidth="1"/>
    <col min="90" max="90" width="9.6640625" customWidth="1"/>
  </cols>
  <sheetData>
    <row r="1" spans="1:90" ht="33.6" x14ac:dyDescent="0.65">
      <c r="A1" s="727" t="s">
        <v>10</v>
      </c>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3"/>
      <c r="BV1" s="93"/>
      <c r="BW1" s="93"/>
      <c r="BX1" s="93"/>
      <c r="BY1" s="522"/>
      <c r="BZ1" s="93"/>
      <c r="CA1" s="93"/>
      <c r="CB1" s="93"/>
      <c r="CC1" s="93"/>
      <c r="CD1" s="93"/>
      <c r="CE1" s="93"/>
      <c r="CF1" s="93"/>
      <c r="CG1" s="93"/>
      <c r="CH1" s="93"/>
      <c r="CI1" s="93"/>
      <c r="CJ1" s="93"/>
      <c r="CK1" s="93"/>
      <c r="CL1" s="155"/>
    </row>
    <row r="2" spans="1:90" x14ac:dyDescent="0.3">
      <c r="A2" s="589" t="str">
        <f>CHOOSE(MO.DataSourceIndex,MO.Ticker.Bloomberg,MO.Ticker.CapIQ,MO.Ticker.FactSet,MO.Ticker.Thomson)</f>
        <v>Ticker0027 US</v>
      </c>
      <c r="B2" s="595"/>
      <c r="C2" s="290">
        <f>EOMONTH(C4,-12)</f>
        <v>39478</v>
      </c>
      <c r="D2" s="596"/>
      <c r="E2" s="596"/>
      <c r="F2" s="596"/>
      <c r="G2" s="596"/>
      <c r="H2" s="596"/>
      <c r="I2" s="596"/>
      <c r="J2" s="596"/>
      <c r="K2" s="596"/>
      <c r="L2" s="596"/>
      <c r="M2" s="596"/>
      <c r="N2" s="596"/>
      <c r="O2" s="596"/>
      <c r="P2" s="596"/>
      <c r="Q2" s="596"/>
      <c r="R2" s="596"/>
      <c r="S2" s="596"/>
      <c r="T2" s="596"/>
      <c r="U2" s="596"/>
      <c r="V2" s="596"/>
      <c r="W2" s="596"/>
      <c r="X2" s="596"/>
      <c r="Y2" s="596"/>
      <c r="Z2" s="596"/>
      <c r="AA2" s="791" t="s">
        <v>11</v>
      </c>
      <c r="AB2" s="791" t="s">
        <v>11</v>
      </c>
      <c r="AC2" s="791" t="s">
        <v>11</v>
      </c>
      <c r="AD2" s="791" t="s">
        <v>11</v>
      </c>
      <c r="AE2" s="791" t="s">
        <v>11</v>
      </c>
      <c r="AF2" s="596"/>
      <c r="AG2" s="596"/>
      <c r="AH2" s="596"/>
      <c r="AI2" s="596"/>
      <c r="AJ2" s="596"/>
      <c r="AK2" s="596"/>
      <c r="AL2" s="596"/>
      <c r="AM2" s="596"/>
      <c r="AN2" s="596"/>
      <c r="AO2" s="596"/>
      <c r="AP2" s="596"/>
      <c r="AQ2" s="596"/>
      <c r="AR2" s="596"/>
      <c r="AS2" s="596"/>
      <c r="AT2" s="596"/>
      <c r="AU2" s="596"/>
      <c r="AV2" s="596"/>
      <c r="AW2" s="596"/>
      <c r="AX2" s="596"/>
      <c r="AY2" s="596"/>
      <c r="AZ2" s="596"/>
      <c r="BA2" s="596"/>
      <c r="BB2" s="596"/>
      <c r="BC2" s="596"/>
      <c r="BD2" s="596"/>
      <c r="BE2" s="596"/>
      <c r="BF2" s="596"/>
      <c r="BG2" s="596"/>
      <c r="BH2" s="596"/>
      <c r="BI2" s="596"/>
      <c r="BJ2" s="596"/>
      <c r="BK2" s="596"/>
      <c r="BL2" s="596"/>
      <c r="BM2" s="596"/>
      <c r="BN2" s="596"/>
      <c r="BO2" s="596"/>
      <c r="BP2" s="596"/>
      <c r="BQ2" s="596"/>
      <c r="BR2" s="596"/>
      <c r="BS2" s="596"/>
      <c r="BT2" s="596"/>
      <c r="BU2" s="1019"/>
      <c r="BV2" s="596"/>
      <c r="BW2" s="596"/>
      <c r="BX2" s="596"/>
      <c r="BY2" s="630"/>
      <c r="BZ2" s="596"/>
      <c r="CA2" s="596"/>
      <c r="CB2" s="596"/>
      <c r="CC2" s="596"/>
      <c r="CD2" s="596"/>
      <c r="CE2" s="596"/>
      <c r="CF2" s="596"/>
      <c r="CG2" s="596"/>
      <c r="CH2" s="596"/>
      <c r="CI2" s="596"/>
      <c r="CJ2" s="596"/>
      <c r="CK2" s="596"/>
      <c r="CL2" s="155"/>
    </row>
    <row r="3" spans="1:90" x14ac:dyDescent="0.3">
      <c r="A3" s="590" t="str">
        <f>HP.TradeCurrency</f>
        <v>USD</v>
      </c>
      <c r="B3" s="591">
        <f>IF(MO.RealTime="OFF",MO.LastPriceHardcoded,MO.LastPriceFormula)</f>
        <v>222.82</v>
      </c>
      <c r="C3" s="1104">
        <f>C4-C2</f>
        <v>360</v>
      </c>
      <c r="D3" s="1104">
        <f t="shared" ref="D3:J3" si="0">D4-C4</f>
        <v>371</v>
      </c>
      <c r="E3" s="1104">
        <f t="shared" si="0"/>
        <v>364</v>
      </c>
      <c r="F3" s="1104">
        <f t="shared" si="0"/>
        <v>364</v>
      </c>
      <c r="G3" s="291">
        <f t="shared" si="0"/>
        <v>91</v>
      </c>
      <c r="H3" s="291">
        <f t="shared" si="0"/>
        <v>91</v>
      </c>
      <c r="I3" s="291">
        <f t="shared" si="0"/>
        <v>91</v>
      </c>
      <c r="J3" s="291">
        <f t="shared" si="0"/>
        <v>91</v>
      </c>
      <c r="K3" s="1104">
        <f>K4-F4</f>
        <v>364</v>
      </c>
      <c r="L3" s="291">
        <f>L4-K4</f>
        <v>91</v>
      </c>
      <c r="M3" s="291">
        <f>M4-L4</f>
        <v>91</v>
      </c>
      <c r="N3" s="291">
        <f>N4-M4</f>
        <v>91</v>
      </c>
      <c r="O3" s="291">
        <f>O4-N4</f>
        <v>91</v>
      </c>
      <c r="P3" s="1104">
        <f>P4-K4</f>
        <v>364</v>
      </c>
      <c r="Q3" s="291">
        <f>Q4-P4</f>
        <v>91</v>
      </c>
      <c r="R3" s="291">
        <f>R4-Q4</f>
        <v>91</v>
      </c>
      <c r="S3" s="291">
        <f>S4-R4</f>
        <v>91</v>
      </c>
      <c r="T3" s="291">
        <f>T4-S4</f>
        <v>91</v>
      </c>
      <c r="U3" s="1104">
        <f>U4-P4</f>
        <v>364</v>
      </c>
      <c r="V3" s="291">
        <f>V4-U4</f>
        <v>91</v>
      </c>
      <c r="W3" s="291">
        <f>W4-V4</f>
        <v>91</v>
      </c>
      <c r="X3" s="291">
        <f>X4-W4</f>
        <v>91</v>
      </c>
      <c r="Y3" s="291">
        <f>Y4-X4</f>
        <v>98</v>
      </c>
      <c r="Z3" s="1104">
        <f>Z4-U4</f>
        <v>371</v>
      </c>
      <c r="AA3" s="291">
        <f>AA4-Z4</f>
        <v>91</v>
      </c>
      <c r="AB3" s="291">
        <f>AB4-AA4</f>
        <v>91</v>
      </c>
      <c r="AC3" s="70">
        <f>AC4-AB4</f>
        <v>91</v>
      </c>
      <c r="AD3" s="70">
        <f>AD4-AC4</f>
        <v>91</v>
      </c>
      <c r="AE3" s="1105">
        <f>AE4-Z4</f>
        <v>364</v>
      </c>
      <c r="AF3" s="70">
        <f>AF4-AE4</f>
        <v>91</v>
      </c>
      <c r="AG3" s="291">
        <f>AG4-AF4</f>
        <v>91</v>
      </c>
      <c r="AH3" s="291">
        <f>AH4-AG4</f>
        <v>91</v>
      </c>
      <c r="AI3" s="70">
        <f>AI4-AH4</f>
        <v>91</v>
      </c>
      <c r="AJ3" s="1105">
        <f>AJ4-AE4</f>
        <v>364</v>
      </c>
      <c r="AK3" s="291">
        <f>AK4-AJ4</f>
        <v>91</v>
      </c>
      <c r="AL3" s="291">
        <f>AL4-AK4</f>
        <v>91</v>
      </c>
      <c r="AM3" s="291">
        <f>AM4-AL4</f>
        <v>91</v>
      </c>
      <c r="AN3" s="70">
        <f>AN4-AM4</f>
        <v>91</v>
      </c>
      <c r="AO3" s="1105">
        <f>AO4-AJ4</f>
        <v>364</v>
      </c>
      <c r="AP3" s="291">
        <f>AP4-AO4</f>
        <v>91</v>
      </c>
      <c r="AQ3" s="291">
        <f>AQ4-AP4</f>
        <v>91</v>
      </c>
      <c r="AR3" s="291">
        <f>AR4-AQ4</f>
        <v>91</v>
      </c>
      <c r="AS3" s="70">
        <f>AS4-AR4</f>
        <v>91</v>
      </c>
      <c r="AT3" s="1105">
        <f>AT4-AO4</f>
        <v>364</v>
      </c>
      <c r="AU3" s="291">
        <f>AU4-AT4</f>
        <v>91</v>
      </c>
      <c r="AV3" s="291">
        <f>AV4-AU4</f>
        <v>91</v>
      </c>
      <c r="AW3" s="291">
        <f>AW4-AV4</f>
        <v>91</v>
      </c>
      <c r="AX3" s="70">
        <f>AX4-AW4</f>
        <v>98</v>
      </c>
      <c r="AY3" s="1105">
        <f>AY4-AT4</f>
        <v>371</v>
      </c>
      <c r="AZ3" s="291">
        <f>AZ4-AY4</f>
        <v>91</v>
      </c>
      <c r="BA3" s="291">
        <f>BA4-AZ4</f>
        <v>91</v>
      </c>
      <c r="BB3" s="291">
        <f>BB4-BA4</f>
        <v>91</v>
      </c>
      <c r="BC3" s="70">
        <f>BC4-BB4</f>
        <v>91</v>
      </c>
      <c r="BD3" s="1105">
        <f>BD4-AY4</f>
        <v>364</v>
      </c>
      <c r="BE3" s="291">
        <f>BE4-BD4</f>
        <v>91</v>
      </c>
      <c r="BF3" s="291">
        <f>BF4-BE4</f>
        <v>91</v>
      </c>
      <c r="BG3" s="291">
        <f>BG4-BF4</f>
        <v>91</v>
      </c>
      <c r="BH3" s="70">
        <f>BH4-BG4</f>
        <v>91</v>
      </c>
      <c r="BI3" s="1105">
        <f>BI4-BD4</f>
        <v>364</v>
      </c>
      <c r="BJ3" s="291">
        <f>BJ4-BI4</f>
        <v>91</v>
      </c>
      <c r="BK3" s="291">
        <f>BK4-BJ4</f>
        <v>91</v>
      </c>
      <c r="BL3" s="291">
        <f>BL4-BK4</f>
        <v>91</v>
      </c>
      <c r="BM3" s="70">
        <f>BM4-BL4</f>
        <v>91</v>
      </c>
      <c r="BN3" s="1105">
        <f>BN4-BI4</f>
        <v>364</v>
      </c>
      <c r="BO3" s="291">
        <f>BO4-BN4</f>
        <v>91</v>
      </c>
      <c r="BP3" s="291">
        <f>BP4-BO4</f>
        <v>91</v>
      </c>
      <c r="BQ3" s="291">
        <f>BQ4-BP4</f>
        <v>91</v>
      </c>
      <c r="BR3" s="70">
        <f>BR4-BQ4</f>
        <v>91</v>
      </c>
      <c r="BS3" s="1105">
        <f>BS4-BN4</f>
        <v>364</v>
      </c>
      <c r="BT3" s="291">
        <f>BT4-BS4</f>
        <v>91</v>
      </c>
      <c r="BU3" s="291">
        <f>BU4-BT4</f>
        <v>91</v>
      </c>
      <c r="BV3" s="291">
        <f>BV4-BU4</f>
        <v>91</v>
      </c>
      <c r="BW3" s="70">
        <f>BW4-BV4</f>
        <v>91</v>
      </c>
      <c r="BX3" s="1105">
        <f>BX4-BS4</f>
        <v>364</v>
      </c>
      <c r="BY3" s="888">
        <f>BY4-BX4</f>
        <v>91</v>
      </c>
      <c r="BZ3" s="70">
        <f>BZ4-BY4</f>
        <v>91</v>
      </c>
      <c r="CA3" s="70">
        <f>CA4-BZ4</f>
        <v>92</v>
      </c>
      <c r="CB3" s="70">
        <f>CB4-CA4</f>
        <v>97</v>
      </c>
      <c r="CC3" s="1105">
        <f>CC4-BX4</f>
        <v>371</v>
      </c>
      <c r="CD3" s="70">
        <f>CD4-CC4</f>
        <v>89</v>
      </c>
      <c r="CE3" s="70">
        <f>CE4-CD4</f>
        <v>91</v>
      </c>
      <c r="CF3" s="70">
        <f>CF4-CE4</f>
        <v>92</v>
      </c>
      <c r="CG3" s="70">
        <f>CG4-CF4</f>
        <v>93</v>
      </c>
      <c r="CH3" s="1105">
        <f>CH4-CC4</f>
        <v>365</v>
      </c>
      <c r="CI3" s="1105">
        <f>CI4-CH4</f>
        <v>366</v>
      </c>
      <c r="CJ3" s="1105">
        <f>CJ4-CI4</f>
        <v>365</v>
      </c>
      <c r="CK3" s="1105">
        <f>CK4-CJ4</f>
        <v>365</v>
      </c>
      <c r="CL3" s="155"/>
    </row>
    <row r="4" spans="1:90" x14ac:dyDescent="0.3">
      <c r="A4" s="592" t="str">
        <f>FP.DataSourceName</f>
        <v>Bloomberg</v>
      </c>
      <c r="B4" s="328" t="str">
        <f>IF(AND(MO.RealTimeStockPriceToggle,MO.LastPriceFormula&lt;&gt;"N/A"),"ON","OFF")</f>
        <v>OFF</v>
      </c>
      <c r="C4" s="1106">
        <v>39838</v>
      </c>
      <c r="D4" s="1107">
        <v>40209</v>
      </c>
      <c r="E4" s="1107">
        <v>40573</v>
      </c>
      <c r="F4" s="1107">
        <v>40937</v>
      </c>
      <c r="G4" s="1053">
        <v>41028</v>
      </c>
      <c r="H4" s="1053">
        <v>41119</v>
      </c>
      <c r="I4" s="1053">
        <v>41210</v>
      </c>
      <c r="J4" s="71">
        <f>K4</f>
        <v>41301</v>
      </c>
      <c r="K4" s="1107">
        <v>41301</v>
      </c>
      <c r="L4" s="1053">
        <v>41392</v>
      </c>
      <c r="M4" s="1053">
        <v>41483</v>
      </c>
      <c r="N4" s="1053">
        <v>41574</v>
      </c>
      <c r="O4" s="71">
        <f>P4</f>
        <v>41665</v>
      </c>
      <c r="P4" s="1107">
        <v>41665</v>
      </c>
      <c r="Q4" s="1053">
        <v>41756</v>
      </c>
      <c r="R4" s="1053">
        <v>41847</v>
      </c>
      <c r="S4" s="1053">
        <v>41938</v>
      </c>
      <c r="T4" s="71">
        <f>U4</f>
        <v>42029</v>
      </c>
      <c r="U4" s="1107">
        <v>42029</v>
      </c>
      <c r="V4" s="1053">
        <v>42120</v>
      </c>
      <c r="W4" s="1053">
        <v>42211</v>
      </c>
      <c r="X4" s="1053">
        <v>42302</v>
      </c>
      <c r="Y4" s="71">
        <f>Z4</f>
        <v>42400</v>
      </c>
      <c r="Z4" s="1107">
        <v>42400</v>
      </c>
      <c r="AA4" s="1053">
        <v>42491</v>
      </c>
      <c r="AB4" s="1053">
        <v>42582</v>
      </c>
      <c r="AC4" s="1053">
        <v>42673</v>
      </c>
      <c r="AD4" s="71">
        <f>AE4</f>
        <v>42764</v>
      </c>
      <c r="AE4" s="1107">
        <v>42764</v>
      </c>
      <c r="AF4" s="1053">
        <v>42855</v>
      </c>
      <c r="AG4" s="1053">
        <v>42946</v>
      </c>
      <c r="AH4" s="1053">
        <v>43037</v>
      </c>
      <c r="AI4" s="71">
        <f>AJ4</f>
        <v>43128</v>
      </c>
      <c r="AJ4" s="1107">
        <v>43128</v>
      </c>
      <c r="AK4" s="1053">
        <v>43219</v>
      </c>
      <c r="AL4" s="1053">
        <v>43310</v>
      </c>
      <c r="AM4" s="1053">
        <v>43401</v>
      </c>
      <c r="AN4" s="71">
        <f>AO4</f>
        <v>43492</v>
      </c>
      <c r="AO4" s="1107">
        <v>43492</v>
      </c>
      <c r="AP4" s="1053">
        <v>43583</v>
      </c>
      <c r="AQ4" s="1053">
        <v>43674</v>
      </c>
      <c r="AR4" s="1053">
        <v>43765</v>
      </c>
      <c r="AS4" s="71">
        <f>AT4</f>
        <v>43856</v>
      </c>
      <c r="AT4" s="1107">
        <v>43856</v>
      </c>
      <c r="AU4" s="1053">
        <v>43947</v>
      </c>
      <c r="AV4" s="1053">
        <v>44038</v>
      </c>
      <c r="AW4" s="1053">
        <v>44129</v>
      </c>
      <c r="AX4" s="71">
        <f>AY4</f>
        <v>44227</v>
      </c>
      <c r="AY4" s="1107">
        <v>44227</v>
      </c>
      <c r="AZ4" s="1053">
        <v>44318</v>
      </c>
      <c r="BA4" s="1053">
        <v>44409</v>
      </c>
      <c r="BB4" s="1053">
        <v>44500</v>
      </c>
      <c r="BC4" s="71">
        <f>BD4</f>
        <v>44591</v>
      </c>
      <c r="BD4" s="1107">
        <v>44591</v>
      </c>
      <c r="BE4" s="1053">
        <v>44682</v>
      </c>
      <c r="BF4" s="1053">
        <v>44773</v>
      </c>
      <c r="BG4" s="1053">
        <v>44864</v>
      </c>
      <c r="BH4" s="71">
        <f>BI4</f>
        <v>44955</v>
      </c>
      <c r="BI4" s="1107">
        <v>44955</v>
      </c>
      <c r="BJ4" s="1053">
        <v>45046</v>
      </c>
      <c r="BK4" s="1053">
        <v>45137</v>
      </c>
      <c r="BL4" s="1053">
        <v>45228</v>
      </c>
      <c r="BM4" s="71">
        <f>BN4</f>
        <v>45319</v>
      </c>
      <c r="BN4" s="1107">
        <v>45319</v>
      </c>
      <c r="BO4" s="1053">
        <v>45410</v>
      </c>
      <c r="BP4" s="1053">
        <v>45501</v>
      </c>
      <c r="BQ4" s="1053">
        <v>45592</v>
      </c>
      <c r="BR4" s="71">
        <f>BS4</f>
        <v>45683</v>
      </c>
      <c r="BS4" s="1107">
        <v>45683</v>
      </c>
      <c r="BT4" s="1053">
        <v>45774</v>
      </c>
      <c r="BU4" s="1053">
        <v>45865</v>
      </c>
      <c r="BV4" s="1053">
        <v>45956</v>
      </c>
      <c r="BW4" s="71">
        <f>BX4</f>
        <v>46047</v>
      </c>
      <c r="BX4" s="1107">
        <v>46047</v>
      </c>
      <c r="BY4" s="1054">
        <v>46138</v>
      </c>
      <c r="BZ4" s="71">
        <f>+EDATE(BY4,3)</f>
        <v>46229</v>
      </c>
      <c r="CA4" s="71">
        <f>+EDATE(BZ4,3)</f>
        <v>46321</v>
      </c>
      <c r="CB4" s="71">
        <f>DATE(YEAR(CA4)+1,1,31)</f>
        <v>46418</v>
      </c>
      <c r="CC4" s="1108">
        <f>CB4</f>
        <v>46418</v>
      </c>
      <c r="CD4" s="71">
        <f>+EDATE(CC4,3)</f>
        <v>46507</v>
      </c>
      <c r="CE4" s="71">
        <f>+EDATE(CD4,3)</f>
        <v>46598</v>
      </c>
      <c r="CF4" s="71">
        <f>+EDATE(CE4,3)</f>
        <v>46690</v>
      </c>
      <c r="CG4" s="71">
        <f>DATE(YEAR(CF4)+1,1,31)</f>
        <v>46783</v>
      </c>
      <c r="CH4" s="1108">
        <f>CG4</f>
        <v>46783</v>
      </c>
      <c r="CI4" s="1108">
        <f>EOMONTH(CH4,12)</f>
        <v>47149</v>
      </c>
      <c r="CJ4" s="1108">
        <f>EOMONTH(CI4,12)</f>
        <v>47514</v>
      </c>
      <c r="CK4" s="1108">
        <f>EOMONTH(CJ4,12)</f>
        <v>47879</v>
      </c>
      <c r="CL4" s="155"/>
    </row>
    <row r="5" spans="1:90" x14ac:dyDescent="0.3">
      <c r="A5" s="74" t="str">
        <f>MO.ReportCurrency</f>
        <v>USD</v>
      </c>
      <c r="B5" s="597"/>
      <c r="C5" s="1109" t="s">
        <v>13</v>
      </c>
      <c r="D5" s="1110" t="str">
        <f>CONCATENATE("FY",RIGHT(C5,4)+1)</f>
        <v>FY2010</v>
      </c>
      <c r="E5" s="1110" t="str">
        <f>CONCATENATE("FY",RIGHT(D5,4)+1)</f>
        <v>FY2011</v>
      </c>
      <c r="F5" s="1110" t="str">
        <f>CONCATENATE("FY",RIGHT(E5,4)+1)</f>
        <v>FY2012</v>
      </c>
      <c r="G5" s="47" t="str">
        <f>CONCATENATE("Q1","-",RIGHT(F5,4)+1)</f>
        <v>Q1-2013</v>
      </c>
      <c r="H5" s="47" t="str">
        <f>CONCATENATE("Q2","-",RIGHT(G5,4))</f>
        <v>Q2-2013</v>
      </c>
      <c r="I5" s="47" t="str">
        <f>CONCATENATE("Q3","-",RIGHT(H5,4))</f>
        <v>Q3-2013</v>
      </c>
      <c r="J5" s="47" t="str">
        <f>CONCATENATE("Q4","-",RIGHT(I5,4))</f>
        <v>Q4-2013</v>
      </c>
      <c r="K5" s="1110" t="str">
        <f>CONCATENATE("FY",RIGHT(F5,4)+1)</f>
        <v>FY2013</v>
      </c>
      <c r="L5" s="47" t="str">
        <f>CONCATENATE("Q1","-",RIGHT(K5,4)+1)</f>
        <v>Q1-2014</v>
      </c>
      <c r="M5" s="47" t="str">
        <f>CONCATENATE("Q2","-",RIGHT(L5,4))</f>
        <v>Q2-2014</v>
      </c>
      <c r="N5" s="47" t="str">
        <f>CONCATENATE("Q3","-",RIGHT(M5,4))</f>
        <v>Q3-2014</v>
      </c>
      <c r="O5" s="47" t="str">
        <f>CONCATENATE("Q4","-",RIGHT(N5,4))</f>
        <v>Q4-2014</v>
      </c>
      <c r="P5" s="1110" t="str">
        <f>CONCATENATE("FY",RIGHT(K5,4)+1)</f>
        <v>FY2014</v>
      </c>
      <c r="Q5" s="47" t="str">
        <f>CONCATENATE("Q1","-",RIGHT(P5,4)+1)</f>
        <v>Q1-2015</v>
      </c>
      <c r="R5" s="47" t="str">
        <f>CONCATENATE("Q2","-",RIGHT(Q5,4))</f>
        <v>Q2-2015</v>
      </c>
      <c r="S5" s="47" t="str">
        <f>CONCATENATE("Q3","-",RIGHT(R5,4))</f>
        <v>Q3-2015</v>
      </c>
      <c r="T5" s="47" t="str">
        <f>CONCATENATE("Q4","-",RIGHT(S5,4))</f>
        <v>Q4-2015</v>
      </c>
      <c r="U5" s="1110" t="str">
        <f>CONCATENATE("FY",RIGHT(P5,4)+1)</f>
        <v>FY2015</v>
      </c>
      <c r="V5" s="47" t="str">
        <f>CONCATENATE("Q1","-",RIGHT(U5,4)+1)</f>
        <v>Q1-2016</v>
      </c>
      <c r="W5" s="295" t="str">
        <f>CONCATENATE("Q2","-",RIGHT(V5,4))</f>
        <v>Q2-2016</v>
      </c>
      <c r="X5" s="295" t="str">
        <f>CONCATENATE("Q3","-",RIGHT(W5,4))</f>
        <v>Q3-2016</v>
      </c>
      <c r="Y5" s="295" t="str">
        <f>CONCATENATE("Q4","-",RIGHT(X5,4))</f>
        <v>Q4-2016</v>
      </c>
      <c r="Z5" s="1111" t="str">
        <f>CONCATENATE("FY",RIGHT(U5,4)+1)</f>
        <v>FY2016</v>
      </c>
      <c r="AA5" s="295" t="str">
        <f>CONCATENATE("Q1","-",RIGHT(Z5,4)+1)</f>
        <v>Q1-2017</v>
      </c>
      <c r="AB5" s="295" t="str">
        <f>CONCATENATE("Q2","-",RIGHT(AA5,4))</f>
        <v>Q2-2017</v>
      </c>
      <c r="AC5" s="47" t="str">
        <f>CONCATENATE("Q3","-",RIGHT(AB5,4))</f>
        <v>Q3-2017</v>
      </c>
      <c r="AD5" s="47" t="str">
        <f>CONCATENATE("Q4","-",RIGHT(AC5,4))</f>
        <v>Q4-2017</v>
      </c>
      <c r="AE5" s="1110" t="str">
        <f>CONCATENATE("FY",RIGHT(Z5,4)+1)</f>
        <v>FY2017</v>
      </c>
      <c r="AF5" s="47" t="str">
        <f>CONCATENATE("Q1","-",RIGHT(AE5,4)+1)</f>
        <v>Q1-2018</v>
      </c>
      <c r="AG5" s="295" t="str">
        <f>CONCATENATE("Q2","-",RIGHT(AF5,4))</f>
        <v>Q2-2018</v>
      </c>
      <c r="AH5" s="295" t="str">
        <f>CONCATENATE("Q3","-",RIGHT(AG5,4))</f>
        <v>Q3-2018</v>
      </c>
      <c r="AI5" s="47" t="str">
        <f>CONCATENATE("Q4","-",RIGHT(AH5,4))</f>
        <v>Q4-2018</v>
      </c>
      <c r="AJ5" s="1110" t="str">
        <f>CONCATENATE("FY",RIGHT(AE5,4)+1)</f>
        <v>FY2018</v>
      </c>
      <c r="AK5" s="295" t="str">
        <f>CONCATENATE("Q1","-",RIGHT(AJ5,4)+1)</f>
        <v>Q1-2019</v>
      </c>
      <c r="AL5" s="295" t="str">
        <f>CONCATENATE("Q2","-",RIGHT(AK5,4))</f>
        <v>Q2-2019</v>
      </c>
      <c r="AM5" s="295" t="str">
        <f>CONCATENATE("Q3","-",RIGHT(AL5,4))</f>
        <v>Q3-2019</v>
      </c>
      <c r="AN5" s="47" t="str">
        <f>CONCATENATE("Q4","-",RIGHT(AM5,4))</f>
        <v>Q4-2019</v>
      </c>
      <c r="AO5" s="1110" t="str">
        <f>CONCATENATE("FY",RIGHT(AJ5,4)+1)</f>
        <v>FY2019</v>
      </c>
      <c r="AP5" s="295" t="str">
        <f>CONCATENATE("Q1","-",RIGHT(AO5,4)+1)</f>
        <v>Q1-2020</v>
      </c>
      <c r="AQ5" s="295" t="str">
        <f>CONCATENATE("Q2","-",RIGHT(AP5,4))</f>
        <v>Q2-2020</v>
      </c>
      <c r="AR5" s="295" t="str">
        <f>CONCATENATE("Q3","-",RIGHT(AQ5,4))</f>
        <v>Q3-2020</v>
      </c>
      <c r="AS5" s="47" t="str">
        <f>CONCATENATE("Q4","-",RIGHT(AR5,4))</f>
        <v>Q4-2020</v>
      </c>
      <c r="AT5" s="1110" t="str">
        <f>CONCATENATE("FY",RIGHT(AO5,4)+1)</f>
        <v>FY2020</v>
      </c>
      <c r="AU5" s="295" t="str">
        <f>CONCATENATE("Q1","-",RIGHT(AT5,4)+1)</f>
        <v>Q1-2021</v>
      </c>
      <c r="AV5" s="295" t="str">
        <f>CONCATENATE("Q2","-",RIGHT(AU5,4))</f>
        <v>Q2-2021</v>
      </c>
      <c r="AW5" s="295" t="str">
        <f>CONCATENATE("Q3","-",RIGHT(AV5,4))</f>
        <v>Q3-2021</v>
      </c>
      <c r="AX5" s="47" t="str">
        <f>CONCATENATE("Q4","-",RIGHT(AW5,4))</f>
        <v>Q4-2021</v>
      </c>
      <c r="AY5" s="1110" t="str">
        <f>CONCATENATE("FY",RIGHT(AT5,4)+1)</f>
        <v>FY2021</v>
      </c>
      <c r="AZ5" s="295" t="str">
        <f>CONCATENATE("Q1","-",RIGHT(AY5,4)+1)</f>
        <v>Q1-2022</v>
      </c>
      <c r="BA5" s="295" t="str">
        <f>CONCATENATE("Q2","-",RIGHT(AZ5,4))</f>
        <v>Q2-2022</v>
      </c>
      <c r="BB5" s="295" t="str">
        <f>CONCATENATE("Q3","-",RIGHT(BA5,4))</f>
        <v>Q3-2022</v>
      </c>
      <c r="BC5" s="47" t="str">
        <f>CONCATENATE("Q4","-",RIGHT(BB5,4))</f>
        <v>Q4-2022</v>
      </c>
      <c r="BD5" s="1110" t="str">
        <f>CONCATENATE("FY",RIGHT(AY5,4)+1)</f>
        <v>FY2022</v>
      </c>
      <c r="BE5" s="295" t="str">
        <f>CONCATENATE("Q1","-",RIGHT(BD5,4)+1)</f>
        <v>Q1-2023</v>
      </c>
      <c r="BF5" s="47" t="str">
        <f>CONCATENATE("Q2","-",RIGHT(BE5,4))</f>
        <v>Q2-2023</v>
      </c>
      <c r="BG5" s="295" t="str">
        <f>CONCATENATE("Q3","-",RIGHT(BF5,4))</f>
        <v>Q3-2023</v>
      </c>
      <c r="BH5" s="47" t="str">
        <f>CONCATENATE("Q4","-",RIGHT(BG5,4))</f>
        <v>Q4-2023</v>
      </c>
      <c r="BI5" s="1110" t="str">
        <f>CONCATENATE("FY",RIGHT(BD5,4)+1)</f>
        <v>FY2023</v>
      </c>
      <c r="BJ5" s="295" t="str">
        <f>CONCATENATE("Q1","-",RIGHT(BI5,4)+1)</f>
        <v>Q1-2024</v>
      </c>
      <c r="BK5" s="47" t="str">
        <f>CONCATENATE("Q2","-",RIGHT(BJ5,4))</f>
        <v>Q2-2024</v>
      </c>
      <c r="BL5" s="295" t="str">
        <f>CONCATENATE("Q3","-",RIGHT(BK5,4))</f>
        <v>Q3-2024</v>
      </c>
      <c r="BM5" s="47" t="str">
        <f>CONCATENATE("Q4","-",RIGHT(BL5,4))</f>
        <v>Q4-2024</v>
      </c>
      <c r="BN5" s="1110" t="str">
        <f>CONCATENATE("FY",RIGHT(BI5,4)+1)</f>
        <v>FY2024</v>
      </c>
      <c r="BO5" s="295" t="str">
        <f>CONCATENATE("Q1","-",RIGHT(BN5,4)+1)</f>
        <v>Q1-2025</v>
      </c>
      <c r="BP5" s="47" t="str">
        <f>CONCATENATE("Q2","-",RIGHT(BO5,4))</f>
        <v>Q2-2025</v>
      </c>
      <c r="BQ5" s="295" t="str">
        <f>CONCATENATE("Q3","-",RIGHT(BP5,4))</f>
        <v>Q3-2025</v>
      </c>
      <c r="BR5" s="47" t="str">
        <f>CONCATENATE("Q4","-",RIGHT(BQ5,4))</f>
        <v>Q4-2025</v>
      </c>
      <c r="BS5" s="1110" t="str">
        <f>CONCATENATE("FY",RIGHT(BN5,4)+1)</f>
        <v>FY2025</v>
      </c>
      <c r="BT5" s="295" t="str">
        <f>CONCATENATE("Q1","-",RIGHT(BS5,4)+1)</f>
        <v>Q1-2026</v>
      </c>
      <c r="BU5" s="47" t="str">
        <f>CONCATENATE("Q2","-",RIGHT(BT5,4))</f>
        <v>Q2-2026</v>
      </c>
      <c r="BV5" s="295" t="str">
        <f>CONCATENATE("Q3","-",RIGHT(BU5,4))</f>
        <v>Q3-2026</v>
      </c>
      <c r="BW5" s="47" t="str">
        <f>CONCATENATE("Q4","-",RIGHT(BV5,4))</f>
        <v>Q4-2026</v>
      </c>
      <c r="BX5" s="1110" t="str">
        <f>CONCATENATE("FY",RIGHT(BS5,4)+1)</f>
        <v>FY2026</v>
      </c>
      <c r="BY5" s="889" t="str">
        <f>CONCATENATE("Q1","-",RIGHT(BX5,4)+1)</f>
        <v>Q1-2027</v>
      </c>
      <c r="BZ5" s="47" t="str">
        <f>CONCATENATE("Q2","-",RIGHT(BY5,4))</f>
        <v>Q2-2027</v>
      </c>
      <c r="CA5" s="47" t="str">
        <f>CONCATENATE("Q3","-",RIGHT(BZ5,4))</f>
        <v>Q3-2027</v>
      </c>
      <c r="CB5" s="47" t="str">
        <f>CONCATENATE("Q4","-",RIGHT(CA5,4))</f>
        <v>Q4-2027</v>
      </c>
      <c r="CC5" s="1110" t="str">
        <f>CONCATENATE("FY",RIGHT(BX5,4)+1)</f>
        <v>FY2027</v>
      </c>
      <c r="CD5" s="47" t="str">
        <f>CONCATENATE("Q1","-",RIGHT(CC5,4)+1)</f>
        <v>Q1-2028</v>
      </c>
      <c r="CE5" s="47" t="str">
        <f>CONCATENATE("Q2","-",RIGHT(CD5,4))</f>
        <v>Q2-2028</v>
      </c>
      <c r="CF5" s="47" t="str">
        <f>CONCATENATE("Q3","-",RIGHT(CE5,4))</f>
        <v>Q3-2028</v>
      </c>
      <c r="CG5" s="47" t="str">
        <f>CONCATENATE("Q4","-",RIGHT(CF5,4))</f>
        <v>Q4-2028</v>
      </c>
      <c r="CH5" s="1110" t="str">
        <f>CONCATENATE("FY",RIGHT(CC5,4)+1)</f>
        <v>FY2028</v>
      </c>
      <c r="CI5" s="1110" t="str">
        <f>CONCATENATE("FY",RIGHT(CH5,4)+1)</f>
        <v>FY2029</v>
      </c>
      <c r="CJ5" s="1110" t="str">
        <f>CONCATENATE("FY",RIGHT(CI5,4)+1)</f>
        <v>FY2030</v>
      </c>
      <c r="CK5" s="1110" t="str">
        <f>CONCATENATE("FY",RIGHT(CJ5,4)+1)</f>
        <v>FY2031</v>
      </c>
      <c r="CL5" s="155"/>
    </row>
    <row r="6" spans="1:90" x14ac:dyDescent="0.3">
      <c r="A6" s="45" t="s">
        <v>695</v>
      </c>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5"/>
      <c r="BJ6" s="45"/>
      <c r="BK6" s="45"/>
      <c r="BL6" s="45"/>
      <c r="BM6" s="45"/>
      <c r="BN6" s="45"/>
      <c r="BO6" s="45"/>
      <c r="BP6" s="45"/>
      <c r="BQ6" s="45"/>
      <c r="BR6" s="45"/>
      <c r="BS6" s="45"/>
      <c r="BT6" s="45"/>
      <c r="BU6" s="45"/>
      <c r="BV6" s="45"/>
      <c r="BW6" s="45"/>
      <c r="BX6" s="45"/>
      <c r="BY6" s="881"/>
      <c r="BZ6" s="45"/>
      <c r="CA6" s="45"/>
      <c r="CB6" s="45"/>
      <c r="CC6" s="45"/>
      <c r="CD6" s="45"/>
      <c r="CE6" s="45"/>
      <c r="CF6" s="45"/>
      <c r="CG6" s="45"/>
      <c r="CH6" s="45"/>
      <c r="CI6" s="45"/>
      <c r="CJ6" s="45"/>
      <c r="CK6" s="45"/>
      <c r="CL6" s="155"/>
    </row>
    <row r="7" spans="1:90" x14ac:dyDescent="0.3">
      <c r="A7" s="67" t="s">
        <v>16</v>
      </c>
      <c r="B7" s="598"/>
      <c r="C7" s="1112"/>
      <c r="D7" s="1112"/>
      <c r="E7" s="1112"/>
      <c r="F7" s="1112"/>
      <c r="G7" s="68"/>
      <c r="H7" s="68"/>
      <c r="I7" s="68"/>
      <c r="J7" s="68"/>
      <c r="K7" s="1112"/>
      <c r="L7" s="68"/>
      <c r="M7" s="68"/>
      <c r="N7" s="68"/>
      <c r="O7" s="68"/>
      <c r="P7" s="1113">
        <v>1511</v>
      </c>
      <c r="Q7" s="1055">
        <v>468</v>
      </c>
      <c r="R7" s="1055">
        <v>417</v>
      </c>
      <c r="S7" s="1055">
        <v>527</v>
      </c>
      <c r="T7" s="27">
        <f>U7-SUM(Q7,R7,S7)</f>
        <v>646</v>
      </c>
      <c r="U7" s="1113">
        <v>2058</v>
      </c>
      <c r="V7" s="1055">
        <v>587</v>
      </c>
      <c r="W7" s="1055">
        <v>660</v>
      </c>
      <c r="X7" s="1055">
        <v>761</v>
      </c>
      <c r="Y7" s="27">
        <f>Z7-SUM(V7,W7,X7)</f>
        <v>810</v>
      </c>
      <c r="Z7" s="1113">
        <v>2818</v>
      </c>
      <c r="AA7" s="1055">
        <v>687</v>
      </c>
      <c r="AB7" s="1055">
        <v>781</v>
      </c>
      <c r="AC7" s="1055">
        <v>1244</v>
      </c>
      <c r="AD7" s="27">
        <f>AE7-SUM(AA7,AB7,AC7)</f>
        <v>1348</v>
      </c>
      <c r="AE7" s="1113">
        <v>4060</v>
      </c>
      <c r="AF7" s="1055">
        <v>1027</v>
      </c>
      <c r="AG7" s="1055">
        <v>1186</v>
      </c>
      <c r="AH7" s="1055">
        <v>1561</v>
      </c>
      <c r="AI7" s="27">
        <f>AJ7-SUM(AF7,AG7,AH7)</f>
        <v>1739</v>
      </c>
      <c r="AJ7" s="1113">
        <v>5513</v>
      </c>
      <c r="AK7" s="1055">
        <v>1723</v>
      </c>
      <c r="AL7" s="1055">
        <v>1805</v>
      </c>
      <c r="AM7" s="1055">
        <v>1764</v>
      </c>
      <c r="AN7" s="1055">
        <v>954</v>
      </c>
      <c r="AO7" s="1114">
        <f>SUM(AK7,AL7,AM7,AN7)</f>
        <v>6246</v>
      </c>
      <c r="AP7" s="1055">
        <v>1055</v>
      </c>
      <c r="AQ7" s="1055">
        <v>1313</v>
      </c>
      <c r="AR7" s="1055">
        <v>1659</v>
      </c>
      <c r="AS7" s="1055">
        <v>1491</v>
      </c>
      <c r="AT7" s="1114">
        <f>SUM(AP7,AQ7,AR7,AS7)</f>
        <v>5518</v>
      </c>
      <c r="AU7" s="1055">
        <v>1339</v>
      </c>
      <c r="AV7" s="1055">
        <v>1654</v>
      </c>
      <c r="AW7" s="1055">
        <v>2271</v>
      </c>
      <c r="AX7" s="1055">
        <v>2495</v>
      </c>
      <c r="AY7" s="1114">
        <f>SUM(AU7,AV7,AW7,AX7)</f>
        <v>7759</v>
      </c>
      <c r="AZ7" s="1055">
        <v>2760</v>
      </c>
      <c r="BA7" s="1055">
        <v>3061</v>
      </c>
      <c r="BB7" s="1055">
        <v>3221</v>
      </c>
      <c r="BC7" s="1055">
        <v>3420</v>
      </c>
      <c r="BD7" s="1114">
        <f>SUM(AZ7,BA7,BB7,BC7)</f>
        <v>12462</v>
      </c>
      <c r="BE7" s="1055">
        <v>3620</v>
      </c>
      <c r="BF7" s="1055">
        <v>2042</v>
      </c>
      <c r="BG7" s="1055">
        <v>1574</v>
      </c>
      <c r="BH7" s="1055">
        <v>1831</v>
      </c>
      <c r="BI7" s="1114">
        <f>SUM(BE7,BF7,BG7,BH7)</f>
        <v>9067</v>
      </c>
      <c r="BJ7" s="1055">
        <v>2240</v>
      </c>
      <c r="BK7" s="1055">
        <v>2486</v>
      </c>
      <c r="BL7" s="1055">
        <v>2856</v>
      </c>
      <c r="BM7" s="1055">
        <v>2865</v>
      </c>
      <c r="BN7" s="1114">
        <f>SUM(BJ7,BK7,BL7,BM7)</f>
        <v>10447</v>
      </c>
      <c r="BO7" s="1055">
        <v>2647</v>
      </c>
      <c r="BP7" s="1055">
        <v>2880</v>
      </c>
      <c r="BQ7" s="1055">
        <v>3279</v>
      </c>
      <c r="BR7" s="1055">
        <v>2544</v>
      </c>
      <c r="BS7" s="1114">
        <f>SUM(BO7,BP7,BQ7,BR7)</f>
        <v>11350</v>
      </c>
      <c r="BT7" s="1055">
        <v>3763</v>
      </c>
      <c r="BU7" s="1055">
        <v>4287</v>
      </c>
      <c r="BV7" s="1055">
        <v>4265</v>
      </c>
      <c r="BW7" s="1055">
        <v>3727</v>
      </c>
      <c r="BX7" s="1114">
        <f>SUM(BT7,BU7,BV7,BW7)</f>
        <v>16042</v>
      </c>
      <c r="BY7" s="588">
        <f>BY34-BY30-BY26-BY231-BY11-BY22</f>
        <v>4219</v>
      </c>
      <c r="BZ7" s="68">
        <f>+BU7*(1+BZ9)</f>
        <v>5573.1</v>
      </c>
      <c r="CA7" s="68">
        <f>+BV7*(1+CA9)</f>
        <v>5331.25</v>
      </c>
      <c r="CB7" s="68">
        <f>+BW7*(1+CB9)</f>
        <v>4472.3999999999996</v>
      </c>
      <c r="CC7" s="1112">
        <f>SUM(BY7,BZ7,CA7,CB7)</f>
        <v>19595.75</v>
      </c>
      <c r="CD7" s="68">
        <f>+BY7*(1+CD9)</f>
        <v>5273.75</v>
      </c>
      <c r="CE7" s="68">
        <f>+BZ7*(1+CE9)</f>
        <v>6966.375</v>
      </c>
      <c r="CF7" s="68">
        <f>+CA7*(1+CF9)</f>
        <v>6664.0625</v>
      </c>
      <c r="CG7" s="68">
        <f>+CB7*(1+CG9)</f>
        <v>5366.8799999999992</v>
      </c>
      <c r="CH7" s="1112">
        <f>SUM(CD7,CE7,CF7,CG7)</f>
        <v>24271.067499999997</v>
      </c>
      <c r="CI7" s="1112">
        <f>+CH7*(1+CI9)</f>
        <v>26698.17425</v>
      </c>
      <c r="CJ7" s="1112">
        <f>+CI7*(1+CJ9)</f>
        <v>29367.991675000001</v>
      </c>
      <c r="CK7" s="1112">
        <f>+CJ7*(1+CK9)</f>
        <v>32304.790842500002</v>
      </c>
      <c r="CL7" s="155"/>
    </row>
    <row r="8" spans="1:90" x14ac:dyDescent="0.3">
      <c r="A8" s="640" t="s">
        <v>683</v>
      </c>
      <c r="B8" s="641"/>
      <c r="C8" s="1115"/>
      <c r="D8" s="1115"/>
      <c r="E8" s="1115"/>
      <c r="F8" s="1115"/>
      <c r="G8" s="90"/>
      <c r="H8" s="90"/>
      <c r="I8" s="90"/>
      <c r="J8" s="90"/>
      <c r="K8" s="1115"/>
      <c r="L8" s="90"/>
      <c r="M8" s="90"/>
      <c r="N8" s="90"/>
      <c r="O8" s="90"/>
      <c r="P8" s="1115"/>
      <c r="Q8" s="90"/>
      <c r="R8" s="366">
        <f>R7/Q7-1</f>
        <v>-0.10897435897435892</v>
      </c>
      <c r="S8" s="366">
        <f>S7/R7-1</f>
        <v>0.26378896882493996</v>
      </c>
      <c r="T8" s="366">
        <f>T7/S7-1</f>
        <v>0.22580645161290325</v>
      </c>
      <c r="U8" s="1115"/>
      <c r="V8" s="366">
        <f>V7/T7-1</f>
        <v>-9.1331269349845257E-2</v>
      </c>
      <c r="W8" s="366">
        <f>W7/V7-1</f>
        <v>0.12436115843270867</v>
      </c>
      <c r="X8" s="366">
        <f>X7/W7-1</f>
        <v>0.15303030303030307</v>
      </c>
      <c r="Y8" s="366">
        <f>Y7/X7-1</f>
        <v>6.4388961892247076E-2</v>
      </c>
      <c r="Z8" s="1115"/>
      <c r="AA8" s="366">
        <f>AA7/Y7-1</f>
        <v>-0.1518518518518519</v>
      </c>
      <c r="AB8" s="366">
        <f>AB7/AA7-1</f>
        <v>0.13682678311499274</v>
      </c>
      <c r="AC8" s="366">
        <f>AC7/AB7-1</f>
        <v>0.59282970550576186</v>
      </c>
      <c r="AD8" s="366">
        <f>AD7/AC7-1</f>
        <v>8.3601286173633493E-2</v>
      </c>
      <c r="AE8" s="1115"/>
      <c r="AF8" s="366">
        <f>AF7/AD7-1</f>
        <v>-0.23813056379821962</v>
      </c>
      <c r="AG8" s="366">
        <f>AG7/AF7-1</f>
        <v>0.15481986368062328</v>
      </c>
      <c r="AH8" s="366">
        <f>AH7/AG7-1</f>
        <v>0.31618887015177055</v>
      </c>
      <c r="AI8" s="366">
        <f>AI7/AH7-1</f>
        <v>0.11402946828955796</v>
      </c>
      <c r="AJ8" s="1115"/>
      <c r="AK8" s="366">
        <f>AK7/AI7-1</f>
        <v>-9.2006900517538348E-3</v>
      </c>
      <c r="AL8" s="366">
        <f>AL7/AK7-1</f>
        <v>4.7591410330818373E-2</v>
      </c>
      <c r="AM8" s="366">
        <f>AM7/AL7-1</f>
        <v>-2.2714681440443196E-2</v>
      </c>
      <c r="AN8" s="366">
        <f>AN7/AM7-1</f>
        <v>-0.45918367346938771</v>
      </c>
      <c r="AO8" s="1115"/>
      <c r="AP8" s="366">
        <f>AP7/AN7-1</f>
        <v>0.1058700209643606</v>
      </c>
      <c r="AQ8" s="366">
        <f>AQ7/AP7-1</f>
        <v>0.24454976303317544</v>
      </c>
      <c r="AR8" s="366">
        <f>AR7/AQ7-1</f>
        <v>0.26351865955826348</v>
      </c>
      <c r="AS8" s="366">
        <f>AS7/AR7-1</f>
        <v>-0.10126582278481011</v>
      </c>
      <c r="AT8" s="1115"/>
      <c r="AU8" s="366">
        <f>AU7/AS7-1</f>
        <v>-0.10194500335345402</v>
      </c>
      <c r="AV8" s="366">
        <f>AV7/AU7-1</f>
        <v>0.23525018670649733</v>
      </c>
      <c r="AW8" s="366">
        <f>AW7/AV7-1</f>
        <v>0.37303506650544138</v>
      </c>
      <c r="AX8" s="366">
        <f>AX7/AW7-1</f>
        <v>9.8634962571554352E-2</v>
      </c>
      <c r="AY8" s="1115"/>
      <c r="AZ8" s="366">
        <f>AZ7/AX7-1</f>
        <v>0.10621242484969939</v>
      </c>
      <c r="BA8" s="366">
        <f>BA7/AZ7-1</f>
        <v>0.10905797101449277</v>
      </c>
      <c r="BB8" s="366">
        <f>BB7/BA7-1</f>
        <v>5.2270499836654771E-2</v>
      </c>
      <c r="BC8" s="366">
        <f>BC7/BB7-1</f>
        <v>6.1782055262340929E-2</v>
      </c>
      <c r="BD8" s="1115"/>
      <c r="BE8" s="366">
        <f>BE7/BC7-1</f>
        <v>5.8479532163742798E-2</v>
      </c>
      <c r="BF8" s="366">
        <f>BF7/BE7-1</f>
        <v>-0.43591160220994474</v>
      </c>
      <c r="BG8" s="366">
        <f>BG7/BF7-1</f>
        <v>-0.2291870714985309</v>
      </c>
      <c r="BH8" s="366">
        <f>BH7/BG7-1</f>
        <v>0.1632782719186785</v>
      </c>
      <c r="BI8" s="1115"/>
      <c r="BJ8" s="366">
        <f>BJ7/BH7-1</f>
        <v>0.22337520480611683</v>
      </c>
      <c r="BK8" s="366">
        <f>BK7/BJ7-1</f>
        <v>0.10982142857142851</v>
      </c>
      <c r="BL8" s="366">
        <f>BL7/BK7-1</f>
        <v>0.14883346741753822</v>
      </c>
      <c r="BM8" s="366">
        <f>BM7/BL7-1</f>
        <v>3.1512605042016695E-3</v>
      </c>
      <c r="BN8" s="1115"/>
      <c r="BO8" s="366">
        <f>BO7/BM7-1</f>
        <v>-7.6090750436300203E-2</v>
      </c>
      <c r="BP8" s="366">
        <f>BP7/BO7-1</f>
        <v>8.8024178315073698E-2</v>
      </c>
      <c r="BQ8" s="366">
        <f>BQ7/BP7-1</f>
        <v>0.13854166666666656</v>
      </c>
      <c r="BR8" s="366">
        <f>BR7/BQ7-1</f>
        <v>-0.22415370539798718</v>
      </c>
      <c r="BS8" s="1115"/>
      <c r="BT8" s="366">
        <f>BT7/BR7-1</f>
        <v>0.47916666666666674</v>
      </c>
      <c r="BU8" s="366">
        <f>BU7/BT7-1</f>
        <v>0.13925059792718586</v>
      </c>
      <c r="BV8" s="366">
        <f>BV7/BU7-1</f>
        <v>-5.1317937951947945E-3</v>
      </c>
      <c r="BW8" s="366">
        <f>BW7/BV7-1</f>
        <v>-0.12614302461899174</v>
      </c>
      <c r="BX8" s="1115"/>
      <c r="BY8" s="890">
        <f>BY7/BW7-1</f>
        <v>0.13200965924335928</v>
      </c>
      <c r="BZ8" s="90">
        <f>BZ7/BY7-1</f>
        <v>0.32095283242474526</v>
      </c>
      <c r="CA8" s="90">
        <f>CA7/BZ7-1</f>
        <v>-4.3395955572302691E-2</v>
      </c>
      <c r="CB8" s="90">
        <f>CB7/CA7-1</f>
        <v>-0.16109730363423214</v>
      </c>
      <c r="CC8" s="1115"/>
      <c r="CD8" s="90">
        <f>CD7/CB7-1</f>
        <v>0.17917672837849929</v>
      </c>
      <c r="CE8" s="90">
        <f>CE7/CD7-1</f>
        <v>0.32095283242474526</v>
      </c>
      <c r="CF8" s="90">
        <f>CF7/CE7-1</f>
        <v>-4.3395955572302691E-2</v>
      </c>
      <c r="CG8" s="90">
        <f>CG7/CF7-1</f>
        <v>-0.19465341148886295</v>
      </c>
      <c r="CH8" s="1115"/>
      <c r="CI8" s="1115"/>
      <c r="CJ8" s="1115"/>
      <c r="CK8" s="1115"/>
      <c r="CL8" s="155"/>
    </row>
    <row r="9" spans="1:90" x14ac:dyDescent="0.3">
      <c r="A9" s="669" t="s">
        <v>688</v>
      </c>
      <c r="B9" s="582"/>
      <c r="C9" s="1116"/>
      <c r="D9" s="1116"/>
      <c r="E9" s="1116"/>
      <c r="F9" s="1116"/>
      <c r="G9" s="643"/>
      <c r="H9" s="643"/>
      <c r="I9" s="643"/>
      <c r="J9" s="643"/>
      <c r="K9" s="1116"/>
      <c r="L9" s="643"/>
      <c r="M9" s="643"/>
      <c r="N9" s="643"/>
      <c r="O9" s="643"/>
      <c r="P9" s="1116"/>
      <c r="Q9" s="643"/>
      <c r="R9" s="643"/>
      <c r="S9" s="643"/>
      <c r="T9" s="643"/>
      <c r="U9" s="1117">
        <f t="shared" ref="U9:BE9" si="1">+U7/P7-1</f>
        <v>0.36201191264063537</v>
      </c>
      <c r="V9" s="1020">
        <f t="shared" si="1"/>
        <v>0.25427350427350426</v>
      </c>
      <c r="W9" s="1020">
        <f t="shared" si="1"/>
        <v>0.58273381294964022</v>
      </c>
      <c r="X9" s="1020">
        <f t="shared" si="1"/>
        <v>0.44402277039848204</v>
      </c>
      <c r="Y9" s="1020">
        <f t="shared" si="1"/>
        <v>0.25386996904024772</v>
      </c>
      <c r="Z9" s="1117">
        <f t="shared" si="1"/>
        <v>0.36929057337220605</v>
      </c>
      <c r="AA9" s="1020">
        <f t="shared" si="1"/>
        <v>0.17035775127768304</v>
      </c>
      <c r="AB9" s="1020">
        <f t="shared" si="1"/>
        <v>0.18333333333333335</v>
      </c>
      <c r="AC9" s="1020">
        <f t="shared" si="1"/>
        <v>0.63469119579500655</v>
      </c>
      <c r="AD9" s="1020">
        <f t="shared" si="1"/>
        <v>0.66419753086419764</v>
      </c>
      <c r="AE9" s="1117">
        <f t="shared" si="1"/>
        <v>0.44073811213626679</v>
      </c>
      <c r="AF9" s="1020">
        <f t="shared" si="1"/>
        <v>0.49490538573508003</v>
      </c>
      <c r="AG9" s="1020">
        <f t="shared" si="1"/>
        <v>0.51856594110115228</v>
      </c>
      <c r="AH9" s="1020">
        <f t="shared" si="1"/>
        <v>0.25482315112540199</v>
      </c>
      <c r="AI9" s="1020">
        <f t="shared" si="1"/>
        <v>0.2900593471810089</v>
      </c>
      <c r="AJ9" s="1117">
        <f t="shared" si="1"/>
        <v>0.35788177339901472</v>
      </c>
      <c r="AK9" s="1020">
        <f t="shared" si="1"/>
        <v>0.67770204479065232</v>
      </c>
      <c r="AL9" s="1020">
        <f t="shared" si="1"/>
        <v>0.52192242833052283</v>
      </c>
      <c r="AM9" s="1020">
        <f t="shared" si="1"/>
        <v>0.13004484304932729</v>
      </c>
      <c r="AN9" s="1020">
        <f t="shared" si="1"/>
        <v>-0.45140885566417477</v>
      </c>
      <c r="AO9" s="1117">
        <f t="shared" si="1"/>
        <v>0.13295846181752213</v>
      </c>
      <c r="AP9" s="1020">
        <f t="shared" si="1"/>
        <v>-0.38769587928032501</v>
      </c>
      <c r="AQ9" s="1020">
        <f t="shared" si="1"/>
        <v>-0.27257617728531858</v>
      </c>
      <c r="AR9" s="1020">
        <f t="shared" si="1"/>
        <v>-5.9523809523809534E-2</v>
      </c>
      <c r="AS9" s="1020">
        <f t="shared" si="1"/>
        <v>0.56289308176100628</v>
      </c>
      <c r="AT9" s="1117">
        <f t="shared" si="1"/>
        <v>-0.11655459494076204</v>
      </c>
      <c r="AU9" s="1020">
        <f t="shared" si="1"/>
        <v>0.26919431279620842</v>
      </c>
      <c r="AV9" s="1020">
        <f t="shared" si="1"/>
        <v>0.25971058644325962</v>
      </c>
      <c r="AW9" s="1020">
        <f t="shared" si="1"/>
        <v>0.36889692585895117</v>
      </c>
      <c r="AX9" s="1020">
        <f t="shared" si="1"/>
        <v>0.67337357478202553</v>
      </c>
      <c r="AY9" s="1117">
        <f t="shared" si="1"/>
        <v>0.40612540775643358</v>
      </c>
      <c r="AZ9" s="1020">
        <f t="shared" si="1"/>
        <v>1.0612397311426438</v>
      </c>
      <c r="BA9" s="1020">
        <f t="shared" si="1"/>
        <v>0.85066505441354301</v>
      </c>
      <c r="BB9" s="1020">
        <f t="shared" si="1"/>
        <v>0.41831792162043158</v>
      </c>
      <c r="BC9" s="1020">
        <f t="shared" si="1"/>
        <v>0.3707414829659319</v>
      </c>
      <c r="BD9" s="1117">
        <f t="shared" si="1"/>
        <v>0.60613481118700863</v>
      </c>
      <c r="BE9" s="1020">
        <f t="shared" si="1"/>
        <v>0.31159420289855078</v>
      </c>
      <c r="BF9" s="1020">
        <f t="shared" ref="BF9:BK9" si="2">+BF7/BA7-1</f>
        <v>-0.33289774583469456</v>
      </c>
      <c r="BG9" s="1020">
        <f t="shared" si="2"/>
        <v>-0.51133188450791678</v>
      </c>
      <c r="BH9" s="1020">
        <f t="shared" si="2"/>
        <v>-0.46461988304093571</v>
      </c>
      <c r="BI9" s="1117">
        <f t="shared" si="2"/>
        <v>-0.27242818167228378</v>
      </c>
      <c r="BJ9" s="1020">
        <f t="shared" si="2"/>
        <v>-0.38121546961325969</v>
      </c>
      <c r="BK9" s="1020">
        <f t="shared" si="2"/>
        <v>0.21743388834475996</v>
      </c>
      <c r="BL9" s="1020">
        <f t="shared" ref="BL9:BQ9" si="3">+BL7/BG7-1</f>
        <v>0.81448538754764921</v>
      </c>
      <c r="BM9" s="1020">
        <f t="shared" si="3"/>
        <v>0.5647187329328236</v>
      </c>
      <c r="BN9" s="1117">
        <f t="shared" si="3"/>
        <v>0.15220028675416342</v>
      </c>
      <c r="BO9" s="1020">
        <f t="shared" si="3"/>
        <v>0.18169642857142865</v>
      </c>
      <c r="BP9" s="1020">
        <f t="shared" si="3"/>
        <v>0.15848753016894612</v>
      </c>
      <c r="BQ9" s="1020">
        <f t="shared" si="3"/>
        <v>0.14810924369747891</v>
      </c>
      <c r="BR9" s="1020">
        <f t="shared" ref="BR9:BX9" si="4">+BR7/BM7-1</f>
        <v>-0.11204188481675392</v>
      </c>
      <c r="BS9" s="1117">
        <f t="shared" si="4"/>
        <v>8.643629750167503E-2</v>
      </c>
      <c r="BT9" s="1020">
        <f t="shared" si="4"/>
        <v>0.42160936909709101</v>
      </c>
      <c r="BU9" s="1020">
        <f t="shared" si="4"/>
        <v>0.48854166666666665</v>
      </c>
      <c r="BV9" s="1020">
        <f t="shared" si="4"/>
        <v>0.30070143336383048</v>
      </c>
      <c r="BW9" s="1020">
        <f t="shared" si="4"/>
        <v>0.46501572327044016</v>
      </c>
      <c r="BX9" s="1117">
        <f t="shared" si="4"/>
        <v>0.41339207048458149</v>
      </c>
      <c r="BY9" s="891">
        <f>+BY7/BT7-1</f>
        <v>0.12117990964655867</v>
      </c>
      <c r="BZ9" s="1056">
        <v>0.3</v>
      </c>
      <c r="CA9" s="1056">
        <v>0.25</v>
      </c>
      <c r="CB9" s="1056">
        <v>0.2</v>
      </c>
      <c r="CC9" s="1116">
        <f>+CC7/BX7-1</f>
        <v>0.22152786435606542</v>
      </c>
      <c r="CD9" s="1056">
        <v>0.25</v>
      </c>
      <c r="CE9" s="1056">
        <v>0.25</v>
      </c>
      <c r="CF9" s="1056">
        <v>0.25</v>
      </c>
      <c r="CG9" s="1056">
        <v>0.2</v>
      </c>
      <c r="CH9" s="1116">
        <f>+CH7/CC7-1</f>
        <v>0.23858834185984201</v>
      </c>
      <c r="CI9" s="1118">
        <v>0.1</v>
      </c>
      <c r="CJ9" s="1118">
        <v>0.1</v>
      </c>
      <c r="CK9" s="1118">
        <v>0.1</v>
      </c>
      <c r="CL9" s="155"/>
    </row>
    <row r="10" spans="1:90" ht="7.35" customHeight="1" x14ac:dyDescent="0.3">
      <c r="A10" s="99"/>
      <c r="B10" s="598"/>
      <c r="C10" s="1112"/>
      <c r="D10" s="1112"/>
      <c r="E10" s="1112"/>
      <c r="F10" s="1112"/>
      <c r="G10" s="68"/>
      <c r="H10" s="68"/>
      <c r="I10" s="68"/>
      <c r="J10" s="68"/>
      <c r="K10" s="1112"/>
      <c r="L10" s="68"/>
      <c r="M10" s="68"/>
      <c r="N10" s="68"/>
      <c r="O10" s="68"/>
      <c r="P10" s="1112"/>
      <c r="Q10" s="68"/>
      <c r="R10" s="68"/>
      <c r="S10" s="68"/>
      <c r="T10" s="68"/>
      <c r="U10" s="1112"/>
      <c r="V10" s="68"/>
      <c r="W10" s="68"/>
      <c r="X10" s="68"/>
      <c r="Y10" s="68"/>
      <c r="Z10" s="1112"/>
      <c r="AA10" s="68"/>
      <c r="AB10" s="68"/>
      <c r="AC10" s="68"/>
      <c r="AD10" s="68"/>
      <c r="AE10" s="1112"/>
      <c r="AF10" s="68"/>
      <c r="AG10" s="68"/>
      <c r="AH10" s="68"/>
      <c r="AI10" s="68"/>
      <c r="AJ10" s="1112"/>
      <c r="AK10" s="68"/>
      <c r="AL10" s="68"/>
      <c r="AM10" s="68"/>
      <c r="AN10" s="68"/>
      <c r="AO10" s="1112"/>
      <c r="AP10" s="68"/>
      <c r="AQ10" s="68"/>
      <c r="AR10" s="68"/>
      <c r="AS10" s="68"/>
      <c r="AT10" s="1112"/>
      <c r="AU10" s="68"/>
      <c r="AV10" s="68"/>
      <c r="AW10" s="68"/>
      <c r="AX10" s="68"/>
      <c r="AY10" s="1112"/>
      <c r="AZ10" s="68"/>
      <c r="BA10" s="68"/>
      <c r="BB10" s="68"/>
      <c r="BC10" s="68"/>
      <c r="BD10" s="1112"/>
      <c r="BE10" s="68"/>
      <c r="BF10" s="68"/>
      <c r="BG10" s="68"/>
      <c r="BH10" s="68"/>
      <c r="BI10" s="1112"/>
      <c r="BJ10" s="68"/>
      <c r="BK10" s="68"/>
      <c r="BL10" s="68"/>
      <c r="BM10" s="68"/>
      <c r="BN10" s="1112"/>
      <c r="BO10" s="68"/>
      <c r="BP10" s="68"/>
      <c r="BQ10" s="68"/>
      <c r="BR10" s="68"/>
      <c r="BS10" s="1112"/>
      <c r="BT10" s="68"/>
      <c r="BU10" s="68"/>
      <c r="BV10" s="68"/>
      <c r="BW10" s="68"/>
      <c r="BX10" s="1112"/>
      <c r="BY10" s="588"/>
      <c r="BZ10" s="68"/>
      <c r="CA10" s="68"/>
      <c r="CB10" s="68"/>
      <c r="CC10" s="1112"/>
      <c r="CD10" s="68"/>
      <c r="CE10" s="68"/>
      <c r="CF10" s="68"/>
      <c r="CG10" s="68"/>
      <c r="CH10" s="1112"/>
      <c r="CI10" s="1112"/>
      <c r="CJ10" s="1112"/>
      <c r="CK10" s="1112"/>
      <c r="CL10" s="155"/>
    </row>
    <row r="11" spans="1:90" x14ac:dyDescent="0.3">
      <c r="A11" s="67" t="s">
        <v>17</v>
      </c>
      <c r="B11" s="598"/>
      <c r="C11" s="1112"/>
      <c r="D11" s="1112"/>
      <c r="E11" s="1112"/>
      <c r="F11" s="1112"/>
      <c r="G11" s="68"/>
      <c r="H11" s="68"/>
      <c r="I11" s="68"/>
      <c r="J11" s="68"/>
      <c r="K11" s="1112"/>
      <c r="L11" s="68"/>
      <c r="M11" s="68"/>
      <c r="N11" s="68"/>
      <c r="O11" s="68"/>
      <c r="P11" s="1113">
        <v>789</v>
      </c>
      <c r="Q11" s="1055">
        <v>191</v>
      </c>
      <c r="R11" s="1055">
        <v>208</v>
      </c>
      <c r="S11" s="1055">
        <v>206</v>
      </c>
      <c r="T11" s="27">
        <f>U11-SUM(Q11,R11,S11)</f>
        <v>190</v>
      </c>
      <c r="U11" s="1113">
        <v>795</v>
      </c>
      <c r="V11" s="1055">
        <v>181</v>
      </c>
      <c r="W11" s="1055">
        <v>176</v>
      </c>
      <c r="X11" s="1055">
        <v>190</v>
      </c>
      <c r="Y11" s="27">
        <f>Z11-SUM(V11,W11,X11)</f>
        <v>203</v>
      </c>
      <c r="Z11" s="1113">
        <v>750</v>
      </c>
      <c r="AA11" s="1055">
        <v>189</v>
      </c>
      <c r="AB11" s="1055">
        <v>214</v>
      </c>
      <c r="AC11" s="1055">
        <v>207</v>
      </c>
      <c r="AD11" s="27">
        <f>AE11-SUM(AA11,AB11,AC11)</f>
        <v>225</v>
      </c>
      <c r="AE11" s="1113">
        <v>835</v>
      </c>
      <c r="AF11" s="1055">
        <v>205</v>
      </c>
      <c r="AG11" s="1055">
        <v>235</v>
      </c>
      <c r="AH11" s="1055">
        <v>239</v>
      </c>
      <c r="AI11" s="27">
        <f>AJ11-SUM(AF11,AG11,AH11)</f>
        <v>255</v>
      </c>
      <c r="AJ11" s="1113">
        <v>934</v>
      </c>
      <c r="AK11" s="1055">
        <v>251</v>
      </c>
      <c r="AL11" s="1055">
        <v>281</v>
      </c>
      <c r="AM11" s="1055">
        <v>305</v>
      </c>
      <c r="AN11" s="1055">
        <v>293</v>
      </c>
      <c r="AO11" s="1114">
        <f>SUM(AK11,AL11,AM11,AN11)</f>
        <v>1130</v>
      </c>
      <c r="AP11" s="1055">
        <v>266</v>
      </c>
      <c r="AQ11" s="1055">
        <v>291</v>
      </c>
      <c r="AR11" s="1055">
        <v>324</v>
      </c>
      <c r="AS11" s="1055">
        <v>331</v>
      </c>
      <c r="AT11" s="1114">
        <f>SUM(AP11,AQ11,AR11,AS11)</f>
        <v>1212</v>
      </c>
      <c r="AU11" s="1055">
        <v>307</v>
      </c>
      <c r="AV11" s="1055">
        <v>203</v>
      </c>
      <c r="AW11" s="1055">
        <v>236</v>
      </c>
      <c r="AX11" s="1055">
        <v>307</v>
      </c>
      <c r="AY11" s="1114">
        <f>SUM(AU11,AV11,AW11,AX11)</f>
        <v>1053</v>
      </c>
      <c r="AZ11" s="1055">
        <v>372</v>
      </c>
      <c r="BA11" s="1055">
        <v>519</v>
      </c>
      <c r="BB11" s="1055">
        <v>577</v>
      </c>
      <c r="BC11" s="1055">
        <v>643</v>
      </c>
      <c r="BD11" s="1114">
        <f>SUM(AZ11,BA11,BB11,BC11)</f>
        <v>2111</v>
      </c>
      <c r="BE11" s="1055">
        <v>622</v>
      </c>
      <c r="BF11" s="1055">
        <v>496</v>
      </c>
      <c r="BG11" s="1055">
        <v>200</v>
      </c>
      <c r="BH11" s="1055">
        <v>226</v>
      </c>
      <c r="BI11" s="1114">
        <f>SUM(BE11,BF11,BG11,BH11)</f>
        <v>1544</v>
      </c>
      <c r="BJ11" s="1055">
        <v>295</v>
      </c>
      <c r="BK11" s="1055">
        <v>379</v>
      </c>
      <c r="BL11" s="1055">
        <v>416</v>
      </c>
      <c r="BM11" s="1055">
        <v>463</v>
      </c>
      <c r="BN11" s="1114">
        <f>SUM(BJ11,BK11,BL11,BM11)</f>
        <v>1553</v>
      </c>
      <c r="BO11" s="1055">
        <v>427</v>
      </c>
      <c r="BP11" s="1055">
        <v>454</v>
      </c>
      <c r="BQ11" s="1055">
        <v>486</v>
      </c>
      <c r="BR11" s="1055">
        <v>511</v>
      </c>
      <c r="BS11" s="1114">
        <f>SUM(BO11,BP11,BQ11,BR11)</f>
        <v>1878</v>
      </c>
      <c r="BT11" s="1055">
        <v>509</v>
      </c>
      <c r="BU11" s="1055">
        <v>601</v>
      </c>
      <c r="BV11" s="1055">
        <v>760</v>
      </c>
      <c r="BW11" s="1055">
        <v>1321</v>
      </c>
      <c r="BX11" s="1114">
        <f>SUM(BT11,BU11,BV11,BW11)</f>
        <v>3191</v>
      </c>
      <c r="BY11" s="1057">
        <v>1300</v>
      </c>
      <c r="BZ11" s="68">
        <f>+BU11*(1+BZ13)</f>
        <v>631.05000000000007</v>
      </c>
      <c r="CA11" s="68">
        <f>+BV11*(1+CA13)</f>
        <v>798</v>
      </c>
      <c r="CB11" s="68">
        <f>+BW11*(1+CB13)</f>
        <v>1387.05</v>
      </c>
      <c r="CC11" s="1112">
        <f>SUM(BY11,BZ11,CA11,CB11)</f>
        <v>4116.1000000000004</v>
      </c>
      <c r="CD11" s="68">
        <f>+BY11*(1+CD13)</f>
        <v>1365</v>
      </c>
      <c r="CE11" s="68">
        <f>+BZ11*(1+CE13)</f>
        <v>662.60250000000008</v>
      </c>
      <c r="CF11" s="68">
        <f>+CA11*(1+CF13)</f>
        <v>837.90000000000009</v>
      </c>
      <c r="CG11" s="68">
        <f>+CB11*(1+CG13)</f>
        <v>1456.4024999999999</v>
      </c>
      <c r="CH11" s="1112">
        <f>SUM(CD11,CE11,CF11,CG11)</f>
        <v>4321.9049999999997</v>
      </c>
      <c r="CI11" s="1112">
        <f>+CH11*(1+CI13)</f>
        <v>4754.0955000000004</v>
      </c>
      <c r="CJ11" s="1112">
        <f>+CI11*(1+CJ13)</f>
        <v>5229.5050500000007</v>
      </c>
      <c r="CK11" s="1112">
        <f>+CJ11*(1+CK13)</f>
        <v>5752.4555550000014</v>
      </c>
      <c r="CL11" s="155"/>
    </row>
    <row r="12" spans="1:90" x14ac:dyDescent="0.3">
      <c r="A12" s="640" t="s">
        <v>684</v>
      </c>
      <c r="B12" s="641"/>
      <c r="C12" s="1115"/>
      <c r="D12" s="1115"/>
      <c r="E12" s="1115"/>
      <c r="F12" s="1115"/>
      <c r="G12" s="90"/>
      <c r="H12" s="90"/>
      <c r="I12" s="90"/>
      <c r="J12" s="90"/>
      <c r="K12" s="1115"/>
      <c r="L12" s="90"/>
      <c r="M12" s="90"/>
      <c r="N12" s="90"/>
      <c r="O12" s="90"/>
      <c r="P12" s="1115"/>
      <c r="Q12" s="90"/>
      <c r="R12" s="366">
        <f>R11/Q11-1</f>
        <v>8.9005235602094279E-2</v>
      </c>
      <c r="S12" s="366">
        <f>S11/R11-1</f>
        <v>-9.6153846153845812E-3</v>
      </c>
      <c r="T12" s="366">
        <f>T11/S11-1</f>
        <v>-7.7669902912621325E-2</v>
      </c>
      <c r="U12" s="1115"/>
      <c r="V12" s="366">
        <f>V11/T11-1</f>
        <v>-4.7368421052631615E-2</v>
      </c>
      <c r="W12" s="366">
        <f>W11/V11-1</f>
        <v>-2.7624309392265234E-2</v>
      </c>
      <c r="X12" s="366">
        <f>X11/W11-1</f>
        <v>7.9545454545454586E-2</v>
      </c>
      <c r="Y12" s="366">
        <f>Y11/X11-1</f>
        <v>6.8421052631578938E-2</v>
      </c>
      <c r="Z12" s="1115"/>
      <c r="AA12" s="366">
        <f>AA11/Y11-1</f>
        <v>-6.8965517241379337E-2</v>
      </c>
      <c r="AB12" s="366">
        <f>AB11/AA11-1</f>
        <v>0.13227513227513232</v>
      </c>
      <c r="AC12" s="366">
        <f>AC11/AB11-1</f>
        <v>-3.2710280373831724E-2</v>
      </c>
      <c r="AD12" s="366">
        <f>AD11/AC11-1</f>
        <v>8.6956521739130377E-2</v>
      </c>
      <c r="AE12" s="1115"/>
      <c r="AF12" s="366">
        <f>AF11/AD11-1</f>
        <v>-8.8888888888888906E-2</v>
      </c>
      <c r="AG12" s="366">
        <f>AG11/AF11-1</f>
        <v>0.14634146341463405</v>
      </c>
      <c r="AH12" s="366">
        <f>AH11/AG11-1</f>
        <v>1.7021276595744705E-2</v>
      </c>
      <c r="AI12" s="366">
        <f>AI11/AH11-1</f>
        <v>6.6945606694560622E-2</v>
      </c>
      <c r="AJ12" s="1115"/>
      <c r="AK12" s="366">
        <f>AK11/AI11-1</f>
        <v>-1.5686274509803977E-2</v>
      </c>
      <c r="AL12" s="366">
        <f>AL11/AK11-1</f>
        <v>0.1195219123505975</v>
      </c>
      <c r="AM12" s="366">
        <f>AM11/AL11-1</f>
        <v>8.5409252669039093E-2</v>
      </c>
      <c r="AN12" s="366">
        <f>AN11/AM11-1</f>
        <v>-3.9344262295081922E-2</v>
      </c>
      <c r="AO12" s="1115"/>
      <c r="AP12" s="366">
        <f>AP11/AN11-1</f>
        <v>-9.2150170648464202E-2</v>
      </c>
      <c r="AQ12" s="366">
        <f>AQ11/AP11-1</f>
        <v>9.3984962406014949E-2</v>
      </c>
      <c r="AR12" s="366">
        <f>AR11/AQ11-1</f>
        <v>0.11340206185567014</v>
      </c>
      <c r="AS12" s="366">
        <f>AS11/AR11-1</f>
        <v>2.1604938271605034E-2</v>
      </c>
      <c r="AT12" s="1115"/>
      <c r="AU12" s="366">
        <f>AU11/AS11-1</f>
        <v>-7.2507552870090586E-2</v>
      </c>
      <c r="AV12" s="366">
        <f>AV11/AU11-1</f>
        <v>-0.33876221498371339</v>
      </c>
      <c r="AW12" s="366">
        <f>AW11/AV11-1</f>
        <v>0.16256157635467972</v>
      </c>
      <c r="AX12" s="366">
        <f>AX11/AW11-1</f>
        <v>0.30084745762711873</v>
      </c>
      <c r="AY12" s="1115"/>
      <c r="AZ12" s="366">
        <f>AZ11/AX11-1</f>
        <v>0.21172638436482094</v>
      </c>
      <c r="BA12" s="366">
        <f>BA11/AZ11-1</f>
        <v>0.39516129032258074</v>
      </c>
      <c r="BB12" s="366">
        <f>BB11/BA11-1</f>
        <v>0.11175337186897871</v>
      </c>
      <c r="BC12" s="366">
        <f>BC11/BB11-1</f>
        <v>0.11438474870017323</v>
      </c>
      <c r="BD12" s="1115"/>
      <c r="BE12" s="366">
        <f>BE11/BC11-1</f>
        <v>-3.2659409020217689E-2</v>
      </c>
      <c r="BF12" s="366">
        <f>BF11/BE11-1</f>
        <v>-0.202572347266881</v>
      </c>
      <c r="BG12" s="366">
        <f>BG11/BF11-1</f>
        <v>-0.59677419354838712</v>
      </c>
      <c r="BH12" s="366">
        <f>BH11/BG11-1</f>
        <v>0.12999999999999989</v>
      </c>
      <c r="BI12" s="1115"/>
      <c r="BJ12" s="366">
        <f>BJ11/BH11-1</f>
        <v>0.30530973451327426</v>
      </c>
      <c r="BK12" s="366">
        <f>BK11/BJ11-1</f>
        <v>0.28474576271186436</v>
      </c>
      <c r="BL12" s="366">
        <f>BL11/BK11-1</f>
        <v>9.7625329815303363E-2</v>
      </c>
      <c r="BM12" s="366">
        <f>BM11/BL11-1</f>
        <v>0.11298076923076916</v>
      </c>
      <c r="BN12" s="1115"/>
      <c r="BO12" s="366">
        <f>BO11/BM11-1</f>
        <v>-7.7753779697624203E-2</v>
      </c>
      <c r="BP12" s="366">
        <f>BP11/BO11-1</f>
        <v>6.3231850117096089E-2</v>
      </c>
      <c r="BQ12" s="366">
        <f>BQ11/BP11-1</f>
        <v>7.0484581497797461E-2</v>
      </c>
      <c r="BR12" s="366">
        <f>BR11/BQ11-1</f>
        <v>5.1440329218106928E-2</v>
      </c>
      <c r="BS12" s="1115"/>
      <c r="BT12" s="366">
        <f>BT11/BR11-1</f>
        <v>-3.9138943248532287E-3</v>
      </c>
      <c r="BU12" s="366">
        <f>BU11/BT11-1</f>
        <v>0.18074656188605109</v>
      </c>
      <c r="BV12" s="366">
        <f>BV11/BU11-1</f>
        <v>0.26455906821963393</v>
      </c>
      <c r="BW12" s="366">
        <f>BW11/BV11-1</f>
        <v>0.73815789473684212</v>
      </c>
      <c r="BX12" s="1115"/>
      <c r="BY12" s="890">
        <f>BY11/BW11-1</f>
        <v>-1.5897047691143085E-2</v>
      </c>
      <c r="BZ12" s="90">
        <f>BZ11/BY11-1</f>
        <v>-0.51457692307692304</v>
      </c>
      <c r="CA12" s="90">
        <f>CA11/BZ11-1</f>
        <v>0.26455906821963371</v>
      </c>
      <c r="CB12" s="90">
        <f>CB11/CA11-1</f>
        <v>0.73815789473684212</v>
      </c>
      <c r="CC12" s="1115"/>
      <c r="CD12" s="90">
        <f>CD11/CB11-1</f>
        <v>-1.5897047691143085E-2</v>
      </c>
      <c r="CE12" s="90">
        <f>CE11/CD11-1</f>
        <v>-0.51457692307692304</v>
      </c>
      <c r="CF12" s="90">
        <f>CF11/CE11-1</f>
        <v>0.26455906821963393</v>
      </c>
      <c r="CG12" s="90">
        <f>CG11/CF11-1</f>
        <v>0.7381578947368419</v>
      </c>
      <c r="CH12" s="1115"/>
      <c r="CI12" s="1115"/>
      <c r="CJ12" s="1115"/>
      <c r="CK12" s="1115"/>
      <c r="CL12" s="155"/>
    </row>
    <row r="13" spans="1:90" x14ac:dyDescent="0.3">
      <c r="A13" s="669" t="s">
        <v>689</v>
      </c>
      <c r="B13" s="582"/>
      <c r="C13" s="1116"/>
      <c r="D13" s="1116"/>
      <c r="E13" s="1116"/>
      <c r="F13" s="1116"/>
      <c r="G13" s="643"/>
      <c r="H13" s="643"/>
      <c r="I13" s="643"/>
      <c r="J13" s="643"/>
      <c r="K13" s="1116"/>
      <c r="L13" s="643"/>
      <c r="M13" s="643"/>
      <c r="N13" s="643"/>
      <c r="O13" s="643"/>
      <c r="P13" s="1116"/>
      <c r="Q13" s="643"/>
      <c r="R13" s="643"/>
      <c r="S13" s="643"/>
      <c r="T13" s="643"/>
      <c r="U13" s="1117">
        <f t="shared" ref="U13:BE13" si="5">+U11/P11-1</f>
        <v>7.6045627376426506E-3</v>
      </c>
      <c r="V13" s="1020">
        <f t="shared" si="5"/>
        <v>-5.2356020942408432E-2</v>
      </c>
      <c r="W13" s="1020">
        <f t="shared" si="5"/>
        <v>-0.15384615384615385</v>
      </c>
      <c r="X13" s="1020">
        <f t="shared" si="5"/>
        <v>-7.7669902912621325E-2</v>
      </c>
      <c r="Y13" s="1020">
        <f t="shared" si="5"/>
        <v>6.8421052631578938E-2</v>
      </c>
      <c r="Z13" s="1117">
        <f t="shared" si="5"/>
        <v>-5.6603773584905648E-2</v>
      </c>
      <c r="AA13" s="1020">
        <f t="shared" si="5"/>
        <v>4.4198895027624419E-2</v>
      </c>
      <c r="AB13" s="1020">
        <f t="shared" si="5"/>
        <v>0.21590909090909083</v>
      </c>
      <c r="AC13" s="1020">
        <f t="shared" si="5"/>
        <v>8.9473684210526372E-2</v>
      </c>
      <c r="AD13" s="1020">
        <f t="shared" si="5"/>
        <v>0.10837438423645329</v>
      </c>
      <c r="AE13" s="1117">
        <f t="shared" si="5"/>
        <v>0.11333333333333329</v>
      </c>
      <c r="AF13" s="1020">
        <f t="shared" si="5"/>
        <v>8.4656084656084651E-2</v>
      </c>
      <c r="AG13" s="1020">
        <f t="shared" si="5"/>
        <v>9.8130841121495394E-2</v>
      </c>
      <c r="AH13" s="1020">
        <f t="shared" si="5"/>
        <v>0.15458937198067635</v>
      </c>
      <c r="AI13" s="1020">
        <f t="shared" si="5"/>
        <v>0.1333333333333333</v>
      </c>
      <c r="AJ13" s="1117">
        <f t="shared" si="5"/>
        <v>0.11856287425149703</v>
      </c>
      <c r="AK13" s="1020">
        <f t="shared" si="5"/>
        <v>0.224390243902439</v>
      </c>
      <c r="AL13" s="1020">
        <f t="shared" si="5"/>
        <v>0.19574468085106389</v>
      </c>
      <c r="AM13" s="1020">
        <f t="shared" si="5"/>
        <v>0.2761506276150627</v>
      </c>
      <c r="AN13" s="1020">
        <f t="shared" si="5"/>
        <v>0.14901960784313717</v>
      </c>
      <c r="AO13" s="1117">
        <f t="shared" si="5"/>
        <v>0.20985010706638119</v>
      </c>
      <c r="AP13" s="1020">
        <f t="shared" si="5"/>
        <v>5.9760956175298752E-2</v>
      </c>
      <c r="AQ13" s="1020">
        <f t="shared" si="5"/>
        <v>3.5587188612099752E-2</v>
      </c>
      <c r="AR13" s="1020">
        <f t="shared" si="5"/>
        <v>6.2295081967213006E-2</v>
      </c>
      <c r="AS13" s="1020">
        <f t="shared" si="5"/>
        <v>0.12969283276450505</v>
      </c>
      <c r="AT13" s="1117">
        <f t="shared" si="5"/>
        <v>7.2566371681415998E-2</v>
      </c>
      <c r="AU13" s="1020">
        <f t="shared" si="5"/>
        <v>0.15413533834586457</v>
      </c>
      <c r="AV13" s="1020">
        <f t="shared" si="5"/>
        <v>-0.30240549828178698</v>
      </c>
      <c r="AW13" s="1020">
        <f t="shared" si="5"/>
        <v>-0.27160493827160492</v>
      </c>
      <c r="AX13" s="1020">
        <f t="shared" si="5"/>
        <v>-7.2507552870090586E-2</v>
      </c>
      <c r="AY13" s="1117">
        <f t="shared" si="5"/>
        <v>-0.13118811881188119</v>
      </c>
      <c r="AZ13" s="1020">
        <f t="shared" si="5"/>
        <v>0.21172638436482094</v>
      </c>
      <c r="BA13" s="1020">
        <f t="shared" si="5"/>
        <v>1.5566502463054186</v>
      </c>
      <c r="BB13" s="1020">
        <f t="shared" si="5"/>
        <v>1.4449152542372881</v>
      </c>
      <c r="BC13" s="1020">
        <f t="shared" si="5"/>
        <v>1.0944625407166124</v>
      </c>
      <c r="BD13" s="1117">
        <f t="shared" si="5"/>
        <v>1.0047483380816713</v>
      </c>
      <c r="BE13" s="1020">
        <f t="shared" si="5"/>
        <v>0.67204301075268824</v>
      </c>
      <c r="BF13" s="1020">
        <f t="shared" ref="BF13:BK13" si="6">+BF11/BA11-1</f>
        <v>-4.4315992292870865E-2</v>
      </c>
      <c r="BG13" s="1020">
        <f t="shared" si="6"/>
        <v>-0.65337954939341425</v>
      </c>
      <c r="BH13" s="1020">
        <f t="shared" si="6"/>
        <v>-0.64852255054432351</v>
      </c>
      <c r="BI13" s="1117">
        <f t="shared" si="6"/>
        <v>-0.26859308384651825</v>
      </c>
      <c r="BJ13" s="1020">
        <f t="shared" si="6"/>
        <v>-0.52572347266881025</v>
      </c>
      <c r="BK13" s="1020">
        <f t="shared" si="6"/>
        <v>-0.23588709677419351</v>
      </c>
      <c r="BL13" s="1020">
        <f t="shared" ref="BL13:BQ13" si="7">+BL11/BG11-1</f>
        <v>1.08</v>
      </c>
      <c r="BM13" s="1020">
        <f t="shared" si="7"/>
        <v>1.0486725663716814</v>
      </c>
      <c r="BN13" s="1117">
        <f t="shared" si="7"/>
        <v>5.8290155440414715E-3</v>
      </c>
      <c r="BO13" s="1020">
        <f t="shared" si="7"/>
        <v>0.44745762711864412</v>
      </c>
      <c r="BP13" s="1020">
        <f t="shared" si="7"/>
        <v>0.19788918205804751</v>
      </c>
      <c r="BQ13" s="1020">
        <f t="shared" si="7"/>
        <v>0.16826923076923084</v>
      </c>
      <c r="BR13" s="1020">
        <f t="shared" ref="BR13:BX13" si="8">+BR11/BM11-1</f>
        <v>0.10367170626349886</v>
      </c>
      <c r="BS13" s="1117">
        <f t="shared" si="8"/>
        <v>0.20927237604636195</v>
      </c>
      <c r="BT13" s="1020">
        <f t="shared" si="8"/>
        <v>0.19203747072599531</v>
      </c>
      <c r="BU13" s="1020">
        <f t="shared" si="8"/>
        <v>0.32378854625550657</v>
      </c>
      <c r="BV13" s="1020">
        <f t="shared" si="8"/>
        <v>0.56378600823045266</v>
      </c>
      <c r="BW13" s="1020">
        <f t="shared" si="8"/>
        <v>1.5851272015655575</v>
      </c>
      <c r="BX13" s="1117">
        <f t="shared" si="8"/>
        <v>0.6991480298189563</v>
      </c>
      <c r="BY13" s="891">
        <f>+BY11/BT11-1</f>
        <v>1.5540275049115913</v>
      </c>
      <c r="BZ13" s="1056">
        <v>0.05</v>
      </c>
      <c r="CA13" s="1056">
        <v>0.05</v>
      </c>
      <c r="CB13" s="1056">
        <v>0.05</v>
      </c>
      <c r="CC13" s="1116">
        <f>+CC11/BX11-1</f>
        <v>0.28990911939830788</v>
      </c>
      <c r="CD13" s="1056">
        <v>0.05</v>
      </c>
      <c r="CE13" s="1056">
        <v>0.05</v>
      </c>
      <c r="CF13" s="1056">
        <v>0.05</v>
      </c>
      <c r="CG13" s="1056">
        <v>0.05</v>
      </c>
      <c r="CH13" s="1116">
        <f>+CH11/CC11-1</f>
        <v>4.9999999999999822E-2</v>
      </c>
      <c r="CI13" s="1118">
        <v>0.1</v>
      </c>
      <c r="CJ13" s="1118">
        <v>0.1</v>
      </c>
      <c r="CK13" s="1118">
        <v>0.1</v>
      </c>
      <c r="CL13" s="155"/>
    </row>
    <row r="14" spans="1:90" ht="7.35" customHeight="1" x14ac:dyDescent="0.3">
      <c r="A14" s="99"/>
      <c r="B14" s="598"/>
      <c r="C14" s="1112"/>
      <c r="D14" s="1112"/>
      <c r="E14" s="1112"/>
      <c r="F14" s="1112"/>
      <c r="G14" s="68"/>
      <c r="H14" s="68"/>
      <c r="I14" s="68"/>
      <c r="J14" s="68"/>
      <c r="K14" s="1112"/>
      <c r="L14" s="68"/>
      <c r="M14" s="68"/>
      <c r="N14" s="68"/>
      <c r="O14" s="68"/>
      <c r="P14" s="1112"/>
      <c r="Q14" s="68"/>
      <c r="R14" s="68"/>
      <c r="S14" s="68"/>
      <c r="T14" s="68"/>
      <c r="U14" s="1112"/>
      <c r="V14" s="68"/>
      <c r="W14" s="68"/>
      <c r="X14" s="68"/>
      <c r="Y14" s="68"/>
      <c r="Z14" s="1112"/>
      <c r="AA14" s="68"/>
      <c r="AB14" s="68"/>
      <c r="AC14" s="68"/>
      <c r="AD14" s="68"/>
      <c r="AE14" s="1112"/>
      <c r="AF14" s="68"/>
      <c r="AG14" s="68"/>
      <c r="AH14" s="68"/>
      <c r="AI14" s="68"/>
      <c r="AJ14" s="1112"/>
      <c r="AK14" s="68"/>
      <c r="AL14" s="68"/>
      <c r="AM14" s="68"/>
      <c r="AN14" s="68"/>
      <c r="AO14" s="1112"/>
      <c r="AP14" s="68"/>
      <c r="AQ14" s="68"/>
      <c r="AR14" s="68"/>
      <c r="AS14" s="68"/>
      <c r="AT14" s="1112"/>
      <c r="AU14" s="68"/>
      <c r="AV14" s="68"/>
      <c r="AW14" s="68"/>
      <c r="AX14" s="68"/>
      <c r="AY14" s="1112"/>
      <c r="AZ14" s="68"/>
      <c r="BA14" s="68"/>
      <c r="BB14" s="68"/>
      <c r="BC14" s="68"/>
      <c r="BD14" s="1112"/>
      <c r="BE14" s="68"/>
      <c r="BF14" s="68"/>
      <c r="BG14" s="68"/>
      <c r="BH14" s="68"/>
      <c r="BI14" s="1112"/>
      <c r="BJ14" s="68"/>
      <c r="BK14" s="68"/>
      <c r="BL14" s="68"/>
      <c r="BM14" s="68"/>
      <c r="BN14" s="1112"/>
      <c r="BO14" s="68"/>
      <c r="BP14" s="68"/>
      <c r="BQ14" s="68"/>
      <c r="BR14" s="68"/>
      <c r="BS14" s="1112"/>
      <c r="BT14" s="68"/>
      <c r="BU14" s="68"/>
      <c r="BV14" s="68"/>
      <c r="BW14" s="68"/>
      <c r="BX14" s="1112"/>
      <c r="BY14" s="588"/>
      <c r="BZ14" s="68"/>
      <c r="CA14" s="68"/>
      <c r="CB14" s="68"/>
      <c r="CC14" s="1112"/>
      <c r="CD14" s="68"/>
      <c r="CE14" s="68"/>
      <c r="CF14" s="68"/>
      <c r="CG14" s="68"/>
      <c r="CH14" s="1112"/>
      <c r="CI14" s="1112"/>
      <c r="CJ14" s="1112"/>
      <c r="CK14" s="1112"/>
      <c r="CL14" s="155"/>
    </row>
    <row r="15" spans="1:90" ht="14.4" customHeight="1" x14ac:dyDescent="0.3">
      <c r="A15" s="572" t="s">
        <v>1256</v>
      </c>
      <c r="B15" s="598"/>
      <c r="C15" s="1112"/>
      <c r="D15" s="1112"/>
      <c r="E15" s="1112"/>
      <c r="F15" s="1112"/>
      <c r="G15" s="68"/>
      <c r="H15" s="68"/>
      <c r="I15" s="68"/>
      <c r="J15" s="68"/>
      <c r="K15" s="1112"/>
      <c r="L15" s="68"/>
      <c r="M15" s="68"/>
      <c r="N15" s="68"/>
      <c r="O15" s="68"/>
      <c r="P15" s="1112"/>
      <c r="Q15" s="68"/>
      <c r="R15" s="68"/>
      <c r="S15" s="68"/>
      <c r="T15" s="68"/>
      <c r="U15" s="1112"/>
      <c r="V15" s="68"/>
      <c r="W15" s="68"/>
      <c r="X15" s="68"/>
      <c r="Y15" s="68"/>
      <c r="Z15" s="1112"/>
      <c r="AA15" s="68"/>
      <c r="AB15" s="68"/>
      <c r="AC15" s="68"/>
      <c r="AD15" s="68"/>
      <c r="AE15" s="1112"/>
      <c r="AF15" s="68"/>
      <c r="AG15" s="68"/>
      <c r="AH15" s="68"/>
      <c r="AI15" s="68"/>
      <c r="AJ15" s="1112"/>
      <c r="AK15" s="68"/>
      <c r="AL15" s="68"/>
      <c r="AM15" s="68"/>
      <c r="AN15" s="68"/>
      <c r="AO15" s="1112"/>
      <c r="AP15" s="68"/>
      <c r="AQ15" s="68"/>
      <c r="AR15" s="68"/>
      <c r="AS15" s="68"/>
      <c r="AT15" s="1112"/>
      <c r="AU15" s="68"/>
      <c r="AV15" s="68"/>
      <c r="AW15" s="68"/>
      <c r="AX15" s="68"/>
      <c r="AY15" s="1112"/>
      <c r="AZ15" s="68"/>
      <c r="BA15" s="68"/>
      <c r="BB15" s="68"/>
      <c r="BC15" s="68"/>
      <c r="BD15" s="1112"/>
      <c r="BE15" s="68"/>
      <c r="BF15" s="68"/>
      <c r="BG15" s="68"/>
      <c r="BH15" s="68"/>
      <c r="BI15" s="1112"/>
      <c r="BJ15" s="1055">
        <v>3357</v>
      </c>
      <c r="BK15" s="1055">
        <v>8612</v>
      </c>
      <c r="BL15" s="1055">
        <v>11908</v>
      </c>
      <c r="BM15" s="1055">
        <v>15073</v>
      </c>
      <c r="BN15" s="1113">
        <v>38950</v>
      </c>
      <c r="BO15" s="1055">
        <v>19392</v>
      </c>
      <c r="BP15" s="1055">
        <v>22604</v>
      </c>
      <c r="BQ15" s="1055">
        <v>27644</v>
      </c>
      <c r="BR15" s="68">
        <f>BS15-SUM(BO15,BP15,BQ15)</f>
        <v>32556</v>
      </c>
      <c r="BS15" s="1113">
        <v>102196</v>
      </c>
      <c r="BT15" s="1055">
        <v>34155</v>
      </c>
      <c r="BU15" s="1055">
        <v>33844</v>
      </c>
      <c r="BV15" s="1055">
        <v>43028</v>
      </c>
      <c r="BW15" s="68">
        <f>BX15-SUM(BT15,BU15,BV15)</f>
        <v>51334</v>
      </c>
      <c r="BX15" s="1113">
        <v>162361</v>
      </c>
      <c r="BY15" s="588">
        <f>BY22-BY19</f>
        <v>60446</v>
      </c>
      <c r="BZ15" s="68"/>
      <c r="CA15" s="68"/>
      <c r="CB15" s="68"/>
      <c r="CC15" s="1112"/>
      <c r="CD15" s="68"/>
      <c r="CE15" s="68"/>
      <c r="CF15" s="68"/>
      <c r="CG15" s="68"/>
      <c r="CH15" s="1112"/>
      <c r="CI15" s="1112"/>
      <c r="CJ15" s="1112"/>
      <c r="CK15" s="1112"/>
      <c r="CL15" s="155"/>
    </row>
    <row r="16" spans="1:90" s="975" customFormat="1" ht="14.4" customHeight="1" x14ac:dyDescent="0.3">
      <c r="A16" s="101" t="s">
        <v>1260</v>
      </c>
      <c r="B16" s="582"/>
      <c r="C16" s="1115"/>
      <c r="D16" s="1115"/>
      <c r="E16" s="1115"/>
      <c r="F16" s="1115"/>
      <c r="G16" s="90"/>
      <c r="H16" s="90"/>
      <c r="I16" s="90"/>
      <c r="J16" s="90"/>
      <c r="K16" s="1115"/>
      <c r="L16" s="90"/>
      <c r="M16" s="90"/>
      <c r="N16" s="90"/>
      <c r="O16" s="90"/>
      <c r="P16" s="1115"/>
      <c r="Q16" s="90"/>
      <c r="R16" s="90"/>
      <c r="S16" s="90"/>
      <c r="T16" s="90"/>
      <c r="U16" s="1115"/>
      <c r="V16" s="90"/>
      <c r="W16" s="90"/>
      <c r="X16" s="90"/>
      <c r="Y16" s="90"/>
      <c r="Z16" s="1115"/>
      <c r="AA16" s="90"/>
      <c r="AB16" s="90"/>
      <c r="AC16" s="90"/>
      <c r="AD16" s="90"/>
      <c r="AE16" s="1115"/>
      <c r="AF16" s="90"/>
      <c r="AG16" s="90"/>
      <c r="AH16" s="90"/>
      <c r="AI16" s="90"/>
      <c r="AJ16" s="1115"/>
      <c r="AK16" s="90"/>
      <c r="AL16" s="90"/>
      <c r="AM16" s="90"/>
      <c r="AN16" s="90"/>
      <c r="AO16" s="1115"/>
      <c r="AP16" s="90"/>
      <c r="AQ16" s="90"/>
      <c r="AR16" s="90"/>
      <c r="AS16" s="90"/>
      <c r="AT16" s="1115"/>
      <c r="AU16" s="90"/>
      <c r="AV16" s="90"/>
      <c r="AW16" s="90"/>
      <c r="AX16" s="90"/>
      <c r="AY16" s="1115"/>
      <c r="AZ16" s="90"/>
      <c r="BA16" s="90"/>
      <c r="BB16" s="90"/>
      <c r="BC16" s="90"/>
      <c r="BD16" s="1115"/>
      <c r="BE16" s="90"/>
      <c r="BF16" s="90"/>
      <c r="BG16" s="90"/>
      <c r="BH16" s="90"/>
      <c r="BI16" s="1115"/>
      <c r="BJ16" s="90"/>
      <c r="BK16" s="90">
        <f>BK15/BJ15-1</f>
        <v>1.5653857610962167</v>
      </c>
      <c r="BL16" s="90">
        <f>BL15/BK15-1</f>
        <v>0.38272178355782627</v>
      </c>
      <c r="BM16" s="90">
        <f>BM15/BL15-1</f>
        <v>0.26578770574403765</v>
      </c>
      <c r="BN16" s="1115"/>
      <c r="BO16" s="90">
        <f>BO15/BM15-1</f>
        <v>0.28653884429111653</v>
      </c>
      <c r="BP16" s="90">
        <f>BP15/BO15-1</f>
        <v>0.16563531353135308</v>
      </c>
      <c r="BQ16" s="90">
        <f>BQ15/BP15-1</f>
        <v>0.22296938594938953</v>
      </c>
      <c r="BR16" s="90">
        <f>BR15/BQ15-1</f>
        <v>0.17768774417595146</v>
      </c>
      <c r="BS16" s="1115"/>
      <c r="BT16" s="90">
        <f>BT15/BR15-1</f>
        <v>4.9115370438628903E-2</v>
      </c>
      <c r="BU16" s="90">
        <f>BU15/BT15-1</f>
        <v>-9.1055482359829742E-3</v>
      </c>
      <c r="BV16" s="90">
        <f>BV15/BU15-1</f>
        <v>0.27136272308237808</v>
      </c>
      <c r="BW16" s="90">
        <f>BW15/BV15-1</f>
        <v>0.19303709212605735</v>
      </c>
      <c r="BX16" s="1115"/>
      <c r="BY16" s="892">
        <f>BY15/BW15-1</f>
        <v>0.17750418825729541</v>
      </c>
      <c r="BZ16" s="90"/>
      <c r="CA16" s="90"/>
      <c r="CB16" s="90"/>
      <c r="CC16" s="1115"/>
      <c r="CD16" s="90"/>
      <c r="CE16" s="90"/>
      <c r="CF16" s="90"/>
      <c r="CG16" s="90"/>
      <c r="CH16" s="1115"/>
      <c r="CI16" s="1115"/>
      <c r="CJ16" s="1115"/>
      <c r="CK16" s="1115"/>
      <c r="CL16" s="366"/>
    </row>
    <row r="17" spans="1:90" s="975" customFormat="1" ht="14.4" customHeight="1" x14ac:dyDescent="0.3">
      <c r="A17" s="101" t="s">
        <v>1261</v>
      </c>
      <c r="B17" s="582"/>
      <c r="C17" s="1115"/>
      <c r="D17" s="1115"/>
      <c r="E17" s="1115"/>
      <c r="F17" s="1115"/>
      <c r="G17" s="90"/>
      <c r="H17" s="90"/>
      <c r="I17" s="90"/>
      <c r="J17" s="90"/>
      <c r="K17" s="1115"/>
      <c r="L17" s="90"/>
      <c r="M17" s="90"/>
      <c r="N17" s="90"/>
      <c r="O17" s="90"/>
      <c r="P17" s="1115"/>
      <c r="Q17" s="90"/>
      <c r="R17" s="90"/>
      <c r="S17" s="90"/>
      <c r="T17" s="90"/>
      <c r="U17" s="1115"/>
      <c r="V17" s="90"/>
      <c r="W17" s="90"/>
      <c r="X17" s="90"/>
      <c r="Y17" s="90"/>
      <c r="Z17" s="1115"/>
      <c r="AA17" s="90"/>
      <c r="AB17" s="90"/>
      <c r="AC17" s="90"/>
      <c r="AD17" s="90"/>
      <c r="AE17" s="1115"/>
      <c r="AF17" s="90"/>
      <c r="AG17" s="90"/>
      <c r="AH17" s="90"/>
      <c r="AI17" s="90"/>
      <c r="AJ17" s="1115"/>
      <c r="AK17" s="90"/>
      <c r="AL17" s="90"/>
      <c r="AM17" s="90"/>
      <c r="AN17" s="90"/>
      <c r="AO17" s="1115"/>
      <c r="AP17" s="90"/>
      <c r="AQ17" s="90"/>
      <c r="AR17" s="90"/>
      <c r="AS17" s="90"/>
      <c r="AT17" s="1115"/>
      <c r="AU17" s="90"/>
      <c r="AV17" s="90"/>
      <c r="AW17" s="90"/>
      <c r="AX17" s="90"/>
      <c r="AY17" s="1115"/>
      <c r="AZ17" s="90"/>
      <c r="BA17" s="90"/>
      <c r="BB17" s="90"/>
      <c r="BC17" s="90"/>
      <c r="BD17" s="1115"/>
      <c r="BE17" s="90"/>
      <c r="BF17" s="90"/>
      <c r="BG17" s="90"/>
      <c r="BH17" s="90"/>
      <c r="BI17" s="1115"/>
      <c r="BJ17" s="90"/>
      <c r="BK17" s="90"/>
      <c r="BL17" s="90"/>
      <c r="BM17" s="90"/>
      <c r="BN17" s="1115"/>
      <c r="BO17" s="90">
        <f t="shared" ref="BO17" si="9">+BO15/BJ15-1</f>
        <v>4.7765862377122428</v>
      </c>
      <c r="BP17" s="90">
        <f t="shared" ref="BP17" si="10">+BP15/BK15-1</f>
        <v>1.6247097073850441</v>
      </c>
      <c r="BQ17" s="90">
        <f t="shared" ref="BQ17" si="11">+BQ15/BL15-1</f>
        <v>1.321464561639234</v>
      </c>
      <c r="BR17" s="90">
        <f t="shared" ref="BR17:BX17" si="12">+BR15/BM15-1</f>
        <v>1.1598885424268559</v>
      </c>
      <c r="BS17" s="1115">
        <f t="shared" si="12"/>
        <v>1.6237740693196407</v>
      </c>
      <c r="BT17" s="90">
        <f t="shared" si="12"/>
        <v>0.76129331683168311</v>
      </c>
      <c r="BU17" s="90">
        <f t="shared" si="12"/>
        <v>0.49725712263316235</v>
      </c>
      <c r="BV17" s="90">
        <f t="shared" si="12"/>
        <v>0.55650412386051218</v>
      </c>
      <c r="BW17" s="90">
        <f t="shared" si="12"/>
        <v>0.57679076053569234</v>
      </c>
      <c r="BX17" s="1115">
        <f t="shared" si="12"/>
        <v>0.58872167208109905</v>
      </c>
      <c r="BY17" s="892">
        <f>+BY15/BT15-1</f>
        <v>0.76975552627726551</v>
      </c>
      <c r="BZ17" s="90"/>
      <c r="CA17" s="90"/>
      <c r="CB17" s="90"/>
      <c r="CC17" s="1115"/>
      <c r="CD17" s="90"/>
      <c r="CE17" s="90"/>
      <c r="CF17" s="90"/>
      <c r="CG17" s="90"/>
      <c r="CH17" s="1115"/>
      <c r="CI17" s="1115"/>
      <c r="CJ17" s="1115"/>
      <c r="CK17" s="1115"/>
      <c r="CL17" s="366"/>
    </row>
    <row r="18" spans="1:90" s="976" customFormat="1" ht="7.35" customHeight="1" x14ac:dyDescent="0.3">
      <c r="A18" s="102"/>
      <c r="B18" s="641"/>
      <c r="C18" s="1119"/>
      <c r="D18" s="1119"/>
      <c r="E18" s="1119"/>
      <c r="F18" s="1119"/>
      <c r="G18" s="76"/>
      <c r="H18" s="76"/>
      <c r="I18" s="76"/>
      <c r="J18" s="76"/>
      <c r="K18" s="1119"/>
      <c r="L18" s="76"/>
      <c r="M18" s="76"/>
      <c r="N18" s="76"/>
      <c r="O18" s="76"/>
      <c r="P18" s="1119"/>
      <c r="Q18" s="76"/>
      <c r="R18" s="76"/>
      <c r="S18" s="76"/>
      <c r="T18" s="76"/>
      <c r="U18" s="1119"/>
      <c r="V18" s="76"/>
      <c r="W18" s="76"/>
      <c r="X18" s="76"/>
      <c r="Y18" s="76"/>
      <c r="Z18" s="1119"/>
      <c r="AA18" s="76"/>
      <c r="AB18" s="76"/>
      <c r="AC18" s="76"/>
      <c r="AD18" s="76"/>
      <c r="AE18" s="1119"/>
      <c r="AF18" s="76"/>
      <c r="AG18" s="76"/>
      <c r="AH18" s="76"/>
      <c r="AI18" s="76"/>
      <c r="AJ18" s="1119"/>
      <c r="AK18" s="76"/>
      <c r="AL18" s="76"/>
      <c r="AM18" s="76"/>
      <c r="AN18" s="76"/>
      <c r="AO18" s="1119"/>
      <c r="AP18" s="76"/>
      <c r="AQ18" s="76"/>
      <c r="AR18" s="76"/>
      <c r="AS18" s="76"/>
      <c r="AT18" s="1119"/>
      <c r="AU18" s="76"/>
      <c r="AV18" s="76"/>
      <c r="AW18" s="76"/>
      <c r="AX18" s="76"/>
      <c r="AY18" s="1119"/>
      <c r="AZ18" s="76"/>
      <c r="BA18" s="76"/>
      <c r="BB18" s="76"/>
      <c r="BC18" s="76"/>
      <c r="BD18" s="1119"/>
      <c r="BE18" s="76"/>
      <c r="BF18" s="76"/>
      <c r="BG18" s="76"/>
      <c r="BH18" s="76"/>
      <c r="BI18" s="1119"/>
      <c r="BJ18" s="76"/>
      <c r="BK18" s="76"/>
      <c r="BL18" s="76"/>
      <c r="BM18" s="76"/>
      <c r="BN18" s="1119"/>
      <c r="BO18" s="76"/>
      <c r="BP18" s="76"/>
      <c r="BQ18" s="76"/>
      <c r="BR18" s="76"/>
      <c r="BS18" s="1119"/>
      <c r="BT18" s="76"/>
      <c r="BU18" s="76"/>
      <c r="BV18" s="76"/>
      <c r="BW18" s="76"/>
      <c r="BX18" s="1119"/>
      <c r="BY18" s="893"/>
      <c r="BZ18" s="76"/>
      <c r="CA18" s="76"/>
      <c r="CB18" s="76"/>
      <c r="CC18" s="1119"/>
      <c r="CD18" s="76"/>
      <c r="CE18" s="76"/>
      <c r="CF18" s="76"/>
      <c r="CG18" s="76"/>
      <c r="CH18" s="1119"/>
      <c r="CI18" s="1119"/>
      <c r="CJ18" s="1119"/>
      <c r="CK18" s="1119"/>
      <c r="CL18" s="791"/>
    </row>
    <row r="19" spans="1:90" ht="14.4" customHeight="1" x14ac:dyDescent="0.3">
      <c r="A19" s="572" t="s">
        <v>1257</v>
      </c>
      <c r="B19" s="598"/>
      <c r="C19" s="1112"/>
      <c r="D19" s="1112"/>
      <c r="E19" s="1112"/>
      <c r="F19" s="1112"/>
      <c r="G19" s="68"/>
      <c r="H19" s="68"/>
      <c r="I19" s="68"/>
      <c r="J19" s="68"/>
      <c r="K19" s="1112"/>
      <c r="L19" s="68"/>
      <c r="M19" s="68"/>
      <c r="N19" s="68"/>
      <c r="O19" s="68"/>
      <c r="P19" s="1112"/>
      <c r="Q19" s="68"/>
      <c r="R19" s="68"/>
      <c r="S19" s="68"/>
      <c r="T19" s="68"/>
      <c r="U19" s="1112"/>
      <c r="V19" s="68"/>
      <c r="W19" s="68"/>
      <c r="X19" s="68"/>
      <c r="Y19" s="68"/>
      <c r="Z19" s="1112"/>
      <c r="AA19" s="68"/>
      <c r="AB19" s="68"/>
      <c r="AC19" s="68"/>
      <c r="AD19" s="68"/>
      <c r="AE19" s="1112"/>
      <c r="AF19" s="68"/>
      <c r="AG19" s="68"/>
      <c r="AH19" s="68"/>
      <c r="AI19" s="68"/>
      <c r="AJ19" s="1112"/>
      <c r="AK19" s="68"/>
      <c r="AL19" s="68"/>
      <c r="AM19" s="68"/>
      <c r="AN19" s="68"/>
      <c r="AO19" s="1112"/>
      <c r="AP19" s="68"/>
      <c r="AQ19" s="68"/>
      <c r="AR19" s="68"/>
      <c r="AS19" s="68"/>
      <c r="AT19" s="1112"/>
      <c r="AU19" s="68"/>
      <c r="AV19" s="68"/>
      <c r="AW19" s="68"/>
      <c r="AX19" s="68"/>
      <c r="AY19" s="1112"/>
      <c r="AZ19" s="68"/>
      <c r="BA19" s="68"/>
      <c r="BB19" s="68"/>
      <c r="BC19" s="68"/>
      <c r="BD19" s="1112"/>
      <c r="BE19" s="68"/>
      <c r="BF19" s="68"/>
      <c r="BG19" s="68"/>
      <c r="BH19" s="68"/>
      <c r="BI19" s="1112"/>
      <c r="BJ19" s="1055">
        <v>927</v>
      </c>
      <c r="BK19" s="1055">
        <v>1711</v>
      </c>
      <c r="BL19" s="1055">
        <v>2606</v>
      </c>
      <c r="BM19" s="1055">
        <v>3331</v>
      </c>
      <c r="BN19" s="1113">
        <v>8575</v>
      </c>
      <c r="BO19" s="1055">
        <v>3171</v>
      </c>
      <c r="BP19" s="1055">
        <v>3668</v>
      </c>
      <c r="BQ19" s="1055">
        <v>3127</v>
      </c>
      <c r="BR19" s="68">
        <f>BS19-SUM(BO19,BP19,BQ19)</f>
        <v>3024</v>
      </c>
      <c r="BS19" s="1113">
        <v>12990</v>
      </c>
      <c r="BT19" s="1055">
        <v>4957</v>
      </c>
      <c r="BU19" s="1055">
        <v>7252</v>
      </c>
      <c r="BV19" s="1055">
        <v>8187</v>
      </c>
      <c r="BW19" s="68">
        <f>BX19-SUM(BT19,BU19,BV19)</f>
        <v>10980</v>
      </c>
      <c r="BX19" s="1113">
        <v>31376</v>
      </c>
      <c r="BY19" s="1057">
        <v>14800</v>
      </c>
      <c r="BZ19" s="68"/>
      <c r="CA19" s="68"/>
      <c r="CB19" s="68"/>
      <c r="CC19" s="1112"/>
      <c r="CD19" s="68"/>
      <c r="CE19" s="68"/>
      <c r="CF19" s="68"/>
      <c r="CG19" s="68"/>
      <c r="CH19" s="1112"/>
      <c r="CI19" s="1112"/>
      <c r="CJ19" s="1112"/>
      <c r="CK19" s="1112"/>
      <c r="CL19" s="155"/>
    </row>
    <row r="20" spans="1:90" s="975" customFormat="1" ht="14.4" customHeight="1" x14ac:dyDescent="0.3">
      <c r="A20" s="101" t="s">
        <v>1258</v>
      </c>
      <c r="B20" s="582"/>
      <c r="C20" s="1115"/>
      <c r="D20" s="1115"/>
      <c r="E20" s="1115"/>
      <c r="F20" s="1115"/>
      <c r="G20" s="90"/>
      <c r="H20" s="90"/>
      <c r="I20" s="90"/>
      <c r="J20" s="90"/>
      <c r="K20" s="1115"/>
      <c r="L20" s="90"/>
      <c r="M20" s="90"/>
      <c r="N20" s="90"/>
      <c r="O20" s="90"/>
      <c r="P20" s="1115"/>
      <c r="Q20" s="90"/>
      <c r="R20" s="90"/>
      <c r="S20" s="90"/>
      <c r="T20" s="90"/>
      <c r="U20" s="1115"/>
      <c r="V20" s="90"/>
      <c r="W20" s="90"/>
      <c r="X20" s="90"/>
      <c r="Y20" s="90"/>
      <c r="Z20" s="1115"/>
      <c r="AA20" s="90"/>
      <c r="AB20" s="90"/>
      <c r="AC20" s="90"/>
      <c r="AD20" s="90"/>
      <c r="AE20" s="1115"/>
      <c r="AF20" s="90"/>
      <c r="AG20" s="90"/>
      <c r="AH20" s="90"/>
      <c r="AI20" s="90"/>
      <c r="AJ20" s="1115"/>
      <c r="AK20" s="90"/>
      <c r="AL20" s="90"/>
      <c r="AM20" s="90"/>
      <c r="AN20" s="90"/>
      <c r="AO20" s="1115"/>
      <c r="AP20" s="90"/>
      <c r="AQ20" s="90"/>
      <c r="AR20" s="90"/>
      <c r="AS20" s="90"/>
      <c r="AT20" s="1115"/>
      <c r="AU20" s="90"/>
      <c r="AV20" s="90"/>
      <c r="AW20" s="90"/>
      <c r="AX20" s="90"/>
      <c r="AY20" s="1115"/>
      <c r="AZ20" s="90"/>
      <c r="BA20" s="90"/>
      <c r="BB20" s="90"/>
      <c r="BC20" s="90"/>
      <c r="BD20" s="1115"/>
      <c r="BE20" s="90"/>
      <c r="BF20" s="90"/>
      <c r="BG20" s="90"/>
      <c r="BH20" s="90"/>
      <c r="BI20" s="1115"/>
      <c r="BJ20" s="90"/>
      <c r="BK20" s="90">
        <f>BK19/BJ19-1</f>
        <v>0.84573894282632156</v>
      </c>
      <c r="BL20" s="90">
        <f>BL19/BK19-1</f>
        <v>0.52308591466978371</v>
      </c>
      <c r="BM20" s="90">
        <f>BM19/BL19-1</f>
        <v>0.27820414428242524</v>
      </c>
      <c r="BN20" s="1115"/>
      <c r="BO20" s="90">
        <f>BO19/BM19-1</f>
        <v>-4.8033623536475556E-2</v>
      </c>
      <c r="BP20" s="90">
        <f>BP19/BO19-1</f>
        <v>0.15673289183222949</v>
      </c>
      <c r="BQ20" s="90">
        <f>BQ19/BP19-1</f>
        <v>-0.14749182115594328</v>
      </c>
      <c r="BR20" s="90">
        <f>BR19/BQ19-1</f>
        <v>-3.293891909178126E-2</v>
      </c>
      <c r="BS20" s="1115"/>
      <c r="BT20" s="90">
        <f>BT19/BR19-1</f>
        <v>0.63921957671957674</v>
      </c>
      <c r="BU20" s="90">
        <f>BU19/BT19-1</f>
        <v>0.46298164212225146</v>
      </c>
      <c r="BV20" s="90">
        <f>BV19/BU19-1</f>
        <v>0.12892995035852173</v>
      </c>
      <c r="BW20" s="90">
        <f>BW19/BV19-1</f>
        <v>0.3411506046170758</v>
      </c>
      <c r="BX20" s="1115"/>
      <c r="BY20" s="892">
        <f>BY19/BW19-1</f>
        <v>0.34790528233151186</v>
      </c>
      <c r="BZ20" s="90"/>
      <c r="CA20" s="90"/>
      <c r="CB20" s="90"/>
      <c r="CC20" s="1115"/>
      <c r="CD20" s="90"/>
      <c r="CE20" s="90"/>
      <c r="CF20" s="90"/>
      <c r="CG20" s="90"/>
      <c r="CH20" s="1115"/>
      <c r="CI20" s="1115"/>
      <c r="CJ20" s="1115"/>
      <c r="CK20" s="1115"/>
      <c r="CL20" s="366"/>
    </row>
    <row r="21" spans="1:90" s="975" customFormat="1" ht="14.4" customHeight="1" x14ac:dyDescent="0.3">
      <c r="A21" s="101" t="s">
        <v>1259</v>
      </c>
      <c r="B21" s="582"/>
      <c r="C21" s="1115"/>
      <c r="D21" s="1115"/>
      <c r="E21" s="1115"/>
      <c r="F21" s="1115"/>
      <c r="G21" s="90"/>
      <c r="H21" s="90"/>
      <c r="I21" s="90"/>
      <c r="J21" s="90"/>
      <c r="K21" s="1115"/>
      <c r="L21" s="90"/>
      <c r="M21" s="90"/>
      <c r="N21" s="90"/>
      <c r="O21" s="90"/>
      <c r="P21" s="1115"/>
      <c r="Q21" s="90"/>
      <c r="R21" s="90"/>
      <c r="S21" s="90"/>
      <c r="T21" s="90"/>
      <c r="U21" s="1115"/>
      <c r="V21" s="90"/>
      <c r="W21" s="90"/>
      <c r="X21" s="90"/>
      <c r="Y21" s="90"/>
      <c r="Z21" s="1115"/>
      <c r="AA21" s="90"/>
      <c r="AB21" s="90"/>
      <c r="AC21" s="90"/>
      <c r="AD21" s="90"/>
      <c r="AE21" s="1115"/>
      <c r="AF21" s="90"/>
      <c r="AG21" s="90"/>
      <c r="AH21" s="90"/>
      <c r="AI21" s="90"/>
      <c r="AJ21" s="1115"/>
      <c r="AK21" s="90"/>
      <c r="AL21" s="90"/>
      <c r="AM21" s="90"/>
      <c r="AN21" s="90"/>
      <c r="AO21" s="1115"/>
      <c r="AP21" s="90"/>
      <c r="AQ21" s="90"/>
      <c r="AR21" s="90"/>
      <c r="AS21" s="90"/>
      <c r="AT21" s="1115"/>
      <c r="AU21" s="90"/>
      <c r="AV21" s="90"/>
      <c r="AW21" s="90"/>
      <c r="AX21" s="90"/>
      <c r="AY21" s="1115"/>
      <c r="AZ21" s="90"/>
      <c r="BA21" s="90"/>
      <c r="BB21" s="90"/>
      <c r="BC21" s="90"/>
      <c r="BD21" s="1115"/>
      <c r="BE21" s="90"/>
      <c r="BF21" s="90"/>
      <c r="BG21" s="90"/>
      <c r="BH21" s="90"/>
      <c r="BI21" s="1115"/>
      <c r="BJ21" s="90"/>
      <c r="BK21" s="90"/>
      <c r="BL21" s="90"/>
      <c r="BM21" s="90"/>
      <c r="BN21" s="1115"/>
      <c r="BO21" s="90">
        <f t="shared" ref="BO21" si="13">+BO19/BJ19-1</f>
        <v>2.4207119741100325</v>
      </c>
      <c r="BP21" s="90">
        <f t="shared" ref="BP21" si="14">+BP19/BK19-1</f>
        <v>1.1437755698421976</v>
      </c>
      <c r="BQ21" s="90">
        <f t="shared" ref="BQ21" si="15">+BQ19/BL19-1</f>
        <v>0.19992325402916356</v>
      </c>
      <c r="BR21" s="90">
        <f t="shared" ref="BR21:BX21" si="16">+BR19/BM19-1</f>
        <v>-9.2164515160612415E-2</v>
      </c>
      <c r="BS21" s="1115">
        <f t="shared" si="16"/>
        <v>0.51486880466472296</v>
      </c>
      <c r="BT21" s="90">
        <f t="shared" si="16"/>
        <v>0.56322926521602024</v>
      </c>
      <c r="BU21" s="90">
        <f t="shared" si="16"/>
        <v>0.97709923664122145</v>
      </c>
      <c r="BV21" s="90">
        <f t="shared" si="16"/>
        <v>1.618164374800128</v>
      </c>
      <c r="BW21" s="90">
        <f t="shared" si="16"/>
        <v>2.6309523809523809</v>
      </c>
      <c r="BX21" s="1115">
        <f t="shared" si="16"/>
        <v>1.4153964588144725</v>
      </c>
      <c r="BY21" s="892">
        <f>+BY19/BT19-1</f>
        <v>1.9856768206576558</v>
      </c>
      <c r="BZ21" s="90"/>
      <c r="CA21" s="90"/>
      <c r="CB21" s="90"/>
      <c r="CC21" s="1115"/>
      <c r="CD21" s="90"/>
      <c r="CE21" s="90"/>
      <c r="CF21" s="90"/>
      <c r="CG21" s="90"/>
      <c r="CH21" s="1115"/>
      <c r="CI21" s="1115"/>
      <c r="CJ21" s="1115"/>
      <c r="CK21" s="1115"/>
      <c r="CL21" s="366"/>
    </row>
    <row r="22" spans="1:90" x14ac:dyDescent="0.3">
      <c r="A22" s="559" t="s">
        <v>18</v>
      </c>
      <c r="B22" s="875"/>
      <c r="C22" s="1120"/>
      <c r="D22" s="1120"/>
      <c r="E22" s="1120"/>
      <c r="F22" s="1120"/>
      <c r="G22" s="561"/>
      <c r="H22" s="561"/>
      <c r="I22" s="561"/>
      <c r="J22" s="561"/>
      <c r="K22" s="1120"/>
      <c r="L22" s="561"/>
      <c r="M22" s="561"/>
      <c r="N22" s="561"/>
      <c r="O22" s="561"/>
      <c r="P22" s="1121">
        <v>199</v>
      </c>
      <c r="Q22" s="1058">
        <v>57</v>
      </c>
      <c r="R22" s="1058">
        <v>83</v>
      </c>
      <c r="S22" s="1058">
        <v>89</v>
      </c>
      <c r="T22" s="560">
        <f>U22-SUM(Q22,R22,S22)</f>
        <v>88</v>
      </c>
      <c r="U22" s="1121">
        <v>317</v>
      </c>
      <c r="V22" s="1058">
        <v>88</v>
      </c>
      <c r="W22" s="1058">
        <v>72</v>
      </c>
      <c r="X22" s="1058">
        <v>82</v>
      </c>
      <c r="Y22" s="560">
        <f>Z22-SUM(V22,W22,X22)</f>
        <v>97</v>
      </c>
      <c r="Z22" s="1121">
        <v>339</v>
      </c>
      <c r="AA22" s="1058">
        <v>143</v>
      </c>
      <c r="AB22" s="1058">
        <v>151</v>
      </c>
      <c r="AC22" s="1058">
        <v>240</v>
      </c>
      <c r="AD22" s="560">
        <f>AE22-SUM(AA22,AB22,AC22)</f>
        <v>296</v>
      </c>
      <c r="AE22" s="1121">
        <v>830</v>
      </c>
      <c r="AF22" s="1058">
        <v>409</v>
      </c>
      <c r="AG22" s="1058">
        <v>416</v>
      </c>
      <c r="AH22" s="1058">
        <v>501</v>
      </c>
      <c r="AI22" s="560">
        <f>AJ22-SUM(AF22,AG22,AH22)</f>
        <v>606</v>
      </c>
      <c r="AJ22" s="1121">
        <v>1932</v>
      </c>
      <c r="AK22" s="1058">
        <v>701</v>
      </c>
      <c r="AL22" s="1058">
        <v>760</v>
      </c>
      <c r="AM22" s="1058">
        <v>792</v>
      </c>
      <c r="AN22" s="1058">
        <v>679</v>
      </c>
      <c r="AO22" s="1122">
        <f>SUM(AK22,AL22,AM22,AN22)</f>
        <v>2932</v>
      </c>
      <c r="AP22" s="1058">
        <v>634</v>
      </c>
      <c r="AQ22" s="1058">
        <v>655</v>
      </c>
      <c r="AR22" s="1058">
        <v>726</v>
      </c>
      <c r="AS22" s="1058">
        <v>968</v>
      </c>
      <c r="AT22" s="1122">
        <f>SUM(AP22,AQ22,AR22,AS22)</f>
        <v>2983</v>
      </c>
      <c r="AU22" s="1058">
        <v>1141</v>
      </c>
      <c r="AV22" s="1058">
        <v>1752</v>
      </c>
      <c r="AW22" s="1058">
        <v>1900</v>
      </c>
      <c r="AX22" s="1058">
        <v>1903</v>
      </c>
      <c r="AY22" s="1122">
        <f>SUM(AU22,AV22,AW22,AX22)</f>
        <v>6696</v>
      </c>
      <c r="AZ22" s="1058">
        <v>2048</v>
      </c>
      <c r="BA22" s="1058">
        <v>2366</v>
      </c>
      <c r="BB22" s="1058">
        <v>2936</v>
      </c>
      <c r="BC22" s="1058">
        <v>3263</v>
      </c>
      <c r="BD22" s="1122">
        <f>SUM(AZ22,BA22,BB22,BC22)</f>
        <v>10613</v>
      </c>
      <c r="BE22" s="1058">
        <v>3750</v>
      </c>
      <c r="BF22" s="1058">
        <v>3806</v>
      </c>
      <c r="BG22" s="1058">
        <v>3833</v>
      </c>
      <c r="BH22" s="1058">
        <v>3616</v>
      </c>
      <c r="BI22" s="1122">
        <f>SUM(BE22,BF22,BG22,BH22)</f>
        <v>15005</v>
      </c>
      <c r="BJ22" s="1058">
        <v>4284</v>
      </c>
      <c r="BK22" s="1058">
        <v>10323</v>
      </c>
      <c r="BL22" s="1058">
        <v>14514</v>
      </c>
      <c r="BM22" s="1058">
        <v>18404</v>
      </c>
      <c r="BN22" s="1122">
        <f>SUM(BJ22,BK22,BL22,BM22)</f>
        <v>47525</v>
      </c>
      <c r="BO22" s="1058">
        <v>22563</v>
      </c>
      <c r="BP22" s="1058">
        <v>26272</v>
      </c>
      <c r="BQ22" s="1058">
        <v>30771</v>
      </c>
      <c r="BR22" s="1058">
        <v>35580</v>
      </c>
      <c r="BS22" s="1122">
        <f>SUM(BO22,BP22,BQ22,BR22)</f>
        <v>115186</v>
      </c>
      <c r="BT22" s="1058">
        <v>39112</v>
      </c>
      <c r="BU22" s="1058">
        <v>41096</v>
      </c>
      <c r="BV22" s="1058">
        <v>51215</v>
      </c>
      <c r="BW22" s="1058">
        <v>62314</v>
      </c>
      <c r="BX22" s="1122">
        <f>SUM(BT22,BU22,BV22,BW22)</f>
        <v>193737</v>
      </c>
      <c r="BY22" s="1059">
        <v>75246</v>
      </c>
      <c r="BZ22" s="561">
        <f>+BU22*(1+BZ24)</f>
        <v>83835.839999999997</v>
      </c>
      <c r="CA22" s="561">
        <f>+BV22*(1+CA24)</f>
        <v>84504.75</v>
      </c>
      <c r="CB22" s="561">
        <f>+BW22*(1+CB24)</f>
        <v>87239.599999999991</v>
      </c>
      <c r="CC22" s="1120">
        <f>SUM(BY22,BZ22,CA22,CB22)</f>
        <v>330826.19</v>
      </c>
      <c r="CD22" s="561">
        <f>+BY22*(1+CD24)</f>
        <v>97819.8</v>
      </c>
      <c r="CE22" s="561">
        <f>+BZ22*(1+CE24)</f>
        <v>108986.592</v>
      </c>
      <c r="CF22" s="561">
        <f>+CA22*(1+CF24)</f>
        <v>105630.9375</v>
      </c>
      <c r="CG22" s="561">
        <f>+CB22*(1+CG24)</f>
        <v>109049.49999999999</v>
      </c>
      <c r="CH22" s="1120">
        <f>SUM(CD22,CE22,CF22,CG22)</f>
        <v>421486.82949999999</v>
      </c>
      <c r="CI22" s="1120">
        <f>+CH22*(1+CI24)</f>
        <v>505784.19539999997</v>
      </c>
      <c r="CJ22" s="1120">
        <f>+CI22*(1+CJ24)</f>
        <v>596825.35057199991</v>
      </c>
      <c r="CK22" s="1120">
        <f>+CJ22*(1+CK24)</f>
        <v>704253.91367495991</v>
      </c>
      <c r="CL22" s="155"/>
    </row>
    <row r="23" spans="1:90" x14ac:dyDescent="0.3">
      <c r="A23" s="640" t="s">
        <v>685</v>
      </c>
      <c r="B23" s="641"/>
      <c r="C23" s="1115"/>
      <c r="D23" s="1115"/>
      <c r="E23" s="1115"/>
      <c r="F23" s="1115"/>
      <c r="G23" s="90"/>
      <c r="H23" s="90"/>
      <c r="I23" s="90"/>
      <c r="J23" s="90"/>
      <c r="K23" s="1115"/>
      <c r="L23" s="90"/>
      <c r="M23" s="90"/>
      <c r="N23" s="90"/>
      <c r="O23" s="90"/>
      <c r="P23" s="1115"/>
      <c r="Q23" s="90"/>
      <c r="R23" s="366">
        <f>R22/Q22-1</f>
        <v>0.45614035087719307</v>
      </c>
      <c r="S23" s="366">
        <f>S22/R22-1</f>
        <v>7.2289156626506035E-2</v>
      </c>
      <c r="T23" s="366">
        <f>T22/S22-1</f>
        <v>-1.1235955056179803E-2</v>
      </c>
      <c r="U23" s="1115"/>
      <c r="V23" s="366">
        <f>V22/T22-1</f>
        <v>0</v>
      </c>
      <c r="W23" s="366">
        <f>W22/V22-1</f>
        <v>-0.18181818181818177</v>
      </c>
      <c r="X23" s="366">
        <f>X22/W22-1</f>
        <v>0.13888888888888884</v>
      </c>
      <c r="Y23" s="366">
        <f>Y22/X22-1</f>
        <v>0.18292682926829262</v>
      </c>
      <c r="Z23" s="1115"/>
      <c r="AA23" s="366">
        <f>AA22/Y22-1</f>
        <v>0.47422680412371143</v>
      </c>
      <c r="AB23" s="366">
        <f>AB22/AA22-1</f>
        <v>5.5944055944056048E-2</v>
      </c>
      <c r="AC23" s="366">
        <f>AC22/AB22-1</f>
        <v>0.58940397350993368</v>
      </c>
      <c r="AD23" s="366">
        <f>AD22/AC22-1</f>
        <v>0.23333333333333339</v>
      </c>
      <c r="AE23" s="1115"/>
      <c r="AF23" s="366">
        <f>AF22/AD22-1</f>
        <v>0.3817567567567568</v>
      </c>
      <c r="AG23" s="366">
        <f>AG22/AF22-1</f>
        <v>1.7114914425427896E-2</v>
      </c>
      <c r="AH23" s="366">
        <f>AH22/AG22-1</f>
        <v>0.20432692307692313</v>
      </c>
      <c r="AI23" s="366">
        <f>AI22/AH22-1</f>
        <v>0.20958083832335328</v>
      </c>
      <c r="AJ23" s="1115"/>
      <c r="AK23" s="366">
        <f>AK22/AI22-1</f>
        <v>0.15676567656765683</v>
      </c>
      <c r="AL23" s="366">
        <f>AL22/AK22-1</f>
        <v>8.4165477888730411E-2</v>
      </c>
      <c r="AM23" s="366">
        <f>AM22/AL22-1</f>
        <v>4.2105263157894646E-2</v>
      </c>
      <c r="AN23" s="366">
        <f>AN22/AM22-1</f>
        <v>-0.14267676767676762</v>
      </c>
      <c r="AO23" s="1115"/>
      <c r="AP23" s="366">
        <f>AP22/AN22-1</f>
        <v>-6.6273932253313683E-2</v>
      </c>
      <c r="AQ23" s="366">
        <f>AQ22/AP22-1</f>
        <v>3.3123028391167209E-2</v>
      </c>
      <c r="AR23" s="366">
        <f>AR22/AQ22-1</f>
        <v>0.10839694656488552</v>
      </c>
      <c r="AS23" s="366">
        <f>AS22/AR22-1</f>
        <v>0.33333333333333326</v>
      </c>
      <c r="AT23" s="1115"/>
      <c r="AU23" s="366">
        <f>AU22/AS22-1</f>
        <v>0.17871900826446274</v>
      </c>
      <c r="AV23" s="366">
        <f>AV22/AU22-1</f>
        <v>0.5354951796669587</v>
      </c>
      <c r="AW23" s="366">
        <f>AW22/AV22-1</f>
        <v>8.4474885844748826E-2</v>
      </c>
      <c r="AX23" s="366">
        <f>AX22/AW22-1</f>
        <v>1.5789473684211242E-3</v>
      </c>
      <c r="AY23" s="1115"/>
      <c r="AZ23" s="366">
        <f>AZ22/AX22-1</f>
        <v>7.6195480819758243E-2</v>
      </c>
      <c r="BA23" s="366">
        <f>BA22/AZ22-1</f>
        <v>0.1552734375</v>
      </c>
      <c r="BB23" s="366">
        <f>BB22/BA22-1</f>
        <v>0.24091293322062546</v>
      </c>
      <c r="BC23" s="366">
        <f>BC22/BB22-1</f>
        <v>0.11137602179836503</v>
      </c>
      <c r="BD23" s="1115"/>
      <c r="BE23" s="366">
        <f>BE22/BC22-1</f>
        <v>0.14924915721728471</v>
      </c>
      <c r="BF23" s="366">
        <f>BF22/BE22-1</f>
        <v>1.4933333333333243E-2</v>
      </c>
      <c r="BG23" s="366">
        <f>BG22/BF22-1</f>
        <v>7.0940620073567384E-3</v>
      </c>
      <c r="BH23" s="366">
        <f>BH22/BG22-1</f>
        <v>-5.6613618575528268E-2</v>
      </c>
      <c r="BI23" s="1115"/>
      <c r="BJ23" s="366">
        <f>BJ22/BH22-1</f>
        <v>0.18473451327433632</v>
      </c>
      <c r="BK23" s="366">
        <f>BK22/BJ22-1</f>
        <v>1.4096638655462184</v>
      </c>
      <c r="BL23" s="366">
        <f>BL22/BK22-1</f>
        <v>0.40598663179308336</v>
      </c>
      <c r="BM23" s="366">
        <f>BM22/BL22-1</f>
        <v>0.2680170869505305</v>
      </c>
      <c r="BN23" s="1115"/>
      <c r="BO23" s="366">
        <f>BO22/BM22-1</f>
        <v>0.22598348185177142</v>
      </c>
      <c r="BP23" s="366">
        <f>BP22/BO22-1</f>
        <v>0.16438416877188322</v>
      </c>
      <c r="BQ23" s="366">
        <f>BQ22/BP22-1</f>
        <v>0.17124695493300846</v>
      </c>
      <c r="BR23" s="366">
        <f>BR22/BQ22-1</f>
        <v>0.15628351369796234</v>
      </c>
      <c r="BS23" s="1115"/>
      <c r="BT23" s="366">
        <f>BT22/BR22-1</f>
        <v>9.9269252388982654E-2</v>
      </c>
      <c r="BU23" s="366">
        <f>BU22/BT22-1</f>
        <v>5.0726119860912355E-2</v>
      </c>
      <c r="BV23" s="366">
        <f>BV22/BU22-1</f>
        <v>0.24622834339108435</v>
      </c>
      <c r="BW23" s="366">
        <f>BW22/BV22-1</f>
        <v>0.21671385336327242</v>
      </c>
      <c r="BX23" s="1115"/>
      <c r="BY23" s="890">
        <f>BY22/BW22-1</f>
        <v>0.20752960811374654</v>
      </c>
      <c r="BZ23" s="90">
        <f>BZ22/BY22-1</f>
        <v>0.11415676580814926</v>
      </c>
      <c r="CA23" s="90">
        <f>CA22/BZ22-1</f>
        <v>7.9788071545534578E-3</v>
      </c>
      <c r="CB23" s="90">
        <f>CB22/CA22-1</f>
        <v>3.23632695203524E-2</v>
      </c>
      <c r="CC23" s="1115"/>
      <c r="CD23" s="90">
        <f>CD22/CB22-1</f>
        <v>0.12127749324847903</v>
      </c>
      <c r="CE23" s="90">
        <f>CE22/CD22-1</f>
        <v>0.11415676580814926</v>
      </c>
      <c r="CF23" s="90">
        <f>CF22/CE22-1</f>
        <v>-3.0789608505237043E-2</v>
      </c>
      <c r="CG23" s="90">
        <f>CG22/CF22-1</f>
        <v>3.2363269520352178E-2</v>
      </c>
      <c r="CH23" s="1115"/>
      <c r="CI23" s="1115"/>
      <c r="CJ23" s="1115"/>
      <c r="CK23" s="1115"/>
      <c r="CL23" s="155"/>
    </row>
    <row r="24" spans="1:90" x14ac:dyDescent="0.3">
      <c r="A24" s="669" t="s">
        <v>690</v>
      </c>
      <c r="B24" s="582"/>
      <c r="C24" s="1116"/>
      <c r="D24" s="1116"/>
      <c r="E24" s="1116"/>
      <c r="F24" s="1116"/>
      <c r="G24" s="643"/>
      <c r="H24" s="643"/>
      <c r="I24" s="643"/>
      <c r="J24" s="643"/>
      <c r="K24" s="1116"/>
      <c r="L24" s="643"/>
      <c r="M24" s="643"/>
      <c r="N24" s="643"/>
      <c r="O24" s="643"/>
      <c r="P24" s="1116"/>
      <c r="Q24" s="643"/>
      <c r="R24" s="643"/>
      <c r="S24" s="643"/>
      <c r="T24" s="643"/>
      <c r="U24" s="1117">
        <f t="shared" ref="U24:BE24" si="17">+U22/P22-1</f>
        <v>0.59296482412060292</v>
      </c>
      <c r="V24" s="1020">
        <f t="shared" si="17"/>
        <v>0.54385964912280693</v>
      </c>
      <c r="W24" s="1020">
        <f t="shared" si="17"/>
        <v>-0.13253012048192769</v>
      </c>
      <c r="X24" s="1020">
        <f t="shared" si="17"/>
        <v>-7.8651685393258397E-2</v>
      </c>
      <c r="Y24" s="1020">
        <f t="shared" si="17"/>
        <v>0.10227272727272729</v>
      </c>
      <c r="Z24" s="1117">
        <f t="shared" si="17"/>
        <v>6.9400630914826511E-2</v>
      </c>
      <c r="AA24" s="1020">
        <f t="shared" si="17"/>
        <v>0.625</v>
      </c>
      <c r="AB24" s="1020">
        <f t="shared" si="17"/>
        <v>1.0972222222222223</v>
      </c>
      <c r="AC24" s="1020">
        <f t="shared" si="17"/>
        <v>1.9268292682926829</v>
      </c>
      <c r="AD24" s="1020">
        <f t="shared" si="17"/>
        <v>2.0515463917525771</v>
      </c>
      <c r="AE24" s="1117">
        <f t="shared" si="17"/>
        <v>1.4483775811209441</v>
      </c>
      <c r="AF24" s="1020">
        <f t="shared" si="17"/>
        <v>1.86013986013986</v>
      </c>
      <c r="AG24" s="1020">
        <f t="shared" si="17"/>
        <v>1.7549668874172184</v>
      </c>
      <c r="AH24" s="1020">
        <f t="shared" si="17"/>
        <v>1.0874999999999999</v>
      </c>
      <c r="AI24" s="1020">
        <f t="shared" si="17"/>
        <v>1.0472972972972974</v>
      </c>
      <c r="AJ24" s="1117">
        <f t="shared" si="17"/>
        <v>1.3277108433734939</v>
      </c>
      <c r="AK24" s="1020">
        <f t="shared" si="17"/>
        <v>0.71393643031784837</v>
      </c>
      <c r="AL24" s="1020">
        <f t="shared" si="17"/>
        <v>0.82692307692307687</v>
      </c>
      <c r="AM24" s="1020">
        <f t="shared" si="17"/>
        <v>0.58083832335329344</v>
      </c>
      <c r="AN24" s="1020">
        <f t="shared" si="17"/>
        <v>0.12046204620462042</v>
      </c>
      <c r="AO24" s="1117">
        <f t="shared" si="17"/>
        <v>0.51759834368530022</v>
      </c>
      <c r="AP24" s="1020">
        <f t="shared" si="17"/>
        <v>-9.5577746077032844E-2</v>
      </c>
      <c r="AQ24" s="1020">
        <f t="shared" si="17"/>
        <v>-0.13815789473684215</v>
      </c>
      <c r="AR24" s="1020">
        <f t="shared" si="17"/>
        <v>-8.333333333333337E-2</v>
      </c>
      <c r="AS24" s="1020">
        <f t="shared" si="17"/>
        <v>0.42562592047128134</v>
      </c>
      <c r="AT24" s="1117">
        <f t="shared" si="17"/>
        <v>1.7394270122783162E-2</v>
      </c>
      <c r="AU24" s="1020">
        <f t="shared" si="17"/>
        <v>0.7996845425867507</v>
      </c>
      <c r="AV24" s="1020">
        <f t="shared" si="17"/>
        <v>1.6748091603053434</v>
      </c>
      <c r="AW24" s="1020">
        <f t="shared" si="17"/>
        <v>1.6170798898071626</v>
      </c>
      <c r="AX24" s="1020">
        <f t="shared" si="17"/>
        <v>0.96590909090909083</v>
      </c>
      <c r="AY24" s="1117">
        <f t="shared" si="17"/>
        <v>1.2447200804559166</v>
      </c>
      <c r="AZ24" s="1020">
        <f t="shared" si="17"/>
        <v>0.79491673970201582</v>
      </c>
      <c r="BA24" s="1020">
        <f t="shared" si="17"/>
        <v>0.35045662100456632</v>
      </c>
      <c r="BB24" s="1020">
        <f t="shared" si="17"/>
        <v>0.54526315789473689</v>
      </c>
      <c r="BC24" s="1020">
        <f t="shared" si="17"/>
        <v>0.7146610614818707</v>
      </c>
      <c r="BD24" s="1117">
        <f t="shared" si="17"/>
        <v>0.5849761051373954</v>
      </c>
      <c r="BE24" s="1020">
        <f t="shared" si="17"/>
        <v>0.8310546875</v>
      </c>
      <c r="BF24" s="1020">
        <f t="shared" ref="BF24:BK24" si="18">+BF22/BA22-1</f>
        <v>0.60862214708368545</v>
      </c>
      <c r="BG24" s="1020">
        <f t="shared" si="18"/>
        <v>0.30551771117166204</v>
      </c>
      <c r="BH24" s="1020">
        <f t="shared" si="18"/>
        <v>0.10818265399938709</v>
      </c>
      <c r="BI24" s="1117">
        <f t="shared" si="18"/>
        <v>0.4138320927164798</v>
      </c>
      <c r="BJ24" s="1020">
        <f t="shared" si="18"/>
        <v>0.14240000000000008</v>
      </c>
      <c r="BK24" s="1020">
        <f t="shared" si="18"/>
        <v>1.712296374146085</v>
      </c>
      <c r="BL24" s="1020">
        <f t="shared" ref="BL24:BQ24" si="19">+BL22/BG22-1</f>
        <v>2.7865901382728935</v>
      </c>
      <c r="BM24" s="1020">
        <f t="shared" si="19"/>
        <v>4.0896017699115044</v>
      </c>
      <c r="BN24" s="1117">
        <f t="shared" si="19"/>
        <v>2.1672775741419525</v>
      </c>
      <c r="BO24" s="1020">
        <f t="shared" si="19"/>
        <v>4.2668067226890756</v>
      </c>
      <c r="BP24" s="1020">
        <f t="shared" si="19"/>
        <v>1.5449966095127388</v>
      </c>
      <c r="BQ24" s="1020">
        <f t="shared" si="19"/>
        <v>1.1200909466721787</v>
      </c>
      <c r="BR24" s="1020">
        <f t="shared" ref="BR24:BX24" si="20">+BR22/BM22-1</f>
        <v>0.93327537491849588</v>
      </c>
      <c r="BS24" s="1117">
        <f t="shared" si="20"/>
        <v>1.4236927932667016</v>
      </c>
      <c r="BT24" s="1020">
        <f t="shared" si="20"/>
        <v>0.73345743030625354</v>
      </c>
      <c r="BU24" s="1020">
        <f t="shared" si="20"/>
        <v>0.56425091352009749</v>
      </c>
      <c r="BV24" s="1020">
        <f t="shared" si="20"/>
        <v>0.66439179747164534</v>
      </c>
      <c r="BW24" s="1020">
        <f t="shared" si="20"/>
        <v>0.75137717818999428</v>
      </c>
      <c r="BX24" s="1117">
        <f t="shared" si="20"/>
        <v>0.68194919521469632</v>
      </c>
      <c r="BY24" s="891">
        <f>+BY22/BT22-1</f>
        <v>0.92385968500715898</v>
      </c>
      <c r="BZ24" s="1056">
        <v>1.04</v>
      </c>
      <c r="CA24" s="1056">
        <v>0.65</v>
      </c>
      <c r="CB24" s="1056">
        <v>0.4</v>
      </c>
      <c r="CC24" s="1116">
        <f>+CC22/BX22-1</f>
        <v>0.70760458766265599</v>
      </c>
      <c r="CD24" s="1056">
        <v>0.3</v>
      </c>
      <c r="CE24" s="1056">
        <v>0.3</v>
      </c>
      <c r="CF24" s="1056">
        <v>0.25</v>
      </c>
      <c r="CG24" s="1056">
        <v>0.25</v>
      </c>
      <c r="CH24" s="1116">
        <f>+CH22/CC22-1</f>
        <v>0.27404311460347186</v>
      </c>
      <c r="CI24" s="1118">
        <v>0.2</v>
      </c>
      <c r="CJ24" s="1118">
        <v>0.18</v>
      </c>
      <c r="CK24" s="1118">
        <v>0.18</v>
      </c>
      <c r="CL24" s="155"/>
    </row>
    <row r="25" spans="1:90" ht="7.35" customHeight="1" x14ac:dyDescent="0.3">
      <c r="A25" s="99"/>
      <c r="B25" s="598"/>
      <c r="C25" s="1112"/>
      <c r="D25" s="1112"/>
      <c r="E25" s="1112"/>
      <c r="F25" s="1112"/>
      <c r="G25" s="68"/>
      <c r="H25" s="68"/>
      <c r="I25" s="68"/>
      <c r="J25" s="68"/>
      <c r="K25" s="1112"/>
      <c r="L25" s="68"/>
      <c r="M25" s="68"/>
      <c r="N25" s="68"/>
      <c r="O25" s="68"/>
      <c r="P25" s="1112"/>
      <c r="Q25" s="68"/>
      <c r="R25" s="68"/>
      <c r="S25" s="68"/>
      <c r="T25" s="68"/>
      <c r="U25" s="1112"/>
      <c r="V25" s="68"/>
      <c r="W25" s="68"/>
      <c r="X25" s="68"/>
      <c r="Y25" s="68"/>
      <c r="Z25" s="1112"/>
      <c r="AA25" s="68"/>
      <c r="AB25" s="68"/>
      <c r="AC25" s="68"/>
      <c r="AD25" s="68"/>
      <c r="AE25" s="1112"/>
      <c r="AF25" s="68"/>
      <c r="AG25" s="68"/>
      <c r="AH25" s="68"/>
      <c r="AI25" s="68"/>
      <c r="AJ25" s="1112"/>
      <c r="AK25" s="68"/>
      <c r="AL25" s="68"/>
      <c r="AM25" s="68"/>
      <c r="AN25" s="68"/>
      <c r="AO25" s="1112"/>
      <c r="AP25" s="68"/>
      <c r="AQ25" s="68"/>
      <c r="AR25" s="68"/>
      <c r="AS25" s="68"/>
      <c r="AT25" s="1112"/>
      <c r="AU25" s="68"/>
      <c r="AV25" s="68"/>
      <c r="AW25" s="68"/>
      <c r="AX25" s="68"/>
      <c r="AY25" s="1112"/>
      <c r="AZ25" s="68"/>
      <c r="BA25" s="68"/>
      <c r="BB25" s="68"/>
      <c r="BC25" s="68"/>
      <c r="BD25" s="1112"/>
      <c r="BE25" s="68"/>
      <c r="BF25" s="68"/>
      <c r="BG25" s="68"/>
      <c r="BH25" s="68"/>
      <c r="BI25" s="1112"/>
      <c r="BJ25" s="68"/>
      <c r="BK25" s="68"/>
      <c r="BL25" s="68"/>
      <c r="BM25" s="68"/>
      <c r="BN25" s="1112"/>
      <c r="BO25" s="68"/>
      <c r="BP25" s="68"/>
      <c r="BQ25" s="68"/>
      <c r="BR25" s="68"/>
      <c r="BS25" s="1112"/>
      <c r="BT25" s="68"/>
      <c r="BU25" s="68"/>
      <c r="BV25" s="68"/>
      <c r="BW25" s="68"/>
      <c r="BX25" s="1112"/>
      <c r="BY25" s="588"/>
      <c r="BZ25" s="68"/>
      <c r="CA25" s="68"/>
      <c r="CB25" s="68"/>
      <c r="CC25" s="1112"/>
      <c r="CD25" s="68"/>
      <c r="CE25" s="68"/>
      <c r="CF25" s="68"/>
      <c r="CG25" s="68"/>
      <c r="CH25" s="1112"/>
      <c r="CI25" s="1112"/>
      <c r="CJ25" s="1112"/>
      <c r="CK25" s="1112"/>
      <c r="CL25" s="155"/>
    </row>
    <row r="26" spans="1:90" x14ac:dyDescent="0.3">
      <c r="A26" s="67" t="s">
        <v>19</v>
      </c>
      <c r="B26" s="598"/>
      <c r="C26" s="1112"/>
      <c r="D26" s="1112"/>
      <c r="E26" s="1112"/>
      <c r="F26" s="1112"/>
      <c r="G26" s="68"/>
      <c r="H26" s="68"/>
      <c r="I26" s="68"/>
      <c r="J26" s="68"/>
      <c r="K26" s="1112"/>
      <c r="L26" s="68"/>
      <c r="M26" s="68"/>
      <c r="N26" s="68"/>
      <c r="O26" s="68"/>
      <c r="P26" s="1113">
        <v>99</v>
      </c>
      <c r="Q26" s="1055">
        <v>35</v>
      </c>
      <c r="R26" s="1055">
        <v>40</v>
      </c>
      <c r="S26" s="1055">
        <v>52</v>
      </c>
      <c r="T26" s="27">
        <f>U26-SUM(Q26,R26,S26)</f>
        <v>56</v>
      </c>
      <c r="U26" s="1113">
        <v>183</v>
      </c>
      <c r="V26" s="1055">
        <v>77</v>
      </c>
      <c r="W26" s="1055">
        <v>71</v>
      </c>
      <c r="X26" s="1055">
        <v>79</v>
      </c>
      <c r="Y26" s="27">
        <f>Z26-SUM(V26,W26,X26)</f>
        <v>93</v>
      </c>
      <c r="Z26" s="1113">
        <v>320</v>
      </c>
      <c r="AA26" s="1055">
        <v>113</v>
      </c>
      <c r="AB26" s="1055">
        <v>119</v>
      </c>
      <c r="AC26" s="1055">
        <v>127</v>
      </c>
      <c r="AD26" s="27">
        <f>AE26-SUM(AA26,AB26,AC26)</f>
        <v>128</v>
      </c>
      <c r="AE26" s="1113">
        <v>487</v>
      </c>
      <c r="AF26" s="1055">
        <v>140</v>
      </c>
      <c r="AG26" s="1055">
        <v>142</v>
      </c>
      <c r="AH26" s="1055">
        <v>144</v>
      </c>
      <c r="AI26" s="27">
        <f>AJ26-SUM(AF26,AG26,AH26)</f>
        <v>132</v>
      </c>
      <c r="AJ26" s="1113">
        <v>558</v>
      </c>
      <c r="AK26" s="1055">
        <v>145</v>
      </c>
      <c r="AL26" s="1055">
        <v>161</v>
      </c>
      <c r="AM26" s="1055">
        <v>172</v>
      </c>
      <c r="AN26" s="1055">
        <v>163</v>
      </c>
      <c r="AO26" s="1114">
        <f>SUM(AK26,AL26,AM26,AN26)</f>
        <v>641</v>
      </c>
      <c r="AP26" s="1055">
        <v>166</v>
      </c>
      <c r="AQ26" s="1055">
        <v>209</v>
      </c>
      <c r="AR26" s="1055">
        <v>162</v>
      </c>
      <c r="AS26" s="1055">
        <v>163</v>
      </c>
      <c r="AT26" s="1114">
        <f>SUM(AP26,AQ26,AR26,AS26)</f>
        <v>700</v>
      </c>
      <c r="AU26" s="1055">
        <v>155</v>
      </c>
      <c r="AV26" s="1055">
        <v>111</v>
      </c>
      <c r="AW26" s="1055">
        <v>125</v>
      </c>
      <c r="AX26" s="1055">
        <v>145</v>
      </c>
      <c r="AY26" s="1114">
        <f>SUM(AU26,AV26,AW26,AX26)</f>
        <v>536</v>
      </c>
      <c r="AZ26" s="1055">
        <v>154</v>
      </c>
      <c r="BA26" s="1055">
        <v>152</v>
      </c>
      <c r="BB26" s="1055">
        <v>135</v>
      </c>
      <c r="BC26" s="1055">
        <v>125</v>
      </c>
      <c r="BD26" s="1114">
        <f>SUM(AZ26,BA26,BB26,BC26)</f>
        <v>566</v>
      </c>
      <c r="BE26" s="1055">
        <v>138</v>
      </c>
      <c r="BF26" s="1055">
        <v>220</v>
      </c>
      <c r="BG26" s="1055">
        <v>251</v>
      </c>
      <c r="BH26" s="1055">
        <v>294</v>
      </c>
      <c r="BI26" s="1114">
        <f>SUM(BE26,BF26,BG26,BH26)</f>
        <v>903</v>
      </c>
      <c r="BJ26" s="1055">
        <v>296</v>
      </c>
      <c r="BK26" s="1055">
        <v>253</v>
      </c>
      <c r="BL26" s="1055">
        <v>261</v>
      </c>
      <c r="BM26" s="1055">
        <v>281</v>
      </c>
      <c r="BN26" s="1114">
        <f>SUM(BJ26,BK26,BL26,BM26)</f>
        <v>1091</v>
      </c>
      <c r="BO26" s="1055">
        <v>329</v>
      </c>
      <c r="BP26" s="1055">
        <v>346</v>
      </c>
      <c r="BQ26" s="1055">
        <v>449</v>
      </c>
      <c r="BR26" s="1055">
        <v>570</v>
      </c>
      <c r="BS26" s="1114">
        <f>SUM(BO26,BP26,BQ26,BR26)</f>
        <v>1694</v>
      </c>
      <c r="BT26" s="1055">
        <v>567</v>
      </c>
      <c r="BU26" s="1055">
        <v>586</v>
      </c>
      <c r="BV26" s="1055">
        <v>592</v>
      </c>
      <c r="BW26" s="1055">
        <v>604</v>
      </c>
      <c r="BX26" s="1114">
        <f>SUM(BT26,BU26,BV26,BW26)</f>
        <v>2349</v>
      </c>
      <c r="BY26" s="1057">
        <v>650</v>
      </c>
      <c r="BZ26" s="68">
        <f>+BU26*(1+BZ28)</f>
        <v>703.19999999999993</v>
      </c>
      <c r="CA26" s="68">
        <f>+BV26*(1+CA28)</f>
        <v>710.4</v>
      </c>
      <c r="CB26" s="68">
        <f>+BW26*(1+CB28)</f>
        <v>724.8</v>
      </c>
      <c r="CC26" s="1112">
        <f>SUM(BY26,BZ26,CA26,CB26)</f>
        <v>2788.3999999999996</v>
      </c>
      <c r="CD26" s="68">
        <f>+BY26*(1+CD28)</f>
        <v>845</v>
      </c>
      <c r="CE26" s="68">
        <f>+BZ26*(1+CE28)</f>
        <v>843.83999999999992</v>
      </c>
      <c r="CF26" s="68">
        <f>+CA26*(1+CF28)</f>
        <v>852.4799999999999</v>
      </c>
      <c r="CG26" s="68">
        <f>+CB26*(1+CG28)</f>
        <v>869.75999999999988</v>
      </c>
      <c r="CH26" s="1112">
        <f>SUM(CD26,CE26,CF26,CG26)</f>
        <v>3411.0799999999995</v>
      </c>
      <c r="CI26" s="1112">
        <f>+CH26*(1+CI28)</f>
        <v>3752.1879999999996</v>
      </c>
      <c r="CJ26" s="1112">
        <f>+CI26*(1+CJ28)</f>
        <v>4127.4067999999997</v>
      </c>
      <c r="CK26" s="1112">
        <f>+CJ26*(1+CK28)</f>
        <v>4540.1474800000005</v>
      </c>
      <c r="CL26" s="155"/>
    </row>
    <row r="27" spans="1:90" x14ac:dyDescent="0.3">
      <c r="A27" s="640" t="s">
        <v>686</v>
      </c>
      <c r="B27" s="641"/>
      <c r="C27" s="1115"/>
      <c r="D27" s="1115"/>
      <c r="E27" s="1115"/>
      <c r="F27" s="1115"/>
      <c r="G27" s="90"/>
      <c r="H27" s="90"/>
      <c r="I27" s="90"/>
      <c r="J27" s="90"/>
      <c r="K27" s="1115"/>
      <c r="L27" s="90"/>
      <c r="M27" s="90"/>
      <c r="N27" s="90"/>
      <c r="O27" s="90"/>
      <c r="P27" s="1115"/>
      <c r="Q27" s="90"/>
      <c r="R27" s="366">
        <f>R26/Q26-1</f>
        <v>0.14285714285714279</v>
      </c>
      <c r="S27" s="366">
        <f>S26/R26-1</f>
        <v>0.30000000000000004</v>
      </c>
      <c r="T27" s="366">
        <f>T26/S26-1</f>
        <v>7.6923076923076872E-2</v>
      </c>
      <c r="U27" s="1115"/>
      <c r="V27" s="366">
        <f>V26/T26-1</f>
        <v>0.375</v>
      </c>
      <c r="W27" s="366">
        <f>W26/V26-1</f>
        <v>-7.7922077922077948E-2</v>
      </c>
      <c r="X27" s="366">
        <f>X26/W26-1</f>
        <v>0.11267605633802824</v>
      </c>
      <c r="Y27" s="366">
        <f>Y26/X26-1</f>
        <v>0.17721518987341778</v>
      </c>
      <c r="Z27" s="1115"/>
      <c r="AA27" s="366">
        <f>AA26/Y26-1</f>
        <v>0.21505376344086025</v>
      </c>
      <c r="AB27" s="366">
        <f>AB26/AA26-1</f>
        <v>5.3097345132743445E-2</v>
      </c>
      <c r="AC27" s="366">
        <f>AC26/AB26-1</f>
        <v>6.7226890756302504E-2</v>
      </c>
      <c r="AD27" s="366">
        <f>AD26/AC26-1</f>
        <v>7.8740157480314821E-3</v>
      </c>
      <c r="AE27" s="1115"/>
      <c r="AF27" s="366">
        <f>AF26/AD26-1</f>
        <v>9.375E-2</v>
      </c>
      <c r="AG27" s="366">
        <f>AG26/AF26-1</f>
        <v>1.4285714285714235E-2</v>
      </c>
      <c r="AH27" s="366">
        <f>AH26/AG26-1</f>
        <v>1.4084507042253502E-2</v>
      </c>
      <c r="AI27" s="366">
        <f>AI26/AH26-1</f>
        <v>-8.333333333333337E-2</v>
      </c>
      <c r="AJ27" s="1115"/>
      <c r="AK27" s="366">
        <f>AK26/AI26-1</f>
        <v>9.8484848484848397E-2</v>
      </c>
      <c r="AL27" s="366">
        <f>AL26/AK26-1</f>
        <v>0.1103448275862069</v>
      </c>
      <c r="AM27" s="366">
        <f>AM26/AL26-1</f>
        <v>6.8322981366459645E-2</v>
      </c>
      <c r="AN27" s="366">
        <f>AN26/AM26-1</f>
        <v>-5.2325581395348819E-2</v>
      </c>
      <c r="AO27" s="1115"/>
      <c r="AP27" s="366">
        <f>AP26/AN26-1</f>
        <v>1.8404907975460016E-2</v>
      </c>
      <c r="AQ27" s="366">
        <f>AQ26/AP26-1</f>
        <v>0.25903614457831314</v>
      </c>
      <c r="AR27" s="366">
        <f>AR26/AQ26-1</f>
        <v>-0.22488038277511957</v>
      </c>
      <c r="AS27" s="366">
        <f>AS26/AR26-1</f>
        <v>6.1728395061728669E-3</v>
      </c>
      <c r="AT27" s="1115"/>
      <c r="AU27" s="366">
        <f>AU26/AS26-1</f>
        <v>-4.9079754601227044E-2</v>
      </c>
      <c r="AV27" s="366">
        <f>AV26/AU26-1</f>
        <v>-0.28387096774193543</v>
      </c>
      <c r="AW27" s="366">
        <f>AW26/AV26-1</f>
        <v>0.12612612612612617</v>
      </c>
      <c r="AX27" s="366">
        <f>AX26/AW26-1</f>
        <v>0.15999999999999992</v>
      </c>
      <c r="AY27" s="1115"/>
      <c r="AZ27" s="366">
        <f>AZ26/AX26-1</f>
        <v>6.2068965517241281E-2</v>
      </c>
      <c r="BA27" s="366">
        <f>BA26/AZ26-1</f>
        <v>-1.2987012987012991E-2</v>
      </c>
      <c r="BB27" s="366">
        <f>BB26/BA26-1</f>
        <v>-0.11184210526315785</v>
      </c>
      <c r="BC27" s="366">
        <f>BC26/BB26-1</f>
        <v>-7.407407407407407E-2</v>
      </c>
      <c r="BD27" s="1115"/>
      <c r="BE27" s="366">
        <f>BE26/BC26-1</f>
        <v>0.10400000000000009</v>
      </c>
      <c r="BF27" s="366">
        <f>BF26/BE26-1</f>
        <v>0.59420289855072461</v>
      </c>
      <c r="BG27" s="366">
        <f>BG26/BF26-1</f>
        <v>0.14090909090909087</v>
      </c>
      <c r="BH27" s="366">
        <f>BH26/BG26-1</f>
        <v>0.17131474103585664</v>
      </c>
      <c r="BI27" s="1115"/>
      <c r="BJ27" s="366">
        <f>BJ26/BH26-1</f>
        <v>6.8027210884353817E-3</v>
      </c>
      <c r="BK27" s="366">
        <f>BK26/BJ26-1</f>
        <v>-0.14527027027027029</v>
      </c>
      <c r="BL27" s="366">
        <f>BL26/BK26-1</f>
        <v>3.1620553359683834E-2</v>
      </c>
      <c r="BM27" s="366">
        <f>BM26/BL26-1</f>
        <v>7.6628352490421436E-2</v>
      </c>
      <c r="BN27" s="1115"/>
      <c r="BO27" s="366">
        <f>BO26/BM26-1</f>
        <v>0.17081850533807819</v>
      </c>
      <c r="BP27" s="366">
        <f>BP26/BO26-1</f>
        <v>5.1671732522796443E-2</v>
      </c>
      <c r="BQ27" s="366">
        <f>BQ26/BP26-1</f>
        <v>0.29768786127167624</v>
      </c>
      <c r="BR27" s="366">
        <f>BR26/BQ26-1</f>
        <v>0.26948775055679297</v>
      </c>
      <c r="BS27" s="1115"/>
      <c r="BT27" s="366">
        <f>BT26/BR26-1</f>
        <v>-5.2631578947368585E-3</v>
      </c>
      <c r="BU27" s="366">
        <f>BU26/BT26-1</f>
        <v>3.3509700176366897E-2</v>
      </c>
      <c r="BV27" s="366">
        <f>BV26/BU26-1</f>
        <v>1.0238907849829282E-2</v>
      </c>
      <c r="BW27" s="366">
        <f>BW26/BV26-1</f>
        <v>2.0270270270270174E-2</v>
      </c>
      <c r="BX27" s="1115"/>
      <c r="BY27" s="890">
        <f>BY26/BW26-1</f>
        <v>7.6158940397351049E-2</v>
      </c>
      <c r="BZ27" s="90">
        <f>BZ26/BY26-1</f>
        <v>8.184615384615368E-2</v>
      </c>
      <c r="CA27" s="90">
        <f>CA26/BZ26-1</f>
        <v>1.0238907849829504E-2</v>
      </c>
      <c r="CB27" s="90">
        <f>CB26/CA26-1</f>
        <v>2.0270270270270174E-2</v>
      </c>
      <c r="CC27" s="1115"/>
      <c r="CD27" s="90">
        <f>CD26/CB26-1</f>
        <v>0.16583885209713034</v>
      </c>
      <c r="CE27" s="90">
        <f>CE26/CD26-1</f>
        <v>-1.3727810650888683E-3</v>
      </c>
      <c r="CF27" s="90">
        <f>CF26/CE26-1</f>
        <v>1.0238907849829282E-2</v>
      </c>
      <c r="CG27" s="90">
        <f>CG26/CF26-1</f>
        <v>2.0270270270270174E-2</v>
      </c>
      <c r="CH27" s="1115"/>
      <c r="CI27" s="1115"/>
      <c r="CJ27" s="1115"/>
      <c r="CK27" s="1115"/>
      <c r="CL27" s="155"/>
    </row>
    <row r="28" spans="1:90" x14ac:dyDescent="0.3">
      <c r="A28" s="669" t="s">
        <v>691</v>
      </c>
      <c r="B28" s="582"/>
      <c r="C28" s="1116"/>
      <c r="D28" s="1116"/>
      <c r="E28" s="1116"/>
      <c r="F28" s="1116"/>
      <c r="G28" s="643"/>
      <c r="H28" s="643"/>
      <c r="I28" s="643"/>
      <c r="J28" s="643"/>
      <c r="K28" s="1116"/>
      <c r="L28" s="643"/>
      <c r="M28" s="643"/>
      <c r="N28" s="643"/>
      <c r="O28" s="643"/>
      <c r="P28" s="1116"/>
      <c r="Q28" s="643"/>
      <c r="R28" s="643"/>
      <c r="S28" s="643"/>
      <c r="T28" s="643"/>
      <c r="U28" s="1117">
        <f t="shared" ref="U28:BE28" si="21">+U26/P26-1</f>
        <v>0.8484848484848484</v>
      </c>
      <c r="V28" s="1020">
        <f t="shared" si="21"/>
        <v>1.2000000000000002</v>
      </c>
      <c r="W28" s="1020">
        <f t="shared" si="21"/>
        <v>0.77499999999999991</v>
      </c>
      <c r="X28" s="1020">
        <f t="shared" si="21"/>
        <v>0.51923076923076916</v>
      </c>
      <c r="Y28" s="1020">
        <f t="shared" si="21"/>
        <v>0.66071428571428581</v>
      </c>
      <c r="Z28" s="1117">
        <f t="shared" si="21"/>
        <v>0.74863387978142071</v>
      </c>
      <c r="AA28" s="1020">
        <f t="shared" si="21"/>
        <v>0.46753246753246747</v>
      </c>
      <c r="AB28" s="1020">
        <f t="shared" si="21"/>
        <v>0.676056338028169</v>
      </c>
      <c r="AC28" s="1020">
        <f t="shared" si="21"/>
        <v>0.60759493670886067</v>
      </c>
      <c r="AD28" s="1020">
        <f>+AD26/Y26-1</f>
        <v>0.37634408602150549</v>
      </c>
      <c r="AE28" s="1117">
        <f t="shared" si="21"/>
        <v>0.52187500000000009</v>
      </c>
      <c r="AF28" s="1020">
        <f t="shared" si="21"/>
        <v>0.23893805309734506</v>
      </c>
      <c r="AG28" s="1020">
        <f t="shared" si="21"/>
        <v>0.19327731092436973</v>
      </c>
      <c r="AH28" s="1020">
        <f t="shared" si="21"/>
        <v>0.13385826771653542</v>
      </c>
      <c r="AI28" s="1020">
        <f t="shared" si="21"/>
        <v>3.125E-2</v>
      </c>
      <c r="AJ28" s="1117">
        <f t="shared" si="21"/>
        <v>0.14579055441478439</v>
      </c>
      <c r="AK28" s="1020">
        <f t="shared" si="21"/>
        <v>3.5714285714285809E-2</v>
      </c>
      <c r="AL28" s="1020">
        <f t="shared" si="21"/>
        <v>0.13380281690140849</v>
      </c>
      <c r="AM28" s="1020">
        <f t="shared" si="21"/>
        <v>0.19444444444444442</v>
      </c>
      <c r="AN28" s="1020">
        <f t="shared" si="21"/>
        <v>0.23484848484848486</v>
      </c>
      <c r="AO28" s="1117">
        <f t="shared" si="21"/>
        <v>0.14874551971326166</v>
      </c>
      <c r="AP28" s="1020">
        <f t="shared" si="21"/>
        <v>0.14482758620689662</v>
      </c>
      <c r="AQ28" s="1020">
        <f t="shared" si="21"/>
        <v>0.29813664596273282</v>
      </c>
      <c r="AR28" s="1020">
        <f t="shared" si="21"/>
        <v>-5.8139534883720922E-2</v>
      </c>
      <c r="AS28" s="1020">
        <f t="shared" si="21"/>
        <v>0</v>
      </c>
      <c r="AT28" s="1117">
        <f t="shared" si="21"/>
        <v>9.2043681747269845E-2</v>
      </c>
      <c r="AU28" s="1020">
        <f t="shared" si="21"/>
        <v>-6.6265060240963902E-2</v>
      </c>
      <c r="AV28" s="1020">
        <f t="shared" si="21"/>
        <v>-0.46889952153110048</v>
      </c>
      <c r="AW28" s="1020">
        <f t="shared" si="21"/>
        <v>-0.22839506172839508</v>
      </c>
      <c r="AX28" s="1020">
        <f t="shared" si="21"/>
        <v>-0.11042944785276076</v>
      </c>
      <c r="AY28" s="1117">
        <f t="shared" si="21"/>
        <v>-0.23428571428571432</v>
      </c>
      <c r="AZ28" s="1020">
        <f t="shared" si="21"/>
        <v>-6.4516129032258229E-3</v>
      </c>
      <c r="BA28" s="1020">
        <f t="shared" si="21"/>
        <v>0.36936936936936937</v>
      </c>
      <c r="BB28" s="1020">
        <f t="shared" si="21"/>
        <v>8.0000000000000071E-2</v>
      </c>
      <c r="BC28" s="1020">
        <f t="shared" si="21"/>
        <v>-0.13793103448275867</v>
      </c>
      <c r="BD28" s="1117">
        <f t="shared" si="21"/>
        <v>5.5970149253731449E-2</v>
      </c>
      <c r="BE28" s="1020">
        <f t="shared" si="21"/>
        <v>-0.10389610389610393</v>
      </c>
      <c r="BF28" s="1020">
        <f t="shared" ref="BF28:BK28" si="22">+BF26/BA26-1</f>
        <v>0.44736842105263164</v>
      </c>
      <c r="BG28" s="1020">
        <f t="shared" si="22"/>
        <v>0.85925925925925917</v>
      </c>
      <c r="BH28" s="1020">
        <f t="shared" si="22"/>
        <v>1.3519999999999999</v>
      </c>
      <c r="BI28" s="1117">
        <f t="shared" si="22"/>
        <v>0.59540636042402828</v>
      </c>
      <c r="BJ28" s="1020">
        <f t="shared" si="22"/>
        <v>1.1449275362318843</v>
      </c>
      <c r="BK28" s="1020">
        <f t="shared" si="22"/>
        <v>0.14999999999999991</v>
      </c>
      <c r="BL28" s="1020">
        <f t="shared" ref="BL28:BQ28" si="23">+BL26/BG26-1</f>
        <v>3.9840637450199168E-2</v>
      </c>
      <c r="BM28" s="1020">
        <f t="shared" si="23"/>
        <v>-4.4217687074829981E-2</v>
      </c>
      <c r="BN28" s="1117">
        <f t="shared" si="23"/>
        <v>0.20819490586932443</v>
      </c>
      <c r="BO28" s="1020">
        <f t="shared" si="23"/>
        <v>0.1114864864864864</v>
      </c>
      <c r="BP28" s="1020">
        <f t="shared" si="23"/>
        <v>0.36758893280632421</v>
      </c>
      <c r="BQ28" s="1020">
        <f t="shared" si="23"/>
        <v>0.72030651340996177</v>
      </c>
      <c r="BR28" s="1020">
        <f t="shared" ref="BR28:BX28" si="24">+BR26/BM26-1</f>
        <v>1.0284697508896796</v>
      </c>
      <c r="BS28" s="1117">
        <f t="shared" si="24"/>
        <v>0.55270394133822176</v>
      </c>
      <c r="BT28" s="1020">
        <f t="shared" si="24"/>
        <v>0.72340425531914887</v>
      </c>
      <c r="BU28" s="1020">
        <f t="shared" si="24"/>
        <v>0.69364161849710992</v>
      </c>
      <c r="BV28" s="1020">
        <f t="shared" si="24"/>
        <v>0.31848552338530056</v>
      </c>
      <c r="BW28" s="1020">
        <f t="shared" si="24"/>
        <v>5.9649122807017507E-2</v>
      </c>
      <c r="BX28" s="1117">
        <f t="shared" si="24"/>
        <v>0.38665879574970474</v>
      </c>
      <c r="BY28" s="891">
        <f>+BY26/BT26-1</f>
        <v>0.1463844797178131</v>
      </c>
      <c r="BZ28" s="1056">
        <v>0.2</v>
      </c>
      <c r="CA28" s="1056">
        <v>0.2</v>
      </c>
      <c r="CB28" s="1056">
        <v>0.2</v>
      </c>
      <c r="CC28" s="1116">
        <f>+CC26/BX26-1</f>
        <v>0.18705832269050648</v>
      </c>
      <c r="CD28" s="1056">
        <v>0.3</v>
      </c>
      <c r="CE28" s="1056">
        <v>0.2</v>
      </c>
      <c r="CF28" s="1056">
        <v>0.2</v>
      </c>
      <c r="CG28" s="1056">
        <v>0.2</v>
      </c>
      <c r="CH28" s="1116">
        <f>+CH26/CC26-1</f>
        <v>0.22331085927413574</v>
      </c>
      <c r="CI28" s="1118">
        <v>0.1</v>
      </c>
      <c r="CJ28" s="1118">
        <v>0.1</v>
      </c>
      <c r="CK28" s="1118">
        <v>0.1</v>
      </c>
      <c r="CL28" s="155"/>
    </row>
    <row r="29" spans="1:90" ht="7.35" customHeight="1" x14ac:dyDescent="0.3">
      <c r="A29" s="99"/>
      <c r="B29" s="598"/>
      <c r="C29" s="1112"/>
      <c r="D29" s="1112"/>
      <c r="E29" s="1112"/>
      <c r="F29" s="1112"/>
      <c r="G29" s="68"/>
      <c r="H29" s="68"/>
      <c r="I29" s="68"/>
      <c r="J29" s="68"/>
      <c r="K29" s="1112"/>
      <c r="L29" s="68"/>
      <c r="M29" s="68"/>
      <c r="N29" s="68"/>
      <c r="O29" s="68"/>
      <c r="P29" s="1112"/>
      <c r="Q29" s="68"/>
      <c r="R29" s="68"/>
      <c r="S29" s="68"/>
      <c r="T29" s="68"/>
      <c r="U29" s="1112"/>
      <c r="V29" s="68"/>
      <c r="W29" s="68"/>
      <c r="X29" s="68"/>
      <c r="Y29" s="68"/>
      <c r="Z29" s="1112"/>
      <c r="AA29" s="68"/>
      <c r="AB29" s="68"/>
      <c r="AC29" s="68"/>
      <c r="AD29" s="68"/>
      <c r="AE29" s="1112"/>
      <c r="AF29" s="68"/>
      <c r="AG29" s="68"/>
      <c r="AH29" s="68"/>
      <c r="AI29" s="68"/>
      <c r="AJ29" s="1112"/>
      <c r="AK29" s="68"/>
      <c r="AL29" s="68"/>
      <c r="AM29" s="68"/>
      <c r="AN29" s="68"/>
      <c r="AO29" s="1112"/>
      <c r="AP29" s="68"/>
      <c r="AQ29" s="68"/>
      <c r="AR29" s="68"/>
      <c r="AS29" s="68"/>
      <c r="AT29" s="1112"/>
      <c r="AU29" s="68"/>
      <c r="AV29" s="68"/>
      <c r="AW29" s="68"/>
      <c r="AX29" s="68"/>
      <c r="AY29" s="1112"/>
      <c r="AZ29" s="68"/>
      <c r="BA29" s="68"/>
      <c r="BB29" s="68"/>
      <c r="BC29" s="68"/>
      <c r="BD29" s="1112"/>
      <c r="BE29" s="68"/>
      <c r="BF29" s="68"/>
      <c r="BG29" s="68"/>
      <c r="BH29" s="68"/>
      <c r="BI29" s="1112"/>
      <c r="BJ29" s="68"/>
      <c r="BK29" s="68"/>
      <c r="BL29" s="68"/>
      <c r="BM29" s="68"/>
      <c r="BN29" s="1112"/>
      <c r="BO29" s="68"/>
      <c r="BP29" s="68"/>
      <c r="BQ29" s="68"/>
      <c r="BR29" s="68"/>
      <c r="BS29" s="1112"/>
      <c r="BT29" s="68"/>
      <c r="BU29" s="68"/>
      <c r="BV29" s="68"/>
      <c r="BW29" s="68"/>
      <c r="BX29" s="1112"/>
      <c r="BY29" s="588"/>
      <c r="BZ29" s="68"/>
      <c r="CA29" s="68"/>
      <c r="CB29" s="68"/>
      <c r="CC29" s="1112"/>
      <c r="CD29" s="68"/>
      <c r="CE29" s="68"/>
      <c r="CF29" s="68"/>
      <c r="CG29" s="68"/>
      <c r="CH29" s="1112"/>
      <c r="CI29" s="1112"/>
      <c r="CJ29" s="1112"/>
      <c r="CK29" s="1112"/>
      <c r="CL29" s="155"/>
    </row>
    <row r="30" spans="1:90" x14ac:dyDescent="0.3">
      <c r="A30" s="67" t="s">
        <v>20</v>
      </c>
      <c r="B30" s="598"/>
      <c r="C30" s="1112"/>
      <c r="D30" s="1112"/>
      <c r="E30" s="1112"/>
      <c r="F30" s="1112"/>
      <c r="G30" s="68"/>
      <c r="H30" s="68"/>
      <c r="I30" s="68"/>
      <c r="J30" s="68"/>
      <c r="K30" s="1112"/>
      <c r="L30" s="68"/>
      <c r="M30" s="68"/>
      <c r="N30" s="68"/>
      <c r="O30" s="68"/>
      <c r="P30" s="1113">
        <v>1532</v>
      </c>
      <c r="Q30" s="1055">
        <v>352</v>
      </c>
      <c r="R30" s="1055">
        <v>355</v>
      </c>
      <c r="S30" s="1055">
        <v>351</v>
      </c>
      <c r="T30" s="27">
        <f>U30-SUM(Q30,R30,S30)</f>
        <v>271</v>
      </c>
      <c r="U30" s="1113">
        <v>1329</v>
      </c>
      <c r="V30" s="1055">
        <v>218</v>
      </c>
      <c r="W30" s="1055">
        <v>174</v>
      </c>
      <c r="X30" s="1055">
        <v>193</v>
      </c>
      <c r="Y30" s="27">
        <f>Z30-SUM(V30,W30,X30)</f>
        <v>198</v>
      </c>
      <c r="Z30" s="1113">
        <v>783</v>
      </c>
      <c r="AA30" s="1055">
        <v>173</v>
      </c>
      <c r="AB30" s="1055">
        <v>163</v>
      </c>
      <c r="AC30" s="1055">
        <v>186</v>
      </c>
      <c r="AD30" s="27">
        <f>AE30-SUM(AA30,AB30,AC30)</f>
        <v>176</v>
      </c>
      <c r="AE30" s="1113">
        <v>698</v>
      </c>
      <c r="AF30" s="1055">
        <v>156</v>
      </c>
      <c r="AG30" s="1055">
        <v>251</v>
      </c>
      <c r="AH30" s="1055">
        <v>191</v>
      </c>
      <c r="AI30" s="27">
        <f>AJ30-SUM(AF30,AG30,AH30)</f>
        <v>179</v>
      </c>
      <c r="AJ30" s="1113">
        <v>777</v>
      </c>
      <c r="AK30" s="1055">
        <v>387</v>
      </c>
      <c r="AL30" s="1055">
        <v>116</v>
      </c>
      <c r="AM30" s="1055">
        <v>148</v>
      </c>
      <c r="AN30" s="1055">
        <v>116</v>
      </c>
      <c r="AO30" s="1114">
        <f>SUM(AK30,AL30,AM30,AN30)</f>
        <v>767</v>
      </c>
      <c r="AP30" s="1055">
        <v>99</v>
      </c>
      <c r="AQ30" s="1055">
        <v>111</v>
      </c>
      <c r="AR30" s="1055">
        <v>143</v>
      </c>
      <c r="AS30" s="1055">
        <v>152</v>
      </c>
      <c r="AT30" s="1114">
        <f>SUM(AP30,AQ30,AR30,AS30)</f>
        <v>505</v>
      </c>
      <c r="AU30" s="1055">
        <v>138</v>
      </c>
      <c r="AV30" s="1055">
        <v>146</v>
      </c>
      <c r="AW30" s="1055">
        <v>194</v>
      </c>
      <c r="AX30" s="1055">
        <v>153</v>
      </c>
      <c r="AY30" s="1114">
        <f>SUM(AU30,AV30,AW30,AX30)</f>
        <v>631</v>
      </c>
      <c r="AZ30" s="1055">
        <v>327</v>
      </c>
      <c r="BA30" s="1055">
        <v>409</v>
      </c>
      <c r="BB30" s="1055">
        <v>234</v>
      </c>
      <c r="BC30" s="1055">
        <v>192</v>
      </c>
      <c r="BD30" s="1114">
        <f>SUM(AZ30,BA30,BB30,BC30)</f>
        <v>1162</v>
      </c>
      <c r="BE30" s="1055">
        <v>158</v>
      </c>
      <c r="BF30" s="1055">
        <v>140</v>
      </c>
      <c r="BG30" s="1055">
        <v>73</v>
      </c>
      <c r="BH30" s="1055">
        <v>84</v>
      </c>
      <c r="BI30" s="1114">
        <f>SUM(BE30,BF30,BG30,BH30)</f>
        <v>455</v>
      </c>
      <c r="BJ30" s="1055">
        <v>77</v>
      </c>
      <c r="BK30" s="1055">
        <v>66</v>
      </c>
      <c r="BL30" s="1055">
        <v>73</v>
      </c>
      <c r="BM30" s="1055">
        <v>90</v>
      </c>
      <c r="BN30" s="1114">
        <f>SUM(BJ30,BK30,BL30,BM30)</f>
        <v>306</v>
      </c>
      <c r="BO30" s="1055">
        <v>78</v>
      </c>
      <c r="BP30" s="1055">
        <v>88</v>
      </c>
      <c r="BQ30" s="1055">
        <v>97</v>
      </c>
      <c r="BR30" s="1055">
        <v>126</v>
      </c>
      <c r="BS30" s="1114">
        <f>SUM(BO30,BP30,BQ30,BR30)</f>
        <v>389</v>
      </c>
      <c r="BT30" s="1055">
        <v>111</v>
      </c>
      <c r="BU30" s="1055">
        <v>173</v>
      </c>
      <c r="BV30" s="1055">
        <v>174</v>
      </c>
      <c r="BW30" s="1055">
        <v>161</v>
      </c>
      <c r="BX30" s="1114">
        <f>SUM(BT30,BU30,BV30,BW30)</f>
        <v>619</v>
      </c>
      <c r="BY30" s="1057">
        <v>200</v>
      </c>
      <c r="BZ30" s="68">
        <f>+BU30*(1+BZ32)</f>
        <v>190.3</v>
      </c>
      <c r="CA30" s="68">
        <f>+BV30*(1+CA32)</f>
        <v>191.4</v>
      </c>
      <c r="CB30" s="68">
        <f>+BW30*(1+CB32)</f>
        <v>177.10000000000002</v>
      </c>
      <c r="CC30" s="1112">
        <f>SUM(BY30,BZ30,CA30,CB30)</f>
        <v>758.80000000000007</v>
      </c>
      <c r="CD30" s="68">
        <f>+BY30*(1+CD32)</f>
        <v>220.00000000000003</v>
      </c>
      <c r="CE30" s="68">
        <f>+BZ30*(1+CE32)</f>
        <v>209.33000000000004</v>
      </c>
      <c r="CF30" s="68">
        <f>+CA30*(1+CF32)</f>
        <v>210.54000000000002</v>
      </c>
      <c r="CG30" s="68">
        <f>+CB30*(1+CG32)</f>
        <v>194.81000000000003</v>
      </c>
      <c r="CH30" s="1112">
        <f>SUM(CD30,CE30,CF30,CG30)</f>
        <v>834.68000000000018</v>
      </c>
      <c r="CI30" s="1112">
        <f>+CH30*(1+CI32)</f>
        <v>918.14800000000025</v>
      </c>
      <c r="CJ30" s="1112">
        <f>+CI30*(1+CJ32)</f>
        <v>1009.9628000000004</v>
      </c>
      <c r="CK30" s="1112">
        <f>+CJ30*(1+CK32)</f>
        <v>1110.9590800000005</v>
      </c>
      <c r="CL30" s="155"/>
    </row>
    <row r="31" spans="1:90" x14ac:dyDescent="0.3">
      <c r="A31" s="640" t="s">
        <v>687</v>
      </c>
      <c r="B31" s="641"/>
      <c r="C31" s="1115"/>
      <c r="D31" s="1115"/>
      <c r="E31" s="1115"/>
      <c r="F31" s="1115"/>
      <c r="G31" s="90"/>
      <c r="H31" s="90"/>
      <c r="I31" s="90"/>
      <c r="J31" s="90"/>
      <c r="K31" s="1115"/>
      <c r="L31" s="90"/>
      <c r="M31" s="90"/>
      <c r="N31" s="90"/>
      <c r="O31" s="90"/>
      <c r="P31" s="1115"/>
      <c r="Q31" s="90"/>
      <c r="R31" s="366">
        <f>R30/Q30-1</f>
        <v>8.5227272727272929E-3</v>
      </c>
      <c r="S31" s="366">
        <f>S30/R30-1</f>
        <v>-1.1267605633802802E-2</v>
      </c>
      <c r="T31" s="366">
        <f>T30/S30-1</f>
        <v>-0.22792022792022792</v>
      </c>
      <c r="U31" s="1115"/>
      <c r="V31" s="366">
        <f>V30/T30-1</f>
        <v>-0.19557195571955721</v>
      </c>
      <c r="W31" s="366">
        <f>W30/V30-1</f>
        <v>-0.20183486238532111</v>
      </c>
      <c r="X31" s="366">
        <f>X30/W30-1</f>
        <v>0.10919540229885061</v>
      </c>
      <c r="Y31" s="366">
        <f>Y30/X30-1</f>
        <v>2.5906735751295429E-2</v>
      </c>
      <c r="Z31" s="1115"/>
      <c r="AA31" s="366">
        <f>AA30/Y30-1</f>
        <v>-0.1262626262626263</v>
      </c>
      <c r="AB31" s="366">
        <f>AB30/AA30-1</f>
        <v>-5.7803468208092457E-2</v>
      </c>
      <c r="AC31" s="366">
        <f>AC30/AB30-1</f>
        <v>0.14110429447852768</v>
      </c>
      <c r="AD31" s="366">
        <f>AD30/AC30-1</f>
        <v>-5.3763440860215006E-2</v>
      </c>
      <c r="AE31" s="1115"/>
      <c r="AF31" s="366">
        <f>AF30/AD30-1</f>
        <v>-0.11363636363636365</v>
      </c>
      <c r="AG31" s="366">
        <f>AG30/AF30-1</f>
        <v>0.60897435897435903</v>
      </c>
      <c r="AH31" s="366">
        <f>AH30/AG30-1</f>
        <v>-0.23904382470119523</v>
      </c>
      <c r="AI31" s="366">
        <f>AI30/AH30-1</f>
        <v>-6.2827225130890008E-2</v>
      </c>
      <c r="AJ31" s="1115"/>
      <c r="AK31" s="366">
        <f>AK30/AI30-1</f>
        <v>1.1620111731843576</v>
      </c>
      <c r="AL31" s="366">
        <f>AL30/AK30-1</f>
        <v>-0.70025839793281652</v>
      </c>
      <c r="AM31" s="366">
        <f>AM30/AL30-1</f>
        <v>0.27586206896551735</v>
      </c>
      <c r="AN31" s="366">
        <f>AN30/AM30-1</f>
        <v>-0.21621621621621623</v>
      </c>
      <c r="AO31" s="1115"/>
      <c r="AP31" s="366">
        <f>AP30/AN30-1</f>
        <v>-0.14655172413793105</v>
      </c>
      <c r="AQ31" s="366">
        <f>AQ30/AP30-1</f>
        <v>0.1212121212121211</v>
      </c>
      <c r="AR31" s="366">
        <f>AR30/AQ30-1</f>
        <v>0.28828828828828823</v>
      </c>
      <c r="AS31" s="366">
        <f>AS30/AR30-1</f>
        <v>6.2937062937062915E-2</v>
      </c>
      <c r="AT31" s="1115"/>
      <c r="AU31" s="366">
        <f>AU30/AS30-1</f>
        <v>-9.210526315789469E-2</v>
      </c>
      <c r="AV31" s="366">
        <f>AV30/AU30-1</f>
        <v>5.7971014492753659E-2</v>
      </c>
      <c r="AW31" s="366">
        <f>AW30/AV30-1</f>
        <v>0.32876712328767121</v>
      </c>
      <c r="AX31" s="366">
        <f>AX30/AW30-1</f>
        <v>-0.21134020618556704</v>
      </c>
      <c r="AY31" s="1115"/>
      <c r="AZ31" s="366">
        <f>AZ30/AX30-1</f>
        <v>1.1372549019607843</v>
      </c>
      <c r="BA31" s="366">
        <f>BA30/AZ30-1</f>
        <v>0.25076452599388377</v>
      </c>
      <c r="BB31" s="366">
        <f>BB30/BA30-1</f>
        <v>-0.42787286063569685</v>
      </c>
      <c r="BC31" s="366">
        <f>BC30/BB30-1</f>
        <v>-0.17948717948717952</v>
      </c>
      <c r="BD31" s="1115"/>
      <c r="BE31" s="366">
        <f>BE30/BC30-1</f>
        <v>-0.17708333333333337</v>
      </c>
      <c r="BF31" s="366">
        <f>BF30/BE30-1</f>
        <v>-0.11392405063291144</v>
      </c>
      <c r="BG31" s="366">
        <f>BG30/BF30-1</f>
        <v>-0.47857142857142854</v>
      </c>
      <c r="BH31" s="366">
        <f>BH30/BG30-1</f>
        <v>0.15068493150684925</v>
      </c>
      <c r="BI31" s="1115"/>
      <c r="BJ31" s="366">
        <f>BJ30/BH30-1</f>
        <v>-8.333333333333337E-2</v>
      </c>
      <c r="BK31" s="366">
        <f>BK30/BJ30-1</f>
        <v>-0.1428571428571429</v>
      </c>
      <c r="BL31" s="366">
        <f>BL30/BK30-1</f>
        <v>0.10606060606060597</v>
      </c>
      <c r="BM31" s="366">
        <f>BM30/BL30-1</f>
        <v>0.23287671232876717</v>
      </c>
      <c r="BN31" s="1115"/>
      <c r="BO31" s="366">
        <f>BO30/BM30-1</f>
        <v>-0.1333333333333333</v>
      </c>
      <c r="BP31" s="366">
        <f>BP30/BO30-1</f>
        <v>0.12820512820512819</v>
      </c>
      <c r="BQ31" s="366">
        <f>BQ30/BP30-1</f>
        <v>0.10227272727272729</v>
      </c>
      <c r="BR31" s="366">
        <f>BR30/BQ30-1</f>
        <v>0.2989690721649485</v>
      </c>
      <c r="BS31" s="1115"/>
      <c r="BT31" s="366">
        <f>BT30/BR30-1</f>
        <v>-0.11904761904761907</v>
      </c>
      <c r="BU31" s="366">
        <f>BU30/BT30-1</f>
        <v>0.55855855855855863</v>
      </c>
      <c r="BV31" s="366">
        <f>BV30/BU30-1</f>
        <v>5.7803468208093012E-3</v>
      </c>
      <c r="BW31" s="366">
        <f>BW30/BV30-1</f>
        <v>-7.4712643678160884E-2</v>
      </c>
      <c r="BX31" s="1115"/>
      <c r="BY31" s="890">
        <f>BY30/BW30-1</f>
        <v>0.2422360248447204</v>
      </c>
      <c r="BZ31" s="90">
        <f>BZ30/BY30-1</f>
        <v>-4.8499999999999988E-2</v>
      </c>
      <c r="CA31" s="90">
        <f>CA30/BZ30-1</f>
        <v>5.7803468208093012E-3</v>
      </c>
      <c r="CB31" s="90">
        <f>CB30/CA30-1</f>
        <v>-7.4712643678160773E-2</v>
      </c>
      <c r="CC31" s="1115"/>
      <c r="CD31" s="90">
        <f>CD30/CB30-1</f>
        <v>0.2422360248447204</v>
      </c>
      <c r="CE31" s="90">
        <f>CE30/CD30-1</f>
        <v>-4.8499999999999988E-2</v>
      </c>
      <c r="CF31" s="90">
        <f>CF30/CE30-1</f>
        <v>5.7803468208090791E-3</v>
      </c>
      <c r="CG31" s="90">
        <f>CG30/CF30-1</f>
        <v>-7.4712643678160884E-2</v>
      </c>
      <c r="CH31" s="1115"/>
      <c r="CI31" s="1115"/>
      <c r="CJ31" s="1115"/>
      <c r="CK31" s="1115"/>
      <c r="CL31" s="155"/>
    </row>
    <row r="32" spans="1:90" x14ac:dyDescent="0.3">
      <c r="A32" s="669" t="s">
        <v>692</v>
      </c>
      <c r="B32" s="582"/>
      <c r="C32" s="1116"/>
      <c r="D32" s="1116"/>
      <c r="E32" s="1116"/>
      <c r="F32" s="1116"/>
      <c r="G32" s="643"/>
      <c r="H32" s="643"/>
      <c r="I32" s="643"/>
      <c r="J32" s="643"/>
      <c r="K32" s="1116"/>
      <c r="L32" s="643"/>
      <c r="M32" s="643"/>
      <c r="N32" s="643"/>
      <c r="O32" s="643"/>
      <c r="P32" s="1116"/>
      <c r="Q32" s="643"/>
      <c r="R32" s="643"/>
      <c r="S32" s="643"/>
      <c r="T32" s="643"/>
      <c r="U32" s="1117">
        <f t="shared" ref="U32:BC32" si="25">+U30/P30-1</f>
        <v>-0.13250652741514357</v>
      </c>
      <c r="V32" s="1020">
        <f t="shared" si="25"/>
        <v>-0.38068181818181823</v>
      </c>
      <c r="W32" s="1020">
        <f t="shared" si="25"/>
        <v>-0.50985915492957745</v>
      </c>
      <c r="X32" s="1020">
        <f t="shared" si="25"/>
        <v>-0.45014245014245013</v>
      </c>
      <c r="Y32" s="1020">
        <f t="shared" si="25"/>
        <v>-0.26937269372693728</v>
      </c>
      <c r="Z32" s="1117">
        <f t="shared" si="25"/>
        <v>-0.41083521444695259</v>
      </c>
      <c r="AA32" s="1020">
        <f t="shared" si="25"/>
        <v>-0.20642201834862384</v>
      </c>
      <c r="AB32" s="1020">
        <f t="shared" si="25"/>
        <v>-6.3218390804597679E-2</v>
      </c>
      <c r="AC32" s="1020">
        <f t="shared" si="25"/>
        <v>-3.6269430051813489E-2</v>
      </c>
      <c r="AD32" s="1020">
        <f t="shared" si="25"/>
        <v>-0.11111111111111116</v>
      </c>
      <c r="AE32" s="1117">
        <f t="shared" si="25"/>
        <v>-0.10855683269476368</v>
      </c>
      <c r="AF32" s="1020">
        <f t="shared" si="25"/>
        <v>-9.8265895953757232E-2</v>
      </c>
      <c r="AG32" s="1020">
        <f t="shared" si="25"/>
        <v>0.53987730061349692</v>
      </c>
      <c r="AH32" s="1020">
        <f t="shared" si="25"/>
        <v>2.6881720430107503E-2</v>
      </c>
      <c r="AI32" s="1020">
        <f t="shared" si="25"/>
        <v>1.7045454545454586E-2</v>
      </c>
      <c r="AJ32" s="1117">
        <f t="shared" si="25"/>
        <v>0.11318051575931243</v>
      </c>
      <c r="AK32" s="1020">
        <f t="shared" si="25"/>
        <v>1.4807692307692308</v>
      </c>
      <c r="AL32" s="1020">
        <f t="shared" si="25"/>
        <v>-0.53784860557768921</v>
      </c>
      <c r="AM32" s="1020">
        <f t="shared" si="25"/>
        <v>-0.22513089005235598</v>
      </c>
      <c r="AN32" s="1020">
        <f t="shared" si="25"/>
        <v>-0.35195530726256985</v>
      </c>
      <c r="AO32" s="1117">
        <f t="shared" si="25"/>
        <v>-1.2870012870012881E-2</v>
      </c>
      <c r="AP32" s="1020">
        <f t="shared" si="25"/>
        <v>-0.7441860465116279</v>
      </c>
      <c r="AQ32" s="1020">
        <f t="shared" si="25"/>
        <v>-4.31034482758621E-2</v>
      </c>
      <c r="AR32" s="1020">
        <f t="shared" si="25"/>
        <v>-3.3783783783783772E-2</v>
      </c>
      <c r="AS32" s="1020">
        <f t="shared" si="25"/>
        <v>0.31034482758620685</v>
      </c>
      <c r="AT32" s="1117">
        <f t="shared" si="25"/>
        <v>-0.34159061277705349</v>
      </c>
      <c r="AU32" s="1020">
        <f t="shared" si="25"/>
        <v>0.39393939393939403</v>
      </c>
      <c r="AV32" s="1020">
        <f t="shared" si="25"/>
        <v>0.31531531531531543</v>
      </c>
      <c r="AW32" s="1020">
        <f t="shared" si="25"/>
        <v>0.35664335664335667</v>
      </c>
      <c r="AX32" s="1020">
        <f t="shared" si="25"/>
        <v>6.5789473684210176E-3</v>
      </c>
      <c r="AY32" s="1117">
        <f t="shared" si="25"/>
        <v>0.2495049504950495</v>
      </c>
      <c r="AZ32" s="1020">
        <f t="shared" si="25"/>
        <v>1.3695652173913042</v>
      </c>
      <c r="BA32" s="1020">
        <f t="shared" si="25"/>
        <v>1.8013698630136985</v>
      </c>
      <c r="BB32" s="1020">
        <f t="shared" si="25"/>
        <v>0.20618556701030921</v>
      </c>
      <c r="BC32" s="1020">
        <f t="shared" si="25"/>
        <v>0.25490196078431371</v>
      </c>
      <c r="BD32" s="1117">
        <f t="shared" ref="BD32:BI32" si="26">+BD30/AY30-1</f>
        <v>0.84152139461172748</v>
      </c>
      <c r="BE32" s="1020">
        <f t="shared" si="26"/>
        <v>-0.51681957186544336</v>
      </c>
      <c r="BF32" s="1020">
        <f t="shared" si="26"/>
        <v>-0.65770171149144252</v>
      </c>
      <c r="BG32" s="1020">
        <f t="shared" si="26"/>
        <v>-0.68803418803418803</v>
      </c>
      <c r="BH32" s="1020">
        <f t="shared" si="26"/>
        <v>-0.5625</v>
      </c>
      <c r="BI32" s="1117">
        <f t="shared" si="26"/>
        <v>-0.60843373493975905</v>
      </c>
      <c r="BJ32" s="1020">
        <f t="shared" ref="BJ32:BO32" si="27">+BJ30/BE30-1</f>
        <v>-0.51265822784810133</v>
      </c>
      <c r="BK32" s="1020">
        <f t="shared" si="27"/>
        <v>-0.52857142857142858</v>
      </c>
      <c r="BL32" s="1020">
        <f t="shared" si="27"/>
        <v>0</v>
      </c>
      <c r="BM32" s="1020">
        <f t="shared" si="27"/>
        <v>7.1428571428571397E-2</v>
      </c>
      <c r="BN32" s="1117">
        <f t="shared" si="27"/>
        <v>-0.32747252747252742</v>
      </c>
      <c r="BO32" s="1020">
        <f t="shared" si="27"/>
        <v>1.298701298701288E-2</v>
      </c>
      <c r="BP32" s="1020">
        <f t="shared" ref="BP32:BU32" si="28">+BP30/BK30-1</f>
        <v>0.33333333333333326</v>
      </c>
      <c r="BQ32" s="1020">
        <f t="shared" si="28"/>
        <v>0.32876712328767121</v>
      </c>
      <c r="BR32" s="1020">
        <f t="shared" si="28"/>
        <v>0.39999999999999991</v>
      </c>
      <c r="BS32" s="1117">
        <f t="shared" si="28"/>
        <v>0.2712418300653594</v>
      </c>
      <c r="BT32" s="1020">
        <f t="shared" si="28"/>
        <v>0.42307692307692313</v>
      </c>
      <c r="BU32" s="1020">
        <f t="shared" si="28"/>
        <v>0.96590909090909083</v>
      </c>
      <c r="BV32" s="1020">
        <f>+BV30/BQ30-1</f>
        <v>0.79381443298969079</v>
      </c>
      <c r="BW32" s="1020">
        <f>+BW30/BR30-1</f>
        <v>0.27777777777777768</v>
      </c>
      <c r="BX32" s="1117">
        <f>+BX30/BS30-1</f>
        <v>0.59125964010282783</v>
      </c>
      <c r="BY32" s="891">
        <f>+BY30/BT30-1</f>
        <v>0.80180180180180183</v>
      </c>
      <c r="BZ32" s="1056">
        <v>0.1</v>
      </c>
      <c r="CA32" s="1056">
        <v>0.1</v>
      </c>
      <c r="CB32" s="1056">
        <v>0.1</v>
      </c>
      <c r="CC32" s="1116">
        <f>+CC30/BX30-1</f>
        <v>0.225848142164782</v>
      </c>
      <c r="CD32" s="1056">
        <v>0.1</v>
      </c>
      <c r="CE32" s="1056">
        <v>0.1</v>
      </c>
      <c r="CF32" s="1056">
        <v>0.1</v>
      </c>
      <c r="CG32" s="1056">
        <v>0.1</v>
      </c>
      <c r="CH32" s="1116">
        <f>+CH30/CC30-1</f>
        <v>0.10000000000000009</v>
      </c>
      <c r="CI32" s="1118">
        <v>0.1</v>
      </c>
      <c r="CJ32" s="1118">
        <v>0.1</v>
      </c>
      <c r="CK32" s="1118">
        <v>0.1</v>
      </c>
      <c r="CL32" s="155"/>
    </row>
    <row r="33" spans="1:90" ht="7.35" customHeight="1" x14ac:dyDescent="0.3">
      <c r="A33" s="282"/>
      <c r="B33" s="639"/>
      <c r="C33" s="1123"/>
      <c r="D33" s="1123"/>
      <c r="E33" s="1123"/>
      <c r="F33" s="1123"/>
      <c r="G33" s="109"/>
      <c r="H33" s="109"/>
      <c r="I33" s="109"/>
      <c r="J33" s="109"/>
      <c r="K33" s="1123"/>
      <c r="L33" s="109"/>
      <c r="M33" s="109"/>
      <c r="N33" s="109"/>
      <c r="O33" s="109"/>
      <c r="P33" s="1123"/>
      <c r="Q33" s="109"/>
      <c r="R33" s="109"/>
      <c r="S33" s="109"/>
      <c r="T33" s="109"/>
      <c r="U33" s="1123"/>
      <c r="V33" s="109"/>
      <c r="W33" s="109"/>
      <c r="X33" s="109"/>
      <c r="Y33" s="109"/>
      <c r="Z33" s="1123"/>
      <c r="AA33" s="109"/>
      <c r="AB33" s="109"/>
      <c r="AC33" s="109"/>
      <c r="AD33" s="109"/>
      <c r="AE33" s="1123"/>
      <c r="AF33" s="109"/>
      <c r="AG33" s="109"/>
      <c r="AH33" s="109"/>
      <c r="AI33" s="109"/>
      <c r="AJ33" s="1123"/>
      <c r="AK33" s="109"/>
      <c r="AL33" s="109"/>
      <c r="AM33" s="109"/>
      <c r="AN33" s="109"/>
      <c r="AO33" s="1123"/>
      <c r="AP33" s="109"/>
      <c r="AQ33" s="109"/>
      <c r="AR33" s="109"/>
      <c r="AS33" s="109"/>
      <c r="AT33" s="1123"/>
      <c r="AU33" s="109"/>
      <c r="AV33" s="109"/>
      <c r="AW33" s="109"/>
      <c r="AX33" s="109"/>
      <c r="AY33" s="1123"/>
      <c r="AZ33" s="109"/>
      <c r="BA33" s="109"/>
      <c r="BB33" s="109"/>
      <c r="BC33" s="109"/>
      <c r="BD33" s="1123"/>
      <c r="BE33" s="109"/>
      <c r="BF33" s="109"/>
      <c r="BG33" s="109"/>
      <c r="BH33" s="109"/>
      <c r="BI33" s="1123"/>
      <c r="BJ33" s="109"/>
      <c r="BK33" s="109"/>
      <c r="BL33" s="109"/>
      <c r="BM33" s="109"/>
      <c r="BN33" s="1123"/>
      <c r="BO33" s="109"/>
      <c r="BP33" s="109"/>
      <c r="BQ33" s="109"/>
      <c r="BR33" s="109"/>
      <c r="BS33" s="1123"/>
      <c r="BT33" s="109"/>
      <c r="BU33" s="109"/>
      <c r="BV33" s="109"/>
      <c r="BW33" s="109"/>
      <c r="BX33" s="1123"/>
      <c r="BY33" s="730"/>
      <c r="BZ33" s="109"/>
      <c r="CA33" s="109"/>
      <c r="CB33" s="109"/>
      <c r="CC33" s="1123"/>
      <c r="CD33" s="109"/>
      <c r="CE33" s="109"/>
      <c r="CF33" s="109"/>
      <c r="CG33" s="109"/>
      <c r="CH33" s="1123"/>
      <c r="CI33" s="1123"/>
      <c r="CJ33" s="1123"/>
      <c r="CK33" s="1123"/>
      <c r="CL33" s="155"/>
    </row>
    <row r="34" spans="1:90" x14ac:dyDescent="0.3">
      <c r="A34" s="59" t="s">
        <v>21</v>
      </c>
      <c r="B34" s="599"/>
      <c r="C34" s="1124">
        <f t="shared" ref="C34:N34" si="29">C300</f>
        <v>3424.8589999999999</v>
      </c>
      <c r="D34" s="1124">
        <f t="shared" si="29"/>
        <v>3326.4450000000002</v>
      </c>
      <c r="E34" s="1124">
        <f t="shared" si="29"/>
        <v>3543.3090000000002</v>
      </c>
      <c r="F34" s="1124">
        <f t="shared" si="29"/>
        <v>3997.93</v>
      </c>
      <c r="G34" s="61">
        <f t="shared" si="29"/>
        <v>924.87699999999995</v>
      </c>
      <c r="H34" s="61">
        <f t="shared" si="29"/>
        <v>1044.27</v>
      </c>
      <c r="I34" s="61">
        <f t="shared" si="29"/>
        <v>1204.1099999999999</v>
      </c>
      <c r="J34" s="61">
        <f t="shared" si="29"/>
        <v>1106.9019999999998</v>
      </c>
      <c r="K34" s="1124">
        <f t="shared" si="29"/>
        <v>4280.1589999999997</v>
      </c>
      <c r="L34" s="61">
        <f t="shared" si="29"/>
        <v>954.73900000000003</v>
      </c>
      <c r="M34" s="61">
        <f t="shared" si="29"/>
        <v>977.23800000000006</v>
      </c>
      <c r="N34" s="61">
        <f t="shared" si="29"/>
        <v>1053.9670000000001</v>
      </c>
      <c r="O34" s="61">
        <f>O300</f>
        <v>1144.2180000000003</v>
      </c>
      <c r="P34" s="1125">
        <f t="shared" ref="P34:BN34" si="30">P7+P11+P22+P26+P30</f>
        <v>4130</v>
      </c>
      <c r="Q34" s="60">
        <f t="shared" si="30"/>
        <v>1103</v>
      </c>
      <c r="R34" s="60">
        <f t="shared" si="30"/>
        <v>1103</v>
      </c>
      <c r="S34" s="60">
        <f t="shared" si="30"/>
        <v>1225</v>
      </c>
      <c r="T34" s="60">
        <f t="shared" si="30"/>
        <v>1251</v>
      </c>
      <c r="U34" s="1125">
        <f t="shared" si="30"/>
        <v>4682</v>
      </c>
      <c r="V34" s="60">
        <f t="shared" si="30"/>
        <v>1151</v>
      </c>
      <c r="W34" s="60">
        <f t="shared" si="30"/>
        <v>1153</v>
      </c>
      <c r="X34" s="60">
        <f t="shared" si="30"/>
        <v>1305</v>
      </c>
      <c r="Y34" s="60">
        <f t="shared" si="30"/>
        <v>1401</v>
      </c>
      <c r="Z34" s="1125">
        <f t="shared" si="30"/>
        <v>5010</v>
      </c>
      <c r="AA34" s="60">
        <f t="shared" si="30"/>
        <v>1305</v>
      </c>
      <c r="AB34" s="60">
        <f t="shared" si="30"/>
        <v>1428</v>
      </c>
      <c r="AC34" s="61">
        <f t="shared" si="30"/>
        <v>2004</v>
      </c>
      <c r="AD34" s="61">
        <f t="shared" si="30"/>
        <v>2173</v>
      </c>
      <c r="AE34" s="1124">
        <f t="shared" si="30"/>
        <v>6910</v>
      </c>
      <c r="AF34" s="61">
        <f t="shared" si="30"/>
        <v>1937</v>
      </c>
      <c r="AG34" s="60">
        <f t="shared" si="30"/>
        <v>2230</v>
      </c>
      <c r="AH34" s="60">
        <f t="shared" si="30"/>
        <v>2636</v>
      </c>
      <c r="AI34" s="61">
        <f t="shared" si="30"/>
        <v>2911</v>
      </c>
      <c r="AJ34" s="1124">
        <f t="shared" si="30"/>
        <v>9714</v>
      </c>
      <c r="AK34" s="60">
        <f t="shared" si="30"/>
        <v>3207</v>
      </c>
      <c r="AL34" s="60">
        <f t="shared" si="30"/>
        <v>3123</v>
      </c>
      <c r="AM34" s="60">
        <f t="shared" si="30"/>
        <v>3181</v>
      </c>
      <c r="AN34" s="61">
        <f t="shared" si="30"/>
        <v>2205</v>
      </c>
      <c r="AO34" s="1124">
        <f t="shared" si="30"/>
        <v>11716</v>
      </c>
      <c r="AP34" s="60">
        <f t="shared" si="30"/>
        <v>2220</v>
      </c>
      <c r="AQ34" s="60">
        <f t="shared" si="30"/>
        <v>2579</v>
      </c>
      <c r="AR34" s="60">
        <f t="shared" si="30"/>
        <v>3014</v>
      </c>
      <c r="AS34" s="61">
        <f t="shared" si="30"/>
        <v>3105</v>
      </c>
      <c r="AT34" s="1124">
        <f t="shared" si="30"/>
        <v>10918</v>
      </c>
      <c r="AU34" s="60">
        <f t="shared" si="30"/>
        <v>3080</v>
      </c>
      <c r="AV34" s="60">
        <f t="shared" si="30"/>
        <v>3866</v>
      </c>
      <c r="AW34" s="60">
        <f t="shared" si="30"/>
        <v>4726</v>
      </c>
      <c r="AX34" s="61">
        <f t="shared" si="30"/>
        <v>5003</v>
      </c>
      <c r="AY34" s="1124">
        <f t="shared" si="30"/>
        <v>16675</v>
      </c>
      <c r="AZ34" s="60">
        <f t="shared" si="30"/>
        <v>5661</v>
      </c>
      <c r="BA34" s="60">
        <f t="shared" si="30"/>
        <v>6507</v>
      </c>
      <c r="BB34" s="60">
        <f t="shared" si="30"/>
        <v>7103</v>
      </c>
      <c r="BC34" s="61">
        <f t="shared" si="30"/>
        <v>7643</v>
      </c>
      <c r="BD34" s="1124">
        <f t="shared" si="30"/>
        <v>26914</v>
      </c>
      <c r="BE34" s="60">
        <f t="shared" si="30"/>
        <v>8288</v>
      </c>
      <c r="BF34" s="60">
        <f t="shared" si="30"/>
        <v>6704</v>
      </c>
      <c r="BG34" s="60">
        <f t="shared" si="30"/>
        <v>5931</v>
      </c>
      <c r="BH34" s="61">
        <f t="shared" si="30"/>
        <v>6051</v>
      </c>
      <c r="BI34" s="1124">
        <f t="shared" si="30"/>
        <v>26974</v>
      </c>
      <c r="BJ34" s="60">
        <f t="shared" si="30"/>
        <v>7192</v>
      </c>
      <c r="BK34" s="60">
        <f t="shared" si="30"/>
        <v>13507</v>
      </c>
      <c r="BL34" s="60">
        <f t="shared" si="30"/>
        <v>18120</v>
      </c>
      <c r="BM34" s="61">
        <f t="shared" si="30"/>
        <v>22103</v>
      </c>
      <c r="BN34" s="1124">
        <f t="shared" si="30"/>
        <v>60922</v>
      </c>
      <c r="BO34" s="60">
        <f t="shared" ref="BO34:BS34" si="31">BO7+BO11+BO22+BO26+BO30</f>
        <v>26044</v>
      </c>
      <c r="BP34" s="60">
        <f t="shared" si="31"/>
        <v>30040</v>
      </c>
      <c r="BQ34" s="60">
        <f t="shared" si="31"/>
        <v>35082</v>
      </c>
      <c r="BR34" s="61">
        <f t="shared" si="31"/>
        <v>39331</v>
      </c>
      <c r="BS34" s="1124">
        <f t="shared" si="31"/>
        <v>130497</v>
      </c>
      <c r="BT34" s="60">
        <f t="shared" ref="BT34:CK34" si="32">BT7+BT11+BT22+BT26+BT30</f>
        <v>44062</v>
      </c>
      <c r="BU34" s="60">
        <f t="shared" si="32"/>
        <v>46743</v>
      </c>
      <c r="BV34" s="60">
        <f t="shared" si="32"/>
        <v>57006</v>
      </c>
      <c r="BW34" s="61">
        <f t="shared" si="32"/>
        <v>68127</v>
      </c>
      <c r="BX34" s="1124">
        <f t="shared" si="32"/>
        <v>215938</v>
      </c>
      <c r="BY34" s="895">
        <f>BY370</f>
        <v>81615</v>
      </c>
      <c r="BZ34" s="61">
        <f t="shared" si="32"/>
        <v>90933.489999999991</v>
      </c>
      <c r="CA34" s="61">
        <f t="shared" si="32"/>
        <v>91535.799999999988</v>
      </c>
      <c r="CB34" s="61">
        <f t="shared" si="32"/>
        <v>94000.95</v>
      </c>
      <c r="CC34" s="1124">
        <f t="shared" si="32"/>
        <v>358085.24</v>
      </c>
      <c r="CD34" s="61">
        <f t="shared" si="32"/>
        <v>105523.55</v>
      </c>
      <c r="CE34" s="61">
        <f t="shared" si="32"/>
        <v>117668.7395</v>
      </c>
      <c r="CF34" s="61">
        <f t="shared" si="32"/>
        <v>114195.91999999998</v>
      </c>
      <c r="CG34" s="61">
        <f t="shared" si="32"/>
        <v>116937.35249999998</v>
      </c>
      <c r="CH34" s="1124">
        <f t="shared" si="32"/>
        <v>454325.56199999998</v>
      </c>
      <c r="CI34" s="1124">
        <f t="shared" si="32"/>
        <v>541906.80114999996</v>
      </c>
      <c r="CJ34" s="1124">
        <f t="shared" si="32"/>
        <v>636560.21689699986</v>
      </c>
      <c r="CK34" s="1124">
        <f t="shared" si="32"/>
        <v>747962.26663246006</v>
      </c>
      <c r="CL34" s="155"/>
    </row>
    <row r="35" spans="1:90" x14ac:dyDescent="0.3">
      <c r="A35" s="642" t="str">
        <f>CONCATENATE("Consensus Estimates - ",IFERROR(LEFT(A34,FIND("(",A34)-1),A34))</f>
        <v>Consensus Estimates - Total Revenue, mm</v>
      </c>
      <c r="B35" s="641"/>
      <c r="C35" s="1119"/>
      <c r="D35" s="1119"/>
      <c r="E35" s="1119"/>
      <c r="F35" s="1119"/>
      <c r="G35" s="76"/>
      <c r="H35" s="76"/>
      <c r="I35" s="76"/>
      <c r="J35" s="76"/>
      <c r="K35" s="1119"/>
      <c r="L35" s="76"/>
      <c r="M35" s="76"/>
      <c r="N35" s="76"/>
      <c r="O35" s="76"/>
      <c r="P35" s="1119"/>
      <c r="Q35" s="76"/>
      <c r="R35" s="76"/>
      <c r="S35" s="76"/>
      <c r="T35" s="76"/>
      <c r="U35" s="1119"/>
      <c r="V35" s="76"/>
      <c r="W35" s="76"/>
      <c r="X35" s="76"/>
      <c r="Y35" s="76"/>
      <c r="Z35" s="1119"/>
      <c r="AA35" s="76"/>
      <c r="AB35" s="76"/>
      <c r="AC35" s="76"/>
      <c r="AD35" s="76"/>
      <c r="AE35" s="1119"/>
      <c r="AF35" s="76"/>
      <c r="AG35" s="76"/>
      <c r="AH35" s="76"/>
      <c r="AI35" s="76"/>
      <c r="AJ35" s="1119"/>
      <c r="AK35" s="76"/>
      <c r="AL35" s="76"/>
      <c r="AM35" s="76"/>
      <c r="AN35" s="76"/>
      <c r="AO35" s="1119"/>
      <c r="AP35" s="76"/>
      <c r="AQ35" s="76"/>
      <c r="AR35" s="76"/>
      <c r="AS35" s="76"/>
      <c r="AT35" s="1119"/>
      <c r="AU35" s="76"/>
      <c r="AV35" s="76"/>
      <c r="AW35" s="76"/>
      <c r="AX35" s="76"/>
      <c r="AY35" s="1119"/>
      <c r="AZ35" s="76"/>
      <c r="BA35" s="76"/>
      <c r="BB35" s="76"/>
      <c r="BC35" s="76"/>
      <c r="BD35" s="1119"/>
      <c r="BE35" s="76"/>
      <c r="BF35" s="76"/>
      <c r="BG35" s="76"/>
      <c r="BH35" s="76"/>
      <c r="BI35" s="1119"/>
      <c r="BJ35" s="76"/>
      <c r="BK35" s="76"/>
      <c r="BL35" s="76"/>
      <c r="BM35" s="76"/>
      <c r="BN35" s="1119"/>
      <c r="BO35" s="76"/>
      <c r="BP35" s="76"/>
      <c r="BQ35" s="76"/>
      <c r="BR35" s="76"/>
      <c r="BS35" s="1119"/>
      <c r="BT35" s="76"/>
      <c r="BU35" s="76"/>
      <c r="BV35" s="76"/>
      <c r="BW35" s="76"/>
      <c r="BX35" s="1119"/>
      <c r="BY35" s="893"/>
      <c r="BZ35" s="867" t="str">
        <f t="shared" ref="BZ35:CK35" ca="1" si="33">BZ371</f>
        <v>N/A</v>
      </c>
      <c r="CA35" s="867" t="str">
        <f t="shared" ca="1" si="33"/>
        <v>N/A</v>
      </c>
      <c r="CB35" s="867" t="str">
        <f t="shared" ca="1" si="33"/>
        <v>N/A</v>
      </c>
      <c r="CC35" s="1126" t="str">
        <f t="shared" ca="1" si="33"/>
        <v>N/A</v>
      </c>
      <c r="CD35" s="867" t="str">
        <f t="shared" ca="1" si="33"/>
        <v>N/A</v>
      </c>
      <c r="CE35" s="867" t="str">
        <f t="shared" ca="1" si="33"/>
        <v>N/A</v>
      </c>
      <c r="CF35" s="867" t="str">
        <f t="shared" ca="1" si="33"/>
        <v>N/A</v>
      </c>
      <c r="CG35" s="867" t="str">
        <f t="shared" ca="1" si="33"/>
        <v>N/A</v>
      </c>
      <c r="CH35" s="1126" t="str">
        <f t="shared" ca="1" si="33"/>
        <v>N/A</v>
      </c>
      <c r="CI35" s="1126" t="str">
        <f t="shared" ca="1" si="33"/>
        <v>N/A</v>
      </c>
      <c r="CJ35" s="1126" t="str">
        <f t="shared" ca="1" si="33"/>
        <v>N/A</v>
      </c>
      <c r="CK35" s="1126" t="str">
        <f t="shared" ca="1" si="33"/>
        <v>N/A</v>
      </c>
      <c r="CL35" s="155"/>
    </row>
    <row r="36" spans="1:90" x14ac:dyDescent="0.3">
      <c r="A36" s="642" t="s">
        <v>1116</v>
      </c>
      <c r="B36" s="641"/>
      <c r="C36" s="1119"/>
      <c r="D36" s="1119"/>
      <c r="E36" s="1119"/>
      <c r="F36" s="1119"/>
      <c r="G36" s="76"/>
      <c r="H36" s="76"/>
      <c r="I36" s="76"/>
      <c r="J36" s="76"/>
      <c r="K36" s="1119"/>
      <c r="L36" s="76"/>
      <c r="M36" s="76"/>
      <c r="N36" s="76"/>
      <c r="O36" s="76"/>
      <c r="P36" s="1119"/>
      <c r="Q36" s="76"/>
      <c r="R36" s="76"/>
      <c r="S36" s="76"/>
      <c r="T36" s="76"/>
      <c r="U36" s="1119"/>
      <c r="V36" s="76"/>
      <c r="W36" s="76"/>
      <c r="X36" s="76"/>
      <c r="Y36" s="76"/>
      <c r="Z36" s="1119"/>
      <c r="AA36" s="76"/>
      <c r="AB36" s="76"/>
      <c r="AC36" s="76"/>
      <c r="AD36" s="76"/>
      <c r="AE36" s="1119"/>
      <c r="AF36" s="76"/>
      <c r="AG36" s="76"/>
      <c r="AH36" s="76"/>
      <c r="AI36" s="76"/>
      <c r="AJ36" s="1119"/>
      <c r="AK36" s="76"/>
      <c r="AL36" s="76"/>
      <c r="AM36" s="76"/>
      <c r="AN36" s="76"/>
      <c r="AO36" s="1119"/>
      <c r="AP36" s="76"/>
      <c r="AQ36" s="76"/>
      <c r="AR36" s="76"/>
      <c r="AS36" s="76"/>
      <c r="AT36" s="1119"/>
      <c r="AU36" s="76"/>
      <c r="AV36" s="76"/>
      <c r="AW36" s="76"/>
      <c r="AX36" s="76"/>
      <c r="AY36" s="1119"/>
      <c r="AZ36" s="76"/>
      <c r="BA36" s="76"/>
      <c r="BB36" s="76"/>
      <c r="BC36" s="76"/>
      <c r="BD36" s="1119"/>
      <c r="BE36" s="76"/>
      <c r="BF36" s="76"/>
      <c r="BG36" s="76"/>
      <c r="BH36" s="76"/>
      <c r="BI36" s="1119"/>
      <c r="BJ36" s="76"/>
      <c r="BK36" s="76"/>
      <c r="BL36" s="76"/>
      <c r="BM36" s="76"/>
      <c r="BN36" s="1119"/>
      <c r="BO36" s="76"/>
      <c r="BP36" s="76"/>
      <c r="BQ36" s="76"/>
      <c r="BR36" s="76"/>
      <c r="BS36" s="1119"/>
      <c r="BT36" s="76"/>
      <c r="BU36" s="76"/>
      <c r="BV36" s="76"/>
      <c r="BW36" s="76"/>
      <c r="BX36" s="1119"/>
      <c r="BY36" s="893"/>
      <c r="BZ36" s="76">
        <f t="shared" ref="BZ36:CK36" si="34">BZ580</f>
        <v>91000</v>
      </c>
      <c r="CA36" s="76" t="str">
        <f t="shared" si="34"/>
        <v/>
      </c>
      <c r="CB36" s="76" t="str">
        <f t="shared" si="34"/>
        <v/>
      </c>
      <c r="CC36" s="1119" t="str">
        <f t="shared" si="34"/>
        <v/>
      </c>
      <c r="CD36" s="76" t="str">
        <f t="shared" si="34"/>
        <v/>
      </c>
      <c r="CE36" s="76" t="str">
        <f t="shared" si="34"/>
        <v/>
      </c>
      <c r="CF36" s="76" t="str">
        <f t="shared" si="34"/>
        <v/>
      </c>
      <c r="CG36" s="76" t="str">
        <f t="shared" si="34"/>
        <v/>
      </c>
      <c r="CH36" s="1119" t="str">
        <f t="shared" si="34"/>
        <v/>
      </c>
      <c r="CI36" s="1119">
        <f t="shared" si="34"/>
        <v>0</v>
      </c>
      <c r="CJ36" s="1119">
        <f t="shared" si="34"/>
        <v>0</v>
      </c>
      <c r="CK36" s="1119">
        <f t="shared" si="34"/>
        <v>0</v>
      </c>
      <c r="CL36" s="155"/>
    </row>
    <row r="37" spans="1:90" x14ac:dyDescent="0.3">
      <c r="A37" s="642" t="s">
        <v>694</v>
      </c>
      <c r="B37" s="641"/>
      <c r="C37" s="1115"/>
      <c r="D37" s="1115"/>
      <c r="E37" s="1115"/>
      <c r="F37" s="1115"/>
      <c r="G37" s="90"/>
      <c r="H37" s="90">
        <f>H34/G34-1</f>
        <v>0.12909067908489447</v>
      </c>
      <c r="I37" s="90">
        <f>I34/H34-1</f>
        <v>0.153063862794105</v>
      </c>
      <c r="J37" s="90">
        <f>J34/I34-1</f>
        <v>-8.0730165848635127E-2</v>
      </c>
      <c r="K37" s="1115"/>
      <c r="L37" s="90">
        <f>L34/J34-1</f>
        <v>-0.13746745421003825</v>
      </c>
      <c r="M37" s="90">
        <f>M34/L34-1</f>
        <v>2.3565602745881264E-2</v>
      </c>
      <c r="N37" s="90">
        <f>N34/M34-1</f>
        <v>7.8516185412356165E-2</v>
      </c>
      <c r="O37" s="90">
        <f>O34/N34-1</f>
        <v>8.5629815734268977E-2</v>
      </c>
      <c r="P37" s="1115"/>
      <c r="Q37" s="90">
        <f>Q34/O34-1</f>
        <v>-3.6022855784474839E-2</v>
      </c>
      <c r="R37" s="366">
        <f>R34/Q34-1</f>
        <v>0</v>
      </c>
      <c r="S37" s="366">
        <f>S34/R34-1</f>
        <v>0.11060743427017217</v>
      </c>
      <c r="T37" s="366">
        <f>T34/S34-1</f>
        <v>2.12244897959184E-2</v>
      </c>
      <c r="U37" s="1115"/>
      <c r="V37" s="366">
        <f>V34/T34-1</f>
        <v>-7.9936051159072763E-2</v>
      </c>
      <c r="W37" s="366">
        <f>W34/V34-1</f>
        <v>1.7376194613378804E-3</v>
      </c>
      <c r="X37" s="366">
        <f>X34/W34-1</f>
        <v>0.13183000867302685</v>
      </c>
      <c r="Y37" s="366">
        <f>Y34/X34-1</f>
        <v>7.3563218390804597E-2</v>
      </c>
      <c r="Z37" s="1115"/>
      <c r="AA37" s="366">
        <f>AA34/Y34-1</f>
        <v>-6.8522483940042789E-2</v>
      </c>
      <c r="AB37" s="366">
        <f>AB34/AA34-1</f>
        <v>9.4252873563218431E-2</v>
      </c>
      <c r="AC37" s="90">
        <f>AC34/AB34-1</f>
        <v>0.40336134453781503</v>
      </c>
      <c r="AD37" s="90">
        <f>AD34/AC34-1</f>
        <v>8.4331337325349365E-2</v>
      </c>
      <c r="AE37" s="1115"/>
      <c r="AF37" s="90">
        <f>AF34/AD34-1</f>
        <v>-0.1086056143580304</v>
      </c>
      <c r="AG37" s="366">
        <f>AG34/AF34-1</f>
        <v>0.15126484254001027</v>
      </c>
      <c r="AH37" s="366">
        <f>AH34/AG34-1</f>
        <v>0.1820627802690582</v>
      </c>
      <c r="AI37" s="90">
        <f>AI34/AH34-1</f>
        <v>0.10432473444613044</v>
      </c>
      <c r="AJ37" s="1115"/>
      <c r="AK37" s="366">
        <f>AK34/AI34-1</f>
        <v>0.1016832703538304</v>
      </c>
      <c r="AL37" s="366">
        <f>AL34/AK34-1</f>
        <v>-2.6192703461178635E-2</v>
      </c>
      <c r="AM37" s="366">
        <f>AM34/AL34-1</f>
        <v>1.8571886007044514E-2</v>
      </c>
      <c r="AN37" s="90">
        <f>AN34/AM34-1</f>
        <v>-0.30682175416535684</v>
      </c>
      <c r="AO37" s="1115"/>
      <c r="AP37" s="366">
        <f>AP34/AN34-1</f>
        <v>6.8027210884353817E-3</v>
      </c>
      <c r="AQ37" s="366">
        <f>AQ34/AP34-1</f>
        <v>0.16171171171171173</v>
      </c>
      <c r="AR37" s="366">
        <f>AR34/AQ34-1</f>
        <v>0.16867002714230317</v>
      </c>
      <c r="AS37" s="90">
        <f>AS34/AR34-1</f>
        <v>3.0192435301924281E-2</v>
      </c>
      <c r="AT37" s="1115"/>
      <c r="AU37" s="366">
        <f>AU34/AS34-1</f>
        <v>-8.0515297906602612E-3</v>
      </c>
      <c r="AV37" s="366">
        <f>AV34/AU34-1</f>
        <v>0.2551948051948052</v>
      </c>
      <c r="AW37" s="366">
        <f>AW34/AV34-1</f>
        <v>0.22245214692188298</v>
      </c>
      <c r="AX37" s="90">
        <f>AX34/AW34-1</f>
        <v>5.8611933982225972E-2</v>
      </c>
      <c r="AY37" s="1115"/>
      <c r="AZ37" s="366">
        <f>AZ34/AX34-1</f>
        <v>0.13152108734759138</v>
      </c>
      <c r="BA37" s="366">
        <f>BA34/AZ34-1</f>
        <v>0.14944356120826718</v>
      </c>
      <c r="BB37" s="366">
        <f>BB34/BA34-1</f>
        <v>9.1593668357153879E-2</v>
      </c>
      <c r="BC37" s="90">
        <f>BC34/BB34-1</f>
        <v>7.6024215120371608E-2</v>
      </c>
      <c r="BD37" s="1115"/>
      <c r="BE37" s="366">
        <f>BE34/BC34-1</f>
        <v>8.4390945963626951E-2</v>
      </c>
      <c r="BF37" s="366">
        <f>BF34/BE34-1</f>
        <v>-0.19111969111969107</v>
      </c>
      <c r="BG37" s="366">
        <f>BG34/BF34-1</f>
        <v>-0.11530429594272074</v>
      </c>
      <c r="BH37" s="90">
        <f>BH34/BG34-1</f>
        <v>2.0232675771370667E-2</v>
      </c>
      <c r="BI37" s="1115"/>
      <c r="BJ37" s="366">
        <f>BJ34/BH34-1</f>
        <v>0.1885638737398776</v>
      </c>
      <c r="BK37" s="366">
        <f>BK34/BJ34-1</f>
        <v>0.87805895439377091</v>
      </c>
      <c r="BL37" s="366">
        <f>BL34/BK34-1</f>
        <v>0.34152661582882948</v>
      </c>
      <c r="BM37" s="90">
        <f>BM34/BL34-1</f>
        <v>0.21981236203090515</v>
      </c>
      <c r="BN37" s="1115"/>
      <c r="BO37" s="366">
        <f>BO34/BM34-1</f>
        <v>0.17830158801972584</v>
      </c>
      <c r="BP37" s="366">
        <f>BP34/BO34-1</f>
        <v>0.1534326524343419</v>
      </c>
      <c r="BQ37" s="366">
        <f>BQ34/BP34-1</f>
        <v>0.16784287616511318</v>
      </c>
      <c r="BR37" s="90">
        <f>BR34/BQ34-1</f>
        <v>0.12111624194743742</v>
      </c>
      <c r="BS37" s="1115"/>
      <c r="BT37" s="366">
        <f>BT34/BR34-1</f>
        <v>0.12028679667437903</v>
      </c>
      <c r="BU37" s="366">
        <f>BU34/BT34-1</f>
        <v>6.0846080522899637E-2</v>
      </c>
      <c r="BV37" s="366">
        <f>BV34/BU34-1</f>
        <v>0.21956228740132211</v>
      </c>
      <c r="BW37" s="90">
        <f>BW34/BV34-1</f>
        <v>0.1950847279233765</v>
      </c>
      <c r="BX37" s="1115"/>
      <c r="BY37" s="890">
        <f>BY34/BW34-1</f>
        <v>0.1979831784754944</v>
      </c>
      <c r="BZ37" s="90">
        <f>BZ34/BY34-1</f>
        <v>0.11417619310175819</v>
      </c>
      <c r="CA37" s="90">
        <f>CA34/BZ34-1</f>
        <v>6.6236322833315153E-3</v>
      </c>
      <c r="CB37" s="90">
        <f>CB34/CA34-1</f>
        <v>2.6930993119631985E-2</v>
      </c>
      <c r="CC37" s="1115"/>
      <c r="CD37" s="90">
        <f>CD34/CB34-1</f>
        <v>0.12257961222732328</v>
      </c>
      <c r="CE37" s="90">
        <f>CE34/CD34-1</f>
        <v>0.11509458789057025</v>
      </c>
      <c r="CF37" s="90">
        <f>CF34/CE34-1</f>
        <v>-2.9513526827573577E-2</v>
      </c>
      <c r="CG37" s="90">
        <f>CG34/CF34-1</f>
        <v>2.4006396200494606E-2</v>
      </c>
      <c r="CH37" s="1115"/>
      <c r="CI37" s="1115"/>
      <c r="CJ37" s="1115"/>
      <c r="CK37" s="1115"/>
      <c r="CL37" s="155"/>
    </row>
    <row r="38" spans="1:90" x14ac:dyDescent="0.3">
      <c r="A38" s="81" t="s">
        <v>693</v>
      </c>
      <c r="B38" s="582"/>
      <c r="C38" s="1116"/>
      <c r="D38" s="1117">
        <f>D34/C34-1</f>
        <v>-2.8735197565797566E-2</v>
      </c>
      <c r="E38" s="1117">
        <f>E34/D34-1</f>
        <v>6.5193923242380381E-2</v>
      </c>
      <c r="F38" s="1117">
        <f>F34/E34-1</f>
        <v>0.12830407960468571</v>
      </c>
      <c r="G38" s="643"/>
      <c r="H38" s="643"/>
      <c r="I38" s="643"/>
      <c r="J38" s="643"/>
      <c r="K38" s="1117">
        <f t="shared" ref="K38:AP38" si="35">K34/F34-1</f>
        <v>7.0593782282331041E-2</v>
      </c>
      <c r="L38" s="1020">
        <f t="shared" si="35"/>
        <v>3.2287536612976675E-2</v>
      </c>
      <c r="M38" s="1020">
        <f t="shared" si="35"/>
        <v>-6.4190295613203441E-2</v>
      </c>
      <c r="N38" s="1020">
        <f t="shared" si="35"/>
        <v>-0.12469209623705457</v>
      </c>
      <c r="O38" s="1020">
        <f t="shared" si="35"/>
        <v>3.3712108208315161E-2</v>
      </c>
      <c r="P38" s="1117">
        <f t="shared" si="35"/>
        <v>-3.5082575203397748E-2</v>
      </c>
      <c r="Q38" s="1020">
        <f t="shared" si="35"/>
        <v>0.15528956081190781</v>
      </c>
      <c r="R38" s="1020">
        <f t="shared" si="35"/>
        <v>0.12869127070375885</v>
      </c>
      <c r="S38" s="1020">
        <f t="shared" si="35"/>
        <v>0.16227547921329588</v>
      </c>
      <c r="T38" s="1020">
        <f t="shared" si="35"/>
        <v>9.3323125488324443E-2</v>
      </c>
      <c r="U38" s="1117">
        <f t="shared" si="35"/>
        <v>0.13365617433414045</v>
      </c>
      <c r="V38" s="1020">
        <f t="shared" si="35"/>
        <v>4.3517679057117009E-2</v>
      </c>
      <c r="W38" s="1020">
        <f t="shared" si="35"/>
        <v>4.5330915684496764E-2</v>
      </c>
      <c r="X38" s="1020">
        <f t="shared" si="35"/>
        <v>6.5306122448979487E-2</v>
      </c>
      <c r="Y38" s="1020">
        <f t="shared" si="35"/>
        <v>0.11990407673860903</v>
      </c>
      <c r="Z38" s="1117">
        <f t="shared" si="35"/>
        <v>7.0055531824006811E-2</v>
      </c>
      <c r="AA38" s="1020">
        <f t="shared" si="35"/>
        <v>0.13379669852302345</v>
      </c>
      <c r="AB38" s="1020">
        <f t="shared" si="35"/>
        <v>0.238508239375542</v>
      </c>
      <c r="AC38" s="1020">
        <f t="shared" si="35"/>
        <v>0.53563218390804601</v>
      </c>
      <c r="AD38" s="1020">
        <f t="shared" si="35"/>
        <v>0.55103497501784449</v>
      </c>
      <c r="AE38" s="1117">
        <f t="shared" si="35"/>
        <v>0.37924151696606789</v>
      </c>
      <c r="AF38" s="1020">
        <f t="shared" si="35"/>
        <v>0.48429118773946356</v>
      </c>
      <c r="AG38" s="1020">
        <f t="shared" si="35"/>
        <v>0.56162464985994398</v>
      </c>
      <c r="AH38" s="1020">
        <f t="shared" si="35"/>
        <v>0.3153692614770458</v>
      </c>
      <c r="AI38" s="1020">
        <f t="shared" si="35"/>
        <v>0.33962264150943389</v>
      </c>
      <c r="AJ38" s="1117">
        <f t="shared" si="35"/>
        <v>0.40578871201157751</v>
      </c>
      <c r="AK38" s="1020">
        <f t="shared" si="35"/>
        <v>0.65565307176045429</v>
      </c>
      <c r="AL38" s="1020">
        <f t="shared" si="35"/>
        <v>0.40044843049327361</v>
      </c>
      <c r="AM38" s="1020">
        <f t="shared" si="35"/>
        <v>0.20675265553869493</v>
      </c>
      <c r="AN38" s="1020">
        <f t="shared" si="35"/>
        <v>-0.24252834077636554</v>
      </c>
      <c r="AO38" s="1117">
        <f t="shared" si="35"/>
        <v>0.20609429689108505</v>
      </c>
      <c r="AP38" s="1020">
        <f t="shared" si="35"/>
        <v>-0.3077642656688494</v>
      </c>
      <c r="AQ38" s="1020">
        <f t="shared" ref="AQ38:BN38" si="36">AQ34/AL34-1</f>
        <v>-0.17419148254883121</v>
      </c>
      <c r="AR38" s="1020">
        <f t="shared" si="36"/>
        <v>-5.2499214083621459E-2</v>
      </c>
      <c r="AS38" s="1020">
        <f t="shared" si="36"/>
        <v>0.40816326530612246</v>
      </c>
      <c r="AT38" s="1117">
        <f t="shared" si="36"/>
        <v>-6.8111983612154314E-2</v>
      </c>
      <c r="AU38" s="1020">
        <f t="shared" si="36"/>
        <v>0.38738738738738743</v>
      </c>
      <c r="AV38" s="1020">
        <f t="shared" si="36"/>
        <v>0.49903063202791786</v>
      </c>
      <c r="AW38" s="1020">
        <f t="shared" si="36"/>
        <v>0.56801592568015935</v>
      </c>
      <c r="AX38" s="1020">
        <f t="shared" si="36"/>
        <v>0.61127214170692423</v>
      </c>
      <c r="AY38" s="1117">
        <f t="shared" si="36"/>
        <v>0.52729437625938824</v>
      </c>
      <c r="AZ38" s="1020">
        <f t="shared" si="36"/>
        <v>0.83798701298701306</v>
      </c>
      <c r="BA38" s="1020">
        <f t="shared" si="36"/>
        <v>0.68313502327987585</v>
      </c>
      <c r="BB38" s="1020">
        <f t="shared" si="36"/>
        <v>0.50296233601354201</v>
      </c>
      <c r="BC38" s="1020">
        <f t="shared" si="36"/>
        <v>0.52768338996602049</v>
      </c>
      <c r="BD38" s="1117">
        <f t="shared" si="36"/>
        <v>0.61403298350824587</v>
      </c>
      <c r="BE38" s="1020">
        <f t="shared" si="36"/>
        <v>0.46405228758169925</v>
      </c>
      <c r="BF38" s="1020">
        <f t="shared" si="36"/>
        <v>3.0275088366374714E-2</v>
      </c>
      <c r="BG38" s="1020">
        <f t="shared" si="36"/>
        <v>-0.16500070392791777</v>
      </c>
      <c r="BH38" s="1020">
        <f t="shared" si="36"/>
        <v>-0.20829517205285886</v>
      </c>
      <c r="BI38" s="1117">
        <f t="shared" si="36"/>
        <v>2.2293230289069932E-3</v>
      </c>
      <c r="BJ38" s="1020">
        <f t="shared" si="36"/>
        <v>-0.13223938223938225</v>
      </c>
      <c r="BK38" s="1020">
        <f t="shared" si="36"/>
        <v>1.0147673031026252</v>
      </c>
      <c r="BL38" s="1020">
        <f t="shared" si="36"/>
        <v>2.0551340414769852</v>
      </c>
      <c r="BM38" s="1020">
        <f t="shared" si="36"/>
        <v>2.6527846636919516</v>
      </c>
      <c r="BN38" s="1117">
        <f t="shared" si="36"/>
        <v>1.2585452658115224</v>
      </c>
      <c r="BO38" s="1020">
        <f t="shared" ref="BO38:CC38" si="37">BO34/BJ34-1</f>
        <v>2.6212458286985538</v>
      </c>
      <c r="BP38" s="1020">
        <f t="shared" si="37"/>
        <v>1.2240319834160065</v>
      </c>
      <c r="BQ38" s="1020">
        <f t="shared" si="37"/>
        <v>0.93609271523178816</v>
      </c>
      <c r="BR38" s="1020">
        <f t="shared" si="37"/>
        <v>0.77944170474596208</v>
      </c>
      <c r="BS38" s="1117">
        <f t="shared" si="37"/>
        <v>1.1420340763599355</v>
      </c>
      <c r="BT38" s="1020">
        <f t="shared" ref="BT38:CB38" si="38">BT34/BO34-1</f>
        <v>0.69182921210259551</v>
      </c>
      <c r="BU38" s="1020">
        <f t="shared" si="38"/>
        <v>0.5560252996005326</v>
      </c>
      <c r="BV38" s="1020">
        <f t="shared" si="38"/>
        <v>0.62493586454592109</v>
      </c>
      <c r="BW38" s="1020">
        <f t="shared" si="38"/>
        <v>0.73214512725331171</v>
      </c>
      <c r="BX38" s="1117">
        <f t="shared" si="38"/>
        <v>0.65473535790094783</v>
      </c>
      <c r="BY38" s="891">
        <f>BY34/BT34-1</f>
        <v>0.85227633788752222</v>
      </c>
      <c r="BZ38" s="643">
        <f t="shared" si="38"/>
        <v>0.94539267911772873</v>
      </c>
      <c r="CA38" s="643">
        <f t="shared" si="38"/>
        <v>0.60572220468020888</v>
      </c>
      <c r="CB38" s="643">
        <f t="shared" si="38"/>
        <v>0.37978995112070102</v>
      </c>
      <c r="CC38" s="1116">
        <f t="shared" si="37"/>
        <v>0.65827802424770065</v>
      </c>
      <c r="CD38" s="643">
        <f>CD34/BY34-1</f>
        <v>0.29294308644244316</v>
      </c>
      <c r="CE38" s="643">
        <f>CE34/BZ34-1</f>
        <v>0.29400883546864875</v>
      </c>
      <c r="CF38" s="643">
        <f>CF34/CA34-1</f>
        <v>0.24755472722148064</v>
      </c>
      <c r="CG38" s="643">
        <f>CG34/CB34-1</f>
        <v>0.24400181593909398</v>
      </c>
      <c r="CH38" s="1116">
        <f>CH34/CC34-1</f>
        <v>0.26876372229137391</v>
      </c>
      <c r="CI38" s="1116">
        <f>CI34/CH34-1</f>
        <v>0.19277198219808733</v>
      </c>
      <c r="CJ38" s="1116">
        <f>CJ34/CI34-1</f>
        <v>0.17466733310254168</v>
      </c>
      <c r="CK38" s="1116">
        <f>CK34/CJ34-1</f>
        <v>0.17500630227648339</v>
      </c>
      <c r="CL38" s="155"/>
    </row>
    <row r="39" spans="1:90" x14ac:dyDescent="0.3">
      <c r="A39" s="600"/>
      <c r="B39" s="601"/>
      <c r="C39" s="1127"/>
      <c r="D39" s="1127"/>
      <c r="E39" s="1127"/>
      <c r="F39" s="1127"/>
      <c r="G39" s="63"/>
      <c r="H39" s="63"/>
      <c r="I39" s="63"/>
      <c r="J39" s="63"/>
      <c r="K39" s="1127"/>
      <c r="L39" s="63"/>
      <c r="M39" s="63"/>
      <c r="N39" s="63"/>
      <c r="O39" s="63"/>
      <c r="P39" s="1127"/>
      <c r="Q39" s="63"/>
      <c r="R39" s="63"/>
      <c r="S39" s="63"/>
      <c r="T39" s="63"/>
      <c r="U39" s="1127"/>
      <c r="V39" s="63"/>
      <c r="W39" s="63"/>
      <c r="X39" s="63"/>
      <c r="Y39" s="63"/>
      <c r="Z39" s="1127"/>
      <c r="AA39" s="63"/>
      <c r="AB39" s="63"/>
      <c r="AC39" s="63"/>
      <c r="AD39" s="63"/>
      <c r="AE39" s="1127"/>
      <c r="AF39" s="63"/>
      <c r="AG39" s="63"/>
      <c r="AH39" s="63"/>
      <c r="AI39" s="63"/>
      <c r="AJ39" s="1127"/>
      <c r="AK39" s="63"/>
      <c r="AL39" s="63"/>
      <c r="AM39" s="63"/>
      <c r="AN39" s="63"/>
      <c r="AO39" s="1127"/>
      <c r="AP39" s="63"/>
      <c r="AQ39" s="63"/>
      <c r="AR39" s="63"/>
      <c r="AS39" s="63"/>
      <c r="AT39" s="1127"/>
      <c r="AU39" s="63"/>
      <c r="AV39" s="63"/>
      <c r="AW39" s="63"/>
      <c r="AX39" s="63"/>
      <c r="AY39" s="1127"/>
      <c r="AZ39" s="63"/>
      <c r="BA39" s="63"/>
      <c r="BB39" s="63"/>
      <c r="BC39" s="63"/>
      <c r="BD39" s="1127"/>
      <c r="BE39" s="63"/>
      <c r="BF39" s="63"/>
      <c r="BG39" s="63"/>
      <c r="BH39" s="63"/>
      <c r="BI39" s="1127"/>
      <c r="BJ39" s="63"/>
      <c r="BK39" s="63"/>
      <c r="BL39" s="63"/>
      <c r="BM39" s="63"/>
      <c r="BN39" s="1127"/>
      <c r="BO39" s="63"/>
      <c r="BP39" s="63"/>
      <c r="BQ39" s="63"/>
      <c r="BR39" s="63"/>
      <c r="BS39" s="1127"/>
      <c r="BT39" s="63"/>
      <c r="BU39" s="63"/>
      <c r="BV39" s="63"/>
      <c r="BW39" s="63"/>
      <c r="BX39" s="1127"/>
      <c r="BY39" s="587"/>
      <c r="BZ39" s="63"/>
      <c r="CA39" s="63"/>
      <c r="CB39" s="63"/>
      <c r="CC39" s="1127"/>
      <c r="CD39" s="63"/>
      <c r="CE39" s="63"/>
      <c r="CF39" s="63"/>
      <c r="CG39" s="63"/>
      <c r="CH39" s="1127"/>
      <c r="CI39" s="1127"/>
      <c r="CJ39" s="1127"/>
      <c r="CK39" s="1127"/>
      <c r="CL39" s="155"/>
    </row>
    <row r="40" spans="1:90" x14ac:dyDescent="0.3">
      <c r="A40" s="636" t="s">
        <v>1262</v>
      </c>
      <c r="B40" s="598"/>
      <c r="C40" s="1112"/>
      <c r="D40" s="1112"/>
      <c r="E40" s="1112"/>
      <c r="F40" s="1112"/>
      <c r="G40" s="68"/>
      <c r="H40" s="68"/>
      <c r="I40" s="68"/>
      <c r="J40" s="68"/>
      <c r="K40" s="1112"/>
      <c r="L40" s="68"/>
      <c r="M40" s="68"/>
      <c r="N40" s="68"/>
      <c r="O40" s="68"/>
      <c r="P40" s="1112"/>
      <c r="Q40" s="68"/>
      <c r="R40" s="68"/>
      <c r="S40" s="68"/>
      <c r="T40" s="68"/>
      <c r="U40" s="1112"/>
      <c r="V40" s="68"/>
      <c r="W40" s="68"/>
      <c r="X40" s="68"/>
      <c r="Y40" s="68"/>
      <c r="Z40" s="1112"/>
      <c r="AA40" s="68"/>
      <c r="AB40" s="68"/>
      <c r="AC40" s="68"/>
      <c r="AD40" s="68"/>
      <c r="AE40" s="1112"/>
      <c r="AF40" s="68"/>
      <c r="AG40" s="68"/>
      <c r="AH40" s="68"/>
      <c r="AI40" s="68"/>
      <c r="AJ40" s="1112"/>
      <c r="AK40" s="68"/>
      <c r="AL40" s="68"/>
      <c r="AM40" s="68"/>
      <c r="AN40" s="68"/>
      <c r="AO40" s="1112"/>
      <c r="AP40" s="68"/>
      <c r="AQ40" s="68"/>
      <c r="AR40" s="68"/>
      <c r="AS40" s="68"/>
      <c r="AT40" s="1112"/>
      <c r="AU40" s="68"/>
      <c r="AV40" s="68"/>
      <c r="AW40" s="68"/>
      <c r="AX40" s="68"/>
      <c r="AY40" s="1112"/>
      <c r="AZ40" s="68"/>
      <c r="BA40" s="68"/>
      <c r="BB40" s="68"/>
      <c r="BC40" s="68"/>
      <c r="BD40" s="1112"/>
      <c r="BE40" s="68"/>
      <c r="BF40" s="68"/>
      <c r="BG40" s="68"/>
      <c r="BH40" s="68"/>
      <c r="BI40" s="1112"/>
      <c r="BJ40" s="68"/>
      <c r="BK40" s="68"/>
      <c r="BL40" s="68"/>
      <c r="BM40" s="68"/>
      <c r="BN40" s="1112"/>
      <c r="BO40" s="68"/>
      <c r="BP40" s="68"/>
      <c r="BQ40" s="68"/>
      <c r="BR40" s="1055">
        <v>11000</v>
      </c>
      <c r="BS40" s="1112"/>
      <c r="BT40" s="68"/>
      <c r="BU40" s="68"/>
      <c r="BV40" s="68"/>
      <c r="BW40" s="68"/>
      <c r="BX40" s="1112"/>
      <c r="BY40" s="588"/>
      <c r="BZ40" s="68"/>
      <c r="CA40" s="68"/>
      <c r="CB40" s="68"/>
      <c r="CC40" s="1112"/>
      <c r="CD40" s="68"/>
      <c r="CE40" s="68"/>
      <c r="CF40" s="68"/>
      <c r="CG40" s="68"/>
      <c r="CH40" s="1112"/>
      <c r="CI40" s="1112"/>
      <c r="CJ40" s="1112"/>
      <c r="CK40" s="1112"/>
      <c r="CL40" s="155"/>
    </row>
    <row r="41" spans="1:90" x14ac:dyDescent="0.3">
      <c r="A41" s="636" t="s">
        <v>751</v>
      </c>
      <c r="B41" s="598"/>
      <c r="C41" s="1112"/>
      <c r="D41" s="1112"/>
      <c r="E41" s="1112"/>
      <c r="F41" s="1112"/>
      <c r="G41" s="68"/>
      <c r="H41" s="68"/>
      <c r="I41" s="68"/>
      <c r="J41" s="68"/>
      <c r="K41" s="1112"/>
      <c r="L41" s="68"/>
      <c r="M41" s="68"/>
      <c r="N41" s="68"/>
      <c r="O41" s="68"/>
      <c r="P41" s="1112"/>
      <c r="Q41" s="68"/>
      <c r="R41" s="68"/>
      <c r="S41" s="68"/>
      <c r="T41" s="68"/>
      <c r="U41" s="1112"/>
      <c r="V41" s="68"/>
      <c r="W41" s="68"/>
      <c r="X41" s="68"/>
      <c r="Y41" s="68"/>
      <c r="Z41" s="1112"/>
      <c r="AA41" s="68"/>
      <c r="AB41" s="68"/>
      <c r="AC41" s="68"/>
      <c r="AD41" s="68"/>
      <c r="AE41" s="1112"/>
      <c r="AF41" s="1055">
        <v>289</v>
      </c>
      <c r="AG41" s="68"/>
      <c r="AH41" s="68"/>
      <c r="AI41" s="68"/>
      <c r="AJ41" s="1112"/>
      <c r="AK41" s="1055">
        <v>0</v>
      </c>
      <c r="AL41" s="68"/>
      <c r="AM41" s="68"/>
      <c r="AN41" s="68"/>
      <c r="AO41" s="1112"/>
      <c r="AP41" s="68"/>
      <c r="AQ41" s="68"/>
      <c r="AR41" s="68"/>
      <c r="AS41" s="68"/>
      <c r="AT41" s="1112"/>
      <c r="AU41" s="68"/>
      <c r="AV41" s="68"/>
      <c r="AW41" s="68"/>
      <c r="AX41" s="68"/>
      <c r="AY41" s="1113">
        <v>0</v>
      </c>
      <c r="AZ41" s="1055">
        <v>155</v>
      </c>
      <c r="BA41" s="1055">
        <v>266</v>
      </c>
      <c r="BB41" s="1055">
        <v>105</v>
      </c>
      <c r="BC41" s="68">
        <f>BD41-SUM(AZ41,BA41,BB41)</f>
        <v>24</v>
      </c>
      <c r="BD41" s="1113">
        <v>550</v>
      </c>
      <c r="BE41" s="1055">
        <v>0</v>
      </c>
      <c r="BF41" s="1055">
        <v>0</v>
      </c>
      <c r="BG41" s="1055">
        <v>0</v>
      </c>
      <c r="BH41" s="68">
        <f>BI41-SUM(BE41,BF41,BG41)</f>
        <v>0</v>
      </c>
      <c r="BI41" s="1113">
        <v>0</v>
      </c>
      <c r="BJ41" s="68"/>
      <c r="BK41" s="68"/>
      <c r="BL41" s="68"/>
      <c r="BM41" s="68">
        <f>BN41-SUM(BJ41,BK41,BL41)</f>
        <v>0</v>
      </c>
      <c r="BN41" s="1112"/>
      <c r="BO41" s="68"/>
      <c r="BP41" s="68"/>
      <c r="BQ41" s="68"/>
      <c r="BR41" s="68">
        <f>BS41-SUM(BO41,BP41,BQ41)</f>
        <v>0</v>
      </c>
      <c r="BS41" s="1112"/>
      <c r="BT41" s="68"/>
      <c r="BU41" s="68"/>
      <c r="BV41" s="68"/>
      <c r="BW41" s="68"/>
      <c r="BX41" s="1112"/>
      <c r="BY41" s="588"/>
      <c r="BZ41" s="68"/>
      <c r="CA41" s="68"/>
      <c r="CB41" s="68"/>
      <c r="CC41" s="1112"/>
      <c r="CD41" s="68"/>
      <c r="CE41" s="68"/>
      <c r="CF41" s="68"/>
      <c r="CG41" s="68"/>
      <c r="CH41" s="1112"/>
      <c r="CI41" s="1112"/>
      <c r="CJ41" s="1112"/>
      <c r="CK41" s="1112"/>
      <c r="CL41" s="155"/>
    </row>
    <row r="42" spans="1:90" x14ac:dyDescent="0.3">
      <c r="A42" s="600"/>
      <c r="B42" s="601"/>
      <c r="C42" s="1127"/>
      <c r="D42" s="1127"/>
      <c r="E42" s="1127"/>
      <c r="F42" s="1127"/>
      <c r="G42" s="63"/>
      <c r="H42" s="63"/>
      <c r="I42" s="63"/>
      <c r="J42" s="63"/>
      <c r="K42" s="1127"/>
      <c r="L42" s="63"/>
      <c r="M42" s="63"/>
      <c r="N42" s="63"/>
      <c r="O42" s="63"/>
      <c r="P42" s="1127"/>
      <c r="Q42" s="63"/>
      <c r="R42" s="63"/>
      <c r="S42" s="63"/>
      <c r="T42" s="63"/>
      <c r="U42" s="1127"/>
      <c r="V42" s="63"/>
      <c r="W42" s="63"/>
      <c r="X42" s="63"/>
      <c r="Y42" s="63"/>
      <c r="Z42" s="1127"/>
      <c r="AA42" s="63"/>
      <c r="AB42" s="63"/>
      <c r="AC42" s="63"/>
      <c r="AD42" s="63"/>
      <c r="AE42" s="1127"/>
      <c r="AF42" s="63"/>
      <c r="AG42" s="63"/>
      <c r="AH42" s="63"/>
      <c r="AI42" s="63"/>
      <c r="AJ42" s="1127"/>
      <c r="AK42" s="63"/>
      <c r="AL42" s="63"/>
      <c r="AM42" s="63"/>
      <c r="AN42" s="63"/>
      <c r="AO42" s="1127"/>
      <c r="AP42" s="63"/>
      <c r="AQ42" s="63"/>
      <c r="AR42" s="63"/>
      <c r="AS42" s="63"/>
      <c r="AT42" s="1127"/>
      <c r="AU42" s="63"/>
      <c r="AV42" s="63"/>
      <c r="AW42" s="63"/>
      <c r="AX42" s="63"/>
      <c r="AY42" s="1127"/>
      <c r="AZ42" s="63"/>
      <c r="BA42" s="63"/>
      <c r="BB42" s="63"/>
      <c r="BC42" s="63"/>
      <c r="BD42" s="1127"/>
      <c r="BE42" s="63"/>
      <c r="BF42" s="63"/>
      <c r="BG42" s="63"/>
      <c r="BH42" s="63"/>
      <c r="BI42" s="1127"/>
      <c r="BJ42" s="63"/>
      <c r="BK42" s="63"/>
      <c r="BL42" s="63"/>
      <c r="BM42" s="63"/>
      <c r="BN42" s="1127"/>
      <c r="BO42" s="63"/>
      <c r="BP42" s="63"/>
      <c r="BQ42" s="63"/>
      <c r="BR42" s="63"/>
      <c r="BS42" s="1127"/>
      <c r="BT42" s="63"/>
      <c r="BU42" s="63"/>
      <c r="BV42" s="63"/>
      <c r="BW42" s="63"/>
      <c r="BX42" s="1127"/>
      <c r="BY42" s="587"/>
      <c r="BZ42" s="63"/>
      <c r="CA42" s="63"/>
      <c r="CB42" s="63"/>
      <c r="CC42" s="1127"/>
      <c r="CD42" s="63"/>
      <c r="CE42" s="63"/>
      <c r="CF42" s="63"/>
      <c r="CG42" s="63"/>
      <c r="CH42" s="1127"/>
      <c r="CI42" s="1127"/>
      <c r="CJ42" s="1127"/>
      <c r="CK42" s="1127"/>
      <c r="CL42" s="155"/>
    </row>
    <row r="43" spans="1:90" x14ac:dyDescent="0.3">
      <c r="A43" s="45" t="s">
        <v>696</v>
      </c>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881"/>
      <c r="BZ43" s="45"/>
      <c r="CA43" s="45"/>
      <c r="CB43" s="45"/>
      <c r="CC43" s="45"/>
      <c r="CD43" s="45"/>
      <c r="CE43" s="45"/>
      <c r="CF43" s="45"/>
      <c r="CG43" s="45"/>
      <c r="CH43" s="45"/>
      <c r="CI43" s="45"/>
      <c r="CJ43" s="45"/>
      <c r="CK43" s="45"/>
      <c r="CL43" s="155"/>
    </row>
    <row r="44" spans="1:90" outlineLevel="1" x14ac:dyDescent="0.3">
      <c r="A44" s="600" t="s">
        <v>697</v>
      </c>
      <c r="B44" s="601"/>
      <c r="C44" s="1127">
        <f t="shared" ref="C44:N44" si="39">C300</f>
        <v>3424.8589999999999</v>
      </c>
      <c r="D44" s="1127">
        <f t="shared" si="39"/>
        <v>3326.4450000000002</v>
      </c>
      <c r="E44" s="1127">
        <f t="shared" si="39"/>
        <v>3543.3090000000002</v>
      </c>
      <c r="F44" s="1127">
        <f t="shared" si="39"/>
        <v>3997.93</v>
      </c>
      <c r="G44" s="63">
        <f t="shared" si="39"/>
        <v>924.87699999999995</v>
      </c>
      <c r="H44" s="63">
        <f t="shared" si="39"/>
        <v>1044.27</v>
      </c>
      <c r="I44" s="63">
        <f t="shared" si="39"/>
        <v>1204.1099999999999</v>
      </c>
      <c r="J44" s="63">
        <f t="shared" si="39"/>
        <v>1106.9019999999998</v>
      </c>
      <c r="K44" s="1127">
        <f t="shared" si="39"/>
        <v>4280.1589999999997</v>
      </c>
      <c r="L44" s="63">
        <f t="shared" si="39"/>
        <v>954.73900000000003</v>
      </c>
      <c r="M44" s="63">
        <f t="shared" si="39"/>
        <v>977.23800000000006</v>
      </c>
      <c r="N44" s="63">
        <f t="shared" si="39"/>
        <v>1053.9670000000001</v>
      </c>
      <c r="O44" s="63">
        <f>O300</f>
        <v>1144.2180000000003</v>
      </c>
      <c r="P44" s="1127">
        <f t="shared" ref="P44:AU44" si="40">P34</f>
        <v>4130</v>
      </c>
      <c r="Q44" s="63">
        <f t="shared" si="40"/>
        <v>1103</v>
      </c>
      <c r="R44" s="63">
        <f t="shared" si="40"/>
        <v>1103</v>
      </c>
      <c r="S44" s="63">
        <f t="shared" si="40"/>
        <v>1225</v>
      </c>
      <c r="T44" s="63">
        <f t="shared" si="40"/>
        <v>1251</v>
      </c>
      <c r="U44" s="1127">
        <f t="shared" si="40"/>
        <v>4682</v>
      </c>
      <c r="V44" s="63">
        <f t="shared" si="40"/>
        <v>1151</v>
      </c>
      <c r="W44" s="63">
        <f t="shared" si="40"/>
        <v>1153</v>
      </c>
      <c r="X44" s="63">
        <f t="shared" si="40"/>
        <v>1305</v>
      </c>
      <c r="Y44" s="63">
        <f t="shared" si="40"/>
        <v>1401</v>
      </c>
      <c r="Z44" s="1127">
        <f t="shared" si="40"/>
        <v>5010</v>
      </c>
      <c r="AA44" s="63">
        <f t="shared" si="40"/>
        <v>1305</v>
      </c>
      <c r="AB44" s="63">
        <f t="shared" si="40"/>
        <v>1428</v>
      </c>
      <c r="AC44" s="63">
        <f t="shared" si="40"/>
        <v>2004</v>
      </c>
      <c r="AD44" s="63">
        <f t="shared" si="40"/>
        <v>2173</v>
      </c>
      <c r="AE44" s="1127">
        <f t="shared" si="40"/>
        <v>6910</v>
      </c>
      <c r="AF44" s="63">
        <f t="shared" si="40"/>
        <v>1937</v>
      </c>
      <c r="AG44" s="63">
        <f t="shared" si="40"/>
        <v>2230</v>
      </c>
      <c r="AH44" s="63">
        <f t="shared" si="40"/>
        <v>2636</v>
      </c>
      <c r="AI44" s="63">
        <f t="shared" si="40"/>
        <v>2911</v>
      </c>
      <c r="AJ44" s="1127">
        <f t="shared" si="40"/>
        <v>9714</v>
      </c>
      <c r="AK44" s="63">
        <f t="shared" si="40"/>
        <v>3207</v>
      </c>
      <c r="AL44" s="63">
        <f t="shared" si="40"/>
        <v>3123</v>
      </c>
      <c r="AM44" s="63">
        <f t="shared" si="40"/>
        <v>3181</v>
      </c>
      <c r="AN44" s="63">
        <f t="shared" si="40"/>
        <v>2205</v>
      </c>
      <c r="AO44" s="1127">
        <f t="shared" si="40"/>
        <v>11716</v>
      </c>
      <c r="AP44" s="63">
        <f t="shared" si="40"/>
        <v>2220</v>
      </c>
      <c r="AQ44" s="63">
        <f t="shared" si="40"/>
        <v>2579</v>
      </c>
      <c r="AR44" s="63">
        <f t="shared" si="40"/>
        <v>3014</v>
      </c>
      <c r="AS44" s="63">
        <f t="shared" si="40"/>
        <v>3105</v>
      </c>
      <c r="AT44" s="1127">
        <f t="shared" si="40"/>
        <v>10918</v>
      </c>
      <c r="AU44" s="63">
        <f t="shared" si="40"/>
        <v>3080</v>
      </c>
      <c r="AV44" s="63">
        <f t="shared" ref="AV44:BN44" si="41">AV34</f>
        <v>3866</v>
      </c>
      <c r="AW44" s="63">
        <f t="shared" si="41"/>
        <v>4726</v>
      </c>
      <c r="AX44" s="63">
        <f t="shared" si="41"/>
        <v>5003</v>
      </c>
      <c r="AY44" s="1127">
        <f t="shared" si="41"/>
        <v>16675</v>
      </c>
      <c r="AZ44" s="63">
        <f t="shared" si="41"/>
        <v>5661</v>
      </c>
      <c r="BA44" s="63">
        <f t="shared" si="41"/>
        <v>6507</v>
      </c>
      <c r="BB44" s="63">
        <f t="shared" si="41"/>
        <v>7103</v>
      </c>
      <c r="BC44" s="63">
        <f t="shared" si="41"/>
        <v>7643</v>
      </c>
      <c r="BD44" s="1127">
        <f t="shared" si="41"/>
        <v>26914</v>
      </c>
      <c r="BE44" s="63">
        <f t="shared" si="41"/>
        <v>8288</v>
      </c>
      <c r="BF44" s="63">
        <f t="shared" si="41"/>
        <v>6704</v>
      </c>
      <c r="BG44" s="63">
        <f t="shared" si="41"/>
        <v>5931</v>
      </c>
      <c r="BH44" s="63">
        <f t="shared" si="41"/>
        <v>6051</v>
      </c>
      <c r="BI44" s="1127">
        <f t="shared" si="41"/>
        <v>26974</v>
      </c>
      <c r="BJ44" s="63">
        <f t="shared" si="41"/>
        <v>7192</v>
      </c>
      <c r="BK44" s="63">
        <f t="shared" si="41"/>
        <v>13507</v>
      </c>
      <c r="BL44" s="63">
        <f t="shared" si="41"/>
        <v>18120</v>
      </c>
      <c r="BM44" s="63">
        <f t="shared" si="41"/>
        <v>22103</v>
      </c>
      <c r="BN44" s="1127">
        <f t="shared" si="41"/>
        <v>60922</v>
      </c>
      <c r="BO44" s="63">
        <f t="shared" ref="BO44:BS44" si="42">BO34</f>
        <v>26044</v>
      </c>
      <c r="BP44" s="63">
        <f t="shared" si="42"/>
        <v>30040</v>
      </c>
      <c r="BQ44" s="63">
        <f t="shared" si="42"/>
        <v>35082</v>
      </c>
      <c r="BR44" s="63">
        <f t="shared" si="42"/>
        <v>39331</v>
      </c>
      <c r="BS44" s="1127">
        <f t="shared" si="42"/>
        <v>130497</v>
      </c>
      <c r="BT44" s="63">
        <f t="shared" ref="BT44:CK44" si="43">BT34</f>
        <v>44062</v>
      </c>
      <c r="BU44" s="63">
        <f t="shared" si="43"/>
        <v>46743</v>
      </c>
      <c r="BV44" s="63">
        <f t="shared" si="43"/>
        <v>57006</v>
      </c>
      <c r="BW44" s="63">
        <f t="shared" si="43"/>
        <v>68127</v>
      </c>
      <c r="BX44" s="1127">
        <f t="shared" si="43"/>
        <v>215938</v>
      </c>
      <c r="BY44" s="587">
        <f>BY34</f>
        <v>81615</v>
      </c>
      <c r="BZ44" s="63">
        <f t="shared" si="43"/>
        <v>90933.489999999991</v>
      </c>
      <c r="CA44" s="63">
        <f t="shared" si="43"/>
        <v>91535.799999999988</v>
      </c>
      <c r="CB44" s="63">
        <f t="shared" si="43"/>
        <v>94000.95</v>
      </c>
      <c r="CC44" s="1127">
        <f t="shared" si="43"/>
        <v>358085.24</v>
      </c>
      <c r="CD44" s="63">
        <f t="shared" si="43"/>
        <v>105523.55</v>
      </c>
      <c r="CE44" s="63">
        <f t="shared" si="43"/>
        <v>117668.7395</v>
      </c>
      <c r="CF44" s="63">
        <f t="shared" si="43"/>
        <v>114195.91999999998</v>
      </c>
      <c r="CG44" s="63">
        <f t="shared" si="43"/>
        <v>116937.35249999998</v>
      </c>
      <c r="CH44" s="1127">
        <f t="shared" si="43"/>
        <v>454325.56199999998</v>
      </c>
      <c r="CI44" s="1127">
        <f t="shared" si="43"/>
        <v>541906.80114999996</v>
      </c>
      <c r="CJ44" s="1127">
        <f t="shared" si="43"/>
        <v>636560.21689699986</v>
      </c>
      <c r="CK44" s="1127">
        <f t="shared" si="43"/>
        <v>747962.26663246006</v>
      </c>
      <c r="CL44" s="155"/>
    </row>
    <row r="45" spans="1:90" outlineLevel="1" x14ac:dyDescent="0.3">
      <c r="A45" s="99" t="s">
        <v>698</v>
      </c>
      <c r="B45" s="598"/>
      <c r="C45" s="1112">
        <f t="shared" ref="C45:BD45" si="44">C301</f>
        <v>2250.59</v>
      </c>
      <c r="D45" s="1112">
        <f t="shared" si="44"/>
        <v>2149.5219999999999</v>
      </c>
      <c r="E45" s="1112">
        <f t="shared" si="44"/>
        <v>2134.2190000000001</v>
      </c>
      <c r="F45" s="1112">
        <f t="shared" si="44"/>
        <v>1941.413</v>
      </c>
      <c r="G45" s="68">
        <f t="shared" si="44"/>
        <v>461.51299999999998</v>
      </c>
      <c r="H45" s="68">
        <f t="shared" si="44"/>
        <v>503.55099999999999</v>
      </c>
      <c r="I45" s="68">
        <f t="shared" si="44"/>
        <v>567.452</v>
      </c>
      <c r="J45" s="68">
        <f t="shared" si="44"/>
        <v>521.29999999999995</v>
      </c>
      <c r="K45" s="1112">
        <f t="shared" si="44"/>
        <v>2053.8159999999998</v>
      </c>
      <c r="L45" s="68">
        <f t="shared" si="44"/>
        <v>436.17099999999999</v>
      </c>
      <c r="M45" s="68">
        <f t="shared" si="44"/>
        <v>431.7</v>
      </c>
      <c r="N45" s="68">
        <f t="shared" si="44"/>
        <v>469.55200000000002</v>
      </c>
      <c r="O45" s="68">
        <f t="shared" si="44"/>
        <v>524.97599999999977</v>
      </c>
      <c r="P45" s="1112">
        <f t="shared" si="44"/>
        <v>1862.3989999999999</v>
      </c>
      <c r="Q45" s="68">
        <f t="shared" si="44"/>
        <v>499</v>
      </c>
      <c r="R45" s="68">
        <f t="shared" si="44"/>
        <v>484</v>
      </c>
      <c r="S45" s="68">
        <f t="shared" si="44"/>
        <v>549</v>
      </c>
      <c r="T45" s="68">
        <f t="shared" si="44"/>
        <v>551</v>
      </c>
      <c r="U45" s="1112">
        <f t="shared" si="44"/>
        <v>2083</v>
      </c>
      <c r="V45" s="68">
        <f t="shared" si="44"/>
        <v>498</v>
      </c>
      <c r="W45" s="68">
        <f t="shared" si="44"/>
        <v>519</v>
      </c>
      <c r="X45" s="68">
        <f t="shared" si="44"/>
        <v>571</v>
      </c>
      <c r="Y45" s="68">
        <f t="shared" si="44"/>
        <v>610</v>
      </c>
      <c r="Z45" s="1112">
        <f t="shared" si="44"/>
        <v>2199</v>
      </c>
      <c r="AA45" s="68">
        <f t="shared" si="44"/>
        <v>554</v>
      </c>
      <c r="AB45" s="68">
        <f t="shared" si="44"/>
        <v>602</v>
      </c>
      <c r="AC45" s="68">
        <f t="shared" si="44"/>
        <v>821</v>
      </c>
      <c r="AD45" s="68">
        <f t="shared" si="44"/>
        <v>870</v>
      </c>
      <c r="AE45" s="1112">
        <f t="shared" si="44"/>
        <v>2847</v>
      </c>
      <c r="AF45" s="68">
        <f t="shared" si="44"/>
        <v>787</v>
      </c>
      <c r="AG45" s="68">
        <f t="shared" si="44"/>
        <v>928</v>
      </c>
      <c r="AH45" s="68">
        <f t="shared" si="44"/>
        <v>1067</v>
      </c>
      <c r="AI45" s="68">
        <f t="shared" si="44"/>
        <v>1110</v>
      </c>
      <c r="AJ45" s="1112">
        <f t="shared" si="44"/>
        <v>3892</v>
      </c>
      <c r="AK45" s="68">
        <f t="shared" si="44"/>
        <v>1139</v>
      </c>
      <c r="AL45" s="68">
        <f t="shared" si="44"/>
        <v>1148</v>
      </c>
      <c r="AM45" s="68">
        <f t="shared" si="44"/>
        <v>1260</v>
      </c>
      <c r="AN45" s="68">
        <f t="shared" si="44"/>
        <v>998</v>
      </c>
      <c r="AO45" s="1112">
        <f t="shared" si="44"/>
        <v>4545</v>
      </c>
      <c r="AP45" s="68">
        <f t="shared" si="44"/>
        <v>924</v>
      </c>
      <c r="AQ45" s="68">
        <f t="shared" si="44"/>
        <v>1038</v>
      </c>
      <c r="AR45" s="68">
        <f t="shared" si="44"/>
        <v>1098</v>
      </c>
      <c r="AS45" s="68">
        <f t="shared" si="44"/>
        <v>1090</v>
      </c>
      <c r="AT45" s="1112">
        <f t="shared" si="44"/>
        <v>4150</v>
      </c>
      <c r="AU45" s="68">
        <f t="shared" si="44"/>
        <v>1076</v>
      </c>
      <c r="AV45" s="68">
        <f t="shared" si="44"/>
        <v>1591</v>
      </c>
      <c r="AW45" s="68">
        <f t="shared" si="44"/>
        <v>1766</v>
      </c>
      <c r="AX45" s="68">
        <f t="shared" si="44"/>
        <v>1846</v>
      </c>
      <c r="AY45" s="1112">
        <f t="shared" si="44"/>
        <v>6279</v>
      </c>
      <c r="AZ45" s="68">
        <f t="shared" si="44"/>
        <v>2032</v>
      </c>
      <c r="BA45" s="68">
        <f t="shared" si="44"/>
        <v>2292</v>
      </c>
      <c r="BB45" s="68">
        <f t="shared" si="44"/>
        <v>2472</v>
      </c>
      <c r="BC45" s="68">
        <f t="shared" si="44"/>
        <v>2644</v>
      </c>
      <c r="BD45" s="1112">
        <f t="shared" si="44"/>
        <v>9439</v>
      </c>
      <c r="BE45" s="68">
        <f t="shared" ref="BE45:BJ45" si="45">BE301</f>
        <v>2857</v>
      </c>
      <c r="BF45" s="68">
        <f t="shared" si="45"/>
        <v>3789</v>
      </c>
      <c r="BG45" s="68">
        <f t="shared" si="45"/>
        <v>2754</v>
      </c>
      <c r="BH45" s="68">
        <f t="shared" si="45"/>
        <v>2218</v>
      </c>
      <c r="BI45" s="1112">
        <f t="shared" si="45"/>
        <v>11618</v>
      </c>
      <c r="BJ45" s="68">
        <f t="shared" si="45"/>
        <v>2544</v>
      </c>
      <c r="BK45" s="68">
        <f t="shared" ref="BK45:BP45" si="46">BK301</f>
        <v>4045</v>
      </c>
      <c r="BL45" s="68">
        <f t="shared" si="46"/>
        <v>4720</v>
      </c>
      <c r="BM45" s="68">
        <f t="shared" si="46"/>
        <v>5312</v>
      </c>
      <c r="BN45" s="1112">
        <f t="shared" si="46"/>
        <v>16621</v>
      </c>
      <c r="BO45" s="68">
        <f t="shared" si="46"/>
        <v>5638</v>
      </c>
      <c r="BP45" s="68">
        <f t="shared" si="46"/>
        <v>7466</v>
      </c>
      <c r="BQ45" s="68">
        <f t="shared" ref="BQ45:BV45" si="47">BQ301</f>
        <v>8926</v>
      </c>
      <c r="BR45" s="68">
        <f t="shared" si="47"/>
        <v>10608</v>
      </c>
      <c r="BS45" s="1112">
        <f t="shared" si="47"/>
        <v>32639</v>
      </c>
      <c r="BT45" s="68">
        <f t="shared" si="47"/>
        <v>17394</v>
      </c>
      <c r="BU45" s="68">
        <f t="shared" si="47"/>
        <v>12890</v>
      </c>
      <c r="BV45" s="68">
        <f t="shared" si="47"/>
        <v>15157</v>
      </c>
      <c r="BW45" s="68">
        <f>BW301</f>
        <v>17034</v>
      </c>
      <c r="BX45" s="1112">
        <f>BX301</f>
        <v>62475</v>
      </c>
      <c r="BY45" s="588">
        <f>BY301</f>
        <v>20458</v>
      </c>
      <c r="BZ45" s="68">
        <f>BZ44-BZ46</f>
        <v>22867.41783716192</v>
      </c>
      <c r="CA45" s="68">
        <f>CA44-CA46</f>
        <v>23324.634036185656</v>
      </c>
      <c r="CB45" s="68">
        <f>CB44-CB46</f>
        <v>22497.277843060016</v>
      </c>
      <c r="CC45" s="1112">
        <f t="shared" ref="CC45" si="48">CC44-CC46</f>
        <v>89147.329716407578</v>
      </c>
      <c r="CD45" s="68">
        <f t="shared" ref="CD45:CK45" si="49">CD44-CD46</f>
        <v>26459.58248095632</v>
      </c>
      <c r="CE45" s="68">
        <f t="shared" si="49"/>
        <v>29590.640725640915</v>
      </c>
      <c r="CF45" s="68">
        <f t="shared" si="49"/>
        <v>29098.757452554462</v>
      </c>
      <c r="CG45" s="68">
        <f t="shared" si="49"/>
        <v>27986.654490453002</v>
      </c>
      <c r="CH45" s="1112">
        <f t="shared" si="49"/>
        <v>113135.63514960476</v>
      </c>
      <c r="CI45" s="1112">
        <f t="shared" si="49"/>
        <v>135486.92259578354</v>
      </c>
      <c r="CJ45" s="1112">
        <f t="shared" si="49"/>
        <v>159152.06203585956</v>
      </c>
      <c r="CK45" s="1112">
        <f t="shared" si="49"/>
        <v>187004.67591243284</v>
      </c>
      <c r="CL45" s="155"/>
    </row>
    <row r="46" spans="1:90" outlineLevel="1" x14ac:dyDescent="0.3">
      <c r="A46" s="631" t="s">
        <v>699</v>
      </c>
      <c r="B46" s="599"/>
      <c r="C46" s="1124">
        <f t="shared" ref="C46:BD46" si="50">C44-C45</f>
        <v>1174.2689999999998</v>
      </c>
      <c r="D46" s="1124">
        <f t="shared" si="50"/>
        <v>1176.9230000000002</v>
      </c>
      <c r="E46" s="1124">
        <f t="shared" si="50"/>
        <v>1409.0900000000001</v>
      </c>
      <c r="F46" s="1124">
        <f t="shared" si="50"/>
        <v>2056.5169999999998</v>
      </c>
      <c r="G46" s="61">
        <f t="shared" si="50"/>
        <v>463.36399999999998</v>
      </c>
      <c r="H46" s="61">
        <f t="shared" si="50"/>
        <v>540.71900000000005</v>
      </c>
      <c r="I46" s="61">
        <f t="shared" si="50"/>
        <v>636.6579999999999</v>
      </c>
      <c r="J46" s="61">
        <f t="shared" si="50"/>
        <v>585.60199999999986</v>
      </c>
      <c r="K46" s="1124">
        <f t="shared" si="50"/>
        <v>2226.3429999999998</v>
      </c>
      <c r="L46" s="61">
        <f t="shared" si="50"/>
        <v>518.56799999999998</v>
      </c>
      <c r="M46" s="61">
        <f t="shared" si="50"/>
        <v>545.53800000000001</v>
      </c>
      <c r="N46" s="61">
        <f t="shared" si="50"/>
        <v>584.41500000000008</v>
      </c>
      <c r="O46" s="61">
        <f t="shared" si="50"/>
        <v>619.24200000000053</v>
      </c>
      <c r="P46" s="1124">
        <f t="shared" si="50"/>
        <v>2267.6010000000001</v>
      </c>
      <c r="Q46" s="61">
        <f t="shared" si="50"/>
        <v>604</v>
      </c>
      <c r="R46" s="61">
        <f t="shared" si="50"/>
        <v>619</v>
      </c>
      <c r="S46" s="61">
        <f t="shared" si="50"/>
        <v>676</v>
      </c>
      <c r="T46" s="61">
        <f t="shared" si="50"/>
        <v>700</v>
      </c>
      <c r="U46" s="1124">
        <f t="shared" si="50"/>
        <v>2599</v>
      </c>
      <c r="V46" s="61">
        <f t="shared" si="50"/>
        <v>653</v>
      </c>
      <c r="W46" s="61">
        <f t="shared" si="50"/>
        <v>634</v>
      </c>
      <c r="X46" s="61">
        <f t="shared" si="50"/>
        <v>734</v>
      </c>
      <c r="Y46" s="61">
        <f t="shared" si="50"/>
        <v>791</v>
      </c>
      <c r="Z46" s="1124">
        <f t="shared" si="50"/>
        <v>2811</v>
      </c>
      <c r="AA46" s="61">
        <f t="shared" si="50"/>
        <v>751</v>
      </c>
      <c r="AB46" s="61">
        <f t="shared" si="50"/>
        <v>826</v>
      </c>
      <c r="AC46" s="61">
        <f t="shared" si="50"/>
        <v>1183</v>
      </c>
      <c r="AD46" s="61">
        <f t="shared" si="50"/>
        <v>1303</v>
      </c>
      <c r="AE46" s="1124">
        <f t="shared" si="50"/>
        <v>4063</v>
      </c>
      <c r="AF46" s="61">
        <f t="shared" si="50"/>
        <v>1150</v>
      </c>
      <c r="AG46" s="61">
        <f t="shared" si="50"/>
        <v>1302</v>
      </c>
      <c r="AH46" s="61">
        <f t="shared" si="50"/>
        <v>1569</v>
      </c>
      <c r="AI46" s="61">
        <f t="shared" si="50"/>
        <v>1801</v>
      </c>
      <c r="AJ46" s="1124">
        <f t="shared" si="50"/>
        <v>5822</v>
      </c>
      <c r="AK46" s="61">
        <f t="shared" si="50"/>
        <v>2068</v>
      </c>
      <c r="AL46" s="61">
        <f t="shared" si="50"/>
        <v>1975</v>
      </c>
      <c r="AM46" s="61">
        <f t="shared" si="50"/>
        <v>1921</v>
      </c>
      <c r="AN46" s="61">
        <f t="shared" si="50"/>
        <v>1207</v>
      </c>
      <c r="AO46" s="1124">
        <f t="shared" si="50"/>
        <v>7171</v>
      </c>
      <c r="AP46" s="61">
        <f t="shared" si="50"/>
        <v>1296</v>
      </c>
      <c r="AQ46" s="61">
        <f t="shared" si="50"/>
        <v>1541</v>
      </c>
      <c r="AR46" s="61">
        <f t="shared" si="50"/>
        <v>1916</v>
      </c>
      <c r="AS46" s="61">
        <f t="shared" si="50"/>
        <v>2015</v>
      </c>
      <c r="AT46" s="1124">
        <f t="shared" si="50"/>
        <v>6768</v>
      </c>
      <c r="AU46" s="61">
        <f t="shared" si="50"/>
        <v>2004</v>
      </c>
      <c r="AV46" s="61">
        <f t="shared" si="50"/>
        <v>2275</v>
      </c>
      <c r="AW46" s="61">
        <f t="shared" si="50"/>
        <v>2960</v>
      </c>
      <c r="AX46" s="61">
        <f t="shared" si="50"/>
        <v>3157</v>
      </c>
      <c r="AY46" s="1124">
        <f t="shared" si="50"/>
        <v>10396</v>
      </c>
      <c r="AZ46" s="61">
        <f t="shared" si="50"/>
        <v>3629</v>
      </c>
      <c r="BA46" s="61">
        <f t="shared" si="50"/>
        <v>4215</v>
      </c>
      <c r="BB46" s="61">
        <f t="shared" si="50"/>
        <v>4631</v>
      </c>
      <c r="BC46" s="61">
        <f t="shared" si="50"/>
        <v>4999</v>
      </c>
      <c r="BD46" s="1124">
        <f t="shared" si="50"/>
        <v>17475</v>
      </c>
      <c r="BE46" s="61">
        <f t="shared" ref="BE46:BJ46" si="51">BE44-BE45</f>
        <v>5431</v>
      </c>
      <c r="BF46" s="61">
        <f t="shared" si="51"/>
        <v>2915</v>
      </c>
      <c r="BG46" s="61">
        <f t="shared" si="51"/>
        <v>3177</v>
      </c>
      <c r="BH46" s="61">
        <f t="shared" si="51"/>
        <v>3833</v>
      </c>
      <c r="BI46" s="1124">
        <f t="shared" si="51"/>
        <v>15356</v>
      </c>
      <c r="BJ46" s="61">
        <f t="shared" si="51"/>
        <v>4648</v>
      </c>
      <c r="BK46" s="61">
        <f t="shared" ref="BK46:BP46" si="52">BK44-BK45</f>
        <v>9462</v>
      </c>
      <c r="BL46" s="61">
        <f t="shared" si="52"/>
        <v>13400</v>
      </c>
      <c r="BM46" s="61">
        <f t="shared" si="52"/>
        <v>16791</v>
      </c>
      <c r="BN46" s="1124">
        <f t="shared" si="52"/>
        <v>44301</v>
      </c>
      <c r="BO46" s="61">
        <f t="shared" si="52"/>
        <v>20406</v>
      </c>
      <c r="BP46" s="61">
        <f t="shared" si="52"/>
        <v>22574</v>
      </c>
      <c r="BQ46" s="61">
        <f t="shared" ref="BQ46:BV46" si="53">BQ44-BQ45</f>
        <v>26156</v>
      </c>
      <c r="BR46" s="61">
        <f t="shared" si="53"/>
        <v>28723</v>
      </c>
      <c r="BS46" s="1124">
        <f t="shared" si="53"/>
        <v>97858</v>
      </c>
      <c r="BT46" s="61">
        <f t="shared" si="53"/>
        <v>26668</v>
      </c>
      <c r="BU46" s="61">
        <f t="shared" si="53"/>
        <v>33853</v>
      </c>
      <c r="BV46" s="61">
        <f t="shared" si="53"/>
        <v>41849</v>
      </c>
      <c r="BW46" s="61">
        <f>BW44-BW45</f>
        <v>51093</v>
      </c>
      <c r="BX46" s="1124">
        <f>BX44-BX45</f>
        <v>153463</v>
      </c>
      <c r="BY46" s="896">
        <f>BY44-BY45</f>
        <v>61157</v>
      </c>
      <c r="BZ46" s="61">
        <f>BZ57-BZ55-BZ53-BZ51</f>
        <v>68066.072162838071</v>
      </c>
      <c r="CA46" s="61">
        <f>CA57-CA55-CA53-CA51</f>
        <v>68211.165963814332</v>
      </c>
      <c r="CB46" s="61">
        <f>CB57-CB55-CB53-CB51</f>
        <v>71503.672156939982</v>
      </c>
      <c r="CC46" s="1124">
        <f>SUM(BY46,BZ46,CA46,CB46)</f>
        <v>268937.91028359241</v>
      </c>
      <c r="CD46" s="61">
        <f>CD57-CD55-CD53-CD51</f>
        <v>79063.967519043683</v>
      </c>
      <c r="CE46" s="61">
        <f>CE57-CE55-CE53-CE51</f>
        <v>88078.098774359081</v>
      </c>
      <c r="CF46" s="61">
        <f>CF57-CF55-CF53-CF51</f>
        <v>85097.162547445521</v>
      </c>
      <c r="CG46" s="61">
        <f>CG57-CG55-CG53-CG51</f>
        <v>88950.698009546977</v>
      </c>
      <c r="CH46" s="1124">
        <f>SUM(CD46,CE46,CF46,CG46)</f>
        <v>341189.92685039522</v>
      </c>
      <c r="CI46" s="1124">
        <f>CI57-CI55-CI53-CI51</f>
        <v>406419.87855421641</v>
      </c>
      <c r="CJ46" s="1124">
        <f>CJ57-CJ55-CJ53-CJ51</f>
        <v>477408.1548611403</v>
      </c>
      <c r="CK46" s="1124">
        <f>CK57-CK55-CK53-CK51</f>
        <v>560957.59072002722</v>
      </c>
      <c r="CL46" s="155"/>
    </row>
    <row r="47" spans="1:90" outlineLevel="1" x14ac:dyDescent="0.3">
      <c r="A47" s="371" t="s">
        <v>700</v>
      </c>
      <c r="B47" s="582"/>
      <c r="C47" s="1115"/>
      <c r="D47" s="1115">
        <f t="shared" ref="D47:E47" si="54">D46/C46-1</f>
        <v>2.2601294933277671E-3</v>
      </c>
      <c r="E47" s="1115">
        <f t="shared" si="54"/>
        <v>0.19726609132458095</v>
      </c>
      <c r="F47" s="1115">
        <f>F46/E46-1</f>
        <v>0.45946461900943136</v>
      </c>
      <c r="G47" s="90"/>
      <c r="H47" s="90"/>
      <c r="I47" s="90"/>
      <c r="J47" s="90"/>
      <c r="K47" s="1115">
        <f t="shared" ref="K47:BD47" si="55">K46/F46-1</f>
        <v>8.2579429199953092E-2</v>
      </c>
      <c r="L47" s="90">
        <f t="shared" si="55"/>
        <v>0.11913743838537316</v>
      </c>
      <c r="M47" s="90">
        <f t="shared" si="55"/>
        <v>8.9122076346492829E-3</v>
      </c>
      <c r="N47" s="90">
        <f t="shared" si="55"/>
        <v>-8.2058185085241764E-2</v>
      </c>
      <c r="O47" s="90">
        <f t="shared" si="55"/>
        <v>5.7445158998775003E-2</v>
      </c>
      <c r="P47" s="1115">
        <f t="shared" si="55"/>
        <v>1.8531735675949346E-2</v>
      </c>
      <c r="Q47" s="90">
        <f t="shared" si="55"/>
        <v>0.1647459928109718</v>
      </c>
      <c r="R47" s="90">
        <f t="shared" si="55"/>
        <v>0.1346597303945829</v>
      </c>
      <c r="S47" s="90">
        <f t="shared" si="55"/>
        <v>0.15671226782337877</v>
      </c>
      <c r="T47" s="90">
        <f t="shared" si="55"/>
        <v>0.13041428068509475</v>
      </c>
      <c r="U47" s="1115">
        <f t="shared" si="55"/>
        <v>0.1461451992656555</v>
      </c>
      <c r="V47" s="90">
        <f t="shared" si="55"/>
        <v>8.1125827814569451E-2</v>
      </c>
      <c r="W47" s="90">
        <f t="shared" si="55"/>
        <v>2.4232633279483107E-2</v>
      </c>
      <c r="X47" s="90">
        <f t="shared" si="55"/>
        <v>8.5798816568047442E-2</v>
      </c>
      <c r="Y47" s="90">
        <f t="shared" si="55"/>
        <v>0.12999999999999989</v>
      </c>
      <c r="Z47" s="1115">
        <f t="shared" si="55"/>
        <v>8.1569834551750597E-2</v>
      </c>
      <c r="AA47" s="90">
        <f t="shared" si="55"/>
        <v>0.15007656967840743</v>
      </c>
      <c r="AB47" s="90">
        <f t="shared" si="55"/>
        <v>0.3028391167192428</v>
      </c>
      <c r="AC47" s="90">
        <f t="shared" si="55"/>
        <v>0.61171662125340598</v>
      </c>
      <c r="AD47" s="90">
        <f t="shared" si="55"/>
        <v>0.64728192161820486</v>
      </c>
      <c r="AE47" s="1115">
        <f t="shared" si="55"/>
        <v>0.44539309854144427</v>
      </c>
      <c r="AF47" s="90">
        <f t="shared" si="55"/>
        <v>0.5312916111850865</v>
      </c>
      <c r="AG47" s="90">
        <f t="shared" si="55"/>
        <v>0.57627118644067798</v>
      </c>
      <c r="AH47" s="90">
        <f t="shared" si="55"/>
        <v>0.32628909551986474</v>
      </c>
      <c r="AI47" s="90">
        <f t="shared" si="55"/>
        <v>0.38219493476592481</v>
      </c>
      <c r="AJ47" s="1115">
        <f t="shared" si="55"/>
        <v>0.43293133152842733</v>
      </c>
      <c r="AK47" s="90">
        <f t="shared" si="55"/>
        <v>0.79826086956521736</v>
      </c>
      <c r="AL47" s="90">
        <f t="shared" si="55"/>
        <v>0.51689708141321034</v>
      </c>
      <c r="AM47" s="90">
        <f t="shared" si="55"/>
        <v>0.22434671765455705</v>
      </c>
      <c r="AN47" s="90">
        <f t="shared" si="55"/>
        <v>-0.32981676846196561</v>
      </c>
      <c r="AO47" s="1115">
        <f t="shared" si="55"/>
        <v>0.23170731707317072</v>
      </c>
      <c r="AP47" s="90">
        <f t="shared" si="55"/>
        <v>-0.37330754352030948</v>
      </c>
      <c r="AQ47" s="90">
        <f t="shared" si="55"/>
        <v>-0.21974683544303797</v>
      </c>
      <c r="AR47" s="90">
        <f t="shared" si="55"/>
        <v>-2.6028110359187506E-3</v>
      </c>
      <c r="AS47" s="90">
        <f t="shared" si="55"/>
        <v>0.66942833471416741</v>
      </c>
      <c r="AT47" s="1115">
        <f t="shared" si="55"/>
        <v>-5.6198577604239297E-2</v>
      </c>
      <c r="AU47" s="90">
        <f t="shared" si="55"/>
        <v>0.54629629629629628</v>
      </c>
      <c r="AV47" s="90">
        <f t="shared" si="55"/>
        <v>0.47631408176508772</v>
      </c>
      <c r="AW47" s="90">
        <f t="shared" si="55"/>
        <v>0.54488517745302723</v>
      </c>
      <c r="AX47" s="90">
        <f t="shared" si="55"/>
        <v>0.56674937965260552</v>
      </c>
      <c r="AY47" s="1115">
        <f t="shared" si="55"/>
        <v>0.53605200945626486</v>
      </c>
      <c r="AZ47" s="90">
        <f t="shared" si="55"/>
        <v>0.810878243512974</v>
      </c>
      <c r="BA47" s="90">
        <f t="shared" si="55"/>
        <v>0.85274725274725283</v>
      </c>
      <c r="BB47" s="90">
        <f t="shared" si="55"/>
        <v>0.56452702702702706</v>
      </c>
      <c r="BC47" s="90">
        <f t="shared" si="55"/>
        <v>0.58346531517263234</v>
      </c>
      <c r="BD47" s="1115">
        <f t="shared" si="55"/>
        <v>0.68093497499038103</v>
      </c>
      <c r="BE47" s="90">
        <f t="shared" ref="BE47:BG47" si="56">BE46/AZ46-1</f>
        <v>0.49655552493799937</v>
      </c>
      <c r="BF47" s="90">
        <f t="shared" si="56"/>
        <v>-0.30842230130486359</v>
      </c>
      <c r="BG47" s="90">
        <f t="shared" si="56"/>
        <v>-0.31397106456488877</v>
      </c>
      <c r="BH47" s="90">
        <f t="shared" ref="BH47:BI47" si="57">BH46/BC46-1</f>
        <v>-0.23324664932986594</v>
      </c>
      <c r="BI47" s="1115">
        <f t="shared" si="57"/>
        <v>-0.12125894134477821</v>
      </c>
      <c r="BJ47" s="90">
        <f t="shared" ref="BJ47:BN47" si="58">BJ46/BE46-1</f>
        <v>-0.14417234395139011</v>
      </c>
      <c r="BK47" s="90">
        <f t="shared" si="58"/>
        <v>2.2459691252144083</v>
      </c>
      <c r="BL47" s="90">
        <f t="shared" si="58"/>
        <v>3.2178155492603082</v>
      </c>
      <c r="BM47" s="90">
        <f t="shared" si="58"/>
        <v>3.3806417949386907</v>
      </c>
      <c r="BN47" s="1115">
        <f t="shared" si="58"/>
        <v>1.8849309716071896</v>
      </c>
      <c r="BO47" s="90">
        <f t="shared" ref="BO47:BS47" si="59">BO46/BJ46-1</f>
        <v>3.3902753872633387</v>
      </c>
      <c r="BP47" s="90">
        <f t="shared" si="59"/>
        <v>1.3857535404777002</v>
      </c>
      <c r="BQ47" s="90">
        <f t="shared" si="59"/>
        <v>0.95194029850746276</v>
      </c>
      <c r="BR47" s="90">
        <f t="shared" si="59"/>
        <v>0.71061878387231259</v>
      </c>
      <c r="BS47" s="1115">
        <f t="shared" si="59"/>
        <v>1.208934335568046</v>
      </c>
      <c r="BT47" s="90">
        <f t="shared" ref="BT47:CH47" si="60">BT46/BO46-1</f>
        <v>0.30687052827599715</v>
      </c>
      <c r="BU47" s="90">
        <f t="shared" si="60"/>
        <v>0.49964560999379826</v>
      </c>
      <c r="BV47" s="90">
        <f t="shared" si="60"/>
        <v>0.59997706071264711</v>
      </c>
      <c r="BW47" s="90">
        <f t="shared" si="60"/>
        <v>0.77881836855481668</v>
      </c>
      <c r="BX47" s="1115">
        <f t="shared" si="60"/>
        <v>0.56822130025138473</v>
      </c>
      <c r="BY47" s="892">
        <f>BY46/BT46-1</f>
        <v>1.2932728363581822</v>
      </c>
      <c r="BZ47" s="90">
        <f t="shared" si="60"/>
        <v>1.0106363442778505</v>
      </c>
      <c r="CA47" s="90">
        <f t="shared" si="60"/>
        <v>0.62993538588292042</v>
      </c>
      <c r="CB47" s="90">
        <f t="shared" si="60"/>
        <v>0.39948079300373784</v>
      </c>
      <c r="CC47" s="1115">
        <f t="shared" si="60"/>
        <v>0.7524609207665196</v>
      </c>
      <c r="CD47" s="90">
        <f t="shared" si="60"/>
        <v>0.29280323624513427</v>
      </c>
      <c r="CE47" s="90">
        <f t="shared" si="60"/>
        <v>0.29400883546864853</v>
      </c>
      <c r="CF47" s="90">
        <f t="shared" si="60"/>
        <v>0.24755472722148042</v>
      </c>
      <c r="CG47" s="90">
        <f t="shared" si="60"/>
        <v>0.24400181593909398</v>
      </c>
      <c r="CH47" s="1115">
        <f t="shared" si="60"/>
        <v>0.26865686764135921</v>
      </c>
      <c r="CI47" s="1115">
        <f>CI46/CH46-1</f>
        <v>0.19118369732065155</v>
      </c>
      <c r="CJ47" s="1115">
        <f>CJ46/CI46-1</f>
        <v>0.17466733310254168</v>
      </c>
      <c r="CK47" s="1115">
        <f>CK46/CJ46-1</f>
        <v>0.17500630227648339</v>
      </c>
      <c r="CL47" s="155"/>
    </row>
    <row r="48" spans="1:90" outlineLevel="1" x14ac:dyDescent="0.3">
      <c r="A48" s="621" t="s">
        <v>35</v>
      </c>
      <c r="B48" s="202"/>
      <c r="C48" s="1128">
        <f t="shared" ref="C48:BD48" si="61">C46/C44</f>
        <v>0.34286637785672341</v>
      </c>
      <c r="D48" s="1128">
        <f t="shared" si="61"/>
        <v>0.35380804432359475</v>
      </c>
      <c r="E48" s="1128">
        <f t="shared" si="61"/>
        <v>0.39767629636591112</v>
      </c>
      <c r="F48" s="1128">
        <f t="shared" si="61"/>
        <v>0.51439544964519135</v>
      </c>
      <c r="G48" s="315">
        <f t="shared" si="61"/>
        <v>0.50100067360308453</v>
      </c>
      <c r="H48" s="315">
        <f t="shared" si="61"/>
        <v>0.51779616382736271</v>
      </c>
      <c r="I48" s="315">
        <f t="shared" si="61"/>
        <v>0.52873740771192002</v>
      </c>
      <c r="J48" s="315">
        <f t="shared" si="61"/>
        <v>0.5290459317988403</v>
      </c>
      <c r="K48" s="1128">
        <f t="shared" si="61"/>
        <v>0.52015427464260089</v>
      </c>
      <c r="L48" s="315">
        <f t="shared" si="61"/>
        <v>0.54315158383600126</v>
      </c>
      <c r="M48" s="315">
        <f t="shared" si="61"/>
        <v>0.55824476739545537</v>
      </c>
      <c r="N48" s="315">
        <f t="shared" si="61"/>
        <v>0.55449079525260281</v>
      </c>
      <c r="O48" s="315">
        <f t="shared" si="61"/>
        <v>0.54119232523872229</v>
      </c>
      <c r="P48" s="1128">
        <f t="shared" si="61"/>
        <v>0.54905593220338988</v>
      </c>
      <c r="Q48" s="315">
        <f t="shared" si="61"/>
        <v>0.54759746146872168</v>
      </c>
      <c r="R48" s="315">
        <f t="shared" si="61"/>
        <v>0.56119673617407073</v>
      </c>
      <c r="S48" s="315">
        <f t="shared" si="61"/>
        <v>0.55183673469387751</v>
      </c>
      <c r="T48" s="315">
        <f t="shared" si="61"/>
        <v>0.55955235811350923</v>
      </c>
      <c r="U48" s="1128">
        <f t="shared" si="61"/>
        <v>0.55510465612985904</v>
      </c>
      <c r="V48" s="315">
        <f t="shared" si="61"/>
        <v>0.56733275412684625</v>
      </c>
      <c r="W48" s="315">
        <f t="shared" si="61"/>
        <v>0.54986990459670426</v>
      </c>
      <c r="X48" s="315">
        <f t="shared" si="61"/>
        <v>0.56245210727969353</v>
      </c>
      <c r="Y48" s="315">
        <f t="shared" si="61"/>
        <v>0.56459671663097788</v>
      </c>
      <c r="Z48" s="1128">
        <f t="shared" si="61"/>
        <v>0.56107784431137719</v>
      </c>
      <c r="AA48" s="315">
        <f t="shared" si="61"/>
        <v>0.57547892720306515</v>
      </c>
      <c r="AB48" s="315">
        <f t="shared" si="61"/>
        <v>0.57843137254901966</v>
      </c>
      <c r="AC48" s="315">
        <f t="shared" si="61"/>
        <v>0.59031936127744511</v>
      </c>
      <c r="AD48" s="315">
        <f t="shared" si="61"/>
        <v>0.59963184537505754</v>
      </c>
      <c r="AE48" s="1128">
        <f t="shared" si="61"/>
        <v>0.58798842257597683</v>
      </c>
      <c r="AF48" s="315">
        <f t="shared" si="61"/>
        <v>0.59370160041300979</v>
      </c>
      <c r="AG48" s="315">
        <f t="shared" si="61"/>
        <v>0.58385650224215246</v>
      </c>
      <c r="AH48" s="315">
        <f t="shared" si="61"/>
        <v>0.59522003034901361</v>
      </c>
      <c r="AI48" s="315">
        <f t="shared" si="61"/>
        <v>0.61868773617313633</v>
      </c>
      <c r="AJ48" s="1128">
        <f t="shared" si="61"/>
        <v>0.59934115709285563</v>
      </c>
      <c r="AK48" s="315">
        <f t="shared" si="61"/>
        <v>0.6448394137823511</v>
      </c>
      <c r="AL48" s="315">
        <f t="shared" si="61"/>
        <v>0.63240473903298111</v>
      </c>
      <c r="AM48" s="315">
        <f t="shared" si="61"/>
        <v>0.60389814523734675</v>
      </c>
      <c r="AN48" s="315">
        <f t="shared" si="61"/>
        <v>0.54739229024943314</v>
      </c>
      <c r="AO48" s="1128">
        <f t="shared" si="61"/>
        <v>0.61206896551724133</v>
      </c>
      <c r="AP48" s="315">
        <f t="shared" si="61"/>
        <v>0.58378378378378382</v>
      </c>
      <c r="AQ48" s="315">
        <f t="shared" si="61"/>
        <v>0.59751841799146954</v>
      </c>
      <c r="AR48" s="315">
        <f t="shared" si="61"/>
        <v>0.63570006635700071</v>
      </c>
      <c r="AS48" s="315">
        <f t="shared" si="61"/>
        <v>0.64895330112721417</v>
      </c>
      <c r="AT48" s="1128">
        <f t="shared" si="61"/>
        <v>0.61989375343469499</v>
      </c>
      <c r="AU48" s="315">
        <f t="shared" si="61"/>
        <v>0.6506493506493507</v>
      </c>
      <c r="AV48" s="315">
        <f t="shared" si="61"/>
        <v>0.58846352819451631</v>
      </c>
      <c r="AW48" s="315">
        <f t="shared" si="61"/>
        <v>0.62632247143461706</v>
      </c>
      <c r="AX48" s="315">
        <f t="shared" si="61"/>
        <v>0.6310213871676994</v>
      </c>
      <c r="AY48" s="1128">
        <f t="shared" si="61"/>
        <v>0.62344827586206897</v>
      </c>
      <c r="AZ48" s="315">
        <f t="shared" si="61"/>
        <v>0.6410528175234057</v>
      </c>
      <c r="BA48" s="315">
        <f t="shared" si="61"/>
        <v>0.64776394651913327</v>
      </c>
      <c r="BB48" s="315">
        <f t="shared" si="61"/>
        <v>0.65197803744896521</v>
      </c>
      <c r="BC48" s="315">
        <f t="shared" si="61"/>
        <v>0.65406254088708626</v>
      </c>
      <c r="BD48" s="1128">
        <f t="shared" si="61"/>
        <v>0.64929033216913135</v>
      </c>
      <c r="BE48" s="315">
        <f t="shared" ref="BE48:BG48" si="62">BE46/BE44</f>
        <v>0.65528474903474898</v>
      </c>
      <c r="BF48" s="315">
        <f t="shared" si="62"/>
        <v>0.43481503579952269</v>
      </c>
      <c r="BG48" s="315">
        <f t="shared" si="62"/>
        <v>0.53566009104704093</v>
      </c>
      <c r="BH48" s="315">
        <f t="shared" ref="BH48:BI48" si="63">BH46/BH44</f>
        <v>0.63344901669145592</v>
      </c>
      <c r="BI48" s="1128">
        <f t="shared" si="63"/>
        <v>0.56928894490991322</v>
      </c>
      <c r="BJ48" s="315">
        <f t="shared" ref="BJ48:BN48" si="64">BJ46/BJ44</f>
        <v>0.64627363737486099</v>
      </c>
      <c r="BK48" s="315">
        <f t="shared" si="64"/>
        <v>0.7005256533649219</v>
      </c>
      <c r="BL48" s="315">
        <f t="shared" si="64"/>
        <v>0.73951434878587197</v>
      </c>
      <c r="BM48" s="315">
        <f t="shared" si="64"/>
        <v>0.75967063294575399</v>
      </c>
      <c r="BN48" s="1128">
        <f t="shared" si="64"/>
        <v>0.72717573290436954</v>
      </c>
      <c r="BO48" s="315">
        <f t="shared" ref="BO48:CC48" si="65">BO46/BO44</f>
        <v>0.78352019659038552</v>
      </c>
      <c r="BP48" s="315">
        <f t="shared" si="65"/>
        <v>0.75146471371504664</v>
      </c>
      <c r="BQ48" s="315">
        <f t="shared" si="65"/>
        <v>0.74556752750698363</v>
      </c>
      <c r="BR48" s="315">
        <f t="shared" si="65"/>
        <v>0.73028908494571709</v>
      </c>
      <c r="BS48" s="1128">
        <f t="shared" si="65"/>
        <v>0.74988697058169917</v>
      </c>
      <c r="BT48" s="315">
        <f t="shared" ref="BT48:CB48" si="66">BT46/BT44</f>
        <v>0.60523807362353044</v>
      </c>
      <c r="BU48" s="315">
        <f t="shared" si="66"/>
        <v>0.72423678411740799</v>
      </c>
      <c r="BV48" s="315">
        <f t="shared" si="66"/>
        <v>0.7341157071185489</v>
      </c>
      <c r="BW48" s="315">
        <f t="shared" si="66"/>
        <v>0.74996697344665109</v>
      </c>
      <c r="BX48" s="1128">
        <f t="shared" si="66"/>
        <v>0.71068084357547079</v>
      </c>
      <c r="BY48" s="897">
        <f>BY46/BY44</f>
        <v>0.74933529375727503</v>
      </c>
      <c r="BZ48" s="315">
        <f t="shared" si="66"/>
        <v>0.74852589692574301</v>
      </c>
      <c r="CA48" s="315">
        <f t="shared" si="66"/>
        <v>0.74518566466687719</v>
      </c>
      <c r="CB48" s="315">
        <f t="shared" si="66"/>
        <v>0.76066967575263855</v>
      </c>
      <c r="CC48" s="1128">
        <f t="shared" si="65"/>
        <v>0.75104438899406301</v>
      </c>
      <c r="CD48" s="315">
        <f t="shared" ref="CD48:CK48" si="67">CD46/CD44</f>
        <v>0.74925424247993633</v>
      </c>
      <c r="CE48" s="315">
        <f t="shared" si="67"/>
        <v>0.74852589692574278</v>
      </c>
      <c r="CF48" s="315">
        <f t="shared" si="67"/>
        <v>0.74518566466687719</v>
      </c>
      <c r="CG48" s="315">
        <f t="shared" si="67"/>
        <v>0.76066967575263855</v>
      </c>
      <c r="CH48" s="1128">
        <f t="shared" si="67"/>
        <v>0.75098113640895081</v>
      </c>
      <c r="CI48" s="1128">
        <f t="shared" si="67"/>
        <v>0.74998113640895103</v>
      </c>
      <c r="CJ48" s="1128">
        <f t="shared" si="67"/>
        <v>0.74998113640895103</v>
      </c>
      <c r="CK48" s="1128">
        <f t="shared" si="67"/>
        <v>0.74998113640895103</v>
      </c>
      <c r="CL48" s="155"/>
    </row>
    <row r="49" spans="1:90" outlineLevel="1" x14ac:dyDescent="0.3">
      <c r="A49" s="99" t="s">
        <v>701</v>
      </c>
      <c r="B49" s="598"/>
      <c r="C49" s="1112"/>
      <c r="D49" s="1112">
        <f>(D48-C48)*10000</f>
        <v>109.41666466871337</v>
      </c>
      <c r="E49" s="1112">
        <f t="shared" ref="E49:F49" si="68">(E48-D48)*10000</f>
        <v>438.68252042316368</v>
      </c>
      <c r="F49" s="1112">
        <f t="shared" si="68"/>
        <v>1167.1915327928023</v>
      </c>
      <c r="G49" s="68"/>
      <c r="H49" s="68"/>
      <c r="I49" s="68"/>
      <c r="J49" s="68"/>
      <c r="K49" s="1112">
        <f>(K48-F48)*10000</f>
        <v>57.588249974095397</v>
      </c>
      <c r="L49" s="68">
        <f t="shared" ref="L49:BD49" si="69">(L48-G48)*10000</f>
        <v>421.50910232916726</v>
      </c>
      <c r="M49" s="68">
        <f t="shared" si="69"/>
        <v>404.48603568092653</v>
      </c>
      <c r="N49" s="68">
        <f t="shared" si="69"/>
        <v>257.53387540682792</v>
      </c>
      <c r="O49" s="68">
        <f t="shared" si="69"/>
        <v>121.46393439881997</v>
      </c>
      <c r="P49" s="1112">
        <f t="shared" si="69"/>
        <v>289.01657560788993</v>
      </c>
      <c r="Q49" s="68">
        <f t="shared" si="69"/>
        <v>44.458776327204184</v>
      </c>
      <c r="R49" s="68">
        <f t="shared" si="69"/>
        <v>29.519687786153661</v>
      </c>
      <c r="S49" s="68">
        <f t="shared" si="69"/>
        <v>-26.540605587253019</v>
      </c>
      <c r="T49" s="68">
        <f t="shared" si="69"/>
        <v>183.60032874786936</v>
      </c>
      <c r="U49" s="1112">
        <f t="shared" si="69"/>
        <v>60.487239264691574</v>
      </c>
      <c r="V49" s="68">
        <f t="shared" si="69"/>
        <v>197.3529265812457</v>
      </c>
      <c r="W49" s="68">
        <f t="shared" si="69"/>
        <v>-113.2683157736647</v>
      </c>
      <c r="X49" s="68">
        <f t="shared" si="69"/>
        <v>106.15372585816019</v>
      </c>
      <c r="Y49" s="68">
        <f t="shared" si="69"/>
        <v>50.443585174686504</v>
      </c>
      <c r="Z49" s="1112">
        <f t="shared" si="69"/>
        <v>59.731881815181524</v>
      </c>
      <c r="AA49" s="68">
        <f t="shared" si="69"/>
        <v>81.461730762188992</v>
      </c>
      <c r="AB49" s="68">
        <f t="shared" si="69"/>
        <v>285.614679523154</v>
      </c>
      <c r="AC49" s="68">
        <f t="shared" si="69"/>
        <v>278.67253997751584</v>
      </c>
      <c r="AD49" s="68">
        <f t="shared" si="69"/>
        <v>350.35128744079657</v>
      </c>
      <c r="AE49" s="1112">
        <f t="shared" si="69"/>
        <v>269.10578264599638</v>
      </c>
      <c r="AF49" s="68">
        <f t="shared" si="69"/>
        <v>182.22673209944639</v>
      </c>
      <c r="AG49" s="68">
        <f t="shared" si="69"/>
        <v>54.251296931328021</v>
      </c>
      <c r="AH49" s="68">
        <f t="shared" si="69"/>
        <v>49.006690715684975</v>
      </c>
      <c r="AI49" s="68">
        <f t="shared" si="69"/>
        <v>190.55890798078789</v>
      </c>
      <c r="AJ49" s="1112">
        <f t="shared" si="69"/>
        <v>113.52734516878793</v>
      </c>
      <c r="AK49" s="68">
        <f t="shared" si="69"/>
        <v>511.37813369341313</v>
      </c>
      <c r="AL49" s="68">
        <f t="shared" si="69"/>
        <v>485.48236790828645</v>
      </c>
      <c r="AM49" s="68">
        <f t="shared" si="69"/>
        <v>86.78114888333144</v>
      </c>
      <c r="AN49" s="68">
        <f t="shared" si="69"/>
        <v>-712.95445923703187</v>
      </c>
      <c r="AO49" s="1112">
        <f t="shared" si="69"/>
        <v>127.27808424385701</v>
      </c>
      <c r="AP49" s="68">
        <f t="shared" si="69"/>
        <v>-610.55629998567281</v>
      </c>
      <c r="AQ49" s="68">
        <f t="shared" si="69"/>
        <v>-348.8632104151157</v>
      </c>
      <c r="AR49" s="68">
        <f t="shared" si="69"/>
        <v>318.01921119653963</v>
      </c>
      <c r="AS49" s="68">
        <f t="shared" si="69"/>
        <v>1015.6101087778102</v>
      </c>
      <c r="AT49" s="1112">
        <f t="shared" si="69"/>
        <v>78.247879174536678</v>
      </c>
      <c r="AU49" s="68">
        <f t="shared" si="69"/>
        <v>668.65566865566882</v>
      </c>
      <c r="AV49" s="68">
        <f t="shared" si="69"/>
        <v>-90.548897969532362</v>
      </c>
      <c r="AW49" s="68">
        <f t="shared" si="69"/>
        <v>-93.775949223836591</v>
      </c>
      <c r="AX49" s="68">
        <f t="shared" si="69"/>
        <v>-179.31913959514767</v>
      </c>
      <c r="AY49" s="1112">
        <f t="shared" si="69"/>
        <v>35.545224273739741</v>
      </c>
      <c r="AZ49" s="68">
        <f t="shared" si="69"/>
        <v>-95.965331259449954</v>
      </c>
      <c r="BA49" s="68">
        <f t="shared" si="69"/>
        <v>593.00418324616965</v>
      </c>
      <c r="BB49" s="68">
        <f t="shared" si="69"/>
        <v>256.55566014348153</v>
      </c>
      <c r="BC49" s="68">
        <f t="shared" si="69"/>
        <v>230.41153719386864</v>
      </c>
      <c r="BD49" s="1112">
        <f t="shared" si="69"/>
        <v>258.42056307062376</v>
      </c>
      <c r="BE49" s="68">
        <f t="shared" ref="BE49" si="70">(BE48-AZ48)*10000</f>
        <v>142.31931511343276</v>
      </c>
      <c r="BF49" s="68">
        <f t="shared" ref="BF49:BG49" si="71">(BF48-BA48)*10000</f>
        <v>-2129.489107196106</v>
      </c>
      <c r="BG49" s="68">
        <f t="shared" si="71"/>
        <v>-1163.1794640192427</v>
      </c>
      <c r="BH49" s="68">
        <f t="shared" ref="BH49:BI49" si="72">(BH48-BC48)*10000</f>
        <v>-206.13524195630339</v>
      </c>
      <c r="BI49" s="1112">
        <f t="shared" si="72"/>
        <v>-800.01387259218131</v>
      </c>
      <c r="BJ49" s="68">
        <f t="shared" ref="BJ49:BN49" si="73">(BJ48-BE48)*10000</f>
        <v>-90.111116598879931</v>
      </c>
      <c r="BK49" s="68">
        <f t="shared" si="73"/>
        <v>2657.1061756539921</v>
      </c>
      <c r="BL49" s="68">
        <f t="shared" si="73"/>
        <v>2038.5425773883103</v>
      </c>
      <c r="BM49" s="68">
        <f t="shared" si="73"/>
        <v>1262.2161625429806</v>
      </c>
      <c r="BN49" s="1112">
        <f t="shared" si="73"/>
        <v>1578.8678799445631</v>
      </c>
      <c r="BO49" s="68">
        <f t="shared" ref="BO49:BS49" si="74">(BO48-BJ48)*10000</f>
        <v>1372.4655921552453</v>
      </c>
      <c r="BP49" s="68">
        <f t="shared" si="74"/>
        <v>509.39060350124743</v>
      </c>
      <c r="BQ49" s="68">
        <f t="shared" si="74"/>
        <v>60.53178721111663</v>
      </c>
      <c r="BR49" s="68">
        <f t="shared" si="74"/>
        <v>-293.81548000036895</v>
      </c>
      <c r="BS49" s="1112">
        <f t="shared" si="74"/>
        <v>227.11237677329632</v>
      </c>
      <c r="BT49" s="68">
        <f t="shared" ref="BT49:CH49" si="75">(BT48-BO48)*10000</f>
        <v>-1782.8212296685508</v>
      </c>
      <c r="BU49" s="68">
        <f t="shared" si="75"/>
        <v>-272.27929597638644</v>
      </c>
      <c r="BV49" s="68">
        <f t="shared" si="75"/>
        <v>-114.5182038843473</v>
      </c>
      <c r="BW49" s="68">
        <f t="shared" si="75"/>
        <v>196.77888500933994</v>
      </c>
      <c r="BX49" s="1112">
        <f t="shared" si="75"/>
        <v>-392.06127006228388</v>
      </c>
      <c r="BY49" s="588">
        <f>(BY48-BT48)*10000</f>
        <v>1440.972201337446</v>
      </c>
      <c r="BZ49" s="68">
        <f t="shared" si="75"/>
        <v>242.89112808335011</v>
      </c>
      <c r="CA49" s="68">
        <f t="shared" si="75"/>
        <v>110.69957548328291</v>
      </c>
      <c r="CB49" s="68">
        <f t="shared" si="75"/>
        <v>107.02702305987467</v>
      </c>
      <c r="CC49" s="1112">
        <f t="shared" si="75"/>
        <v>403.63545418592219</v>
      </c>
      <c r="CD49" s="68">
        <f t="shared" si="75"/>
        <v>-0.81051277338706207</v>
      </c>
      <c r="CE49" s="68">
        <f t="shared" si="75"/>
        <v>-2.2204460492503131E-12</v>
      </c>
      <c r="CF49" s="68">
        <f t="shared" si="75"/>
        <v>0</v>
      </c>
      <c r="CG49" s="68">
        <f t="shared" si="75"/>
        <v>0</v>
      </c>
      <c r="CH49" s="1112">
        <f t="shared" si="75"/>
        <v>-0.63252585112194559</v>
      </c>
      <c r="CI49" s="1112">
        <f>(CI48-CH48)*10000</f>
        <v>-9.9999999999977884</v>
      </c>
      <c r="CJ49" s="1112">
        <f>(CJ48-CI48)*10000</f>
        <v>0</v>
      </c>
      <c r="CK49" s="1112">
        <f>(CK48-CJ48)*10000</f>
        <v>0</v>
      </c>
      <c r="CL49" s="155"/>
    </row>
    <row r="50" spans="1:90" ht="7.35" customHeight="1" outlineLevel="1" x14ac:dyDescent="0.3">
      <c r="A50" s="600"/>
      <c r="B50" s="601"/>
      <c r="C50" s="1127"/>
      <c r="D50" s="1127"/>
      <c r="E50" s="1127"/>
      <c r="F50" s="1127"/>
      <c r="G50" s="63"/>
      <c r="H50" s="63"/>
      <c r="I50" s="63"/>
      <c r="J50" s="63"/>
      <c r="K50" s="1127"/>
      <c r="L50" s="63"/>
      <c r="M50" s="63"/>
      <c r="N50" s="63"/>
      <c r="O50" s="63"/>
      <c r="P50" s="1127"/>
      <c r="Q50" s="63"/>
      <c r="R50" s="63"/>
      <c r="S50" s="63"/>
      <c r="T50" s="63"/>
      <c r="U50" s="1127"/>
      <c r="V50" s="63"/>
      <c r="W50" s="63"/>
      <c r="X50" s="63"/>
      <c r="Y50" s="63"/>
      <c r="Z50" s="1127"/>
      <c r="AA50" s="63"/>
      <c r="AB50" s="63"/>
      <c r="AC50" s="63"/>
      <c r="AD50" s="63"/>
      <c r="AE50" s="1127"/>
      <c r="AF50" s="63"/>
      <c r="AG50" s="63"/>
      <c r="AH50" s="63"/>
      <c r="AI50" s="63"/>
      <c r="AJ50" s="1127"/>
      <c r="AK50" s="63"/>
      <c r="AL50" s="63"/>
      <c r="AM50" s="63"/>
      <c r="AN50" s="63"/>
      <c r="AO50" s="1127"/>
      <c r="AP50" s="63"/>
      <c r="AQ50" s="63"/>
      <c r="AR50" s="63"/>
      <c r="AS50" s="63"/>
      <c r="AT50" s="1127"/>
      <c r="AU50" s="63"/>
      <c r="AV50" s="63"/>
      <c r="AW50" s="63"/>
      <c r="AX50" s="63"/>
      <c r="AY50" s="1127"/>
      <c r="AZ50" s="63"/>
      <c r="BA50" s="63"/>
      <c r="BB50" s="63"/>
      <c r="BC50" s="63"/>
      <c r="BD50" s="1127"/>
      <c r="BE50" s="63"/>
      <c r="BF50" s="63"/>
      <c r="BG50" s="63"/>
      <c r="BH50" s="63"/>
      <c r="BI50" s="1127"/>
      <c r="BJ50" s="63"/>
      <c r="BK50" s="63"/>
      <c r="BL50" s="63"/>
      <c r="BM50" s="63"/>
      <c r="BN50" s="1127"/>
      <c r="BO50" s="63"/>
      <c r="BP50" s="63"/>
      <c r="BQ50" s="63"/>
      <c r="BR50" s="63"/>
      <c r="BS50" s="1127"/>
      <c r="BT50" s="63"/>
      <c r="BU50" s="63"/>
      <c r="BV50" s="63"/>
      <c r="BW50" s="63"/>
      <c r="BX50" s="1127"/>
      <c r="BY50" s="587"/>
      <c r="BZ50" s="63"/>
      <c r="CA50" s="63"/>
      <c r="CB50" s="63"/>
      <c r="CC50" s="1127"/>
      <c r="CD50" s="63"/>
      <c r="CE50" s="63"/>
      <c r="CF50" s="63"/>
      <c r="CG50" s="63"/>
      <c r="CH50" s="1127"/>
      <c r="CI50" s="1127"/>
      <c r="CJ50" s="1127"/>
      <c r="CK50" s="1127"/>
      <c r="CL50" s="155"/>
    </row>
    <row r="51" spans="1:90" outlineLevel="1" x14ac:dyDescent="0.3">
      <c r="A51" s="572" t="s">
        <v>702</v>
      </c>
      <c r="B51" s="598"/>
      <c r="C51" s="1112">
        <f t="shared" ref="C51:BD51" si="76">-C375</f>
        <v>11.939</v>
      </c>
      <c r="D51" s="1112">
        <f t="shared" si="76"/>
        <v>12.05</v>
      </c>
      <c r="E51" s="1112">
        <f t="shared" si="76"/>
        <v>8.3079999999999998</v>
      </c>
      <c r="F51" s="1112">
        <f t="shared" si="76"/>
        <v>11.321999999999999</v>
      </c>
      <c r="G51" s="68">
        <f t="shared" si="76"/>
        <v>2.5259999999999998</v>
      </c>
      <c r="H51" s="68">
        <f t="shared" si="76"/>
        <v>2.649</v>
      </c>
      <c r="I51" s="68">
        <f t="shared" si="76"/>
        <v>2.4889999999999999</v>
      </c>
      <c r="J51" s="68">
        <f t="shared" si="76"/>
        <v>2.8260000000000001</v>
      </c>
      <c r="K51" s="1112">
        <f t="shared" si="76"/>
        <v>10.49</v>
      </c>
      <c r="L51" s="68">
        <f t="shared" si="76"/>
        <v>2.653</v>
      </c>
      <c r="M51" s="68">
        <f t="shared" si="76"/>
        <v>2.1680000000000001</v>
      </c>
      <c r="N51" s="68">
        <f t="shared" si="76"/>
        <v>3.09</v>
      </c>
      <c r="O51" s="68">
        <f t="shared" si="76"/>
        <v>2.7770000000000001</v>
      </c>
      <c r="P51" s="1112">
        <f t="shared" si="76"/>
        <v>10.688000000000001</v>
      </c>
      <c r="Q51" s="68">
        <f t="shared" si="76"/>
        <v>3</v>
      </c>
      <c r="R51" s="68">
        <f t="shared" si="76"/>
        <v>3</v>
      </c>
      <c r="S51" s="68">
        <f t="shared" si="76"/>
        <v>4</v>
      </c>
      <c r="T51" s="68">
        <f t="shared" si="76"/>
        <v>4</v>
      </c>
      <c r="U51" s="1112">
        <f t="shared" si="76"/>
        <v>12</v>
      </c>
      <c r="V51" s="68">
        <f t="shared" si="76"/>
        <v>2</v>
      </c>
      <c r="W51" s="68">
        <f t="shared" si="76"/>
        <v>3</v>
      </c>
      <c r="X51" s="68">
        <f t="shared" si="76"/>
        <v>4</v>
      </c>
      <c r="Y51" s="68">
        <f t="shared" si="76"/>
        <v>5</v>
      </c>
      <c r="Z51" s="1112">
        <f t="shared" si="76"/>
        <v>15</v>
      </c>
      <c r="AA51" s="68">
        <f t="shared" si="76"/>
        <v>4</v>
      </c>
      <c r="AB51" s="68">
        <f t="shared" si="76"/>
        <v>4</v>
      </c>
      <c r="AC51" s="68">
        <f t="shared" si="76"/>
        <v>3</v>
      </c>
      <c r="AD51" s="68">
        <f t="shared" si="76"/>
        <v>4</v>
      </c>
      <c r="AE51" s="1112">
        <f t="shared" si="76"/>
        <v>15</v>
      </c>
      <c r="AF51" s="68">
        <f t="shared" si="76"/>
        <v>4</v>
      </c>
      <c r="AG51" s="68">
        <f t="shared" si="76"/>
        <v>4</v>
      </c>
      <c r="AH51" s="68">
        <f t="shared" si="76"/>
        <v>6</v>
      </c>
      <c r="AI51" s="68">
        <f t="shared" si="76"/>
        <v>7</v>
      </c>
      <c r="AJ51" s="1112">
        <f t="shared" si="76"/>
        <v>21</v>
      </c>
      <c r="AK51" s="68">
        <f t="shared" si="76"/>
        <v>8</v>
      </c>
      <c r="AL51" s="68">
        <f t="shared" si="76"/>
        <v>8</v>
      </c>
      <c r="AM51" s="68">
        <f t="shared" si="76"/>
        <v>5</v>
      </c>
      <c r="AN51" s="68">
        <f t="shared" si="76"/>
        <v>6</v>
      </c>
      <c r="AO51" s="1112">
        <f t="shared" si="76"/>
        <v>27</v>
      </c>
      <c r="AP51" s="68">
        <f t="shared" si="76"/>
        <v>4</v>
      </c>
      <c r="AQ51" s="68">
        <f t="shared" si="76"/>
        <v>8</v>
      </c>
      <c r="AR51" s="68">
        <f t="shared" si="76"/>
        <v>15</v>
      </c>
      <c r="AS51" s="68">
        <f t="shared" si="76"/>
        <v>12</v>
      </c>
      <c r="AT51" s="1112">
        <f t="shared" si="76"/>
        <v>39</v>
      </c>
      <c r="AU51" s="68">
        <f t="shared" si="76"/>
        <v>21</v>
      </c>
      <c r="AV51" s="68">
        <f t="shared" si="76"/>
        <v>14</v>
      </c>
      <c r="AW51" s="68">
        <f t="shared" si="76"/>
        <v>28</v>
      </c>
      <c r="AX51" s="68">
        <f t="shared" si="76"/>
        <v>26</v>
      </c>
      <c r="AY51" s="1112">
        <f t="shared" si="76"/>
        <v>88</v>
      </c>
      <c r="AZ51" s="68">
        <f t="shared" si="76"/>
        <v>25</v>
      </c>
      <c r="BA51" s="68">
        <f t="shared" si="76"/>
        <v>32</v>
      </c>
      <c r="BB51" s="68">
        <f t="shared" si="76"/>
        <v>44</v>
      </c>
      <c r="BC51" s="68">
        <f t="shared" si="76"/>
        <v>39</v>
      </c>
      <c r="BD51" s="1112">
        <f t="shared" si="76"/>
        <v>141</v>
      </c>
      <c r="BE51" s="68">
        <f t="shared" ref="BE51:BJ51" si="77">-BE375</f>
        <v>38</v>
      </c>
      <c r="BF51" s="68">
        <f t="shared" si="77"/>
        <v>38</v>
      </c>
      <c r="BG51" s="68">
        <f t="shared" si="77"/>
        <v>32</v>
      </c>
      <c r="BH51" s="68">
        <f t="shared" si="77"/>
        <v>30</v>
      </c>
      <c r="BI51" s="1112">
        <f t="shared" si="77"/>
        <v>138</v>
      </c>
      <c r="BJ51" s="68">
        <f t="shared" si="77"/>
        <v>27</v>
      </c>
      <c r="BK51" s="68">
        <f t="shared" ref="BK51:BP51" si="78">-BK375</f>
        <v>31</v>
      </c>
      <c r="BL51" s="68">
        <f t="shared" si="78"/>
        <v>38</v>
      </c>
      <c r="BM51" s="68">
        <f t="shared" si="78"/>
        <v>45</v>
      </c>
      <c r="BN51" s="1112">
        <f t="shared" si="78"/>
        <v>141</v>
      </c>
      <c r="BO51" s="68">
        <f t="shared" si="78"/>
        <v>36</v>
      </c>
      <c r="BP51" s="68">
        <f t="shared" si="78"/>
        <v>40</v>
      </c>
      <c r="BQ51" s="68">
        <f t="shared" ref="BQ51:BV51" si="79">-BQ375</f>
        <v>50</v>
      </c>
      <c r="BR51" s="68">
        <f t="shared" si="79"/>
        <v>53</v>
      </c>
      <c r="BS51" s="1112">
        <f t="shared" si="79"/>
        <v>178</v>
      </c>
      <c r="BT51" s="68">
        <f t="shared" si="79"/>
        <v>64</v>
      </c>
      <c r="BU51" s="68">
        <f t="shared" si="79"/>
        <v>58</v>
      </c>
      <c r="BV51" s="68">
        <f t="shared" si="79"/>
        <v>70</v>
      </c>
      <c r="BW51" s="68">
        <f>-BW375</f>
        <v>69</v>
      </c>
      <c r="BX51" s="1112">
        <f>-BX375</f>
        <v>261</v>
      </c>
      <c r="BY51" s="588">
        <f>-BY375</f>
        <v>0</v>
      </c>
      <c r="BZ51" s="68">
        <f>BZ44*BZ52</f>
        <v>0</v>
      </c>
      <c r="CA51" s="68">
        <f>CA44*CA52</f>
        <v>0</v>
      </c>
      <c r="CB51" s="68">
        <f>CB44*CB52</f>
        <v>0</v>
      </c>
      <c r="CC51" s="1112">
        <f>SUM(BY51,BZ51,CA51,CB51)</f>
        <v>0</v>
      </c>
      <c r="CD51" s="68">
        <f>CD44*CD52</f>
        <v>0</v>
      </c>
      <c r="CE51" s="68">
        <f>CE44*CE52</f>
        <v>0</v>
      </c>
      <c r="CF51" s="68">
        <f>CF44*CF52</f>
        <v>0</v>
      </c>
      <c r="CG51" s="68">
        <f>CG44*CG52</f>
        <v>0</v>
      </c>
      <c r="CH51" s="1112">
        <f>SUM(CD51,CE51,CF51,CG51)</f>
        <v>0</v>
      </c>
      <c r="CI51" s="1112">
        <f>CI44*CI52</f>
        <v>0</v>
      </c>
      <c r="CJ51" s="1112">
        <f>CJ44*CJ52</f>
        <v>0</v>
      </c>
      <c r="CK51" s="1112">
        <f>CK44*CK52</f>
        <v>0</v>
      </c>
      <c r="CL51" s="155"/>
    </row>
    <row r="52" spans="1:90" outlineLevel="1" x14ac:dyDescent="0.3">
      <c r="A52" s="101" t="s">
        <v>703</v>
      </c>
      <c r="B52" s="582"/>
      <c r="C52" s="1115">
        <f t="shared" ref="C52:BA52" si="80">C51/C44</f>
        <v>3.4859829265963941E-3</v>
      </c>
      <c r="D52" s="1115">
        <f t="shared" si="80"/>
        <v>3.6224858670442471E-3</v>
      </c>
      <c r="E52" s="1115">
        <f t="shared" si="80"/>
        <v>2.3447009560837056E-3</v>
      </c>
      <c r="F52" s="1115">
        <f t="shared" si="80"/>
        <v>2.8319655421680718E-3</v>
      </c>
      <c r="G52" s="90">
        <f t="shared" si="80"/>
        <v>2.7311739831350546E-3</v>
      </c>
      <c r="H52" s="90">
        <f t="shared" si="80"/>
        <v>2.5367002786635643E-3</v>
      </c>
      <c r="I52" s="90">
        <f t="shared" si="80"/>
        <v>2.0670868940545302E-3</v>
      </c>
      <c r="J52" s="90">
        <f t="shared" si="80"/>
        <v>2.553071545629153E-3</v>
      </c>
      <c r="K52" s="1115">
        <f t="shared" si="80"/>
        <v>2.4508435317473023E-3</v>
      </c>
      <c r="L52" s="90">
        <f t="shared" si="80"/>
        <v>2.7787699046545704E-3</v>
      </c>
      <c r="M52" s="90">
        <f t="shared" si="80"/>
        <v>2.2184974386996823E-3</v>
      </c>
      <c r="N52" s="90">
        <f t="shared" si="80"/>
        <v>2.9317805965461911E-3</v>
      </c>
      <c r="O52" s="90">
        <f t="shared" si="80"/>
        <v>2.4269850675308373E-3</v>
      </c>
      <c r="P52" s="1115">
        <f t="shared" si="80"/>
        <v>2.5878934624697339E-3</v>
      </c>
      <c r="Q52" s="90">
        <f t="shared" si="80"/>
        <v>2.7198549410698096E-3</v>
      </c>
      <c r="R52" s="90">
        <f t="shared" si="80"/>
        <v>2.7198549410698096E-3</v>
      </c>
      <c r="S52" s="90">
        <f t="shared" si="80"/>
        <v>3.2653061224489797E-3</v>
      </c>
      <c r="T52" s="90">
        <f t="shared" si="80"/>
        <v>3.1974420463629096E-3</v>
      </c>
      <c r="U52" s="1115">
        <f t="shared" si="80"/>
        <v>2.5630072618539087E-3</v>
      </c>
      <c r="V52" s="90">
        <f t="shared" si="80"/>
        <v>1.7376194613379669E-3</v>
      </c>
      <c r="W52" s="90">
        <f t="shared" si="80"/>
        <v>2.6019080659150044E-3</v>
      </c>
      <c r="X52" s="90">
        <f t="shared" si="80"/>
        <v>3.0651340996168583E-3</v>
      </c>
      <c r="Y52" s="90">
        <f t="shared" si="80"/>
        <v>3.5688793718772305E-3</v>
      </c>
      <c r="Z52" s="1115">
        <f t="shared" si="80"/>
        <v>2.9940119760479044E-3</v>
      </c>
      <c r="AA52" s="90">
        <f t="shared" si="80"/>
        <v>3.0651340996168583E-3</v>
      </c>
      <c r="AB52" s="90">
        <f t="shared" si="80"/>
        <v>2.8011204481792717E-3</v>
      </c>
      <c r="AC52" s="90">
        <f t="shared" si="80"/>
        <v>1.4970059880239522E-3</v>
      </c>
      <c r="AD52" s="90">
        <f t="shared" si="80"/>
        <v>1.8407731247123793E-3</v>
      </c>
      <c r="AE52" s="1115">
        <f t="shared" si="80"/>
        <v>2.1707670043415342E-3</v>
      </c>
      <c r="AF52" s="90">
        <f t="shared" si="80"/>
        <v>2.0650490449148169E-3</v>
      </c>
      <c r="AG52" s="90">
        <f t="shared" si="80"/>
        <v>1.7937219730941704E-3</v>
      </c>
      <c r="AH52" s="90">
        <f t="shared" si="80"/>
        <v>2.276176024279211E-3</v>
      </c>
      <c r="AI52" s="90">
        <f t="shared" si="80"/>
        <v>2.4046719340432843E-3</v>
      </c>
      <c r="AJ52" s="1115">
        <f t="shared" si="80"/>
        <v>2.1618282890673254E-3</v>
      </c>
      <c r="AK52" s="90">
        <f t="shared" si="80"/>
        <v>2.494543186778921E-3</v>
      </c>
      <c r="AL52" s="90">
        <f t="shared" si="80"/>
        <v>2.5616394492475182E-3</v>
      </c>
      <c r="AM52" s="90">
        <f t="shared" si="80"/>
        <v>1.5718327569946558E-3</v>
      </c>
      <c r="AN52" s="90">
        <f t="shared" si="80"/>
        <v>2.7210884353741495E-3</v>
      </c>
      <c r="AO52" s="1115">
        <f t="shared" si="80"/>
        <v>2.304540798907477E-3</v>
      </c>
      <c r="AP52" s="90">
        <f t="shared" si="80"/>
        <v>1.8018018018018018E-3</v>
      </c>
      <c r="AQ52" s="90">
        <f t="shared" si="80"/>
        <v>3.1019775106630476E-3</v>
      </c>
      <c r="AR52" s="90">
        <f t="shared" si="80"/>
        <v>4.9767750497677508E-3</v>
      </c>
      <c r="AS52" s="90">
        <f t="shared" si="80"/>
        <v>3.8647342995169081E-3</v>
      </c>
      <c r="AT52" s="1115">
        <f t="shared" si="80"/>
        <v>3.5720827990474444E-3</v>
      </c>
      <c r="AU52" s="90">
        <f t="shared" si="80"/>
        <v>6.8181818181818179E-3</v>
      </c>
      <c r="AV52" s="90">
        <f t="shared" si="80"/>
        <v>3.6213140196585617E-3</v>
      </c>
      <c r="AW52" s="90">
        <f t="shared" si="80"/>
        <v>5.9246720270842148E-3</v>
      </c>
      <c r="AX52" s="90">
        <f t="shared" si="80"/>
        <v>5.1968818708774739E-3</v>
      </c>
      <c r="AY52" s="1115">
        <f t="shared" si="80"/>
        <v>5.2773613193403297E-3</v>
      </c>
      <c r="AZ52" s="90">
        <f t="shared" si="80"/>
        <v>4.4161808867691221E-3</v>
      </c>
      <c r="BA52" s="90">
        <f t="shared" si="80"/>
        <v>4.9177808513908095E-3</v>
      </c>
      <c r="BB52" s="90">
        <f t="shared" ref="BB52:BG52" si="81">BB51/BB44</f>
        <v>6.1945656764747286E-3</v>
      </c>
      <c r="BC52" s="90">
        <f t="shared" si="81"/>
        <v>5.102708360591391E-3</v>
      </c>
      <c r="BD52" s="1115">
        <f t="shared" si="81"/>
        <v>5.2389091179311882E-3</v>
      </c>
      <c r="BE52" s="90">
        <f t="shared" si="81"/>
        <v>4.5849420849420853E-3</v>
      </c>
      <c r="BF52" s="90">
        <f t="shared" si="81"/>
        <v>5.6682577565632455E-3</v>
      </c>
      <c r="BG52" s="90">
        <f t="shared" si="81"/>
        <v>5.3953802056988702E-3</v>
      </c>
      <c r="BH52" s="90">
        <f t="shared" ref="BH52:BN52" si="82">BH51/BH44</f>
        <v>4.95785820525533E-3</v>
      </c>
      <c r="BI52" s="1115">
        <f t="shared" si="82"/>
        <v>5.1160376659004966E-3</v>
      </c>
      <c r="BJ52" s="90">
        <f t="shared" si="82"/>
        <v>3.754171301446051E-3</v>
      </c>
      <c r="BK52" s="90">
        <f t="shared" si="82"/>
        <v>2.2951062412082624E-3</v>
      </c>
      <c r="BL52" s="90">
        <f t="shared" si="82"/>
        <v>2.0971302428256073E-3</v>
      </c>
      <c r="BM52" s="90">
        <f t="shared" si="82"/>
        <v>2.0359227254218883E-3</v>
      </c>
      <c r="BN52" s="1115">
        <f t="shared" si="82"/>
        <v>2.3144348511211056E-3</v>
      </c>
      <c r="BO52" s="90">
        <f t="shared" ref="BO52:BT52" si="83">BO51/BO44</f>
        <v>1.382276148057134E-3</v>
      </c>
      <c r="BP52" s="90">
        <f t="shared" si="83"/>
        <v>1.3315579227696406E-3</v>
      </c>
      <c r="BQ52" s="90">
        <f t="shared" si="83"/>
        <v>1.4252323128669973E-3</v>
      </c>
      <c r="BR52" s="90">
        <f t="shared" si="83"/>
        <v>1.3475375657878009E-3</v>
      </c>
      <c r="BS52" s="1115">
        <f t="shared" si="83"/>
        <v>1.3640160310198703E-3</v>
      </c>
      <c r="BT52" s="90">
        <f t="shared" si="83"/>
        <v>1.4524987517588852E-3</v>
      </c>
      <c r="BU52" s="90">
        <f>BU51/BU44</f>
        <v>1.2408275035834242E-3</v>
      </c>
      <c r="BV52" s="90">
        <f>BV51/BV44</f>
        <v>1.2279409184998071E-3</v>
      </c>
      <c r="BW52" s="90">
        <f>BW51/BW44</f>
        <v>1.0128143026993702E-3</v>
      </c>
      <c r="BX52" s="1115">
        <f>BX51/BX44</f>
        <v>1.2086802693365688E-3</v>
      </c>
      <c r="BY52" s="892">
        <f>BY51/BY44</f>
        <v>0</v>
      </c>
      <c r="BZ52" s="1060">
        <v>0</v>
      </c>
      <c r="CA52" s="1060">
        <v>0</v>
      </c>
      <c r="CB52" s="1060">
        <v>0</v>
      </c>
      <c r="CC52" s="1115">
        <f>CC51/CC44</f>
        <v>0</v>
      </c>
      <c r="CD52" s="1060">
        <v>0</v>
      </c>
      <c r="CE52" s="1060">
        <v>0</v>
      </c>
      <c r="CF52" s="1060">
        <v>0</v>
      </c>
      <c r="CG52" s="1060">
        <v>0</v>
      </c>
      <c r="CH52" s="1115">
        <f>CH51/CH44</f>
        <v>0</v>
      </c>
      <c r="CI52" s="1129">
        <v>0</v>
      </c>
      <c r="CJ52" s="1129">
        <v>0</v>
      </c>
      <c r="CK52" s="1129">
        <v>0</v>
      </c>
      <c r="CL52" s="155"/>
    </row>
    <row r="53" spans="1:90" outlineLevel="1" x14ac:dyDescent="0.3">
      <c r="A53" s="572" t="s">
        <v>738</v>
      </c>
      <c r="B53" s="598"/>
      <c r="C53" s="1112">
        <f t="shared" ref="C53:BD53" si="84">-C376</f>
        <v>0</v>
      </c>
      <c r="D53" s="1112">
        <f t="shared" si="84"/>
        <v>0</v>
      </c>
      <c r="E53" s="1112">
        <f t="shared" si="84"/>
        <v>0</v>
      </c>
      <c r="F53" s="1112">
        <f t="shared" si="84"/>
        <v>0</v>
      </c>
      <c r="G53" s="68">
        <f t="shared" si="84"/>
        <v>0</v>
      </c>
      <c r="H53" s="68">
        <f t="shared" si="84"/>
        <v>0</v>
      </c>
      <c r="I53" s="68">
        <f t="shared" si="84"/>
        <v>0</v>
      </c>
      <c r="J53" s="68">
        <f t="shared" si="84"/>
        <v>0</v>
      </c>
      <c r="K53" s="1112">
        <f t="shared" si="84"/>
        <v>0</v>
      </c>
      <c r="L53" s="68">
        <f t="shared" si="84"/>
        <v>0</v>
      </c>
      <c r="M53" s="68">
        <f t="shared" si="84"/>
        <v>0</v>
      </c>
      <c r="N53" s="68">
        <f t="shared" si="84"/>
        <v>0</v>
      </c>
      <c r="O53" s="68">
        <f t="shared" si="84"/>
        <v>0</v>
      </c>
      <c r="P53" s="1112">
        <f t="shared" si="84"/>
        <v>0</v>
      </c>
      <c r="Q53" s="68">
        <f t="shared" si="84"/>
        <v>0</v>
      </c>
      <c r="R53" s="68">
        <f t="shared" si="84"/>
        <v>0</v>
      </c>
      <c r="S53" s="68">
        <f t="shared" si="84"/>
        <v>0</v>
      </c>
      <c r="T53" s="68">
        <f t="shared" si="84"/>
        <v>0</v>
      </c>
      <c r="U53" s="1112">
        <f t="shared" si="84"/>
        <v>0</v>
      </c>
      <c r="V53" s="68">
        <f t="shared" si="84"/>
        <v>0</v>
      </c>
      <c r="W53" s="68">
        <f t="shared" si="84"/>
        <v>0</v>
      </c>
      <c r="X53" s="68">
        <f t="shared" si="84"/>
        <v>0</v>
      </c>
      <c r="Y53" s="68">
        <f t="shared" si="84"/>
        <v>0</v>
      </c>
      <c r="Z53" s="1112">
        <f t="shared" si="84"/>
        <v>0</v>
      </c>
      <c r="AA53" s="68">
        <f t="shared" si="84"/>
        <v>0</v>
      </c>
      <c r="AB53" s="68">
        <f t="shared" si="84"/>
        <v>0</v>
      </c>
      <c r="AC53" s="68">
        <f t="shared" si="84"/>
        <v>0</v>
      </c>
      <c r="AD53" s="68">
        <f t="shared" si="84"/>
        <v>0</v>
      </c>
      <c r="AE53" s="1112">
        <f t="shared" si="84"/>
        <v>0</v>
      </c>
      <c r="AF53" s="68">
        <f t="shared" si="84"/>
        <v>0</v>
      </c>
      <c r="AG53" s="68">
        <f t="shared" si="84"/>
        <v>0</v>
      </c>
      <c r="AH53" s="68">
        <f t="shared" si="84"/>
        <v>0</v>
      </c>
      <c r="AI53" s="68">
        <f t="shared" si="84"/>
        <v>0</v>
      </c>
      <c r="AJ53" s="1112">
        <f t="shared" si="84"/>
        <v>0</v>
      </c>
      <c r="AK53" s="68">
        <f t="shared" si="84"/>
        <v>0</v>
      </c>
      <c r="AL53" s="68">
        <f t="shared" si="84"/>
        <v>0</v>
      </c>
      <c r="AM53" s="68">
        <f t="shared" si="84"/>
        <v>0</v>
      </c>
      <c r="AN53" s="68">
        <f t="shared" si="84"/>
        <v>0</v>
      </c>
      <c r="AO53" s="1112">
        <f t="shared" si="84"/>
        <v>0</v>
      </c>
      <c r="AP53" s="68">
        <f t="shared" si="84"/>
        <v>0</v>
      </c>
      <c r="AQ53" s="68">
        <f t="shared" si="84"/>
        <v>0</v>
      </c>
      <c r="AR53" s="68">
        <f t="shared" si="84"/>
        <v>0</v>
      </c>
      <c r="AS53" s="68">
        <f t="shared" si="84"/>
        <v>0</v>
      </c>
      <c r="AT53" s="1112">
        <f t="shared" si="84"/>
        <v>0</v>
      </c>
      <c r="AU53" s="68">
        <f t="shared" si="84"/>
        <v>1</v>
      </c>
      <c r="AV53" s="68">
        <f t="shared" si="84"/>
        <v>245</v>
      </c>
      <c r="AW53" s="68">
        <f t="shared" si="84"/>
        <v>86</v>
      </c>
      <c r="AX53" s="68">
        <f t="shared" si="84"/>
        <v>92</v>
      </c>
      <c r="AY53" s="1112">
        <f t="shared" si="84"/>
        <v>425</v>
      </c>
      <c r="AZ53" s="68">
        <f t="shared" si="84"/>
        <v>87</v>
      </c>
      <c r="BA53" s="68">
        <f t="shared" si="84"/>
        <v>86</v>
      </c>
      <c r="BB53" s="68">
        <f t="shared" si="84"/>
        <v>86</v>
      </c>
      <c r="BC53" s="68">
        <f t="shared" si="84"/>
        <v>86</v>
      </c>
      <c r="BD53" s="1112">
        <f t="shared" si="84"/>
        <v>344</v>
      </c>
      <c r="BE53" s="68">
        <f t="shared" ref="BE53:BJ53" si="85">-BE376</f>
        <v>94</v>
      </c>
      <c r="BF53" s="68">
        <f t="shared" si="85"/>
        <v>121</v>
      </c>
      <c r="BG53" s="68">
        <f t="shared" si="85"/>
        <v>120</v>
      </c>
      <c r="BH53" s="68">
        <f t="shared" si="85"/>
        <v>120</v>
      </c>
      <c r="BI53" s="1112">
        <f t="shared" si="85"/>
        <v>455</v>
      </c>
      <c r="BJ53" s="68">
        <f t="shared" si="85"/>
        <v>119</v>
      </c>
      <c r="BK53" s="68">
        <f t="shared" ref="BK53:BP53" si="86">-BK376</f>
        <v>119</v>
      </c>
      <c r="BL53" s="68">
        <f t="shared" si="86"/>
        <v>119</v>
      </c>
      <c r="BM53" s="68">
        <f t="shared" si="86"/>
        <v>119</v>
      </c>
      <c r="BN53" s="1112">
        <f t="shared" si="86"/>
        <v>477</v>
      </c>
      <c r="BO53" s="68">
        <f t="shared" si="86"/>
        <v>119</v>
      </c>
      <c r="BP53" s="68">
        <f t="shared" si="86"/>
        <v>118</v>
      </c>
      <c r="BQ53" s="68">
        <f t="shared" ref="BQ53:BV53" si="87">-BQ376</f>
        <v>116</v>
      </c>
      <c r="BR53" s="68">
        <f t="shared" si="87"/>
        <v>118</v>
      </c>
      <c r="BS53" s="1112">
        <f t="shared" si="87"/>
        <v>472</v>
      </c>
      <c r="BT53" s="68">
        <f t="shared" si="87"/>
        <v>123</v>
      </c>
      <c r="BU53" s="68">
        <f t="shared" si="87"/>
        <v>49</v>
      </c>
      <c r="BV53" s="68">
        <f t="shared" si="87"/>
        <v>48</v>
      </c>
      <c r="BW53" s="68">
        <f>-BW376</f>
        <v>48</v>
      </c>
      <c r="BX53" s="1112">
        <f>-BX376</f>
        <v>267</v>
      </c>
      <c r="BY53" s="588">
        <f>-BY376</f>
        <v>47</v>
      </c>
      <c r="BZ53" s="68">
        <f>BZ44*BZ54</f>
        <v>90.933489999999992</v>
      </c>
      <c r="CA53" s="68">
        <f>CA44*CA54</f>
        <v>91.535799999999995</v>
      </c>
      <c r="CB53" s="68">
        <f>CB44*CB54</f>
        <v>94.000950000000003</v>
      </c>
      <c r="CC53" s="1112">
        <f>SUM(BY53,BZ53,CA53,CB53)</f>
        <v>323.47023999999999</v>
      </c>
      <c r="CD53" s="68">
        <f>CD44*CD54</f>
        <v>105.52355</v>
      </c>
      <c r="CE53" s="68">
        <f>CE44*CE54</f>
        <v>117.6687395</v>
      </c>
      <c r="CF53" s="68">
        <f>CF44*CF54</f>
        <v>114.19591999999999</v>
      </c>
      <c r="CG53" s="68">
        <f>CG44*CG54</f>
        <v>116.93735249999997</v>
      </c>
      <c r="CH53" s="1112">
        <f>SUM(CD53,CE53,CF53,CG53)</f>
        <v>454.32556199999999</v>
      </c>
      <c r="CI53" s="1112">
        <f>CI44*CI54</f>
        <v>1083.8136023</v>
      </c>
      <c r="CJ53" s="1112">
        <f>CJ44*CJ54</f>
        <v>1273.1204337939998</v>
      </c>
      <c r="CK53" s="1112">
        <f>CK44*CK54</f>
        <v>1495.9245332649202</v>
      </c>
      <c r="CL53" s="155"/>
    </row>
    <row r="54" spans="1:90" outlineLevel="1" x14ac:dyDescent="0.3">
      <c r="A54" s="101" t="s">
        <v>739</v>
      </c>
      <c r="B54" s="582"/>
      <c r="C54" s="1115">
        <f t="shared" ref="C54:BD54" si="88">C53/C44</f>
        <v>0</v>
      </c>
      <c r="D54" s="1115">
        <f t="shared" si="88"/>
        <v>0</v>
      </c>
      <c r="E54" s="1115">
        <f t="shared" si="88"/>
        <v>0</v>
      </c>
      <c r="F54" s="1115">
        <f t="shared" si="88"/>
        <v>0</v>
      </c>
      <c r="G54" s="90">
        <f t="shared" si="88"/>
        <v>0</v>
      </c>
      <c r="H54" s="90">
        <f t="shared" si="88"/>
        <v>0</v>
      </c>
      <c r="I54" s="90">
        <f t="shared" si="88"/>
        <v>0</v>
      </c>
      <c r="J54" s="90">
        <f t="shared" si="88"/>
        <v>0</v>
      </c>
      <c r="K54" s="1115">
        <f t="shared" si="88"/>
        <v>0</v>
      </c>
      <c r="L54" s="90">
        <f t="shared" si="88"/>
        <v>0</v>
      </c>
      <c r="M54" s="90">
        <f t="shared" si="88"/>
        <v>0</v>
      </c>
      <c r="N54" s="90">
        <f t="shared" si="88"/>
        <v>0</v>
      </c>
      <c r="O54" s="90">
        <f t="shared" si="88"/>
        <v>0</v>
      </c>
      <c r="P54" s="1115">
        <f t="shared" si="88"/>
        <v>0</v>
      </c>
      <c r="Q54" s="90">
        <f t="shared" si="88"/>
        <v>0</v>
      </c>
      <c r="R54" s="90">
        <f t="shared" si="88"/>
        <v>0</v>
      </c>
      <c r="S54" s="90">
        <f t="shared" si="88"/>
        <v>0</v>
      </c>
      <c r="T54" s="90">
        <f t="shared" si="88"/>
        <v>0</v>
      </c>
      <c r="U54" s="1115">
        <f t="shared" si="88"/>
        <v>0</v>
      </c>
      <c r="V54" s="90">
        <f t="shared" si="88"/>
        <v>0</v>
      </c>
      <c r="W54" s="90">
        <f t="shared" si="88"/>
        <v>0</v>
      </c>
      <c r="X54" s="90">
        <f t="shared" si="88"/>
        <v>0</v>
      </c>
      <c r="Y54" s="90">
        <f t="shared" si="88"/>
        <v>0</v>
      </c>
      <c r="Z54" s="1115">
        <f t="shared" si="88"/>
        <v>0</v>
      </c>
      <c r="AA54" s="90">
        <f t="shared" si="88"/>
        <v>0</v>
      </c>
      <c r="AB54" s="90">
        <f t="shared" si="88"/>
        <v>0</v>
      </c>
      <c r="AC54" s="90">
        <f t="shared" si="88"/>
        <v>0</v>
      </c>
      <c r="AD54" s="90">
        <f t="shared" si="88"/>
        <v>0</v>
      </c>
      <c r="AE54" s="1115">
        <f t="shared" si="88"/>
        <v>0</v>
      </c>
      <c r="AF54" s="90">
        <f t="shared" si="88"/>
        <v>0</v>
      </c>
      <c r="AG54" s="90">
        <f t="shared" si="88"/>
        <v>0</v>
      </c>
      <c r="AH54" s="90">
        <f t="shared" si="88"/>
        <v>0</v>
      </c>
      <c r="AI54" s="90">
        <f t="shared" si="88"/>
        <v>0</v>
      </c>
      <c r="AJ54" s="1115">
        <f t="shared" si="88"/>
        <v>0</v>
      </c>
      <c r="AK54" s="90">
        <f t="shared" si="88"/>
        <v>0</v>
      </c>
      <c r="AL54" s="90">
        <f t="shared" si="88"/>
        <v>0</v>
      </c>
      <c r="AM54" s="90">
        <f t="shared" si="88"/>
        <v>0</v>
      </c>
      <c r="AN54" s="90">
        <f t="shared" si="88"/>
        <v>0</v>
      </c>
      <c r="AO54" s="1115">
        <f t="shared" si="88"/>
        <v>0</v>
      </c>
      <c r="AP54" s="90">
        <f t="shared" si="88"/>
        <v>0</v>
      </c>
      <c r="AQ54" s="90">
        <f t="shared" si="88"/>
        <v>0</v>
      </c>
      <c r="AR54" s="90">
        <f t="shared" si="88"/>
        <v>0</v>
      </c>
      <c r="AS54" s="90">
        <f t="shared" si="88"/>
        <v>0</v>
      </c>
      <c r="AT54" s="1115">
        <f t="shared" si="88"/>
        <v>0</v>
      </c>
      <c r="AU54" s="90">
        <f t="shared" si="88"/>
        <v>3.2467532467532468E-4</v>
      </c>
      <c r="AV54" s="90">
        <f t="shared" si="88"/>
        <v>6.3372995344024838E-2</v>
      </c>
      <c r="AW54" s="90">
        <f t="shared" si="88"/>
        <v>1.8197206940330089E-2</v>
      </c>
      <c r="AX54" s="90">
        <f t="shared" si="88"/>
        <v>1.8388966620027983E-2</v>
      </c>
      <c r="AY54" s="1115">
        <f t="shared" si="88"/>
        <v>2.5487256371814093E-2</v>
      </c>
      <c r="AZ54" s="90">
        <f t="shared" si="88"/>
        <v>1.5368309485956544E-2</v>
      </c>
      <c r="BA54" s="90">
        <f t="shared" si="88"/>
        <v>1.3216536038112802E-2</v>
      </c>
      <c r="BB54" s="90">
        <f t="shared" si="88"/>
        <v>1.2107560185836971E-2</v>
      </c>
      <c r="BC54" s="90">
        <f t="shared" si="88"/>
        <v>1.1252126128483579E-2</v>
      </c>
      <c r="BD54" s="1115">
        <f t="shared" si="88"/>
        <v>1.2781452032399495E-2</v>
      </c>
      <c r="BE54" s="90">
        <f t="shared" ref="BE54:BJ54" si="89">BE53/BE44</f>
        <v>1.1341698841698842E-2</v>
      </c>
      <c r="BF54" s="90">
        <f t="shared" si="89"/>
        <v>1.8048926014319809E-2</v>
      </c>
      <c r="BG54" s="90">
        <f t="shared" si="89"/>
        <v>2.0232675771370764E-2</v>
      </c>
      <c r="BH54" s="90">
        <f t="shared" si="89"/>
        <v>1.983143282102132E-2</v>
      </c>
      <c r="BI54" s="1115">
        <f t="shared" si="89"/>
        <v>1.6868095202787869E-2</v>
      </c>
      <c r="BJ54" s="90">
        <f t="shared" si="89"/>
        <v>1.6546162402669633E-2</v>
      </c>
      <c r="BK54" s="90">
        <f t="shared" ref="BK54:BP54" si="90">BK53/BK44</f>
        <v>8.8102465388317161E-3</v>
      </c>
      <c r="BL54" s="90">
        <f t="shared" si="90"/>
        <v>6.5673289183222957E-3</v>
      </c>
      <c r="BM54" s="90">
        <f t="shared" si="90"/>
        <v>5.3838845405601047E-3</v>
      </c>
      <c r="BN54" s="1115">
        <f t="shared" si="90"/>
        <v>7.829683858047996E-3</v>
      </c>
      <c r="BO54" s="90">
        <f t="shared" si="90"/>
        <v>4.5691906005221935E-3</v>
      </c>
      <c r="BP54" s="90">
        <f t="shared" si="90"/>
        <v>3.9280958721704395E-3</v>
      </c>
      <c r="BQ54" s="90">
        <f t="shared" ref="BQ54:BV54" si="91">BQ53/BQ44</f>
        <v>3.3065389658514339E-3</v>
      </c>
      <c r="BR54" s="90">
        <f t="shared" si="91"/>
        <v>3.0001779766596322E-3</v>
      </c>
      <c r="BS54" s="1115">
        <f t="shared" si="91"/>
        <v>3.616941385625723E-3</v>
      </c>
      <c r="BT54" s="90">
        <f t="shared" si="91"/>
        <v>2.7915210385366074E-3</v>
      </c>
      <c r="BU54" s="90">
        <f t="shared" si="91"/>
        <v>1.0482853047515137E-3</v>
      </c>
      <c r="BV54" s="90">
        <f t="shared" si="91"/>
        <v>8.4201662982843909E-4</v>
      </c>
      <c r="BW54" s="90">
        <f>BW53/BW44</f>
        <v>7.0456647144304021E-4</v>
      </c>
      <c r="BX54" s="1115">
        <f>BX53/BX44</f>
        <v>1.2364660226546508E-3</v>
      </c>
      <c r="BY54" s="892">
        <f>BY53/BY44</f>
        <v>5.7587453286773267E-4</v>
      </c>
      <c r="BZ54" s="1060">
        <v>1E-3</v>
      </c>
      <c r="CA54" s="1060">
        <v>1E-3</v>
      </c>
      <c r="CB54" s="1060">
        <v>1E-3</v>
      </c>
      <c r="CC54" s="1115">
        <f>CC53/CC44</f>
        <v>9.0333307231540733E-4</v>
      </c>
      <c r="CD54" s="1060">
        <v>1E-3</v>
      </c>
      <c r="CE54" s="1060">
        <v>1E-3</v>
      </c>
      <c r="CF54" s="1060">
        <v>1E-3</v>
      </c>
      <c r="CG54" s="1060">
        <v>1E-3</v>
      </c>
      <c r="CH54" s="1115">
        <f>CH53/CH44</f>
        <v>1E-3</v>
      </c>
      <c r="CI54" s="1129">
        <v>2E-3</v>
      </c>
      <c r="CJ54" s="1129">
        <v>2E-3</v>
      </c>
      <c r="CK54" s="1129">
        <v>2E-3</v>
      </c>
      <c r="CL54" s="155"/>
    </row>
    <row r="55" spans="1:90" outlineLevel="1" x14ac:dyDescent="0.3">
      <c r="A55" s="572" t="s">
        <v>704</v>
      </c>
      <c r="B55" s="598"/>
      <c r="C55" s="1112">
        <f t="shared" ref="C55:BD55" si="92">-C377</f>
        <v>181.85</v>
      </c>
      <c r="D55" s="1112">
        <f t="shared" si="92"/>
        <v>95.240000000000009</v>
      </c>
      <c r="E55" s="1112">
        <f t="shared" si="92"/>
        <v>181.19300000000001</v>
      </c>
      <c r="F55" s="1112">
        <f t="shared" si="92"/>
        <v>7.3000000000000007</v>
      </c>
      <c r="G55" s="68">
        <f t="shared" si="92"/>
        <v>0</v>
      </c>
      <c r="H55" s="68">
        <f t="shared" si="92"/>
        <v>0</v>
      </c>
      <c r="I55" s="68">
        <f t="shared" si="92"/>
        <v>0</v>
      </c>
      <c r="J55" s="68">
        <f t="shared" si="92"/>
        <v>0</v>
      </c>
      <c r="K55" s="1112">
        <f t="shared" si="92"/>
        <v>0</v>
      </c>
      <c r="L55" s="68">
        <f t="shared" si="92"/>
        <v>0</v>
      </c>
      <c r="M55" s="68">
        <f t="shared" si="92"/>
        <v>2.29</v>
      </c>
      <c r="N55" s="68">
        <f t="shared" si="92"/>
        <v>0</v>
      </c>
      <c r="O55" s="68">
        <f t="shared" si="92"/>
        <v>-6.3319999999999999</v>
      </c>
      <c r="P55" s="1112">
        <f t="shared" si="92"/>
        <v>-4.0419999999999998</v>
      </c>
      <c r="Q55" s="68">
        <f t="shared" si="92"/>
        <v>0</v>
      </c>
      <c r="R55" s="68">
        <f t="shared" si="92"/>
        <v>0</v>
      </c>
      <c r="S55" s="68">
        <f t="shared" si="92"/>
        <v>0</v>
      </c>
      <c r="T55" s="68">
        <f t="shared" si="92"/>
        <v>0</v>
      </c>
      <c r="U55" s="1112">
        <f t="shared" si="92"/>
        <v>0</v>
      </c>
      <c r="V55" s="68">
        <f t="shared" si="92"/>
        <v>0</v>
      </c>
      <c r="W55" s="68">
        <f t="shared" si="92"/>
        <v>15</v>
      </c>
      <c r="X55" s="68">
        <f t="shared" si="92"/>
        <v>0</v>
      </c>
      <c r="Y55" s="68">
        <f t="shared" si="92"/>
        <v>5</v>
      </c>
      <c r="Z55" s="1112">
        <f t="shared" si="92"/>
        <v>20</v>
      </c>
      <c r="AA55" s="68">
        <f t="shared" si="92"/>
        <v>10</v>
      </c>
      <c r="AB55" s="68">
        <f t="shared" si="92"/>
        <v>0</v>
      </c>
      <c r="AC55" s="68">
        <f t="shared" si="92"/>
        <v>0</v>
      </c>
      <c r="AD55" s="68">
        <f t="shared" si="92"/>
        <v>0</v>
      </c>
      <c r="AE55" s="1112">
        <f t="shared" si="92"/>
        <v>10</v>
      </c>
      <c r="AF55" s="68">
        <f t="shared" si="92"/>
        <v>0</v>
      </c>
      <c r="AG55" s="68">
        <f t="shared" si="92"/>
        <v>0</v>
      </c>
      <c r="AH55" s="68">
        <f t="shared" si="92"/>
        <v>0</v>
      </c>
      <c r="AI55" s="68">
        <f t="shared" si="92"/>
        <v>1</v>
      </c>
      <c r="AJ55" s="1112">
        <f t="shared" si="92"/>
        <v>1</v>
      </c>
      <c r="AK55" s="68">
        <f t="shared" si="92"/>
        <v>0</v>
      </c>
      <c r="AL55" s="68">
        <f t="shared" si="92"/>
        <v>0</v>
      </c>
      <c r="AM55" s="68">
        <f t="shared" si="92"/>
        <v>14</v>
      </c>
      <c r="AN55" s="68">
        <f t="shared" si="92"/>
        <v>21</v>
      </c>
      <c r="AO55" s="1112">
        <f t="shared" si="92"/>
        <v>35</v>
      </c>
      <c r="AP55" s="68">
        <f t="shared" si="92"/>
        <v>10</v>
      </c>
      <c r="AQ55" s="68">
        <f t="shared" si="92"/>
        <v>2</v>
      </c>
      <c r="AR55" s="68">
        <f t="shared" si="92"/>
        <v>0</v>
      </c>
      <c r="AS55" s="68">
        <f t="shared" si="92"/>
        <v>3</v>
      </c>
      <c r="AT55" s="1112">
        <f t="shared" si="92"/>
        <v>14</v>
      </c>
      <c r="AU55" s="68">
        <f t="shared" si="92"/>
        <v>0</v>
      </c>
      <c r="AV55" s="68">
        <f t="shared" si="92"/>
        <v>17</v>
      </c>
      <c r="AW55" s="68">
        <f t="shared" si="92"/>
        <v>21</v>
      </c>
      <c r="AX55" s="68">
        <f t="shared" si="92"/>
        <v>1</v>
      </c>
      <c r="AY55" s="1112">
        <f t="shared" si="92"/>
        <v>38</v>
      </c>
      <c r="AZ55" s="68">
        <f>-AZ377</f>
        <v>5</v>
      </c>
      <c r="BA55" s="68">
        <f>-BA377</f>
        <v>4</v>
      </c>
      <c r="BB55" s="68">
        <f>-BB377</f>
        <v>0</v>
      </c>
      <c r="BC55" s="68">
        <f>-BC377</f>
        <v>0</v>
      </c>
      <c r="BD55" s="1112">
        <f t="shared" si="92"/>
        <v>9</v>
      </c>
      <c r="BE55" s="68">
        <f t="shared" ref="BE55:BJ55" si="93">-BE377</f>
        <v>0</v>
      </c>
      <c r="BF55" s="68">
        <f t="shared" si="93"/>
        <v>0</v>
      </c>
      <c r="BG55" s="68">
        <f t="shared" si="93"/>
        <v>0</v>
      </c>
      <c r="BH55" s="68">
        <f t="shared" si="93"/>
        <v>16</v>
      </c>
      <c r="BI55" s="1112">
        <f t="shared" si="93"/>
        <v>16</v>
      </c>
      <c r="BJ55" s="68">
        <f t="shared" si="93"/>
        <v>8</v>
      </c>
      <c r="BK55" s="68">
        <f t="shared" ref="BK55:BP55" si="94">-BK377</f>
        <v>2</v>
      </c>
      <c r="BL55" s="68">
        <f t="shared" si="94"/>
        <v>26</v>
      </c>
      <c r="BM55" s="68">
        <f t="shared" si="94"/>
        <v>4</v>
      </c>
      <c r="BN55" s="1112">
        <f t="shared" si="94"/>
        <v>40</v>
      </c>
      <c r="BO55" s="68">
        <f t="shared" si="94"/>
        <v>-1</v>
      </c>
      <c r="BP55" s="68">
        <f t="shared" si="94"/>
        <v>-3</v>
      </c>
      <c r="BQ55" s="68">
        <f t="shared" ref="BQ55:BV55" si="95">-BQ377</f>
        <v>0</v>
      </c>
      <c r="BR55" s="68">
        <f t="shared" si="95"/>
        <v>0</v>
      </c>
      <c r="BS55" s="1112">
        <f t="shared" si="95"/>
        <v>-3</v>
      </c>
      <c r="BT55" s="68">
        <f t="shared" si="95"/>
        <v>3</v>
      </c>
      <c r="BU55" s="68">
        <f t="shared" si="95"/>
        <v>0</v>
      </c>
      <c r="BV55" s="68">
        <f t="shared" si="95"/>
        <v>0</v>
      </c>
      <c r="BW55" s="68">
        <f>-BW377</f>
        <v>-1</v>
      </c>
      <c r="BX55" s="1112">
        <f>-BX377</f>
        <v>3</v>
      </c>
      <c r="BY55" s="588">
        <f>-BY377</f>
        <v>28</v>
      </c>
      <c r="BZ55" s="1055">
        <v>0</v>
      </c>
      <c r="CA55" s="1055">
        <v>0</v>
      </c>
      <c r="CB55" s="1055">
        <v>0</v>
      </c>
      <c r="CC55" s="1112">
        <f>SUM(BY55,BZ55,CA55,CB55)</f>
        <v>28</v>
      </c>
      <c r="CD55" s="1055">
        <v>0</v>
      </c>
      <c r="CE55" s="1055">
        <v>0</v>
      </c>
      <c r="CF55" s="1055">
        <v>0</v>
      </c>
      <c r="CG55" s="1055">
        <v>0</v>
      </c>
      <c r="CH55" s="1112">
        <f>SUM(CD55,CE55,CF55,CG55)</f>
        <v>0</v>
      </c>
      <c r="CI55" s="1113">
        <v>0</v>
      </c>
      <c r="CJ55" s="1113">
        <v>0</v>
      </c>
      <c r="CK55" s="1113">
        <v>0</v>
      </c>
      <c r="CL55" s="155"/>
    </row>
    <row r="56" spans="1:90" outlineLevel="1" x14ac:dyDescent="0.3">
      <c r="A56" s="644" t="s">
        <v>706</v>
      </c>
      <c r="B56" s="645"/>
      <c r="C56" s="1130">
        <f t="shared" ref="C56:AY56" si="96">C45-C51-C53-C55</f>
        <v>2056.8010000000004</v>
      </c>
      <c r="D56" s="1130">
        <f t="shared" si="96"/>
        <v>2042.2319999999997</v>
      </c>
      <c r="E56" s="1130">
        <f t="shared" si="96"/>
        <v>1944.7180000000001</v>
      </c>
      <c r="F56" s="1130">
        <f t="shared" si="96"/>
        <v>1922.7910000000002</v>
      </c>
      <c r="G56" s="646">
        <f t="shared" si="96"/>
        <v>458.98699999999997</v>
      </c>
      <c r="H56" s="646">
        <f t="shared" si="96"/>
        <v>500.90199999999999</v>
      </c>
      <c r="I56" s="646">
        <f t="shared" si="96"/>
        <v>564.96299999999997</v>
      </c>
      <c r="J56" s="646">
        <f t="shared" si="96"/>
        <v>518.47399999999993</v>
      </c>
      <c r="K56" s="1130">
        <f t="shared" si="96"/>
        <v>2043.3259999999998</v>
      </c>
      <c r="L56" s="646">
        <f t="shared" si="96"/>
        <v>433.51799999999997</v>
      </c>
      <c r="M56" s="646">
        <f t="shared" si="96"/>
        <v>427.24199999999996</v>
      </c>
      <c r="N56" s="646">
        <f t="shared" si="96"/>
        <v>466.46200000000005</v>
      </c>
      <c r="O56" s="646">
        <f t="shared" si="96"/>
        <v>528.53099999999972</v>
      </c>
      <c r="P56" s="1130">
        <f t="shared" si="96"/>
        <v>1855.7529999999997</v>
      </c>
      <c r="Q56" s="646">
        <f t="shared" si="96"/>
        <v>496</v>
      </c>
      <c r="R56" s="646">
        <f t="shared" si="96"/>
        <v>481</v>
      </c>
      <c r="S56" s="646">
        <f t="shared" si="96"/>
        <v>545</v>
      </c>
      <c r="T56" s="646">
        <f t="shared" si="96"/>
        <v>547</v>
      </c>
      <c r="U56" s="1130">
        <f t="shared" si="96"/>
        <v>2071</v>
      </c>
      <c r="V56" s="646">
        <f t="shared" si="96"/>
        <v>496</v>
      </c>
      <c r="W56" s="646">
        <f t="shared" si="96"/>
        <v>501</v>
      </c>
      <c r="X56" s="646">
        <f t="shared" si="96"/>
        <v>567</v>
      </c>
      <c r="Y56" s="646">
        <f t="shared" si="96"/>
        <v>600</v>
      </c>
      <c r="Z56" s="1130">
        <f t="shared" si="96"/>
        <v>2164</v>
      </c>
      <c r="AA56" s="646">
        <f t="shared" si="96"/>
        <v>540</v>
      </c>
      <c r="AB56" s="646">
        <f t="shared" si="96"/>
        <v>598</v>
      </c>
      <c r="AC56" s="646">
        <f t="shared" si="96"/>
        <v>818</v>
      </c>
      <c r="AD56" s="646">
        <f t="shared" si="96"/>
        <v>866</v>
      </c>
      <c r="AE56" s="1130">
        <f t="shared" si="96"/>
        <v>2822</v>
      </c>
      <c r="AF56" s="646">
        <f t="shared" si="96"/>
        <v>783</v>
      </c>
      <c r="AG56" s="646">
        <f t="shared" si="96"/>
        <v>924</v>
      </c>
      <c r="AH56" s="646">
        <f t="shared" si="96"/>
        <v>1061</v>
      </c>
      <c r="AI56" s="646">
        <f t="shared" si="96"/>
        <v>1102</v>
      </c>
      <c r="AJ56" s="1130">
        <f t="shared" si="96"/>
        <v>3870</v>
      </c>
      <c r="AK56" s="646">
        <f t="shared" si="96"/>
        <v>1131</v>
      </c>
      <c r="AL56" s="646">
        <f t="shared" si="96"/>
        <v>1140</v>
      </c>
      <c r="AM56" s="646">
        <f t="shared" si="96"/>
        <v>1241</v>
      </c>
      <c r="AN56" s="646">
        <f t="shared" si="96"/>
        <v>971</v>
      </c>
      <c r="AO56" s="1130">
        <f t="shared" si="96"/>
        <v>4483</v>
      </c>
      <c r="AP56" s="646">
        <f t="shared" si="96"/>
        <v>910</v>
      </c>
      <c r="AQ56" s="646">
        <f t="shared" si="96"/>
        <v>1028</v>
      </c>
      <c r="AR56" s="646">
        <f t="shared" si="96"/>
        <v>1083</v>
      </c>
      <c r="AS56" s="646">
        <f t="shared" si="96"/>
        <v>1075</v>
      </c>
      <c r="AT56" s="1130">
        <f t="shared" si="96"/>
        <v>4097</v>
      </c>
      <c r="AU56" s="646">
        <f t="shared" si="96"/>
        <v>1054</v>
      </c>
      <c r="AV56" s="646">
        <f t="shared" si="96"/>
        <v>1315</v>
      </c>
      <c r="AW56" s="646">
        <f t="shared" si="96"/>
        <v>1631</v>
      </c>
      <c r="AX56" s="646">
        <f t="shared" si="96"/>
        <v>1727</v>
      </c>
      <c r="AY56" s="1130">
        <f t="shared" si="96"/>
        <v>5728</v>
      </c>
      <c r="AZ56" s="646">
        <f t="shared" ref="AZ56:BG56" si="97">AZ45-AZ51-AZ53-AZ55</f>
        <v>1915</v>
      </c>
      <c r="BA56" s="646">
        <f t="shared" si="97"/>
        <v>2170</v>
      </c>
      <c r="BB56" s="646">
        <f t="shared" si="97"/>
        <v>2342</v>
      </c>
      <c r="BC56" s="646">
        <f t="shared" si="97"/>
        <v>2519</v>
      </c>
      <c r="BD56" s="1130">
        <f t="shared" si="97"/>
        <v>8945</v>
      </c>
      <c r="BE56" s="646">
        <f t="shared" si="97"/>
        <v>2725</v>
      </c>
      <c r="BF56" s="646">
        <f t="shared" si="97"/>
        <v>3630</v>
      </c>
      <c r="BG56" s="646">
        <f t="shared" si="97"/>
        <v>2602</v>
      </c>
      <c r="BH56" s="646">
        <f t="shared" ref="BH56:BN56" si="98">BH45-BH51-BH53-BH55</f>
        <v>2052</v>
      </c>
      <c r="BI56" s="1130">
        <f t="shared" si="98"/>
        <v>11009</v>
      </c>
      <c r="BJ56" s="646">
        <f t="shared" si="98"/>
        <v>2390</v>
      </c>
      <c r="BK56" s="646">
        <f t="shared" si="98"/>
        <v>3893</v>
      </c>
      <c r="BL56" s="646">
        <f t="shared" si="98"/>
        <v>4537</v>
      </c>
      <c r="BM56" s="646">
        <f t="shared" si="98"/>
        <v>5144</v>
      </c>
      <c r="BN56" s="1130">
        <f t="shared" si="98"/>
        <v>15963</v>
      </c>
      <c r="BO56" s="646">
        <f t="shared" ref="BO56:BT56" si="99">BO45-BO51-BO53-BO55</f>
        <v>5484</v>
      </c>
      <c r="BP56" s="646">
        <f t="shared" si="99"/>
        <v>7311</v>
      </c>
      <c r="BQ56" s="646">
        <f t="shared" si="99"/>
        <v>8760</v>
      </c>
      <c r="BR56" s="646">
        <f t="shared" si="99"/>
        <v>10437</v>
      </c>
      <c r="BS56" s="1130">
        <f t="shared" si="99"/>
        <v>31992</v>
      </c>
      <c r="BT56" s="646">
        <f t="shared" si="99"/>
        <v>17204</v>
      </c>
      <c r="BU56" s="646">
        <f>BU45-BU51-BU53-BU55</f>
        <v>12783</v>
      </c>
      <c r="BV56" s="646">
        <f>BV45-BV51-BV53-BV55</f>
        <v>15039</v>
      </c>
      <c r="BW56" s="646">
        <f>BW45-BW51-BW53-BW55</f>
        <v>16918</v>
      </c>
      <c r="BX56" s="1130">
        <f>BX45-BX51-BX53-BX55</f>
        <v>61944</v>
      </c>
      <c r="BY56" s="898">
        <f>BY45-BY51-BY53-BY55</f>
        <v>20383</v>
      </c>
      <c r="BZ56" s="646">
        <f>BZ44-BZ57</f>
        <v>22776.484347161924</v>
      </c>
      <c r="CA56" s="646">
        <f>CA44-CA57</f>
        <v>23233.098236185659</v>
      </c>
      <c r="CB56" s="646">
        <f>CB44-CB57</f>
        <v>22403.276893060014</v>
      </c>
      <c r="CC56" s="1130">
        <f>SUM(BY56,BZ56,CA56,CB56)</f>
        <v>88795.859476407597</v>
      </c>
      <c r="CD56" s="646">
        <f>CD44-CD57</f>
        <v>26354.058930956322</v>
      </c>
      <c r="CE56" s="646">
        <f>CE44-CE57</f>
        <v>29472.97198614091</v>
      </c>
      <c r="CF56" s="646">
        <f>CF44-CF57</f>
        <v>28984.561532554464</v>
      </c>
      <c r="CG56" s="646">
        <f>CG44-CG57</f>
        <v>27869.717137953005</v>
      </c>
      <c r="CH56" s="1130">
        <f>SUM(CD56,CE56,CF56,CG56)</f>
        <v>112681.3095876047</v>
      </c>
      <c r="CI56" s="1130">
        <f>CI44-CI57</f>
        <v>134403.10899348353</v>
      </c>
      <c r="CJ56" s="1130">
        <f>CJ44-CJ57</f>
        <v>157878.94160206558</v>
      </c>
      <c r="CK56" s="1130">
        <f>CK44-CK57</f>
        <v>185508.75137916789</v>
      </c>
      <c r="CL56" s="155"/>
    </row>
    <row r="57" spans="1:90" x14ac:dyDescent="0.3">
      <c r="A57" s="631" t="s">
        <v>705</v>
      </c>
      <c r="B57" s="599"/>
      <c r="C57" s="1124">
        <f t="shared" ref="C57:AY57" si="100">C44-C56</f>
        <v>1368.0579999999995</v>
      </c>
      <c r="D57" s="1124">
        <f t="shared" si="100"/>
        <v>1284.2130000000004</v>
      </c>
      <c r="E57" s="1124">
        <f t="shared" si="100"/>
        <v>1598.5910000000001</v>
      </c>
      <c r="F57" s="1124">
        <f t="shared" si="100"/>
        <v>2075.1389999999997</v>
      </c>
      <c r="G57" s="61">
        <f t="shared" si="100"/>
        <v>465.89</v>
      </c>
      <c r="H57" s="61">
        <f t="shared" si="100"/>
        <v>543.36799999999994</v>
      </c>
      <c r="I57" s="61">
        <f t="shared" si="100"/>
        <v>639.14699999999993</v>
      </c>
      <c r="J57" s="61">
        <f t="shared" si="100"/>
        <v>588.42799999999988</v>
      </c>
      <c r="K57" s="1124">
        <f t="shared" si="100"/>
        <v>2236.8329999999996</v>
      </c>
      <c r="L57" s="61">
        <f t="shared" si="100"/>
        <v>521.221</v>
      </c>
      <c r="M57" s="61">
        <f t="shared" si="100"/>
        <v>549.99600000000009</v>
      </c>
      <c r="N57" s="61">
        <f t="shared" si="100"/>
        <v>587.50500000000011</v>
      </c>
      <c r="O57" s="61">
        <f t="shared" si="100"/>
        <v>615.68700000000058</v>
      </c>
      <c r="P57" s="1124">
        <f t="shared" si="100"/>
        <v>2274.2470000000003</v>
      </c>
      <c r="Q57" s="61">
        <f t="shared" si="100"/>
        <v>607</v>
      </c>
      <c r="R57" s="61">
        <f t="shared" si="100"/>
        <v>622</v>
      </c>
      <c r="S57" s="61">
        <f t="shared" si="100"/>
        <v>680</v>
      </c>
      <c r="T57" s="61">
        <f t="shared" si="100"/>
        <v>704</v>
      </c>
      <c r="U57" s="1124">
        <f t="shared" si="100"/>
        <v>2611</v>
      </c>
      <c r="V57" s="61">
        <f t="shared" si="100"/>
        <v>655</v>
      </c>
      <c r="W57" s="61">
        <f t="shared" si="100"/>
        <v>652</v>
      </c>
      <c r="X57" s="61">
        <f t="shared" si="100"/>
        <v>738</v>
      </c>
      <c r="Y57" s="61">
        <f t="shared" si="100"/>
        <v>801</v>
      </c>
      <c r="Z57" s="1124">
        <f t="shared" si="100"/>
        <v>2846</v>
      </c>
      <c r="AA57" s="61">
        <f t="shared" si="100"/>
        <v>765</v>
      </c>
      <c r="AB57" s="61">
        <f t="shared" si="100"/>
        <v>830</v>
      </c>
      <c r="AC57" s="61">
        <f t="shared" si="100"/>
        <v>1186</v>
      </c>
      <c r="AD57" s="61">
        <f t="shared" si="100"/>
        <v>1307</v>
      </c>
      <c r="AE57" s="1124">
        <f t="shared" si="100"/>
        <v>4088</v>
      </c>
      <c r="AF57" s="61">
        <f t="shared" si="100"/>
        <v>1154</v>
      </c>
      <c r="AG57" s="61">
        <f t="shared" si="100"/>
        <v>1306</v>
      </c>
      <c r="AH57" s="61">
        <f t="shared" si="100"/>
        <v>1575</v>
      </c>
      <c r="AI57" s="61">
        <f t="shared" si="100"/>
        <v>1809</v>
      </c>
      <c r="AJ57" s="1124">
        <f t="shared" si="100"/>
        <v>5844</v>
      </c>
      <c r="AK57" s="61">
        <f t="shared" si="100"/>
        <v>2076</v>
      </c>
      <c r="AL57" s="61">
        <f t="shared" si="100"/>
        <v>1983</v>
      </c>
      <c r="AM57" s="61">
        <f t="shared" si="100"/>
        <v>1940</v>
      </c>
      <c r="AN57" s="61">
        <f t="shared" si="100"/>
        <v>1234</v>
      </c>
      <c r="AO57" s="1124">
        <f t="shared" si="100"/>
        <v>7233</v>
      </c>
      <c r="AP57" s="61">
        <f t="shared" si="100"/>
        <v>1310</v>
      </c>
      <c r="AQ57" s="61">
        <f t="shared" si="100"/>
        <v>1551</v>
      </c>
      <c r="AR57" s="61">
        <f t="shared" si="100"/>
        <v>1931</v>
      </c>
      <c r="AS57" s="61">
        <f t="shared" si="100"/>
        <v>2030</v>
      </c>
      <c r="AT57" s="1124">
        <f t="shared" si="100"/>
        <v>6821</v>
      </c>
      <c r="AU57" s="61">
        <f t="shared" si="100"/>
        <v>2026</v>
      </c>
      <c r="AV57" s="61">
        <f t="shared" si="100"/>
        <v>2551</v>
      </c>
      <c r="AW57" s="61">
        <f t="shared" si="100"/>
        <v>3095</v>
      </c>
      <c r="AX57" s="61">
        <f t="shared" si="100"/>
        <v>3276</v>
      </c>
      <c r="AY57" s="1124">
        <f t="shared" si="100"/>
        <v>10947</v>
      </c>
      <c r="AZ57" s="61">
        <f t="shared" ref="AZ57:BG57" si="101">AZ44-AZ56</f>
        <v>3746</v>
      </c>
      <c r="BA57" s="61">
        <f t="shared" si="101"/>
        <v>4337</v>
      </c>
      <c r="BB57" s="61">
        <f t="shared" si="101"/>
        <v>4761</v>
      </c>
      <c r="BC57" s="61">
        <f t="shared" si="101"/>
        <v>5124</v>
      </c>
      <c r="BD57" s="1124">
        <f t="shared" si="101"/>
        <v>17969</v>
      </c>
      <c r="BE57" s="61">
        <f t="shared" si="101"/>
        <v>5563</v>
      </c>
      <c r="BF57" s="61">
        <f t="shared" si="101"/>
        <v>3074</v>
      </c>
      <c r="BG57" s="61">
        <f t="shared" si="101"/>
        <v>3329</v>
      </c>
      <c r="BH57" s="61">
        <f t="shared" ref="BH57:BN57" si="102">BH44-BH56</f>
        <v>3999</v>
      </c>
      <c r="BI57" s="1124">
        <f t="shared" si="102"/>
        <v>15965</v>
      </c>
      <c r="BJ57" s="61">
        <f t="shared" si="102"/>
        <v>4802</v>
      </c>
      <c r="BK57" s="61">
        <f t="shared" si="102"/>
        <v>9614</v>
      </c>
      <c r="BL57" s="61">
        <f t="shared" si="102"/>
        <v>13583</v>
      </c>
      <c r="BM57" s="61">
        <f t="shared" si="102"/>
        <v>16959</v>
      </c>
      <c r="BN57" s="1124">
        <f t="shared" si="102"/>
        <v>44959</v>
      </c>
      <c r="BO57" s="61">
        <f t="shared" ref="BO57:BT57" si="103">BO44-BO56</f>
        <v>20560</v>
      </c>
      <c r="BP57" s="61">
        <f t="shared" si="103"/>
        <v>22729</v>
      </c>
      <c r="BQ57" s="61">
        <f t="shared" si="103"/>
        <v>26322</v>
      </c>
      <c r="BR57" s="61">
        <f t="shared" si="103"/>
        <v>28894</v>
      </c>
      <c r="BS57" s="1124">
        <f t="shared" si="103"/>
        <v>98505</v>
      </c>
      <c r="BT57" s="61">
        <f t="shared" si="103"/>
        <v>26858</v>
      </c>
      <c r="BU57" s="61">
        <f>BU44-BU56</f>
        <v>33960</v>
      </c>
      <c r="BV57" s="61">
        <f>BV44-BV56</f>
        <v>41967</v>
      </c>
      <c r="BW57" s="61">
        <f>BW44-BW56</f>
        <v>51209</v>
      </c>
      <c r="BX57" s="1124">
        <f>BX44-BX56</f>
        <v>153994</v>
      </c>
      <c r="BY57" s="896">
        <f>BY44-BY56</f>
        <v>61232</v>
      </c>
      <c r="BZ57" s="61">
        <f>BZ44*BZ59</f>
        <v>68157.005652838066</v>
      </c>
      <c r="CA57" s="61">
        <f>CA44*CA59</f>
        <v>68302.70176381433</v>
      </c>
      <c r="CB57" s="61">
        <f>CB44*CB59</f>
        <v>71597.673106939983</v>
      </c>
      <c r="CC57" s="1124">
        <f>SUM(BY57,BZ57,CA57,CB57)</f>
        <v>269289.38052359241</v>
      </c>
      <c r="CD57" s="61">
        <f>CD44*CD59</f>
        <v>79169.491069043681</v>
      </c>
      <c r="CE57" s="61">
        <f>CE44*CE59</f>
        <v>88195.767513859086</v>
      </c>
      <c r="CF57" s="61">
        <f>CF44*CF59</f>
        <v>85211.35846744552</v>
      </c>
      <c r="CG57" s="61">
        <f>CG44*CG59</f>
        <v>89067.635362046974</v>
      </c>
      <c r="CH57" s="1124">
        <f>SUM(CD57,CE57,CF57,CG57)</f>
        <v>341644.25241239532</v>
      </c>
      <c r="CI57" s="1124">
        <f>CI44*CI59</f>
        <v>407503.69215651642</v>
      </c>
      <c r="CJ57" s="1124">
        <f>CJ44*CJ59</f>
        <v>478681.27529493428</v>
      </c>
      <c r="CK57" s="1124">
        <f>CK44*CK59</f>
        <v>562453.51525329216</v>
      </c>
      <c r="CL57" s="155"/>
    </row>
    <row r="58" spans="1:90" x14ac:dyDescent="0.3">
      <c r="A58" s="371" t="s">
        <v>716</v>
      </c>
      <c r="B58" s="582"/>
      <c r="C58" s="1115"/>
      <c r="D58" s="1115">
        <f t="shared" ref="D58:E58" si="104">D57/C57-1</f>
        <v>-6.1287606227220737E-2</v>
      </c>
      <c r="E58" s="1115">
        <f t="shared" si="104"/>
        <v>0.24480206943863636</v>
      </c>
      <c r="F58" s="1115">
        <f>F57/E57-1</f>
        <v>0.29810501873212059</v>
      </c>
      <c r="G58" s="90"/>
      <c r="H58" s="90"/>
      <c r="I58" s="90"/>
      <c r="J58" s="90"/>
      <c r="K58" s="1115">
        <f t="shared" ref="K58:AY58" si="105">K57/F57-1</f>
        <v>7.791959960272532E-2</v>
      </c>
      <c r="L58" s="90">
        <f t="shared" si="105"/>
        <v>0.11876408594303389</v>
      </c>
      <c r="M58" s="90">
        <f t="shared" si="105"/>
        <v>1.2197994729171047E-2</v>
      </c>
      <c r="N58" s="90">
        <f t="shared" si="105"/>
        <v>-8.0798314002881733E-2</v>
      </c>
      <c r="O58" s="90">
        <f t="shared" si="105"/>
        <v>4.6325123889415121E-2</v>
      </c>
      <c r="P58" s="1115">
        <f t="shared" si="105"/>
        <v>1.6726326909519251E-2</v>
      </c>
      <c r="Q58" s="90">
        <f t="shared" si="105"/>
        <v>0.16457318488702488</v>
      </c>
      <c r="R58" s="90">
        <f t="shared" si="105"/>
        <v>0.13091731576229626</v>
      </c>
      <c r="S58" s="90">
        <f t="shared" si="105"/>
        <v>0.15743695798333612</v>
      </c>
      <c r="T58" s="90">
        <f t="shared" si="105"/>
        <v>0.14343814308244185</v>
      </c>
      <c r="U58" s="1115">
        <f t="shared" si="105"/>
        <v>0.14807230700974849</v>
      </c>
      <c r="V58" s="90">
        <f t="shared" si="105"/>
        <v>7.9077429983525516E-2</v>
      </c>
      <c r="W58" s="90">
        <f t="shared" si="105"/>
        <v>4.8231511254019255E-2</v>
      </c>
      <c r="X58" s="90">
        <f t="shared" si="105"/>
        <v>8.5294117647058743E-2</v>
      </c>
      <c r="Y58" s="90">
        <f t="shared" si="105"/>
        <v>0.13778409090909083</v>
      </c>
      <c r="Z58" s="1115">
        <f t="shared" si="105"/>
        <v>9.0003829950210612E-2</v>
      </c>
      <c r="AA58" s="90">
        <f t="shared" si="105"/>
        <v>0.16793893129770998</v>
      </c>
      <c r="AB58" s="90">
        <f t="shared" si="105"/>
        <v>0.27300613496932513</v>
      </c>
      <c r="AC58" s="90">
        <f t="shared" si="105"/>
        <v>0.60704607046070458</v>
      </c>
      <c r="AD58" s="90">
        <f t="shared" si="105"/>
        <v>0.63171036204744069</v>
      </c>
      <c r="AE58" s="1115">
        <f t="shared" si="105"/>
        <v>0.43640196767392836</v>
      </c>
      <c r="AF58" s="90">
        <f t="shared" si="105"/>
        <v>0.50849673202614376</v>
      </c>
      <c r="AG58" s="90">
        <f t="shared" si="105"/>
        <v>0.57349397590361439</v>
      </c>
      <c r="AH58" s="90">
        <f t="shared" si="105"/>
        <v>0.32799325463743667</v>
      </c>
      <c r="AI58" s="90">
        <f t="shared" si="105"/>
        <v>0.38408569242540169</v>
      </c>
      <c r="AJ58" s="1115">
        <f t="shared" si="105"/>
        <v>0.42954990215264188</v>
      </c>
      <c r="AK58" s="90">
        <f t="shared" si="105"/>
        <v>0.79896013864818016</v>
      </c>
      <c r="AL58" s="90">
        <f t="shared" si="105"/>
        <v>0.51837672281776426</v>
      </c>
      <c r="AM58" s="90">
        <f t="shared" si="105"/>
        <v>0.23174603174603181</v>
      </c>
      <c r="AN58" s="90">
        <f t="shared" si="105"/>
        <v>-0.31785516860143725</v>
      </c>
      <c r="AO58" s="1115">
        <f t="shared" si="105"/>
        <v>0.23767967145790547</v>
      </c>
      <c r="AP58" s="90">
        <f t="shared" si="105"/>
        <v>-0.36897880539499039</v>
      </c>
      <c r="AQ58" s="90">
        <f t="shared" si="105"/>
        <v>-0.21785173978819972</v>
      </c>
      <c r="AR58" s="90">
        <f t="shared" si="105"/>
        <v>-4.6391752577319423E-3</v>
      </c>
      <c r="AS58" s="90">
        <f t="shared" si="105"/>
        <v>0.64505672609400322</v>
      </c>
      <c r="AT58" s="1115">
        <f t="shared" si="105"/>
        <v>-5.696115028342319E-2</v>
      </c>
      <c r="AU58" s="90">
        <f t="shared" si="105"/>
        <v>0.54656488549618332</v>
      </c>
      <c r="AV58" s="90">
        <f t="shared" si="105"/>
        <v>0.64474532559638953</v>
      </c>
      <c r="AW58" s="90">
        <f t="shared" si="105"/>
        <v>0.6027964785085449</v>
      </c>
      <c r="AX58" s="90">
        <f t="shared" si="105"/>
        <v>0.61379310344827576</v>
      </c>
      <c r="AY58" s="1115">
        <f t="shared" si="105"/>
        <v>0.60489664272100874</v>
      </c>
      <c r="AZ58" s="90">
        <f t="shared" ref="AZ58:BG58" si="106">AZ57/AU57-1</f>
        <v>0.84896347482724588</v>
      </c>
      <c r="BA58" s="90">
        <f t="shared" si="106"/>
        <v>0.70011760094080744</v>
      </c>
      <c r="BB58" s="90">
        <f t="shared" si="106"/>
        <v>0.53828756058158311</v>
      </c>
      <c r="BC58" s="90">
        <f t="shared" si="106"/>
        <v>0.5641025641025641</v>
      </c>
      <c r="BD58" s="1115">
        <f t="shared" si="106"/>
        <v>0.64145427971133651</v>
      </c>
      <c r="BE58" s="90">
        <f t="shared" si="106"/>
        <v>0.48505072076882016</v>
      </c>
      <c r="BF58" s="90">
        <f t="shared" si="106"/>
        <v>-0.29121512566290064</v>
      </c>
      <c r="BG58" s="90">
        <f t="shared" si="106"/>
        <v>-0.30077714765805508</v>
      </c>
      <c r="BH58" s="90">
        <f t="shared" ref="BH58:BI58" si="107">BH57/BC57-1</f>
        <v>-0.21955503512880559</v>
      </c>
      <c r="BI58" s="1115">
        <f t="shared" si="107"/>
        <v>-0.11152540486393236</v>
      </c>
      <c r="BJ58" s="90">
        <f t="shared" ref="BJ58:BN58" si="108">BJ57/BE57-1</f>
        <v>-0.13679669243214088</v>
      </c>
      <c r="BK58" s="90">
        <f t="shared" si="108"/>
        <v>2.1275211450878335</v>
      </c>
      <c r="BL58" s="90">
        <f t="shared" si="108"/>
        <v>3.0802042655452091</v>
      </c>
      <c r="BM58" s="90">
        <f t="shared" si="108"/>
        <v>3.2408102025506373</v>
      </c>
      <c r="BN58" s="1115">
        <f t="shared" si="108"/>
        <v>1.8160977137488254</v>
      </c>
      <c r="BO58" s="90">
        <f t="shared" ref="BO58:BS58" si="109">BO57/BJ57-1</f>
        <v>3.2815493544356515</v>
      </c>
      <c r="BP58" s="90">
        <f t="shared" si="109"/>
        <v>1.3641564385271479</v>
      </c>
      <c r="BQ58" s="90">
        <f t="shared" si="109"/>
        <v>0.93786350585290434</v>
      </c>
      <c r="BR58" s="90">
        <f t="shared" si="109"/>
        <v>0.70375611769561885</v>
      </c>
      <c r="BS58" s="1115">
        <f t="shared" si="109"/>
        <v>1.1909962410195956</v>
      </c>
      <c r="BT58" s="90">
        <f t="shared" ref="BT58:CH58" si="110">BT57/BO57-1</f>
        <v>0.3063229571984436</v>
      </c>
      <c r="BU58" s="90">
        <f t="shared" si="110"/>
        <v>0.4941264463900743</v>
      </c>
      <c r="BV58" s="90">
        <f t="shared" si="110"/>
        <v>0.59436972874401639</v>
      </c>
      <c r="BW58" s="90">
        <f t="shared" si="110"/>
        <v>0.77230566899702358</v>
      </c>
      <c r="BX58" s="1115">
        <f t="shared" si="110"/>
        <v>0.56331150703010002</v>
      </c>
      <c r="BY58" s="892">
        <f>BY57/BT57-1</f>
        <v>1.2798421326978926</v>
      </c>
      <c r="BZ58" s="90">
        <f t="shared" si="110"/>
        <v>1.0069789650423457</v>
      </c>
      <c r="CA58" s="90">
        <f t="shared" si="110"/>
        <v>0.62753358028485073</v>
      </c>
      <c r="CB58" s="90">
        <f t="shared" si="110"/>
        <v>0.39814628496826687</v>
      </c>
      <c r="CC58" s="1115">
        <f t="shared" si="110"/>
        <v>0.74870047224951897</v>
      </c>
      <c r="CD58" s="90">
        <f t="shared" si="110"/>
        <v>0.29294308644244316</v>
      </c>
      <c r="CE58" s="90">
        <f t="shared" si="110"/>
        <v>0.29400883546864853</v>
      </c>
      <c r="CF58" s="90">
        <f t="shared" si="110"/>
        <v>0.24755472722148042</v>
      </c>
      <c r="CG58" s="90">
        <f t="shared" si="110"/>
        <v>0.24400181593909398</v>
      </c>
      <c r="CH58" s="1115">
        <f t="shared" si="110"/>
        <v>0.2686881738452509</v>
      </c>
      <c r="CI58" s="1115">
        <f>CI57/CH57-1</f>
        <v>0.19277198219808733</v>
      </c>
      <c r="CJ58" s="1115">
        <f>CJ57/CI57-1</f>
        <v>0.17466733310254168</v>
      </c>
      <c r="CK58" s="1115">
        <f>CK57/CJ57-1</f>
        <v>0.17500630227648339</v>
      </c>
      <c r="CL58" s="155"/>
    </row>
    <row r="59" spans="1:90" x14ac:dyDescent="0.3">
      <c r="A59" s="621" t="s">
        <v>36</v>
      </c>
      <c r="B59" s="202"/>
      <c r="C59" s="1128">
        <f t="shared" ref="C59:AY59" si="111">C57/C44</f>
        <v>0.39944943718850895</v>
      </c>
      <c r="D59" s="1128">
        <f t="shared" si="111"/>
        <v>0.38606169649580868</v>
      </c>
      <c r="E59" s="1128">
        <f t="shared" si="111"/>
        <v>0.45115766081930764</v>
      </c>
      <c r="F59" s="1128">
        <f t="shared" si="111"/>
        <v>0.51905336011385883</v>
      </c>
      <c r="G59" s="315">
        <f t="shared" si="111"/>
        <v>0.50373184758621958</v>
      </c>
      <c r="H59" s="315">
        <f t="shared" si="111"/>
        <v>0.52033286410602619</v>
      </c>
      <c r="I59" s="315">
        <f t="shared" si="111"/>
        <v>0.53080449460597456</v>
      </c>
      <c r="J59" s="315">
        <f t="shared" si="111"/>
        <v>0.53159900334446952</v>
      </c>
      <c r="K59" s="1128">
        <f t="shared" si="111"/>
        <v>0.52260511817434818</v>
      </c>
      <c r="L59" s="315">
        <f t="shared" si="111"/>
        <v>0.54593035374065579</v>
      </c>
      <c r="M59" s="315">
        <f t="shared" si="111"/>
        <v>0.56280660391839044</v>
      </c>
      <c r="N59" s="315">
        <f t="shared" si="111"/>
        <v>0.557422575849149</v>
      </c>
      <c r="O59" s="315">
        <f t="shared" si="111"/>
        <v>0.53808539981017645</v>
      </c>
      <c r="P59" s="1128">
        <f t="shared" si="111"/>
        <v>0.5506651331719129</v>
      </c>
      <c r="Q59" s="315">
        <f t="shared" si="111"/>
        <v>0.55031731640979142</v>
      </c>
      <c r="R59" s="315">
        <f t="shared" si="111"/>
        <v>0.56391659111514048</v>
      </c>
      <c r="S59" s="315">
        <f t="shared" si="111"/>
        <v>0.55510204081632653</v>
      </c>
      <c r="T59" s="315">
        <f t="shared" si="111"/>
        <v>0.56274980015987208</v>
      </c>
      <c r="U59" s="1128">
        <f t="shared" si="111"/>
        <v>0.55766766339171292</v>
      </c>
      <c r="V59" s="315">
        <f t="shared" si="111"/>
        <v>0.56907037358818424</v>
      </c>
      <c r="W59" s="315">
        <f t="shared" si="111"/>
        <v>0.56548135299219426</v>
      </c>
      <c r="X59" s="315">
        <f t="shared" si="111"/>
        <v>0.56551724137931036</v>
      </c>
      <c r="Y59" s="315">
        <f t="shared" si="111"/>
        <v>0.57173447537473232</v>
      </c>
      <c r="Z59" s="1128">
        <f t="shared" si="111"/>
        <v>0.56806387225548904</v>
      </c>
      <c r="AA59" s="315">
        <f t="shared" si="111"/>
        <v>0.58620689655172409</v>
      </c>
      <c r="AB59" s="315">
        <f t="shared" si="111"/>
        <v>0.58123249299719892</v>
      </c>
      <c r="AC59" s="315">
        <f t="shared" si="111"/>
        <v>0.59181636726546905</v>
      </c>
      <c r="AD59" s="315">
        <f t="shared" si="111"/>
        <v>0.60147261849976985</v>
      </c>
      <c r="AE59" s="1128">
        <f t="shared" si="111"/>
        <v>0.59160636758321272</v>
      </c>
      <c r="AF59" s="315">
        <f t="shared" si="111"/>
        <v>0.59576664945792468</v>
      </c>
      <c r="AG59" s="315">
        <f t="shared" si="111"/>
        <v>0.5856502242152466</v>
      </c>
      <c r="AH59" s="315">
        <f t="shared" si="111"/>
        <v>0.59749620637329282</v>
      </c>
      <c r="AI59" s="315">
        <f t="shared" si="111"/>
        <v>0.62143593266918584</v>
      </c>
      <c r="AJ59" s="1128">
        <f t="shared" si="111"/>
        <v>0.60160592958616432</v>
      </c>
      <c r="AK59" s="315">
        <f t="shared" si="111"/>
        <v>0.64733395696912999</v>
      </c>
      <c r="AL59" s="315">
        <f t="shared" si="111"/>
        <v>0.63496637848222859</v>
      </c>
      <c r="AM59" s="315">
        <f t="shared" si="111"/>
        <v>0.60987110971392644</v>
      </c>
      <c r="AN59" s="315">
        <f t="shared" si="111"/>
        <v>0.55963718820861674</v>
      </c>
      <c r="AO59" s="1128">
        <f t="shared" si="111"/>
        <v>0.61736087401843631</v>
      </c>
      <c r="AP59" s="315">
        <f t="shared" si="111"/>
        <v>0.59009009009009006</v>
      </c>
      <c r="AQ59" s="315">
        <f t="shared" si="111"/>
        <v>0.60139588987979842</v>
      </c>
      <c r="AR59" s="315">
        <f t="shared" si="111"/>
        <v>0.64067684140676839</v>
      </c>
      <c r="AS59" s="315">
        <f t="shared" si="111"/>
        <v>0.65378421900161032</v>
      </c>
      <c r="AT59" s="1128">
        <f t="shared" si="111"/>
        <v>0.62474812236673383</v>
      </c>
      <c r="AU59" s="315">
        <f t="shared" si="111"/>
        <v>0.65779220779220782</v>
      </c>
      <c r="AV59" s="315">
        <f t="shared" si="111"/>
        <v>0.6598551474392137</v>
      </c>
      <c r="AW59" s="315">
        <f t="shared" si="111"/>
        <v>0.65488785442234443</v>
      </c>
      <c r="AX59" s="315">
        <f t="shared" si="111"/>
        <v>0.65480711573056172</v>
      </c>
      <c r="AY59" s="1128">
        <f t="shared" si="111"/>
        <v>0.65649175412293848</v>
      </c>
      <c r="AZ59" s="315">
        <f t="shared" ref="AZ59:BG59" si="112">AZ57/AZ44</f>
        <v>0.66172054407348524</v>
      </c>
      <c r="BA59" s="315">
        <f t="shared" si="112"/>
        <v>0.6665129860150607</v>
      </c>
      <c r="BB59" s="315">
        <f t="shared" si="112"/>
        <v>0.67028016331127693</v>
      </c>
      <c r="BC59" s="315">
        <f t="shared" si="112"/>
        <v>0.6704173753761612</v>
      </c>
      <c r="BD59" s="1128">
        <f t="shared" si="112"/>
        <v>0.66764509177379805</v>
      </c>
      <c r="BE59" s="315">
        <f t="shared" si="112"/>
        <v>0.67121138996138996</v>
      </c>
      <c r="BF59" s="315">
        <f t="shared" si="112"/>
        <v>0.45853221957040574</v>
      </c>
      <c r="BG59" s="315">
        <f t="shared" si="112"/>
        <v>0.56128814702411056</v>
      </c>
      <c r="BH59" s="315">
        <f t="shared" ref="BH59:BN59" si="113">BH57/BH44</f>
        <v>0.6608824987605354</v>
      </c>
      <c r="BI59" s="1128">
        <f t="shared" si="113"/>
        <v>0.59186624156595236</v>
      </c>
      <c r="BJ59" s="315">
        <f t="shared" si="113"/>
        <v>0.66768631813125701</v>
      </c>
      <c r="BK59" s="315">
        <f t="shared" si="113"/>
        <v>0.7117790775153624</v>
      </c>
      <c r="BL59" s="315">
        <f t="shared" si="113"/>
        <v>0.74961368653421634</v>
      </c>
      <c r="BM59" s="315">
        <f t="shared" si="113"/>
        <v>0.76727141112066233</v>
      </c>
      <c r="BN59" s="1128">
        <f t="shared" si="113"/>
        <v>0.73797642887626802</v>
      </c>
      <c r="BO59" s="315">
        <f t="shared" ref="BO59:BT59" si="114">BO57/BO44</f>
        <v>0.78943326677929659</v>
      </c>
      <c r="BP59" s="315">
        <f t="shared" si="114"/>
        <v>0.75662450066577891</v>
      </c>
      <c r="BQ59" s="315">
        <f t="shared" si="114"/>
        <v>0.75029929878570212</v>
      </c>
      <c r="BR59" s="315">
        <f t="shared" si="114"/>
        <v>0.7346368004881646</v>
      </c>
      <c r="BS59" s="1128">
        <f t="shared" si="114"/>
        <v>0.75484493896411409</v>
      </c>
      <c r="BT59" s="315">
        <f t="shared" si="114"/>
        <v>0.60955017929281463</v>
      </c>
      <c r="BU59" s="315">
        <f>BU57/BU44</f>
        <v>0.72652589692574288</v>
      </c>
      <c r="BV59" s="315">
        <f>BV57/BV44</f>
        <v>0.73618566466687718</v>
      </c>
      <c r="BW59" s="315">
        <f>BW57/BW44</f>
        <v>0.75166967575263843</v>
      </c>
      <c r="BX59" s="1128">
        <f>BX57/BX44</f>
        <v>0.71313988274412099</v>
      </c>
      <c r="BY59" s="897">
        <f>BY57/BY44</f>
        <v>0.75025424247993633</v>
      </c>
      <c r="BZ59" s="315">
        <f>BU59+BZ62/10000</f>
        <v>0.7495258969257429</v>
      </c>
      <c r="CA59" s="315">
        <f>BV59+CA62/10000</f>
        <v>0.74618566466687719</v>
      </c>
      <c r="CB59" s="315">
        <f>BW59+CB62/10000</f>
        <v>0.76166967575263844</v>
      </c>
      <c r="CC59" s="1128">
        <f>CC57/CC44</f>
        <v>0.75202591573892408</v>
      </c>
      <c r="CD59" s="315">
        <f>BY59+CD62/10000</f>
        <v>0.75025424247993633</v>
      </c>
      <c r="CE59" s="315">
        <f>BZ59+CE62/10000</f>
        <v>0.7495258969257429</v>
      </c>
      <c r="CF59" s="315">
        <f>CA59+CF62/10000</f>
        <v>0.74618566466687719</v>
      </c>
      <c r="CG59" s="315">
        <f>CB59+CG62/10000</f>
        <v>0.76166967575263844</v>
      </c>
      <c r="CH59" s="1128">
        <f>CH57/CH44</f>
        <v>0.75198113640895103</v>
      </c>
      <c r="CI59" s="1128">
        <f>CH59+CI62/10000</f>
        <v>0.75198113640895103</v>
      </c>
      <c r="CJ59" s="1128">
        <f>CI59+CJ62/10000</f>
        <v>0.75198113640895103</v>
      </c>
      <c r="CK59" s="1128">
        <f>CJ59+CK62/10000</f>
        <v>0.75198113640895103</v>
      </c>
      <c r="CL59" s="155"/>
    </row>
    <row r="60" spans="1:90" x14ac:dyDescent="0.3">
      <c r="A60" s="371" t="s">
        <v>753</v>
      </c>
      <c r="B60" s="582"/>
      <c r="C60" s="1115"/>
      <c r="D60" s="1115"/>
      <c r="E60" s="1115"/>
      <c r="F60" s="1115"/>
      <c r="G60" s="90"/>
      <c r="H60" s="90"/>
      <c r="I60" s="90"/>
      <c r="J60" s="90"/>
      <c r="K60" s="1115"/>
      <c r="L60" s="90"/>
      <c r="M60" s="90"/>
      <c r="N60" s="90"/>
      <c r="O60" s="90"/>
      <c r="P60" s="1115"/>
      <c r="Q60" s="90"/>
      <c r="R60" s="90"/>
      <c r="S60" s="90"/>
      <c r="T60" s="90"/>
      <c r="U60" s="1115"/>
      <c r="V60" s="90"/>
      <c r="W60" s="90"/>
      <c r="X60" s="90"/>
      <c r="Y60" s="90"/>
      <c r="Z60" s="1115"/>
      <c r="AA60" s="90"/>
      <c r="AB60" s="90"/>
      <c r="AC60" s="90"/>
      <c r="AD60" s="90"/>
      <c r="AE60" s="1115"/>
      <c r="AF60" s="90"/>
      <c r="AG60" s="90"/>
      <c r="AH60" s="90"/>
      <c r="AI60" s="90"/>
      <c r="AJ60" s="1115"/>
      <c r="AK60" s="90"/>
      <c r="AL60" s="90"/>
      <c r="AM60" s="90"/>
      <c r="AN60" s="90"/>
      <c r="AO60" s="1115"/>
      <c r="AP60" s="90"/>
      <c r="AQ60" s="90"/>
      <c r="AR60" s="90"/>
      <c r="AS60" s="90"/>
      <c r="AT60" s="1115"/>
      <c r="AU60" s="90"/>
      <c r="AV60" s="90"/>
      <c r="AW60" s="90"/>
      <c r="AX60" s="90"/>
      <c r="AY60" s="1115"/>
      <c r="AZ60" s="90"/>
      <c r="BA60" s="90"/>
      <c r="BB60" s="90"/>
      <c r="BC60" s="90"/>
      <c r="BD60" s="1115"/>
      <c r="BE60" s="90"/>
      <c r="BF60" s="90"/>
      <c r="BG60" s="90"/>
      <c r="BH60" s="90"/>
      <c r="BI60" s="1115"/>
      <c r="BJ60" s="90"/>
      <c r="BK60" s="90"/>
      <c r="BL60" s="90"/>
      <c r="BM60" s="90"/>
      <c r="BN60" s="1115"/>
      <c r="BO60" s="90"/>
      <c r="BP60" s="90"/>
      <c r="BQ60" s="90"/>
      <c r="BR60" s="90"/>
      <c r="BS60" s="1115"/>
      <c r="BT60" s="90"/>
      <c r="BU60" s="90"/>
      <c r="BV60" s="90"/>
      <c r="BW60" s="90"/>
      <c r="BX60" s="1115"/>
      <c r="BY60" s="892"/>
      <c r="BZ60" s="643" t="str">
        <f t="shared" ref="BZ60:CK60" ca="1" si="115">BZ287</f>
        <v>N/A</v>
      </c>
      <c r="CA60" s="643" t="str">
        <f t="shared" ca="1" si="115"/>
        <v>N/A</v>
      </c>
      <c r="CB60" s="643" t="str">
        <f t="shared" ca="1" si="115"/>
        <v>N/A</v>
      </c>
      <c r="CC60" s="1116" t="str">
        <f t="shared" ca="1" si="115"/>
        <v>N/A</v>
      </c>
      <c r="CD60" s="643" t="str">
        <f t="shared" ca="1" si="115"/>
        <v>N/A</v>
      </c>
      <c r="CE60" s="643" t="str">
        <f t="shared" ca="1" si="115"/>
        <v>N/A</v>
      </c>
      <c r="CF60" s="643" t="str">
        <f t="shared" ca="1" si="115"/>
        <v>N/A</v>
      </c>
      <c r="CG60" s="643" t="str">
        <f t="shared" ca="1" si="115"/>
        <v>N/A</v>
      </c>
      <c r="CH60" s="1116" t="str">
        <f t="shared" ca="1" si="115"/>
        <v>N/A</v>
      </c>
      <c r="CI60" s="1116" t="str">
        <f t="shared" ca="1" si="115"/>
        <v>N/A</v>
      </c>
      <c r="CJ60" s="1116" t="str">
        <f t="shared" ca="1" si="115"/>
        <v>N/A</v>
      </c>
      <c r="CK60" s="1116" t="str">
        <f t="shared" ca="1" si="115"/>
        <v>N/A</v>
      </c>
      <c r="CL60" s="155"/>
    </row>
    <row r="61" spans="1:90" x14ac:dyDescent="0.3">
      <c r="A61" s="371" t="s">
        <v>1115</v>
      </c>
      <c r="B61" s="582"/>
      <c r="C61" s="1115"/>
      <c r="D61" s="1115"/>
      <c r="E61" s="1115"/>
      <c r="F61" s="1115"/>
      <c r="G61" s="90"/>
      <c r="H61" s="90"/>
      <c r="I61" s="90"/>
      <c r="J61" s="90"/>
      <c r="K61" s="1115"/>
      <c r="L61" s="90"/>
      <c r="M61" s="90"/>
      <c r="N61" s="90"/>
      <c r="O61" s="90"/>
      <c r="P61" s="1115"/>
      <c r="Q61" s="90"/>
      <c r="R61" s="90"/>
      <c r="S61" s="90"/>
      <c r="T61" s="90"/>
      <c r="U61" s="1115"/>
      <c r="V61" s="90"/>
      <c r="W61" s="90"/>
      <c r="X61" s="90"/>
      <c r="Y61" s="90"/>
      <c r="Z61" s="1115"/>
      <c r="AA61" s="90"/>
      <c r="AB61" s="90"/>
      <c r="AC61" s="90"/>
      <c r="AD61" s="90"/>
      <c r="AE61" s="1115"/>
      <c r="AF61" s="90"/>
      <c r="AG61" s="90"/>
      <c r="AH61" s="90"/>
      <c r="AI61" s="90"/>
      <c r="AJ61" s="1115"/>
      <c r="AK61" s="90"/>
      <c r="AL61" s="90"/>
      <c r="AM61" s="90"/>
      <c r="AN61" s="90"/>
      <c r="AO61" s="1115"/>
      <c r="AP61" s="90"/>
      <c r="AQ61" s="90"/>
      <c r="AR61" s="90"/>
      <c r="AS61" s="90"/>
      <c r="AT61" s="1115"/>
      <c r="AU61" s="90"/>
      <c r="AV61" s="90"/>
      <c r="AW61" s="90"/>
      <c r="AX61" s="90"/>
      <c r="AY61" s="1115"/>
      <c r="AZ61" s="90"/>
      <c r="BA61" s="90"/>
      <c r="BB61" s="90"/>
      <c r="BC61" s="90"/>
      <c r="BD61" s="1115"/>
      <c r="BE61" s="90"/>
      <c r="BF61" s="90"/>
      <c r="BG61" s="90"/>
      <c r="BH61" s="90"/>
      <c r="BI61" s="1115"/>
      <c r="BJ61" s="90"/>
      <c r="BK61" s="90"/>
      <c r="BL61" s="90"/>
      <c r="BM61" s="90"/>
      <c r="BN61" s="1115"/>
      <c r="BO61" s="90"/>
      <c r="BP61" s="90"/>
      <c r="BQ61" s="90"/>
      <c r="BR61" s="90"/>
      <c r="BS61" s="1115"/>
      <c r="BT61" s="90"/>
      <c r="BU61" s="90"/>
      <c r="BV61" s="90"/>
      <c r="BW61" s="90"/>
      <c r="BX61" s="1115"/>
      <c r="BY61" s="892"/>
      <c r="BZ61" s="90">
        <f t="shared" ref="BZ61:CK61" si="116">BZ650</f>
        <v>0.75</v>
      </c>
      <c r="CA61" s="90" t="str">
        <f t="shared" si="116"/>
        <v/>
      </c>
      <c r="CB61" s="90" t="str">
        <f t="shared" si="116"/>
        <v/>
      </c>
      <c r="CC61" s="1115" t="str">
        <f t="shared" si="116"/>
        <v/>
      </c>
      <c r="CD61" s="90" t="str">
        <f t="shared" si="116"/>
        <v/>
      </c>
      <c r="CE61" s="90" t="str">
        <f t="shared" si="116"/>
        <v/>
      </c>
      <c r="CF61" s="90" t="str">
        <f t="shared" si="116"/>
        <v/>
      </c>
      <c r="CG61" s="90" t="str">
        <f t="shared" si="116"/>
        <v/>
      </c>
      <c r="CH61" s="1115" t="str">
        <f t="shared" si="116"/>
        <v/>
      </c>
      <c r="CI61" s="1115">
        <f t="shared" si="116"/>
        <v>0</v>
      </c>
      <c r="CJ61" s="1115">
        <f t="shared" si="116"/>
        <v>0</v>
      </c>
      <c r="CK61" s="1115">
        <f t="shared" si="116"/>
        <v>0</v>
      </c>
      <c r="CL61" s="155"/>
    </row>
    <row r="62" spans="1:90" x14ac:dyDescent="0.3">
      <c r="A62" s="99" t="s">
        <v>717</v>
      </c>
      <c r="B62" s="598"/>
      <c r="C62" s="1112"/>
      <c r="D62" s="1112">
        <f>(D59-C59)*10000</f>
        <v>-133.87740692700268</v>
      </c>
      <c r="E62" s="1112">
        <f t="shared" ref="E62:F62" si="117">(E59-D59)*10000</f>
        <v>650.95964323498958</v>
      </c>
      <c r="F62" s="1112">
        <f t="shared" si="117"/>
        <v>678.95699294551196</v>
      </c>
      <c r="G62" s="68"/>
      <c r="H62" s="68"/>
      <c r="I62" s="68"/>
      <c r="J62" s="68"/>
      <c r="K62" s="1112">
        <f>(K59-F59)*10000</f>
        <v>35.517580604893517</v>
      </c>
      <c r="L62" s="68">
        <f t="shared" ref="L62:BE62" si="118">(L59-G59)*10000</f>
        <v>421.98506154436211</v>
      </c>
      <c r="M62" s="68">
        <f t="shared" si="118"/>
        <v>424.73739812364244</v>
      </c>
      <c r="N62" s="68">
        <f t="shared" si="118"/>
        <v>266.18081243174441</v>
      </c>
      <c r="O62" s="68">
        <f t="shared" si="118"/>
        <v>64.863964657069232</v>
      </c>
      <c r="P62" s="1112">
        <f t="shared" si="118"/>
        <v>280.60014997564718</v>
      </c>
      <c r="Q62" s="68">
        <f t="shared" si="118"/>
        <v>43.869626691356302</v>
      </c>
      <c r="R62" s="68">
        <f t="shared" si="118"/>
        <v>11.099871967500397</v>
      </c>
      <c r="S62" s="68">
        <f t="shared" si="118"/>
        <v>-23.205350328224796</v>
      </c>
      <c r="T62" s="68">
        <f t="shared" si="118"/>
        <v>246.64400349695637</v>
      </c>
      <c r="U62" s="1112">
        <f t="shared" si="118"/>
        <v>70.02530219800019</v>
      </c>
      <c r="V62" s="68">
        <f t="shared" si="118"/>
        <v>187.53057178392817</v>
      </c>
      <c r="W62" s="68">
        <f t="shared" si="118"/>
        <v>15.647618770537886</v>
      </c>
      <c r="X62" s="68">
        <f t="shared" si="118"/>
        <v>104.1520056298384</v>
      </c>
      <c r="Y62" s="68">
        <f t="shared" si="118"/>
        <v>89.846752148602377</v>
      </c>
      <c r="Z62" s="1112">
        <f t="shared" si="118"/>
        <v>103.96208863776124</v>
      </c>
      <c r="AA62" s="68">
        <f t="shared" si="118"/>
        <v>171.36522963539846</v>
      </c>
      <c r="AB62" s="68">
        <f t="shared" si="118"/>
        <v>157.5114000500466</v>
      </c>
      <c r="AC62" s="68">
        <f t="shared" si="118"/>
        <v>262.9912588615868</v>
      </c>
      <c r="AD62" s="68">
        <f t="shared" si="118"/>
        <v>297.38143125037533</v>
      </c>
      <c r="AE62" s="1112">
        <f t="shared" si="118"/>
        <v>235.4249532772368</v>
      </c>
      <c r="AF62" s="68">
        <f t="shared" si="118"/>
        <v>95.597529062005918</v>
      </c>
      <c r="AG62" s="68">
        <f t="shared" si="118"/>
        <v>44.177312180476711</v>
      </c>
      <c r="AH62" s="68">
        <f t="shared" si="118"/>
        <v>56.7983910782377</v>
      </c>
      <c r="AI62" s="68">
        <f t="shared" si="118"/>
        <v>199.63314169415992</v>
      </c>
      <c r="AJ62" s="1112">
        <f t="shared" si="118"/>
        <v>99.995620029516004</v>
      </c>
      <c r="AK62" s="68">
        <f t="shared" si="118"/>
        <v>515.67307511205308</v>
      </c>
      <c r="AL62" s="68">
        <f t="shared" si="118"/>
        <v>493.16154266981994</v>
      </c>
      <c r="AM62" s="68">
        <f t="shared" si="118"/>
        <v>123.74903340633625</v>
      </c>
      <c r="AN62" s="68">
        <f t="shared" si="118"/>
        <v>-617.98744460569094</v>
      </c>
      <c r="AO62" s="1112">
        <f t="shared" si="118"/>
        <v>157.54944432271989</v>
      </c>
      <c r="AP62" s="68">
        <f t="shared" si="118"/>
        <v>-572.43866879039933</v>
      </c>
      <c r="AQ62" s="68">
        <f t="shared" si="118"/>
        <v>-335.70488602430169</v>
      </c>
      <c r="AR62" s="68">
        <f t="shared" si="118"/>
        <v>308.05731692841954</v>
      </c>
      <c r="AS62" s="68">
        <f t="shared" si="118"/>
        <v>941.47030792993576</v>
      </c>
      <c r="AT62" s="1112">
        <f t="shared" si="118"/>
        <v>73.872483482975156</v>
      </c>
      <c r="AU62" s="68">
        <f t="shared" si="118"/>
        <v>677.02117702117755</v>
      </c>
      <c r="AV62" s="68">
        <f t="shared" si="118"/>
        <v>584.59257559415278</v>
      </c>
      <c r="AW62" s="68">
        <f t="shared" si="118"/>
        <v>142.11013015576034</v>
      </c>
      <c r="AX62" s="68">
        <f t="shared" si="118"/>
        <v>10.228967289513946</v>
      </c>
      <c r="AY62" s="1112">
        <f t="shared" si="118"/>
        <v>317.4363175620465</v>
      </c>
      <c r="AZ62" s="68">
        <f t="shared" si="118"/>
        <v>39.283362812774229</v>
      </c>
      <c r="BA62" s="68">
        <f t="shared" si="118"/>
        <v>66.578385758470077</v>
      </c>
      <c r="BB62" s="68">
        <f t="shared" si="118"/>
        <v>153.92308888932504</v>
      </c>
      <c r="BC62" s="68">
        <f t="shared" si="118"/>
        <v>156.10259645599479</v>
      </c>
      <c r="BD62" s="1112">
        <f t="shared" si="118"/>
        <v>111.53337650859574</v>
      </c>
      <c r="BE62" s="68">
        <f t="shared" si="118"/>
        <v>94.908458879047203</v>
      </c>
      <c r="BF62" s="68">
        <f t="shared" ref="BF62:BK62" si="119">(BF59-BA59)*10000</f>
        <v>-2079.8076644465496</v>
      </c>
      <c r="BG62" s="68">
        <f t="shared" si="119"/>
        <v>-1089.9201628716637</v>
      </c>
      <c r="BH62" s="68">
        <f t="shared" si="119"/>
        <v>-95.34876615625798</v>
      </c>
      <c r="BI62" s="1112">
        <f t="shared" si="119"/>
        <v>-757.78850207845699</v>
      </c>
      <c r="BJ62" s="68">
        <f t="shared" si="119"/>
        <v>-35.250718301329528</v>
      </c>
      <c r="BK62" s="68">
        <f t="shared" si="119"/>
        <v>2532.4685794495667</v>
      </c>
      <c r="BL62" s="68">
        <f t="shared" ref="BL62:BQ62" si="120">(BL59-BG59)*10000</f>
        <v>1883.2553951010577</v>
      </c>
      <c r="BM62" s="68">
        <f t="shared" si="120"/>
        <v>1063.8891236012694</v>
      </c>
      <c r="BN62" s="1112">
        <f t="shared" si="120"/>
        <v>1461.1018731031565</v>
      </c>
      <c r="BO62" s="68">
        <f t="shared" si="120"/>
        <v>1217.469486480396</v>
      </c>
      <c r="BP62" s="68">
        <f t="shared" si="120"/>
        <v>448.45423150416508</v>
      </c>
      <c r="BQ62" s="68">
        <f t="shared" si="120"/>
        <v>6.8561225148577876</v>
      </c>
      <c r="BR62" s="68">
        <f t="shared" ref="BR62:BX62" si="121">(BR59-BM59)*10000</f>
        <v>-326.34610632497731</v>
      </c>
      <c r="BS62" s="1112">
        <f t="shared" si="121"/>
        <v>168.68510087846067</v>
      </c>
      <c r="BT62" s="68">
        <f t="shared" si="121"/>
        <v>-1798.8308748648196</v>
      </c>
      <c r="BU62" s="68">
        <f t="shared" si="121"/>
        <v>-300.98603740036032</v>
      </c>
      <c r="BV62" s="68">
        <f t="shared" si="121"/>
        <v>-141.13634118824936</v>
      </c>
      <c r="BW62" s="68">
        <f t="shared" si="121"/>
        <v>170.32875264473836</v>
      </c>
      <c r="BX62" s="1112">
        <f t="shared" si="121"/>
        <v>-417.05056219993099</v>
      </c>
      <c r="BY62" s="588">
        <f>(BY59-BT59)*10000</f>
        <v>1407.0406318712169</v>
      </c>
      <c r="BZ62" s="1055">
        <v>230</v>
      </c>
      <c r="CA62" s="1055">
        <v>100</v>
      </c>
      <c r="CB62" s="1055">
        <v>100</v>
      </c>
      <c r="CC62" s="1112">
        <f>(CC59-BX59)*10000</f>
        <v>388.86032994803088</v>
      </c>
      <c r="CD62" s="1055">
        <v>0</v>
      </c>
      <c r="CE62" s="1055">
        <v>0</v>
      </c>
      <c r="CF62" s="1055">
        <v>0</v>
      </c>
      <c r="CG62" s="1055">
        <v>0</v>
      </c>
      <c r="CH62" s="1112">
        <f>(CH59-CC59)*10000</f>
        <v>-0.4477932997304368</v>
      </c>
      <c r="CI62" s="1113">
        <v>0</v>
      </c>
      <c r="CJ62" s="1113">
        <v>0</v>
      </c>
      <c r="CK62" s="1113">
        <v>0</v>
      </c>
      <c r="CL62" s="155"/>
    </row>
    <row r="63" spans="1:90" x14ac:dyDescent="0.3">
      <c r="A63" s="600"/>
      <c r="B63" s="601"/>
      <c r="C63" s="1127"/>
      <c r="D63" s="1127"/>
      <c r="E63" s="1127"/>
      <c r="F63" s="1127"/>
      <c r="G63" s="63"/>
      <c r="H63" s="63"/>
      <c r="I63" s="63"/>
      <c r="J63" s="63"/>
      <c r="K63" s="1127"/>
      <c r="L63" s="63"/>
      <c r="M63" s="63"/>
      <c r="N63" s="63"/>
      <c r="O63" s="63"/>
      <c r="P63" s="1127"/>
      <c r="Q63" s="63"/>
      <c r="R63" s="63"/>
      <c r="S63" s="63"/>
      <c r="T63" s="63"/>
      <c r="U63" s="1127"/>
      <c r="V63" s="63"/>
      <c r="W63" s="63"/>
      <c r="X63" s="63"/>
      <c r="Y63" s="63"/>
      <c r="Z63" s="1127"/>
      <c r="AA63" s="63"/>
      <c r="AB63" s="63"/>
      <c r="AC63" s="63"/>
      <c r="AD63" s="63"/>
      <c r="AE63" s="1127"/>
      <c r="AF63" s="63"/>
      <c r="AG63" s="63"/>
      <c r="AH63" s="63"/>
      <c r="AI63" s="63"/>
      <c r="AJ63" s="1127"/>
      <c r="AK63" s="63"/>
      <c r="AL63" s="63"/>
      <c r="AM63" s="63"/>
      <c r="AN63" s="63"/>
      <c r="AO63" s="1127"/>
      <c r="AP63" s="63"/>
      <c r="AQ63" s="63"/>
      <c r="AR63" s="63"/>
      <c r="AS63" s="63"/>
      <c r="AT63" s="1127"/>
      <c r="AU63" s="63"/>
      <c r="AV63" s="63"/>
      <c r="AW63" s="63"/>
      <c r="AX63" s="63"/>
      <c r="AY63" s="1127"/>
      <c r="AZ63" s="63"/>
      <c r="BA63" s="63"/>
      <c r="BB63" s="63"/>
      <c r="BC63" s="63"/>
      <c r="BD63" s="1127"/>
      <c r="BE63" s="63"/>
      <c r="BF63" s="63"/>
      <c r="BG63" s="63"/>
      <c r="BH63" s="63"/>
      <c r="BI63" s="1127"/>
      <c r="BJ63" s="63"/>
      <c r="BK63" s="63"/>
      <c r="BL63" s="63"/>
      <c r="BM63" s="63"/>
      <c r="BN63" s="1127"/>
      <c r="BO63" s="63"/>
      <c r="BP63" s="63"/>
      <c r="BQ63" s="63"/>
      <c r="BR63" s="63"/>
      <c r="BS63" s="1127"/>
      <c r="BT63" s="63"/>
      <c r="BU63" s="63"/>
      <c r="BV63" s="63"/>
      <c r="BW63" s="63"/>
      <c r="BX63" s="1127"/>
      <c r="BY63" s="587"/>
      <c r="BZ63" s="63"/>
      <c r="CA63" s="63"/>
      <c r="CB63" s="63"/>
      <c r="CC63" s="1127"/>
      <c r="CD63" s="63"/>
      <c r="CE63" s="63"/>
      <c r="CF63" s="63"/>
      <c r="CG63" s="63"/>
      <c r="CH63" s="1127"/>
      <c r="CI63" s="1127"/>
      <c r="CJ63" s="1127"/>
      <c r="CK63" s="1127"/>
      <c r="CL63" s="155"/>
    </row>
    <row r="64" spans="1:90" hidden="1" outlineLevel="1" x14ac:dyDescent="0.3">
      <c r="A64" s="636" t="s">
        <v>707</v>
      </c>
      <c r="B64" s="598"/>
      <c r="C64" s="1112">
        <f t="shared" ref="C64:AX64" si="122">C381</f>
        <v>855.87900000000002</v>
      </c>
      <c r="D64" s="1112">
        <f t="shared" si="122"/>
        <v>908.851</v>
      </c>
      <c r="E64" s="1112">
        <f t="shared" si="122"/>
        <v>848.83</v>
      </c>
      <c r="F64" s="1112">
        <f t="shared" si="122"/>
        <v>1002.605</v>
      </c>
      <c r="G64" s="68">
        <f t="shared" si="122"/>
        <v>283.90199999999999</v>
      </c>
      <c r="H64" s="68">
        <f t="shared" si="122"/>
        <v>281.19299999999998</v>
      </c>
      <c r="I64" s="68">
        <f t="shared" si="122"/>
        <v>284.18</v>
      </c>
      <c r="J64" s="68">
        <f t="shared" si="122"/>
        <v>298.00699999999989</v>
      </c>
      <c r="K64" s="1112">
        <f t="shared" si="122"/>
        <v>1147.2819999999999</v>
      </c>
      <c r="L64" s="68">
        <f t="shared" si="122"/>
        <v>327.161</v>
      </c>
      <c r="M64" s="68">
        <f t="shared" si="122"/>
        <v>331.738</v>
      </c>
      <c r="N64" s="68">
        <f t="shared" si="122"/>
        <v>340.29399999999998</v>
      </c>
      <c r="O64" s="68">
        <f t="shared" si="122"/>
        <v>336.64099999999996</v>
      </c>
      <c r="P64" s="1112">
        <f t="shared" si="122"/>
        <v>1335.8340000000001</v>
      </c>
      <c r="Q64" s="68">
        <f t="shared" si="122"/>
        <v>334</v>
      </c>
      <c r="R64" s="68">
        <f t="shared" si="122"/>
        <v>337</v>
      </c>
      <c r="S64" s="68">
        <f t="shared" si="122"/>
        <v>340</v>
      </c>
      <c r="T64" s="68">
        <f t="shared" si="122"/>
        <v>349</v>
      </c>
      <c r="U64" s="1112">
        <f t="shared" si="122"/>
        <v>1360</v>
      </c>
      <c r="V64" s="68">
        <f t="shared" si="122"/>
        <v>339</v>
      </c>
      <c r="W64" s="68">
        <f t="shared" si="122"/>
        <v>320</v>
      </c>
      <c r="X64" s="68">
        <f t="shared" si="122"/>
        <v>329</v>
      </c>
      <c r="Y64" s="68">
        <f t="shared" si="122"/>
        <v>344</v>
      </c>
      <c r="Z64" s="1112">
        <f t="shared" si="122"/>
        <v>1331</v>
      </c>
      <c r="AA64" s="68">
        <f t="shared" si="122"/>
        <v>346</v>
      </c>
      <c r="AB64" s="68">
        <f t="shared" si="122"/>
        <v>350</v>
      </c>
      <c r="AC64" s="68">
        <f t="shared" si="122"/>
        <v>373</v>
      </c>
      <c r="AD64" s="68">
        <f t="shared" si="122"/>
        <v>394</v>
      </c>
      <c r="AE64" s="1112">
        <f t="shared" si="122"/>
        <v>1463</v>
      </c>
      <c r="AF64" s="68">
        <f t="shared" si="122"/>
        <v>411</v>
      </c>
      <c r="AG64" s="68">
        <f t="shared" si="122"/>
        <v>416</v>
      </c>
      <c r="AH64" s="68">
        <f t="shared" si="122"/>
        <v>462</v>
      </c>
      <c r="AI64" s="68">
        <f t="shared" si="122"/>
        <v>508</v>
      </c>
      <c r="AJ64" s="1112">
        <f t="shared" si="122"/>
        <v>1797</v>
      </c>
      <c r="AK64" s="68">
        <f t="shared" si="122"/>
        <v>542</v>
      </c>
      <c r="AL64" s="68">
        <f t="shared" si="122"/>
        <v>581</v>
      </c>
      <c r="AM64" s="68">
        <f t="shared" si="122"/>
        <v>605</v>
      </c>
      <c r="AN64" s="68">
        <f t="shared" si="122"/>
        <v>647</v>
      </c>
      <c r="AO64" s="1112">
        <f t="shared" si="122"/>
        <v>2376</v>
      </c>
      <c r="AP64" s="68">
        <f t="shared" si="122"/>
        <v>674</v>
      </c>
      <c r="AQ64" s="68">
        <f t="shared" si="122"/>
        <v>704</v>
      </c>
      <c r="AR64" s="68">
        <f t="shared" si="122"/>
        <v>712</v>
      </c>
      <c r="AS64" s="68">
        <f t="shared" si="122"/>
        <v>738</v>
      </c>
      <c r="AT64" s="1112">
        <f t="shared" si="122"/>
        <v>2829</v>
      </c>
      <c r="AU64" s="68">
        <f t="shared" si="122"/>
        <v>735</v>
      </c>
      <c r="AV64" s="68">
        <f t="shared" si="122"/>
        <v>997</v>
      </c>
      <c r="AW64" s="68">
        <f t="shared" si="122"/>
        <v>1047</v>
      </c>
      <c r="AX64" s="68">
        <f t="shared" si="122"/>
        <v>1147</v>
      </c>
      <c r="AY64" s="1112">
        <f t="shared" ref="AY64:BG64" si="123">AY381</f>
        <v>3924</v>
      </c>
      <c r="AZ64" s="68">
        <f t="shared" si="123"/>
        <v>1153</v>
      </c>
      <c r="BA64" s="68">
        <f t="shared" si="123"/>
        <v>1245</v>
      </c>
      <c r="BB64" s="68">
        <f t="shared" si="123"/>
        <v>1403</v>
      </c>
      <c r="BC64" s="68">
        <f t="shared" si="123"/>
        <v>1466</v>
      </c>
      <c r="BD64" s="1112">
        <f t="shared" si="123"/>
        <v>5268</v>
      </c>
      <c r="BE64" s="68">
        <f t="shared" si="123"/>
        <v>1618</v>
      </c>
      <c r="BF64" s="68">
        <f t="shared" si="123"/>
        <v>1824</v>
      </c>
      <c r="BG64" s="68">
        <f t="shared" si="123"/>
        <v>1945</v>
      </c>
      <c r="BH64" s="68">
        <f t="shared" ref="BH64:BM64" si="124">BH381</f>
        <v>1951</v>
      </c>
      <c r="BI64" s="1112">
        <f t="shared" si="124"/>
        <v>7339</v>
      </c>
      <c r="BJ64" s="68">
        <f t="shared" si="124"/>
        <v>1875</v>
      </c>
      <c r="BK64" s="68">
        <f t="shared" si="124"/>
        <v>2040</v>
      </c>
      <c r="BL64" s="68">
        <f t="shared" si="124"/>
        <v>2294</v>
      </c>
      <c r="BM64" s="68">
        <f t="shared" si="124"/>
        <v>2465</v>
      </c>
      <c r="BN64" s="1112">
        <f t="shared" ref="BN64:BS64" si="125">BN381</f>
        <v>8675</v>
      </c>
      <c r="BO64" s="68">
        <f t="shared" si="125"/>
        <v>2720</v>
      </c>
      <c r="BP64" s="68">
        <f t="shared" si="125"/>
        <v>3090</v>
      </c>
      <c r="BQ64" s="68">
        <f t="shared" si="125"/>
        <v>3390</v>
      </c>
      <c r="BR64" s="68">
        <f t="shared" si="125"/>
        <v>3714</v>
      </c>
      <c r="BS64" s="1112">
        <f t="shared" si="125"/>
        <v>12914</v>
      </c>
      <c r="BT64" s="68">
        <f t="shared" ref="BT64:BY64" si="126">BT381</f>
        <v>3989</v>
      </c>
      <c r="BU64" s="68">
        <f t="shared" si="126"/>
        <v>4291</v>
      </c>
      <c r="BV64" s="68">
        <f t="shared" si="126"/>
        <v>4705</v>
      </c>
      <c r="BW64" s="68">
        <f t="shared" si="126"/>
        <v>5512</v>
      </c>
      <c r="BX64" s="1112">
        <f t="shared" si="126"/>
        <v>18497</v>
      </c>
      <c r="BY64" s="588">
        <f t="shared" si="126"/>
        <v>6321</v>
      </c>
      <c r="BZ64" s="68">
        <f>BZ74+BZ71+BZ69+BZ73</f>
        <v>6610.8353475705444</v>
      </c>
      <c r="CA64" s="68">
        <f>CA74+CA71+CA69+CA73</f>
        <v>5653.7575170122436</v>
      </c>
      <c r="CB64" s="68">
        <f>CB74+CB71+CB69+CB73</f>
        <v>5905.6762241203924</v>
      </c>
      <c r="CC64" s="1112">
        <f>SUM(BY64,BZ64,CA64,CB64)</f>
        <v>24491.269088703179</v>
      </c>
      <c r="CD64" s="68">
        <f>CD74+CD71+CD69+CD73</f>
        <v>8062.2953039667955</v>
      </c>
      <c r="CE64" s="68">
        <f>CE74+CE71+CE69+CE73</f>
        <v>8436.8106100847399</v>
      </c>
      <c r="CF64" s="68">
        <f>CF74+CF71+CF69+CF73</f>
        <v>7053.3719169126043</v>
      </c>
      <c r="CG64" s="68">
        <f>CG74+CG71+CG69+CG73</f>
        <v>7346.671947154101</v>
      </c>
      <c r="CH64" s="1112">
        <f>SUM(CD64,CE64,CF64,CG64)</f>
        <v>30899.149778118241</v>
      </c>
      <c r="CI64" s="1112">
        <f>CI74+CI71+CI69+CI73</f>
        <v>36855.640129081679</v>
      </c>
      <c r="CJ64" s="1112">
        <f>CJ74+CJ71+CJ69+CJ73</f>
        <v>43293.116500215401</v>
      </c>
      <c r="CK64" s="1112">
        <f>CK74+CK71+CK69+CK73</f>
        <v>50869.684732943104</v>
      </c>
      <c r="CL64" s="155"/>
    </row>
    <row r="65" spans="1:90" hidden="1" outlineLevel="1" x14ac:dyDescent="0.3">
      <c r="A65" s="371" t="s">
        <v>708</v>
      </c>
      <c r="B65" s="582"/>
      <c r="C65" s="1115"/>
      <c r="D65" s="1115">
        <f t="shared" ref="D65:E65" si="127">D64/C64-1</f>
        <v>6.1891926312013679E-2</v>
      </c>
      <c r="E65" s="1115">
        <f t="shared" si="127"/>
        <v>-6.6040528095364315E-2</v>
      </c>
      <c r="F65" s="1115">
        <f>F64/E64-1</f>
        <v>0.18116112766985148</v>
      </c>
      <c r="G65" s="90"/>
      <c r="H65" s="90"/>
      <c r="I65" s="90"/>
      <c r="J65" s="90"/>
      <c r="K65" s="1115">
        <f t="shared" ref="K65:AW65" si="128">K64/F64-1</f>
        <v>0.14430109564584259</v>
      </c>
      <c r="L65" s="90">
        <f t="shared" si="128"/>
        <v>0.1523730019513776</v>
      </c>
      <c r="M65" s="90">
        <f t="shared" si="128"/>
        <v>0.17975198529124126</v>
      </c>
      <c r="N65" s="90">
        <f t="shared" si="128"/>
        <v>0.19745935674572435</v>
      </c>
      <c r="O65" s="90">
        <f t="shared" si="128"/>
        <v>0.12964125003775107</v>
      </c>
      <c r="P65" s="1115">
        <f t="shared" si="128"/>
        <v>0.16434669070028129</v>
      </c>
      <c r="Q65" s="90">
        <f t="shared" si="128"/>
        <v>2.0904080865384422E-2</v>
      </c>
      <c r="R65" s="90">
        <f t="shared" si="128"/>
        <v>1.5861915125791937E-2</v>
      </c>
      <c r="S65" s="90">
        <f t="shared" si="128"/>
        <v>-8.6395881208600755E-4</v>
      </c>
      <c r="T65" s="90">
        <f t="shared" si="128"/>
        <v>3.6712699879099864E-2</v>
      </c>
      <c r="U65" s="1115">
        <f t="shared" si="128"/>
        <v>1.8090571133838385E-2</v>
      </c>
      <c r="V65" s="90">
        <f t="shared" si="128"/>
        <v>1.4970059880239583E-2</v>
      </c>
      <c r="W65" s="90">
        <f t="shared" si="128"/>
        <v>-5.0445103857566731E-2</v>
      </c>
      <c r="X65" s="90">
        <f t="shared" si="128"/>
        <v>-3.2352941176470584E-2</v>
      </c>
      <c r="Y65" s="90">
        <f t="shared" si="128"/>
        <v>-1.4326647564469885E-2</v>
      </c>
      <c r="Z65" s="1115">
        <f t="shared" si="128"/>
        <v>-2.1323529411764741E-2</v>
      </c>
      <c r="AA65" s="90">
        <f t="shared" si="128"/>
        <v>2.0648967551622377E-2</v>
      </c>
      <c r="AB65" s="90">
        <f t="shared" si="128"/>
        <v>9.375E-2</v>
      </c>
      <c r="AC65" s="90">
        <f t="shared" si="128"/>
        <v>0.13373860182370811</v>
      </c>
      <c r="AD65" s="90">
        <f t="shared" si="128"/>
        <v>0.14534883720930236</v>
      </c>
      <c r="AE65" s="1115">
        <f t="shared" si="128"/>
        <v>9.9173553719008156E-2</v>
      </c>
      <c r="AF65" s="90">
        <f t="shared" si="128"/>
        <v>0.18786127167630062</v>
      </c>
      <c r="AG65" s="90">
        <f t="shared" si="128"/>
        <v>0.18857142857142861</v>
      </c>
      <c r="AH65" s="90">
        <f t="shared" si="128"/>
        <v>0.23860589812332433</v>
      </c>
      <c r="AI65" s="90">
        <f t="shared" si="128"/>
        <v>0.28934010152284273</v>
      </c>
      <c r="AJ65" s="1115">
        <f t="shared" si="128"/>
        <v>0.228298017771702</v>
      </c>
      <c r="AK65" s="90">
        <f t="shared" si="128"/>
        <v>0.31873479318734788</v>
      </c>
      <c r="AL65" s="90">
        <f t="shared" si="128"/>
        <v>0.39663461538461542</v>
      </c>
      <c r="AM65" s="90">
        <f t="shared" si="128"/>
        <v>0.30952380952380953</v>
      </c>
      <c r="AN65" s="90">
        <f t="shared" si="128"/>
        <v>0.27362204724409445</v>
      </c>
      <c r="AO65" s="1115">
        <f t="shared" si="128"/>
        <v>0.32220367278798001</v>
      </c>
      <c r="AP65" s="90">
        <f t="shared" si="128"/>
        <v>0.24354243542435428</v>
      </c>
      <c r="AQ65" s="90">
        <f t="shared" si="128"/>
        <v>0.2117039586919105</v>
      </c>
      <c r="AR65" s="90">
        <f t="shared" si="128"/>
        <v>0.17685950413223139</v>
      </c>
      <c r="AS65" s="90">
        <f t="shared" si="128"/>
        <v>0.14064914992272026</v>
      </c>
      <c r="AT65" s="1115">
        <f t="shared" si="128"/>
        <v>0.19065656565656575</v>
      </c>
      <c r="AU65" s="90">
        <f t="shared" si="128"/>
        <v>9.0504451038575739E-2</v>
      </c>
      <c r="AV65" s="90">
        <f t="shared" si="128"/>
        <v>0.41619318181818188</v>
      </c>
      <c r="AW65" s="90">
        <f t="shared" si="128"/>
        <v>0.47050561797752799</v>
      </c>
      <c r="AX65" s="90">
        <f t="shared" ref="AX65:BG65" si="129">AX64/AS64-1</f>
        <v>0.55420054200542013</v>
      </c>
      <c r="AY65" s="1115">
        <f t="shared" si="129"/>
        <v>0.38706256627783664</v>
      </c>
      <c r="AZ65" s="90">
        <f t="shared" si="129"/>
        <v>0.56870748299319729</v>
      </c>
      <c r="BA65" s="90">
        <f t="shared" si="129"/>
        <v>0.24874623871614854</v>
      </c>
      <c r="BB65" s="90">
        <f t="shared" si="129"/>
        <v>0.34001910219675269</v>
      </c>
      <c r="BC65" s="90">
        <f t="shared" si="129"/>
        <v>0.27811682650392333</v>
      </c>
      <c r="BD65" s="1115">
        <f t="shared" si="129"/>
        <v>0.34250764525993893</v>
      </c>
      <c r="BE65" s="90">
        <f t="shared" si="129"/>
        <v>0.40329575021682573</v>
      </c>
      <c r="BF65" s="90">
        <f t="shared" si="129"/>
        <v>0.46506024096385534</v>
      </c>
      <c r="BG65" s="90">
        <f t="shared" si="129"/>
        <v>0.38631503920171073</v>
      </c>
      <c r="BH65" s="90">
        <f t="shared" ref="BH65:BI65" si="130">BH64/BC64-1</f>
        <v>0.33083219645293305</v>
      </c>
      <c r="BI65" s="1115">
        <f t="shared" si="130"/>
        <v>0.39312832194381175</v>
      </c>
      <c r="BJ65" s="90">
        <f t="shared" ref="BJ65:BN65" si="131">BJ64/BE64-1</f>
        <v>0.15883807169344877</v>
      </c>
      <c r="BK65" s="90">
        <f t="shared" si="131"/>
        <v>0.11842105263157898</v>
      </c>
      <c r="BL65" s="90">
        <f t="shared" si="131"/>
        <v>0.17943444730077118</v>
      </c>
      <c r="BM65" s="90">
        <f t="shared" si="131"/>
        <v>0.26345463864684771</v>
      </c>
      <c r="BN65" s="1115">
        <f t="shared" si="131"/>
        <v>0.18204115002043886</v>
      </c>
      <c r="BO65" s="90">
        <f t="shared" ref="BO65:BS65" si="132">BO64/BJ64-1</f>
        <v>0.45066666666666677</v>
      </c>
      <c r="BP65" s="90">
        <f t="shared" si="132"/>
        <v>0.51470588235294112</v>
      </c>
      <c r="BQ65" s="90">
        <f t="shared" si="132"/>
        <v>0.47776809067131643</v>
      </c>
      <c r="BR65" s="90">
        <f t="shared" si="132"/>
        <v>0.50669371196754565</v>
      </c>
      <c r="BS65" s="1115">
        <f t="shared" si="132"/>
        <v>0.48864553314121029</v>
      </c>
      <c r="BT65" s="90">
        <f t="shared" ref="BT65:CH65" si="133">BT64/BO64-1</f>
        <v>0.46654411764705883</v>
      </c>
      <c r="BU65" s="90">
        <f t="shared" si="133"/>
        <v>0.38867313915857604</v>
      </c>
      <c r="BV65" s="90">
        <f t="shared" si="133"/>
        <v>0.38790560471976399</v>
      </c>
      <c r="BW65" s="90">
        <f t="shared" si="133"/>
        <v>0.48411416262789442</v>
      </c>
      <c r="BX65" s="1115">
        <f t="shared" si="133"/>
        <v>0.4323215115378658</v>
      </c>
      <c r="BY65" s="892">
        <f>BY64/BT64-1</f>
        <v>0.58460767109551259</v>
      </c>
      <c r="BZ65" s="90">
        <f t="shared" si="133"/>
        <v>0.54062813972746326</v>
      </c>
      <c r="CA65" s="90">
        <f t="shared" si="133"/>
        <v>0.20164878151163523</v>
      </c>
      <c r="CB65" s="90">
        <f t="shared" si="133"/>
        <v>7.1421666204715573E-2</v>
      </c>
      <c r="CC65" s="1115">
        <f t="shared" si="133"/>
        <v>0.32406709675640255</v>
      </c>
      <c r="CD65" s="90">
        <f t="shared" si="133"/>
        <v>0.2754778205927535</v>
      </c>
      <c r="CE65" s="90">
        <f t="shared" si="133"/>
        <v>0.27620946015320658</v>
      </c>
      <c r="CF65" s="90">
        <f t="shared" si="133"/>
        <v>0.24755472722148042</v>
      </c>
      <c r="CG65" s="90">
        <f t="shared" si="133"/>
        <v>0.2440018159390942</v>
      </c>
      <c r="CH65" s="1115">
        <f t="shared" si="133"/>
        <v>0.26163938937614128</v>
      </c>
      <c r="CI65" s="1115">
        <f>CI64/CH64-1</f>
        <v>0.19277198219808711</v>
      </c>
      <c r="CJ65" s="1115">
        <f>CJ64/CI64-1</f>
        <v>0.1746673331025419</v>
      </c>
      <c r="CK65" s="1115">
        <f>CK64/CJ64-1</f>
        <v>0.17500630227648339</v>
      </c>
      <c r="CL65" s="155"/>
    </row>
    <row r="66" spans="1:90" hidden="1" outlineLevel="1" x14ac:dyDescent="0.3">
      <c r="A66" s="621" t="s">
        <v>38</v>
      </c>
      <c r="B66" s="202"/>
      <c r="C66" s="1128">
        <f t="shared" ref="C66:AX66" si="134">C64/C44</f>
        <v>0.24990196676709903</v>
      </c>
      <c r="D66" s="1128">
        <f t="shared" si="134"/>
        <v>0.27321990894182829</v>
      </c>
      <c r="E66" s="1128">
        <f t="shared" si="134"/>
        <v>0.23955855952726673</v>
      </c>
      <c r="F66" s="1128">
        <f t="shared" si="134"/>
        <v>0.25078102918260203</v>
      </c>
      <c r="G66" s="315">
        <f t="shared" si="134"/>
        <v>0.30696189871734297</v>
      </c>
      <c r="H66" s="315">
        <f t="shared" si="134"/>
        <v>0.26927231463127349</v>
      </c>
      <c r="I66" s="315">
        <f t="shared" si="134"/>
        <v>0.23600833810864458</v>
      </c>
      <c r="J66" s="315">
        <f t="shared" si="134"/>
        <v>0.26922618262502007</v>
      </c>
      <c r="K66" s="1128">
        <f t="shared" si="134"/>
        <v>0.26804658425072525</v>
      </c>
      <c r="L66" s="315">
        <f t="shared" si="134"/>
        <v>0.34267061469155441</v>
      </c>
      <c r="M66" s="315">
        <f t="shared" si="134"/>
        <v>0.33946490005505309</v>
      </c>
      <c r="N66" s="315">
        <f t="shared" si="134"/>
        <v>0.32286969136604843</v>
      </c>
      <c r="O66" s="315">
        <f t="shared" si="134"/>
        <v>0.29421054379497602</v>
      </c>
      <c r="P66" s="1128">
        <f t="shared" si="134"/>
        <v>0.32344648910411622</v>
      </c>
      <c r="Q66" s="315">
        <f t="shared" si="134"/>
        <v>0.30281051677243881</v>
      </c>
      <c r="R66" s="315">
        <f t="shared" si="134"/>
        <v>0.30553037171350861</v>
      </c>
      <c r="S66" s="315">
        <f t="shared" si="134"/>
        <v>0.27755102040816326</v>
      </c>
      <c r="T66" s="315">
        <f t="shared" si="134"/>
        <v>0.27897681854516387</v>
      </c>
      <c r="U66" s="1128">
        <f t="shared" si="134"/>
        <v>0.29047415634344298</v>
      </c>
      <c r="V66" s="315">
        <f t="shared" si="134"/>
        <v>0.29452649869678538</v>
      </c>
      <c r="W66" s="315">
        <f t="shared" si="134"/>
        <v>0.27753686036426711</v>
      </c>
      <c r="X66" s="315">
        <f t="shared" si="134"/>
        <v>0.25210727969348656</v>
      </c>
      <c r="Y66" s="315">
        <f t="shared" si="134"/>
        <v>0.24553890078515347</v>
      </c>
      <c r="Z66" s="1128">
        <f t="shared" si="134"/>
        <v>0.26566866267465072</v>
      </c>
      <c r="AA66" s="315">
        <f t="shared" si="134"/>
        <v>0.26513409961685824</v>
      </c>
      <c r="AB66" s="315">
        <f t="shared" si="134"/>
        <v>0.24509803921568626</v>
      </c>
      <c r="AC66" s="315">
        <f t="shared" si="134"/>
        <v>0.18612774451097805</v>
      </c>
      <c r="AD66" s="315">
        <f t="shared" si="134"/>
        <v>0.18131615278416935</v>
      </c>
      <c r="AE66" s="1128">
        <f t="shared" si="134"/>
        <v>0.21172214182344429</v>
      </c>
      <c r="AF66" s="315">
        <f t="shared" si="134"/>
        <v>0.2121837893649974</v>
      </c>
      <c r="AG66" s="315">
        <f t="shared" si="134"/>
        <v>0.18654708520179372</v>
      </c>
      <c r="AH66" s="315">
        <f t="shared" si="134"/>
        <v>0.17526555386949924</v>
      </c>
      <c r="AI66" s="315">
        <f t="shared" si="134"/>
        <v>0.1745104774991412</v>
      </c>
      <c r="AJ66" s="1128">
        <f t="shared" si="134"/>
        <v>0.18499073502161828</v>
      </c>
      <c r="AK66" s="315">
        <f t="shared" si="134"/>
        <v>0.1690053009042719</v>
      </c>
      <c r="AL66" s="315">
        <f t="shared" si="134"/>
        <v>0.18603906500160103</v>
      </c>
      <c r="AM66" s="315">
        <f t="shared" si="134"/>
        <v>0.19019176359635334</v>
      </c>
      <c r="AN66" s="315">
        <f t="shared" si="134"/>
        <v>0.29342403628117913</v>
      </c>
      <c r="AO66" s="1128">
        <f t="shared" si="134"/>
        <v>0.20279959030385797</v>
      </c>
      <c r="AP66" s="315">
        <f t="shared" si="134"/>
        <v>0.30360360360360361</v>
      </c>
      <c r="AQ66" s="315">
        <f t="shared" si="134"/>
        <v>0.27297402093834822</v>
      </c>
      <c r="AR66" s="315">
        <f t="shared" si="134"/>
        <v>0.23623092236230922</v>
      </c>
      <c r="AS66" s="315">
        <f t="shared" si="134"/>
        <v>0.23768115942028986</v>
      </c>
      <c r="AT66" s="1128">
        <f t="shared" si="134"/>
        <v>0.25911339073090311</v>
      </c>
      <c r="AU66" s="315">
        <f t="shared" si="134"/>
        <v>0.23863636363636365</v>
      </c>
      <c r="AV66" s="315">
        <f t="shared" si="134"/>
        <v>0.2578892912571133</v>
      </c>
      <c r="AW66" s="315">
        <f t="shared" si="134"/>
        <v>0.22154041472704189</v>
      </c>
      <c r="AX66" s="315">
        <f t="shared" si="134"/>
        <v>0.2292624425344793</v>
      </c>
      <c r="AY66" s="1128">
        <f t="shared" ref="AY66:BG66" si="135">AY64/AY44</f>
        <v>0.2353223388305847</v>
      </c>
      <c r="AZ66" s="315">
        <f t="shared" si="135"/>
        <v>0.20367426249779191</v>
      </c>
      <c r="BA66" s="315">
        <f t="shared" si="135"/>
        <v>0.19133241124942368</v>
      </c>
      <c r="BB66" s="315">
        <f t="shared" si="135"/>
        <v>0.19752217372941011</v>
      </c>
      <c r="BC66" s="315">
        <f t="shared" si="135"/>
        <v>0.19180949888787124</v>
      </c>
      <c r="BD66" s="1128">
        <f t="shared" si="135"/>
        <v>0.19573456193802483</v>
      </c>
      <c r="BE66" s="315">
        <f t="shared" si="135"/>
        <v>0.19522200772200773</v>
      </c>
      <c r="BF66" s="315">
        <f t="shared" si="135"/>
        <v>0.27207637231503579</v>
      </c>
      <c r="BG66" s="315">
        <f t="shared" si="135"/>
        <v>0.32793795312763446</v>
      </c>
      <c r="BH66" s="315">
        <f t="shared" ref="BH66:BI66" si="136">BH64/BH44</f>
        <v>0.3224260452817716</v>
      </c>
      <c r="BI66" s="1128">
        <f t="shared" si="136"/>
        <v>0.27207681471046191</v>
      </c>
      <c r="BJ66" s="315">
        <f t="shared" ref="BJ66:BN66" si="137">BJ64/BJ44</f>
        <v>0.26070634037819801</v>
      </c>
      <c r="BK66" s="315">
        <f t="shared" si="137"/>
        <v>0.15103279780854373</v>
      </c>
      <c r="BL66" s="315">
        <f t="shared" si="137"/>
        <v>0.12660044150110375</v>
      </c>
      <c r="BM66" s="315">
        <f t="shared" si="137"/>
        <v>0.11152332262588789</v>
      </c>
      <c r="BN66" s="1128">
        <f t="shared" si="137"/>
        <v>0.14239519385443683</v>
      </c>
      <c r="BO66" s="315">
        <f t="shared" ref="BO66:BS66" si="138">BO64/BO44</f>
        <v>0.10443864229765012</v>
      </c>
      <c r="BP66" s="315">
        <f t="shared" si="138"/>
        <v>0.10286284953395473</v>
      </c>
      <c r="BQ66" s="315">
        <f t="shared" si="138"/>
        <v>9.6630750812382413E-2</v>
      </c>
      <c r="BR66" s="315">
        <f t="shared" si="138"/>
        <v>9.4429330553507412E-2</v>
      </c>
      <c r="BS66" s="1128">
        <f t="shared" si="138"/>
        <v>9.8960129351632606E-2</v>
      </c>
      <c r="BT66" s="315">
        <f t="shared" ref="BT66:CK66" si="139">BT64/BT44</f>
        <v>9.0531523761971766E-2</v>
      </c>
      <c r="BU66" s="315">
        <f t="shared" si="139"/>
        <v>9.1799841687525405E-2</v>
      </c>
      <c r="BV66" s="315">
        <f t="shared" si="139"/>
        <v>8.2535171736308463E-2</v>
      </c>
      <c r="BW66" s="315">
        <f t="shared" si="139"/>
        <v>8.0907716470709115E-2</v>
      </c>
      <c r="BX66" s="1128">
        <f t="shared" si="139"/>
        <v>8.5658846520760584E-2</v>
      </c>
      <c r="BY66" s="897">
        <f>BY64/BY44</f>
        <v>7.7448998345892306E-2</v>
      </c>
      <c r="BZ66" s="315">
        <f t="shared" si="139"/>
        <v>7.2699676956977516E-2</v>
      </c>
      <c r="CA66" s="315">
        <f t="shared" si="139"/>
        <v>6.1765533452619023E-2</v>
      </c>
      <c r="CB66" s="315">
        <f t="shared" si="139"/>
        <v>6.2825707869126779E-2</v>
      </c>
      <c r="CC66" s="1128">
        <f t="shared" si="139"/>
        <v>6.8395081262503807E-2</v>
      </c>
      <c r="CD66" s="315">
        <f t="shared" si="139"/>
        <v>7.6402805856766523E-2</v>
      </c>
      <c r="CE66" s="315">
        <f t="shared" si="139"/>
        <v>7.1699676956977515E-2</v>
      </c>
      <c r="CF66" s="315">
        <f t="shared" si="139"/>
        <v>6.1765533452619016E-2</v>
      </c>
      <c r="CG66" s="315">
        <f t="shared" si="139"/>
        <v>6.2825707869126779E-2</v>
      </c>
      <c r="CH66" s="1128">
        <f t="shared" si="139"/>
        <v>6.8011030772946568E-2</v>
      </c>
      <c r="CI66" s="1128">
        <f t="shared" si="139"/>
        <v>6.8011030772946554E-2</v>
      </c>
      <c r="CJ66" s="1128">
        <f t="shared" si="139"/>
        <v>6.8011030772946568E-2</v>
      </c>
      <c r="CK66" s="1128">
        <f t="shared" si="139"/>
        <v>6.8011030772946568E-2</v>
      </c>
      <c r="CL66" s="155"/>
    </row>
    <row r="67" spans="1:90" hidden="1" outlineLevel="1" x14ac:dyDescent="0.3">
      <c r="A67" s="99" t="s">
        <v>709</v>
      </c>
      <c r="B67" s="598"/>
      <c r="C67" s="1112"/>
      <c r="D67" s="1112">
        <f>-(D66-C66)*10000</f>
        <v>-233.17942174729268</v>
      </c>
      <c r="E67" s="1112">
        <f t="shared" ref="E67:F67" si="140">-(E66-D66)*10000</f>
        <v>336.61349414561556</v>
      </c>
      <c r="F67" s="1112">
        <f t="shared" si="140"/>
        <v>-112.22469655335298</v>
      </c>
      <c r="G67" s="68"/>
      <c r="H67" s="68"/>
      <c r="I67" s="68"/>
      <c r="J67" s="68"/>
      <c r="K67" s="1112">
        <f>-(K66-F66)*10000</f>
        <v>-172.65555068123217</v>
      </c>
      <c r="L67" s="68">
        <f t="shared" ref="L67:BE67" si="141">-(L66-G66)*10000</f>
        <v>-357.08715974211435</v>
      </c>
      <c r="M67" s="68">
        <f t="shared" si="141"/>
        <v>-701.92585423779599</v>
      </c>
      <c r="N67" s="68">
        <f t="shared" si="141"/>
        <v>-868.61353257403846</v>
      </c>
      <c r="O67" s="68">
        <f t="shared" si="141"/>
        <v>-249.84361169955949</v>
      </c>
      <c r="P67" s="1112">
        <f t="shared" si="141"/>
        <v>-553.99904853390967</v>
      </c>
      <c r="Q67" s="68">
        <f t="shared" si="141"/>
        <v>398.600979191156</v>
      </c>
      <c r="R67" s="68">
        <f t="shared" si="141"/>
        <v>339.34528341544478</v>
      </c>
      <c r="S67" s="68">
        <f t="shared" si="141"/>
        <v>453.18670957885166</v>
      </c>
      <c r="T67" s="68">
        <f t="shared" si="141"/>
        <v>152.33725249812147</v>
      </c>
      <c r="U67" s="1112">
        <f t="shared" si="141"/>
        <v>329.72332760673237</v>
      </c>
      <c r="V67" s="68">
        <f t="shared" si="141"/>
        <v>82.840180756534323</v>
      </c>
      <c r="W67" s="68">
        <f t="shared" si="141"/>
        <v>279.93511349241493</v>
      </c>
      <c r="X67" s="68">
        <f t="shared" si="141"/>
        <v>254.43740714676699</v>
      </c>
      <c r="Y67" s="68">
        <f t="shared" si="141"/>
        <v>334.37917760010401</v>
      </c>
      <c r="Z67" s="1112">
        <f t="shared" si="141"/>
        <v>248.05493668792255</v>
      </c>
      <c r="AA67" s="68">
        <f t="shared" si="141"/>
        <v>293.92399079927134</v>
      </c>
      <c r="AB67" s="68">
        <f t="shared" si="141"/>
        <v>324.38821148580848</v>
      </c>
      <c r="AC67" s="68">
        <f t="shared" si="141"/>
        <v>659.79535182508516</v>
      </c>
      <c r="AD67" s="68">
        <f t="shared" si="141"/>
        <v>642.2274800098412</v>
      </c>
      <c r="AE67" s="1112">
        <f t="shared" si="141"/>
        <v>539.46520851206435</v>
      </c>
      <c r="AF67" s="68">
        <f t="shared" si="141"/>
        <v>529.50310251860833</v>
      </c>
      <c r="AG67" s="68">
        <f t="shared" si="141"/>
        <v>585.50954013892544</v>
      </c>
      <c r="AH67" s="68">
        <f t="shared" si="141"/>
        <v>108.62190641478809</v>
      </c>
      <c r="AI67" s="68">
        <f t="shared" si="141"/>
        <v>68.056752850281512</v>
      </c>
      <c r="AJ67" s="1112">
        <f t="shared" si="141"/>
        <v>267.31406801826006</v>
      </c>
      <c r="AK67" s="68">
        <f t="shared" si="141"/>
        <v>431.78488460725498</v>
      </c>
      <c r="AL67" s="68">
        <f t="shared" si="141"/>
        <v>5.0802020019269367</v>
      </c>
      <c r="AM67" s="68">
        <f t="shared" si="141"/>
        <v>-149.262097268541</v>
      </c>
      <c r="AN67" s="68">
        <f t="shared" si="141"/>
        <v>-1189.1355878203794</v>
      </c>
      <c r="AO67" s="1112">
        <f t="shared" si="141"/>
        <v>-178.08855282239688</v>
      </c>
      <c r="AP67" s="68">
        <f t="shared" si="141"/>
        <v>-1345.983026993317</v>
      </c>
      <c r="AQ67" s="68">
        <f t="shared" si="141"/>
        <v>-869.3495593674719</v>
      </c>
      <c r="AR67" s="68">
        <f t="shared" si="141"/>
        <v>-460.39158765955881</v>
      </c>
      <c r="AS67" s="68">
        <f t="shared" si="141"/>
        <v>557.42876860889271</v>
      </c>
      <c r="AT67" s="1112">
        <f t="shared" si="141"/>
        <v>-563.13800427045146</v>
      </c>
      <c r="AU67" s="68">
        <f t="shared" si="141"/>
        <v>649.67239967239959</v>
      </c>
      <c r="AV67" s="68">
        <f t="shared" si="141"/>
        <v>150.84729681234921</v>
      </c>
      <c r="AW67" s="68">
        <f t="shared" si="141"/>
        <v>146.90507635267329</v>
      </c>
      <c r="AX67" s="68">
        <f t="shared" si="141"/>
        <v>84.187168858105565</v>
      </c>
      <c r="AY67" s="1112">
        <f t="shared" si="141"/>
        <v>237.91051900318411</v>
      </c>
      <c r="AZ67" s="68">
        <f t="shared" si="141"/>
        <v>349.62101138571734</v>
      </c>
      <c r="BA67" s="68">
        <f t="shared" si="141"/>
        <v>665.56880007689608</v>
      </c>
      <c r="BB67" s="68">
        <f t="shared" si="141"/>
        <v>240.18240997631779</v>
      </c>
      <c r="BC67" s="68">
        <f t="shared" si="141"/>
        <v>374.5294364660806</v>
      </c>
      <c r="BD67" s="1112">
        <f t="shared" si="141"/>
        <v>395.87776892559879</v>
      </c>
      <c r="BE67" s="68">
        <f t="shared" si="141"/>
        <v>84.522547757841792</v>
      </c>
      <c r="BF67" s="68">
        <f t="shared" ref="BF67:BG67" si="142">-(BF66-BA66)*10000</f>
        <v>-807.43961065612098</v>
      </c>
      <c r="BG67" s="68">
        <f t="shared" si="142"/>
        <v>-1304.1577939822434</v>
      </c>
      <c r="BH67" s="68">
        <f t="shared" ref="BH67:BI67" si="143">-(BH66-BC66)*10000</f>
        <v>-1306.1654639390035</v>
      </c>
      <c r="BI67" s="1112">
        <f t="shared" si="143"/>
        <v>-763.42252772437087</v>
      </c>
      <c r="BJ67" s="68">
        <f t="shared" ref="BJ67:BN67" si="144">-(BJ66-BE66)*10000</f>
        <v>-654.8433265619027</v>
      </c>
      <c r="BK67" s="68">
        <f t="shared" si="144"/>
        <v>1210.4357450649206</v>
      </c>
      <c r="BL67" s="68">
        <f t="shared" si="144"/>
        <v>2013.375116265307</v>
      </c>
      <c r="BM67" s="68">
        <f t="shared" si="144"/>
        <v>2109.0272265588374</v>
      </c>
      <c r="BN67" s="1112">
        <f t="shared" si="144"/>
        <v>1296.8162085602507</v>
      </c>
      <c r="BO67" s="68">
        <f t="shared" ref="BO67:BS67" si="145">-(BO66-BJ66)*10000</f>
        <v>1562.6769808054789</v>
      </c>
      <c r="BP67" s="68">
        <f t="shared" si="145"/>
        <v>481.69948274588995</v>
      </c>
      <c r="BQ67" s="68">
        <f t="shared" si="145"/>
        <v>299.69690688721334</v>
      </c>
      <c r="BR67" s="68">
        <f t="shared" si="145"/>
        <v>170.93992072380479</v>
      </c>
      <c r="BS67" s="1112">
        <f t="shared" si="145"/>
        <v>434.35064502804227</v>
      </c>
      <c r="BT67" s="68">
        <f t="shared" ref="BT67:CH67" si="146">-(BT66-BO66)*10000</f>
        <v>139.07118535678359</v>
      </c>
      <c r="BU67" s="68">
        <f t="shared" si="146"/>
        <v>110.63007846429329</v>
      </c>
      <c r="BV67" s="68">
        <f t="shared" si="146"/>
        <v>140.95579076073949</v>
      </c>
      <c r="BW67" s="68">
        <f t="shared" si="146"/>
        <v>135.21614082798297</v>
      </c>
      <c r="BX67" s="1112">
        <f t="shared" si="146"/>
        <v>133.0128283087202</v>
      </c>
      <c r="BY67" s="588">
        <f>-(BY66-BT66)*10000</f>
        <v>130.8252541607946</v>
      </c>
      <c r="BZ67" s="68">
        <f t="shared" si="146"/>
        <v>191.00164730547888</v>
      </c>
      <c r="CA67" s="68">
        <f t="shared" si="146"/>
        <v>207.6963828368944</v>
      </c>
      <c r="CB67" s="68">
        <f t="shared" si="146"/>
        <v>180.82008601582336</v>
      </c>
      <c r="CC67" s="1112">
        <f t="shared" si="146"/>
        <v>172.63765258256777</v>
      </c>
      <c r="CD67" s="68">
        <f t="shared" si="146"/>
        <v>10.461924891257828</v>
      </c>
      <c r="CE67" s="68">
        <f t="shared" si="146"/>
        <v>10.000000000000009</v>
      </c>
      <c r="CF67" s="68">
        <f t="shared" si="146"/>
        <v>6.9388939039072284E-14</v>
      </c>
      <c r="CG67" s="68">
        <f t="shared" si="146"/>
        <v>0</v>
      </c>
      <c r="CH67" s="1112">
        <f t="shared" si="146"/>
        <v>3.8405048955723888</v>
      </c>
      <c r="CI67" s="1112">
        <f>-(CI66-CH66)*10000</f>
        <v>1.3877787807814457E-13</v>
      </c>
      <c r="CJ67" s="1112">
        <f>-(CJ66-CI66)*10000</f>
        <v>-1.3877787807814457E-13</v>
      </c>
      <c r="CK67" s="1112">
        <f>-(CK66-CJ66)*10000</f>
        <v>0</v>
      </c>
      <c r="CL67" s="155"/>
    </row>
    <row r="68" spans="1:90" ht="7.35" hidden="1" customHeight="1" outlineLevel="1" x14ac:dyDescent="0.3">
      <c r="A68" s="99"/>
      <c r="B68" s="598"/>
      <c r="C68" s="1112"/>
      <c r="D68" s="1112"/>
      <c r="E68" s="1112"/>
      <c r="F68" s="1112"/>
      <c r="G68" s="68"/>
      <c r="H68" s="68"/>
      <c r="I68" s="68"/>
      <c r="J68" s="68"/>
      <c r="K68" s="1112"/>
      <c r="L68" s="68"/>
      <c r="M68" s="68"/>
      <c r="N68" s="68"/>
      <c r="O68" s="68"/>
      <c r="P68" s="1112"/>
      <c r="Q68" s="68"/>
      <c r="R68" s="68"/>
      <c r="S68" s="68"/>
      <c r="T68" s="68"/>
      <c r="U68" s="1112"/>
      <c r="V68" s="68"/>
      <c r="W68" s="68"/>
      <c r="X68" s="68"/>
      <c r="Y68" s="68"/>
      <c r="Z68" s="1112"/>
      <c r="AA68" s="68"/>
      <c r="AB68" s="68"/>
      <c r="AC68" s="68"/>
      <c r="AD68" s="68"/>
      <c r="AE68" s="1112"/>
      <c r="AF68" s="68"/>
      <c r="AG68" s="68"/>
      <c r="AH68" s="68"/>
      <c r="AI68" s="68"/>
      <c r="AJ68" s="1112"/>
      <c r="AK68" s="68"/>
      <c r="AL68" s="68"/>
      <c r="AM68" s="68"/>
      <c r="AN68" s="68"/>
      <c r="AO68" s="1112"/>
      <c r="AP68" s="68"/>
      <c r="AQ68" s="68"/>
      <c r="AR68" s="68"/>
      <c r="AS68" s="68"/>
      <c r="AT68" s="1112"/>
      <c r="AU68" s="68"/>
      <c r="AV68" s="68"/>
      <c r="AW68" s="68"/>
      <c r="AX68" s="68"/>
      <c r="AY68" s="1112"/>
      <c r="AZ68" s="68"/>
      <c r="BA68" s="68"/>
      <c r="BB68" s="68"/>
      <c r="BC68" s="68"/>
      <c r="BD68" s="1112"/>
      <c r="BE68" s="68"/>
      <c r="BF68" s="68"/>
      <c r="BG68" s="68"/>
      <c r="BH68" s="68"/>
      <c r="BI68" s="1112"/>
      <c r="BJ68" s="68"/>
      <c r="BK68" s="68"/>
      <c r="BL68" s="68"/>
      <c r="BM68" s="68"/>
      <c r="BN68" s="1112"/>
      <c r="BO68" s="68"/>
      <c r="BP68" s="68"/>
      <c r="BQ68" s="68"/>
      <c r="BR68" s="68"/>
      <c r="BS68" s="1112"/>
      <c r="BT68" s="68"/>
      <c r="BU68" s="68"/>
      <c r="BV68" s="68"/>
      <c r="BW68" s="68"/>
      <c r="BX68" s="1112"/>
      <c r="BY68" s="588"/>
      <c r="BZ68" s="68"/>
      <c r="CA68" s="68"/>
      <c r="CB68" s="68"/>
      <c r="CC68" s="1112"/>
      <c r="CD68" s="68"/>
      <c r="CE68" s="68"/>
      <c r="CF68" s="68"/>
      <c r="CG68" s="68"/>
      <c r="CH68" s="1112"/>
      <c r="CI68" s="1112"/>
      <c r="CJ68" s="1112"/>
      <c r="CK68" s="1112"/>
      <c r="CL68" s="155"/>
    </row>
    <row r="69" spans="1:90" hidden="1" outlineLevel="1" x14ac:dyDescent="0.3">
      <c r="A69" s="99" t="s">
        <v>713</v>
      </c>
      <c r="B69" s="598"/>
      <c r="C69" s="1112">
        <f t="shared" ref="C69:BD69" si="147">C382</f>
        <v>98.007000000000005</v>
      </c>
      <c r="D69" s="1112">
        <f t="shared" si="147"/>
        <v>61.337000000000003</v>
      </c>
      <c r="E69" s="1112">
        <f t="shared" si="147"/>
        <v>57.973999999999997</v>
      </c>
      <c r="F69" s="1112">
        <f t="shared" si="147"/>
        <v>80.501999999999995</v>
      </c>
      <c r="G69" s="68">
        <f t="shared" si="147"/>
        <v>21.207000000000001</v>
      </c>
      <c r="H69" s="68">
        <f t="shared" si="147"/>
        <v>18.885000000000002</v>
      </c>
      <c r="I69" s="68">
        <f t="shared" si="147"/>
        <v>20.056000000000001</v>
      </c>
      <c r="J69" s="68">
        <f t="shared" si="147"/>
        <v>22.009</v>
      </c>
      <c r="K69" s="1112">
        <f t="shared" si="147"/>
        <v>82.156999999999996</v>
      </c>
      <c r="L69" s="68">
        <f t="shared" si="147"/>
        <v>21.934999999999999</v>
      </c>
      <c r="M69" s="68">
        <f t="shared" si="147"/>
        <v>18.555</v>
      </c>
      <c r="N69" s="68">
        <f t="shared" si="147"/>
        <v>20.902000000000001</v>
      </c>
      <c r="O69" s="68">
        <f t="shared" si="147"/>
        <v>21.547999999999998</v>
      </c>
      <c r="P69" s="1112">
        <f t="shared" si="147"/>
        <v>82.94</v>
      </c>
      <c r="Q69" s="68">
        <f t="shared" si="147"/>
        <v>20.955999999999996</v>
      </c>
      <c r="R69" s="68">
        <f t="shared" si="147"/>
        <v>21</v>
      </c>
      <c r="S69" s="68">
        <f t="shared" si="147"/>
        <v>22.68</v>
      </c>
      <c r="T69" s="68">
        <f t="shared" si="147"/>
        <v>23</v>
      </c>
      <c r="U69" s="1112">
        <f t="shared" si="147"/>
        <v>87.635999999999996</v>
      </c>
      <c r="V69" s="68">
        <f t="shared" si="147"/>
        <v>27</v>
      </c>
      <c r="W69" s="68">
        <f t="shared" si="147"/>
        <v>27</v>
      </c>
      <c r="X69" s="68">
        <f t="shared" si="147"/>
        <v>28</v>
      </c>
      <c r="Y69" s="68">
        <f t="shared" si="147"/>
        <v>33</v>
      </c>
      <c r="Z69" s="1112">
        <f t="shared" si="147"/>
        <v>115</v>
      </c>
      <c r="AA69" s="68">
        <f t="shared" si="147"/>
        <v>29</v>
      </c>
      <c r="AB69" s="68">
        <f t="shared" si="147"/>
        <v>30</v>
      </c>
      <c r="AC69" s="68">
        <f t="shared" si="147"/>
        <v>35</v>
      </c>
      <c r="AD69" s="68">
        <f t="shared" si="147"/>
        <v>40</v>
      </c>
      <c r="AE69" s="1112">
        <f t="shared" si="147"/>
        <v>134</v>
      </c>
      <c r="AF69" s="68">
        <f t="shared" si="147"/>
        <v>41</v>
      </c>
      <c r="AG69" s="68">
        <f t="shared" si="147"/>
        <v>44</v>
      </c>
      <c r="AH69" s="68">
        <f t="shared" si="147"/>
        <v>61</v>
      </c>
      <c r="AI69" s="68">
        <f t="shared" si="147"/>
        <v>73</v>
      </c>
      <c r="AJ69" s="1112">
        <f t="shared" si="147"/>
        <v>219</v>
      </c>
      <c r="AK69" s="68">
        <f t="shared" si="147"/>
        <v>74</v>
      </c>
      <c r="AL69" s="68">
        <f t="shared" si="147"/>
        <v>76</v>
      </c>
      <c r="AM69" s="68">
        <f t="shared" si="147"/>
        <v>88</v>
      </c>
      <c r="AN69" s="68">
        <f t="shared" si="147"/>
        <v>99</v>
      </c>
      <c r="AO69" s="1112">
        <f t="shared" si="147"/>
        <v>336</v>
      </c>
      <c r="AP69" s="68">
        <f t="shared" si="147"/>
        <v>114</v>
      </c>
      <c r="AQ69" s="68">
        <f t="shared" si="147"/>
        <v>145</v>
      </c>
      <c r="AR69" s="68">
        <f t="shared" si="147"/>
        <v>141</v>
      </c>
      <c r="AS69" s="68">
        <f t="shared" si="147"/>
        <v>140</v>
      </c>
      <c r="AT69" s="1112">
        <f t="shared" si="147"/>
        <v>540</v>
      </c>
      <c r="AU69" s="68">
        <f t="shared" si="147"/>
        <v>134</v>
      </c>
      <c r="AV69" s="68">
        <f t="shared" si="147"/>
        <v>228</v>
      </c>
      <c r="AW69" s="68">
        <f t="shared" si="147"/>
        <v>232</v>
      </c>
      <c r="AX69" s="68">
        <f t="shared" si="147"/>
        <v>266</v>
      </c>
      <c r="AY69" s="1112">
        <f t="shared" si="147"/>
        <v>860</v>
      </c>
      <c r="AZ69" s="68">
        <f t="shared" si="147"/>
        <v>276</v>
      </c>
      <c r="BA69" s="68">
        <f t="shared" si="147"/>
        <v>297</v>
      </c>
      <c r="BB69" s="68">
        <f t="shared" si="147"/>
        <v>363</v>
      </c>
      <c r="BC69" s="68">
        <f t="shared" si="147"/>
        <v>362</v>
      </c>
      <c r="BD69" s="1112">
        <f t="shared" si="147"/>
        <v>1298</v>
      </c>
      <c r="BE69" s="68">
        <f t="shared" ref="BE69:BJ69" si="148">BE382</f>
        <v>384</v>
      </c>
      <c r="BF69" s="68">
        <f t="shared" si="148"/>
        <v>452</v>
      </c>
      <c r="BG69" s="68">
        <f t="shared" si="148"/>
        <v>530</v>
      </c>
      <c r="BH69" s="68">
        <f t="shared" si="148"/>
        <v>527</v>
      </c>
      <c r="BI69" s="1112">
        <f t="shared" si="148"/>
        <v>1892</v>
      </c>
      <c r="BJ69" s="68">
        <f t="shared" si="148"/>
        <v>524</v>
      </c>
      <c r="BK69" s="68">
        <f t="shared" ref="BK69:BP69" si="149">BK382</f>
        <v>600</v>
      </c>
      <c r="BL69" s="68">
        <f t="shared" si="149"/>
        <v>701</v>
      </c>
      <c r="BM69" s="68">
        <f t="shared" si="149"/>
        <v>706</v>
      </c>
      <c r="BN69" s="1112">
        <f t="shared" si="149"/>
        <v>2532</v>
      </c>
      <c r="BO69" s="68">
        <f t="shared" si="149"/>
        <v>727</v>
      </c>
      <c r="BP69" s="68">
        <f t="shared" si="149"/>
        <v>832</v>
      </c>
      <c r="BQ69" s="68">
        <f t="shared" ref="BQ69:BV69" si="150">BQ382</f>
        <v>910</v>
      </c>
      <c r="BR69" s="68">
        <f t="shared" si="150"/>
        <v>955</v>
      </c>
      <c r="BS69" s="1112">
        <f t="shared" si="150"/>
        <v>3423</v>
      </c>
      <c r="BT69" s="68">
        <f t="shared" si="150"/>
        <v>1063</v>
      </c>
      <c r="BU69" s="68">
        <f t="shared" si="150"/>
        <v>1191</v>
      </c>
      <c r="BV69" s="68">
        <f t="shared" si="150"/>
        <v>1206</v>
      </c>
      <c r="BW69" s="68">
        <f>BW382</f>
        <v>1217</v>
      </c>
      <c r="BX69" s="1112">
        <f>BX382</f>
        <v>4676</v>
      </c>
      <c r="BY69" s="588">
        <f>BY382</f>
        <v>0</v>
      </c>
      <c r="BZ69" s="68">
        <f>BZ44*BZ70</f>
        <v>0</v>
      </c>
      <c r="CA69" s="68">
        <f>CA44*CA70</f>
        <v>0</v>
      </c>
      <c r="CB69" s="68">
        <f>CB44*CB70</f>
        <v>0</v>
      </c>
      <c r="CC69" s="1112">
        <f>SUM(BY69,BZ69,CA69,CB69)</f>
        <v>0</v>
      </c>
      <c r="CD69" s="68">
        <f>CD44*CD70</f>
        <v>0</v>
      </c>
      <c r="CE69" s="68">
        <f>CE44*CE70</f>
        <v>0</v>
      </c>
      <c r="CF69" s="68">
        <f>CF44*CF70</f>
        <v>0</v>
      </c>
      <c r="CG69" s="68">
        <f>CG44*CG70</f>
        <v>0</v>
      </c>
      <c r="CH69" s="1112">
        <f>SUM(CD69,CE69,CF69,CG69)</f>
        <v>0</v>
      </c>
      <c r="CI69" s="1112">
        <f>CI44*CI70</f>
        <v>0</v>
      </c>
      <c r="CJ69" s="1112">
        <f>CJ44*CJ70</f>
        <v>0</v>
      </c>
      <c r="CK69" s="1112">
        <f>CK44*CK70</f>
        <v>0</v>
      </c>
      <c r="CL69" s="155"/>
    </row>
    <row r="70" spans="1:90" hidden="1" outlineLevel="1" x14ac:dyDescent="0.3">
      <c r="A70" s="648" t="s">
        <v>714</v>
      </c>
      <c r="B70" s="582"/>
      <c r="C70" s="1115">
        <f t="shared" ref="C70:BD70" si="151">C69/C44</f>
        <v>2.8616360556741171E-2</v>
      </c>
      <c r="D70" s="1115">
        <f t="shared" si="151"/>
        <v>1.8439204616339668E-2</v>
      </c>
      <c r="E70" s="1115">
        <f t="shared" si="151"/>
        <v>1.6361542275878282E-2</v>
      </c>
      <c r="F70" s="1115">
        <f t="shared" si="151"/>
        <v>2.0135920338775315E-2</v>
      </c>
      <c r="G70" s="90">
        <f t="shared" si="151"/>
        <v>2.2929535494990147E-2</v>
      </c>
      <c r="H70" s="90">
        <f t="shared" si="151"/>
        <v>1.8084403458875579E-2</v>
      </c>
      <c r="I70" s="90">
        <f t="shared" si="151"/>
        <v>1.6656285555306412E-2</v>
      </c>
      <c r="J70" s="90">
        <f t="shared" si="151"/>
        <v>1.988342238066243E-2</v>
      </c>
      <c r="K70" s="1115">
        <f t="shared" si="151"/>
        <v>1.9194847668042241E-2</v>
      </c>
      <c r="L70" s="90">
        <f t="shared" si="151"/>
        <v>2.2974865382057293E-2</v>
      </c>
      <c r="M70" s="90">
        <f t="shared" si="151"/>
        <v>1.8987186335365589E-2</v>
      </c>
      <c r="N70" s="90">
        <f t="shared" si="151"/>
        <v>1.9831740462462295E-2</v>
      </c>
      <c r="O70" s="90">
        <f t="shared" si="151"/>
        <v>1.8832075705853248E-2</v>
      </c>
      <c r="P70" s="1115">
        <f t="shared" si="151"/>
        <v>2.0082324455205809E-2</v>
      </c>
      <c r="Q70" s="90">
        <f t="shared" si="151"/>
        <v>1.8999093381686306E-2</v>
      </c>
      <c r="R70" s="90">
        <f t="shared" si="151"/>
        <v>1.9038984587488667E-2</v>
      </c>
      <c r="S70" s="90">
        <f t="shared" si="151"/>
        <v>1.8514285714285716E-2</v>
      </c>
      <c r="T70" s="90">
        <f t="shared" si="151"/>
        <v>1.838529176658673E-2</v>
      </c>
      <c r="U70" s="1115">
        <f t="shared" si="151"/>
        <v>1.8717642033319094E-2</v>
      </c>
      <c r="V70" s="90">
        <f t="shared" si="151"/>
        <v>2.3457862728062554E-2</v>
      </c>
      <c r="W70" s="90">
        <f t="shared" si="151"/>
        <v>2.3417172593235037E-2</v>
      </c>
      <c r="X70" s="90">
        <f t="shared" si="151"/>
        <v>2.1455938697318006E-2</v>
      </c>
      <c r="Y70" s="90">
        <f t="shared" si="151"/>
        <v>2.3554603854389723E-2</v>
      </c>
      <c r="Z70" s="1115">
        <f t="shared" si="151"/>
        <v>2.2954091816367265E-2</v>
      </c>
      <c r="AA70" s="90">
        <f t="shared" si="151"/>
        <v>2.2222222222222223E-2</v>
      </c>
      <c r="AB70" s="90">
        <f t="shared" si="151"/>
        <v>2.100840336134454E-2</v>
      </c>
      <c r="AC70" s="90">
        <f t="shared" si="151"/>
        <v>1.7465069860279441E-2</v>
      </c>
      <c r="AD70" s="90">
        <f t="shared" si="151"/>
        <v>1.840773124712379E-2</v>
      </c>
      <c r="AE70" s="1115">
        <f t="shared" si="151"/>
        <v>1.939218523878437E-2</v>
      </c>
      <c r="AF70" s="90">
        <f t="shared" si="151"/>
        <v>2.1166752710376872E-2</v>
      </c>
      <c r="AG70" s="90">
        <f t="shared" si="151"/>
        <v>1.9730941704035873E-2</v>
      </c>
      <c r="AH70" s="90">
        <f t="shared" si="151"/>
        <v>2.314112291350531E-2</v>
      </c>
      <c r="AI70" s="90">
        <f t="shared" si="151"/>
        <v>2.507729302645139E-2</v>
      </c>
      <c r="AJ70" s="1115">
        <f t="shared" si="151"/>
        <v>2.2544780728844967E-2</v>
      </c>
      <c r="AK70" s="90">
        <f t="shared" si="151"/>
        <v>2.307452447770502E-2</v>
      </c>
      <c r="AL70" s="90">
        <f t="shared" si="151"/>
        <v>2.4335574767851424E-2</v>
      </c>
      <c r="AM70" s="90">
        <f t="shared" si="151"/>
        <v>2.7664256523105942E-2</v>
      </c>
      <c r="AN70" s="90">
        <f t="shared" si="151"/>
        <v>4.4897959183673466E-2</v>
      </c>
      <c r="AO70" s="1115">
        <f t="shared" si="151"/>
        <v>2.8678729941959712E-2</v>
      </c>
      <c r="AP70" s="90">
        <f t="shared" si="151"/>
        <v>5.1351351351351354E-2</v>
      </c>
      <c r="AQ70" s="90">
        <f t="shared" si="151"/>
        <v>5.6223342380767739E-2</v>
      </c>
      <c r="AR70" s="90">
        <f t="shared" si="151"/>
        <v>4.6781685467816858E-2</v>
      </c>
      <c r="AS70" s="90">
        <f t="shared" si="151"/>
        <v>4.5088566827697261E-2</v>
      </c>
      <c r="AT70" s="1115">
        <f t="shared" si="151"/>
        <v>4.9459607986810775E-2</v>
      </c>
      <c r="AU70" s="90">
        <f t="shared" si="151"/>
        <v>4.3506493506493507E-2</v>
      </c>
      <c r="AV70" s="90">
        <f t="shared" si="151"/>
        <v>5.8975685463010866E-2</v>
      </c>
      <c r="AW70" s="90">
        <f t="shared" si="151"/>
        <v>4.9090139652983499E-2</v>
      </c>
      <c r="AX70" s="90">
        <f t="shared" si="151"/>
        <v>5.3168099140515693E-2</v>
      </c>
      <c r="AY70" s="1115">
        <f t="shared" si="151"/>
        <v>5.1574212893553226E-2</v>
      </c>
      <c r="AZ70" s="90">
        <f t="shared" si="151"/>
        <v>4.8754636989931106E-2</v>
      </c>
      <c r="BA70" s="90">
        <f t="shared" si="151"/>
        <v>4.5643153526970952E-2</v>
      </c>
      <c r="BB70" s="90">
        <f t="shared" si="151"/>
        <v>5.1105166830916517E-2</v>
      </c>
      <c r="BC70" s="90">
        <f t="shared" si="151"/>
        <v>4.7363600680361113E-2</v>
      </c>
      <c r="BD70" s="1115">
        <f t="shared" si="151"/>
        <v>4.8227688192019023E-2</v>
      </c>
      <c r="BE70" s="90">
        <f t="shared" ref="BE70:BJ70" si="152">BE69/BE44</f>
        <v>4.633204633204633E-2</v>
      </c>
      <c r="BF70" s="90">
        <f t="shared" si="152"/>
        <v>6.7422434367541764E-2</v>
      </c>
      <c r="BG70" s="90">
        <f t="shared" si="152"/>
        <v>8.9360984656887535E-2</v>
      </c>
      <c r="BH70" s="90">
        <f t="shared" si="152"/>
        <v>8.7093042472318624E-2</v>
      </c>
      <c r="BI70" s="1115">
        <f t="shared" si="152"/>
        <v>7.0141617854229996E-2</v>
      </c>
      <c r="BJ70" s="90">
        <f t="shared" si="152"/>
        <v>7.2858731924360404E-2</v>
      </c>
      <c r="BK70" s="90">
        <f t="shared" ref="BK70:BP70" si="153">BK69/BK44</f>
        <v>4.4421411120159918E-2</v>
      </c>
      <c r="BL70" s="90">
        <f t="shared" si="153"/>
        <v>3.8686534216335541E-2</v>
      </c>
      <c r="BM70" s="90">
        <f t="shared" si="153"/>
        <v>3.1941365425507851E-2</v>
      </c>
      <c r="BN70" s="1115">
        <f t="shared" si="153"/>
        <v>4.1561340730770495E-2</v>
      </c>
      <c r="BO70" s="90">
        <f t="shared" si="153"/>
        <v>2.7914298878820458E-2</v>
      </c>
      <c r="BP70" s="90">
        <f t="shared" si="153"/>
        <v>2.7696404793608524E-2</v>
      </c>
      <c r="BQ70" s="90">
        <f t="shared" ref="BQ70:BV70" si="154">BQ69/BQ44</f>
        <v>2.593922809417935E-2</v>
      </c>
      <c r="BR70" s="90">
        <f t="shared" si="154"/>
        <v>2.4281101421270754E-2</v>
      </c>
      <c r="BS70" s="1115">
        <f t="shared" si="154"/>
        <v>2.6230488057196716E-2</v>
      </c>
      <c r="BT70" s="90">
        <f t="shared" si="154"/>
        <v>2.4125096454995235E-2</v>
      </c>
      <c r="BU70" s="90">
        <f t="shared" si="154"/>
        <v>2.5479750978756176E-2</v>
      </c>
      <c r="BV70" s="90">
        <f t="shared" si="154"/>
        <v>2.1155667824439534E-2</v>
      </c>
      <c r="BW70" s="90">
        <f>BW69/BW44</f>
        <v>1.7863695744712083E-2</v>
      </c>
      <c r="BX70" s="1115">
        <f>BX69/BX44</f>
        <v>2.1654363752558605E-2</v>
      </c>
      <c r="BY70" s="892">
        <f>BY69/BY44</f>
        <v>0</v>
      </c>
      <c r="BZ70" s="1060">
        <v>0</v>
      </c>
      <c r="CA70" s="1060">
        <v>0</v>
      </c>
      <c r="CB70" s="1060">
        <v>0</v>
      </c>
      <c r="CC70" s="1115">
        <f>CC69/CC44</f>
        <v>0</v>
      </c>
      <c r="CD70" s="1060">
        <v>0</v>
      </c>
      <c r="CE70" s="1060">
        <v>0</v>
      </c>
      <c r="CF70" s="1060">
        <v>0</v>
      </c>
      <c r="CG70" s="1060">
        <v>0</v>
      </c>
      <c r="CH70" s="1115">
        <f>CH69/CH44</f>
        <v>0</v>
      </c>
      <c r="CI70" s="1129">
        <v>0</v>
      </c>
      <c r="CJ70" s="1129">
        <v>0</v>
      </c>
      <c r="CK70" s="1129">
        <v>0</v>
      </c>
      <c r="CL70" s="155"/>
    </row>
    <row r="71" spans="1:90" hidden="1" outlineLevel="1" x14ac:dyDescent="0.3">
      <c r="A71" s="99" t="s">
        <v>740</v>
      </c>
      <c r="B71" s="598"/>
      <c r="C71" s="1112">
        <f t="shared" ref="C71:AH71" si="155">C383</f>
        <v>0</v>
      </c>
      <c r="D71" s="1112">
        <f t="shared" si="155"/>
        <v>0</v>
      </c>
      <c r="E71" s="1112">
        <f t="shared" si="155"/>
        <v>0</v>
      </c>
      <c r="F71" s="1112">
        <f t="shared" si="155"/>
        <v>10.282</v>
      </c>
      <c r="G71" s="68">
        <f t="shared" si="155"/>
        <v>3.1710000000000003</v>
      </c>
      <c r="H71" s="68">
        <f t="shared" si="155"/>
        <v>2.7939999999999996</v>
      </c>
      <c r="I71" s="68">
        <f t="shared" si="155"/>
        <v>2.6660000000000004</v>
      </c>
      <c r="J71" s="68">
        <f t="shared" si="155"/>
        <v>3.6980000000000004</v>
      </c>
      <c r="K71" s="1112">
        <f t="shared" si="155"/>
        <v>25.137999999999998</v>
      </c>
      <c r="L71" s="68">
        <f t="shared" si="155"/>
        <v>3.8610000000000007</v>
      </c>
      <c r="M71" s="68">
        <f t="shared" si="155"/>
        <v>3.9640000000000004</v>
      </c>
      <c r="N71" s="68">
        <f t="shared" si="155"/>
        <v>1.577</v>
      </c>
      <c r="O71" s="68">
        <f t="shared" si="155"/>
        <v>4.25</v>
      </c>
      <c r="P71" s="1112">
        <f t="shared" si="155"/>
        <v>13.652000000000001</v>
      </c>
      <c r="Q71" s="68">
        <f t="shared" si="155"/>
        <v>4</v>
      </c>
      <c r="R71" s="68">
        <f t="shared" si="155"/>
        <v>4</v>
      </c>
      <c r="S71" s="68">
        <f t="shared" si="155"/>
        <v>5</v>
      </c>
      <c r="T71" s="68">
        <f t="shared" si="155"/>
        <v>4</v>
      </c>
      <c r="U71" s="1112">
        <f t="shared" si="155"/>
        <v>17</v>
      </c>
      <c r="V71" s="68">
        <f t="shared" si="155"/>
        <v>5</v>
      </c>
      <c r="W71" s="68">
        <f t="shared" si="155"/>
        <v>2</v>
      </c>
      <c r="X71" s="68">
        <f t="shared" si="155"/>
        <v>2</v>
      </c>
      <c r="Y71" s="68">
        <f t="shared" si="155"/>
        <v>2</v>
      </c>
      <c r="Z71" s="1112">
        <f t="shared" si="155"/>
        <v>12</v>
      </c>
      <c r="AA71" s="68">
        <f t="shared" si="155"/>
        <v>2</v>
      </c>
      <c r="AB71" s="68">
        <f t="shared" si="155"/>
        <v>2</v>
      </c>
      <c r="AC71" s="68">
        <f t="shared" si="155"/>
        <v>2</v>
      </c>
      <c r="AD71" s="68">
        <f t="shared" si="155"/>
        <v>2</v>
      </c>
      <c r="AE71" s="1112">
        <f t="shared" si="155"/>
        <v>8</v>
      </c>
      <c r="AF71" s="68">
        <f t="shared" si="155"/>
        <v>2</v>
      </c>
      <c r="AG71" s="68">
        <f t="shared" si="155"/>
        <v>2</v>
      </c>
      <c r="AH71" s="68">
        <f t="shared" si="155"/>
        <v>1</v>
      </c>
      <c r="AI71" s="68">
        <f t="shared" ref="AI71:BE71" si="156">AI383</f>
        <v>0</v>
      </c>
      <c r="AJ71" s="1112">
        <f t="shared" si="156"/>
        <v>5</v>
      </c>
      <c r="AK71" s="68">
        <f t="shared" si="156"/>
        <v>1</v>
      </c>
      <c r="AL71" s="68">
        <f t="shared" si="156"/>
        <v>1</v>
      </c>
      <c r="AM71" s="68">
        <f t="shared" si="156"/>
        <v>0</v>
      </c>
      <c r="AN71" s="68">
        <f t="shared" si="156"/>
        <v>0</v>
      </c>
      <c r="AO71" s="1112">
        <f t="shared" si="156"/>
        <v>1</v>
      </c>
      <c r="AP71" s="68">
        <f t="shared" si="156"/>
        <v>4</v>
      </c>
      <c r="AQ71" s="68">
        <f t="shared" si="156"/>
        <v>1</v>
      </c>
      <c r="AR71" s="68">
        <f t="shared" si="156"/>
        <v>1</v>
      </c>
      <c r="AS71" s="68">
        <f t="shared" si="156"/>
        <v>1</v>
      </c>
      <c r="AT71" s="1112">
        <f t="shared" si="156"/>
        <v>6</v>
      </c>
      <c r="AU71" s="68">
        <f t="shared" si="156"/>
        <v>2</v>
      </c>
      <c r="AV71" s="68">
        <f t="shared" si="156"/>
        <v>3</v>
      </c>
      <c r="AW71" s="68">
        <f t="shared" si="156"/>
        <v>2</v>
      </c>
      <c r="AX71" s="68">
        <f t="shared" si="156"/>
        <v>2</v>
      </c>
      <c r="AY71" s="1112">
        <f t="shared" si="156"/>
        <v>9</v>
      </c>
      <c r="AZ71" s="68">
        <f t="shared" si="156"/>
        <v>1</v>
      </c>
      <c r="BA71" s="68">
        <f t="shared" si="156"/>
        <v>1</v>
      </c>
      <c r="BB71" s="68">
        <f t="shared" si="156"/>
        <v>7</v>
      </c>
      <c r="BC71" s="68">
        <f t="shared" si="156"/>
        <v>9</v>
      </c>
      <c r="BD71" s="1112">
        <f t="shared" si="156"/>
        <v>19</v>
      </c>
      <c r="BE71" s="68">
        <f t="shared" si="156"/>
        <v>9</v>
      </c>
      <c r="BF71" s="68">
        <f t="shared" ref="BF71:BK71" si="157">BF383</f>
        <v>10</v>
      </c>
      <c r="BG71" s="68">
        <f t="shared" si="157"/>
        <v>10</v>
      </c>
      <c r="BH71" s="68">
        <f t="shared" si="157"/>
        <v>10</v>
      </c>
      <c r="BI71" s="1112">
        <f t="shared" si="157"/>
        <v>39</v>
      </c>
      <c r="BJ71" s="68">
        <f t="shared" si="157"/>
        <v>12</v>
      </c>
      <c r="BK71" s="68">
        <f t="shared" si="157"/>
        <v>12</v>
      </c>
      <c r="BL71" s="68">
        <f t="shared" ref="BL71:BQ71" si="158">BL383</f>
        <v>12</v>
      </c>
      <c r="BM71" s="68">
        <f t="shared" si="158"/>
        <v>12</v>
      </c>
      <c r="BN71" s="1112">
        <f t="shared" si="158"/>
        <v>49</v>
      </c>
      <c r="BO71" s="68">
        <f t="shared" si="158"/>
        <v>12</v>
      </c>
      <c r="BP71" s="68">
        <f t="shared" si="158"/>
        <v>17</v>
      </c>
      <c r="BQ71" s="68">
        <f t="shared" si="158"/>
        <v>23</v>
      </c>
      <c r="BR71" s="68">
        <f t="shared" ref="BR71:BX71" si="159">BR383</f>
        <v>27</v>
      </c>
      <c r="BS71" s="1112">
        <f t="shared" si="159"/>
        <v>79</v>
      </c>
      <c r="BT71" s="68">
        <f t="shared" si="159"/>
        <v>28</v>
      </c>
      <c r="BU71" s="68">
        <f t="shared" si="159"/>
        <v>29</v>
      </c>
      <c r="BV71" s="68">
        <f t="shared" si="159"/>
        <v>35</v>
      </c>
      <c r="BW71" s="68">
        <f t="shared" si="159"/>
        <v>83</v>
      </c>
      <c r="BX71" s="1112">
        <f t="shared" si="159"/>
        <v>176</v>
      </c>
      <c r="BY71" s="588">
        <f>BY383</f>
        <v>167</v>
      </c>
      <c r="BZ71" s="68">
        <f>BZ44*BZ72</f>
        <v>181.86697999999998</v>
      </c>
      <c r="CA71" s="68">
        <f>CA44*CA72</f>
        <v>91.535799999999995</v>
      </c>
      <c r="CB71" s="68">
        <f>CB44*CB72</f>
        <v>94.000950000000003</v>
      </c>
      <c r="CC71" s="1112">
        <f>SUM(BY71,BZ71,CA71,CB71)</f>
        <v>534.40373</v>
      </c>
      <c r="CD71" s="68">
        <f>CD44*CD72</f>
        <v>105.52355</v>
      </c>
      <c r="CE71" s="68">
        <f>CE44*CE72</f>
        <v>117.6687395</v>
      </c>
      <c r="CF71" s="68">
        <f>CF44*CF72</f>
        <v>114.19591999999999</v>
      </c>
      <c r="CG71" s="68">
        <f>CG44*CG72</f>
        <v>116.93735249999997</v>
      </c>
      <c r="CH71" s="1112">
        <f>SUM(CD71,CE71,CF71,CG71)</f>
        <v>454.32556199999999</v>
      </c>
      <c r="CI71" s="1112">
        <f>CI44*CI72</f>
        <v>541.90680114999998</v>
      </c>
      <c r="CJ71" s="1112">
        <f>CJ44*CJ72</f>
        <v>636.56021689699992</v>
      </c>
      <c r="CK71" s="1112">
        <f>CK44*CK72</f>
        <v>747.96226663246011</v>
      </c>
      <c r="CL71" s="155"/>
    </row>
    <row r="72" spans="1:90" hidden="1" outlineLevel="1" x14ac:dyDescent="0.3">
      <c r="A72" s="648" t="s">
        <v>741</v>
      </c>
      <c r="B72" s="582"/>
      <c r="C72" s="1115">
        <f t="shared" ref="C72:BD72" si="160">C71/C44</f>
        <v>0</v>
      </c>
      <c r="D72" s="1115">
        <f t="shared" si="160"/>
        <v>0</v>
      </c>
      <c r="E72" s="1115">
        <f t="shared" si="160"/>
        <v>0</v>
      </c>
      <c r="F72" s="1115">
        <f t="shared" si="160"/>
        <v>2.571830922502395E-3</v>
      </c>
      <c r="G72" s="90">
        <f t="shared" si="160"/>
        <v>3.4285640144581394E-3</v>
      </c>
      <c r="H72" s="90">
        <f t="shared" si="160"/>
        <v>2.675553257299357E-3</v>
      </c>
      <c r="I72" s="90">
        <f t="shared" si="160"/>
        <v>2.2140834309157804E-3</v>
      </c>
      <c r="J72" s="90">
        <f t="shared" si="160"/>
        <v>3.340855830055417E-3</v>
      </c>
      <c r="K72" s="1115">
        <f t="shared" si="160"/>
        <v>5.8731463013406747E-3</v>
      </c>
      <c r="L72" s="90">
        <f t="shared" si="160"/>
        <v>4.0440371661784012E-3</v>
      </c>
      <c r="M72" s="90">
        <f t="shared" si="160"/>
        <v>4.0563301877331827E-3</v>
      </c>
      <c r="N72" s="90">
        <f t="shared" si="160"/>
        <v>1.4962517801790757E-3</v>
      </c>
      <c r="O72" s="90">
        <f t="shared" si="160"/>
        <v>3.7143271649283604E-3</v>
      </c>
      <c r="P72" s="1115">
        <f t="shared" si="160"/>
        <v>3.3055690072639229E-3</v>
      </c>
      <c r="Q72" s="90">
        <f t="shared" si="160"/>
        <v>3.6264732547597461E-3</v>
      </c>
      <c r="R72" s="90">
        <f t="shared" si="160"/>
        <v>3.6264732547597461E-3</v>
      </c>
      <c r="S72" s="90">
        <f t="shared" si="160"/>
        <v>4.0816326530612249E-3</v>
      </c>
      <c r="T72" s="90">
        <f t="shared" si="160"/>
        <v>3.1974420463629096E-3</v>
      </c>
      <c r="U72" s="1115">
        <f t="shared" si="160"/>
        <v>3.630926954293037E-3</v>
      </c>
      <c r="V72" s="90">
        <f t="shared" si="160"/>
        <v>4.3440486533449178E-3</v>
      </c>
      <c r="W72" s="90">
        <f t="shared" si="160"/>
        <v>1.7346053772766695E-3</v>
      </c>
      <c r="X72" s="90">
        <f t="shared" si="160"/>
        <v>1.5325670498084292E-3</v>
      </c>
      <c r="Y72" s="90">
        <f t="shared" si="160"/>
        <v>1.4275517487508922E-3</v>
      </c>
      <c r="Z72" s="1115">
        <f t="shared" si="160"/>
        <v>2.3952095808383233E-3</v>
      </c>
      <c r="AA72" s="90">
        <f t="shared" si="160"/>
        <v>1.5325670498084292E-3</v>
      </c>
      <c r="AB72" s="90">
        <f t="shared" si="160"/>
        <v>1.4005602240896359E-3</v>
      </c>
      <c r="AC72" s="90">
        <f t="shared" si="160"/>
        <v>9.9800399201596798E-4</v>
      </c>
      <c r="AD72" s="90">
        <f t="shared" si="160"/>
        <v>9.2038656235618964E-4</v>
      </c>
      <c r="AE72" s="1115">
        <f t="shared" si="160"/>
        <v>1.1577424023154848E-3</v>
      </c>
      <c r="AF72" s="90">
        <f t="shared" si="160"/>
        <v>1.0325245224574084E-3</v>
      </c>
      <c r="AG72" s="90">
        <f t="shared" si="160"/>
        <v>8.9686098654708521E-4</v>
      </c>
      <c r="AH72" s="90">
        <f t="shared" si="160"/>
        <v>3.7936267071320183E-4</v>
      </c>
      <c r="AI72" s="90">
        <f t="shared" si="160"/>
        <v>0</v>
      </c>
      <c r="AJ72" s="1115">
        <f t="shared" si="160"/>
        <v>5.1472102120650605E-4</v>
      </c>
      <c r="AK72" s="90">
        <f t="shared" si="160"/>
        <v>3.1181789834736512E-4</v>
      </c>
      <c r="AL72" s="90">
        <f t="shared" si="160"/>
        <v>3.2020493115593977E-4</v>
      </c>
      <c r="AM72" s="90">
        <f t="shared" si="160"/>
        <v>0</v>
      </c>
      <c r="AN72" s="90">
        <f t="shared" si="160"/>
        <v>0</v>
      </c>
      <c r="AO72" s="1115">
        <f t="shared" si="160"/>
        <v>8.5353362922499149E-5</v>
      </c>
      <c r="AP72" s="90">
        <f t="shared" si="160"/>
        <v>1.8018018018018018E-3</v>
      </c>
      <c r="AQ72" s="90">
        <f t="shared" si="160"/>
        <v>3.8774718883288094E-4</v>
      </c>
      <c r="AR72" s="90">
        <f t="shared" si="160"/>
        <v>3.3178500331785003E-4</v>
      </c>
      <c r="AS72" s="90">
        <f t="shared" si="160"/>
        <v>3.2206119162640903E-4</v>
      </c>
      <c r="AT72" s="1115">
        <f t="shared" si="160"/>
        <v>5.4955119985345303E-4</v>
      </c>
      <c r="AU72" s="90">
        <f t="shared" si="160"/>
        <v>6.4935064935064935E-4</v>
      </c>
      <c r="AV72" s="90">
        <f t="shared" si="160"/>
        <v>7.7599586135540608E-4</v>
      </c>
      <c r="AW72" s="90">
        <f t="shared" si="160"/>
        <v>4.2319085907744394E-4</v>
      </c>
      <c r="AX72" s="90">
        <f t="shared" si="160"/>
        <v>3.9976014391365181E-4</v>
      </c>
      <c r="AY72" s="1115">
        <f t="shared" si="160"/>
        <v>5.3973013493253377E-4</v>
      </c>
      <c r="AZ72" s="90">
        <f t="shared" si="160"/>
        <v>1.7664723547076489E-4</v>
      </c>
      <c r="BA72" s="90">
        <f t="shared" si="160"/>
        <v>1.536806516059628E-4</v>
      </c>
      <c r="BB72" s="90">
        <f t="shared" si="160"/>
        <v>9.8549908489370679E-4</v>
      </c>
      <c r="BC72" s="90">
        <f t="shared" si="160"/>
        <v>1.1775480832133978E-3</v>
      </c>
      <c r="BD72" s="1115">
        <f t="shared" si="160"/>
        <v>7.0595229248718143E-4</v>
      </c>
      <c r="BE72" s="90">
        <f t="shared" ref="BE72:BJ72" si="161">BE71/BE44</f>
        <v>1.0859073359073359E-3</v>
      </c>
      <c r="BF72" s="90">
        <f t="shared" si="161"/>
        <v>1.4916467780429594E-3</v>
      </c>
      <c r="BG72" s="90">
        <f t="shared" si="161"/>
        <v>1.6860563142808969E-3</v>
      </c>
      <c r="BH72" s="90">
        <f t="shared" si="161"/>
        <v>1.6526194017517765E-3</v>
      </c>
      <c r="BI72" s="1115">
        <f t="shared" si="161"/>
        <v>1.4458367316675317E-3</v>
      </c>
      <c r="BJ72" s="90">
        <f t="shared" si="161"/>
        <v>1.6685205784204673E-3</v>
      </c>
      <c r="BK72" s="90">
        <f t="shared" ref="BK72:BP72" si="162">BK71/BK44</f>
        <v>8.8842822240319831E-4</v>
      </c>
      <c r="BL72" s="90">
        <f t="shared" si="162"/>
        <v>6.6225165562913907E-4</v>
      </c>
      <c r="BM72" s="90">
        <f t="shared" si="162"/>
        <v>5.4291272677917026E-4</v>
      </c>
      <c r="BN72" s="1115">
        <f t="shared" si="162"/>
        <v>8.0430714684350479E-4</v>
      </c>
      <c r="BO72" s="90">
        <f t="shared" si="162"/>
        <v>4.607587160190447E-4</v>
      </c>
      <c r="BP72" s="90">
        <f t="shared" si="162"/>
        <v>5.6591211717709725E-4</v>
      </c>
      <c r="BQ72" s="90">
        <f t="shared" ref="BQ72:BV72" si="163">BQ71/BQ44</f>
        <v>6.5560686391881874E-4</v>
      </c>
      <c r="BR72" s="90">
        <f t="shared" si="163"/>
        <v>6.8648140143906847E-4</v>
      </c>
      <c r="BS72" s="1115">
        <f t="shared" si="163"/>
        <v>6.0537790140769516E-4</v>
      </c>
      <c r="BT72" s="90">
        <f t="shared" si="163"/>
        <v>6.3546820389451231E-4</v>
      </c>
      <c r="BU72" s="90">
        <f t="shared" si="163"/>
        <v>6.2041375179171211E-4</v>
      </c>
      <c r="BV72" s="90">
        <f t="shared" si="163"/>
        <v>6.1397045924990355E-4</v>
      </c>
      <c r="BW72" s="90">
        <f>BW71/BW44</f>
        <v>1.2183128568702571E-3</v>
      </c>
      <c r="BX72" s="1115">
        <f>BX71/BX44</f>
        <v>8.1504876399707325E-4</v>
      </c>
      <c r="BY72" s="892">
        <f>BY71/BY44</f>
        <v>2.0461924891257734E-3</v>
      </c>
      <c r="BZ72" s="1060">
        <v>2E-3</v>
      </c>
      <c r="CA72" s="1060">
        <v>1E-3</v>
      </c>
      <c r="CB72" s="1060">
        <v>1E-3</v>
      </c>
      <c r="CC72" s="1115">
        <f>CC71/CC44</f>
        <v>1.4923925096717195E-3</v>
      </c>
      <c r="CD72" s="1060">
        <v>1E-3</v>
      </c>
      <c r="CE72" s="1060">
        <v>1E-3</v>
      </c>
      <c r="CF72" s="1060">
        <v>1E-3</v>
      </c>
      <c r="CG72" s="1060">
        <v>1E-3</v>
      </c>
      <c r="CH72" s="1115">
        <f>CH71/CH44</f>
        <v>1E-3</v>
      </c>
      <c r="CI72" s="1129">
        <v>1E-3</v>
      </c>
      <c r="CJ72" s="1129">
        <v>1E-3</v>
      </c>
      <c r="CK72" s="1129">
        <v>1E-3</v>
      </c>
      <c r="CL72" s="155"/>
    </row>
    <row r="73" spans="1:90" hidden="1" outlineLevel="1" x14ac:dyDescent="0.3">
      <c r="A73" s="812" t="s">
        <v>841</v>
      </c>
      <c r="B73" s="696"/>
      <c r="C73" s="1131">
        <f t="shared" ref="C73:BE73" si="164">C384</f>
        <v>0</v>
      </c>
      <c r="D73" s="1131">
        <f t="shared" si="164"/>
        <v>0</v>
      </c>
      <c r="E73" s="1131">
        <f t="shared" si="164"/>
        <v>0</v>
      </c>
      <c r="F73" s="1131">
        <f t="shared" si="164"/>
        <v>0</v>
      </c>
      <c r="G73" s="882">
        <f t="shared" si="164"/>
        <v>0</v>
      </c>
      <c r="H73" s="882">
        <f t="shared" si="164"/>
        <v>0</v>
      </c>
      <c r="I73" s="882">
        <f t="shared" si="164"/>
        <v>0</v>
      </c>
      <c r="J73" s="882">
        <f t="shared" si="164"/>
        <v>0</v>
      </c>
      <c r="K73" s="1131">
        <f t="shared" si="164"/>
        <v>0</v>
      </c>
      <c r="L73" s="882">
        <f t="shared" si="164"/>
        <v>0</v>
      </c>
      <c r="M73" s="882">
        <f t="shared" si="164"/>
        <v>0</v>
      </c>
      <c r="N73" s="882">
        <f t="shared" si="164"/>
        <v>0</v>
      </c>
      <c r="O73" s="882">
        <f t="shared" si="164"/>
        <v>0</v>
      </c>
      <c r="P73" s="1131">
        <f t="shared" si="164"/>
        <v>0</v>
      </c>
      <c r="Q73" s="882">
        <f t="shared" si="164"/>
        <v>0</v>
      </c>
      <c r="R73" s="882">
        <f t="shared" si="164"/>
        <v>0</v>
      </c>
      <c r="S73" s="882">
        <f t="shared" si="164"/>
        <v>0</v>
      </c>
      <c r="T73" s="882">
        <f t="shared" si="164"/>
        <v>0</v>
      </c>
      <c r="U73" s="1131">
        <f t="shared" si="164"/>
        <v>0</v>
      </c>
      <c r="V73" s="882">
        <f t="shared" si="164"/>
        <v>0</v>
      </c>
      <c r="W73" s="882">
        <f t="shared" si="164"/>
        <v>0</v>
      </c>
      <c r="X73" s="882">
        <f t="shared" si="164"/>
        <v>0</v>
      </c>
      <c r="Y73" s="882">
        <f t="shared" si="164"/>
        <v>0</v>
      </c>
      <c r="Z73" s="1131">
        <f t="shared" si="164"/>
        <v>0</v>
      </c>
      <c r="AA73" s="882">
        <f t="shared" si="164"/>
        <v>0</v>
      </c>
      <c r="AB73" s="882">
        <f t="shared" si="164"/>
        <v>0</v>
      </c>
      <c r="AC73" s="882">
        <f t="shared" si="164"/>
        <v>0</v>
      </c>
      <c r="AD73" s="882">
        <f t="shared" si="164"/>
        <v>0</v>
      </c>
      <c r="AE73" s="1131">
        <f t="shared" si="164"/>
        <v>0</v>
      </c>
      <c r="AF73" s="882">
        <f t="shared" si="164"/>
        <v>0</v>
      </c>
      <c r="AG73" s="882">
        <f t="shared" si="164"/>
        <v>0</v>
      </c>
      <c r="AH73" s="882">
        <f t="shared" si="164"/>
        <v>0</v>
      </c>
      <c r="AI73" s="882">
        <f t="shared" si="164"/>
        <v>0</v>
      </c>
      <c r="AJ73" s="1131">
        <f t="shared" si="164"/>
        <v>0</v>
      </c>
      <c r="AK73" s="882">
        <f t="shared" si="164"/>
        <v>0</v>
      </c>
      <c r="AL73" s="882">
        <f t="shared" si="164"/>
        <v>0</v>
      </c>
      <c r="AM73" s="882">
        <f t="shared" si="164"/>
        <v>0</v>
      </c>
      <c r="AN73" s="882">
        <f t="shared" si="164"/>
        <v>0</v>
      </c>
      <c r="AO73" s="1131">
        <f t="shared" si="164"/>
        <v>0</v>
      </c>
      <c r="AP73" s="882">
        <f t="shared" si="164"/>
        <v>0</v>
      </c>
      <c r="AQ73" s="882">
        <f t="shared" si="164"/>
        <v>0</v>
      </c>
      <c r="AR73" s="882">
        <f t="shared" si="164"/>
        <v>0</v>
      </c>
      <c r="AS73" s="882">
        <f t="shared" si="164"/>
        <v>0</v>
      </c>
      <c r="AT73" s="1131">
        <f t="shared" si="164"/>
        <v>0</v>
      </c>
      <c r="AU73" s="882">
        <f t="shared" si="164"/>
        <v>0</v>
      </c>
      <c r="AV73" s="882">
        <f t="shared" si="164"/>
        <v>0</v>
      </c>
      <c r="AW73" s="882">
        <f t="shared" si="164"/>
        <v>0</v>
      </c>
      <c r="AX73" s="882">
        <f t="shared" si="164"/>
        <v>0</v>
      </c>
      <c r="AY73" s="1131">
        <f t="shared" si="164"/>
        <v>0</v>
      </c>
      <c r="AZ73" s="882">
        <f t="shared" si="164"/>
        <v>0</v>
      </c>
      <c r="BA73" s="882">
        <f t="shared" si="164"/>
        <v>0</v>
      </c>
      <c r="BB73" s="882">
        <f t="shared" si="164"/>
        <v>0</v>
      </c>
      <c r="BC73" s="882">
        <f t="shared" si="164"/>
        <v>0</v>
      </c>
      <c r="BD73" s="1131">
        <f t="shared" si="164"/>
        <v>0</v>
      </c>
      <c r="BE73" s="882">
        <f t="shared" si="164"/>
        <v>0</v>
      </c>
      <c r="BF73" s="882">
        <f t="shared" ref="BF73:BK73" si="165">BF384</f>
        <v>0</v>
      </c>
      <c r="BG73" s="882">
        <f t="shared" si="165"/>
        <v>0</v>
      </c>
      <c r="BH73" s="882">
        <f t="shared" si="165"/>
        <v>0</v>
      </c>
      <c r="BI73" s="1131">
        <f t="shared" si="165"/>
        <v>0</v>
      </c>
      <c r="BJ73" s="882">
        <f t="shared" si="165"/>
        <v>0</v>
      </c>
      <c r="BK73" s="882">
        <f t="shared" si="165"/>
        <v>0</v>
      </c>
      <c r="BL73" s="882">
        <f t="shared" ref="BL73:BQ73" si="166">BL384</f>
        <v>0</v>
      </c>
      <c r="BM73" s="882">
        <f t="shared" si="166"/>
        <v>0</v>
      </c>
      <c r="BN73" s="1131">
        <f t="shared" si="166"/>
        <v>0</v>
      </c>
      <c r="BO73" s="882">
        <f t="shared" si="166"/>
        <v>0</v>
      </c>
      <c r="BP73" s="882">
        <f t="shared" si="166"/>
        <v>0</v>
      </c>
      <c r="BQ73" s="882">
        <f t="shared" si="166"/>
        <v>0</v>
      </c>
      <c r="BR73" s="882">
        <f t="shared" ref="BR73:BX73" si="167">BR384</f>
        <v>0</v>
      </c>
      <c r="BS73" s="1131">
        <f t="shared" si="167"/>
        <v>0</v>
      </c>
      <c r="BT73" s="882">
        <f t="shared" si="167"/>
        <v>0</v>
      </c>
      <c r="BU73" s="882">
        <f t="shared" si="167"/>
        <v>0</v>
      </c>
      <c r="BV73" s="882">
        <f t="shared" si="167"/>
        <v>0</v>
      </c>
      <c r="BW73" s="882">
        <f t="shared" si="167"/>
        <v>0</v>
      </c>
      <c r="BX73" s="1131">
        <f t="shared" si="167"/>
        <v>0</v>
      </c>
      <c r="BY73" s="877">
        <f>BY384</f>
        <v>0</v>
      </c>
      <c r="BZ73" s="1061">
        <v>0</v>
      </c>
      <c r="CA73" s="1061">
        <v>0</v>
      </c>
      <c r="CB73" s="1061">
        <v>0</v>
      </c>
      <c r="CC73" s="1131">
        <f>SUM(BY73,BZ73,CA73,CB73)</f>
        <v>0</v>
      </c>
      <c r="CD73" s="1061">
        <v>0</v>
      </c>
      <c r="CE73" s="1061">
        <v>0</v>
      </c>
      <c r="CF73" s="1061">
        <v>0</v>
      </c>
      <c r="CG73" s="1061">
        <v>0</v>
      </c>
      <c r="CH73" s="1131">
        <f>SUM(CD73,CE73,CF73,CG73)</f>
        <v>0</v>
      </c>
      <c r="CI73" s="1132">
        <v>0</v>
      </c>
      <c r="CJ73" s="1132">
        <v>0</v>
      </c>
      <c r="CK73" s="1132">
        <v>0</v>
      </c>
      <c r="CL73" s="155"/>
    </row>
    <row r="74" spans="1:90" collapsed="1" x14ac:dyDescent="0.3">
      <c r="A74" s="636" t="s">
        <v>715</v>
      </c>
      <c r="B74" s="598"/>
      <c r="C74" s="1112">
        <f t="shared" ref="C74:BD74" si="168">C64-C69-C71-C73</f>
        <v>757.87200000000007</v>
      </c>
      <c r="D74" s="1112">
        <f t="shared" si="168"/>
        <v>847.51400000000001</v>
      </c>
      <c r="E74" s="1112">
        <f t="shared" si="168"/>
        <v>790.85599999999999</v>
      </c>
      <c r="F74" s="1112">
        <f t="shared" si="168"/>
        <v>911.82100000000003</v>
      </c>
      <c r="G74" s="68">
        <f t="shared" si="168"/>
        <v>259.524</v>
      </c>
      <c r="H74" s="68">
        <f t="shared" si="168"/>
        <v>259.51400000000001</v>
      </c>
      <c r="I74" s="68">
        <f t="shared" si="168"/>
        <v>261.45800000000003</v>
      </c>
      <c r="J74" s="68">
        <f t="shared" si="168"/>
        <v>272.2999999999999</v>
      </c>
      <c r="K74" s="1112">
        <f t="shared" si="168"/>
        <v>1039.9870000000001</v>
      </c>
      <c r="L74" s="68">
        <f t="shared" si="168"/>
        <v>301.36500000000001</v>
      </c>
      <c r="M74" s="68">
        <f t="shared" si="168"/>
        <v>309.21899999999999</v>
      </c>
      <c r="N74" s="68">
        <f t="shared" si="168"/>
        <v>317.815</v>
      </c>
      <c r="O74" s="68">
        <f t="shared" si="168"/>
        <v>310.84299999999996</v>
      </c>
      <c r="P74" s="1112">
        <f t="shared" si="168"/>
        <v>1239.242</v>
      </c>
      <c r="Q74" s="68">
        <f t="shared" si="168"/>
        <v>309.04399999999998</v>
      </c>
      <c r="R74" s="68">
        <f t="shared" si="168"/>
        <v>312</v>
      </c>
      <c r="S74" s="68">
        <f t="shared" si="168"/>
        <v>312.32</v>
      </c>
      <c r="T74" s="68">
        <f t="shared" si="168"/>
        <v>322</v>
      </c>
      <c r="U74" s="1112">
        <f t="shared" si="168"/>
        <v>1255.364</v>
      </c>
      <c r="V74" s="68">
        <f t="shared" si="168"/>
        <v>307</v>
      </c>
      <c r="W74" s="68">
        <f t="shared" si="168"/>
        <v>291</v>
      </c>
      <c r="X74" s="68">
        <f t="shared" si="168"/>
        <v>299</v>
      </c>
      <c r="Y74" s="68">
        <f t="shared" si="168"/>
        <v>309</v>
      </c>
      <c r="Z74" s="1112">
        <f t="shared" si="168"/>
        <v>1204</v>
      </c>
      <c r="AA74" s="68">
        <f t="shared" si="168"/>
        <v>315</v>
      </c>
      <c r="AB74" s="68">
        <f t="shared" si="168"/>
        <v>318</v>
      </c>
      <c r="AC74" s="68">
        <f t="shared" si="168"/>
        <v>336</v>
      </c>
      <c r="AD74" s="68">
        <f t="shared" si="168"/>
        <v>352</v>
      </c>
      <c r="AE74" s="1112">
        <f t="shared" si="168"/>
        <v>1321</v>
      </c>
      <c r="AF74" s="68">
        <f t="shared" si="168"/>
        <v>368</v>
      </c>
      <c r="AG74" s="68">
        <f t="shared" si="168"/>
        <v>370</v>
      </c>
      <c r="AH74" s="68">
        <f t="shared" si="168"/>
        <v>400</v>
      </c>
      <c r="AI74" s="68">
        <f t="shared" si="168"/>
        <v>435</v>
      </c>
      <c r="AJ74" s="1112">
        <f t="shared" si="168"/>
        <v>1573</v>
      </c>
      <c r="AK74" s="68">
        <f t="shared" si="168"/>
        <v>467</v>
      </c>
      <c r="AL74" s="68">
        <f t="shared" si="168"/>
        <v>504</v>
      </c>
      <c r="AM74" s="68">
        <f t="shared" si="168"/>
        <v>517</v>
      </c>
      <c r="AN74" s="68">
        <f t="shared" si="168"/>
        <v>548</v>
      </c>
      <c r="AO74" s="1112">
        <f t="shared" si="168"/>
        <v>2039</v>
      </c>
      <c r="AP74" s="68">
        <f t="shared" si="168"/>
        <v>556</v>
      </c>
      <c r="AQ74" s="68">
        <f t="shared" si="168"/>
        <v>558</v>
      </c>
      <c r="AR74" s="68">
        <f t="shared" si="168"/>
        <v>570</v>
      </c>
      <c r="AS74" s="68">
        <f t="shared" si="168"/>
        <v>597</v>
      </c>
      <c r="AT74" s="1112">
        <f t="shared" si="168"/>
        <v>2283</v>
      </c>
      <c r="AU74" s="68">
        <f t="shared" si="168"/>
        <v>599</v>
      </c>
      <c r="AV74" s="68">
        <f t="shared" si="168"/>
        <v>766</v>
      </c>
      <c r="AW74" s="68">
        <f t="shared" si="168"/>
        <v>813</v>
      </c>
      <c r="AX74" s="68">
        <f t="shared" si="168"/>
        <v>879</v>
      </c>
      <c r="AY74" s="1112">
        <f t="shared" si="168"/>
        <v>3055</v>
      </c>
      <c r="AZ74" s="68">
        <f t="shared" si="168"/>
        <v>876</v>
      </c>
      <c r="BA74" s="68">
        <f t="shared" si="168"/>
        <v>947</v>
      </c>
      <c r="BB74" s="68">
        <f t="shared" si="168"/>
        <v>1033</v>
      </c>
      <c r="BC74" s="68">
        <f t="shared" si="168"/>
        <v>1095</v>
      </c>
      <c r="BD74" s="1112">
        <f t="shared" si="168"/>
        <v>3951</v>
      </c>
      <c r="BE74" s="68">
        <f t="shared" ref="BE74:BJ74" si="169">BE64-BE69-BE71-BE73</f>
        <v>1225</v>
      </c>
      <c r="BF74" s="68">
        <f t="shared" si="169"/>
        <v>1362</v>
      </c>
      <c r="BG74" s="68">
        <f t="shared" si="169"/>
        <v>1405</v>
      </c>
      <c r="BH74" s="68">
        <f t="shared" si="169"/>
        <v>1414</v>
      </c>
      <c r="BI74" s="1112">
        <f t="shared" si="169"/>
        <v>5408</v>
      </c>
      <c r="BJ74" s="68">
        <f t="shared" si="169"/>
        <v>1339</v>
      </c>
      <c r="BK74" s="68">
        <f t="shared" ref="BK74:BP74" si="170">BK64-BK69-BK71-BK73</f>
        <v>1428</v>
      </c>
      <c r="BL74" s="68">
        <f t="shared" si="170"/>
        <v>1581</v>
      </c>
      <c r="BM74" s="68">
        <f t="shared" si="170"/>
        <v>1747</v>
      </c>
      <c r="BN74" s="1112">
        <f t="shared" si="170"/>
        <v>6094</v>
      </c>
      <c r="BO74" s="68">
        <f t="shared" si="170"/>
        <v>1981</v>
      </c>
      <c r="BP74" s="68">
        <f t="shared" si="170"/>
        <v>2241</v>
      </c>
      <c r="BQ74" s="68">
        <f t="shared" ref="BQ74:BV74" si="171">BQ64-BQ69-BQ71-BQ73</f>
        <v>2457</v>
      </c>
      <c r="BR74" s="68">
        <f t="shared" si="171"/>
        <v>2732</v>
      </c>
      <c r="BS74" s="1112">
        <f t="shared" si="171"/>
        <v>9412</v>
      </c>
      <c r="BT74" s="68">
        <f t="shared" si="171"/>
        <v>2898</v>
      </c>
      <c r="BU74" s="68">
        <f t="shared" si="171"/>
        <v>3071</v>
      </c>
      <c r="BV74" s="68">
        <f t="shared" si="171"/>
        <v>3464</v>
      </c>
      <c r="BW74" s="68">
        <f>BW64-BW69-BW71-BW73</f>
        <v>4212</v>
      </c>
      <c r="BX74" s="1112">
        <f>BX64-BX69-BX71-BX73</f>
        <v>13645</v>
      </c>
      <c r="BY74" s="588">
        <f>BY64-BY69-BY71-BY73</f>
        <v>6154</v>
      </c>
      <c r="BZ74" s="68">
        <f>BZ44*BZ76</f>
        <v>6428.9683675705446</v>
      </c>
      <c r="CA74" s="68">
        <f>CA44*CA76</f>
        <v>5562.221717012244</v>
      </c>
      <c r="CB74" s="68">
        <f>CB44*CB76</f>
        <v>5811.6752741203927</v>
      </c>
      <c r="CC74" s="1112">
        <f>SUM(BY74,BZ74,CA74,CB74)</f>
        <v>23956.865358703184</v>
      </c>
      <c r="CD74" s="68">
        <f>CD44*CD76</f>
        <v>7956.7717539667956</v>
      </c>
      <c r="CE74" s="68">
        <f>CE44*CE76</f>
        <v>8319.1418705847391</v>
      </c>
      <c r="CF74" s="68">
        <f>CF44*CF76</f>
        <v>6939.1759969126042</v>
      </c>
      <c r="CG74" s="68">
        <f>CG44*CG76</f>
        <v>7229.7345946541009</v>
      </c>
      <c r="CH74" s="1112">
        <f>SUM(CD74,CE74,CF74,CG74)</f>
        <v>30444.824216118242</v>
      </c>
      <c r="CI74" s="1112">
        <f>CI44*CI76</f>
        <v>36313.733327931681</v>
      </c>
      <c r="CJ74" s="1112">
        <f>CJ44*CJ76</f>
        <v>42656.556283318401</v>
      </c>
      <c r="CK74" s="1112">
        <f>CK44*CK76</f>
        <v>50121.722466310646</v>
      </c>
      <c r="CL74" s="155"/>
    </row>
    <row r="75" spans="1:90" x14ac:dyDescent="0.3">
      <c r="A75" s="371" t="s">
        <v>718</v>
      </c>
      <c r="B75" s="582"/>
      <c r="C75" s="1115"/>
      <c r="D75" s="1115">
        <f t="shared" ref="D75:E75" si="172">D74/C74-1</f>
        <v>0.11828118732450843</v>
      </c>
      <c r="E75" s="1115">
        <f t="shared" si="172"/>
        <v>-6.6851993005425325E-2</v>
      </c>
      <c r="F75" s="1115">
        <f>F74/E74-1</f>
        <v>0.1529545201654916</v>
      </c>
      <c r="G75" s="90"/>
      <c r="H75" s="90"/>
      <c r="I75" s="90"/>
      <c r="J75" s="90"/>
      <c r="K75" s="1115">
        <f t="shared" ref="K75:BD75" si="173">K74/F74-1</f>
        <v>0.14056048281406119</v>
      </c>
      <c r="L75" s="90">
        <f t="shared" si="173"/>
        <v>0.16122208350672773</v>
      </c>
      <c r="M75" s="90">
        <f t="shared" si="173"/>
        <v>0.19153109273488123</v>
      </c>
      <c r="N75" s="90">
        <f t="shared" si="173"/>
        <v>0.21554896006241897</v>
      </c>
      <c r="O75" s="90">
        <f t="shared" si="173"/>
        <v>0.14154608887256726</v>
      </c>
      <c r="P75" s="1115">
        <f t="shared" si="173"/>
        <v>0.19159374107560945</v>
      </c>
      <c r="Q75" s="90">
        <f t="shared" si="173"/>
        <v>2.5480729348132503E-2</v>
      </c>
      <c r="R75" s="90">
        <f t="shared" si="173"/>
        <v>8.9936258768057442E-3</v>
      </c>
      <c r="S75" s="90">
        <f t="shared" si="173"/>
        <v>-1.7289932822553977E-2</v>
      </c>
      <c r="T75" s="90">
        <f t="shared" si="173"/>
        <v>3.5892717545513486E-2</v>
      </c>
      <c r="U75" s="1115">
        <f t="shared" si="173"/>
        <v>1.3009565524732203E-2</v>
      </c>
      <c r="V75" s="90">
        <f t="shared" si="173"/>
        <v>-6.6139449398791017E-3</v>
      </c>
      <c r="W75" s="90">
        <f t="shared" si="173"/>
        <v>-6.7307692307692291E-2</v>
      </c>
      <c r="X75" s="90">
        <f t="shared" si="173"/>
        <v>-4.2648565573770503E-2</v>
      </c>
      <c r="Y75" s="90">
        <f t="shared" si="173"/>
        <v>-4.0372670807453437E-2</v>
      </c>
      <c r="Z75" s="1115">
        <f t="shared" si="173"/>
        <v>-4.0915622879101221E-2</v>
      </c>
      <c r="AA75" s="90">
        <f t="shared" si="173"/>
        <v>2.6058631921824116E-2</v>
      </c>
      <c r="AB75" s="90">
        <f t="shared" si="173"/>
        <v>9.2783505154639068E-2</v>
      </c>
      <c r="AC75" s="90">
        <f t="shared" si="173"/>
        <v>0.12374581939799323</v>
      </c>
      <c r="AD75" s="90">
        <f t="shared" si="173"/>
        <v>0.13915857605177995</v>
      </c>
      <c r="AE75" s="1115">
        <f t="shared" si="173"/>
        <v>9.7176079734219378E-2</v>
      </c>
      <c r="AF75" s="90">
        <f t="shared" si="173"/>
        <v>0.16825396825396832</v>
      </c>
      <c r="AG75" s="90">
        <f t="shared" si="173"/>
        <v>0.16352201257861632</v>
      </c>
      <c r="AH75" s="90">
        <f t="shared" si="173"/>
        <v>0.19047619047619047</v>
      </c>
      <c r="AI75" s="90">
        <f t="shared" si="173"/>
        <v>0.23579545454545459</v>
      </c>
      <c r="AJ75" s="1115">
        <f t="shared" si="173"/>
        <v>0.19076457229371679</v>
      </c>
      <c r="AK75" s="90">
        <f t="shared" si="173"/>
        <v>0.26902173913043481</v>
      </c>
      <c r="AL75" s="90">
        <f t="shared" si="173"/>
        <v>0.36216216216216224</v>
      </c>
      <c r="AM75" s="90">
        <f t="shared" si="173"/>
        <v>0.29249999999999998</v>
      </c>
      <c r="AN75" s="90">
        <f t="shared" si="173"/>
        <v>0.25977011494252866</v>
      </c>
      <c r="AO75" s="1115">
        <f t="shared" si="173"/>
        <v>0.29624920534011445</v>
      </c>
      <c r="AP75" s="90">
        <f t="shared" si="173"/>
        <v>0.19057815845824422</v>
      </c>
      <c r="AQ75" s="90">
        <f t="shared" si="173"/>
        <v>0.10714285714285721</v>
      </c>
      <c r="AR75" s="90">
        <f t="shared" si="173"/>
        <v>0.10251450676982587</v>
      </c>
      <c r="AS75" s="90">
        <f t="shared" si="173"/>
        <v>8.9416058394160558E-2</v>
      </c>
      <c r="AT75" s="1115">
        <f t="shared" si="173"/>
        <v>0.11966650318783723</v>
      </c>
      <c r="AU75" s="90">
        <f t="shared" si="173"/>
        <v>7.7338129496402841E-2</v>
      </c>
      <c r="AV75" s="90">
        <f t="shared" si="173"/>
        <v>0.37275985663082434</v>
      </c>
      <c r="AW75" s="90">
        <f t="shared" si="173"/>
        <v>0.4263157894736842</v>
      </c>
      <c r="AX75" s="90">
        <f t="shared" si="173"/>
        <v>0.47236180904522618</v>
      </c>
      <c r="AY75" s="1115">
        <f t="shared" si="173"/>
        <v>0.3381515549715286</v>
      </c>
      <c r="AZ75" s="90">
        <f t="shared" si="173"/>
        <v>0.46243739565943232</v>
      </c>
      <c r="BA75" s="90">
        <f t="shared" si="173"/>
        <v>0.23629242819843332</v>
      </c>
      <c r="BB75" s="90">
        <f t="shared" si="173"/>
        <v>0.27060270602706038</v>
      </c>
      <c r="BC75" s="90">
        <f t="shared" si="173"/>
        <v>0.24573378839590454</v>
      </c>
      <c r="BD75" s="1115">
        <f t="shared" si="173"/>
        <v>0.29328968903436992</v>
      </c>
      <c r="BE75" s="90">
        <f t="shared" ref="BE75:BG75" si="174">BE74/AZ74-1</f>
        <v>0.39840182648401834</v>
      </c>
      <c r="BF75" s="90">
        <f t="shared" si="174"/>
        <v>0.43822597676874331</v>
      </c>
      <c r="BG75" s="90">
        <f t="shared" si="174"/>
        <v>0.3601161665053243</v>
      </c>
      <c r="BH75" s="90">
        <f t="shared" ref="BH75:BI75" si="175">BH74/BC74-1</f>
        <v>0.29132420091324196</v>
      </c>
      <c r="BI75" s="1115">
        <f t="shared" si="175"/>
        <v>0.36876740065806124</v>
      </c>
      <c r="BJ75" s="90">
        <f t="shared" ref="BJ75:BN75" si="176">BJ74/BE74-1</f>
        <v>9.3061224489795924E-2</v>
      </c>
      <c r="BK75" s="90">
        <f t="shared" si="176"/>
        <v>4.8458149779735615E-2</v>
      </c>
      <c r="BL75" s="90">
        <f t="shared" si="176"/>
        <v>0.12526690391459083</v>
      </c>
      <c r="BM75" s="90">
        <f t="shared" si="176"/>
        <v>0.23550212164073558</v>
      </c>
      <c r="BN75" s="1115">
        <f t="shared" si="176"/>
        <v>0.12684911242603558</v>
      </c>
      <c r="BO75" s="90">
        <f t="shared" ref="BO75:BS75" si="177">BO74/BJ74-1</f>
        <v>0.4794622852875281</v>
      </c>
      <c r="BP75" s="90">
        <f t="shared" si="177"/>
        <v>0.56932773109243695</v>
      </c>
      <c r="BQ75" s="90">
        <f t="shared" si="177"/>
        <v>0.55407969639468702</v>
      </c>
      <c r="BR75" s="90">
        <f t="shared" si="177"/>
        <v>0.56382369776760166</v>
      </c>
      <c r="BS75" s="1115">
        <f t="shared" si="177"/>
        <v>0.54446997046275025</v>
      </c>
      <c r="BT75" s="90">
        <f t="shared" ref="BT75:CH75" si="178">BT74/BO74-1</f>
        <v>0.46289752650176674</v>
      </c>
      <c r="BU75" s="90">
        <f t="shared" si="178"/>
        <v>0.37037037037037046</v>
      </c>
      <c r="BV75" s="90">
        <f t="shared" si="178"/>
        <v>0.40984940984940987</v>
      </c>
      <c r="BW75" s="90">
        <f t="shared" si="178"/>
        <v>0.54172767203513916</v>
      </c>
      <c r="BX75" s="1115">
        <f t="shared" si="178"/>
        <v>0.44974500637484072</v>
      </c>
      <c r="BY75" s="892">
        <f>BY74/BT74-1</f>
        <v>1.1235334713595582</v>
      </c>
      <c r="BZ75" s="90">
        <f t="shared" si="178"/>
        <v>1.0934446003160354</v>
      </c>
      <c r="CA75" s="90">
        <f t="shared" si="178"/>
        <v>0.6057222046802091</v>
      </c>
      <c r="CB75" s="90">
        <f t="shared" si="178"/>
        <v>0.37978995112070102</v>
      </c>
      <c r="CC75" s="1115">
        <f t="shared" si="178"/>
        <v>0.75572483391009038</v>
      </c>
      <c r="CD75" s="90">
        <f t="shared" si="178"/>
        <v>0.29294308644244316</v>
      </c>
      <c r="CE75" s="90">
        <f t="shared" si="178"/>
        <v>0.29400883546864853</v>
      </c>
      <c r="CF75" s="90">
        <f t="shared" si="178"/>
        <v>0.24755472722148042</v>
      </c>
      <c r="CG75" s="90">
        <f t="shared" si="178"/>
        <v>0.24400181593909398</v>
      </c>
      <c r="CH75" s="1115">
        <f t="shared" si="178"/>
        <v>0.2708183545831917</v>
      </c>
      <c r="CI75" s="1115">
        <f>CI74/CH74-1</f>
        <v>0.19277198219808711</v>
      </c>
      <c r="CJ75" s="1115">
        <f>CJ74/CI74-1</f>
        <v>0.1746673331025419</v>
      </c>
      <c r="CK75" s="1115">
        <f>CK74/CJ74-1</f>
        <v>0.17500630227648339</v>
      </c>
      <c r="CL75" s="155"/>
    </row>
    <row r="76" spans="1:90" x14ac:dyDescent="0.3">
      <c r="A76" s="621" t="s">
        <v>39</v>
      </c>
      <c r="B76" s="202"/>
      <c r="C76" s="1128">
        <f t="shared" ref="C76:AH76" si="179">C74/C44</f>
        <v>0.22128560621035789</v>
      </c>
      <c r="D76" s="1128">
        <f t="shared" si="179"/>
        <v>0.25478070432548861</v>
      </c>
      <c r="E76" s="1128">
        <f t="shared" si="179"/>
        <v>0.22319701725138844</v>
      </c>
      <c r="F76" s="1128">
        <f t="shared" si="179"/>
        <v>0.22807327792132431</v>
      </c>
      <c r="G76" s="315">
        <f t="shared" si="179"/>
        <v>0.28060379920789469</v>
      </c>
      <c r="H76" s="315">
        <f t="shared" si="179"/>
        <v>0.2485123579150986</v>
      </c>
      <c r="I76" s="315">
        <f t="shared" si="179"/>
        <v>0.21713796912242242</v>
      </c>
      <c r="J76" s="315">
        <f t="shared" si="179"/>
        <v>0.2460019044143022</v>
      </c>
      <c r="K76" s="1128">
        <f t="shared" si="179"/>
        <v>0.24297859028134239</v>
      </c>
      <c r="L76" s="315">
        <f t="shared" si="179"/>
        <v>0.31565171214331877</v>
      </c>
      <c r="M76" s="315">
        <f t="shared" si="179"/>
        <v>0.31642138353195431</v>
      </c>
      <c r="N76" s="315">
        <f t="shared" si="179"/>
        <v>0.30154169912340706</v>
      </c>
      <c r="O76" s="315">
        <f t="shared" si="179"/>
        <v>0.27166414092419439</v>
      </c>
      <c r="P76" s="1128">
        <f t="shared" si="179"/>
        <v>0.3000585956416465</v>
      </c>
      <c r="Q76" s="315">
        <f t="shared" si="179"/>
        <v>0.28018495013599271</v>
      </c>
      <c r="R76" s="315">
        <f t="shared" si="179"/>
        <v>0.28286491387126023</v>
      </c>
      <c r="S76" s="315">
        <f t="shared" si="179"/>
        <v>0.25495510204081634</v>
      </c>
      <c r="T76" s="315">
        <f t="shared" si="179"/>
        <v>0.2573940847322142</v>
      </c>
      <c r="U76" s="1128">
        <f t="shared" si="179"/>
        <v>0.26812558735583086</v>
      </c>
      <c r="V76" s="315">
        <f t="shared" si="179"/>
        <v>0.26672458731537796</v>
      </c>
      <c r="W76" s="315">
        <f t="shared" si="179"/>
        <v>0.2523850823937554</v>
      </c>
      <c r="X76" s="315">
        <f t="shared" si="179"/>
        <v>0.22911877394636015</v>
      </c>
      <c r="Y76" s="315">
        <f t="shared" si="179"/>
        <v>0.22055674518201285</v>
      </c>
      <c r="Z76" s="1128">
        <f t="shared" si="179"/>
        <v>0.2403193612774451</v>
      </c>
      <c r="AA76" s="315">
        <f t="shared" si="179"/>
        <v>0.2413793103448276</v>
      </c>
      <c r="AB76" s="315">
        <f t="shared" si="179"/>
        <v>0.22268907563025211</v>
      </c>
      <c r="AC76" s="315">
        <f t="shared" si="179"/>
        <v>0.16766467065868262</v>
      </c>
      <c r="AD76" s="315">
        <f t="shared" si="179"/>
        <v>0.16198803497468936</v>
      </c>
      <c r="AE76" s="1128">
        <f t="shared" si="179"/>
        <v>0.19117221418234442</v>
      </c>
      <c r="AF76" s="315">
        <f t="shared" si="179"/>
        <v>0.18998451213216314</v>
      </c>
      <c r="AG76" s="315">
        <f t="shared" si="179"/>
        <v>0.16591928251121077</v>
      </c>
      <c r="AH76" s="315">
        <f t="shared" si="179"/>
        <v>0.15174506828528073</v>
      </c>
      <c r="AI76" s="315">
        <f t="shared" ref="AI76:BE76" si="180">AI74/AI44</f>
        <v>0.1494331844726898</v>
      </c>
      <c r="AJ76" s="1128">
        <f t="shared" si="180"/>
        <v>0.1619312332715668</v>
      </c>
      <c r="AK76" s="315">
        <f t="shared" si="180"/>
        <v>0.14561895852821952</v>
      </c>
      <c r="AL76" s="315">
        <f t="shared" si="180"/>
        <v>0.16138328530259366</v>
      </c>
      <c r="AM76" s="315">
        <f t="shared" si="180"/>
        <v>0.1625275070732474</v>
      </c>
      <c r="AN76" s="315">
        <f t="shared" si="180"/>
        <v>0.24852607709750568</v>
      </c>
      <c r="AO76" s="1128">
        <f t="shared" si="180"/>
        <v>0.17403550699897577</v>
      </c>
      <c r="AP76" s="315">
        <f t="shared" si="180"/>
        <v>0.25045045045045045</v>
      </c>
      <c r="AQ76" s="315">
        <f t="shared" si="180"/>
        <v>0.21636293136874757</v>
      </c>
      <c r="AR76" s="315">
        <f t="shared" si="180"/>
        <v>0.18911745189117452</v>
      </c>
      <c r="AS76" s="315">
        <f t="shared" si="180"/>
        <v>0.19227053140096617</v>
      </c>
      <c r="AT76" s="1128">
        <f t="shared" si="180"/>
        <v>0.20910423154423888</v>
      </c>
      <c r="AU76" s="315">
        <f t="shared" si="180"/>
        <v>0.19448051948051948</v>
      </c>
      <c r="AV76" s="315">
        <f t="shared" si="180"/>
        <v>0.19813760993274704</v>
      </c>
      <c r="AW76" s="315">
        <f t="shared" si="180"/>
        <v>0.17202708421498095</v>
      </c>
      <c r="AX76" s="315">
        <f t="shared" si="180"/>
        <v>0.17569458325004997</v>
      </c>
      <c r="AY76" s="1128">
        <f t="shared" si="180"/>
        <v>0.18320839580209894</v>
      </c>
      <c r="AZ76" s="315">
        <f t="shared" si="180"/>
        <v>0.15474297827239003</v>
      </c>
      <c r="BA76" s="315">
        <f t="shared" si="180"/>
        <v>0.14553557707084677</v>
      </c>
      <c r="BB76" s="315">
        <f t="shared" si="180"/>
        <v>0.1454315078135999</v>
      </c>
      <c r="BC76" s="315">
        <f t="shared" si="180"/>
        <v>0.14326835012429673</v>
      </c>
      <c r="BD76" s="1128">
        <f t="shared" si="180"/>
        <v>0.14680092145351861</v>
      </c>
      <c r="BE76" s="315">
        <f t="shared" si="180"/>
        <v>0.14780405405405406</v>
      </c>
      <c r="BF76" s="315">
        <f t="shared" ref="BF76:BK76" si="181">BF74/BF44</f>
        <v>0.20316229116945109</v>
      </c>
      <c r="BG76" s="315">
        <f t="shared" si="181"/>
        <v>0.23689091215646602</v>
      </c>
      <c r="BH76" s="315">
        <f t="shared" si="181"/>
        <v>0.2336803834077012</v>
      </c>
      <c r="BI76" s="1128">
        <f t="shared" si="181"/>
        <v>0.20048936012456439</v>
      </c>
      <c r="BJ76" s="315">
        <f t="shared" si="181"/>
        <v>0.18617908787541712</v>
      </c>
      <c r="BK76" s="315">
        <f t="shared" si="181"/>
        <v>0.10572295846598061</v>
      </c>
      <c r="BL76" s="315">
        <f t="shared" ref="BL76:BQ76" si="182">BL74/BL44</f>
        <v>8.7251655629139072E-2</v>
      </c>
      <c r="BM76" s="315">
        <f t="shared" si="182"/>
        <v>7.903904447360087E-2</v>
      </c>
      <c r="BN76" s="1128">
        <f t="shared" si="182"/>
        <v>0.10002954597682283</v>
      </c>
      <c r="BO76" s="315">
        <f t="shared" si="182"/>
        <v>7.6063584702810633E-2</v>
      </c>
      <c r="BP76" s="315">
        <f t="shared" si="182"/>
        <v>7.4600532623169111E-2</v>
      </c>
      <c r="BQ76" s="315">
        <f t="shared" si="182"/>
        <v>7.0035915854284245E-2</v>
      </c>
      <c r="BR76" s="315">
        <f t="shared" ref="BR76:BX76" si="183">BR74/BR44</f>
        <v>6.9461747730797593E-2</v>
      </c>
      <c r="BS76" s="1128">
        <f t="shared" si="183"/>
        <v>7.2124263393028187E-2</v>
      </c>
      <c r="BT76" s="315">
        <f t="shared" si="183"/>
        <v>6.5770959103082019E-2</v>
      </c>
      <c r="BU76" s="315">
        <f t="shared" si="183"/>
        <v>6.569967695697751E-2</v>
      </c>
      <c r="BV76" s="315">
        <f t="shared" si="183"/>
        <v>6.0765533452619022E-2</v>
      </c>
      <c r="BW76" s="315">
        <f t="shared" si="183"/>
        <v>6.1825707869126778E-2</v>
      </c>
      <c r="BX76" s="1128">
        <f t="shared" si="183"/>
        <v>6.3189434004204917E-2</v>
      </c>
      <c r="BY76" s="897">
        <f>BY74/BY44</f>
        <v>7.5402805856766522E-2</v>
      </c>
      <c r="BZ76" s="315">
        <f>BU76-BZ77/10000</f>
        <v>7.0699676956977514E-2</v>
      </c>
      <c r="CA76" s="315">
        <f>BV76-CA77/10000</f>
        <v>6.0765533452619022E-2</v>
      </c>
      <c r="CB76" s="315">
        <f>BW76-CB77/10000</f>
        <v>6.1825707869126778E-2</v>
      </c>
      <c r="CC76" s="1128">
        <f>CC74/CC44</f>
        <v>6.6902688752832104E-2</v>
      </c>
      <c r="CD76" s="315">
        <f>BY76-CD77/10000</f>
        <v>7.5402805856766522E-2</v>
      </c>
      <c r="CE76" s="315">
        <f>BZ76-CE77/10000</f>
        <v>7.0699676956977514E-2</v>
      </c>
      <c r="CF76" s="315">
        <f>CA76-CF77/10000</f>
        <v>6.0765533452619022E-2</v>
      </c>
      <c r="CG76" s="315">
        <f>CB76-CG77/10000</f>
        <v>6.1825707869126778E-2</v>
      </c>
      <c r="CH76" s="1128">
        <f>CH74/CH44</f>
        <v>6.7011030772946567E-2</v>
      </c>
      <c r="CI76" s="1128">
        <f>CH76-CI77/10000</f>
        <v>6.7011030772946567E-2</v>
      </c>
      <c r="CJ76" s="1128">
        <f>CI76-CJ77/10000</f>
        <v>6.7011030772946567E-2</v>
      </c>
      <c r="CK76" s="1128">
        <f>CJ76-CK77/10000</f>
        <v>6.7011030772946567E-2</v>
      </c>
      <c r="CL76" s="155"/>
    </row>
    <row r="77" spans="1:90" x14ac:dyDescent="0.3">
      <c r="A77" s="99" t="s">
        <v>719</v>
      </c>
      <c r="B77" s="598"/>
      <c r="C77" s="1112"/>
      <c r="D77" s="1112">
        <f>-(D76-C76)*10000</f>
        <v>-334.95098115130713</v>
      </c>
      <c r="E77" s="1112">
        <f t="shared" ref="E77" si="184">-(E76-D76)*10000</f>
        <v>315.83687074100169</v>
      </c>
      <c r="F77" s="1112">
        <f t="shared" ref="F77" si="185">-(F76-E76)*10000</f>
        <v>-48.762606699358777</v>
      </c>
      <c r="G77" s="68"/>
      <c r="H77" s="68"/>
      <c r="I77" s="68"/>
      <c r="J77" s="68"/>
      <c r="K77" s="1112">
        <f>-(K76-F76)*10000</f>
        <v>-149.05312360018075</v>
      </c>
      <c r="L77" s="68">
        <f t="shared" ref="L77" si="186">-(L76-G76)*10000</f>
        <v>-350.47912935424085</v>
      </c>
      <c r="M77" s="68">
        <f t="shared" ref="M77" si="187">-(M76-H76)*10000</f>
        <v>-679.09025616855718</v>
      </c>
      <c r="N77" s="68">
        <f t="shared" ref="N77" si="188">-(N76-I76)*10000</f>
        <v>-844.03730000984638</v>
      </c>
      <c r="O77" s="68">
        <f t="shared" ref="O77" si="189">-(O76-J76)*10000</f>
        <v>-256.62236509892188</v>
      </c>
      <c r="P77" s="1112">
        <f t="shared" ref="P77" si="190">-(P76-K76)*10000</f>
        <v>-570.80005360304108</v>
      </c>
      <c r="Q77" s="68">
        <f t="shared" ref="Q77" si="191">-(Q76-L76)*10000</f>
        <v>354.66762007326071</v>
      </c>
      <c r="R77" s="68">
        <f t="shared" ref="R77" si="192">-(R76-M76)*10000</f>
        <v>335.56469660694086</v>
      </c>
      <c r="S77" s="68">
        <f t="shared" ref="S77" si="193">-(S76-N76)*10000</f>
        <v>465.8659708259072</v>
      </c>
      <c r="T77" s="68">
        <f t="shared" ref="T77" si="194">-(T76-O76)*10000</f>
        <v>142.70056191980186</v>
      </c>
      <c r="U77" s="1112">
        <f t="shared" ref="U77" si="195">-(U76-P76)*10000</f>
        <v>319.33008285815635</v>
      </c>
      <c r="V77" s="68">
        <f t="shared" ref="V77" si="196">-(V76-Q76)*10000</f>
        <v>134.60362820614748</v>
      </c>
      <c r="W77" s="68">
        <f t="shared" ref="W77" si="197">-(W76-R76)*10000</f>
        <v>304.79831477504825</v>
      </c>
      <c r="X77" s="68">
        <f t="shared" ref="X77" si="198">-(X76-S76)*10000</f>
        <v>258.36328094456184</v>
      </c>
      <c r="Y77" s="68">
        <f t="shared" ref="Y77" si="199">-(Y76-T76)*10000</f>
        <v>368.37339550201352</v>
      </c>
      <c r="Z77" s="1112">
        <f t="shared" ref="Z77" si="200">-(Z76-U76)*10000</f>
        <v>278.0622607838576</v>
      </c>
      <c r="AA77" s="68">
        <f t="shared" ref="AA77" si="201">-(AA76-V76)*10000</f>
        <v>253.45276970550361</v>
      </c>
      <c r="AB77" s="68">
        <f t="shared" ref="AB77" si="202">-(AB76-W76)*10000</f>
        <v>296.96006763503283</v>
      </c>
      <c r="AC77" s="68">
        <f t="shared" ref="AC77" si="203">-(AC76-X76)*10000</f>
        <v>614.54103287677526</v>
      </c>
      <c r="AD77" s="68">
        <f t="shared" ref="AD77" si="204">-(AD76-Y76)*10000</f>
        <v>585.68710207323488</v>
      </c>
      <c r="AE77" s="1112">
        <f t="shared" ref="AE77" si="205">-(AE76-Z76)*10000</f>
        <v>491.47147095100678</v>
      </c>
      <c r="AF77" s="68">
        <f t="shared" ref="AF77" si="206">-(AF76-AA76)*10000</f>
        <v>513.94798212664466</v>
      </c>
      <c r="AG77" s="68">
        <f t="shared" ref="AG77" si="207">-(AG76-AB76)*10000</f>
        <v>567.69793119041344</v>
      </c>
      <c r="AH77" s="68">
        <f t="shared" ref="AH77" si="208">-(AH76-AC76)*10000</f>
        <v>159.19602373401898</v>
      </c>
      <c r="AI77" s="68">
        <f t="shared" ref="AI77" si="209">-(AI76-AD76)*10000</f>
        <v>125.54850501999559</v>
      </c>
      <c r="AJ77" s="1112">
        <f t="shared" ref="AJ77" si="210">-(AJ76-AE76)*10000</f>
        <v>292.4098091077762</v>
      </c>
      <c r="AK77" s="68">
        <f t="shared" ref="AK77" si="211">-(AK76-AF76)*10000</f>
        <v>443.65553603943619</v>
      </c>
      <c r="AL77" s="68">
        <f t="shared" ref="AL77" si="212">-(AL76-AG76)*10000</f>
        <v>45.359972086171098</v>
      </c>
      <c r="AM77" s="68">
        <f t="shared" ref="AM77" si="213">-(AM76-AH76)*10000</f>
        <v>-107.82438787966669</v>
      </c>
      <c r="AN77" s="68">
        <f t="shared" ref="AN77" si="214">-(AN76-AI76)*10000</f>
        <v>-990.92892624815886</v>
      </c>
      <c r="AO77" s="1112">
        <f t="shared" ref="AO77" si="215">-(AO76-AJ76)*10000</f>
        <v>-121.04273727408965</v>
      </c>
      <c r="AP77" s="68">
        <f t="shared" ref="AP77" si="216">-(AP76-AK76)*10000</f>
        <v>-1048.3149192223093</v>
      </c>
      <c r="AQ77" s="68">
        <f t="shared" ref="AQ77" si="217">-(AQ76-AL76)*10000</f>
        <v>-549.79646066153907</v>
      </c>
      <c r="AR77" s="68">
        <f t="shared" ref="AR77" si="218">-(AR76-AM76)*10000</f>
        <v>-265.89944817927119</v>
      </c>
      <c r="AS77" s="68">
        <f t="shared" ref="AS77" si="219">-(AS76-AN76)*10000</f>
        <v>562.55545696539514</v>
      </c>
      <c r="AT77" s="1112">
        <f t="shared" ref="AT77" si="220">-(AT76-AO76)*10000</f>
        <v>-350.68724545263109</v>
      </c>
      <c r="AU77" s="68">
        <f t="shared" ref="AU77" si="221">-(AU76-AP76)*10000</f>
        <v>559.69930969930965</v>
      </c>
      <c r="AV77" s="68">
        <f t="shared" ref="AV77" si="222">-(AV76-AQ76)*10000</f>
        <v>182.2532143600053</v>
      </c>
      <c r="AW77" s="68">
        <f t="shared" ref="AW77" si="223">-(AW76-AR76)*10000</f>
        <v>170.90367676193569</v>
      </c>
      <c r="AX77" s="68">
        <f t="shared" ref="AX77" si="224">-(AX76-AS76)*10000</f>
        <v>165.75948150916204</v>
      </c>
      <c r="AY77" s="1112">
        <f t="shared" ref="AY77" si="225">-(AY76-AT76)*10000</f>
        <v>258.9583574213994</v>
      </c>
      <c r="AZ77" s="68">
        <f t="shared" ref="AZ77" si="226">-(AZ76-AU76)*10000</f>
        <v>397.37541208129443</v>
      </c>
      <c r="BA77" s="68">
        <f t="shared" ref="BA77" si="227">-(BA76-AV76)*10000</f>
        <v>526.02032861900261</v>
      </c>
      <c r="BB77" s="68">
        <f t="shared" ref="BB77" si="228">-(BB76-AW76)*10000</f>
        <v>265.95576401381049</v>
      </c>
      <c r="BC77" s="68">
        <f t="shared" ref="BC77" si="229">-(BC76-AX76)*10000</f>
        <v>324.26233125753242</v>
      </c>
      <c r="BD77" s="1112">
        <f t="shared" ref="BD77" si="230">-(BD76-AY76)*10000</f>
        <v>364.07474348580325</v>
      </c>
      <c r="BE77" s="68">
        <f t="shared" ref="BE77" si="231">-(BE76-AZ76)*10000</f>
        <v>69.389242183359727</v>
      </c>
      <c r="BF77" s="68">
        <f t="shared" ref="BF77:BK77" si="232">-(BF76-BA76)*10000</f>
        <v>-576.26714098604316</v>
      </c>
      <c r="BG77" s="68">
        <f t="shared" si="232"/>
        <v>-914.59404342866117</v>
      </c>
      <c r="BH77" s="68">
        <f t="shared" si="232"/>
        <v>-904.12033283404469</v>
      </c>
      <c r="BI77" s="1112">
        <f t="shared" si="232"/>
        <v>-536.88438671045776</v>
      </c>
      <c r="BJ77" s="68">
        <f t="shared" si="232"/>
        <v>-383.75033821363064</v>
      </c>
      <c r="BK77" s="68">
        <f t="shared" si="232"/>
        <v>974.39332703470484</v>
      </c>
      <c r="BL77" s="68">
        <f t="shared" ref="BL77:BQ77" si="233">-(BL76-BG76)*10000</f>
        <v>1496.3925652732696</v>
      </c>
      <c r="BM77" s="68">
        <f t="shared" si="233"/>
        <v>1546.413389341003</v>
      </c>
      <c r="BN77" s="1112">
        <f t="shared" si="233"/>
        <v>1004.5981414774157</v>
      </c>
      <c r="BO77" s="68">
        <f t="shared" si="233"/>
        <v>1101.1550317260649</v>
      </c>
      <c r="BP77" s="68">
        <f t="shared" si="233"/>
        <v>311.22425842811498</v>
      </c>
      <c r="BQ77" s="68">
        <f t="shared" si="233"/>
        <v>172.15739774854828</v>
      </c>
      <c r="BR77" s="68">
        <f t="shared" ref="BR77:BX77" si="234">-(BR76-BM76)*10000</f>
        <v>95.772967428032757</v>
      </c>
      <c r="BS77" s="1112">
        <f t="shared" si="234"/>
        <v>279.05282583794639</v>
      </c>
      <c r="BT77" s="68">
        <f t="shared" si="234"/>
        <v>102.92625599728613</v>
      </c>
      <c r="BU77" s="68">
        <f t="shared" si="234"/>
        <v>89.008556661916018</v>
      </c>
      <c r="BV77" s="68">
        <f t="shared" si="234"/>
        <v>92.70382401665222</v>
      </c>
      <c r="BW77" s="68">
        <f t="shared" si="234"/>
        <v>76.360398616708153</v>
      </c>
      <c r="BX77" s="1112">
        <f t="shared" si="234"/>
        <v>89.348293888232703</v>
      </c>
      <c r="BY77" s="588">
        <f>-(BY76-BT76)*10000</f>
        <v>-96.318467536845034</v>
      </c>
      <c r="BZ77" s="1055">
        <v>-50</v>
      </c>
      <c r="CA77" s="1055">
        <v>0</v>
      </c>
      <c r="CB77" s="1055">
        <v>0</v>
      </c>
      <c r="CC77" s="1112">
        <f>-(CC76-BX76)*10000</f>
        <v>-37.132547486271875</v>
      </c>
      <c r="CD77" s="1055">
        <v>0</v>
      </c>
      <c r="CE77" s="1055">
        <v>0</v>
      </c>
      <c r="CF77" s="1055">
        <v>0</v>
      </c>
      <c r="CG77" s="1055">
        <v>0</v>
      </c>
      <c r="CH77" s="1112">
        <f>-(CH76-CC76)*10000</f>
        <v>-1.0834202011446303</v>
      </c>
      <c r="CI77" s="1113">
        <v>0</v>
      </c>
      <c r="CJ77" s="1113">
        <v>0</v>
      </c>
      <c r="CK77" s="1113">
        <v>0</v>
      </c>
      <c r="CL77" s="155"/>
    </row>
    <row r="78" spans="1:90" x14ac:dyDescent="0.3">
      <c r="A78" s="600"/>
      <c r="B78" s="601"/>
      <c r="C78" s="1127"/>
      <c r="D78" s="1127"/>
      <c r="E78" s="1127"/>
      <c r="F78" s="1127"/>
      <c r="G78" s="63"/>
      <c r="H78" s="63"/>
      <c r="I78" s="63"/>
      <c r="J78" s="63"/>
      <c r="K78" s="1127"/>
      <c r="L78" s="63"/>
      <c r="M78" s="63"/>
      <c r="N78" s="63"/>
      <c r="O78" s="63"/>
      <c r="P78" s="1127"/>
      <c r="Q78" s="63"/>
      <c r="R78" s="63"/>
      <c r="S78" s="63"/>
      <c r="T78" s="63"/>
      <c r="U78" s="1127"/>
      <c r="V78" s="63"/>
      <c r="W78" s="63"/>
      <c r="X78" s="63"/>
      <c r="Y78" s="63"/>
      <c r="Z78" s="1127"/>
      <c r="AA78" s="63"/>
      <c r="AB78" s="63"/>
      <c r="AC78" s="63"/>
      <c r="AD78" s="63"/>
      <c r="AE78" s="1127"/>
      <c r="AF78" s="63"/>
      <c r="AG78" s="63"/>
      <c r="AH78" s="63"/>
      <c r="AI78" s="63"/>
      <c r="AJ78" s="1127"/>
      <c r="AK78" s="63"/>
      <c r="AL78" s="63"/>
      <c r="AM78" s="63"/>
      <c r="AN78" s="63"/>
      <c r="AO78" s="1127"/>
      <c r="AP78" s="63"/>
      <c r="AQ78" s="63"/>
      <c r="AR78" s="63"/>
      <c r="AS78" s="63"/>
      <c r="AT78" s="1127"/>
      <c r="AU78" s="63"/>
      <c r="AV78" s="63"/>
      <c r="AW78" s="63"/>
      <c r="AX78" s="63"/>
      <c r="AY78" s="1127"/>
      <c r="AZ78" s="63"/>
      <c r="BA78" s="63"/>
      <c r="BB78" s="63"/>
      <c r="BC78" s="63"/>
      <c r="BD78" s="1127"/>
      <c r="BE78" s="63"/>
      <c r="BF78" s="63"/>
      <c r="BG78" s="63"/>
      <c r="BH78" s="63"/>
      <c r="BI78" s="1127"/>
      <c r="BJ78" s="63"/>
      <c r="BK78" s="63"/>
      <c r="BL78" s="63"/>
      <c r="BM78" s="63"/>
      <c r="BN78" s="1127"/>
      <c r="BO78" s="63"/>
      <c r="BP78" s="63"/>
      <c r="BQ78" s="63"/>
      <c r="BR78" s="63"/>
      <c r="BS78" s="1127"/>
      <c r="BT78" s="63"/>
      <c r="BU78" s="63"/>
      <c r="BV78" s="63"/>
      <c r="BW78" s="63"/>
      <c r="BX78" s="1127"/>
      <c r="BY78" s="587"/>
      <c r="BZ78" s="63"/>
      <c r="CA78" s="63"/>
      <c r="CB78" s="63"/>
      <c r="CC78" s="1127"/>
      <c r="CD78" s="63"/>
      <c r="CE78" s="63"/>
      <c r="CF78" s="63"/>
      <c r="CG78" s="63"/>
      <c r="CH78" s="1127"/>
      <c r="CI78" s="1127"/>
      <c r="CJ78" s="1127"/>
      <c r="CK78" s="1127"/>
      <c r="CL78" s="155"/>
    </row>
    <row r="79" spans="1:90" hidden="1" outlineLevel="1" x14ac:dyDescent="0.3">
      <c r="A79" s="636" t="s">
        <v>712</v>
      </c>
      <c r="B79" s="598"/>
      <c r="C79" s="1112">
        <f t="shared" ref="C79:BD79" si="235">C386</f>
        <v>362.22199999999998</v>
      </c>
      <c r="D79" s="1112">
        <f t="shared" si="235"/>
        <v>367.017</v>
      </c>
      <c r="E79" s="1112">
        <f t="shared" si="235"/>
        <v>361.51299999999998</v>
      </c>
      <c r="F79" s="1112">
        <f t="shared" si="235"/>
        <v>405.613</v>
      </c>
      <c r="G79" s="68">
        <f t="shared" si="235"/>
        <v>106.636</v>
      </c>
      <c r="H79" s="68">
        <f t="shared" si="235"/>
        <v>119.90300000000001</v>
      </c>
      <c r="I79" s="68">
        <f t="shared" si="235"/>
        <v>100.261</v>
      </c>
      <c r="J79" s="68">
        <f t="shared" si="235"/>
        <v>104.02200000000002</v>
      </c>
      <c r="K79" s="1112">
        <f t="shared" si="235"/>
        <v>430.822</v>
      </c>
      <c r="L79" s="68">
        <f t="shared" si="235"/>
        <v>108.626</v>
      </c>
      <c r="M79" s="68">
        <f t="shared" si="235"/>
        <v>108.26600000000001</v>
      </c>
      <c r="N79" s="68">
        <f t="shared" si="235"/>
        <v>103.133</v>
      </c>
      <c r="O79" s="68">
        <f t="shared" si="235"/>
        <v>115.67700000000001</v>
      </c>
      <c r="P79" s="1112">
        <f t="shared" si="235"/>
        <v>435.702</v>
      </c>
      <c r="Q79" s="68">
        <f t="shared" si="235"/>
        <v>119</v>
      </c>
      <c r="R79" s="68">
        <f t="shared" si="235"/>
        <v>119</v>
      </c>
      <c r="S79" s="68">
        <f t="shared" si="235"/>
        <v>123</v>
      </c>
      <c r="T79" s="68">
        <f t="shared" si="235"/>
        <v>119</v>
      </c>
      <c r="U79" s="1112">
        <f t="shared" si="235"/>
        <v>480</v>
      </c>
      <c r="V79" s="68">
        <f t="shared" si="235"/>
        <v>138</v>
      </c>
      <c r="W79" s="68">
        <f t="shared" si="235"/>
        <v>149</v>
      </c>
      <c r="X79" s="68">
        <f t="shared" si="235"/>
        <v>152</v>
      </c>
      <c r="Y79" s="68">
        <f t="shared" si="235"/>
        <v>161</v>
      </c>
      <c r="Z79" s="1112">
        <f t="shared" si="235"/>
        <v>602</v>
      </c>
      <c r="AA79" s="68">
        <f t="shared" si="235"/>
        <v>159</v>
      </c>
      <c r="AB79" s="68">
        <f t="shared" si="235"/>
        <v>157</v>
      </c>
      <c r="AC79" s="68">
        <f t="shared" si="235"/>
        <v>171</v>
      </c>
      <c r="AD79" s="68">
        <f t="shared" si="235"/>
        <v>176</v>
      </c>
      <c r="AE79" s="1112">
        <f t="shared" si="235"/>
        <v>663</v>
      </c>
      <c r="AF79" s="68">
        <f t="shared" si="235"/>
        <v>185</v>
      </c>
      <c r="AG79" s="68">
        <f t="shared" si="235"/>
        <v>198</v>
      </c>
      <c r="AH79" s="68">
        <f t="shared" si="235"/>
        <v>212</v>
      </c>
      <c r="AI79" s="68">
        <f t="shared" si="235"/>
        <v>220</v>
      </c>
      <c r="AJ79" s="1112">
        <f t="shared" si="235"/>
        <v>815</v>
      </c>
      <c r="AK79" s="68">
        <f t="shared" si="235"/>
        <v>231</v>
      </c>
      <c r="AL79" s="68">
        <f t="shared" si="235"/>
        <v>237</v>
      </c>
      <c r="AM79" s="68">
        <f t="shared" si="235"/>
        <v>258</v>
      </c>
      <c r="AN79" s="68">
        <f t="shared" si="235"/>
        <v>266</v>
      </c>
      <c r="AO79" s="1112">
        <f t="shared" si="235"/>
        <v>991</v>
      </c>
      <c r="AP79" s="68">
        <f t="shared" si="235"/>
        <v>264</v>
      </c>
      <c r="AQ79" s="68">
        <f t="shared" si="235"/>
        <v>266</v>
      </c>
      <c r="AR79" s="68">
        <f t="shared" si="235"/>
        <v>277</v>
      </c>
      <c r="AS79" s="68">
        <f t="shared" si="235"/>
        <v>287</v>
      </c>
      <c r="AT79" s="1112">
        <f t="shared" si="235"/>
        <v>1093</v>
      </c>
      <c r="AU79" s="68">
        <f t="shared" si="235"/>
        <v>293</v>
      </c>
      <c r="AV79" s="68">
        <f t="shared" si="235"/>
        <v>627</v>
      </c>
      <c r="AW79" s="68">
        <f t="shared" si="235"/>
        <v>515</v>
      </c>
      <c r="AX79" s="68">
        <f t="shared" si="235"/>
        <v>503</v>
      </c>
      <c r="AY79" s="1112">
        <f t="shared" si="235"/>
        <v>1940</v>
      </c>
      <c r="AZ79" s="68">
        <f t="shared" si="235"/>
        <v>520</v>
      </c>
      <c r="BA79" s="68">
        <f t="shared" si="235"/>
        <v>526</v>
      </c>
      <c r="BB79" s="68">
        <f t="shared" si="235"/>
        <v>557</v>
      </c>
      <c r="BC79" s="68">
        <f t="shared" si="235"/>
        <v>563</v>
      </c>
      <c r="BD79" s="1112">
        <f t="shared" si="235"/>
        <v>2166</v>
      </c>
      <c r="BE79" s="68">
        <f t="shared" ref="BE79:BJ79" si="236">BE386</f>
        <v>592</v>
      </c>
      <c r="BF79" s="68">
        <f t="shared" si="236"/>
        <v>592</v>
      </c>
      <c r="BG79" s="68">
        <f t="shared" si="236"/>
        <v>631</v>
      </c>
      <c r="BH79" s="68">
        <f t="shared" si="236"/>
        <v>625</v>
      </c>
      <c r="BI79" s="1112">
        <f t="shared" si="236"/>
        <v>2440</v>
      </c>
      <c r="BJ79" s="68">
        <f t="shared" si="236"/>
        <v>633</v>
      </c>
      <c r="BK79" s="68">
        <f t="shared" ref="BK79:BP79" si="237">BK386</f>
        <v>622</v>
      </c>
      <c r="BL79" s="68">
        <f t="shared" si="237"/>
        <v>689</v>
      </c>
      <c r="BM79" s="68">
        <f t="shared" si="237"/>
        <v>711</v>
      </c>
      <c r="BN79" s="1112">
        <f t="shared" si="237"/>
        <v>2654</v>
      </c>
      <c r="BO79" s="68">
        <f t="shared" si="237"/>
        <v>777</v>
      </c>
      <c r="BP79" s="68">
        <f t="shared" si="237"/>
        <v>842</v>
      </c>
      <c r="BQ79" s="68">
        <f t="shared" ref="BQ79:BV79" si="238">BQ386</f>
        <v>897</v>
      </c>
      <c r="BR79" s="68">
        <f t="shared" si="238"/>
        <v>975</v>
      </c>
      <c r="BS79" s="1112">
        <f t="shared" si="238"/>
        <v>3491</v>
      </c>
      <c r="BT79" s="68">
        <f t="shared" si="238"/>
        <v>1041</v>
      </c>
      <c r="BU79" s="68">
        <f t="shared" si="238"/>
        <v>1122</v>
      </c>
      <c r="BV79" s="68">
        <f t="shared" si="238"/>
        <v>1134</v>
      </c>
      <c r="BW79" s="68">
        <f>BW386</f>
        <v>1282</v>
      </c>
      <c r="BX79" s="1112">
        <f>BX386</f>
        <v>4579</v>
      </c>
      <c r="BY79" s="588">
        <f>BY386</f>
        <v>1300</v>
      </c>
      <c r="BZ79" s="68">
        <f>BZ89+BZ86+BZ84+BZ88</f>
        <v>1910.4993378680015</v>
      </c>
      <c r="CA79" s="68">
        <f>CA89+CA86+CA84+CA88</f>
        <v>1224.204535714837</v>
      </c>
      <c r="CB79" s="68">
        <f>CB89+CB86+CB84+CB88</f>
        <v>1299.2452646400104</v>
      </c>
      <c r="CC79" s="1112">
        <f>SUM(BY79,BZ79,CA79,CB79)</f>
        <v>5733.9491382228489</v>
      </c>
      <c r="CD79" s="68">
        <f>CD89+CD86+CD84+CD88</f>
        <v>1695.466006942964</v>
      </c>
      <c r="CE79" s="68">
        <f>CE89+CE86+CE84+CE88</f>
        <v>2472.2030233581968</v>
      </c>
      <c r="CF79" s="68">
        <f>CF89+CF86+CF84+CF88</f>
        <v>1527.2621556170225</v>
      </c>
      <c r="CG79" s="68">
        <f>CG89+CG86+CG84+CG88</f>
        <v>1616.2634685624421</v>
      </c>
      <c r="CH79" s="1112">
        <f>SUM(CD79,CE79,CF79,CG79)</f>
        <v>7311.1946544806251</v>
      </c>
      <c r="CI79" s="1112">
        <f>CI89+CI86+CI84+CI88</f>
        <v>8449.6347396859128</v>
      </c>
      <c r="CJ79" s="1112">
        <f>CJ89+CJ86+CJ84+CJ88</f>
        <v>9607.2297969089414</v>
      </c>
      <c r="CK79" s="1112">
        <f>CK89+CK86+CK84+CK88</f>
        <v>10914.574425470195</v>
      </c>
      <c r="CL79" s="155"/>
    </row>
    <row r="80" spans="1:90" hidden="1" outlineLevel="1" x14ac:dyDescent="0.3">
      <c r="A80" s="371" t="s">
        <v>710</v>
      </c>
      <c r="B80" s="582"/>
      <c r="C80" s="1115"/>
      <c r="D80" s="1115">
        <f t="shared" ref="D80" si="239">D79/C79-1</f>
        <v>1.3237738182661607E-2</v>
      </c>
      <c r="E80" s="1115">
        <f t="shared" ref="E80" si="240">E79/D79-1</f>
        <v>-1.4996580539866078E-2</v>
      </c>
      <c r="F80" s="1115">
        <f>F79/E79-1</f>
        <v>0.12198731442576061</v>
      </c>
      <c r="G80" s="90"/>
      <c r="H80" s="90"/>
      <c r="I80" s="90"/>
      <c r="J80" s="90"/>
      <c r="K80" s="1115">
        <f t="shared" ref="K80" si="241">K79/F79-1</f>
        <v>6.2150374864710978E-2</v>
      </c>
      <c r="L80" s="90">
        <f t="shared" ref="L80" si="242">L79/G79-1</f>
        <v>1.866161521437415E-2</v>
      </c>
      <c r="M80" s="90">
        <f t="shared" ref="M80" si="243">M79/H79-1</f>
        <v>-9.7053451539994784E-2</v>
      </c>
      <c r="N80" s="90">
        <f t="shared" ref="N80" si="244">N79/I79-1</f>
        <v>2.8645235934211755E-2</v>
      </c>
      <c r="O80" s="90">
        <f t="shared" ref="O80" si="245">O79/J79-1</f>
        <v>0.11204360616023523</v>
      </c>
      <c r="P80" s="1115">
        <f t="shared" ref="P80" si="246">P79/K79-1</f>
        <v>1.1327183848550026E-2</v>
      </c>
      <c r="Q80" s="90">
        <f t="shared" ref="Q80" si="247">Q79/L79-1</f>
        <v>9.5501997680113471E-2</v>
      </c>
      <c r="R80" s="90">
        <f t="shared" ref="R80" si="248">R79/M79-1</f>
        <v>9.9144699166866745E-2</v>
      </c>
      <c r="S80" s="90">
        <f t="shared" ref="S80" si="249">S79/N79-1</f>
        <v>0.19263475318278345</v>
      </c>
      <c r="T80" s="90">
        <f t="shared" ref="T80" si="250">T79/O79-1</f>
        <v>2.8726540280263002E-2</v>
      </c>
      <c r="U80" s="1115">
        <f t="shared" ref="U80" si="251">U79/P79-1</f>
        <v>0.10167040775575975</v>
      </c>
      <c r="V80" s="90">
        <f t="shared" ref="V80" si="252">V79/Q79-1</f>
        <v>0.15966386554621859</v>
      </c>
      <c r="W80" s="90">
        <f t="shared" ref="W80" si="253">W79/R79-1</f>
        <v>0.25210084033613445</v>
      </c>
      <c r="X80" s="90">
        <f t="shared" ref="X80" si="254">X79/S79-1</f>
        <v>0.2357723577235773</v>
      </c>
      <c r="Y80" s="90">
        <f t="shared" ref="Y80" si="255">Y79/T79-1</f>
        <v>0.35294117647058831</v>
      </c>
      <c r="Z80" s="1115">
        <f t="shared" ref="Z80" si="256">Z79/U79-1</f>
        <v>0.25416666666666665</v>
      </c>
      <c r="AA80" s="90">
        <f t="shared" ref="AA80" si="257">AA79/V79-1</f>
        <v>0.15217391304347827</v>
      </c>
      <c r="AB80" s="90">
        <f t="shared" ref="AB80" si="258">AB79/W79-1</f>
        <v>5.3691275167785157E-2</v>
      </c>
      <c r="AC80" s="90">
        <f t="shared" ref="AC80" si="259">AC79/X79-1</f>
        <v>0.125</v>
      </c>
      <c r="AD80" s="90">
        <f t="shared" ref="AD80" si="260">AD79/Y79-1</f>
        <v>9.3167701863354102E-2</v>
      </c>
      <c r="AE80" s="1115">
        <f t="shared" ref="AE80" si="261">AE79/Z79-1</f>
        <v>0.1013289036544851</v>
      </c>
      <c r="AF80" s="90">
        <f t="shared" ref="AF80" si="262">AF79/AA79-1</f>
        <v>0.16352201257861632</v>
      </c>
      <c r="AG80" s="90">
        <f t="shared" ref="AG80" si="263">AG79/AB79-1</f>
        <v>0.26114649681528657</v>
      </c>
      <c r="AH80" s="90">
        <f t="shared" ref="AH80" si="264">AH79/AC79-1</f>
        <v>0.23976608187134496</v>
      </c>
      <c r="AI80" s="90">
        <f t="shared" ref="AI80" si="265">AI79/AD79-1</f>
        <v>0.25</v>
      </c>
      <c r="AJ80" s="1115">
        <f t="shared" ref="AJ80" si="266">AJ79/AE79-1</f>
        <v>0.22926093514328816</v>
      </c>
      <c r="AK80" s="90">
        <f t="shared" ref="AK80" si="267">AK79/AF79-1</f>
        <v>0.24864864864864855</v>
      </c>
      <c r="AL80" s="90">
        <f t="shared" ref="AL80" si="268">AL79/AG79-1</f>
        <v>0.19696969696969702</v>
      </c>
      <c r="AM80" s="90">
        <f t="shared" ref="AM80" si="269">AM79/AH79-1</f>
        <v>0.21698113207547176</v>
      </c>
      <c r="AN80" s="90">
        <f t="shared" ref="AN80" si="270">AN79/AI79-1</f>
        <v>0.20909090909090899</v>
      </c>
      <c r="AO80" s="1115">
        <f t="shared" ref="AO80" si="271">AO79/AJ79-1</f>
        <v>0.21595092024539886</v>
      </c>
      <c r="AP80" s="90">
        <f t="shared" ref="AP80" si="272">AP79/AK79-1</f>
        <v>0.14285714285714279</v>
      </c>
      <c r="AQ80" s="90">
        <f t="shared" ref="AQ80" si="273">AQ79/AL79-1</f>
        <v>0.1223628691983123</v>
      </c>
      <c r="AR80" s="90">
        <f t="shared" ref="AR80" si="274">AR79/AM79-1</f>
        <v>7.3643410852713087E-2</v>
      </c>
      <c r="AS80" s="90">
        <f t="shared" ref="AS80" si="275">AS79/AN79-1</f>
        <v>7.8947368421052655E-2</v>
      </c>
      <c r="AT80" s="1115">
        <f t="shared" ref="AT80" si="276">AT79/AO79-1</f>
        <v>0.10292633703329979</v>
      </c>
      <c r="AU80" s="90">
        <f t="shared" ref="AU80" si="277">AU79/AP79-1</f>
        <v>0.10984848484848486</v>
      </c>
      <c r="AV80" s="90">
        <f t="shared" ref="AV80" si="278">AV79/AQ79-1</f>
        <v>1.3571428571428572</v>
      </c>
      <c r="AW80" s="90">
        <f t="shared" ref="AW80" si="279">AW79/AR79-1</f>
        <v>0.8592057761732852</v>
      </c>
      <c r="AX80" s="90">
        <f t="shared" ref="AX80" si="280">AX79/AS79-1</f>
        <v>0.7526132404181185</v>
      </c>
      <c r="AY80" s="1115">
        <f t="shared" ref="AY80" si="281">AY79/AT79-1</f>
        <v>0.77493138151875574</v>
      </c>
      <c r="AZ80" s="90">
        <f t="shared" ref="AZ80" si="282">AZ79/AU79-1</f>
        <v>0.77474402730375425</v>
      </c>
      <c r="BA80" s="90">
        <f t="shared" ref="BA80" si="283">BA79/AV79-1</f>
        <v>-0.16108452950558216</v>
      </c>
      <c r="BB80" s="90">
        <f t="shared" ref="BB80" si="284">BB79/AW79-1</f>
        <v>8.1553398058252347E-2</v>
      </c>
      <c r="BC80" s="90">
        <f t="shared" ref="BC80" si="285">BC79/AX79-1</f>
        <v>0.11928429423459241</v>
      </c>
      <c r="BD80" s="1115">
        <f t="shared" ref="BD80" si="286">BD79/AY79-1</f>
        <v>0.11649484536082477</v>
      </c>
      <c r="BE80" s="90">
        <f t="shared" ref="BE80:BG80" si="287">BE79/AZ79-1</f>
        <v>0.13846153846153841</v>
      </c>
      <c r="BF80" s="90">
        <f t="shared" si="287"/>
        <v>0.12547528517110274</v>
      </c>
      <c r="BG80" s="90">
        <f t="shared" si="287"/>
        <v>0.1328545780969479</v>
      </c>
      <c r="BH80" s="90">
        <f t="shared" ref="BH80:BI80" si="288">BH79/BC79-1</f>
        <v>0.11012433392539966</v>
      </c>
      <c r="BI80" s="1115">
        <f t="shared" si="288"/>
        <v>0.12650046168051698</v>
      </c>
      <c r="BJ80" s="90">
        <f t="shared" ref="BJ80:BN80" si="289">BJ79/BE79-1</f>
        <v>6.9256756756756799E-2</v>
      </c>
      <c r="BK80" s="90">
        <f t="shared" si="289"/>
        <v>5.0675675675675658E-2</v>
      </c>
      <c r="BL80" s="90">
        <f t="shared" si="289"/>
        <v>9.191759112519815E-2</v>
      </c>
      <c r="BM80" s="90">
        <f t="shared" si="289"/>
        <v>0.13759999999999994</v>
      </c>
      <c r="BN80" s="1115">
        <f t="shared" si="289"/>
        <v>8.7704918032786905E-2</v>
      </c>
      <c r="BO80" s="90">
        <f t="shared" ref="BO80:BS80" si="290">BO79/BJ79-1</f>
        <v>0.22748815165876768</v>
      </c>
      <c r="BP80" s="90">
        <f t="shared" si="290"/>
        <v>0.3536977491961415</v>
      </c>
      <c r="BQ80" s="90">
        <f t="shared" si="290"/>
        <v>0.30188679245283012</v>
      </c>
      <c r="BR80" s="90">
        <f t="shared" si="290"/>
        <v>0.37130801687763704</v>
      </c>
      <c r="BS80" s="1115">
        <f t="shared" si="290"/>
        <v>0.31537302185380556</v>
      </c>
      <c r="BT80" s="90">
        <f t="shared" ref="BT80:CH80" si="291">BT79/BO79-1</f>
        <v>0.33976833976833976</v>
      </c>
      <c r="BU80" s="90">
        <f t="shared" si="291"/>
        <v>0.33254156769596199</v>
      </c>
      <c r="BV80" s="90">
        <f t="shared" si="291"/>
        <v>0.26421404682274252</v>
      </c>
      <c r="BW80" s="90">
        <f t="shared" si="291"/>
        <v>0.31487179487179495</v>
      </c>
      <c r="BX80" s="1115">
        <f t="shared" si="291"/>
        <v>0.31165855055857916</v>
      </c>
      <c r="BY80" s="892">
        <f>BY79/BT79-1</f>
        <v>0.2487992315081653</v>
      </c>
      <c r="BZ80" s="90">
        <f t="shared" si="291"/>
        <v>0.7027623332156876</v>
      </c>
      <c r="CA80" s="90">
        <f t="shared" si="291"/>
        <v>7.9545445956646477E-2</v>
      </c>
      <c r="CB80" s="90">
        <f t="shared" si="291"/>
        <v>1.3451844492987863E-2</v>
      </c>
      <c r="CC80" s="1115">
        <f t="shared" si="291"/>
        <v>0.25222737240070958</v>
      </c>
      <c r="CD80" s="90">
        <f t="shared" si="291"/>
        <v>0.30420462072535681</v>
      </c>
      <c r="CE80" s="90">
        <f t="shared" si="291"/>
        <v>0.29400883546864853</v>
      </c>
      <c r="CF80" s="90">
        <f t="shared" si="291"/>
        <v>0.24755472722148042</v>
      </c>
      <c r="CG80" s="90">
        <f t="shared" si="291"/>
        <v>0.2440018159390942</v>
      </c>
      <c r="CH80" s="1115">
        <f t="shared" si="291"/>
        <v>0.2750714173140747</v>
      </c>
      <c r="CI80" s="1115">
        <f>CI79/CH79-1</f>
        <v>0.15571191016061947</v>
      </c>
      <c r="CJ80" s="1115">
        <f>CJ79/CI79-1</f>
        <v>0.13699941984309461</v>
      </c>
      <c r="CK80" s="1115">
        <f>CK79/CJ79-1</f>
        <v>0.13607925033518842</v>
      </c>
      <c r="CL80" s="155"/>
    </row>
    <row r="81" spans="1:90" hidden="1" outlineLevel="1" x14ac:dyDescent="0.3">
      <c r="A81" s="621" t="s">
        <v>615</v>
      </c>
      <c r="B81" s="202"/>
      <c r="C81" s="1128">
        <f t="shared" ref="C81:AH81" si="292">C79/C44</f>
        <v>0.10576260219763792</v>
      </c>
      <c r="D81" s="1128">
        <f t="shared" si="292"/>
        <v>0.11033310335808949</v>
      </c>
      <c r="E81" s="1128">
        <f t="shared" si="292"/>
        <v>0.10202694712767076</v>
      </c>
      <c r="F81" s="1128">
        <f t="shared" si="292"/>
        <v>0.10145575335235985</v>
      </c>
      <c r="G81" s="315">
        <f t="shared" si="292"/>
        <v>0.11529749361266417</v>
      </c>
      <c r="H81" s="315">
        <f t="shared" si="292"/>
        <v>0.11481992205081062</v>
      </c>
      <c r="I81" s="315">
        <f t="shared" si="292"/>
        <v>8.3265648487264463E-2</v>
      </c>
      <c r="J81" s="315">
        <f t="shared" si="292"/>
        <v>9.3975799122234888E-2</v>
      </c>
      <c r="K81" s="1128">
        <f t="shared" si="292"/>
        <v>0.10065560648564692</v>
      </c>
      <c r="L81" s="315">
        <f t="shared" si="292"/>
        <v>0.1137755973098407</v>
      </c>
      <c r="M81" s="315">
        <f t="shared" si="292"/>
        <v>0.11078775078333016</v>
      </c>
      <c r="N81" s="315">
        <f t="shared" si="292"/>
        <v>9.785220979404477E-2</v>
      </c>
      <c r="O81" s="315">
        <f t="shared" si="292"/>
        <v>0.10109699375468659</v>
      </c>
      <c r="P81" s="1128">
        <f t="shared" si="292"/>
        <v>0.10549685230024212</v>
      </c>
      <c r="Q81" s="315">
        <f t="shared" si="292"/>
        <v>0.10788757932910245</v>
      </c>
      <c r="R81" s="315">
        <f t="shared" si="292"/>
        <v>0.10788757932910245</v>
      </c>
      <c r="S81" s="315">
        <f t="shared" si="292"/>
        <v>0.10040816326530612</v>
      </c>
      <c r="T81" s="315">
        <f t="shared" si="292"/>
        <v>9.5123900879296563E-2</v>
      </c>
      <c r="U81" s="1128">
        <f t="shared" si="292"/>
        <v>0.10252029047415634</v>
      </c>
      <c r="V81" s="315">
        <f t="shared" si="292"/>
        <v>0.11989574283231973</v>
      </c>
      <c r="W81" s="315">
        <f t="shared" si="292"/>
        <v>0.12922810060711187</v>
      </c>
      <c r="X81" s="315">
        <f t="shared" si="292"/>
        <v>0.11647509578544062</v>
      </c>
      <c r="Y81" s="315">
        <f t="shared" si="292"/>
        <v>0.11491791577444682</v>
      </c>
      <c r="Z81" s="1128">
        <f t="shared" si="292"/>
        <v>0.12015968063872255</v>
      </c>
      <c r="AA81" s="315">
        <f t="shared" si="292"/>
        <v>0.12183908045977011</v>
      </c>
      <c r="AB81" s="315">
        <f t="shared" si="292"/>
        <v>0.10994397759103641</v>
      </c>
      <c r="AC81" s="315">
        <f t="shared" si="292"/>
        <v>8.5329341317365276E-2</v>
      </c>
      <c r="AD81" s="315">
        <f t="shared" si="292"/>
        <v>8.099401748734468E-2</v>
      </c>
      <c r="AE81" s="1128">
        <f t="shared" si="292"/>
        <v>9.5947901591895798E-2</v>
      </c>
      <c r="AF81" s="315">
        <f t="shared" si="292"/>
        <v>9.5508518327310277E-2</v>
      </c>
      <c r="AG81" s="315">
        <f t="shared" si="292"/>
        <v>8.8789237668161436E-2</v>
      </c>
      <c r="AH81" s="315">
        <f t="shared" si="292"/>
        <v>8.042488619119878E-2</v>
      </c>
      <c r="AI81" s="315">
        <f t="shared" ref="AI81:BE81" si="293">AI79/AI44</f>
        <v>7.5575403641360353E-2</v>
      </c>
      <c r="AJ81" s="1128">
        <f t="shared" si="293"/>
        <v>8.3899526456660489E-2</v>
      </c>
      <c r="AK81" s="315">
        <f t="shared" si="293"/>
        <v>7.2029934518241343E-2</v>
      </c>
      <c r="AL81" s="315">
        <f t="shared" si="293"/>
        <v>7.5888568683957727E-2</v>
      </c>
      <c r="AM81" s="315">
        <f t="shared" si="293"/>
        <v>8.1106570260924243E-2</v>
      </c>
      <c r="AN81" s="315">
        <f t="shared" si="293"/>
        <v>0.12063492063492064</v>
      </c>
      <c r="AO81" s="1128">
        <f t="shared" si="293"/>
        <v>8.4585182656196647E-2</v>
      </c>
      <c r="AP81" s="315">
        <f t="shared" si="293"/>
        <v>0.11891891891891893</v>
      </c>
      <c r="AQ81" s="315">
        <f t="shared" si="293"/>
        <v>0.10314075222954634</v>
      </c>
      <c r="AR81" s="315">
        <f t="shared" si="293"/>
        <v>9.1904445919044453E-2</v>
      </c>
      <c r="AS81" s="315">
        <f t="shared" si="293"/>
        <v>9.2431561996779391E-2</v>
      </c>
      <c r="AT81" s="1128">
        <f t="shared" si="293"/>
        <v>0.10010991023997069</v>
      </c>
      <c r="AU81" s="315">
        <f t="shared" si="293"/>
        <v>9.5129870129870134E-2</v>
      </c>
      <c r="AV81" s="315">
        <f t="shared" si="293"/>
        <v>0.16218313502327988</v>
      </c>
      <c r="AW81" s="315">
        <f t="shared" si="293"/>
        <v>0.10897164621244181</v>
      </c>
      <c r="AX81" s="315">
        <f t="shared" si="293"/>
        <v>0.10053967619428343</v>
      </c>
      <c r="AY81" s="1128">
        <f t="shared" si="293"/>
        <v>0.11634182908545727</v>
      </c>
      <c r="AZ81" s="315">
        <f t="shared" si="293"/>
        <v>9.1856562444797743E-2</v>
      </c>
      <c r="BA81" s="315">
        <f t="shared" si="293"/>
        <v>8.0836022744736433E-2</v>
      </c>
      <c r="BB81" s="315">
        <f t="shared" si="293"/>
        <v>7.8417570040827819E-2</v>
      </c>
      <c r="BC81" s="315">
        <f t="shared" si="293"/>
        <v>7.3662174538793673E-2</v>
      </c>
      <c r="BD81" s="1128">
        <f t="shared" si="293"/>
        <v>8.0478561343538674E-2</v>
      </c>
      <c r="BE81" s="315">
        <f t="shared" si="293"/>
        <v>7.1428571428571425E-2</v>
      </c>
      <c r="BF81" s="315">
        <f t="shared" ref="BF81:BG81" si="294">BF79/BF44</f>
        <v>8.83054892601432E-2</v>
      </c>
      <c r="BG81" s="315">
        <f t="shared" si="294"/>
        <v>0.1063901534311246</v>
      </c>
      <c r="BH81" s="315">
        <f t="shared" ref="BH81:BI81" si="295">BH79/BH44</f>
        <v>0.10328871260948604</v>
      </c>
      <c r="BI81" s="1128">
        <f t="shared" si="295"/>
        <v>9.0457477570994288E-2</v>
      </c>
      <c r="BJ81" s="315">
        <f t="shared" ref="BJ81:BN81" si="296">BJ79/BJ44</f>
        <v>8.8014460511679646E-2</v>
      </c>
      <c r="BK81" s="315">
        <f t="shared" si="296"/>
        <v>4.6050196194565782E-2</v>
      </c>
      <c r="BL81" s="315">
        <f t="shared" si="296"/>
        <v>3.8024282560706404E-2</v>
      </c>
      <c r="BM81" s="315">
        <f t="shared" si="296"/>
        <v>3.2167579061665834E-2</v>
      </c>
      <c r="BN81" s="1128">
        <f t="shared" si="296"/>
        <v>4.3563901382095135E-2</v>
      </c>
      <c r="BO81" s="315">
        <f t="shared" ref="BO81:BS81" si="297">BO79/BO44</f>
        <v>2.9834126862233145E-2</v>
      </c>
      <c r="BP81" s="315">
        <f t="shared" si="297"/>
        <v>2.8029294274300932E-2</v>
      </c>
      <c r="BQ81" s="315">
        <f t="shared" si="297"/>
        <v>2.5568667692833932E-2</v>
      </c>
      <c r="BR81" s="315">
        <f t="shared" si="297"/>
        <v>2.478960616307747E-2</v>
      </c>
      <c r="BS81" s="1128">
        <f t="shared" si="297"/>
        <v>2.6751572833091947E-2</v>
      </c>
      <c r="BT81" s="315">
        <f t="shared" ref="BT81:CK81" si="298">BT79/BT44</f>
        <v>2.3625800009078116E-2</v>
      </c>
      <c r="BU81" s="315">
        <f t="shared" si="298"/>
        <v>2.4003594121044861E-2</v>
      </c>
      <c r="BV81" s="315">
        <f t="shared" si="298"/>
        <v>1.9892642879696873E-2</v>
      </c>
      <c r="BW81" s="315">
        <f t="shared" si="298"/>
        <v>1.88177961747912E-2</v>
      </c>
      <c r="BX81" s="1128">
        <f t="shared" si="298"/>
        <v>2.1205160740582946E-2</v>
      </c>
      <c r="BY81" s="897">
        <f>BY79/BY44</f>
        <v>1.5928444526128776E-2</v>
      </c>
      <c r="BZ81" s="315">
        <f t="shared" si="298"/>
        <v>2.1009853881864663E-2</v>
      </c>
      <c r="CA81" s="315">
        <f t="shared" si="298"/>
        <v>1.3374051854190789E-2</v>
      </c>
      <c r="CB81" s="315">
        <f t="shared" si="298"/>
        <v>1.3821618447898776E-2</v>
      </c>
      <c r="CC81" s="1128">
        <f t="shared" si="298"/>
        <v>1.6012805046705776E-2</v>
      </c>
      <c r="CD81" s="315">
        <f t="shared" si="298"/>
        <v>1.6067181277951356E-2</v>
      </c>
      <c r="CE81" s="315">
        <f t="shared" si="298"/>
        <v>2.1009853881864663E-2</v>
      </c>
      <c r="CF81" s="315">
        <f t="shared" si="298"/>
        <v>1.3374051854190785E-2</v>
      </c>
      <c r="CG81" s="315">
        <f t="shared" si="298"/>
        <v>1.3821618447898778E-2</v>
      </c>
      <c r="CH81" s="1128">
        <f t="shared" si="298"/>
        <v>1.6092413163582078E-2</v>
      </c>
      <c r="CI81" s="1128">
        <f t="shared" si="298"/>
        <v>1.5592413163582074E-2</v>
      </c>
      <c r="CJ81" s="1128">
        <f t="shared" si="298"/>
        <v>1.5092413163582074E-2</v>
      </c>
      <c r="CK81" s="1128">
        <f t="shared" si="298"/>
        <v>1.4592413163582073E-2</v>
      </c>
      <c r="CL81" s="155"/>
    </row>
    <row r="82" spans="1:90" hidden="1" outlineLevel="1" x14ac:dyDescent="0.3">
      <c r="A82" s="99" t="s">
        <v>711</v>
      </c>
      <c r="B82" s="598"/>
      <c r="C82" s="1112"/>
      <c r="D82" s="1112">
        <f>-(D81-C81)*10000</f>
        <v>-45.705011604515732</v>
      </c>
      <c r="E82" s="1112">
        <f t="shared" ref="E82" si="299">-(E81-D81)*10000</f>
        <v>83.061562304187348</v>
      </c>
      <c r="F82" s="1112">
        <f t="shared" ref="F82" si="300">-(F81-E81)*10000</f>
        <v>5.7119377531091029</v>
      </c>
      <c r="G82" s="68"/>
      <c r="H82" s="68"/>
      <c r="I82" s="68"/>
      <c r="J82" s="68"/>
      <c r="K82" s="1112">
        <f>-(K81-F81)*10000</f>
        <v>8.0014686671292523</v>
      </c>
      <c r="L82" s="68">
        <f t="shared" ref="L82" si="301">-(L81-G81)*10000</f>
        <v>15.218963028234695</v>
      </c>
      <c r="M82" s="68">
        <f t="shared" ref="M82" si="302">-(M81-H81)*10000</f>
        <v>40.321712674804694</v>
      </c>
      <c r="N82" s="68">
        <f t="shared" ref="N82" si="303">-(N81-I81)*10000</f>
        <v>-145.86561306780308</v>
      </c>
      <c r="O82" s="68">
        <f t="shared" ref="O82" si="304">-(O81-J81)*10000</f>
        <v>-71.211946324517001</v>
      </c>
      <c r="P82" s="1112">
        <f t="shared" ref="P82" si="305">-(P81-K81)*10000</f>
        <v>-48.412458145952044</v>
      </c>
      <c r="Q82" s="68">
        <f t="shared" ref="Q82" si="306">-(Q81-L81)*10000</f>
        <v>58.880179807382497</v>
      </c>
      <c r="R82" s="68">
        <f t="shared" ref="R82" si="307">-(R81-M81)*10000</f>
        <v>29.001714542277039</v>
      </c>
      <c r="S82" s="68">
        <f t="shared" ref="S82" si="308">-(S81-N81)*10000</f>
        <v>-25.559534712613491</v>
      </c>
      <c r="T82" s="68">
        <f t="shared" ref="T82" si="309">-(T81-O81)*10000</f>
        <v>59.730928753900237</v>
      </c>
      <c r="U82" s="1112">
        <f t="shared" ref="U82" si="310">-(U81-P81)*10000</f>
        <v>29.765618260857856</v>
      </c>
      <c r="V82" s="68">
        <f t="shared" ref="V82" si="311">-(V81-Q81)*10000</f>
        <v>-120.08163503217276</v>
      </c>
      <c r="W82" s="68">
        <f t="shared" ref="W82" si="312">-(W81-R81)*10000</f>
        <v>-213.40521278009422</v>
      </c>
      <c r="X82" s="68">
        <f t="shared" ref="X82" si="313">-(X81-S81)*10000</f>
        <v>-160.66932520134498</v>
      </c>
      <c r="Y82" s="68">
        <f t="shared" ref="Y82" si="314">-(Y81-T81)*10000</f>
        <v>-197.94014895150258</v>
      </c>
      <c r="Z82" s="1112">
        <f t="shared" ref="Z82" si="315">-(Z81-U81)*10000</f>
        <v>-176.39390164566214</v>
      </c>
      <c r="AA82" s="68">
        <f t="shared" ref="AA82" si="316">-(AA81-V81)*10000</f>
        <v>-19.433376274503868</v>
      </c>
      <c r="AB82" s="68">
        <f t="shared" ref="AB82" si="317">-(AB81-W81)*10000</f>
        <v>192.84123016075461</v>
      </c>
      <c r="AC82" s="68">
        <f t="shared" ref="AC82" si="318">-(AC81-X81)*10000</f>
        <v>311.45754468075341</v>
      </c>
      <c r="AD82" s="68">
        <f t="shared" ref="AD82" si="319">-(AD81-Y81)*10000</f>
        <v>339.23898287102139</v>
      </c>
      <c r="AE82" s="1112">
        <f t="shared" ref="AE82" si="320">-(AE81-Z81)*10000</f>
        <v>242.11779046826754</v>
      </c>
      <c r="AF82" s="68">
        <f t="shared" ref="AF82" si="321">-(AF81-AA81)*10000</f>
        <v>263.30562132459835</v>
      </c>
      <c r="AG82" s="68">
        <f t="shared" ref="AG82" si="322">-(AG81-AB81)*10000</f>
        <v>211.54739922874975</v>
      </c>
      <c r="AH82" s="68">
        <f t="shared" ref="AH82" si="323">-(AH81-AC81)*10000</f>
        <v>49.044551261664957</v>
      </c>
      <c r="AI82" s="68">
        <f t="shared" ref="AI82" si="324">-(AI81-AD81)*10000</f>
        <v>54.186138459843271</v>
      </c>
      <c r="AJ82" s="1112">
        <f t="shared" ref="AJ82" si="325">-(AJ81-AE81)*10000</f>
        <v>120.4837513523531</v>
      </c>
      <c r="AK82" s="68">
        <f t="shared" ref="AK82" si="326">-(AK81-AF81)*10000</f>
        <v>234.78583809068934</v>
      </c>
      <c r="AL82" s="68">
        <f t="shared" ref="AL82" si="327">-(AL81-AG81)*10000</f>
        <v>129.00668984203708</v>
      </c>
      <c r="AM82" s="68">
        <f t="shared" ref="AM82" si="328">-(AM81-AH81)*10000</f>
        <v>-6.8168406972546336</v>
      </c>
      <c r="AN82" s="68">
        <f t="shared" ref="AN82" si="329">-(AN81-AI81)*10000</f>
        <v>-450.59516993560283</v>
      </c>
      <c r="AO82" s="1112">
        <f t="shared" ref="AO82" si="330">-(AO81-AJ81)*10000</f>
        <v>-6.8565619953615817</v>
      </c>
      <c r="AP82" s="68">
        <f t="shared" ref="AP82" si="331">-(AP81-AK81)*10000</f>
        <v>-468.88984400677583</v>
      </c>
      <c r="AQ82" s="68">
        <f t="shared" ref="AQ82" si="332">-(AQ81-AL81)*10000</f>
        <v>-272.52183545588616</v>
      </c>
      <c r="AR82" s="68">
        <f t="shared" ref="AR82" si="333">-(AR81-AM81)*10000</f>
        <v>-107.97875658120209</v>
      </c>
      <c r="AS82" s="68">
        <f t="shared" ref="AS82" si="334">-(AS81-AN81)*10000</f>
        <v>282.03358638141248</v>
      </c>
      <c r="AT82" s="1112">
        <f t="shared" ref="AT82" si="335">-(AT81-AO81)*10000</f>
        <v>-155.24727583774046</v>
      </c>
      <c r="AU82" s="68">
        <f t="shared" ref="AU82" si="336">-(AU81-AP81)*10000</f>
        <v>237.89048789048792</v>
      </c>
      <c r="AV82" s="68">
        <f t="shared" ref="AV82" si="337">-(AV81-AQ81)*10000</f>
        <v>-590.42382793733543</v>
      </c>
      <c r="AW82" s="68">
        <f t="shared" ref="AW82" si="338">-(AW81-AR81)*10000</f>
        <v>-170.67200293397352</v>
      </c>
      <c r="AX82" s="68">
        <f t="shared" ref="AX82" si="339">-(AX81-AS81)*10000</f>
        <v>-81.08114197504041</v>
      </c>
      <c r="AY82" s="1112">
        <f t="shared" ref="AY82" si="340">-(AY81-AT81)*10000</f>
        <v>-162.31918845486581</v>
      </c>
      <c r="AZ82" s="68">
        <f t="shared" ref="AZ82" si="341">-(AZ81-AU81)*10000</f>
        <v>32.733076850723904</v>
      </c>
      <c r="BA82" s="68">
        <f t="shared" ref="BA82" si="342">-(BA81-AV81)*10000</f>
        <v>813.47112278543455</v>
      </c>
      <c r="BB82" s="68">
        <f t="shared" ref="BB82" si="343">-(BB81-AW81)*10000</f>
        <v>305.54076171613985</v>
      </c>
      <c r="BC82" s="68">
        <f t="shared" ref="BC82" si="344">-(BC81-AX81)*10000</f>
        <v>268.7750165548976</v>
      </c>
      <c r="BD82" s="1112">
        <f t="shared" ref="BD82" si="345">-(BD81-AY81)*10000</f>
        <v>358.632677419186</v>
      </c>
      <c r="BE82" s="68">
        <f t="shared" ref="BE82" si="346">-(BE81-AZ81)*10000</f>
        <v>204.27991016226318</v>
      </c>
      <c r="BF82" s="68">
        <f t="shared" ref="BF82:BG82" si="347">-(BF81-BA81)*10000</f>
        <v>-74.694665154067664</v>
      </c>
      <c r="BG82" s="68">
        <f t="shared" si="347"/>
        <v>-279.72583390296774</v>
      </c>
      <c r="BH82" s="68">
        <f t="shared" ref="BH82:BI82" si="348">-(BH81-BC81)*10000</f>
        <v>-296.26538070692362</v>
      </c>
      <c r="BI82" s="1112">
        <f t="shared" si="348"/>
        <v>-99.789162274556148</v>
      </c>
      <c r="BJ82" s="68">
        <f t="shared" ref="BJ82:BN82" si="349">-(BJ81-BE81)*10000</f>
        <v>-165.85889083108222</v>
      </c>
      <c r="BK82" s="68">
        <f t="shared" si="349"/>
        <v>422.55293065577416</v>
      </c>
      <c r="BL82" s="68">
        <f t="shared" si="349"/>
        <v>683.65870870418189</v>
      </c>
      <c r="BM82" s="68">
        <f t="shared" si="349"/>
        <v>711.21133547820205</v>
      </c>
      <c r="BN82" s="1112">
        <f t="shared" si="349"/>
        <v>468.93576188899152</v>
      </c>
      <c r="BO82" s="68">
        <f t="shared" ref="BO82:BS82" si="350">-(BO81-BJ81)*10000</f>
        <v>581.80333649446493</v>
      </c>
      <c r="BP82" s="68">
        <f t="shared" si="350"/>
        <v>180.20901920264851</v>
      </c>
      <c r="BQ82" s="68">
        <f t="shared" si="350"/>
        <v>124.55614867872472</v>
      </c>
      <c r="BR82" s="68">
        <f t="shared" si="350"/>
        <v>73.779728985883636</v>
      </c>
      <c r="BS82" s="1112">
        <f t="shared" si="350"/>
        <v>168.12328549003189</v>
      </c>
      <c r="BT82" s="68">
        <f t="shared" ref="BT82:CH82" si="351">-(BT81-BO81)*10000</f>
        <v>62.083268531550296</v>
      </c>
      <c r="BU82" s="68">
        <f t="shared" si="351"/>
        <v>40.257001532560714</v>
      </c>
      <c r="BV82" s="68">
        <f t="shared" si="351"/>
        <v>56.760248131370595</v>
      </c>
      <c r="BW82" s="68">
        <f t="shared" si="351"/>
        <v>59.718099882862703</v>
      </c>
      <c r="BX82" s="1112">
        <f t="shared" si="351"/>
        <v>55.464120925090008</v>
      </c>
      <c r="BY82" s="588">
        <f>-(BY81-BT81)*10000</f>
        <v>76.973554829493395</v>
      </c>
      <c r="BZ82" s="68">
        <f t="shared" si="351"/>
        <v>29.937402391801982</v>
      </c>
      <c r="CA82" s="68">
        <f t="shared" si="351"/>
        <v>65.185910255060847</v>
      </c>
      <c r="CB82" s="68">
        <f t="shared" si="351"/>
        <v>49.961777268924237</v>
      </c>
      <c r="CC82" s="1112">
        <f t="shared" si="351"/>
        <v>51.923556938771704</v>
      </c>
      <c r="CD82" s="68">
        <f t="shared" si="351"/>
        <v>-1.387367518225803</v>
      </c>
      <c r="CE82" s="68">
        <f t="shared" si="351"/>
        <v>0</v>
      </c>
      <c r="CF82" s="68">
        <f t="shared" si="351"/>
        <v>3.4694469519536142E-14</v>
      </c>
      <c r="CG82" s="68">
        <f t="shared" si="351"/>
        <v>-1.7347234759768071E-14</v>
      </c>
      <c r="CH82" s="1112">
        <f t="shared" si="351"/>
        <v>-0.79608116876302149</v>
      </c>
      <c r="CI82" s="1112">
        <f>-(CI81-CH81)*10000</f>
        <v>5.0000000000000391</v>
      </c>
      <c r="CJ82" s="1112">
        <f>-(CJ81-CI81)*10000</f>
        <v>5.0000000000000044</v>
      </c>
      <c r="CK82" s="1112">
        <f>-(CK81-CJ81)*10000</f>
        <v>5.0000000000000044</v>
      </c>
      <c r="CL82" s="155"/>
    </row>
    <row r="83" spans="1:90" ht="7.35" hidden="1" customHeight="1" outlineLevel="1" x14ac:dyDescent="0.3">
      <c r="A83" s="99"/>
      <c r="B83" s="598"/>
      <c r="C83" s="1112"/>
      <c r="D83" s="1112"/>
      <c r="E83" s="1112"/>
      <c r="F83" s="1112"/>
      <c r="G83" s="68"/>
      <c r="H83" s="68"/>
      <c r="I83" s="68"/>
      <c r="J83" s="68"/>
      <c r="K83" s="1112"/>
      <c r="L83" s="68"/>
      <c r="M83" s="68"/>
      <c r="N83" s="68"/>
      <c r="O83" s="68"/>
      <c r="P83" s="1112"/>
      <c r="Q83" s="68"/>
      <c r="R83" s="68"/>
      <c r="S83" s="68"/>
      <c r="T83" s="68"/>
      <c r="U83" s="1112"/>
      <c r="V83" s="68"/>
      <c r="W83" s="68"/>
      <c r="X83" s="68"/>
      <c r="Y83" s="68"/>
      <c r="Z83" s="1112"/>
      <c r="AA83" s="68"/>
      <c r="AB83" s="68"/>
      <c r="AC83" s="68"/>
      <c r="AD83" s="68"/>
      <c r="AE83" s="1112"/>
      <c r="AF83" s="68"/>
      <c r="AG83" s="68"/>
      <c r="AH83" s="68"/>
      <c r="AI83" s="68"/>
      <c r="AJ83" s="1112"/>
      <c r="AK83" s="68"/>
      <c r="AL83" s="68"/>
      <c r="AM83" s="68"/>
      <c r="AN83" s="68"/>
      <c r="AO83" s="1112"/>
      <c r="AP83" s="68"/>
      <c r="AQ83" s="68"/>
      <c r="AR83" s="68"/>
      <c r="AS83" s="68"/>
      <c r="AT83" s="1112"/>
      <c r="AU83" s="68"/>
      <c r="AV83" s="68"/>
      <c r="AW83" s="68"/>
      <c r="AX83" s="68"/>
      <c r="AY83" s="1112"/>
      <c r="AZ83" s="68"/>
      <c r="BA83" s="68"/>
      <c r="BB83" s="68"/>
      <c r="BC83" s="68"/>
      <c r="BD83" s="1112"/>
      <c r="BE83" s="68"/>
      <c r="BF83" s="68"/>
      <c r="BG83" s="68"/>
      <c r="BH83" s="68"/>
      <c r="BI83" s="1112"/>
      <c r="BJ83" s="68"/>
      <c r="BK83" s="68"/>
      <c r="BL83" s="68"/>
      <c r="BM83" s="68"/>
      <c r="BN83" s="1112"/>
      <c r="BO83" s="68"/>
      <c r="BP83" s="68"/>
      <c r="BQ83" s="68"/>
      <c r="BR83" s="68"/>
      <c r="BS83" s="1112"/>
      <c r="BT83" s="68"/>
      <c r="BU83" s="68"/>
      <c r="BV83" s="68"/>
      <c r="BW83" s="68"/>
      <c r="BX83" s="1112"/>
      <c r="BY83" s="588"/>
      <c r="BZ83" s="68"/>
      <c r="CA83" s="68"/>
      <c r="CB83" s="68"/>
      <c r="CC83" s="1112"/>
      <c r="CD83" s="68"/>
      <c r="CE83" s="68"/>
      <c r="CF83" s="68"/>
      <c r="CG83" s="68"/>
      <c r="CH83" s="1112"/>
      <c r="CI83" s="1112"/>
      <c r="CJ83" s="1112"/>
      <c r="CK83" s="1112"/>
      <c r="CL83" s="155"/>
    </row>
    <row r="84" spans="1:90" hidden="1" outlineLevel="1" x14ac:dyDescent="0.3">
      <c r="A84" s="99" t="s">
        <v>720</v>
      </c>
      <c r="B84" s="598"/>
      <c r="C84" s="1112">
        <f t="shared" ref="C84:BD84" si="352">C387</f>
        <v>52.76</v>
      </c>
      <c r="D84" s="1112">
        <f t="shared" si="352"/>
        <v>33.704000000000001</v>
      </c>
      <c r="E84" s="1112">
        <f t="shared" si="352"/>
        <v>34.070999999999998</v>
      </c>
      <c r="F84" s="1112">
        <f t="shared" si="352"/>
        <v>44.53</v>
      </c>
      <c r="G84" s="68">
        <f t="shared" si="352"/>
        <v>11.836</v>
      </c>
      <c r="H84" s="68">
        <f t="shared" si="352"/>
        <v>10.721</v>
      </c>
      <c r="I84" s="68">
        <f t="shared" si="352"/>
        <v>10.523999999999999</v>
      </c>
      <c r="J84" s="68">
        <f t="shared" si="352"/>
        <v>10.933999999999999</v>
      </c>
      <c r="K84" s="1112">
        <f t="shared" si="352"/>
        <v>44.015000000000001</v>
      </c>
      <c r="L84" s="68">
        <f t="shared" si="352"/>
        <v>8.8089999999999993</v>
      </c>
      <c r="M84" s="68">
        <f t="shared" si="352"/>
        <v>11.672000000000001</v>
      </c>
      <c r="N84" s="68">
        <f t="shared" si="352"/>
        <v>10.307</v>
      </c>
      <c r="O84" s="68">
        <f t="shared" si="352"/>
        <v>11.879</v>
      </c>
      <c r="P84" s="1112">
        <f t="shared" si="352"/>
        <v>42.667000000000002</v>
      </c>
      <c r="Q84" s="68">
        <f t="shared" si="352"/>
        <v>12.405000000000003</v>
      </c>
      <c r="R84" s="68">
        <f t="shared" si="352"/>
        <v>14</v>
      </c>
      <c r="S84" s="68">
        <f t="shared" si="352"/>
        <v>15.734</v>
      </c>
      <c r="T84" s="68">
        <f t="shared" si="352"/>
        <v>15</v>
      </c>
      <c r="U84" s="1112">
        <f t="shared" si="352"/>
        <v>57.139000000000003</v>
      </c>
      <c r="V84" s="68">
        <f t="shared" si="352"/>
        <v>17</v>
      </c>
      <c r="W84" s="68">
        <f t="shared" si="352"/>
        <v>17</v>
      </c>
      <c r="X84" s="68">
        <f t="shared" si="352"/>
        <v>19</v>
      </c>
      <c r="Y84" s="68">
        <f t="shared" si="352"/>
        <v>22</v>
      </c>
      <c r="Z84" s="1112">
        <f t="shared" si="352"/>
        <v>75</v>
      </c>
      <c r="AA84" s="68">
        <f t="shared" si="352"/>
        <v>20</v>
      </c>
      <c r="AB84" s="68">
        <f t="shared" si="352"/>
        <v>24</v>
      </c>
      <c r="AC84" s="68">
        <f t="shared" si="352"/>
        <v>27</v>
      </c>
      <c r="AD84" s="68">
        <f t="shared" si="352"/>
        <v>27</v>
      </c>
      <c r="AE84" s="1112">
        <f t="shared" si="352"/>
        <v>98</v>
      </c>
      <c r="AF84" s="68">
        <f t="shared" si="352"/>
        <v>31</v>
      </c>
      <c r="AG84" s="68">
        <f t="shared" si="352"/>
        <v>33</v>
      </c>
      <c r="AH84" s="68">
        <f t="shared" si="352"/>
        <v>40</v>
      </c>
      <c r="AI84" s="68">
        <f t="shared" si="352"/>
        <v>46</v>
      </c>
      <c r="AJ84" s="1112">
        <f t="shared" si="352"/>
        <v>151</v>
      </c>
      <c r="AK84" s="68">
        <f t="shared" si="352"/>
        <v>47</v>
      </c>
      <c r="AL84" s="68">
        <f t="shared" si="352"/>
        <v>48</v>
      </c>
      <c r="AM84" s="68">
        <f t="shared" si="352"/>
        <v>47</v>
      </c>
      <c r="AN84" s="68">
        <f t="shared" si="352"/>
        <v>51</v>
      </c>
      <c r="AO84" s="1112">
        <f t="shared" si="352"/>
        <v>194</v>
      </c>
      <c r="AP84" s="68">
        <f t="shared" si="352"/>
        <v>60</v>
      </c>
      <c r="AQ84" s="68">
        <f t="shared" si="352"/>
        <v>71</v>
      </c>
      <c r="AR84" s="68">
        <f t="shared" si="352"/>
        <v>67</v>
      </c>
      <c r="AS84" s="68">
        <f t="shared" si="352"/>
        <v>68</v>
      </c>
      <c r="AT84" s="1112">
        <f t="shared" si="352"/>
        <v>265</v>
      </c>
      <c r="AU84" s="68">
        <f t="shared" si="352"/>
        <v>69</v>
      </c>
      <c r="AV84" s="68">
        <f t="shared" si="352"/>
        <v>132</v>
      </c>
      <c r="AW84" s="68">
        <f t="shared" si="352"/>
        <v>123</v>
      </c>
      <c r="AX84" s="68">
        <f t="shared" si="352"/>
        <v>125</v>
      </c>
      <c r="AY84" s="1112">
        <f t="shared" si="352"/>
        <v>449</v>
      </c>
      <c r="AZ84" s="68">
        <f t="shared" si="352"/>
        <v>128</v>
      </c>
      <c r="BA84" s="68">
        <f t="shared" si="352"/>
        <v>136</v>
      </c>
      <c r="BB84" s="68">
        <f t="shared" si="352"/>
        <v>152</v>
      </c>
      <c r="BC84" s="68">
        <f t="shared" si="352"/>
        <v>150</v>
      </c>
      <c r="BD84" s="1112">
        <f t="shared" si="352"/>
        <v>565</v>
      </c>
      <c r="BE84" s="68">
        <f t="shared" ref="BE84:BJ84" si="353">BE387</f>
        <v>156</v>
      </c>
      <c r="BF84" s="68">
        <f t="shared" si="353"/>
        <v>159</v>
      </c>
      <c r="BG84" s="68">
        <f t="shared" si="353"/>
        <v>183</v>
      </c>
      <c r="BH84" s="68">
        <f t="shared" si="353"/>
        <v>182</v>
      </c>
      <c r="BI84" s="1112">
        <f t="shared" si="353"/>
        <v>680</v>
      </c>
      <c r="BJ84" s="68">
        <f t="shared" si="353"/>
        <v>184</v>
      </c>
      <c r="BK84" s="68">
        <f t="shared" ref="BK84:BP84" si="354">BK387</f>
        <v>211</v>
      </c>
      <c r="BL84" s="68">
        <f t="shared" si="354"/>
        <v>240</v>
      </c>
      <c r="BM84" s="68">
        <f t="shared" si="354"/>
        <v>242</v>
      </c>
      <c r="BN84" s="1112">
        <f t="shared" si="354"/>
        <v>876</v>
      </c>
      <c r="BO84" s="68">
        <f t="shared" si="354"/>
        <v>248</v>
      </c>
      <c r="BP84" s="68">
        <f t="shared" si="354"/>
        <v>282</v>
      </c>
      <c r="BQ84" s="68">
        <f t="shared" ref="BQ84:BV84" si="355">BQ387</f>
        <v>292</v>
      </c>
      <c r="BR84" s="68">
        <f t="shared" si="355"/>
        <v>313</v>
      </c>
      <c r="BS84" s="1112">
        <f t="shared" si="355"/>
        <v>1136</v>
      </c>
      <c r="BT84" s="68">
        <f t="shared" si="355"/>
        <v>347</v>
      </c>
      <c r="BU84" s="68">
        <f t="shared" si="355"/>
        <v>375</v>
      </c>
      <c r="BV84" s="68">
        <f t="shared" si="355"/>
        <v>379</v>
      </c>
      <c r="BW84" s="68">
        <f>BW387</f>
        <v>347</v>
      </c>
      <c r="BX84" s="1112">
        <f>BX387</f>
        <v>1449</v>
      </c>
      <c r="BY84" s="588">
        <f>BY387</f>
        <v>0</v>
      </c>
      <c r="BZ84" s="68">
        <f>BZ44*BZ85</f>
        <v>0</v>
      </c>
      <c r="CA84" s="68">
        <f>CA44*CA85</f>
        <v>0</v>
      </c>
      <c r="CB84" s="68">
        <f>CB44*CB85</f>
        <v>0</v>
      </c>
      <c r="CC84" s="1112">
        <f>SUM(BY84,BZ84,CA84,CB84)</f>
        <v>0</v>
      </c>
      <c r="CD84" s="68">
        <f>CD44*CD85</f>
        <v>0</v>
      </c>
      <c r="CE84" s="68">
        <f>CE44*CE85</f>
        <v>0</v>
      </c>
      <c r="CF84" s="68">
        <f>CF44*CF85</f>
        <v>0</v>
      </c>
      <c r="CG84" s="68">
        <f>CG44*CG85</f>
        <v>0</v>
      </c>
      <c r="CH84" s="1112">
        <f>SUM(CD84,CE84,CF84,CG84)</f>
        <v>0</v>
      </c>
      <c r="CI84" s="1112">
        <f>CI44*CI85</f>
        <v>0</v>
      </c>
      <c r="CJ84" s="1112">
        <f>CJ44*CJ85</f>
        <v>0</v>
      </c>
      <c r="CK84" s="1112">
        <f>CK44*CK85</f>
        <v>0</v>
      </c>
      <c r="CL84" s="155"/>
    </row>
    <row r="85" spans="1:90" hidden="1" outlineLevel="1" x14ac:dyDescent="0.3">
      <c r="A85" s="648" t="s">
        <v>721</v>
      </c>
      <c r="B85" s="582"/>
      <c r="C85" s="1115">
        <f t="shared" ref="C85:AH85" si="356">C84/C44</f>
        <v>1.5405013753850888E-2</v>
      </c>
      <c r="D85" s="1115">
        <f t="shared" si="356"/>
        <v>1.0132138063307825E-2</v>
      </c>
      <c r="E85" s="1115">
        <f t="shared" si="356"/>
        <v>9.615588140915737E-3</v>
      </c>
      <c r="F85" s="1115">
        <f t="shared" si="356"/>
        <v>1.1138264051646729E-2</v>
      </c>
      <c r="G85" s="90">
        <f t="shared" si="356"/>
        <v>1.2797377380992285E-2</v>
      </c>
      <c r="H85" s="90">
        <f t="shared" si="356"/>
        <v>1.0266501958305802E-2</v>
      </c>
      <c r="I85" s="90">
        <f t="shared" si="356"/>
        <v>8.7400652764282327E-3</v>
      </c>
      <c r="J85" s="90">
        <f t="shared" si="356"/>
        <v>9.8780199150421636E-3</v>
      </c>
      <c r="K85" s="1115">
        <f t="shared" si="356"/>
        <v>1.0283496477584128E-2</v>
      </c>
      <c r="L85" s="90">
        <f t="shared" si="356"/>
        <v>9.2266053863935583E-3</v>
      </c>
      <c r="M85" s="90">
        <f t="shared" si="356"/>
        <v>1.194386628436471E-2</v>
      </c>
      <c r="N85" s="90">
        <f t="shared" si="356"/>
        <v>9.7792435626542374E-3</v>
      </c>
      <c r="O85" s="90">
        <f t="shared" si="356"/>
        <v>1.0381762915807998E-2</v>
      </c>
      <c r="P85" s="1115">
        <f t="shared" si="356"/>
        <v>1.0330992736077483E-2</v>
      </c>
      <c r="Q85" s="90">
        <f t="shared" si="356"/>
        <v>1.1246600181323665E-2</v>
      </c>
      <c r="R85" s="90">
        <f t="shared" si="356"/>
        <v>1.2692656391659111E-2</v>
      </c>
      <c r="S85" s="90">
        <f t="shared" si="356"/>
        <v>1.284408163265306E-2</v>
      </c>
      <c r="T85" s="90">
        <f t="shared" si="356"/>
        <v>1.1990407673860911E-2</v>
      </c>
      <c r="U85" s="1115">
        <f t="shared" si="356"/>
        <v>1.2203972661255873E-2</v>
      </c>
      <c r="V85" s="90">
        <f t="shared" si="356"/>
        <v>1.4769765421372719E-2</v>
      </c>
      <c r="W85" s="90">
        <f t="shared" si="356"/>
        <v>1.4744145706851692E-2</v>
      </c>
      <c r="X85" s="90">
        <f t="shared" si="356"/>
        <v>1.4559386973180077E-2</v>
      </c>
      <c r="Y85" s="90">
        <f t="shared" si="356"/>
        <v>1.5703069236259814E-2</v>
      </c>
      <c r="Z85" s="1115">
        <f t="shared" si="356"/>
        <v>1.4970059880239521E-2</v>
      </c>
      <c r="AA85" s="90">
        <f t="shared" si="356"/>
        <v>1.532567049808429E-2</v>
      </c>
      <c r="AB85" s="90">
        <f t="shared" si="356"/>
        <v>1.680672268907563E-2</v>
      </c>
      <c r="AC85" s="90">
        <f t="shared" si="356"/>
        <v>1.3473053892215569E-2</v>
      </c>
      <c r="AD85" s="90">
        <f t="shared" si="356"/>
        <v>1.2425218591808559E-2</v>
      </c>
      <c r="AE85" s="1115">
        <f t="shared" si="356"/>
        <v>1.4182344428364689E-2</v>
      </c>
      <c r="AF85" s="90">
        <f t="shared" si="356"/>
        <v>1.600413009808983E-2</v>
      </c>
      <c r="AG85" s="90">
        <f t="shared" si="356"/>
        <v>1.4798206278026907E-2</v>
      </c>
      <c r="AH85" s="90">
        <f t="shared" si="356"/>
        <v>1.5174506828528073E-2</v>
      </c>
      <c r="AI85" s="90">
        <f t="shared" ref="AI85:BE85" si="357">AI84/AI44</f>
        <v>1.5802129852284439E-2</v>
      </c>
      <c r="AJ85" s="1115">
        <f t="shared" si="357"/>
        <v>1.5544574840436483E-2</v>
      </c>
      <c r="AK85" s="90">
        <f t="shared" si="357"/>
        <v>1.4655441222326161E-2</v>
      </c>
      <c r="AL85" s="90">
        <f t="shared" si="357"/>
        <v>1.536983669548511E-2</v>
      </c>
      <c r="AM85" s="90">
        <f t="shared" si="357"/>
        <v>1.4775227915749764E-2</v>
      </c>
      <c r="AN85" s="90">
        <f t="shared" si="357"/>
        <v>2.3129251700680271E-2</v>
      </c>
      <c r="AO85" s="1115">
        <f t="shared" si="357"/>
        <v>1.6558552406964834E-2</v>
      </c>
      <c r="AP85" s="90">
        <f t="shared" si="357"/>
        <v>2.7027027027027029E-2</v>
      </c>
      <c r="AQ85" s="90">
        <f t="shared" si="357"/>
        <v>2.7530050407134549E-2</v>
      </c>
      <c r="AR85" s="90">
        <f t="shared" si="357"/>
        <v>2.2229595222295954E-2</v>
      </c>
      <c r="AS85" s="90">
        <f t="shared" si="357"/>
        <v>2.1900161030595812E-2</v>
      </c>
      <c r="AT85" s="1115">
        <f t="shared" si="357"/>
        <v>2.4271844660194174E-2</v>
      </c>
      <c r="AU85" s="90">
        <f t="shared" si="357"/>
        <v>2.2402597402597403E-2</v>
      </c>
      <c r="AV85" s="90">
        <f t="shared" si="357"/>
        <v>3.4143817899637871E-2</v>
      </c>
      <c r="AW85" s="90">
        <f t="shared" si="357"/>
        <v>2.6026237833262803E-2</v>
      </c>
      <c r="AX85" s="90">
        <f t="shared" si="357"/>
        <v>2.498500899460324E-2</v>
      </c>
      <c r="AY85" s="1115">
        <f t="shared" si="357"/>
        <v>2.6926536731634181E-2</v>
      </c>
      <c r="AZ85" s="90">
        <f t="shared" si="357"/>
        <v>2.2610846140257906E-2</v>
      </c>
      <c r="BA85" s="90">
        <f t="shared" si="357"/>
        <v>2.0900568618410942E-2</v>
      </c>
      <c r="BB85" s="90">
        <f t="shared" si="357"/>
        <v>2.1399408700549065E-2</v>
      </c>
      <c r="BC85" s="90">
        <f t="shared" si="357"/>
        <v>1.9625801386889966E-2</v>
      </c>
      <c r="BD85" s="1115">
        <f t="shared" si="357"/>
        <v>2.0992791855539868E-2</v>
      </c>
      <c r="BE85" s="90">
        <f t="shared" si="357"/>
        <v>1.8822393822393823E-2</v>
      </c>
      <c r="BF85" s="90">
        <f t="shared" ref="BF85:BK85" si="358">BF84/BF44</f>
        <v>2.3717183770883055E-2</v>
      </c>
      <c r="BG85" s="90">
        <f t="shared" si="358"/>
        <v>3.0854830551340414E-2</v>
      </c>
      <c r="BH85" s="90">
        <f t="shared" si="358"/>
        <v>3.0077673111882332E-2</v>
      </c>
      <c r="BI85" s="1115">
        <f t="shared" si="358"/>
        <v>2.5209460962408246E-2</v>
      </c>
      <c r="BJ85" s="90">
        <f t="shared" si="358"/>
        <v>2.5583982202447165E-2</v>
      </c>
      <c r="BK85" s="90">
        <f t="shared" si="358"/>
        <v>1.5621529577256238E-2</v>
      </c>
      <c r="BL85" s="90">
        <f t="shared" ref="BL85:BQ85" si="359">BL84/BL44</f>
        <v>1.3245033112582781E-2</v>
      </c>
      <c r="BM85" s="90">
        <f t="shared" si="359"/>
        <v>1.0948739990046599E-2</v>
      </c>
      <c r="BN85" s="1115">
        <f t="shared" si="359"/>
        <v>1.4379042053773678E-2</v>
      </c>
      <c r="BO85" s="90">
        <f t="shared" si="359"/>
        <v>9.5223467977269237E-3</v>
      </c>
      <c r="BP85" s="90">
        <f t="shared" si="359"/>
        <v>9.3874833555259649E-3</v>
      </c>
      <c r="BQ85" s="90">
        <f t="shared" si="359"/>
        <v>8.3233567071432646E-3</v>
      </c>
      <c r="BR85" s="90">
        <f t="shared" ref="BR85:BX85" si="360">BR84/BR44</f>
        <v>7.9580992092751265E-3</v>
      </c>
      <c r="BS85" s="1115">
        <f t="shared" si="360"/>
        <v>8.7051809620144523E-3</v>
      </c>
      <c r="BT85" s="90">
        <f t="shared" si="360"/>
        <v>7.8752666696927064E-3</v>
      </c>
      <c r="BU85" s="90">
        <f t="shared" si="360"/>
        <v>8.0225916179962782E-3</v>
      </c>
      <c r="BV85" s="90">
        <f t="shared" si="360"/>
        <v>6.6484229730203841E-3</v>
      </c>
      <c r="BW85" s="90">
        <f t="shared" si="360"/>
        <v>5.0934284498069778E-3</v>
      </c>
      <c r="BX85" s="1115">
        <f t="shared" si="360"/>
        <v>6.7102594263168131E-3</v>
      </c>
      <c r="BY85" s="892">
        <f>BY84/BY44</f>
        <v>0</v>
      </c>
      <c r="BZ85" s="1060">
        <v>0</v>
      </c>
      <c r="CA85" s="1060">
        <v>0</v>
      </c>
      <c r="CB85" s="1060">
        <v>0</v>
      </c>
      <c r="CC85" s="1115">
        <f>CC84/CC44</f>
        <v>0</v>
      </c>
      <c r="CD85" s="1060">
        <v>0</v>
      </c>
      <c r="CE85" s="1060">
        <v>0</v>
      </c>
      <c r="CF85" s="1060">
        <v>0</v>
      </c>
      <c r="CG85" s="1060">
        <v>0</v>
      </c>
      <c r="CH85" s="1115">
        <f>CH84/CH44</f>
        <v>0</v>
      </c>
      <c r="CI85" s="1129">
        <v>0</v>
      </c>
      <c r="CJ85" s="1129">
        <v>0</v>
      </c>
      <c r="CK85" s="1129">
        <v>0</v>
      </c>
      <c r="CL85" s="155"/>
    </row>
    <row r="86" spans="1:90" hidden="1" outlineLevel="1" x14ac:dyDescent="0.3">
      <c r="A86" s="99" t="s">
        <v>742</v>
      </c>
      <c r="B86" s="598"/>
      <c r="C86" s="1112">
        <f t="shared" ref="C86:AH86" si="361">C388</f>
        <v>0</v>
      </c>
      <c r="D86" s="1112">
        <f t="shared" si="361"/>
        <v>0</v>
      </c>
      <c r="E86" s="1112">
        <f t="shared" si="361"/>
        <v>0</v>
      </c>
      <c r="F86" s="1112">
        <f t="shared" si="361"/>
        <v>10</v>
      </c>
      <c r="G86" s="68">
        <f t="shared" si="361"/>
        <v>2</v>
      </c>
      <c r="H86" s="68">
        <f t="shared" si="361"/>
        <v>2</v>
      </c>
      <c r="I86" s="68">
        <f t="shared" si="361"/>
        <v>2</v>
      </c>
      <c r="J86" s="68">
        <f t="shared" si="361"/>
        <v>5</v>
      </c>
      <c r="K86" s="1112">
        <f t="shared" si="361"/>
        <v>11</v>
      </c>
      <c r="L86" s="68">
        <f t="shared" si="361"/>
        <v>5</v>
      </c>
      <c r="M86" s="68">
        <f t="shared" si="361"/>
        <v>5</v>
      </c>
      <c r="N86" s="68">
        <f t="shared" si="361"/>
        <v>3</v>
      </c>
      <c r="O86" s="68">
        <f t="shared" si="361"/>
        <v>5</v>
      </c>
      <c r="P86" s="1112">
        <f t="shared" si="361"/>
        <v>18</v>
      </c>
      <c r="Q86" s="68">
        <f t="shared" si="361"/>
        <v>5</v>
      </c>
      <c r="R86" s="68">
        <f t="shared" si="361"/>
        <v>5</v>
      </c>
      <c r="S86" s="68">
        <f t="shared" si="361"/>
        <v>5</v>
      </c>
      <c r="T86" s="68">
        <f t="shared" si="361"/>
        <v>5</v>
      </c>
      <c r="U86" s="1112">
        <f t="shared" si="361"/>
        <v>20</v>
      </c>
      <c r="V86" s="68">
        <f t="shared" si="361"/>
        <v>4</v>
      </c>
      <c r="W86" s="68">
        <f t="shared" si="361"/>
        <v>2</v>
      </c>
      <c r="X86" s="68">
        <f t="shared" si="361"/>
        <v>2</v>
      </c>
      <c r="Y86" s="68">
        <f t="shared" si="361"/>
        <v>2</v>
      </c>
      <c r="Z86" s="1112">
        <f t="shared" si="361"/>
        <v>10</v>
      </c>
      <c r="AA86" s="68">
        <f t="shared" si="361"/>
        <v>2</v>
      </c>
      <c r="AB86" s="68">
        <f t="shared" si="361"/>
        <v>2</v>
      </c>
      <c r="AC86" s="68">
        <f t="shared" si="361"/>
        <v>2</v>
      </c>
      <c r="AD86" s="68">
        <f t="shared" si="361"/>
        <v>2</v>
      </c>
      <c r="AE86" s="1112">
        <f t="shared" si="361"/>
        <v>8</v>
      </c>
      <c r="AF86" s="68">
        <f t="shared" si="361"/>
        <v>2</v>
      </c>
      <c r="AG86" s="68">
        <f t="shared" si="361"/>
        <v>2</v>
      </c>
      <c r="AH86" s="68">
        <f t="shared" si="361"/>
        <v>2</v>
      </c>
      <c r="AI86" s="68">
        <f t="shared" ref="AI86:BE86" si="362">AI388</f>
        <v>2</v>
      </c>
      <c r="AJ86" s="1112">
        <f t="shared" si="362"/>
        <v>8</v>
      </c>
      <c r="AK86" s="68">
        <f t="shared" si="362"/>
        <v>1</v>
      </c>
      <c r="AL86" s="68">
        <f t="shared" si="362"/>
        <v>1</v>
      </c>
      <c r="AM86" s="68">
        <f t="shared" si="362"/>
        <v>1</v>
      </c>
      <c r="AN86" s="68">
        <f t="shared" si="362"/>
        <v>1</v>
      </c>
      <c r="AO86" s="1112">
        <f t="shared" si="362"/>
        <v>1</v>
      </c>
      <c r="AP86" s="68">
        <f t="shared" si="362"/>
        <v>6</v>
      </c>
      <c r="AQ86" s="68">
        <f t="shared" si="362"/>
        <v>4</v>
      </c>
      <c r="AR86" s="68">
        <f t="shared" si="362"/>
        <v>6</v>
      </c>
      <c r="AS86" s="68">
        <f t="shared" si="362"/>
        <v>6</v>
      </c>
      <c r="AT86" s="1112">
        <f t="shared" si="362"/>
        <v>25</v>
      </c>
      <c r="AU86" s="68">
        <f t="shared" si="362"/>
        <v>2</v>
      </c>
      <c r="AV86" s="68">
        <f t="shared" si="362"/>
        <v>226</v>
      </c>
      <c r="AW86" s="68">
        <f t="shared" si="362"/>
        <v>104</v>
      </c>
      <c r="AX86" s="68">
        <f t="shared" si="362"/>
        <v>70</v>
      </c>
      <c r="AY86" s="1112">
        <f t="shared" si="362"/>
        <v>402</v>
      </c>
      <c r="AZ86" s="68">
        <f t="shared" si="362"/>
        <v>79</v>
      </c>
      <c r="BA86" s="68">
        <f t="shared" si="362"/>
        <v>71</v>
      </c>
      <c r="BB86" s="68">
        <f t="shared" si="362"/>
        <v>63</v>
      </c>
      <c r="BC86" s="68">
        <f t="shared" si="362"/>
        <v>61</v>
      </c>
      <c r="BD86" s="1112">
        <f t="shared" si="362"/>
        <v>273</v>
      </c>
      <c r="BE86" s="68">
        <f t="shared" si="362"/>
        <v>46</v>
      </c>
      <c r="BF86" s="68">
        <f t="shared" ref="BF86:BK86" si="363">BF388</f>
        <v>44</v>
      </c>
      <c r="BG86" s="68">
        <f t="shared" si="363"/>
        <v>44</v>
      </c>
      <c r="BH86" s="68">
        <f t="shared" si="363"/>
        <v>44</v>
      </c>
      <c r="BI86" s="1112">
        <f t="shared" si="363"/>
        <v>180</v>
      </c>
      <c r="BJ86" s="68">
        <f t="shared" si="363"/>
        <v>42</v>
      </c>
      <c r="BK86" s="68">
        <f t="shared" si="363"/>
        <v>6</v>
      </c>
      <c r="BL86" s="68">
        <f t="shared" ref="BL86:BQ86" si="364">BL388</f>
        <v>4</v>
      </c>
      <c r="BM86" s="68">
        <f t="shared" si="364"/>
        <v>6</v>
      </c>
      <c r="BN86" s="1112">
        <f t="shared" si="364"/>
        <v>57</v>
      </c>
      <c r="BO86" s="68">
        <f t="shared" si="364"/>
        <v>8</v>
      </c>
      <c r="BP86" s="68">
        <f t="shared" si="364"/>
        <v>9</v>
      </c>
      <c r="BQ86" s="68">
        <f t="shared" si="364"/>
        <v>16</v>
      </c>
      <c r="BR86" s="68">
        <f t="shared" ref="BR86:BX86" si="365">BR388</f>
        <v>16</v>
      </c>
      <c r="BS86" s="1112">
        <f t="shared" si="365"/>
        <v>51</v>
      </c>
      <c r="BT86" s="68">
        <f t="shared" si="365"/>
        <v>9</v>
      </c>
      <c r="BU86" s="68">
        <f t="shared" si="365"/>
        <v>8</v>
      </c>
      <c r="BV86" s="68">
        <f t="shared" si="365"/>
        <v>4</v>
      </c>
      <c r="BW86" s="68">
        <f t="shared" si="365"/>
        <v>7</v>
      </c>
      <c r="BX86" s="1112">
        <f t="shared" si="365"/>
        <v>28</v>
      </c>
      <c r="BY86" s="588">
        <f>BY388</f>
        <v>5</v>
      </c>
      <c r="BZ86" s="68">
        <f>BZ44*BZ87</f>
        <v>18.186698</v>
      </c>
      <c r="CA86" s="68">
        <f>CA44*CA87</f>
        <v>18.30716</v>
      </c>
      <c r="CB86" s="68">
        <f>CB44*CB87</f>
        <v>18.800190000000001</v>
      </c>
      <c r="CC86" s="1112">
        <f>SUM(BY86,BZ86,CA86,CB86)</f>
        <v>60.294048000000004</v>
      </c>
      <c r="CD86" s="68">
        <f>CD44*CD87</f>
        <v>21.104710000000001</v>
      </c>
      <c r="CE86" s="68">
        <f>CE44*CE87</f>
        <v>23.533747900000002</v>
      </c>
      <c r="CF86" s="68">
        <f>CF44*CF87</f>
        <v>22.839183999999999</v>
      </c>
      <c r="CG86" s="68">
        <f>CG44*CG87</f>
        <v>23.387470499999996</v>
      </c>
      <c r="CH86" s="1112">
        <f>SUM(CD86,CE86,CF86,CG86)</f>
        <v>90.865112400000001</v>
      </c>
      <c r="CI86" s="1112">
        <f>CI44*CI87</f>
        <v>108.38136023</v>
      </c>
      <c r="CJ86" s="1112">
        <f>CJ44*CJ87</f>
        <v>127.31204337939998</v>
      </c>
      <c r="CK86" s="1112">
        <f>CK44*CK87</f>
        <v>149.59245332649201</v>
      </c>
      <c r="CL86" s="155"/>
    </row>
    <row r="87" spans="1:90" hidden="1" outlineLevel="1" x14ac:dyDescent="0.3">
      <c r="A87" s="648" t="s">
        <v>743</v>
      </c>
      <c r="B87" s="582"/>
      <c r="C87" s="1115">
        <f t="shared" ref="C87:AH87" si="366">C86/C44</f>
        <v>0</v>
      </c>
      <c r="D87" s="1115">
        <f t="shared" si="366"/>
        <v>0</v>
      </c>
      <c r="E87" s="1115">
        <f t="shared" si="366"/>
        <v>0</v>
      </c>
      <c r="F87" s="1115">
        <f t="shared" si="366"/>
        <v>2.5012944198622789E-3</v>
      </c>
      <c r="G87" s="90">
        <f t="shared" si="366"/>
        <v>2.1624497095289429E-3</v>
      </c>
      <c r="H87" s="90">
        <f t="shared" si="366"/>
        <v>1.9152134984247368E-3</v>
      </c>
      <c r="I87" s="90">
        <f t="shared" si="366"/>
        <v>1.6609778176412456E-3</v>
      </c>
      <c r="J87" s="90">
        <f t="shared" si="366"/>
        <v>4.517111722627659E-3</v>
      </c>
      <c r="K87" s="1115">
        <f t="shared" si="366"/>
        <v>2.5699979837197637E-3</v>
      </c>
      <c r="L87" s="90">
        <f t="shared" si="366"/>
        <v>5.237033367234396E-3</v>
      </c>
      <c r="M87" s="90">
        <f t="shared" si="366"/>
        <v>5.1164608826099675E-3</v>
      </c>
      <c r="N87" s="90">
        <f t="shared" si="366"/>
        <v>2.8463889286856228E-3</v>
      </c>
      <c r="O87" s="90">
        <f t="shared" si="366"/>
        <v>4.3697966646216004E-3</v>
      </c>
      <c r="P87" s="1115">
        <f t="shared" si="366"/>
        <v>4.3583535108958835E-3</v>
      </c>
      <c r="Q87" s="90">
        <f t="shared" si="366"/>
        <v>4.5330915684496827E-3</v>
      </c>
      <c r="R87" s="90">
        <f t="shared" si="366"/>
        <v>4.5330915684496827E-3</v>
      </c>
      <c r="S87" s="90">
        <f t="shared" si="366"/>
        <v>4.0816326530612249E-3</v>
      </c>
      <c r="T87" s="90">
        <f t="shared" si="366"/>
        <v>3.9968025579536371E-3</v>
      </c>
      <c r="U87" s="1115">
        <f t="shared" si="366"/>
        <v>4.2716787697565147E-3</v>
      </c>
      <c r="V87" s="90">
        <f t="shared" si="366"/>
        <v>3.4752389226759338E-3</v>
      </c>
      <c r="W87" s="90">
        <f t="shared" si="366"/>
        <v>1.7346053772766695E-3</v>
      </c>
      <c r="X87" s="90">
        <f t="shared" si="366"/>
        <v>1.5325670498084292E-3</v>
      </c>
      <c r="Y87" s="90">
        <f t="shared" si="366"/>
        <v>1.4275517487508922E-3</v>
      </c>
      <c r="Z87" s="1115">
        <f t="shared" si="366"/>
        <v>1.996007984031936E-3</v>
      </c>
      <c r="AA87" s="90">
        <f t="shared" si="366"/>
        <v>1.5325670498084292E-3</v>
      </c>
      <c r="AB87" s="90">
        <f t="shared" si="366"/>
        <v>1.4005602240896359E-3</v>
      </c>
      <c r="AC87" s="90">
        <f t="shared" si="366"/>
        <v>9.9800399201596798E-4</v>
      </c>
      <c r="AD87" s="90">
        <f t="shared" si="366"/>
        <v>9.2038656235618964E-4</v>
      </c>
      <c r="AE87" s="1115">
        <f t="shared" si="366"/>
        <v>1.1577424023154848E-3</v>
      </c>
      <c r="AF87" s="90">
        <f t="shared" si="366"/>
        <v>1.0325245224574084E-3</v>
      </c>
      <c r="AG87" s="90">
        <f t="shared" si="366"/>
        <v>8.9686098654708521E-4</v>
      </c>
      <c r="AH87" s="90">
        <f t="shared" si="366"/>
        <v>7.5872534142640367E-4</v>
      </c>
      <c r="AI87" s="90">
        <f t="shared" ref="AI87:BE87" si="367">AI86/AI44</f>
        <v>6.8704912401236691E-4</v>
      </c>
      <c r="AJ87" s="1115">
        <f t="shared" si="367"/>
        <v>8.2355363393040967E-4</v>
      </c>
      <c r="AK87" s="90">
        <f t="shared" si="367"/>
        <v>3.1181789834736512E-4</v>
      </c>
      <c r="AL87" s="90">
        <f t="shared" si="367"/>
        <v>3.2020493115593977E-4</v>
      </c>
      <c r="AM87" s="90">
        <f t="shared" si="367"/>
        <v>3.1436655139893113E-4</v>
      </c>
      <c r="AN87" s="90">
        <f t="shared" si="367"/>
        <v>4.5351473922902497E-4</v>
      </c>
      <c r="AO87" s="1115">
        <f t="shared" si="367"/>
        <v>8.5353362922499149E-5</v>
      </c>
      <c r="AP87" s="90">
        <f t="shared" si="367"/>
        <v>2.7027027027027029E-3</v>
      </c>
      <c r="AQ87" s="90">
        <f t="shared" si="367"/>
        <v>1.5509887553315238E-3</v>
      </c>
      <c r="AR87" s="90">
        <f t="shared" si="367"/>
        <v>1.9907100199071004E-3</v>
      </c>
      <c r="AS87" s="90">
        <f t="shared" si="367"/>
        <v>1.9323671497584541E-3</v>
      </c>
      <c r="AT87" s="1115">
        <f t="shared" si="367"/>
        <v>2.2897966660560543E-3</v>
      </c>
      <c r="AU87" s="90">
        <f t="shared" si="367"/>
        <v>6.4935064935064935E-4</v>
      </c>
      <c r="AV87" s="90">
        <f t="shared" si="367"/>
        <v>5.8458354888773927E-2</v>
      </c>
      <c r="AW87" s="90">
        <f t="shared" si="367"/>
        <v>2.2005924672027083E-2</v>
      </c>
      <c r="AX87" s="90">
        <f t="shared" si="367"/>
        <v>1.3991605036977814E-2</v>
      </c>
      <c r="AY87" s="1115">
        <f t="shared" si="367"/>
        <v>2.4107946026986508E-2</v>
      </c>
      <c r="AZ87" s="90">
        <f t="shared" si="367"/>
        <v>1.3955131602190425E-2</v>
      </c>
      <c r="BA87" s="90">
        <f t="shared" si="367"/>
        <v>1.0911326264023359E-2</v>
      </c>
      <c r="BB87" s="90">
        <f t="shared" si="367"/>
        <v>8.8694917640433617E-3</v>
      </c>
      <c r="BC87" s="90">
        <f t="shared" si="367"/>
        <v>7.9811592306685865E-3</v>
      </c>
      <c r="BD87" s="1115">
        <f t="shared" si="367"/>
        <v>1.0143419781526343E-2</v>
      </c>
      <c r="BE87" s="90">
        <f t="shared" si="367"/>
        <v>5.5501930501930504E-3</v>
      </c>
      <c r="BF87" s="90">
        <f t="shared" ref="BF87:BK87" si="368">BF86/BF44</f>
        <v>6.5632458233890216E-3</v>
      </c>
      <c r="BG87" s="90">
        <f t="shared" si="368"/>
        <v>7.4186477828359467E-3</v>
      </c>
      <c r="BH87" s="90">
        <f t="shared" si="368"/>
        <v>7.2715253677078165E-3</v>
      </c>
      <c r="BI87" s="1115">
        <f t="shared" si="368"/>
        <v>6.6730926076962998E-3</v>
      </c>
      <c r="BJ87" s="90">
        <f t="shared" si="368"/>
        <v>5.8398220244716354E-3</v>
      </c>
      <c r="BK87" s="90">
        <f t="shared" si="368"/>
        <v>4.4421411120159916E-4</v>
      </c>
      <c r="BL87" s="90">
        <f t="shared" ref="BL87:BQ87" si="369">BL86/BL44</f>
        <v>2.2075055187637969E-4</v>
      </c>
      <c r="BM87" s="90">
        <f t="shared" si="369"/>
        <v>2.7145636338958513E-4</v>
      </c>
      <c r="BN87" s="1115">
        <f t="shared" si="369"/>
        <v>9.3562259938938317E-4</v>
      </c>
      <c r="BO87" s="90">
        <f t="shared" si="369"/>
        <v>3.0717247734602982E-4</v>
      </c>
      <c r="BP87" s="90">
        <f t="shared" si="369"/>
        <v>2.9960053262316911E-4</v>
      </c>
      <c r="BQ87" s="90">
        <f t="shared" si="369"/>
        <v>4.5607434011743915E-4</v>
      </c>
      <c r="BR87" s="90">
        <f t="shared" ref="BR87:BX87" si="370">BR86/BR44</f>
        <v>4.0680379344537387E-4</v>
      </c>
      <c r="BS87" s="1115">
        <f t="shared" si="370"/>
        <v>3.9081358192142348E-4</v>
      </c>
      <c r="BT87" s="90">
        <f t="shared" si="370"/>
        <v>2.0425763696609324E-4</v>
      </c>
      <c r="BU87" s="90">
        <f t="shared" si="370"/>
        <v>1.7114862118392058E-4</v>
      </c>
      <c r="BV87" s="90">
        <f t="shared" si="370"/>
        <v>7.0168052485703253E-5</v>
      </c>
      <c r="BW87" s="90">
        <f t="shared" si="370"/>
        <v>1.0274927708544336E-4</v>
      </c>
      <c r="BX87" s="1115">
        <f t="shared" si="370"/>
        <v>1.2966684881771619E-4</v>
      </c>
      <c r="BY87" s="892">
        <f>BY86/BY44</f>
        <v>6.1263248177418367E-5</v>
      </c>
      <c r="BZ87" s="1060">
        <v>2.0000000000000001E-4</v>
      </c>
      <c r="CA87" s="1060">
        <v>2.0000000000000001E-4</v>
      </c>
      <c r="CB87" s="1060">
        <v>2.0000000000000001E-4</v>
      </c>
      <c r="CC87" s="1115">
        <f>CC86/CC44</f>
        <v>1.6837903734876088E-4</v>
      </c>
      <c r="CD87" s="1060">
        <v>2.0000000000000001E-4</v>
      </c>
      <c r="CE87" s="1060">
        <v>2.0000000000000001E-4</v>
      </c>
      <c r="CF87" s="1060">
        <v>2.0000000000000001E-4</v>
      </c>
      <c r="CG87" s="1060">
        <v>2.0000000000000001E-4</v>
      </c>
      <c r="CH87" s="1115">
        <f>CH86/CH44</f>
        <v>2.0000000000000001E-4</v>
      </c>
      <c r="CI87" s="1129">
        <v>2.0000000000000001E-4</v>
      </c>
      <c r="CJ87" s="1129">
        <v>2.0000000000000001E-4</v>
      </c>
      <c r="CK87" s="1129">
        <v>2.0000000000000001E-4</v>
      </c>
      <c r="CL87" s="155"/>
    </row>
    <row r="88" spans="1:90" s="227" customFormat="1" hidden="1" outlineLevel="1" x14ac:dyDescent="0.3">
      <c r="A88" s="282" t="s">
        <v>842</v>
      </c>
      <c r="B88" s="639"/>
      <c r="C88" s="1123">
        <f t="shared" ref="C88:BE88" si="371">C389</f>
        <v>0</v>
      </c>
      <c r="D88" s="1123">
        <f t="shared" si="371"/>
        <v>0</v>
      </c>
      <c r="E88" s="1123">
        <f t="shared" si="371"/>
        <v>0</v>
      </c>
      <c r="F88" s="1123">
        <f t="shared" si="371"/>
        <v>0</v>
      </c>
      <c r="G88" s="109">
        <f t="shared" si="371"/>
        <v>0</v>
      </c>
      <c r="H88" s="109">
        <f t="shared" si="371"/>
        <v>20.126999999999999</v>
      </c>
      <c r="I88" s="109">
        <f t="shared" si="371"/>
        <v>0</v>
      </c>
      <c r="J88" s="109">
        <f t="shared" si="371"/>
        <v>0</v>
      </c>
      <c r="K88" s="1123">
        <f t="shared" si="371"/>
        <v>20.126999999999999</v>
      </c>
      <c r="L88" s="109">
        <f t="shared" si="371"/>
        <v>0</v>
      </c>
      <c r="M88" s="109">
        <f t="shared" si="371"/>
        <v>0</v>
      </c>
      <c r="N88" s="109">
        <f t="shared" si="371"/>
        <v>0</v>
      </c>
      <c r="O88" s="109">
        <f t="shared" si="371"/>
        <v>0</v>
      </c>
      <c r="P88" s="1123">
        <f t="shared" si="371"/>
        <v>0</v>
      </c>
      <c r="Q88" s="109">
        <f t="shared" si="371"/>
        <v>0</v>
      </c>
      <c r="R88" s="109">
        <f t="shared" si="371"/>
        <v>0</v>
      </c>
      <c r="S88" s="109">
        <f t="shared" si="371"/>
        <v>0</v>
      </c>
      <c r="T88" s="109">
        <f t="shared" si="371"/>
        <v>0</v>
      </c>
      <c r="U88" s="1123">
        <f t="shared" si="371"/>
        <v>0</v>
      </c>
      <c r="V88" s="109">
        <f t="shared" si="371"/>
        <v>0</v>
      </c>
      <c r="W88" s="109">
        <f t="shared" si="371"/>
        <v>0</v>
      </c>
      <c r="X88" s="109">
        <f t="shared" si="371"/>
        <v>0</v>
      </c>
      <c r="Y88" s="109">
        <f t="shared" si="371"/>
        <v>0</v>
      </c>
      <c r="Z88" s="1123">
        <f t="shared" si="371"/>
        <v>0</v>
      </c>
      <c r="AA88" s="109">
        <f t="shared" si="371"/>
        <v>3</v>
      </c>
      <c r="AB88" s="109">
        <f t="shared" si="371"/>
        <v>1</v>
      </c>
      <c r="AC88" s="109">
        <f t="shared" si="371"/>
        <v>0</v>
      </c>
      <c r="AD88" s="109">
        <f t="shared" si="371"/>
        <v>0</v>
      </c>
      <c r="AE88" s="1123">
        <f t="shared" si="371"/>
        <v>4</v>
      </c>
      <c r="AF88" s="109">
        <f t="shared" si="371"/>
        <v>2</v>
      </c>
      <c r="AG88" s="109">
        <f t="shared" si="371"/>
        <v>0</v>
      </c>
      <c r="AH88" s="109">
        <f t="shared" si="371"/>
        <v>0</v>
      </c>
      <c r="AI88" s="109">
        <f t="shared" si="371"/>
        <v>0</v>
      </c>
      <c r="AJ88" s="1123">
        <f t="shared" si="371"/>
        <v>2</v>
      </c>
      <c r="AK88" s="109">
        <f t="shared" si="371"/>
        <v>0</v>
      </c>
      <c r="AL88" s="109">
        <f t="shared" si="371"/>
        <v>0</v>
      </c>
      <c r="AM88" s="109">
        <f t="shared" si="371"/>
        <v>0</v>
      </c>
      <c r="AN88" s="109">
        <f t="shared" si="371"/>
        <v>0</v>
      </c>
      <c r="AO88" s="1123">
        <f t="shared" si="371"/>
        <v>0</v>
      </c>
      <c r="AP88" s="109">
        <f t="shared" si="371"/>
        <v>0</v>
      </c>
      <c r="AQ88" s="109">
        <f t="shared" si="371"/>
        <v>0</v>
      </c>
      <c r="AR88" s="109">
        <f t="shared" si="371"/>
        <v>0</v>
      </c>
      <c r="AS88" s="109">
        <f t="shared" si="371"/>
        <v>0</v>
      </c>
      <c r="AT88" s="1123">
        <f t="shared" si="371"/>
        <v>0</v>
      </c>
      <c r="AU88" s="109">
        <f t="shared" si="371"/>
        <v>0</v>
      </c>
      <c r="AV88" s="109">
        <f t="shared" si="371"/>
        <v>0</v>
      </c>
      <c r="AW88" s="109">
        <f t="shared" si="371"/>
        <v>0</v>
      </c>
      <c r="AX88" s="109">
        <f t="shared" si="371"/>
        <v>0</v>
      </c>
      <c r="AY88" s="1123">
        <f t="shared" si="371"/>
        <v>0</v>
      </c>
      <c r="AZ88" s="109">
        <f t="shared" si="371"/>
        <v>0</v>
      </c>
      <c r="BA88" s="109">
        <f t="shared" si="371"/>
        <v>0</v>
      </c>
      <c r="BB88" s="109">
        <f t="shared" si="371"/>
        <v>0</v>
      </c>
      <c r="BC88" s="109">
        <f t="shared" si="371"/>
        <v>0</v>
      </c>
      <c r="BD88" s="1123">
        <f t="shared" si="371"/>
        <v>0</v>
      </c>
      <c r="BE88" s="109">
        <f t="shared" si="371"/>
        <v>0</v>
      </c>
      <c r="BF88" s="109">
        <f t="shared" ref="BF88:BK88" si="372">BF389</f>
        <v>2</v>
      </c>
      <c r="BG88" s="109">
        <f t="shared" si="372"/>
        <v>16</v>
      </c>
      <c r="BH88" s="109">
        <f t="shared" si="372"/>
        <v>38</v>
      </c>
      <c r="BI88" s="1123">
        <f t="shared" si="372"/>
        <v>56</v>
      </c>
      <c r="BJ88" s="109">
        <f t="shared" si="372"/>
        <v>-4</v>
      </c>
      <c r="BK88" s="109">
        <f t="shared" si="372"/>
        <v>-5</v>
      </c>
      <c r="BL88" s="109">
        <f t="shared" ref="BL88:BQ88" si="373">BL389</f>
        <v>0</v>
      </c>
      <c r="BM88" s="109">
        <f t="shared" si="373"/>
        <v>0</v>
      </c>
      <c r="BN88" s="1123">
        <f t="shared" si="373"/>
        <v>-10</v>
      </c>
      <c r="BO88" s="109">
        <f t="shared" si="373"/>
        <v>0</v>
      </c>
      <c r="BP88" s="109">
        <f t="shared" si="373"/>
        <v>0</v>
      </c>
      <c r="BQ88" s="109">
        <f t="shared" si="373"/>
        <v>0</v>
      </c>
      <c r="BR88" s="109">
        <f t="shared" ref="BR88:BX88" si="374">BR389</f>
        <v>0</v>
      </c>
      <c r="BS88" s="1123">
        <f t="shared" si="374"/>
        <v>0</v>
      </c>
      <c r="BT88" s="109">
        <f t="shared" si="374"/>
        <v>0</v>
      </c>
      <c r="BU88" s="109">
        <f t="shared" si="374"/>
        <v>0</v>
      </c>
      <c r="BV88" s="109">
        <f t="shared" si="374"/>
        <v>0</v>
      </c>
      <c r="BW88" s="109">
        <f t="shared" si="374"/>
        <v>0</v>
      </c>
      <c r="BX88" s="1123">
        <f t="shared" si="374"/>
        <v>0</v>
      </c>
      <c r="BY88" s="730">
        <f>BY389</f>
        <v>0</v>
      </c>
      <c r="BZ88" s="1062">
        <v>0</v>
      </c>
      <c r="CA88" s="1062">
        <v>0</v>
      </c>
      <c r="CB88" s="1062">
        <v>0</v>
      </c>
      <c r="CC88" s="1123">
        <f>SUM(BY88,BZ88,CA88,CB88)</f>
        <v>0</v>
      </c>
      <c r="CD88" s="1062">
        <v>0</v>
      </c>
      <c r="CE88" s="1062">
        <v>0</v>
      </c>
      <c r="CF88" s="1062">
        <v>0</v>
      </c>
      <c r="CG88" s="1062">
        <v>0</v>
      </c>
      <c r="CH88" s="1123">
        <f>SUM(CD88,CE88,CF88,CG88)</f>
        <v>0</v>
      </c>
      <c r="CI88" s="1133">
        <v>0</v>
      </c>
      <c r="CJ88" s="1133">
        <v>0</v>
      </c>
      <c r="CK88" s="1133">
        <v>0</v>
      </c>
      <c r="CL88" s="27"/>
    </row>
    <row r="89" spans="1:90" collapsed="1" x14ac:dyDescent="0.3">
      <c r="A89" s="636" t="s">
        <v>722</v>
      </c>
      <c r="B89" s="598"/>
      <c r="C89" s="1112">
        <f t="shared" ref="C89:BD89" si="375">C79-C84-C86-C88</f>
        <v>309.46199999999999</v>
      </c>
      <c r="D89" s="1112">
        <f t="shared" si="375"/>
        <v>333.31299999999999</v>
      </c>
      <c r="E89" s="1112">
        <f t="shared" si="375"/>
        <v>327.44200000000001</v>
      </c>
      <c r="F89" s="1112">
        <f t="shared" si="375"/>
        <v>351.08299999999997</v>
      </c>
      <c r="G89" s="68">
        <f t="shared" si="375"/>
        <v>92.8</v>
      </c>
      <c r="H89" s="68">
        <f t="shared" si="375"/>
        <v>87.055000000000007</v>
      </c>
      <c r="I89" s="68">
        <f t="shared" si="375"/>
        <v>87.736999999999995</v>
      </c>
      <c r="J89" s="68">
        <f t="shared" si="375"/>
        <v>88.088000000000022</v>
      </c>
      <c r="K89" s="1112">
        <f t="shared" si="375"/>
        <v>355.68</v>
      </c>
      <c r="L89" s="68">
        <f t="shared" si="375"/>
        <v>94.817000000000007</v>
      </c>
      <c r="M89" s="68">
        <f t="shared" si="375"/>
        <v>91.594000000000008</v>
      </c>
      <c r="N89" s="68">
        <f t="shared" si="375"/>
        <v>89.825999999999993</v>
      </c>
      <c r="O89" s="68">
        <f t="shared" si="375"/>
        <v>98.798000000000002</v>
      </c>
      <c r="P89" s="1112">
        <f t="shared" si="375"/>
        <v>375.03499999999997</v>
      </c>
      <c r="Q89" s="68">
        <f t="shared" si="375"/>
        <v>101.595</v>
      </c>
      <c r="R89" s="68">
        <f t="shared" si="375"/>
        <v>100</v>
      </c>
      <c r="S89" s="68">
        <f t="shared" si="375"/>
        <v>102.26600000000001</v>
      </c>
      <c r="T89" s="68">
        <f t="shared" si="375"/>
        <v>99</v>
      </c>
      <c r="U89" s="1112">
        <f t="shared" si="375"/>
        <v>402.86099999999999</v>
      </c>
      <c r="V89" s="68">
        <f t="shared" si="375"/>
        <v>117</v>
      </c>
      <c r="W89" s="68">
        <f t="shared" si="375"/>
        <v>130</v>
      </c>
      <c r="X89" s="68">
        <f t="shared" si="375"/>
        <v>131</v>
      </c>
      <c r="Y89" s="68">
        <f t="shared" si="375"/>
        <v>137</v>
      </c>
      <c r="Z89" s="1112">
        <f t="shared" si="375"/>
        <v>517</v>
      </c>
      <c r="AA89" s="68">
        <f t="shared" si="375"/>
        <v>134</v>
      </c>
      <c r="AB89" s="68">
        <f t="shared" si="375"/>
        <v>130</v>
      </c>
      <c r="AC89" s="68">
        <f t="shared" si="375"/>
        <v>142</v>
      </c>
      <c r="AD89" s="68">
        <f t="shared" si="375"/>
        <v>147</v>
      </c>
      <c r="AE89" s="1112">
        <f t="shared" si="375"/>
        <v>553</v>
      </c>
      <c r="AF89" s="68">
        <f t="shared" si="375"/>
        <v>150</v>
      </c>
      <c r="AG89" s="68">
        <f t="shared" si="375"/>
        <v>163</v>
      </c>
      <c r="AH89" s="68">
        <f t="shared" si="375"/>
        <v>170</v>
      </c>
      <c r="AI89" s="68">
        <f t="shared" si="375"/>
        <v>172</v>
      </c>
      <c r="AJ89" s="1112">
        <f t="shared" si="375"/>
        <v>654</v>
      </c>
      <c r="AK89" s="68">
        <f t="shared" si="375"/>
        <v>183</v>
      </c>
      <c r="AL89" s="68">
        <f t="shared" si="375"/>
        <v>188</v>
      </c>
      <c r="AM89" s="68">
        <f t="shared" si="375"/>
        <v>210</v>
      </c>
      <c r="AN89" s="68">
        <f t="shared" si="375"/>
        <v>214</v>
      </c>
      <c r="AO89" s="1112">
        <f t="shared" si="375"/>
        <v>796</v>
      </c>
      <c r="AP89" s="68">
        <f t="shared" si="375"/>
        <v>198</v>
      </c>
      <c r="AQ89" s="68">
        <f t="shared" si="375"/>
        <v>191</v>
      </c>
      <c r="AR89" s="68">
        <f t="shared" si="375"/>
        <v>204</v>
      </c>
      <c r="AS89" s="68">
        <f t="shared" si="375"/>
        <v>213</v>
      </c>
      <c r="AT89" s="1112">
        <f t="shared" si="375"/>
        <v>803</v>
      </c>
      <c r="AU89" s="68">
        <f t="shared" si="375"/>
        <v>222</v>
      </c>
      <c r="AV89" s="68">
        <f t="shared" si="375"/>
        <v>269</v>
      </c>
      <c r="AW89" s="68">
        <f t="shared" si="375"/>
        <v>288</v>
      </c>
      <c r="AX89" s="68">
        <f t="shared" si="375"/>
        <v>308</v>
      </c>
      <c r="AY89" s="1112">
        <f t="shared" si="375"/>
        <v>1089</v>
      </c>
      <c r="AZ89" s="68">
        <f t="shared" si="375"/>
        <v>313</v>
      </c>
      <c r="BA89" s="68">
        <f t="shared" si="375"/>
        <v>319</v>
      </c>
      <c r="BB89" s="68">
        <f t="shared" si="375"/>
        <v>342</v>
      </c>
      <c r="BC89" s="68">
        <f t="shared" si="375"/>
        <v>352</v>
      </c>
      <c r="BD89" s="1112">
        <f t="shared" si="375"/>
        <v>1328</v>
      </c>
      <c r="BE89" s="68">
        <f t="shared" ref="BE89:BJ89" si="376">BE79-BE84-BE86-BE88</f>
        <v>390</v>
      </c>
      <c r="BF89" s="68">
        <f t="shared" si="376"/>
        <v>387</v>
      </c>
      <c r="BG89" s="68">
        <f t="shared" si="376"/>
        <v>388</v>
      </c>
      <c r="BH89" s="68">
        <f t="shared" si="376"/>
        <v>361</v>
      </c>
      <c r="BI89" s="1112">
        <f t="shared" si="376"/>
        <v>1524</v>
      </c>
      <c r="BJ89" s="68">
        <f t="shared" si="376"/>
        <v>411</v>
      </c>
      <c r="BK89" s="68">
        <f t="shared" ref="BK89:BP89" si="377">BK79-BK84-BK86-BK88</f>
        <v>410</v>
      </c>
      <c r="BL89" s="68">
        <f t="shared" si="377"/>
        <v>445</v>
      </c>
      <c r="BM89" s="68">
        <f t="shared" si="377"/>
        <v>463</v>
      </c>
      <c r="BN89" s="1112">
        <f t="shared" si="377"/>
        <v>1731</v>
      </c>
      <c r="BO89" s="68">
        <f t="shared" si="377"/>
        <v>521</v>
      </c>
      <c r="BP89" s="68">
        <f t="shared" si="377"/>
        <v>551</v>
      </c>
      <c r="BQ89" s="68">
        <f t="shared" ref="BQ89:BV89" si="378">BQ79-BQ84-BQ86-BQ88</f>
        <v>589</v>
      </c>
      <c r="BR89" s="68">
        <f t="shared" si="378"/>
        <v>646</v>
      </c>
      <c r="BS89" s="1112">
        <f t="shared" si="378"/>
        <v>2304</v>
      </c>
      <c r="BT89" s="68">
        <f t="shared" si="378"/>
        <v>685</v>
      </c>
      <c r="BU89" s="68">
        <f t="shared" si="378"/>
        <v>739</v>
      </c>
      <c r="BV89" s="68">
        <f t="shared" si="378"/>
        <v>751</v>
      </c>
      <c r="BW89" s="68">
        <f>BW79-BW84-BW86-BW88</f>
        <v>928</v>
      </c>
      <c r="BX89" s="1112">
        <f>BX79-BX84-BX86-BX88</f>
        <v>3102</v>
      </c>
      <c r="BY89" s="588">
        <f>BY79-BY84-BY86-BY88</f>
        <v>1295</v>
      </c>
      <c r="BZ89" s="68">
        <f>BZ91*BZ44</f>
        <v>1892.3126398680015</v>
      </c>
      <c r="CA89" s="68">
        <f>CA91*CA44</f>
        <v>1205.8973757148369</v>
      </c>
      <c r="CB89" s="68">
        <f>CB91*CB44</f>
        <v>1280.4450746400105</v>
      </c>
      <c r="CC89" s="1112">
        <f>SUM(BY89,BZ89,CA89,CB89)</f>
        <v>5673.6550902228491</v>
      </c>
      <c r="CD89" s="68">
        <f>CD91*CD44</f>
        <v>1674.3612969429639</v>
      </c>
      <c r="CE89" s="68">
        <f>CE91*CE44</f>
        <v>2448.6692754581968</v>
      </c>
      <c r="CF89" s="68">
        <f>CF91*CF44</f>
        <v>1504.4229716170225</v>
      </c>
      <c r="CG89" s="68">
        <f>CG91*CG44</f>
        <v>1592.875998062442</v>
      </c>
      <c r="CH89" s="1112">
        <f>SUM(CD89,CE89,CF89,CG89)</f>
        <v>7220.3295420806244</v>
      </c>
      <c r="CI89" s="1112">
        <f>CI91*CI44</f>
        <v>8341.2533794559131</v>
      </c>
      <c r="CJ89" s="1112">
        <f>CJ91*CJ44</f>
        <v>9479.9177535295421</v>
      </c>
      <c r="CK89" s="1112">
        <f>CK91*CK44</f>
        <v>10764.981972143703</v>
      </c>
      <c r="CL89" s="155"/>
    </row>
    <row r="90" spans="1:90" x14ac:dyDescent="0.3">
      <c r="A90" s="371" t="s">
        <v>723</v>
      </c>
      <c r="B90" s="582"/>
      <c r="C90" s="1115"/>
      <c r="D90" s="1115">
        <f t="shared" ref="D90:E90" si="379">D89/C89-1</f>
        <v>7.7072467702011815E-2</v>
      </c>
      <c r="E90" s="1115">
        <f t="shared" si="379"/>
        <v>-1.7614074458541906E-2</v>
      </c>
      <c r="F90" s="1115">
        <f>F89/E89-1</f>
        <v>7.2199045937906492E-2</v>
      </c>
      <c r="G90" s="90"/>
      <c r="H90" s="90"/>
      <c r="I90" s="90"/>
      <c r="J90" s="90"/>
      <c r="K90" s="1115">
        <f t="shared" ref="K90:BD90" si="380">K89/F89-1</f>
        <v>1.3093769849295001E-2</v>
      </c>
      <c r="L90" s="90">
        <f t="shared" si="380"/>
        <v>2.173491379310355E-2</v>
      </c>
      <c r="M90" s="90">
        <f t="shared" si="380"/>
        <v>5.2139452070530057E-2</v>
      </c>
      <c r="N90" s="90">
        <f t="shared" si="380"/>
        <v>2.3809795183332039E-2</v>
      </c>
      <c r="O90" s="90">
        <f t="shared" si="380"/>
        <v>0.12158296249205325</v>
      </c>
      <c r="P90" s="1115">
        <f t="shared" si="380"/>
        <v>5.4416891587944161E-2</v>
      </c>
      <c r="Q90" s="90">
        <f t="shared" si="380"/>
        <v>7.1485071242498588E-2</v>
      </c>
      <c r="R90" s="90">
        <f t="shared" si="380"/>
        <v>9.1774570386706555E-2</v>
      </c>
      <c r="S90" s="90">
        <f t="shared" si="380"/>
        <v>0.13848996949658243</v>
      </c>
      <c r="T90" s="90">
        <f t="shared" si="380"/>
        <v>2.0445758011296E-3</v>
      </c>
      <c r="U90" s="1115">
        <f t="shared" si="380"/>
        <v>7.4195741730771925E-2</v>
      </c>
      <c r="V90" s="90">
        <f t="shared" si="380"/>
        <v>0.15163147792706333</v>
      </c>
      <c r="W90" s="90">
        <f t="shared" si="380"/>
        <v>0.30000000000000004</v>
      </c>
      <c r="X90" s="90">
        <f t="shared" si="380"/>
        <v>0.2809731484559872</v>
      </c>
      <c r="Y90" s="90">
        <f t="shared" si="380"/>
        <v>0.38383838383838387</v>
      </c>
      <c r="Z90" s="1115">
        <f t="shared" si="380"/>
        <v>0.28332104621693333</v>
      </c>
      <c r="AA90" s="90">
        <f t="shared" si="380"/>
        <v>0.14529914529914523</v>
      </c>
      <c r="AB90" s="90">
        <f t="shared" si="380"/>
        <v>0</v>
      </c>
      <c r="AC90" s="90">
        <f t="shared" si="380"/>
        <v>8.3969465648854991E-2</v>
      </c>
      <c r="AD90" s="90">
        <f t="shared" si="380"/>
        <v>7.2992700729926918E-2</v>
      </c>
      <c r="AE90" s="1115">
        <f t="shared" si="380"/>
        <v>6.9632495164410058E-2</v>
      </c>
      <c r="AF90" s="90">
        <f t="shared" si="380"/>
        <v>0.11940298507462677</v>
      </c>
      <c r="AG90" s="90">
        <f t="shared" si="380"/>
        <v>0.25384615384615383</v>
      </c>
      <c r="AH90" s="90">
        <f t="shared" si="380"/>
        <v>0.19718309859154926</v>
      </c>
      <c r="AI90" s="90">
        <f t="shared" si="380"/>
        <v>0.17006802721088432</v>
      </c>
      <c r="AJ90" s="1115">
        <f t="shared" si="380"/>
        <v>0.18264014466546108</v>
      </c>
      <c r="AK90" s="90">
        <f t="shared" si="380"/>
        <v>0.21999999999999997</v>
      </c>
      <c r="AL90" s="90">
        <f t="shared" si="380"/>
        <v>0.15337423312883436</v>
      </c>
      <c r="AM90" s="90">
        <f t="shared" si="380"/>
        <v>0.23529411764705888</v>
      </c>
      <c r="AN90" s="90">
        <f t="shared" si="380"/>
        <v>0.2441860465116279</v>
      </c>
      <c r="AO90" s="1115">
        <f t="shared" si="380"/>
        <v>0.21712538226299705</v>
      </c>
      <c r="AP90" s="90">
        <f t="shared" si="380"/>
        <v>8.1967213114754189E-2</v>
      </c>
      <c r="AQ90" s="90">
        <f t="shared" si="380"/>
        <v>1.5957446808510634E-2</v>
      </c>
      <c r="AR90" s="90">
        <f t="shared" si="380"/>
        <v>-2.8571428571428581E-2</v>
      </c>
      <c r="AS90" s="90">
        <f t="shared" si="380"/>
        <v>-4.6728971962616273E-3</v>
      </c>
      <c r="AT90" s="1115">
        <f t="shared" si="380"/>
        <v>8.793969849246297E-3</v>
      </c>
      <c r="AU90" s="90">
        <f t="shared" si="380"/>
        <v>0.1212121212121211</v>
      </c>
      <c r="AV90" s="90">
        <f t="shared" si="380"/>
        <v>0.40837696335078544</v>
      </c>
      <c r="AW90" s="90">
        <f t="shared" si="380"/>
        <v>0.41176470588235303</v>
      </c>
      <c r="AX90" s="90">
        <f t="shared" si="380"/>
        <v>0.4460093896713615</v>
      </c>
      <c r="AY90" s="1115">
        <f t="shared" si="380"/>
        <v>0.35616438356164393</v>
      </c>
      <c r="AZ90" s="90">
        <f t="shared" si="380"/>
        <v>0.40990990990990994</v>
      </c>
      <c r="BA90" s="90">
        <f t="shared" si="380"/>
        <v>0.18587360594795532</v>
      </c>
      <c r="BB90" s="90">
        <f t="shared" si="380"/>
        <v>0.1875</v>
      </c>
      <c r="BC90" s="90">
        <f t="shared" si="380"/>
        <v>0.14285714285714279</v>
      </c>
      <c r="BD90" s="1115">
        <f t="shared" si="380"/>
        <v>0.21946740128558306</v>
      </c>
      <c r="BE90" s="90">
        <f t="shared" ref="BE90:BI90" si="381">BE89/AZ89-1</f>
        <v>0.2460063897763578</v>
      </c>
      <c r="BF90" s="90">
        <f t="shared" si="381"/>
        <v>0.21316614420062696</v>
      </c>
      <c r="BG90" s="90">
        <f t="shared" si="381"/>
        <v>0.13450292397660824</v>
      </c>
      <c r="BH90" s="90">
        <f t="shared" si="381"/>
        <v>2.5568181818181879E-2</v>
      </c>
      <c r="BI90" s="1115">
        <f t="shared" si="381"/>
        <v>0.14759036144578319</v>
      </c>
      <c r="BJ90" s="90">
        <f t="shared" ref="BJ90:BN90" si="382">BJ89/BE89-1</f>
        <v>5.3846153846153877E-2</v>
      </c>
      <c r="BK90" s="90">
        <f t="shared" si="382"/>
        <v>5.9431524547803649E-2</v>
      </c>
      <c r="BL90" s="90">
        <f t="shared" si="382"/>
        <v>0.14690721649484528</v>
      </c>
      <c r="BM90" s="90">
        <f t="shared" si="382"/>
        <v>0.2825484764542936</v>
      </c>
      <c r="BN90" s="1115">
        <f t="shared" si="382"/>
        <v>0.13582677165354329</v>
      </c>
      <c r="BO90" s="90">
        <f t="shared" ref="BO90:BS90" si="383">BO89/BJ89-1</f>
        <v>0.26763990267639892</v>
      </c>
      <c r="BP90" s="90">
        <f t="shared" si="383"/>
        <v>0.34390243902439033</v>
      </c>
      <c r="BQ90" s="90">
        <f t="shared" si="383"/>
        <v>0.32359550561797756</v>
      </c>
      <c r="BR90" s="90">
        <f t="shared" si="383"/>
        <v>0.39524838012958963</v>
      </c>
      <c r="BS90" s="1115">
        <f t="shared" si="383"/>
        <v>0.33102253032928952</v>
      </c>
      <c r="BT90" s="90">
        <f t="shared" ref="BT90:CH90" si="384">BT89/BO89-1</f>
        <v>0.31477927063339739</v>
      </c>
      <c r="BU90" s="90">
        <f t="shared" si="384"/>
        <v>0.3411978221415608</v>
      </c>
      <c r="BV90" s="90">
        <f t="shared" si="384"/>
        <v>0.27504244482173168</v>
      </c>
      <c r="BW90" s="90">
        <f t="shared" si="384"/>
        <v>0.43653250773993801</v>
      </c>
      <c r="BX90" s="1115">
        <f t="shared" si="384"/>
        <v>0.34635416666666674</v>
      </c>
      <c r="BY90" s="892">
        <f>BY89/BT89-1</f>
        <v>0.89051094890510951</v>
      </c>
      <c r="BZ90" s="90">
        <f t="shared" si="384"/>
        <v>1.5606395668037911</v>
      </c>
      <c r="CA90" s="90">
        <f t="shared" si="384"/>
        <v>0.60572220468020888</v>
      </c>
      <c r="CB90" s="90">
        <f t="shared" si="384"/>
        <v>0.37978995112070102</v>
      </c>
      <c r="CC90" s="1115">
        <f t="shared" si="384"/>
        <v>0.82903129923367147</v>
      </c>
      <c r="CD90" s="90">
        <f t="shared" si="384"/>
        <v>0.29294308644244316</v>
      </c>
      <c r="CE90" s="90">
        <f t="shared" si="384"/>
        <v>0.29400883546864853</v>
      </c>
      <c r="CF90" s="90">
        <f t="shared" si="384"/>
        <v>0.24755472722148042</v>
      </c>
      <c r="CG90" s="90">
        <f t="shared" si="384"/>
        <v>0.2440018159390942</v>
      </c>
      <c r="CH90" s="1115">
        <f t="shared" si="384"/>
        <v>0.27260635820515211</v>
      </c>
      <c r="CI90" s="1115">
        <f>CI89/CH89-1</f>
        <v>0.15524552319149154</v>
      </c>
      <c r="CJ90" s="1115">
        <f>CJ89/CI89-1</f>
        <v>0.13650998504350698</v>
      </c>
      <c r="CK90" s="1115">
        <f>CK89/CJ89-1</f>
        <v>0.1355564733813972</v>
      </c>
      <c r="CL90" s="155"/>
    </row>
    <row r="91" spans="1:90" x14ac:dyDescent="0.3">
      <c r="A91" s="621" t="s">
        <v>616</v>
      </c>
      <c r="B91" s="202"/>
      <c r="C91" s="1128">
        <f t="shared" ref="C91:AH91" si="385">C89/C44</f>
        <v>9.0357588443787024E-2</v>
      </c>
      <c r="D91" s="1128">
        <f t="shared" si="385"/>
        <v>0.10020096529478166</v>
      </c>
      <c r="E91" s="1128">
        <f t="shared" si="385"/>
        <v>9.2411358986755038E-2</v>
      </c>
      <c r="F91" s="1128">
        <f t="shared" si="385"/>
        <v>8.7816194880850837E-2</v>
      </c>
      <c r="G91" s="315">
        <f t="shared" si="385"/>
        <v>0.10033766652214295</v>
      </c>
      <c r="H91" s="315">
        <f t="shared" si="385"/>
        <v>8.3364455552682737E-2</v>
      </c>
      <c r="I91" s="315">
        <f t="shared" si="385"/>
        <v>7.2864605393194976E-2</v>
      </c>
      <c r="J91" s="315">
        <f t="shared" si="385"/>
        <v>7.9580667484565062E-2</v>
      </c>
      <c r="K91" s="1128">
        <f t="shared" si="385"/>
        <v>8.3099716622676872E-2</v>
      </c>
      <c r="L91" s="315">
        <f t="shared" si="385"/>
        <v>9.9311958556212748E-2</v>
      </c>
      <c r="M91" s="315">
        <f t="shared" si="385"/>
        <v>9.3727423616355485E-2</v>
      </c>
      <c r="N91" s="315">
        <f t="shared" si="385"/>
        <v>8.5226577302704914E-2</v>
      </c>
      <c r="O91" s="315">
        <f t="shared" si="385"/>
        <v>8.6345434174256983E-2</v>
      </c>
      <c r="P91" s="1128">
        <f t="shared" si="385"/>
        <v>9.0807506053268761E-2</v>
      </c>
      <c r="Q91" s="315">
        <f t="shared" si="385"/>
        <v>9.2107887579329098E-2</v>
      </c>
      <c r="R91" s="315">
        <f t="shared" si="385"/>
        <v>9.0661831368993653E-2</v>
      </c>
      <c r="S91" s="315">
        <f t="shared" si="385"/>
        <v>8.3482448979591839E-2</v>
      </c>
      <c r="T91" s="315">
        <f t="shared" si="385"/>
        <v>7.9136690647482008E-2</v>
      </c>
      <c r="U91" s="1128">
        <f t="shared" si="385"/>
        <v>8.6044639043143953E-2</v>
      </c>
      <c r="V91" s="315">
        <f t="shared" si="385"/>
        <v>0.10165073848827107</v>
      </c>
      <c r="W91" s="315">
        <f t="shared" si="385"/>
        <v>0.11274934952298352</v>
      </c>
      <c r="X91" s="315">
        <f t="shared" si="385"/>
        <v>0.10038314176245211</v>
      </c>
      <c r="Y91" s="315">
        <f t="shared" si="385"/>
        <v>9.7787294789436111E-2</v>
      </c>
      <c r="Z91" s="1128">
        <f t="shared" si="385"/>
        <v>0.1031936127744511</v>
      </c>
      <c r="AA91" s="315">
        <f t="shared" si="385"/>
        <v>0.10268199233716475</v>
      </c>
      <c r="AB91" s="315">
        <f t="shared" si="385"/>
        <v>9.1036414565826326E-2</v>
      </c>
      <c r="AC91" s="315">
        <f t="shared" si="385"/>
        <v>7.0858283433133731E-2</v>
      </c>
      <c r="AD91" s="315">
        <f t="shared" si="385"/>
        <v>6.7648412333179933E-2</v>
      </c>
      <c r="AE91" s="1128">
        <f t="shared" si="385"/>
        <v>8.002894356005788E-2</v>
      </c>
      <c r="AF91" s="315">
        <f t="shared" si="385"/>
        <v>7.7439339184305622E-2</v>
      </c>
      <c r="AG91" s="315">
        <f t="shared" si="385"/>
        <v>7.3094170403587441E-2</v>
      </c>
      <c r="AH91" s="315">
        <f t="shared" si="385"/>
        <v>6.4491654021244307E-2</v>
      </c>
      <c r="AI91" s="315">
        <f t="shared" ref="AI91:BE91" si="386">AI89/AI44</f>
        <v>5.9086224665063553E-2</v>
      </c>
      <c r="AJ91" s="1128">
        <f t="shared" si="386"/>
        <v>6.732550957381099E-2</v>
      </c>
      <c r="AK91" s="315">
        <f t="shared" si="386"/>
        <v>5.7062675397567819E-2</v>
      </c>
      <c r="AL91" s="315">
        <f t="shared" si="386"/>
        <v>6.0198527057316681E-2</v>
      </c>
      <c r="AM91" s="315">
        <f t="shared" si="386"/>
        <v>6.6016975793775537E-2</v>
      </c>
      <c r="AN91" s="315">
        <f t="shared" si="386"/>
        <v>9.7052154195011342E-2</v>
      </c>
      <c r="AO91" s="1128">
        <f t="shared" si="386"/>
        <v>6.7941276886309326E-2</v>
      </c>
      <c r="AP91" s="315">
        <f t="shared" si="386"/>
        <v>8.9189189189189194E-2</v>
      </c>
      <c r="AQ91" s="315">
        <f t="shared" si="386"/>
        <v>7.4059713067080257E-2</v>
      </c>
      <c r="AR91" s="315">
        <f t="shared" si="386"/>
        <v>6.7684140676841406E-2</v>
      </c>
      <c r="AS91" s="315">
        <f t="shared" si="386"/>
        <v>6.8599033816425126E-2</v>
      </c>
      <c r="AT91" s="1128">
        <f t="shared" si="386"/>
        <v>7.354826891372046E-2</v>
      </c>
      <c r="AU91" s="315">
        <f t="shared" si="386"/>
        <v>7.2077922077922074E-2</v>
      </c>
      <c r="AV91" s="315">
        <f t="shared" si="386"/>
        <v>6.958096223486808E-2</v>
      </c>
      <c r="AW91" s="315">
        <f t="shared" si="386"/>
        <v>6.0939483707151923E-2</v>
      </c>
      <c r="AX91" s="315">
        <f t="shared" si="386"/>
        <v>6.1563062162702381E-2</v>
      </c>
      <c r="AY91" s="1128">
        <f t="shared" si="386"/>
        <v>6.5307346326836588E-2</v>
      </c>
      <c r="AZ91" s="315">
        <f t="shared" si="386"/>
        <v>5.5290584702349412E-2</v>
      </c>
      <c r="BA91" s="315">
        <f t="shared" si="386"/>
        <v>4.9024127862302133E-2</v>
      </c>
      <c r="BB91" s="315">
        <f t="shared" si="386"/>
        <v>4.8148669576235391E-2</v>
      </c>
      <c r="BC91" s="315">
        <f t="shared" si="386"/>
        <v>4.6055213921235121E-2</v>
      </c>
      <c r="BD91" s="1128">
        <f t="shared" si="386"/>
        <v>4.9342349706472464E-2</v>
      </c>
      <c r="BE91" s="315">
        <f t="shared" si="386"/>
        <v>4.7055984555984559E-2</v>
      </c>
      <c r="BF91" s="315">
        <f t="shared" ref="BF91:BK91" si="387">BF89/BF44</f>
        <v>5.7726730310262528E-2</v>
      </c>
      <c r="BG91" s="315">
        <f t="shared" si="387"/>
        <v>6.5418984994098803E-2</v>
      </c>
      <c r="BH91" s="315">
        <f t="shared" si="387"/>
        <v>5.9659560403239137E-2</v>
      </c>
      <c r="BI91" s="1128">
        <f t="shared" si="387"/>
        <v>5.6498850745162005E-2</v>
      </c>
      <c r="BJ91" s="315">
        <f t="shared" si="387"/>
        <v>5.7146829810901002E-2</v>
      </c>
      <c r="BK91" s="315">
        <f t="shared" si="387"/>
        <v>3.0354630932109276E-2</v>
      </c>
      <c r="BL91" s="315">
        <f t="shared" ref="BL91:BQ91" si="388">BL89/BL44</f>
        <v>2.4558498896247241E-2</v>
      </c>
      <c r="BM91" s="315">
        <f t="shared" si="388"/>
        <v>2.0947382708229653E-2</v>
      </c>
      <c r="BN91" s="1128">
        <f t="shared" si="388"/>
        <v>2.8413381044614425E-2</v>
      </c>
      <c r="BO91" s="315">
        <f t="shared" si="388"/>
        <v>2.0004607587160189E-2</v>
      </c>
      <c r="BP91" s="315">
        <f t="shared" si="388"/>
        <v>1.8342210386151799E-2</v>
      </c>
      <c r="BQ91" s="315">
        <f t="shared" si="388"/>
        <v>1.6789236645573229E-2</v>
      </c>
      <c r="BR91" s="315">
        <f t="shared" ref="BR91:BX91" si="389">BR89/BR44</f>
        <v>1.642470316035697E-2</v>
      </c>
      <c r="BS91" s="1128">
        <f t="shared" si="389"/>
        <v>1.7655578289156072E-2</v>
      </c>
      <c r="BT91" s="315">
        <f t="shared" si="389"/>
        <v>1.5546275702419319E-2</v>
      </c>
      <c r="BU91" s="315">
        <f t="shared" si="389"/>
        <v>1.5809853881864663E-2</v>
      </c>
      <c r="BV91" s="315">
        <f t="shared" si="389"/>
        <v>1.3174051854190787E-2</v>
      </c>
      <c r="BW91" s="315">
        <f t="shared" si="389"/>
        <v>1.3621618447898777E-2</v>
      </c>
      <c r="BX91" s="1128">
        <f t="shared" si="389"/>
        <v>1.4365234465448415E-2</v>
      </c>
      <c r="BY91" s="897">
        <f>BY89/BY44</f>
        <v>1.5867181277951357E-2</v>
      </c>
      <c r="BZ91" s="315">
        <f>BU91-BZ92/10000</f>
        <v>2.0809853881864664E-2</v>
      </c>
      <c r="CA91" s="315">
        <f>BV91-CA92/10000</f>
        <v>1.3174051854190787E-2</v>
      </c>
      <c r="CB91" s="315">
        <f>BW91-CB92/10000</f>
        <v>1.3621618447898777E-2</v>
      </c>
      <c r="CC91" s="1128">
        <f>CC89/CC44</f>
        <v>1.5844426009357017E-2</v>
      </c>
      <c r="CD91" s="315">
        <f>BY91-CD92/10000</f>
        <v>1.5867181277951357E-2</v>
      </c>
      <c r="CE91" s="315">
        <f>BZ91-CE92/10000</f>
        <v>2.0809853881864664E-2</v>
      </c>
      <c r="CF91" s="315">
        <f>CA91-CF92/10000</f>
        <v>1.3174051854190787E-2</v>
      </c>
      <c r="CG91" s="315">
        <f>CB91-CG92/10000</f>
        <v>1.3621618447898777E-2</v>
      </c>
      <c r="CH91" s="1128">
        <f>CH89/CH44</f>
        <v>1.5892413163582076E-2</v>
      </c>
      <c r="CI91" s="1128">
        <f>CH91-CI92/10000</f>
        <v>1.5392413163582076E-2</v>
      </c>
      <c r="CJ91" s="1128">
        <f>CI91-CJ92/10000</f>
        <v>1.4892413163582075E-2</v>
      </c>
      <c r="CK91" s="1128">
        <f>CJ91-CK92/10000</f>
        <v>1.4392413163582075E-2</v>
      </c>
      <c r="CL91" s="155"/>
    </row>
    <row r="92" spans="1:90" x14ac:dyDescent="0.3">
      <c r="A92" s="99" t="s">
        <v>724</v>
      </c>
      <c r="B92" s="598"/>
      <c r="C92" s="1112"/>
      <c r="D92" s="1112">
        <f t="shared" ref="D92:E92" si="390">-(D91-C91)*10000</f>
        <v>-98.433768509946361</v>
      </c>
      <c r="E92" s="1112">
        <f t="shared" si="390"/>
        <v>77.896063080266231</v>
      </c>
      <c r="F92" s="1112">
        <f>-(F91-E91)*10000</f>
        <v>45.951641059042011</v>
      </c>
      <c r="G92" s="68"/>
      <c r="H92" s="68"/>
      <c r="I92" s="68"/>
      <c r="J92" s="68"/>
      <c r="K92" s="1112">
        <f t="shared" ref="K92:BD92" si="391">-(K91-F91)*10000</f>
        <v>47.164782581739644</v>
      </c>
      <c r="L92" s="68">
        <f t="shared" si="391"/>
        <v>10.257079659301976</v>
      </c>
      <c r="M92" s="68">
        <f t="shared" si="391"/>
        <v>-103.62968063672747</v>
      </c>
      <c r="N92" s="68">
        <f t="shared" si="391"/>
        <v>-123.61971909509938</v>
      </c>
      <c r="O92" s="68">
        <f t="shared" si="391"/>
        <v>-67.647666896919205</v>
      </c>
      <c r="P92" s="1112">
        <f t="shared" si="391"/>
        <v>-77.077894305918875</v>
      </c>
      <c r="Q92" s="68">
        <f t="shared" si="391"/>
        <v>72.040709768836507</v>
      </c>
      <c r="R92" s="68">
        <f t="shared" si="391"/>
        <v>30.655922473618315</v>
      </c>
      <c r="S92" s="68">
        <f t="shared" si="391"/>
        <v>17.441283231130754</v>
      </c>
      <c r="T92" s="68">
        <f t="shared" si="391"/>
        <v>72.08743526774974</v>
      </c>
      <c r="U92" s="1112">
        <f t="shared" si="391"/>
        <v>47.628670101248076</v>
      </c>
      <c r="V92" s="68">
        <f t="shared" si="391"/>
        <v>-95.428509089419691</v>
      </c>
      <c r="W92" s="68">
        <f t="shared" si="391"/>
        <v>-220.87518153989862</v>
      </c>
      <c r="X92" s="68">
        <f t="shared" si="391"/>
        <v>-169.00692782860273</v>
      </c>
      <c r="Y92" s="68">
        <f t="shared" si="391"/>
        <v>-186.50604141954102</v>
      </c>
      <c r="Z92" s="1112">
        <f t="shared" si="391"/>
        <v>-171.48973731307152</v>
      </c>
      <c r="AA92" s="68">
        <f t="shared" si="391"/>
        <v>-10.312538488936873</v>
      </c>
      <c r="AB92" s="68">
        <f t="shared" si="391"/>
        <v>217.12934957157191</v>
      </c>
      <c r="AC92" s="68">
        <f t="shared" si="391"/>
        <v>295.2485832931838</v>
      </c>
      <c r="AD92" s="68">
        <f t="shared" si="391"/>
        <v>301.38882456256175</v>
      </c>
      <c r="AE92" s="1112">
        <f t="shared" si="391"/>
        <v>231.64669214393226</v>
      </c>
      <c r="AF92" s="68">
        <f t="shared" si="391"/>
        <v>252.42653152859131</v>
      </c>
      <c r="AG92" s="68">
        <f t="shared" si="391"/>
        <v>179.42244162238885</v>
      </c>
      <c r="AH92" s="68">
        <f t="shared" si="391"/>
        <v>63.666294118894243</v>
      </c>
      <c r="AI92" s="68">
        <f t="shared" si="391"/>
        <v>85.621876681163812</v>
      </c>
      <c r="AJ92" s="1112">
        <f t="shared" si="391"/>
        <v>127.0343398624689</v>
      </c>
      <c r="AK92" s="68">
        <f t="shared" si="391"/>
        <v>203.76663786737802</v>
      </c>
      <c r="AL92" s="68">
        <f t="shared" si="391"/>
        <v>128.95643346270759</v>
      </c>
      <c r="AM92" s="68">
        <f t="shared" si="391"/>
        <v>-15.253217725312297</v>
      </c>
      <c r="AN92" s="68">
        <f t="shared" si="391"/>
        <v>-379.65929529947789</v>
      </c>
      <c r="AO92" s="1112">
        <f t="shared" si="391"/>
        <v>-6.1576731249833596</v>
      </c>
      <c r="AP92" s="68">
        <f t="shared" si="391"/>
        <v>-321.26513791621375</v>
      </c>
      <c r="AQ92" s="68">
        <f t="shared" si="391"/>
        <v>-138.61186009763577</v>
      </c>
      <c r="AR92" s="68">
        <f t="shared" si="391"/>
        <v>-16.671648830658693</v>
      </c>
      <c r="AS92" s="68">
        <f t="shared" si="391"/>
        <v>284.53120378586215</v>
      </c>
      <c r="AT92" s="1112">
        <f t="shared" si="391"/>
        <v>-56.06992027411134</v>
      </c>
      <c r="AU92" s="68">
        <f t="shared" si="391"/>
        <v>171.11267111267119</v>
      </c>
      <c r="AV92" s="68">
        <f t="shared" si="391"/>
        <v>44.787508322121781</v>
      </c>
      <c r="AW92" s="68">
        <f t="shared" si="391"/>
        <v>67.446569696894827</v>
      </c>
      <c r="AX92" s="68">
        <f t="shared" si="391"/>
        <v>70.359716537227442</v>
      </c>
      <c r="AY92" s="1112">
        <f t="shared" si="391"/>
        <v>82.409225868838732</v>
      </c>
      <c r="AZ92" s="68">
        <f t="shared" si="391"/>
        <v>167.87337375572662</v>
      </c>
      <c r="BA92" s="68">
        <f t="shared" si="391"/>
        <v>205.56834372565947</v>
      </c>
      <c r="BB92" s="68">
        <f t="shared" si="391"/>
        <v>127.90814130916532</v>
      </c>
      <c r="BC92" s="68">
        <f t="shared" si="391"/>
        <v>155.07848241467261</v>
      </c>
      <c r="BD92" s="1112">
        <f t="shared" si="391"/>
        <v>159.64996620364124</v>
      </c>
      <c r="BE92" s="68">
        <f t="shared" ref="BE92:BJ92" si="392">-(BE91-AZ91)*10000</f>
        <v>82.34600146364852</v>
      </c>
      <c r="BF92" s="68">
        <f t="shared" si="392"/>
        <v>-87.026024479603947</v>
      </c>
      <c r="BG92" s="68">
        <f t="shared" si="392"/>
        <v>-172.70315417863412</v>
      </c>
      <c r="BH92" s="68">
        <f t="shared" si="392"/>
        <v>-136.04346482004016</v>
      </c>
      <c r="BI92" s="1112">
        <f t="shared" si="392"/>
        <v>-71.565010386895409</v>
      </c>
      <c r="BJ92" s="68">
        <f t="shared" si="392"/>
        <v>-100.90845254916444</v>
      </c>
      <c r="BK92" s="68">
        <f t="shared" ref="BK92:BP92" si="393">-(BK91-BF91)*10000</f>
        <v>273.72099378153251</v>
      </c>
      <c r="BL92" s="68">
        <f t="shared" si="393"/>
        <v>408.6048609785156</v>
      </c>
      <c r="BM92" s="68">
        <f t="shared" si="393"/>
        <v>387.12177695009478</v>
      </c>
      <c r="BN92" s="1112">
        <f t="shared" si="393"/>
        <v>280.85469700547583</v>
      </c>
      <c r="BO92" s="68">
        <f t="shared" si="393"/>
        <v>371.42222223740811</v>
      </c>
      <c r="BP92" s="68">
        <f t="shared" si="393"/>
        <v>120.12420545957477</v>
      </c>
      <c r="BQ92" s="68">
        <f t="shared" ref="BQ92:BV92" si="394">-(BQ91-BL91)*10000</f>
        <v>77.692622506740122</v>
      </c>
      <c r="BR92" s="68">
        <f t="shared" si="394"/>
        <v>45.226795478726828</v>
      </c>
      <c r="BS92" s="1112">
        <f t="shared" si="394"/>
        <v>107.57802755458353</v>
      </c>
      <c r="BT92" s="68">
        <f t="shared" si="394"/>
        <v>44.583318847408705</v>
      </c>
      <c r="BU92" s="68">
        <f t="shared" si="394"/>
        <v>25.323565042871358</v>
      </c>
      <c r="BV92" s="68">
        <f t="shared" si="394"/>
        <v>36.151847913824426</v>
      </c>
      <c r="BW92" s="68">
        <f>-(BW91-BR91)*10000</f>
        <v>28.030847124581921</v>
      </c>
      <c r="BX92" s="1112">
        <f>-(BX91-BS91)*10000</f>
        <v>32.903438237076571</v>
      </c>
      <c r="BY92" s="588">
        <f>-(BY91-BT91)*10000</f>
        <v>-3.2090557553203851</v>
      </c>
      <c r="BZ92" s="1055">
        <v>-50</v>
      </c>
      <c r="CA92" s="1055">
        <v>0</v>
      </c>
      <c r="CB92" s="1055">
        <v>0</v>
      </c>
      <c r="CC92" s="1112">
        <f>-(CC91-BX91)*10000</f>
        <v>-14.791915439086017</v>
      </c>
      <c r="CD92" s="1055">
        <v>0</v>
      </c>
      <c r="CE92" s="1055">
        <v>0</v>
      </c>
      <c r="CF92" s="1055">
        <v>0</v>
      </c>
      <c r="CG92" s="1055">
        <v>0</v>
      </c>
      <c r="CH92" s="1112">
        <f>-(CH91-CC91)*10000</f>
        <v>-0.47987154225059142</v>
      </c>
      <c r="CI92" s="1113">
        <v>5</v>
      </c>
      <c r="CJ92" s="1113">
        <v>5</v>
      </c>
      <c r="CK92" s="1113">
        <v>5</v>
      </c>
      <c r="CL92" s="155"/>
    </row>
    <row r="93" spans="1:90" x14ac:dyDescent="0.3">
      <c r="A93" s="99"/>
      <c r="B93" s="598"/>
      <c r="C93" s="1112"/>
      <c r="D93" s="1112"/>
      <c r="E93" s="1112"/>
      <c r="F93" s="1112"/>
      <c r="G93" s="68"/>
      <c r="H93" s="68"/>
      <c r="I93" s="68"/>
      <c r="J93" s="68"/>
      <c r="K93" s="1112"/>
      <c r="L93" s="68"/>
      <c r="M93" s="68"/>
      <c r="N93" s="68"/>
      <c r="O93" s="68"/>
      <c r="P93" s="1112"/>
      <c r="Q93" s="68"/>
      <c r="R93" s="68"/>
      <c r="S93" s="68"/>
      <c r="T93" s="68"/>
      <c r="U93" s="1112"/>
      <c r="V93" s="68"/>
      <c r="W93" s="68"/>
      <c r="X93" s="68"/>
      <c r="Y93" s="68"/>
      <c r="Z93" s="1112"/>
      <c r="AA93" s="68"/>
      <c r="AB93" s="68"/>
      <c r="AC93" s="68"/>
      <c r="AD93" s="68"/>
      <c r="AE93" s="1112"/>
      <c r="AF93" s="68"/>
      <c r="AG93" s="68"/>
      <c r="AH93" s="68"/>
      <c r="AI93" s="68"/>
      <c r="AJ93" s="1112"/>
      <c r="AK93" s="68"/>
      <c r="AL93" s="68"/>
      <c r="AM93" s="68"/>
      <c r="AN93" s="68"/>
      <c r="AO93" s="1112"/>
      <c r="AP93" s="68"/>
      <c r="AQ93" s="68"/>
      <c r="AR93" s="68"/>
      <c r="AS93" s="68"/>
      <c r="AT93" s="1112"/>
      <c r="AU93" s="68"/>
      <c r="AV93" s="68"/>
      <c r="AW93" s="68"/>
      <c r="AX93" s="68"/>
      <c r="AY93" s="1112"/>
      <c r="AZ93" s="68"/>
      <c r="BA93" s="68"/>
      <c r="BB93" s="68"/>
      <c r="BC93" s="68"/>
      <c r="BD93" s="1112"/>
      <c r="BE93" s="68"/>
      <c r="BF93" s="68"/>
      <c r="BG93" s="68"/>
      <c r="BH93" s="68"/>
      <c r="BI93" s="1112"/>
      <c r="BJ93" s="68"/>
      <c r="BK93" s="68"/>
      <c r="BL93" s="68"/>
      <c r="BM93" s="68"/>
      <c r="BN93" s="1112"/>
      <c r="BO93" s="68"/>
      <c r="BP93" s="68"/>
      <c r="BQ93" s="68"/>
      <c r="BR93" s="68"/>
      <c r="BS93" s="1112"/>
      <c r="BT93" s="68"/>
      <c r="BU93" s="68"/>
      <c r="BV93" s="68"/>
      <c r="BW93" s="68"/>
      <c r="BX93" s="1112"/>
      <c r="BY93" s="588"/>
      <c r="BZ93" s="68"/>
      <c r="CA93" s="68"/>
      <c r="CB93" s="68"/>
      <c r="CC93" s="1112"/>
      <c r="CD93" s="68"/>
      <c r="CE93" s="68"/>
      <c r="CF93" s="68"/>
      <c r="CG93" s="68"/>
      <c r="CH93" s="1112"/>
      <c r="CI93" s="1112"/>
      <c r="CJ93" s="1112"/>
      <c r="CK93" s="1112"/>
      <c r="CL93" s="155"/>
    </row>
    <row r="94" spans="1:90" hidden="1" outlineLevel="1" x14ac:dyDescent="0.3">
      <c r="A94" s="636" t="s">
        <v>812</v>
      </c>
      <c r="B94" s="598"/>
      <c r="C94" s="1112">
        <f t="shared" ref="C94:BD94" si="395">SUM(C305:C307)</f>
        <v>26.867999999999999</v>
      </c>
      <c r="D94" s="1112">
        <f t="shared" si="395"/>
        <v>0</v>
      </c>
      <c r="E94" s="1112">
        <f t="shared" si="395"/>
        <v>-57</v>
      </c>
      <c r="F94" s="1112">
        <f t="shared" si="395"/>
        <v>0</v>
      </c>
      <c r="G94" s="68">
        <f t="shared" si="395"/>
        <v>0</v>
      </c>
      <c r="H94" s="68">
        <f t="shared" si="395"/>
        <v>0</v>
      </c>
      <c r="I94" s="68">
        <f t="shared" si="395"/>
        <v>0</v>
      </c>
      <c r="J94" s="68">
        <f t="shared" si="395"/>
        <v>0</v>
      </c>
      <c r="K94" s="1112">
        <f t="shared" si="395"/>
        <v>0</v>
      </c>
      <c r="L94" s="68">
        <f t="shared" si="395"/>
        <v>0</v>
      </c>
      <c r="M94" s="68">
        <f t="shared" si="395"/>
        <v>0</v>
      </c>
      <c r="N94" s="68">
        <f t="shared" si="395"/>
        <v>0</v>
      </c>
      <c r="O94" s="68">
        <f t="shared" si="395"/>
        <v>0</v>
      </c>
      <c r="P94" s="1112">
        <f t="shared" si="395"/>
        <v>0</v>
      </c>
      <c r="Q94" s="68">
        <f t="shared" si="395"/>
        <v>0</v>
      </c>
      <c r="R94" s="68">
        <f t="shared" si="395"/>
        <v>0</v>
      </c>
      <c r="S94" s="68">
        <f t="shared" si="395"/>
        <v>0</v>
      </c>
      <c r="T94" s="68">
        <f t="shared" si="395"/>
        <v>0</v>
      </c>
      <c r="U94" s="1112">
        <f t="shared" si="395"/>
        <v>0</v>
      </c>
      <c r="V94" s="68">
        <f t="shared" si="395"/>
        <v>0</v>
      </c>
      <c r="W94" s="68">
        <f t="shared" si="395"/>
        <v>89</v>
      </c>
      <c r="X94" s="68">
        <f t="shared" si="395"/>
        <v>8</v>
      </c>
      <c r="Y94" s="68">
        <f t="shared" si="395"/>
        <v>34</v>
      </c>
      <c r="Z94" s="1112">
        <f t="shared" si="395"/>
        <v>131</v>
      </c>
      <c r="AA94" s="68">
        <f t="shared" si="395"/>
        <v>1</v>
      </c>
      <c r="AB94" s="68">
        <f t="shared" si="395"/>
        <v>2</v>
      </c>
      <c r="AC94" s="68">
        <f t="shared" si="395"/>
        <v>0</v>
      </c>
      <c r="AD94" s="68">
        <f t="shared" si="395"/>
        <v>0</v>
      </c>
      <c r="AE94" s="1112">
        <f t="shared" si="395"/>
        <v>3</v>
      </c>
      <c r="AF94" s="68">
        <f t="shared" si="395"/>
        <v>0</v>
      </c>
      <c r="AG94" s="68">
        <f t="shared" si="395"/>
        <v>0</v>
      </c>
      <c r="AH94" s="68">
        <f t="shared" si="395"/>
        <v>0</v>
      </c>
      <c r="AI94" s="68">
        <f t="shared" si="395"/>
        <v>0</v>
      </c>
      <c r="AJ94" s="1112">
        <f t="shared" si="395"/>
        <v>0</v>
      </c>
      <c r="AK94" s="68">
        <f t="shared" si="395"/>
        <v>0</v>
      </c>
      <c r="AL94" s="68">
        <f t="shared" si="395"/>
        <v>0</v>
      </c>
      <c r="AM94" s="68">
        <f t="shared" si="395"/>
        <v>0</v>
      </c>
      <c r="AN94" s="68">
        <f t="shared" si="395"/>
        <v>0</v>
      </c>
      <c r="AO94" s="1112">
        <f t="shared" si="395"/>
        <v>0</v>
      </c>
      <c r="AP94" s="68">
        <f t="shared" si="395"/>
        <v>0</v>
      </c>
      <c r="AQ94" s="68">
        <f t="shared" si="395"/>
        <v>0</v>
      </c>
      <c r="AR94" s="68">
        <f t="shared" si="395"/>
        <v>0</v>
      </c>
      <c r="AS94" s="68">
        <f t="shared" si="395"/>
        <v>0</v>
      </c>
      <c r="AT94" s="1112">
        <f t="shared" si="395"/>
        <v>0</v>
      </c>
      <c r="AU94" s="68">
        <f t="shared" si="395"/>
        <v>0</v>
      </c>
      <c r="AV94" s="68">
        <f t="shared" si="395"/>
        <v>0</v>
      </c>
      <c r="AW94" s="68">
        <f t="shared" si="395"/>
        <v>0</v>
      </c>
      <c r="AX94" s="68">
        <f t="shared" si="395"/>
        <v>0</v>
      </c>
      <c r="AY94" s="1112">
        <f t="shared" si="395"/>
        <v>0</v>
      </c>
      <c r="AZ94" s="68">
        <f t="shared" si="395"/>
        <v>0</v>
      </c>
      <c r="BA94" s="68">
        <f t="shared" si="395"/>
        <v>0</v>
      </c>
      <c r="BB94" s="68">
        <f t="shared" si="395"/>
        <v>0</v>
      </c>
      <c r="BC94" s="68">
        <f t="shared" si="395"/>
        <v>0</v>
      </c>
      <c r="BD94" s="1112">
        <f t="shared" si="395"/>
        <v>0</v>
      </c>
      <c r="BE94" s="68">
        <f t="shared" ref="BE94:BJ94" si="396">SUM(BE305:BE307)</f>
        <v>1353</v>
      </c>
      <c r="BF94" s="68">
        <f t="shared" si="396"/>
        <v>0</v>
      </c>
      <c r="BG94" s="68">
        <f t="shared" si="396"/>
        <v>0</v>
      </c>
      <c r="BH94" s="68">
        <f t="shared" si="396"/>
        <v>0</v>
      </c>
      <c r="BI94" s="1112">
        <f t="shared" si="396"/>
        <v>1353</v>
      </c>
      <c r="BJ94" s="68">
        <f t="shared" si="396"/>
        <v>0</v>
      </c>
      <c r="BK94" s="68">
        <f t="shared" ref="BK94:BP94" si="397">SUM(BK305:BK307)</f>
        <v>0</v>
      </c>
      <c r="BL94" s="68">
        <f t="shared" si="397"/>
        <v>0</v>
      </c>
      <c r="BM94" s="68">
        <f t="shared" si="397"/>
        <v>0</v>
      </c>
      <c r="BN94" s="1112">
        <f t="shared" si="397"/>
        <v>0</v>
      </c>
      <c r="BO94" s="68">
        <f t="shared" si="397"/>
        <v>0</v>
      </c>
      <c r="BP94" s="68">
        <f t="shared" si="397"/>
        <v>0</v>
      </c>
      <c r="BQ94" s="68">
        <f t="shared" ref="BQ94:BV94" si="398">SUM(BQ305:BQ307)</f>
        <v>0</v>
      </c>
      <c r="BR94" s="68">
        <f t="shared" si="398"/>
        <v>0</v>
      </c>
      <c r="BS94" s="1112">
        <f t="shared" si="398"/>
        <v>0</v>
      </c>
      <c r="BT94" s="68">
        <f t="shared" si="398"/>
        <v>0</v>
      </c>
      <c r="BU94" s="68">
        <f t="shared" si="398"/>
        <v>0</v>
      </c>
      <c r="BV94" s="68">
        <f t="shared" si="398"/>
        <v>0</v>
      </c>
      <c r="BW94" s="68">
        <f>SUM(BW305:BW307)</f>
        <v>0</v>
      </c>
      <c r="BX94" s="1112">
        <f>SUM(BX305:BX307)</f>
        <v>0</v>
      </c>
      <c r="BY94" s="588">
        <f>SUM(BY305:BY307)</f>
        <v>0</v>
      </c>
      <c r="BZ94" s="68">
        <f>BZ100+BZ99</f>
        <v>0</v>
      </c>
      <c r="CA94" s="68">
        <f>CA100+CA99</f>
        <v>0</v>
      </c>
      <c r="CB94" s="68">
        <f>CB100+CB99</f>
        <v>0</v>
      </c>
      <c r="CC94" s="1112">
        <f>SUM(BY94,BZ94,CA94,CB94)</f>
        <v>0</v>
      </c>
      <c r="CD94" s="68">
        <f>CD100+CD99</f>
        <v>0</v>
      </c>
      <c r="CE94" s="68">
        <f>CE100+CE99</f>
        <v>0</v>
      </c>
      <c r="CF94" s="68">
        <f>CF100+CF99</f>
        <v>0</v>
      </c>
      <c r="CG94" s="68">
        <f>CG100+CG99</f>
        <v>0</v>
      </c>
      <c r="CH94" s="1112">
        <f>SUM(CD94,CE94,CF94,CG94)</f>
        <v>0</v>
      </c>
      <c r="CI94" s="1112">
        <f>CI100+CI99</f>
        <v>0</v>
      </c>
      <c r="CJ94" s="1112">
        <f>CJ100+CJ99</f>
        <v>0</v>
      </c>
      <c r="CK94" s="1112">
        <f>CK100+CK99</f>
        <v>0</v>
      </c>
      <c r="CL94" s="155"/>
    </row>
    <row r="95" spans="1:90" hidden="1" outlineLevel="1" x14ac:dyDescent="0.3">
      <c r="A95" s="371" t="s">
        <v>813</v>
      </c>
      <c r="B95" s="582"/>
      <c r="C95" s="1115"/>
      <c r="D95" s="1115">
        <f>IFERROR(D94/C94-1,"N/A")</f>
        <v>-1</v>
      </c>
      <c r="E95" s="1115" t="str">
        <f>IFERROR(E94/D94-1,"N/A")</f>
        <v>N/A</v>
      </c>
      <c r="F95" s="1115">
        <f>IFERROR(F94/E94-1,"N/A")</f>
        <v>-1</v>
      </c>
      <c r="G95" s="90"/>
      <c r="H95" s="90"/>
      <c r="I95" s="90"/>
      <c r="J95" s="90"/>
      <c r="K95" s="1115" t="str">
        <f t="shared" ref="K95:BE95" si="399">IFERROR(K94/F94-1,"N/A")</f>
        <v>N/A</v>
      </c>
      <c r="L95" s="90" t="str">
        <f t="shared" si="399"/>
        <v>N/A</v>
      </c>
      <c r="M95" s="90" t="str">
        <f t="shared" si="399"/>
        <v>N/A</v>
      </c>
      <c r="N95" s="90" t="str">
        <f t="shared" si="399"/>
        <v>N/A</v>
      </c>
      <c r="O95" s="90" t="str">
        <f t="shared" si="399"/>
        <v>N/A</v>
      </c>
      <c r="P95" s="1115" t="str">
        <f t="shared" si="399"/>
        <v>N/A</v>
      </c>
      <c r="Q95" s="90" t="str">
        <f t="shared" si="399"/>
        <v>N/A</v>
      </c>
      <c r="R95" s="90" t="str">
        <f t="shared" si="399"/>
        <v>N/A</v>
      </c>
      <c r="S95" s="90" t="str">
        <f t="shared" si="399"/>
        <v>N/A</v>
      </c>
      <c r="T95" s="90" t="str">
        <f t="shared" si="399"/>
        <v>N/A</v>
      </c>
      <c r="U95" s="1115" t="str">
        <f t="shared" si="399"/>
        <v>N/A</v>
      </c>
      <c r="V95" s="90" t="str">
        <f t="shared" si="399"/>
        <v>N/A</v>
      </c>
      <c r="W95" s="90" t="str">
        <f t="shared" si="399"/>
        <v>N/A</v>
      </c>
      <c r="X95" s="90" t="str">
        <f t="shared" si="399"/>
        <v>N/A</v>
      </c>
      <c r="Y95" s="90" t="str">
        <f t="shared" si="399"/>
        <v>N/A</v>
      </c>
      <c r="Z95" s="1115" t="str">
        <f t="shared" si="399"/>
        <v>N/A</v>
      </c>
      <c r="AA95" s="90" t="str">
        <f t="shared" si="399"/>
        <v>N/A</v>
      </c>
      <c r="AB95" s="90">
        <f t="shared" si="399"/>
        <v>-0.97752808988764039</v>
      </c>
      <c r="AC95" s="90">
        <f t="shared" si="399"/>
        <v>-1</v>
      </c>
      <c r="AD95" s="90">
        <f t="shared" si="399"/>
        <v>-1</v>
      </c>
      <c r="AE95" s="1115">
        <f t="shared" si="399"/>
        <v>-0.97709923664122134</v>
      </c>
      <c r="AF95" s="90">
        <f t="shared" si="399"/>
        <v>-1</v>
      </c>
      <c r="AG95" s="90">
        <f t="shared" si="399"/>
        <v>-1</v>
      </c>
      <c r="AH95" s="90" t="str">
        <f t="shared" si="399"/>
        <v>N/A</v>
      </c>
      <c r="AI95" s="90" t="str">
        <f t="shared" si="399"/>
        <v>N/A</v>
      </c>
      <c r="AJ95" s="1115">
        <f t="shared" si="399"/>
        <v>-1</v>
      </c>
      <c r="AK95" s="90" t="str">
        <f t="shared" si="399"/>
        <v>N/A</v>
      </c>
      <c r="AL95" s="90" t="str">
        <f t="shared" si="399"/>
        <v>N/A</v>
      </c>
      <c r="AM95" s="90" t="str">
        <f t="shared" si="399"/>
        <v>N/A</v>
      </c>
      <c r="AN95" s="90" t="str">
        <f t="shared" si="399"/>
        <v>N/A</v>
      </c>
      <c r="AO95" s="1115" t="str">
        <f t="shared" si="399"/>
        <v>N/A</v>
      </c>
      <c r="AP95" s="90" t="str">
        <f t="shared" si="399"/>
        <v>N/A</v>
      </c>
      <c r="AQ95" s="90" t="str">
        <f t="shared" si="399"/>
        <v>N/A</v>
      </c>
      <c r="AR95" s="90" t="str">
        <f t="shared" si="399"/>
        <v>N/A</v>
      </c>
      <c r="AS95" s="90" t="str">
        <f t="shared" si="399"/>
        <v>N/A</v>
      </c>
      <c r="AT95" s="1115" t="str">
        <f t="shared" si="399"/>
        <v>N/A</v>
      </c>
      <c r="AU95" s="90" t="str">
        <f t="shared" si="399"/>
        <v>N/A</v>
      </c>
      <c r="AV95" s="90" t="str">
        <f t="shared" si="399"/>
        <v>N/A</v>
      </c>
      <c r="AW95" s="90" t="str">
        <f t="shared" si="399"/>
        <v>N/A</v>
      </c>
      <c r="AX95" s="90" t="str">
        <f t="shared" si="399"/>
        <v>N/A</v>
      </c>
      <c r="AY95" s="1115" t="str">
        <f t="shared" si="399"/>
        <v>N/A</v>
      </c>
      <c r="AZ95" s="90" t="str">
        <f t="shared" si="399"/>
        <v>N/A</v>
      </c>
      <c r="BA95" s="90" t="str">
        <f t="shared" si="399"/>
        <v>N/A</v>
      </c>
      <c r="BB95" s="90" t="str">
        <f t="shared" si="399"/>
        <v>N/A</v>
      </c>
      <c r="BC95" s="90" t="str">
        <f t="shared" si="399"/>
        <v>N/A</v>
      </c>
      <c r="BD95" s="1115" t="str">
        <f t="shared" si="399"/>
        <v>N/A</v>
      </c>
      <c r="BE95" s="90" t="str">
        <f t="shared" si="399"/>
        <v>N/A</v>
      </c>
      <c r="BF95" s="90" t="str">
        <f t="shared" ref="BF95:BI95" si="400">IFERROR(BF94/BA94-1,"N/A")</f>
        <v>N/A</v>
      </c>
      <c r="BG95" s="90" t="str">
        <f t="shared" si="400"/>
        <v>N/A</v>
      </c>
      <c r="BH95" s="90" t="str">
        <f t="shared" si="400"/>
        <v>N/A</v>
      </c>
      <c r="BI95" s="1115" t="str">
        <f t="shared" si="400"/>
        <v>N/A</v>
      </c>
      <c r="BJ95" s="90">
        <f t="shared" ref="BJ95:BN95" si="401">IFERROR(BJ94/BE94-1,"N/A")</f>
        <v>-1</v>
      </c>
      <c r="BK95" s="90" t="str">
        <f t="shared" si="401"/>
        <v>N/A</v>
      </c>
      <c r="BL95" s="90" t="str">
        <f t="shared" si="401"/>
        <v>N/A</v>
      </c>
      <c r="BM95" s="90" t="str">
        <f t="shared" si="401"/>
        <v>N/A</v>
      </c>
      <c r="BN95" s="1115">
        <f t="shared" si="401"/>
        <v>-1</v>
      </c>
      <c r="BO95" s="90" t="str">
        <f t="shared" ref="BO95:BS95" si="402">IFERROR(BO94/BJ94-1,"N/A")</f>
        <v>N/A</v>
      </c>
      <c r="BP95" s="90" t="str">
        <f t="shared" si="402"/>
        <v>N/A</v>
      </c>
      <c r="BQ95" s="90" t="str">
        <f t="shared" si="402"/>
        <v>N/A</v>
      </c>
      <c r="BR95" s="90" t="str">
        <f t="shared" si="402"/>
        <v>N/A</v>
      </c>
      <c r="BS95" s="1115" t="str">
        <f t="shared" si="402"/>
        <v>N/A</v>
      </c>
      <c r="BT95" s="90" t="str">
        <f t="shared" ref="BT95:CH95" si="403">IFERROR(BT94/BO94-1,"N/A")</f>
        <v>N/A</v>
      </c>
      <c r="BU95" s="90" t="str">
        <f t="shared" si="403"/>
        <v>N/A</v>
      </c>
      <c r="BV95" s="90" t="str">
        <f t="shared" si="403"/>
        <v>N/A</v>
      </c>
      <c r="BW95" s="90" t="str">
        <f t="shared" si="403"/>
        <v>N/A</v>
      </c>
      <c r="BX95" s="1115" t="str">
        <f t="shared" si="403"/>
        <v>N/A</v>
      </c>
      <c r="BY95" s="892" t="str">
        <f>IFERROR(BY94/BT94-1,"N/A")</f>
        <v>N/A</v>
      </c>
      <c r="BZ95" s="90" t="str">
        <f t="shared" si="403"/>
        <v>N/A</v>
      </c>
      <c r="CA95" s="90" t="str">
        <f t="shared" si="403"/>
        <v>N/A</v>
      </c>
      <c r="CB95" s="90" t="str">
        <f t="shared" si="403"/>
        <v>N/A</v>
      </c>
      <c r="CC95" s="1115" t="str">
        <f t="shared" si="403"/>
        <v>N/A</v>
      </c>
      <c r="CD95" s="90" t="str">
        <f t="shared" si="403"/>
        <v>N/A</v>
      </c>
      <c r="CE95" s="90" t="str">
        <f t="shared" si="403"/>
        <v>N/A</v>
      </c>
      <c r="CF95" s="90" t="str">
        <f t="shared" si="403"/>
        <v>N/A</v>
      </c>
      <c r="CG95" s="90" t="str">
        <f t="shared" si="403"/>
        <v>N/A</v>
      </c>
      <c r="CH95" s="1115" t="str">
        <f t="shared" si="403"/>
        <v>N/A</v>
      </c>
      <c r="CI95" s="1115" t="str">
        <f>IFERROR(CI94/CH94-1,"N/A")</f>
        <v>N/A</v>
      </c>
      <c r="CJ95" s="1115" t="str">
        <f>IFERROR(CJ94/CI94-1,"N/A")</f>
        <v>N/A</v>
      </c>
      <c r="CK95" s="1115" t="str">
        <f>IFERROR(CK94/CJ94-1,"N/A")</f>
        <v>N/A</v>
      </c>
      <c r="CL95" s="155"/>
    </row>
    <row r="96" spans="1:90" hidden="1" outlineLevel="1" x14ac:dyDescent="0.3">
      <c r="A96" s="621" t="s">
        <v>814</v>
      </c>
      <c r="B96" s="202"/>
      <c r="C96" s="1128">
        <f t="shared" ref="C96:BD96" si="404">C94/C44</f>
        <v>7.8449944946638681E-3</v>
      </c>
      <c r="D96" s="1128">
        <f t="shared" si="404"/>
        <v>0</v>
      </c>
      <c r="E96" s="1128">
        <f t="shared" si="404"/>
        <v>-1.6086657979871355E-2</v>
      </c>
      <c r="F96" s="1128">
        <f t="shared" si="404"/>
        <v>0</v>
      </c>
      <c r="G96" s="315">
        <f t="shared" si="404"/>
        <v>0</v>
      </c>
      <c r="H96" s="315">
        <f t="shared" si="404"/>
        <v>0</v>
      </c>
      <c r="I96" s="315">
        <f t="shared" si="404"/>
        <v>0</v>
      </c>
      <c r="J96" s="315">
        <f t="shared" si="404"/>
        <v>0</v>
      </c>
      <c r="K96" s="1128">
        <f t="shared" si="404"/>
        <v>0</v>
      </c>
      <c r="L96" s="315">
        <f t="shared" si="404"/>
        <v>0</v>
      </c>
      <c r="M96" s="315">
        <f t="shared" si="404"/>
        <v>0</v>
      </c>
      <c r="N96" s="315">
        <f t="shared" si="404"/>
        <v>0</v>
      </c>
      <c r="O96" s="315">
        <f t="shared" si="404"/>
        <v>0</v>
      </c>
      <c r="P96" s="1128">
        <f t="shared" si="404"/>
        <v>0</v>
      </c>
      <c r="Q96" s="315">
        <f t="shared" si="404"/>
        <v>0</v>
      </c>
      <c r="R96" s="315">
        <f t="shared" si="404"/>
        <v>0</v>
      </c>
      <c r="S96" s="315">
        <f t="shared" si="404"/>
        <v>0</v>
      </c>
      <c r="T96" s="315">
        <f t="shared" si="404"/>
        <v>0</v>
      </c>
      <c r="U96" s="1128">
        <f t="shared" si="404"/>
        <v>0</v>
      </c>
      <c r="V96" s="315">
        <f t="shared" si="404"/>
        <v>0</v>
      </c>
      <c r="W96" s="315">
        <f t="shared" si="404"/>
        <v>7.7189939288811793E-2</v>
      </c>
      <c r="X96" s="315">
        <f t="shared" si="404"/>
        <v>6.1302681992337167E-3</v>
      </c>
      <c r="Y96" s="315">
        <f t="shared" si="404"/>
        <v>2.4268379728765169E-2</v>
      </c>
      <c r="Z96" s="1128">
        <f t="shared" si="404"/>
        <v>2.6147704590818364E-2</v>
      </c>
      <c r="AA96" s="315">
        <f t="shared" si="404"/>
        <v>7.6628352490421458E-4</v>
      </c>
      <c r="AB96" s="315">
        <f t="shared" si="404"/>
        <v>1.4005602240896359E-3</v>
      </c>
      <c r="AC96" s="315">
        <f t="shared" si="404"/>
        <v>0</v>
      </c>
      <c r="AD96" s="315">
        <f t="shared" si="404"/>
        <v>0</v>
      </c>
      <c r="AE96" s="1128">
        <f t="shared" si="404"/>
        <v>4.3415340086830681E-4</v>
      </c>
      <c r="AF96" s="315">
        <f t="shared" si="404"/>
        <v>0</v>
      </c>
      <c r="AG96" s="315">
        <f t="shared" si="404"/>
        <v>0</v>
      </c>
      <c r="AH96" s="315">
        <f t="shared" si="404"/>
        <v>0</v>
      </c>
      <c r="AI96" s="315">
        <f t="shared" si="404"/>
        <v>0</v>
      </c>
      <c r="AJ96" s="1128">
        <f t="shared" si="404"/>
        <v>0</v>
      </c>
      <c r="AK96" s="315">
        <f t="shared" si="404"/>
        <v>0</v>
      </c>
      <c r="AL96" s="315">
        <f t="shared" si="404"/>
        <v>0</v>
      </c>
      <c r="AM96" s="315">
        <f t="shared" si="404"/>
        <v>0</v>
      </c>
      <c r="AN96" s="315">
        <f t="shared" si="404"/>
        <v>0</v>
      </c>
      <c r="AO96" s="1128">
        <f t="shared" si="404"/>
        <v>0</v>
      </c>
      <c r="AP96" s="315">
        <f t="shared" si="404"/>
        <v>0</v>
      </c>
      <c r="AQ96" s="315">
        <f t="shared" si="404"/>
        <v>0</v>
      </c>
      <c r="AR96" s="315">
        <f t="shared" si="404"/>
        <v>0</v>
      </c>
      <c r="AS96" s="315">
        <f t="shared" si="404"/>
        <v>0</v>
      </c>
      <c r="AT96" s="1128">
        <f t="shared" si="404"/>
        <v>0</v>
      </c>
      <c r="AU96" s="315">
        <f t="shared" si="404"/>
        <v>0</v>
      </c>
      <c r="AV96" s="315">
        <f t="shared" si="404"/>
        <v>0</v>
      </c>
      <c r="AW96" s="315">
        <f t="shared" si="404"/>
        <v>0</v>
      </c>
      <c r="AX96" s="315">
        <f t="shared" si="404"/>
        <v>0</v>
      </c>
      <c r="AY96" s="1128">
        <f t="shared" si="404"/>
        <v>0</v>
      </c>
      <c r="AZ96" s="315">
        <f t="shared" si="404"/>
        <v>0</v>
      </c>
      <c r="BA96" s="315">
        <f t="shared" si="404"/>
        <v>0</v>
      </c>
      <c r="BB96" s="315">
        <f t="shared" si="404"/>
        <v>0</v>
      </c>
      <c r="BC96" s="315">
        <f t="shared" si="404"/>
        <v>0</v>
      </c>
      <c r="BD96" s="1128">
        <f t="shared" si="404"/>
        <v>0</v>
      </c>
      <c r="BE96" s="315">
        <f t="shared" ref="BE96:BI96" si="405">BE94/BE44</f>
        <v>0.1632480694980695</v>
      </c>
      <c r="BF96" s="315">
        <f t="shared" si="405"/>
        <v>0</v>
      </c>
      <c r="BG96" s="315">
        <f t="shared" si="405"/>
        <v>0</v>
      </c>
      <c r="BH96" s="315">
        <f t="shared" si="405"/>
        <v>0</v>
      </c>
      <c r="BI96" s="1128">
        <f t="shared" si="405"/>
        <v>5.015941276785052E-2</v>
      </c>
      <c r="BJ96" s="315">
        <f t="shared" ref="BJ96:BN96" si="406">BJ94/BJ44</f>
        <v>0</v>
      </c>
      <c r="BK96" s="315">
        <f t="shared" si="406"/>
        <v>0</v>
      </c>
      <c r="BL96" s="315">
        <f t="shared" si="406"/>
        <v>0</v>
      </c>
      <c r="BM96" s="315">
        <f t="shared" si="406"/>
        <v>0</v>
      </c>
      <c r="BN96" s="1128">
        <f t="shared" si="406"/>
        <v>0</v>
      </c>
      <c r="BO96" s="315">
        <f t="shared" ref="BO96:BS96" si="407">BO94/BO44</f>
        <v>0</v>
      </c>
      <c r="BP96" s="315">
        <f t="shared" si="407"/>
        <v>0</v>
      </c>
      <c r="BQ96" s="315">
        <f t="shared" si="407"/>
        <v>0</v>
      </c>
      <c r="BR96" s="315">
        <f t="shared" si="407"/>
        <v>0</v>
      </c>
      <c r="BS96" s="1128">
        <f t="shared" si="407"/>
        <v>0</v>
      </c>
      <c r="BT96" s="315">
        <f t="shared" ref="BT96:CK96" si="408">BT94/BT44</f>
        <v>0</v>
      </c>
      <c r="BU96" s="315">
        <f t="shared" si="408"/>
        <v>0</v>
      </c>
      <c r="BV96" s="315">
        <f t="shared" si="408"/>
        <v>0</v>
      </c>
      <c r="BW96" s="315">
        <f t="shared" si="408"/>
        <v>0</v>
      </c>
      <c r="BX96" s="1128">
        <f t="shared" si="408"/>
        <v>0</v>
      </c>
      <c r="BY96" s="897">
        <f>BY94/BY44</f>
        <v>0</v>
      </c>
      <c r="BZ96" s="315">
        <f t="shared" si="408"/>
        <v>0</v>
      </c>
      <c r="CA96" s="315">
        <f t="shared" si="408"/>
        <v>0</v>
      </c>
      <c r="CB96" s="315">
        <f t="shared" si="408"/>
        <v>0</v>
      </c>
      <c r="CC96" s="1128">
        <f t="shared" si="408"/>
        <v>0</v>
      </c>
      <c r="CD96" s="315">
        <f t="shared" si="408"/>
        <v>0</v>
      </c>
      <c r="CE96" s="315">
        <f t="shared" si="408"/>
        <v>0</v>
      </c>
      <c r="CF96" s="315">
        <f t="shared" si="408"/>
        <v>0</v>
      </c>
      <c r="CG96" s="315">
        <f t="shared" si="408"/>
        <v>0</v>
      </c>
      <c r="CH96" s="1128">
        <f t="shared" si="408"/>
        <v>0</v>
      </c>
      <c r="CI96" s="1128">
        <f t="shared" si="408"/>
        <v>0</v>
      </c>
      <c r="CJ96" s="1128">
        <f t="shared" si="408"/>
        <v>0</v>
      </c>
      <c r="CK96" s="1128">
        <f t="shared" si="408"/>
        <v>0</v>
      </c>
      <c r="CL96" s="155"/>
    </row>
    <row r="97" spans="1:90" hidden="1" outlineLevel="1" x14ac:dyDescent="0.3">
      <c r="A97" s="99" t="s">
        <v>815</v>
      </c>
      <c r="B97" s="598"/>
      <c r="C97" s="1112"/>
      <c r="D97" s="1112">
        <f t="shared" ref="D97:E97" si="409">-(D96-C96)*10000</f>
        <v>78.449944946638681</v>
      </c>
      <c r="E97" s="1112">
        <f t="shared" si="409"/>
        <v>160.86657979871356</v>
      </c>
      <c r="F97" s="1112">
        <f>-(F96-E96)*10000</f>
        <v>-160.86657979871356</v>
      </c>
      <c r="G97" s="68"/>
      <c r="H97" s="68"/>
      <c r="I97" s="68"/>
      <c r="J97" s="68"/>
      <c r="K97" s="1112">
        <f t="shared" ref="K97:BD97" si="410">-(K96-F96)*10000</f>
        <v>0</v>
      </c>
      <c r="L97" s="68">
        <f t="shared" si="410"/>
        <v>0</v>
      </c>
      <c r="M97" s="68">
        <f t="shared" si="410"/>
        <v>0</v>
      </c>
      <c r="N97" s="68">
        <f t="shared" si="410"/>
        <v>0</v>
      </c>
      <c r="O97" s="68">
        <f t="shared" si="410"/>
        <v>0</v>
      </c>
      <c r="P97" s="1112">
        <f t="shared" si="410"/>
        <v>0</v>
      </c>
      <c r="Q97" s="68">
        <f t="shared" si="410"/>
        <v>0</v>
      </c>
      <c r="R97" s="68">
        <f t="shared" si="410"/>
        <v>0</v>
      </c>
      <c r="S97" s="68">
        <f t="shared" si="410"/>
        <v>0</v>
      </c>
      <c r="T97" s="68">
        <f t="shared" si="410"/>
        <v>0</v>
      </c>
      <c r="U97" s="1112">
        <f t="shared" si="410"/>
        <v>0</v>
      </c>
      <c r="V97" s="68">
        <f t="shared" si="410"/>
        <v>0</v>
      </c>
      <c r="W97" s="68">
        <f t="shared" si="410"/>
        <v>-771.89939288811797</v>
      </c>
      <c r="X97" s="68">
        <f t="shared" si="410"/>
        <v>-61.302681992337163</v>
      </c>
      <c r="Y97" s="68">
        <f t="shared" si="410"/>
        <v>-242.68379728765169</v>
      </c>
      <c r="Z97" s="1112">
        <f t="shared" si="410"/>
        <v>-261.47704590818364</v>
      </c>
      <c r="AA97" s="68">
        <f t="shared" si="410"/>
        <v>-7.6628352490421454</v>
      </c>
      <c r="AB97" s="68">
        <f t="shared" si="410"/>
        <v>757.89379064722164</v>
      </c>
      <c r="AC97" s="68">
        <f t="shared" si="410"/>
        <v>61.302681992337163</v>
      </c>
      <c r="AD97" s="68">
        <f t="shared" si="410"/>
        <v>242.68379728765169</v>
      </c>
      <c r="AE97" s="1112">
        <f t="shared" si="410"/>
        <v>257.13551189950056</v>
      </c>
      <c r="AF97" s="68">
        <f t="shared" si="410"/>
        <v>7.6628352490421454</v>
      </c>
      <c r="AG97" s="68">
        <f t="shared" si="410"/>
        <v>14.005602240896359</v>
      </c>
      <c r="AH97" s="68">
        <f t="shared" si="410"/>
        <v>0</v>
      </c>
      <c r="AI97" s="68">
        <f t="shared" si="410"/>
        <v>0</v>
      </c>
      <c r="AJ97" s="1112">
        <f t="shared" si="410"/>
        <v>4.3415340086830678</v>
      </c>
      <c r="AK97" s="68">
        <f t="shared" si="410"/>
        <v>0</v>
      </c>
      <c r="AL97" s="68">
        <f t="shared" si="410"/>
        <v>0</v>
      </c>
      <c r="AM97" s="68">
        <f t="shared" si="410"/>
        <v>0</v>
      </c>
      <c r="AN97" s="68">
        <f t="shared" si="410"/>
        <v>0</v>
      </c>
      <c r="AO97" s="1112">
        <f t="shared" si="410"/>
        <v>0</v>
      </c>
      <c r="AP97" s="68">
        <f t="shared" si="410"/>
        <v>0</v>
      </c>
      <c r="AQ97" s="68">
        <f t="shared" si="410"/>
        <v>0</v>
      </c>
      <c r="AR97" s="68">
        <f t="shared" si="410"/>
        <v>0</v>
      </c>
      <c r="AS97" s="68">
        <f t="shared" si="410"/>
        <v>0</v>
      </c>
      <c r="AT97" s="1112">
        <f t="shared" si="410"/>
        <v>0</v>
      </c>
      <c r="AU97" s="68">
        <f t="shared" si="410"/>
        <v>0</v>
      </c>
      <c r="AV97" s="68">
        <f t="shared" si="410"/>
        <v>0</v>
      </c>
      <c r="AW97" s="68">
        <f t="shared" si="410"/>
        <v>0</v>
      </c>
      <c r="AX97" s="68">
        <f t="shared" si="410"/>
        <v>0</v>
      </c>
      <c r="AY97" s="1112">
        <f t="shared" si="410"/>
        <v>0</v>
      </c>
      <c r="AZ97" s="68">
        <f t="shared" si="410"/>
        <v>0</v>
      </c>
      <c r="BA97" s="68">
        <f t="shared" si="410"/>
        <v>0</v>
      </c>
      <c r="BB97" s="68">
        <f t="shared" si="410"/>
        <v>0</v>
      </c>
      <c r="BC97" s="68">
        <f t="shared" si="410"/>
        <v>0</v>
      </c>
      <c r="BD97" s="1112">
        <f t="shared" si="410"/>
        <v>0</v>
      </c>
      <c r="BE97" s="68">
        <f t="shared" ref="BE97:BI97" si="411">-(BE96-AZ96)*10000</f>
        <v>-1632.480694980695</v>
      </c>
      <c r="BF97" s="68">
        <f t="shared" si="411"/>
        <v>0</v>
      </c>
      <c r="BG97" s="68">
        <f t="shared" si="411"/>
        <v>0</v>
      </c>
      <c r="BH97" s="68">
        <f t="shared" si="411"/>
        <v>0</v>
      </c>
      <c r="BI97" s="1112">
        <f t="shared" si="411"/>
        <v>-501.59412767850517</v>
      </c>
      <c r="BJ97" s="68">
        <f t="shared" ref="BJ97:BN97" si="412">-(BJ96-BE96)*10000</f>
        <v>1632.480694980695</v>
      </c>
      <c r="BK97" s="68">
        <f t="shared" si="412"/>
        <v>0</v>
      </c>
      <c r="BL97" s="68">
        <f t="shared" si="412"/>
        <v>0</v>
      </c>
      <c r="BM97" s="68">
        <f t="shared" si="412"/>
        <v>0</v>
      </c>
      <c r="BN97" s="1112">
        <f t="shared" si="412"/>
        <v>501.59412767850517</v>
      </c>
      <c r="BO97" s="68">
        <f t="shared" ref="BO97:BS97" si="413">-(BO96-BJ96)*10000</f>
        <v>0</v>
      </c>
      <c r="BP97" s="68">
        <f t="shared" si="413"/>
        <v>0</v>
      </c>
      <c r="BQ97" s="68">
        <f t="shared" si="413"/>
        <v>0</v>
      </c>
      <c r="BR97" s="68">
        <f t="shared" si="413"/>
        <v>0</v>
      </c>
      <c r="BS97" s="1112">
        <f t="shared" si="413"/>
        <v>0</v>
      </c>
      <c r="BT97" s="68">
        <f t="shared" ref="BT97:CH97" si="414">-(BT96-BO96)*10000</f>
        <v>0</v>
      </c>
      <c r="BU97" s="68">
        <f t="shared" si="414"/>
        <v>0</v>
      </c>
      <c r="BV97" s="68">
        <f t="shared" si="414"/>
        <v>0</v>
      </c>
      <c r="BW97" s="68">
        <f t="shared" si="414"/>
        <v>0</v>
      </c>
      <c r="BX97" s="1112">
        <f t="shared" si="414"/>
        <v>0</v>
      </c>
      <c r="BY97" s="588">
        <f>-(BY96-BT96)*10000</f>
        <v>0</v>
      </c>
      <c r="BZ97" s="68">
        <f t="shared" si="414"/>
        <v>0</v>
      </c>
      <c r="CA97" s="68">
        <f t="shared" si="414"/>
        <v>0</v>
      </c>
      <c r="CB97" s="68">
        <f t="shared" si="414"/>
        <v>0</v>
      </c>
      <c r="CC97" s="1112">
        <f t="shared" si="414"/>
        <v>0</v>
      </c>
      <c r="CD97" s="68">
        <f t="shared" si="414"/>
        <v>0</v>
      </c>
      <c r="CE97" s="68">
        <f t="shared" si="414"/>
        <v>0</v>
      </c>
      <c r="CF97" s="68">
        <f t="shared" si="414"/>
        <v>0</v>
      </c>
      <c r="CG97" s="68">
        <f t="shared" si="414"/>
        <v>0</v>
      </c>
      <c r="CH97" s="1112">
        <f t="shared" si="414"/>
        <v>0</v>
      </c>
      <c r="CI97" s="1112">
        <f>-(CI96-CH96)*10000</f>
        <v>0</v>
      </c>
      <c r="CJ97" s="1112">
        <f>-(CJ96-CI96)*10000</f>
        <v>0</v>
      </c>
      <c r="CK97" s="1112">
        <f>-(CK96-CJ96)*10000</f>
        <v>0</v>
      </c>
      <c r="CL97" s="155"/>
    </row>
    <row r="98" spans="1:90" ht="7.35" hidden="1" customHeight="1" outlineLevel="1" x14ac:dyDescent="0.3">
      <c r="A98" s="99"/>
      <c r="B98" s="598"/>
      <c r="C98" s="1112"/>
      <c r="D98" s="1112"/>
      <c r="E98" s="1112"/>
      <c r="F98" s="1112"/>
      <c r="G98" s="68"/>
      <c r="H98" s="68"/>
      <c r="I98" s="68"/>
      <c r="J98" s="68"/>
      <c r="K98" s="1112"/>
      <c r="L98" s="68"/>
      <c r="M98" s="68"/>
      <c r="N98" s="68"/>
      <c r="O98" s="68"/>
      <c r="P98" s="1112"/>
      <c r="Q98" s="68"/>
      <c r="R98" s="68"/>
      <c r="S98" s="68"/>
      <c r="T98" s="68"/>
      <c r="U98" s="1112"/>
      <c r="V98" s="68"/>
      <c r="W98" s="68"/>
      <c r="X98" s="68"/>
      <c r="Y98" s="68"/>
      <c r="Z98" s="1112"/>
      <c r="AA98" s="68"/>
      <c r="AB98" s="68"/>
      <c r="AC98" s="68"/>
      <c r="AD98" s="68"/>
      <c r="AE98" s="1112"/>
      <c r="AF98" s="68"/>
      <c r="AG98" s="68"/>
      <c r="AH98" s="68"/>
      <c r="AI98" s="68"/>
      <c r="AJ98" s="1112"/>
      <c r="AK98" s="68"/>
      <c r="AL98" s="68"/>
      <c r="AM98" s="68"/>
      <c r="AN98" s="68"/>
      <c r="AO98" s="1112"/>
      <c r="AP98" s="68"/>
      <c r="AQ98" s="68"/>
      <c r="AR98" s="68"/>
      <c r="AS98" s="68"/>
      <c r="AT98" s="1112"/>
      <c r="AU98" s="68"/>
      <c r="AV98" s="68"/>
      <c r="AW98" s="68"/>
      <c r="AX98" s="68"/>
      <c r="AY98" s="1112"/>
      <c r="AZ98" s="68"/>
      <c r="BA98" s="68"/>
      <c r="BB98" s="68"/>
      <c r="BC98" s="68"/>
      <c r="BD98" s="1112"/>
      <c r="BE98" s="68"/>
      <c r="BF98" s="68"/>
      <c r="BG98" s="68"/>
      <c r="BH98" s="68"/>
      <c r="BI98" s="1112"/>
      <c r="BJ98" s="68"/>
      <c r="BK98" s="68"/>
      <c r="BL98" s="68"/>
      <c r="BM98" s="68"/>
      <c r="BN98" s="1112"/>
      <c r="BO98" s="68"/>
      <c r="BP98" s="68"/>
      <c r="BQ98" s="68"/>
      <c r="BR98" s="68"/>
      <c r="BS98" s="1112"/>
      <c r="BT98" s="68"/>
      <c r="BU98" s="68"/>
      <c r="BV98" s="68"/>
      <c r="BW98" s="68"/>
      <c r="BX98" s="1112"/>
      <c r="BY98" s="588"/>
      <c r="BZ98" s="68"/>
      <c r="CA98" s="68"/>
      <c r="CB98" s="68"/>
      <c r="CC98" s="1112"/>
      <c r="CD98" s="68"/>
      <c r="CE98" s="68"/>
      <c r="CF98" s="68"/>
      <c r="CG98" s="68"/>
      <c r="CH98" s="1112"/>
      <c r="CI98" s="1112"/>
      <c r="CJ98" s="1112"/>
      <c r="CK98" s="1112"/>
      <c r="CL98" s="155"/>
    </row>
    <row r="99" spans="1:90" hidden="1" outlineLevel="1" x14ac:dyDescent="0.3">
      <c r="A99" s="282" t="s">
        <v>811</v>
      </c>
      <c r="B99" s="639"/>
      <c r="C99" s="1123">
        <f t="shared" ref="C99:BD99" si="415">C392</f>
        <v>26.867999999999999</v>
      </c>
      <c r="D99" s="1123">
        <f t="shared" si="415"/>
        <v>0</v>
      </c>
      <c r="E99" s="1123">
        <f t="shared" si="415"/>
        <v>-57</v>
      </c>
      <c r="F99" s="1123">
        <f t="shared" si="415"/>
        <v>0</v>
      </c>
      <c r="G99" s="109">
        <f t="shared" si="415"/>
        <v>0</v>
      </c>
      <c r="H99" s="109">
        <f t="shared" si="415"/>
        <v>0</v>
      </c>
      <c r="I99" s="109">
        <f t="shared" si="415"/>
        <v>0</v>
      </c>
      <c r="J99" s="109">
        <f t="shared" si="415"/>
        <v>0</v>
      </c>
      <c r="K99" s="1123">
        <f t="shared" si="415"/>
        <v>0</v>
      </c>
      <c r="L99" s="109">
        <f t="shared" si="415"/>
        <v>0</v>
      </c>
      <c r="M99" s="109">
        <f t="shared" si="415"/>
        <v>0</v>
      </c>
      <c r="N99" s="109">
        <f t="shared" si="415"/>
        <v>2.2349999999999999</v>
      </c>
      <c r="O99" s="109">
        <f t="shared" si="415"/>
        <v>1.845</v>
      </c>
      <c r="P99" s="1123">
        <f t="shared" si="415"/>
        <v>4.08</v>
      </c>
      <c r="Q99" s="109">
        <f t="shared" si="415"/>
        <v>0</v>
      </c>
      <c r="R99" s="109">
        <f t="shared" si="415"/>
        <v>0</v>
      </c>
      <c r="S99" s="109">
        <f t="shared" si="415"/>
        <v>0</v>
      </c>
      <c r="T99" s="109">
        <f t="shared" si="415"/>
        <v>0</v>
      </c>
      <c r="U99" s="1123">
        <f t="shared" si="415"/>
        <v>0</v>
      </c>
      <c r="V99" s="109">
        <f t="shared" si="415"/>
        <v>0</v>
      </c>
      <c r="W99" s="109">
        <f t="shared" si="415"/>
        <v>89</v>
      </c>
      <c r="X99" s="109">
        <f t="shared" si="415"/>
        <v>8</v>
      </c>
      <c r="Y99" s="109">
        <f t="shared" si="415"/>
        <v>34</v>
      </c>
      <c r="Z99" s="1123">
        <f t="shared" si="415"/>
        <v>131</v>
      </c>
      <c r="AA99" s="109">
        <f t="shared" si="415"/>
        <v>7</v>
      </c>
      <c r="AB99" s="109">
        <f t="shared" si="415"/>
        <v>2</v>
      </c>
      <c r="AC99" s="109">
        <f t="shared" si="415"/>
        <v>0</v>
      </c>
      <c r="AD99" s="109">
        <f t="shared" si="415"/>
        <v>0</v>
      </c>
      <c r="AE99" s="1123">
        <f t="shared" si="415"/>
        <v>9</v>
      </c>
      <c r="AF99" s="109">
        <f t="shared" si="415"/>
        <v>0</v>
      </c>
      <c r="AG99" s="109">
        <f t="shared" si="415"/>
        <v>0</v>
      </c>
      <c r="AH99" s="109">
        <f t="shared" si="415"/>
        <v>0</v>
      </c>
      <c r="AI99" s="109">
        <f t="shared" si="415"/>
        <v>0</v>
      </c>
      <c r="AJ99" s="1123">
        <f t="shared" si="415"/>
        <v>0</v>
      </c>
      <c r="AK99" s="109">
        <f t="shared" si="415"/>
        <v>2</v>
      </c>
      <c r="AL99" s="109">
        <f t="shared" si="415"/>
        <v>0</v>
      </c>
      <c r="AM99" s="109">
        <f t="shared" si="415"/>
        <v>-3</v>
      </c>
      <c r="AN99" s="109">
        <f t="shared" si="415"/>
        <v>7</v>
      </c>
      <c r="AO99" s="1123">
        <f t="shared" si="415"/>
        <v>9</v>
      </c>
      <c r="AP99" s="109">
        <f t="shared" si="415"/>
        <v>1</v>
      </c>
      <c r="AQ99" s="109">
        <f t="shared" si="415"/>
        <v>0</v>
      </c>
      <c r="AR99" s="109">
        <f t="shared" si="415"/>
        <v>0</v>
      </c>
      <c r="AS99" s="109">
        <f t="shared" si="415"/>
        <v>0</v>
      </c>
      <c r="AT99" s="1123">
        <f t="shared" si="415"/>
        <v>1</v>
      </c>
      <c r="AU99" s="109">
        <f t="shared" si="415"/>
        <v>0</v>
      </c>
      <c r="AV99" s="109">
        <f t="shared" si="415"/>
        <v>0</v>
      </c>
      <c r="AW99" s="109">
        <f t="shared" si="415"/>
        <v>0</v>
      </c>
      <c r="AX99" s="109">
        <f t="shared" si="415"/>
        <v>0</v>
      </c>
      <c r="AY99" s="1123">
        <f t="shared" si="415"/>
        <v>0</v>
      </c>
      <c r="AZ99" s="109">
        <f t="shared" si="415"/>
        <v>0</v>
      </c>
      <c r="BA99" s="109">
        <f t="shared" si="415"/>
        <v>0</v>
      </c>
      <c r="BB99" s="109">
        <f t="shared" si="415"/>
        <v>0</v>
      </c>
      <c r="BC99" s="109">
        <f t="shared" si="415"/>
        <v>0</v>
      </c>
      <c r="BD99" s="1123">
        <f t="shared" si="415"/>
        <v>0</v>
      </c>
      <c r="BE99" s="109">
        <f t="shared" ref="BE99:BJ99" si="416">BE392</f>
        <v>1360</v>
      </c>
      <c r="BF99" s="109">
        <f t="shared" si="416"/>
        <v>0</v>
      </c>
      <c r="BG99" s="109">
        <f t="shared" si="416"/>
        <v>0</v>
      </c>
      <c r="BH99" s="109">
        <f t="shared" si="416"/>
        <v>0</v>
      </c>
      <c r="BI99" s="1123">
        <f t="shared" si="416"/>
        <v>1360</v>
      </c>
      <c r="BJ99" s="109">
        <f t="shared" si="416"/>
        <v>0</v>
      </c>
      <c r="BK99" s="109">
        <f t="shared" ref="BK99:BP99" si="417">BK392</f>
        <v>0</v>
      </c>
      <c r="BL99" s="109">
        <f t="shared" si="417"/>
        <v>0</v>
      </c>
      <c r="BM99" s="109">
        <f t="shared" si="417"/>
        <v>0</v>
      </c>
      <c r="BN99" s="1123">
        <f t="shared" si="417"/>
        <v>0</v>
      </c>
      <c r="BO99" s="109">
        <f t="shared" si="417"/>
        <v>0</v>
      </c>
      <c r="BP99" s="109">
        <f t="shared" si="417"/>
        <v>0</v>
      </c>
      <c r="BQ99" s="109">
        <f t="shared" ref="BQ99:BV99" si="418">BQ392</f>
        <v>0</v>
      </c>
      <c r="BR99" s="109">
        <f t="shared" si="418"/>
        <v>0</v>
      </c>
      <c r="BS99" s="1123">
        <f t="shared" si="418"/>
        <v>0</v>
      </c>
      <c r="BT99" s="109">
        <f t="shared" si="418"/>
        <v>0</v>
      </c>
      <c r="BU99" s="109">
        <f t="shared" si="418"/>
        <v>15</v>
      </c>
      <c r="BV99" s="109">
        <f t="shared" si="418"/>
        <v>0</v>
      </c>
      <c r="BW99" s="109">
        <f>BW392</f>
        <v>38</v>
      </c>
      <c r="BX99" s="1123">
        <f>BX392</f>
        <v>53</v>
      </c>
      <c r="BY99" s="730">
        <f>BY392</f>
        <v>0</v>
      </c>
      <c r="BZ99" s="1062">
        <v>0</v>
      </c>
      <c r="CA99" s="1062">
        <v>0</v>
      </c>
      <c r="CB99" s="1062">
        <v>0</v>
      </c>
      <c r="CC99" s="1123">
        <f>SUM(BY99,BZ99,CA99,CB99)</f>
        <v>0</v>
      </c>
      <c r="CD99" s="1062">
        <v>0</v>
      </c>
      <c r="CE99" s="1062">
        <v>0</v>
      </c>
      <c r="CF99" s="1062">
        <v>0</v>
      </c>
      <c r="CG99" s="1062">
        <v>0</v>
      </c>
      <c r="CH99" s="1123">
        <f>SUM(CD99,CE99,CF99,CG99)</f>
        <v>0</v>
      </c>
      <c r="CI99" s="1133">
        <v>0</v>
      </c>
      <c r="CJ99" s="1133">
        <v>0</v>
      </c>
      <c r="CK99" s="1133">
        <v>0</v>
      </c>
      <c r="CL99" s="155"/>
    </row>
    <row r="100" spans="1:90" collapsed="1" x14ac:dyDescent="0.3">
      <c r="A100" s="636" t="s">
        <v>816</v>
      </c>
      <c r="B100" s="598"/>
      <c r="C100" s="1112">
        <f>C94-C99</f>
        <v>0</v>
      </c>
      <c r="D100" s="1112">
        <f>D94-D99</f>
        <v>0</v>
      </c>
      <c r="E100" s="1112">
        <f>E94-E99</f>
        <v>0</v>
      </c>
      <c r="F100" s="1112">
        <f t="shared" ref="F100:BD100" si="419">F94-F99</f>
        <v>0</v>
      </c>
      <c r="G100" s="68">
        <f t="shared" si="419"/>
        <v>0</v>
      </c>
      <c r="H100" s="68">
        <f t="shared" si="419"/>
        <v>0</v>
      </c>
      <c r="I100" s="68">
        <f t="shared" si="419"/>
        <v>0</v>
      </c>
      <c r="J100" s="68">
        <f t="shared" si="419"/>
        <v>0</v>
      </c>
      <c r="K100" s="1112">
        <f t="shared" si="419"/>
        <v>0</v>
      </c>
      <c r="L100" s="68">
        <f t="shared" si="419"/>
        <v>0</v>
      </c>
      <c r="M100" s="68">
        <f t="shared" si="419"/>
        <v>0</v>
      </c>
      <c r="N100" s="68">
        <f t="shared" si="419"/>
        <v>-2.2349999999999999</v>
      </c>
      <c r="O100" s="68">
        <f t="shared" si="419"/>
        <v>-1.845</v>
      </c>
      <c r="P100" s="1112">
        <f t="shared" si="419"/>
        <v>-4.08</v>
      </c>
      <c r="Q100" s="68">
        <f t="shared" si="419"/>
        <v>0</v>
      </c>
      <c r="R100" s="68">
        <f t="shared" si="419"/>
        <v>0</v>
      </c>
      <c r="S100" s="68">
        <f t="shared" si="419"/>
        <v>0</v>
      </c>
      <c r="T100" s="68">
        <f t="shared" si="419"/>
        <v>0</v>
      </c>
      <c r="U100" s="1112">
        <f t="shared" si="419"/>
        <v>0</v>
      </c>
      <c r="V100" s="68">
        <f t="shared" si="419"/>
        <v>0</v>
      </c>
      <c r="W100" s="68">
        <f t="shared" si="419"/>
        <v>0</v>
      </c>
      <c r="X100" s="68">
        <f t="shared" si="419"/>
        <v>0</v>
      </c>
      <c r="Y100" s="68">
        <f t="shared" si="419"/>
        <v>0</v>
      </c>
      <c r="Z100" s="1112">
        <f t="shared" si="419"/>
        <v>0</v>
      </c>
      <c r="AA100" s="68">
        <f t="shared" si="419"/>
        <v>-6</v>
      </c>
      <c r="AB100" s="68">
        <f t="shared" si="419"/>
        <v>0</v>
      </c>
      <c r="AC100" s="68">
        <f t="shared" si="419"/>
        <v>0</v>
      </c>
      <c r="AD100" s="68">
        <f t="shared" si="419"/>
        <v>0</v>
      </c>
      <c r="AE100" s="1112">
        <f t="shared" si="419"/>
        <v>-6</v>
      </c>
      <c r="AF100" s="68">
        <f t="shared" si="419"/>
        <v>0</v>
      </c>
      <c r="AG100" s="68">
        <f t="shared" si="419"/>
        <v>0</v>
      </c>
      <c r="AH100" s="68">
        <f t="shared" si="419"/>
        <v>0</v>
      </c>
      <c r="AI100" s="68">
        <f t="shared" si="419"/>
        <v>0</v>
      </c>
      <c r="AJ100" s="1112">
        <f t="shared" si="419"/>
        <v>0</v>
      </c>
      <c r="AK100" s="68">
        <f t="shared" si="419"/>
        <v>-2</v>
      </c>
      <c r="AL100" s="68">
        <f t="shared" si="419"/>
        <v>0</v>
      </c>
      <c r="AM100" s="68">
        <f t="shared" si="419"/>
        <v>3</v>
      </c>
      <c r="AN100" s="68">
        <f t="shared" si="419"/>
        <v>-7</v>
      </c>
      <c r="AO100" s="1112">
        <f t="shared" si="419"/>
        <v>-9</v>
      </c>
      <c r="AP100" s="68">
        <f t="shared" si="419"/>
        <v>-1</v>
      </c>
      <c r="AQ100" s="68">
        <f t="shared" si="419"/>
        <v>0</v>
      </c>
      <c r="AR100" s="68">
        <f t="shared" si="419"/>
        <v>0</v>
      </c>
      <c r="AS100" s="68">
        <f t="shared" si="419"/>
        <v>0</v>
      </c>
      <c r="AT100" s="1112">
        <f t="shared" si="419"/>
        <v>-1</v>
      </c>
      <c r="AU100" s="68">
        <f t="shared" si="419"/>
        <v>0</v>
      </c>
      <c r="AV100" s="68">
        <f t="shared" si="419"/>
        <v>0</v>
      </c>
      <c r="AW100" s="68">
        <f t="shared" si="419"/>
        <v>0</v>
      </c>
      <c r="AX100" s="68">
        <f t="shared" si="419"/>
        <v>0</v>
      </c>
      <c r="AY100" s="1112">
        <f t="shared" si="419"/>
        <v>0</v>
      </c>
      <c r="AZ100" s="68">
        <f t="shared" si="419"/>
        <v>0</v>
      </c>
      <c r="BA100" s="68">
        <f t="shared" si="419"/>
        <v>0</v>
      </c>
      <c r="BB100" s="68">
        <f t="shared" si="419"/>
        <v>0</v>
      </c>
      <c r="BC100" s="68">
        <f t="shared" si="419"/>
        <v>0</v>
      </c>
      <c r="BD100" s="1112">
        <f t="shared" si="419"/>
        <v>0</v>
      </c>
      <c r="BE100" s="68">
        <f t="shared" ref="BE100:BJ100" si="420">BE94-BE99</f>
        <v>-7</v>
      </c>
      <c r="BF100" s="68">
        <f t="shared" si="420"/>
        <v>0</v>
      </c>
      <c r="BG100" s="68">
        <f t="shared" si="420"/>
        <v>0</v>
      </c>
      <c r="BH100" s="68">
        <f t="shared" si="420"/>
        <v>0</v>
      </c>
      <c r="BI100" s="1112">
        <f t="shared" si="420"/>
        <v>-7</v>
      </c>
      <c r="BJ100" s="68">
        <f t="shared" si="420"/>
        <v>0</v>
      </c>
      <c r="BK100" s="68">
        <f t="shared" ref="BK100:BP100" si="421">BK94-BK99</f>
        <v>0</v>
      </c>
      <c r="BL100" s="68">
        <f t="shared" si="421"/>
        <v>0</v>
      </c>
      <c r="BM100" s="68">
        <f t="shared" si="421"/>
        <v>0</v>
      </c>
      <c r="BN100" s="1112">
        <f t="shared" si="421"/>
        <v>0</v>
      </c>
      <c r="BO100" s="68">
        <f t="shared" si="421"/>
        <v>0</v>
      </c>
      <c r="BP100" s="68">
        <f t="shared" si="421"/>
        <v>0</v>
      </c>
      <c r="BQ100" s="68">
        <f t="shared" ref="BQ100:BV100" si="422">BQ94-BQ99</f>
        <v>0</v>
      </c>
      <c r="BR100" s="68">
        <f t="shared" si="422"/>
        <v>0</v>
      </c>
      <c r="BS100" s="1112">
        <f t="shared" si="422"/>
        <v>0</v>
      </c>
      <c r="BT100" s="68">
        <f t="shared" si="422"/>
        <v>0</v>
      </c>
      <c r="BU100" s="68">
        <f t="shared" si="422"/>
        <v>-15</v>
      </c>
      <c r="BV100" s="68">
        <f t="shared" si="422"/>
        <v>0</v>
      </c>
      <c r="BW100" s="68">
        <f>BW94-BW99</f>
        <v>-38</v>
      </c>
      <c r="BX100" s="1112">
        <f>BX94-BX99</f>
        <v>-53</v>
      </c>
      <c r="BY100" s="588">
        <f>BY94-BY99</f>
        <v>0</v>
      </c>
      <c r="BZ100" s="1055">
        <v>0</v>
      </c>
      <c r="CA100" s="1055">
        <v>0</v>
      </c>
      <c r="CB100" s="1055">
        <v>0</v>
      </c>
      <c r="CC100" s="1112">
        <f>CC94-CC99</f>
        <v>0</v>
      </c>
      <c r="CD100" s="1055">
        <v>0</v>
      </c>
      <c r="CE100" s="1055">
        <v>0</v>
      </c>
      <c r="CF100" s="1055">
        <v>0</v>
      </c>
      <c r="CG100" s="1055">
        <v>0</v>
      </c>
      <c r="CH100" s="1112">
        <f>CH94-CH99</f>
        <v>0</v>
      </c>
      <c r="CI100" s="1113">
        <v>0</v>
      </c>
      <c r="CJ100" s="1113">
        <v>0</v>
      </c>
      <c r="CK100" s="1113">
        <v>0</v>
      </c>
      <c r="CL100" s="155"/>
    </row>
    <row r="101" spans="1:90" x14ac:dyDescent="0.3">
      <c r="A101" s="371" t="s">
        <v>833</v>
      </c>
      <c r="B101" s="582"/>
      <c r="C101" s="1115"/>
      <c r="D101" s="1115" t="str">
        <f>IFERROR(D100/C100-1,"N/A")</f>
        <v>N/A</v>
      </c>
      <c r="E101" s="1115" t="str">
        <f>IFERROR(E100/D100-1,"N/A")</f>
        <v>N/A</v>
      </c>
      <c r="F101" s="1115" t="str">
        <f>IFERROR(F100/E100-1,"N/A")</f>
        <v>N/A</v>
      </c>
      <c r="G101" s="90"/>
      <c r="H101" s="90"/>
      <c r="I101" s="90"/>
      <c r="J101" s="90"/>
      <c r="K101" s="1115" t="str">
        <f t="shared" ref="K101:BE101" si="423">IFERROR(K100/F100-1,"N/A")</f>
        <v>N/A</v>
      </c>
      <c r="L101" s="90" t="str">
        <f t="shared" si="423"/>
        <v>N/A</v>
      </c>
      <c r="M101" s="90" t="str">
        <f t="shared" si="423"/>
        <v>N/A</v>
      </c>
      <c r="N101" s="90" t="str">
        <f t="shared" si="423"/>
        <v>N/A</v>
      </c>
      <c r="O101" s="90" t="str">
        <f t="shared" si="423"/>
        <v>N/A</v>
      </c>
      <c r="P101" s="1115" t="str">
        <f t="shared" si="423"/>
        <v>N/A</v>
      </c>
      <c r="Q101" s="90" t="str">
        <f t="shared" si="423"/>
        <v>N/A</v>
      </c>
      <c r="R101" s="90" t="str">
        <f t="shared" si="423"/>
        <v>N/A</v>
      </c>
      <c r="S101" s="90">
        <f t="shared" si="423"/>
        <v>-1</v>
      </c>
      <c r="T101" s="90">
        <f t="shared" si="423"/>
        <v>-1</v>
      </c>
      <c r="U101" s="1115">
        <f t="shared" si="423"/>
        <v>-1</v>
      </c>
      <c r="V101" s="90" t="str">
        <f t="shared" si="423"/>
        <v>N/A</v>
      </c>
      <c r="W101" s="90" t="str">
        <f t="shared" si="423"/>
        <v>N/A</v>
      </c>
      <c r="X101" s="90" t="str">
        <f t="shared" si="423"/>
        <v>N/A</v>
      </c>
      <c r="Y101" s="90" t="str">
        <f t="shared" si="423"/>
        <v>N/A</v>
      </c>
      <c r="Z101" s="1115" t="str">
        <f t="shared" si="423"/>
        <v>N/A</v>
      </c>
      <c r="AA101" s="90" t="str">
        <f t="shared" si="423"/>
        <v>N/A</v>
      </c>
      <c r="AB101" s="90" t="str">
        <f t="shared" si="423"/>
        <v>N/A</v>
      </c>
      <c r="AC101" s="90" t="str">
        <f t="shared" si="423"/>
        <v>N/A</v>
      </c>
      <c r="AD101" s="90" t="str">
        <f t="shared" si="423"/>
        <v>N/A</v>
      </c>
      <c r="AE101" s="1115" t="str">
        <f t="shared" si="423"/>
        <v>N/A</v>
      </c>
      <c r="AF101" s="90">
        <f t="shared" si="423"/>
        <v>-1</v>
      </c>
      <c r="AG101" s="90" t="str">
        <f t="shared" si="423"/>
        <v>N/A</v>
      </c>
      <c r="AH101" s="90" t="str">
        <f t="shared" si="423"/>
        <v>N/A</v>
      </c>
      <c r="AI101" s="90" t="str">
        <f t="shared" si="423"/>
        <v>N/A</v>
      </c>
      <c r="AJ101" s="1115">
        <f t="shared" si="423"/>
        <v>-1</v>
      </c>
      <c r="AK101" s="90" t="str">
        <f t="shared" si="423"/>
        <v>N/A</v>
      </c>
      <c r="AL101" s="90" t="str">
        <f t="shared" si="423"/>
        <v>N/A</v>
      </c>
      <c r="AM101" s="90" t="str">
        <f t="shared" si="423"/>
        <v>N/A</v>
      </c>
      <c r="AN101" s="90" t="str">
        <f t="shared" si="423"/>
        <v>N/A</v>
      </c>
      <c r="AO101" s="1115" t="str">
        <f t="shared" si="423"/>
        <v>N/A</v>
      </c>
      <c r="AP101" s="90">
        <f t="shared" si="423"/>
        <v>-0.5</v>
      </c>
      <c r="AQ101" s="90" t="str">
        <f t="shared" si="423"/>
        <v>N/A</v>
      </c>
      <c r="AR101" s="90">
        <f t="shared" si="423"/>
        <v>-1</v>
      </c>
      <c r="AS101" s="90">
        <f t="shared" si="423"/>
        <v>-1</v>
      </c>
      <c r="AT101" s="1115">
        <f t="shared" si="423"/>
        <v>-0.88888888888888884</v>
      </c>
      <c r="AU101" s="90">
        <f t="shared" si="423"/>
        <v>-1</v>
      </c>
      <c r="AV101" s="90" t="str">
        <f t="shared" si="423"/>
        <v>N/A</v>
      </c>
      <c r="AW101" s="90" t="str">
        <f t="shared" si="423"/>
        <v>N/A</v>
      </c>
      <c r="AX101" s="90" t="str">
        <f t="shared" si="423"/>
        <v>N/A</v>
      </c>
      <c r="AY101" s="1115">
        <f t="shared" si="423"/>
        <v>-1</v>
      </c>
      <c r="AZ101" s="90" t="str">
        <f t="shared" si="423"/>
        <v>N/A</v>
      </c>
      <c r="BA101" s="90" t="str">
        <f t="shared" si="423"/>
        <v>N/A</v>
      </c>
      <c r="BB101" s="90" t="str">
        <f t="shared" si="423"/>
        <v>N/A</v>
      </c>
      <c r="BC101" s="90" t="str">
        <f t="shared" si="423"/>
        <v>N/A</v>
      </c>
      <c r="BD101" s="1115" t="str">
        <f t="shared" si="423"/>
        <v>N/A</v>
      </c>
      <c r="BE101" s="90" t="str">
        <f t="shared" si="423"/>
        <v>N/A</v>
      </c>
      <c r="BF101" s="90" t="str">
        <f t="shared" ref="BF101:BI101" si="424">IFERROR(BF100/BA100-1,"N/A")</f>
        <v>N/A</v>
      </c>
      <c r="BG101" s="90" t="str">
        <f t="shared" si="424"/>
        <v>N/A</v>
      </c>
      <c r="BH101" s="90" t="str">
        <f t="shared" si="424"/>
        <v>N/A</v>
      </c>
      <c r="BI101" s="1115" t="str">
        <f t="shared" si="424"/>
        <v>N/A</v>
      </c>
      <c r="BJ101" s="90">
        <f t="shared" ref="BJ101:BN101" si="425">IFERROR(BJ100/BE100-1,"N/A")</f>
        <v>-1</v>
      </c>
      <c r="BK101" s="90" t="str">
        <f t="shared" si="425"/>
        <v>N/A</v>
      </c>
      <c r="BL101" s="90" t="str">
        <f t="shared" si="425"/>
        <v>N/A</v>
      </c>
      <c r="BM101" s="90" t="str">
        <f t="shared" si="425"/>
        <v>N/A</v>
      </c>
      <c r="BN101" s="1115">
        <f t="shared" si="425"/>
        <v>-1</v>
      </c>
      <c r="BO101" s="90" t="str">
        <f t="shared" ref="BO101:BS101" si="426">IFERROR(BO100/BJ100-1,"N/A")</f>
        <v>N/A</v>
      </c>
      <c r="BP101" s="90" t="str">
        <f t="shared" si="426"/>
        <v>N/A</v>
      </c>
      <c r="BQ101" s="90" t="str">
        <f t="shared" si="426"/>
        <v>N/A</v>
      </c>
      <c r="BR101" s="90" t="str">
        <f t="shared" si="426"/>
        <v>N/A</v>
      </c>
      <c r="BS101" s="1115" t="str">
        <f t="shared" si="426"/>
        <v>N/A</v>
      </c>
      <c r="BT101" s="90" t="str">
        <f t="shared" ref="BT101:CH101" si="427">IFERROR(BT100/BO100-1,"N/A")</f>
        <v>N/A</v>
      </c>
      <c r="BU101" s="90" t="str">
        <f t="shared" si="427"/>
        <v>N/A</v>
      </c>
      <c r="BV101" s="90" t="str">
        <f t="shared" si="427"/>
        <v>N/A</v>
      </c>
      <c r="BW101" s="90" t="str">
        <f t="shared" si="427"/>
        <v>N/A</v>
      </c>
      <c r="BX101" s="1115" t="str">
        <f t="shared" si="427"/>
        <v>N/A</v>
      </c>
      <c r="BY101" s="892" t="str">
        <f>IFERROR(BY100/BT100-1,"N/A")</f>
        <v>N/A</v>
      </c>
      <c r="BZ101" s="90">
        <f t="shared" si="427"/>
        <v>-1</v>
      </c>
      <c r="CA101" s="90" t="str">
        <f t="shared" si="427"/>
        <v>N/A</v>
      </c>
      <c r="CB101" s="90">
        <f t="shared" si="427"/>
        <v>-1</v>
      </c>
      <c r="CC101" s="1115">
        <f t="shared" si="427"/>
        <v>-1</v>
      </c>
      <c r="CD101" s="90" t="str">
        <f t="shared" si="427"/>
        <v>N/A</v>
      </c>
      <c r="CE101" s="90" t="str">
        <f t="shared" si="427"/>
        <v>N/A</v>
      </c>
      <c r="CF101" s="90" t="str">
        <f t="shared" si="427"/>
        <v>N/A</v>
      </c>
      <c r="CG101" s="90" t="str">
        <f t="shared" si="427"/>
        <v>N/A</v>
      </c>
      <c r="CH101" s="1115" t="str">
        <f t="shared" si="427"/>
        <v>N/A</v>
      </c>
      <c r="CI101" s="1115" t="str">
        <f>IFERROR(CI100/CH100-1,"N/A")</f>
        <v>N/A</v>
      </c>
      <c r="CJ101" s="1115" t="str">
        <f>IFERROR(CJ100/CI100-1,"N/A")</f>
        <v>N/A</v>
      </c>
      <c r="CK101" s="1115" t="str">
        <f>IFERROR(CK100/CJ100-1,"N/A")</f>
        <v>N/A</v>
      </c>
      <c r="CL101" s="155"/>
    </row>
    <row r="102" spans="1:90" x14ac:dyDescent="0.3">
      <c r="A102" s="621" t="s">
        <v>817</v>
      </c>
      <c r="B102" s="202"/>
      <c r="C102" s="1128">
        <f t="shared" ref="C102:BD102" si="428">C100/C44</f>
        <v>0</v>
      </c>
      <c r="D102" s="1128">
        <f t="shared" si="428"/>
        <v>0</v>
      </c>
      <c r="E102" s="1128">
        <f t="shared" si="428"/>
        <v>0</v>
      </c>
      <c r="F102" s="1128">
        <f t="shared" si="428"/>
        <v>0</v>
      </c>
      <c r="G102" s="315">
        <f t="shared" si="428"/>
        <v>0</v>
      </c>
      <c r="H102" s="315">
        <f t="shared" si="428"/>
        <v>0</v>
      </c>
      <c r="I102" s="315">
        <f t="shared" si="428"/>
        <v>0</v>
      </c>
      <c r="J102" s="315">
        <f t="shared" si="428"/>
        <v>0</v>
      </c>
      <c r="K102" s="1128">
        <f t="shared" si="428"/>
        <v>0</v>
      </c>
      <c r="L102" s="315">
        <f t="shared" si="428"/>
        <v>0</v>
      </c>
      <c r="M102" s="315">
        <f t="shared" si="428"/>
        <v>0</v>
      </c>
      <c r="N102" s="315">
        <f t="shared" si="428"/>
        <v>-2.1205597518707889E-3</v>
      </c>
      <c r="O102" s="315">
        <f t="shared" si="428"/>
        <v>-1.6124549692453705E-3</v>
      </c>
      <c r="P102" s="1128">
        <f t="shared" si="428"/>
        <v>-9.8789346246973362E-4</v>
      </c>
      <c r="Q102" s="315">
        <f t="shared" si="428"/>
        <v>0</v>
      </c>
      <c r="R102" s="315">
        <f t="shared" si="428"/>
        <v>0</v>
      </c>
      <c r="S102" s="315">
        <f t="shared" si="428"/>
        <v>0</v>
      </c>
      <c r="T102" s="315">
        <f t="shared" si="428"/>
        <v>0</v>
      </c>
      <c r="U102" s="1128">
        <f t="shared" si="428"/>
        <v>0</v>
      </c>
      <c r="V102" s="315">
        <f t="shared" si="428"/>
        <v>0</v>
      </c>
      <c r="W102" s="315">
        <f t="shared" si="428"/>
        <v>0</v>
      </c>
      <c r="X102" s="315">
        <f t="shared" si="428"/>
        <v>0</v>
      </c>
      <c r="Y102" s="315">
        <f t="shared" si="428"/>
        <v>0</v>
      </c>
      <c r="Z102" s="1128">
        <f t="shared" si="428"/>
        <v>0</v>
      </c>
      <c r="AA102" s="315">
        <f t="shared" si="428"/>
        <v>-4.5977011494252873E-3</v>
      </c>
      <c r="AB102" s="315">
        <f t="shared" si="428"/>
        <v>0</v>
      </c>
      <c r="AC102" s="315">
        <f t="shared" si="428"/>
        <v>0</v>
      </c>
      <c r="AD102" s="315">
        <f t="shared" si="428"/>
        <v>0</v>
      </c>
      <c r="AE102" s="1128">
        <f t="shared" si="428"/>
        <v>-8.6830680173661363E-4</v>
      </c>
      <c r="AF102" s="315">
        <f t="shared" si="428"/>
        <v>0</v>
      </c>
      <c r="AG102" s="315">
        <f t="shared" si="428"/>
        <v>0</v>
      </c>
      <c r="AH102" s="315">
        <f t="shared" si="428"/>
        <v>0</v>
      </c>
      <c r="AI102" s="315">
        <f t="shared" si="428"/>
        <v>0</v>
      </c>
      <c r="AJ102" s="1128">
        <f t="shared" si="428"/>
        <v>0</v>
      </c>
      <c r="AK102" s="315">
        <f t="shared" si="428"/>
        <v>-6.2363579669473025E-4</v>
      </c>
      <c r="AL102" s="315">
        <f t="shared" si="428"/>
        <v>0</v>
      </c>
      <c r="AM102" s="315">
        <f t="shared" si="428"/>
        <v>9.430996541967935E-4</v>
      </c>
      <c r="AN102" s="315">
        <f t="shared" si="428"/>
        <v>-3.1746031746031746E-3</v>
      </c>
      <c r="AO102" s="1128">
        <f t="shared" si="428"/>
        <v>-7.6818026630249235E-4</v>
      </c>
      <c r="AP102" s="315">
        <f t="shared" si="428"/>
        <v>-4.5045045045045046E-4</v>
      </c>
      <c r="AQ102" s="315">
        <f t="shared" si="428"/>
        <v>0</v>
      </c>
      <c r="AR102" s="315">
        <f t="shared" si="428"/>
        <v>0</v>
      </c>
      <c r="AS102" s="315">
        <f t="shared" si="428"/>
        <v>0</v>
      </c>
      <c r="AT102" s="1128">
        <f t="shared" si="428"/>
        <v>-9.1591866642242166E-5</v>
      </c>
      <c r="AU102" s="315">
        <f t="shared" si="428"/>
        <v>0</v>
      </c>
      <c r="AV102" s="315">
        <f t="shared" si="428"/>
        <v>0</v>
      </c>
      <c r="AW102" s="315">
        <f t="shared" si="428"/>
        <v>0</v>
      </c>
      <c r="AX102" s="315">
        <f t="shared" si="428"/>
        <v>0</v>
      </c>
      <c r="AY102" s="1128">
        <f t="shared" si="428"/>
        <v>0</v>
      </c>
      <c r="AZ102" s="315">
        <f t="shared" si="428"/>
        <v>0</v>
      </c>
      <c r="BA102" s="315">
        <f t="shared" si="428"/>
        <v>0</v>
      </c>
      <c r="BB102" s="315">
        <f t="shared" si="428"/>
        <v>0</v>
      </c>
      <c r="BC102" s="315">
        <f t="shared" si="428"/>
        <v>0</v>
      </c>
      <c r="BD102" s="1128">
        <f t="shared" si="428"/>
        <v>0</v>
      </c>
      <c r="BE102" s="315">
        <f t="shared" ref="BE102:BI102" si="429">BE100/BE44</f>
        <v>-8.4459459459459464E-4</v>
      </c>
      <c r="BF102" s="315">
        <f t="shared" si="429"/>
        <v>0</v>
      </c>
      <c r="BG102" s="315">
        <f t="shared" si="429"/>
        <v>0</v>
      </c>
      <c r="BH102" s="315">
        <f t="shared" si="429"/>
        <v>0</v>
      </c>
      <c r="BI102" s="1128">
        <f t="shared" si="429"/>
        <v>-2.5950915696596724E-4</v>
      </c>
      <c r="BJ102" s="315">
        <f t="shared" ref="BJ102:BN102" si="430">BJ100/BJ44</f>
        <v>0</v>
      </c>
      <c r="BK102" s="315">
        <f t="shared" si="430"/>
        <v>0</v>
      </c>
      <c r="BL102" s="315">
        <f t="shared" si="430"/>
        <v>0</v>
      </c>
      <c r="BM102" s="315">
        <f t="shared" si="430"/>
        <v>0</v>
      </c>
      <c r="BN102" s="1128">
        <f t="shared" si="430"/>
        <v>0</v>
      </c>
      <c r="BO102" s="315">
        <f t="shared" ref="BO102:BS102" si="431">BO100/BO44</f>
        <v>0</v>
      </c>
      <c r="BP102" s="315">
        <f t="shared" si="431"/>
        <v>0</v>
      </c>
      <c r="BQ102" s="315">
        <f t="shared" si="431"/>
        <v>0</v>
      </c>
      <c r="BR102" s="315">
        <f t="shared" si="431"/>
        <v>0</v>
      </c>
      <c r="BS102" s="1128">
        <f t="shared" si="431"/>
        <v>0</v>
      </c>
      <c r="BT102" s="315">
        <f t="shared" ref="BT102:CK102" si="432">BT100/BT44</f>
        <v>0</v>
      </c>
      <c r="BU102" s="315">
        <f t="shared" si="432"/>
        <v>-3.2090366471985109E-4</v>
      </c>
      <c r="BV102" s="315">
        <f t="shared" si="432"/>
        <v>0</v>
      </c>
      <c r="BW102" s="315">
        <f t="shared" si="432"/>
        <v>-5.5778178989240683E-4</v>
      </c>
      <c r="BX102" s="1128">
        <f t="shared" si="432"/>
        <v>-2.454408209763914E-4</v>
      </c>
      <c r="BY102" s="897">
        <f>BY100/BY44</f>
        <v>0</v>
      </c>
      <c r="BZ102" s="315">
        <f t="shared" si="432"/>
        <v>0</v>
      </c>
      <c r="CA102" s="315">
        <f t="shared" si="432"/>
        <v>0</v>
      </c>
      <c r="CB102" s="315">
        <f t="shared" si="432"/>
        <v>0</v>
      </c>
      <c r="CC102" s="1128">
        <f t="shared" si="432"/>
        <v>0</v>
      </c>
      <c r="CD102" s="315">
        <f t="shared" si="432"/>
        <v>0</v>
      </c>
      <c r="CE102" s="315">
        <f t="shared" si="432"/>
        <v>0</v>
      </c>
      <c r="CF102" s="315">
        <f t="shared" si="432"/>
        <v>0</v>
      </c>
      <c r="CG102" s="315">
        <f t="shared" si="432"/>
        <v>0</v>
      </c>
      <c r="CH102" s="1128">
        <f t="shared" si="432"/>
        <v>0</v>
      </c>
      <c r="CI102" s="1128">
        <f t="shared" si="432"/>
        <v>0</v>
      </c>
      <c r="CJ102" s="1128">
        <f t="shared" si="432"/>
        <v>0</v>
      </c>
      <c r="CK102" s="1128">
        <f t="shared" si="432"/>
        <v>0</v>
      </c>
      <c r="CL102" s="155"/>
    </row>
    <row r="103" spans="1:90" x14ac:dyDescent="0.3">
      <c r="A103" s="99" t="s">
        <v>834</v>
      </c>
      <c r="B103" s="598"/>
      <c r="C103" s="1112"/>
      <c r="D103" s="1112">
        <f t="shared" ref="D103" si="433">-(D102-C102)*10000</f>
        <v>0</v>
      </c>
      <c r="E103" s="1112">
        <f t="shared" ref="E103" si="434">-(E102-D102)*10000</f>
        <v>0</v>
      </c>
      <c r="F103" s="1112">
        <f>-(F102-E102)*10000</f>
        <v>0</v>
      </c>
      <c r="G103" s="68"/>
      <c r="H103" s="68"/>
      <c r="I103" s="68"/>
      <c r="J103" s="68"/>
      <c r="K103" s="1112">
        <f t="shared" ref="K103" si="435">-(K102-F102)*10000</f>
        <v>0</v>
      </c>
      <c r="L103" s="68">
        <f t="shared" ref="L103" si="436">-(L102-G102)*10000</f>
        <v>0</v>
      </c>
      <c r="M103" s="68">
        <f t="shared" ref="M103" si="437">-(M102-H102)*10000</f>
        <v>0</v>
      </c>
      <c r="N103" s="68">
        <f t="shared" ref="N103" si="438">-(N102-I102)*10000</f>
        <v>21.20559751870789</v>
      </c>
      <c r="O103" s="68">
        <f t="shared" ref="O103" si="439">-(O102-J102)*10000</f>
        <v>16.124549692453705</v>
      </c>
      <c r="P103" s="1112">
        <f t="shared" ref="P103" si="440">-(P102-K102)*10000</f>
        <v>9.8789346246973366</v>
      </c>
      <c r="Q103" s="68">
        <f t="shared" ref="Q103" si="441">-(Q102-L102)*10000</f>
        <v>0</v>
      </c>
      <c r="R103" s="68">
        <f t="shared" ref="R103" si="442">-(R102-M102)*10000</f>
        <v>0</v>
      </c>
      <c r="S103" s="68">
        <f t="shared" ref="S103" si="443">-(S102-N102)*10000</f>
        <v>-21.20559751870789</v>
      </c>
      <c r="T103" s="68">
        <f t="shared" ref="T103" si="444">-(T102-O102)*10000</f>
        <v>-16.124549692453705</v>
      </c>
      <c r="U103" s="1112">
        <f t="shared" ref="U103" si="445">-(U102-P102)*10000</f>
        <v>-9.8789346246973366</v>
      </c>
      <c r="V103" s="68">
        <f t="shared" ref="V103" si="446">-(V102-Q102)*10000</f>
        <v>0</v>
      </c>
      <c r="W103" s="68">
        <f t="shared" ref="W103" si="447">-(W102-R102)*10000</f>
        <v>0</v>
      </c>
      <c r="X103" s="68">
        <f t="shared" ref="X103" si="448">-(X102-S102)*10000</f>
        <v>0</v>
      </c>
      <c r="Y103" s="68">
        <f t="shared" ref="Y103" si="449">-(Y102-T102)*10000</f>
        <v>0</v>
      </c>
      <c r="Z103" s="1112">
        <f t="shared" ref="Z103" si="450">-(Z102-U102)*10000</f>
        <v>0</v>
      </c>
      <c r="AA103" s="68">
        <f t="shared" ref="AA103" si="451">-(AA102-V102)*10000</f>
        <v>45.977011494252871</v>
      </c>
      <c r="AB103" s="68">
        <f t="shared" ref="AB103" si="452">-(AB102-W102)*10000</f>
        <v>0</v>
      </c>
      <c r="AC103" s="68">
        <f t="shared" ref="AC103" si="453">-(AC102-X102)*10000</f>
        <v>0</v>
      </c>
      <c r="AD103" s="68">
        <f t="shared" ref="AD103" si="454">-(AD102-Y102)*10000</f>
        <v>0</v>
      </c>
      <c r="AE103" s="1112">
        <f t="shared" ref="AE103" si="455">-(AE102-Z102)*10000</f>
        <v>8.6830680173661356</v>
      </c>
      <c r="AF103" s="68">
        <f t="shared" ref="AF103" si="456">-(AF102-AA102)*10000</f>
        <v>-45.977011494252871</v>
      </c>
      <c r="AG103" s="68">
        <f t="shared" ref="AG103" si="457">-(AG102-AB102)*10000</f>
        <v>0</v>
      </c>
      <c r="AH103" s="68">
        <f t="shared" ref="AH103" si="458">-(AH102-AC102)*10000</f>
        <v>0</v>
      </c>
      <c r="AI103" s="68">
        <f t="shared" ref="AI103" si="459">-(AI102-AD102)*10000</f>
        <v>0</v>
      </c>
      <c r="AJ103" s="1112">
        <f t="shared" ref="AJ103" si="460">-(AJ102-AE102)*10000</f>
        <v>-8.6830680173661356</v>
      </c>
      <c r="AK103" s="68">
        <f t="shared" ref="AK103" si="461">-(AK102-AF102)*10000</f>
        <v>6.2363579669473026</v>
      </c>
      <c r="AL103" s="68">
        <f t="shared" ref="AL103" si="462">-(AL102-AG102)*10000</f>
        <v>0</v>
      </c>
      <c r="AM103" s="68">
        <f t="shared" ref="AM103" si="463">-(AM102-AH102)*10000</f>
        <v>-9.4309965419679358</v>
      </c>
      <c r="AN103" s="68">
        <f t="shared" ref="AN103" si="464">-(AN102-AI102)*10000</f>
        <v>31.746031746031747</v>
      </c>
      <c r="AO103" s="1112">
        <f t="shared" ref="AO103" si="465">-(AO102-AJ102)*10000</f>
        <v>7.6818026630249232</v>
      </c>
      <c r="AP103" s="68">
        <f t="shared" ref="AP103" si="466">-(AP102-AK102)*10000</f>
        <v>-1.7318534624427979</v>
      </c>
      <c r="AQ103" s="68">
        <f t="shared" ref="AQ103" si="467">-(AQ102-AL102)*10000</f>
        <v>0</v>
      </c>
      <c r="AR103" s="68">
        <f t="shared" ref="AR103" si="468">-(AR102-AM102)*10000</f>
        <v>9.4309965419679358</v>
      </c>
      <c r="AS103" s="68">
        <f t="shared" ref="AS103" si="469">-(AS102-AN102)*10000</f>
        <v>-31.746031746031747</v>
      </c>
      <c r="AT103" s="1112">
        <f t="shared" ref="AT103" si="470">-(AT102-AO102)*10000</f>
        <v>-6.7658839966025024</v>
      </c>
      <c r="AU103" s="68">
        <f t="shared" ref="AU103" si="471">-(AU102-AP102)*10000</f>
        <v>-4.5045045045045047</v>
      </c>
      <c r="AV103" s="68">
        <f t="shared" ref="AV103" si="472">-(AV102-AQ102)*10000</f>
        <v>0</v>
      </c>
      <c r="AW103" s="68">
        <f t="shared" ref="AW103" si="473">-(AW102-AR102)*10000</f>
        <v>0</v>
      </c>
      <c r="AX103" s="68">
        <f t="shared" ref="AX103" si="474">-(AX102-AS102)*10000</f>
        <v>0</v>
      </c>
      <c r="AY103" s="1112">
        <f t="shared" ref="AY103" si="475">-(AY102-AT102)*10000</f>
        <v>-0.9159186664224217</v>
      </c>
      <c r="AZ103" s="68">
        <f t="shared" ref="AZ103" si="476">-(AZ102-AU102)*10000</f>
        <v>0</v>
      </c>
      <c r="BA103" s="68">
        <f t="shared" ref="BA103" si="477">-(BA102-AV102)*10000</f>
        <v>0</v>
      </c>
      <c r="BB103" s="68">
        <f t="shared" ref="BB103" si="478">-(BB102-AW102)*10000</f>
        <v>0</v>
      </c>
      <c r="BC103" s="68">
        <f t="shared" ref="BC103" si="479">-(BC102-AX102)*10000</f>
        <v>0</v>
      </c>
      <c r="BD103" s="1112">
        <f t="shared" ref="BD103" si="480">-(BD102-AY102)*10000</f>
        <v>0</v>
      </c>
      <c r="BE103" s="68">
        <f t="shared" ref="BE103:BI103" si="481">-(BE102-AZ102)*10000</f>
        <v>8.4459459459459456</v>
      </c>
      <c r="BF103" s="68">
        <f t="shared" si="481"/>
        <v>0</v>
      </c>
      <c r="BG103" s="68">
        <f t="shared" si="481"/>
        <v>0</v>
      </c>
      <c r="BH103" s="68">
        <f t="shared" si="481"/>
        <v>0</v>
      </c>
      <c r="BI103" s="1112">
        <f t="shared" si="481"/>
        <v>2.5950915696596724</v>
      </c>
      <c r="BJ103" s="68">
        <f t="shared" ref="BJ103:BN103" si="482">-(BJ102-BE102)*10000</f>
        <v>-8.4459459459459456</v>
      </c>
      <c r="BK103" s="68">
        <f t="shared" si="482"/>
        <v>0</v>
      </c>
      <c r="BL103" s="68">
        <f t="shared" si="482"/>
        <v>0</v>
      </c>
      <c r="BM103" s="68">
        <f t="shared" si="482"/>
        <v>0</v>
      </c>
      <c r="BN103" s="1112">
        <f t="shared" si="482"/>
        <v>-2.5950915696596724</v>
      </c>
      <c r="BO103" s="68">
        <f t="shared" ref="BO103:BS103" si="483">-(BO102-BJ102)*10000</f>
        <v>0</v>
      </c>
      <c r="BP103" s="68">
        <f t="shared" si="483"/>
        <v>0</v>
      </c>
      <c r="BQ103" s="68">
        <f t="shared" si="483"/>
        <v>0</v>
      </c>
      <c r="BR103" s="68">
        <f t="shared" si="483"/>
        <v>0</v>
      </c>
      <c r="BS103" s="1112">
        <f t="shared" si="483"/>
        <v>0</v>
      </c>
      <c r="BT103" s="68">
        <f t="shared" ref="BT103:CH103" si="484">-(BT102-BO102)*10000</f>
        <v>0</v>
      </c>
      <c r="BU103" s="68">
        <f t="shared" si="484"/>
        <v>3.209036647198511</v>
      </c>
      <c r="BV103" s="68">
        <f t="shared" si="484"/>
        <v>0</v>
      </c>
      <c r="BW103" s="68">
        <f t="shared" si="484"/>
        <v>5.5778178989240681</v>
      </c>
      <c r="BX103" s="1112">
        <f t="shared" si="484"/>
        <v>2.4544082097639142</v>
      </c>
      <c r="BY103" s="588">
        <f>-(BY102-BT102)*10000</f>
        <v>0</v>
      </c>
      <c r="BZ103" s="68">
        <f t="shared" si="484"/>
        <v>-3.209036647198511</v>
      </c>
      <c r="CA103" s="68">
        <f t="shared" si="484"/>
        <v>0</v>
      </c>
      <c r="CB103" s="68">
        <f t="shared" si="484"/>
        <v>-5.5778178989240681</v>
      </c>
      <c r="CC103" s="1112">
        <f t="shared" si="484"/>
        <v>-2.4544082097639142</v>
      </c>
      <c r="CD103" s="68">
        <f t="shared" si="484"/>
        <v>0</v>
      </c>
      <c r="CE103" s="68">
        <f t="shared" si="484"/>
        <v>0</v>
      </c>
      <c r="CF103" s="68">
        <f t="shared" si="484"/>
        <v>0</v>
      </c>
      <c r="CG103" s="68">
        <f t="shared" si="484"/>
        <v>0</v>
      </c>
      <c r="CH103" s="1112">
        <f t="shared" si="484"/>
        <v>0</v>
      </c>
      <c r="CI103" s="1112">
        <f>-(CI102-CH102)*10000</f>
        <v>0</v>
      </c>
      <c r="CJ103" s="1112">
        <f>-(CJ102-CI102)*10000</f>
        <v>0</v>
      </c>
      <c r="CK103" s="1112">
        <f>-(CK102-CJ102)*10000</f>
        <v>0</v>
      </c>
      <c r="CL103" s="155"/>
    </row>
    <row r="104" spans="1:90" x14ac:dyDescent="0.3">
      <c r="A104" s="647"/>
      <c r="B104" s="202"/>
      <c r="C104" s="1128"/>
      <c r="D104" s="1128"/>
      <c r="E104" s="1128"/>
      <c r="F104" s="1128"/>
      <c r="G104" s="315"/>
      <c r="H104" s="315"/>
      <c r="I104" s="315"/>
      <c r="J104" s="315"/>
      <c r="K104" s="1128"/>
      <c r="L104" s="315"/>
      <c r="M104" s="315"/>
      <c r="N104" s="315"/>
      <c r="O104" s="315"/>
      <c r="P104" s="1128"/>
      <c r="Q104" s="315"/>
      <c r="R104" s="315"/>
      <c r="S104" s="315"/>
      <c r="T104" s="315"/>
      <c r="U104" s="1128"/>
      <c r="V104" s="315"/>
      <c r="W104" s="315"/>
      <c r="X104" s="315"/>
      <c r="Y104" s="315"/>
      <c r="Z104" s="1128"/>
      <c r="AA104" s="315"/>
      <c r="AB104" s="315"/>
      <c r="AC104" s="315"/>
      <c r="AD104" s="315"/>
      <c r="AE104" s="1128"/>
      <c r="AF104" s="315"/>
      <c r="AG104" s="315"/>
      <c r="AH104" s="315"/>
      <c r="AI104" s="315"/>
      <c r="AJ104" s="1128"/>
      <c r="AK104" s="315"/>
      <c r="AL104" s="315"/>
      <c r="AM104" s="315"/>
      <c r="AN104" s="315"/>
      <c r="AO104" s="1128"/>
      <c r="AP104" s="315"/>
      <c r="AQ104" s="315"/>
      <c r="AR104" s="315"/>
      <c r="AS104" s="315"/>
      <c r="AT104" s="1128"/>
      <c r="AU104" s="315"/>
      <c r="AV104" s="315"/>
      <c r="AW104" s="315"/>
      <c r="AX104" s="315"/>
      <c r="AY104" s="1128"/>
      <c r="AZ104" s="315"/>
      <c r="BA104" s="315"/>
      <c r="BB104" s="315"/>
      <c r="BC104" s="315"/>
      <c r="BD104" s="1128"/>
      <c r="BE104" s="315"/>
      <c r="BF104" s="315"/>
      <c r="BG104" s="315"/>
      <c r="BH104" s="315"/>
      <c r="BI104" s="1128"/>
      <c r="BJ104" s="315"/>
      <c r="BK104" s="315"/>
      <c r="BL104" s="315"/>
      <c r="BM104" s="315"/>
      <c r="BN104" s="1128"/>
      <c r="BO104" s="315"/>
      <c r="BP104" s="315"/>
      <c r="BQ104" s="315"/>
      <c r="BR104" s="315"/>
      <c r="BS104" s="1128"/>
      <c r="BT104" s="315"/>
      <c r="BU104" s="315"/>
      <c r="BV104" s="315"/>
      <c r="BW104" s="315"/>
      <c r="BX104" s="1128"/>
      <c r="BY104" s="897"/>
      <c r="BZ104" s="315"/>
      <c r="CA104" s="315"/>
      <c r="CB104" s="315"/>
      <c r="CC104" s="1128"/>
      <c r="CD104" s="315"/>
      <c r="CE104" s="315"/>
      <c r="CF104" s="315"/>
      <c r="CG104" s="315"/>
      <c r="CH104" s="1128"/>
      <c r="CI104" s="1128"/>
      <c r="CJ104" s="1128"/>
      <c r="CK104" s="1128"/>
      <c r="CL104" s="155"/>
    </row>
    <row r="105" spans="1:90" x14ac:dyDescent="0.3">
      <c r="A105" s="99" t="s">
        <v>725</v>
      </c>
      <c r="B105" s="598"/>
      <c r="C105" s="1112">
        <f t="shared" ref="C105:BD105" si="485">C395</f>
        <v>152.10200000000009</v>
      </c>
      <c r="D105" s="1112">
        <f t="shared" si="485"/>
        <v>-31.858999999999924</v>
      </c>
      <c r="E105" s="1112">
        <f t="shared" si="485"/>
        <v>-21.886999999999944</v>
      </c>
      <c r="F105" s="1112">
        <f t="shared" si="485"/>
        <v>-17.189999999999714</v>
      </c>
      <c r="G105" s="68">
        <f t="shared" si="485"/>
        <v>-4.3419999999999703</v>
      </c>
      <c r="H105" s="68">
        <f t="shared" si="485"/>
        <v>-4.0649999999999977</v>
      </c>
      <c r="I105" s="68">
        <f t="shared" si="485"/>
        <v>-4.4019999999999868</v>
      </c>
      <c r="J105" s="68">
        <f t="shared" si="485"/>
        <v>0</v>
      </c>
      <c r="K105" s="1112">
        <f t="shared" si="485"/>
        <v>0</v>
      </c>
      <c r="L105" s="68">
        <f t="shared" si="485"/>
        <v>0</v>
      </c>
      <c r="M105" s="68">
        <f t="shared" si="485"/>
        <v>0</v>
      </c>
      <c r="N105" s="68">
        <f t="shared" si="485"/>
        <v>0</v>
      </c>
      <c r="O105" s="68">
        <f t="shared" si="485"/>
        <v>0</v>
      </c>
      <c r="P105" s="1112">
        <f t="shared" si="485"/>
        <v>0</v>
      </c>
      <c r="Q105" s="68">
        <f t="shared" si="485"/>
        <v>0.36100000000001842</v>
      </c>
      <c r="R105" s="68">
        <f t="shared" si="485"/>
        <v>0</v>
      </c>
      <c r="S105" s="68">
        <f t="shared" si="485"/>
        <v>1.4139999999999873</v>
      </c>
      <c r="T105" s="68">
        <f t="shared" si="485"/>
        <v>-1</v>
      </c>
      <c r="U105" s="1112">
        <f t="shared" si="485"/>
        <v>-1.2250000000000227</v>
      </c>
      <c r="V105" s="68">
        <f t="shared" si="485"/>
        <v>1</v>
      </c>
      <c r="W105" s="68">
        <f t="shared" si="485"/>
        <v>0</v>
      </c>
      <c r="X105" s="68">
        <f t="shared" si="485"/>
        <v>0</v>
      </c>
      <c r="Y105" s="68">
        <f t="shared" si="485"/>
        <v>-1</v>
      </c>
      <c r="Z105" s="1112">
        <f t="shared" si="485"/>
        <v>0</v>
      </c>
      <c r="AA105" s="68">
        <f t="shared" si="485"/>
        <v>0</v>
      </c>
      <c r="AB105" s="68">
        <f t="shared" si="485"/>
        <v>0</v>
      </c>
      <c r="AC105" s="68">
        <f t="shared" si="485"/>
        <v>0</v>
      </c>
      <c r="AD105" s="68">
        <f t="shared" si="485"/>
        <v>-1</v>
      </c>
      <c r="AE105" s="1112">
        <f t="shared" si="485"/>
        <v>-1</v>
      </c>
      <c r="AF105" s="68">
        <f t="shared" si="485"/>
        <v>-1</v>
      </c>
      <c r="AG105" s="68">
        <f t="shared" si="485"/>
        <v>0</v>
      </c>
      <c r="AH105" s="68">
        <f t="shared" si="485"/>
        <v>0</v>
      </c>
      <c r="AI105" s="68">
        <f t="shared" si="485"/>
        <v>0</v>
      </c>
      <c r="AJ105" s="1112">
        <f t="shared" si="485"/>
        <v>0</v>
      </c>
      <c r="AK105" s="68">
        <f t="shared" si="485"/>
        <v>0</v>
      </c>
      <c r="AL105" s="68">
        <f t="shared" si="485"/>
        <v>1</v>
      </c>
      <c r="AM105" s="68">
        <f t="shared" si="485"/>
        <v>0</v>
      </c>
      <c r="AN105" s="68">
        <f t="shared" si="485"/>
        <v>0</v>
      </c>
      <c r="AO105" s="1112">
        <f t="shared" si="485"/>
        <v>0</v>
      </c>
      <c r="AP105" s="68">
        <f t="shared" si="485"/>
        <v>0</v>
      </c>
      <c r="AQ105" s="68">
        <f t="shared" si="485"/>
        <v>0</v>
      </c>
      <c r="AR105" s="68">
        <f t="shared" si="485"/>
        <v>1</v>
      </c>
      <c r="AS105" s="68">
        <f t="shared" si="485"/>
        <v>0</v>
      </c>
      <c r="AT105" s="1112">
        <f t="shared" si="485"/>
        <v>1</v>
      </c>
      <c r="AU105" s="68">
        <f t="shared" si="485"/>
        <v>0</v>
      </c>
      <c r="AV105" s="68">
        <f t="shared" si="485"/>
        <v>0</v>
      </c>
      <c r="AW105" s="68">
        <f t="shared" si="485"/>
        <v>1</v>
      </c>
      <c r="AX105" s="68">
        <f t="shared" si="485"/>
        <v>0</v>
      </c>
      <c r="AY105" s="1112">
        <f t="shared" si="485"/>
        <v>0</v>
      </c>
      <c r="AZ105" s="68">
        <f t="shared" si="485"/>
        <v>0</v>
      </c>
      <c r="BA105" s="68">
        <f t="shared" si="485"/>
        <v>0</v>
      </c>
      <c r="BB105" s="68">
        <f t="shared" si="485"/>
        <v>0</v>
      </c>
      <c r="BC105" s="68">
        <f t="shared" si="485"/>
        <v>0</v>
      </c>
      <c r="BD105" s="1112">
        <f t="shared" si="485"/>
        <v>0</v>
      </c>
      <c r="BE105" s="68">
        <f t="shared" ref="BE105:BJ105" si="486">BE395</f>
        <v>0</v>
      </c>
      <c r="BF105" s="68">
        <f t="shared" si="486"/>
        <v>0</v>
      </c>
      <c r="BG105" s="68">
        <f t="shared" si="486"/>
        <v>0</v>
      </c>
      <c r="BH105" s="68">
        <f t="shared" si="486"/>
        <v>0</v>
      </c>
      <c r="BI105" s="1112">
        <f t="shared" si="486"/>
        <v>0</v>
      </c>
      <c r="BJ105" s="68">
        <f t="shared" si="486"/>
        <v>0</v>
      </c>
      <c r="BK105" s="68">
        <f t="shared" ref="BK105:BP105" si="487">BK395</f>
        <v>0</v>
      </c>
      <c r="BL105" s="68">
        <f t="shared" si="487"/>
        <v>0</v>
      </c>
      <c r="BM105" s="68">
        <f t="shared" si="487"/>
        <v>0</v>
      </c>
      <c r="BN105" s="1112">
        <f t="shared" si="487"/>
        <v>0</v>
      </c>
      <c r="BO105" s="68">
        <f t="shared" si="487"/>
        <v>-1</v>
      </c>
      <c r="BP105" s="68">
        <f t="shared" si="487"/>
        <v>0</v>
      </c>
      <c r="BQ105" s="68">
        <f t="shared" ref="BQ105:BV105" si="488">BQ395</f>
        <v>0</v>
      </c>
      <c r="BR105" s="68">
        <f t="shared" si="488"/>
        <v>0</v>
      </c>
      <c r="BS105" s="1112">
        <f t="shared" si="488"/>
        <v>0</v>
      </c>
      <c r="BT105" s="68">
        <f t="shared" si="488"/>
        <v>0</v>
      </c>
      <c r="BU105" s="68">
        <f t="shared" si="488"/>
        <v>0</v>
      </c>
      <c r="BV105" s="68">
        <f t="shared" si="488"/>
        <v>0</v>
      </c>
      <c r="BW105" s="68">
        <f>BW395</f>
        <v>0</v>
      </c>
      <c r="BX105" s="1112">
        <f>BX395</f>
        <v>0</v>
      </c>
      <c r="BY105" s="588">
        <f>BY395</f>
        <v>0</v>
      </c>
      <c r="BZ105" s="1055">
        <v>0</v>
      </c>
      <c r="CA105" s="1055">
        <v>0</v>
      </c>
      <c r="CB105" s="1055">
        <v>0</v>
      </c>
      <c r="CC105" s="1112">
        <f>SUM(BY105,BZ105,CA105,CB105)</f>
        <v>0</v>
      </c>
      <c r="CD105" s="1055">
        <v>0</v>
      </c>
      <c r="CE105" s="1055">
        <v>0</v>
      </c>
      <c r="CF105" s="1055">
        <v>0</v>
      </c>
      <c r="CG105" s="1055">
        <v>0</v>
      </c>
      <c r="CH105" s="1112">
        <f>SUM(CD105,CE105,CF105,CG105)</f>
        <v>0</v>
      </c>
      <c r="CI105" s="1113">
        <v>0</v>
      </c>
      <c r="CJ105" s="1113">
        <v>0</v>
      </c>
      <c r="CK105" s="1113">
        <v>0</v>
      </c>
      <c r="CL105" s="155"/>
    </row>
    <row r="106" spans="1:90" x14ac:dyDescent="0.3">
      <c r="A106" s="631" t="s">
        <v>726</v>
      </c>
      <c r="B106" s="599"/>
      <c r="C106" s="1124">
        <f>C57-C74-C89-C100-C105</f>
        <v>148.62199999999939</v>
      </c>
      <c r="D106" s="1124">
        <f t="shared" ref="D106:BE106" si="489">D57-D74-D89-D100-D105</f>
        <v>135.24500000000035</v>
      </c>
      <c r="E106" s="1124">
        <f t="shared" si="489"/>
        <v>502.18000000000006</v>
      </c>
      <c r="F106" s="1124">
        <f t="shared" si="489"/>
        <v>829.4249999999995</v>
      </c>
      <c r="G106" s="61">
        <f t="shared" si="489"/>
        <v>117.90799999999996</v>
      </c>
      <c r="H106" s="61">
        <f t="shared" si="489"/>
        <v>200.86399999999992</v>
      </c>
      <c r="I106" s="61">
        <f t="shared" si="489"/>
        <v>294.35399999999987</v>
      </c>
      <c r="J106" s="61">
        <f t="shared" si="489"/>
        <v>228.03999999999996</v>
      </c>
      <c r="K106" s="1124">
        <f t="shared" si="489"/>
        <v>841.16599999999949</v>
      </c>
      <c r="L106" s="61">
        <f t="shared" si="489"/>
        <v>125.03899999999999</v>
      </c>
      <c r="M106" s="61">
        <f t="shared" si="489"/>
        <v>149.18300000000011</v>
      </c>
      <c r="N106" s="61">
        <f t="shared" si="489"/>
        <v>182.09900000000013</v>
      </c>
      <c r="O106" s="61">
        <f t="shared" si="489"/>
        <v>207.89100000000062</v>
      </c>
      <c r="P106" s="1124">
        <f t="shared" si="489"/>
        <v>664.05000000000041</v>
      </c>
      <c r="Q106" s="61">
        <f t="shared" si="489"/>
        <v>196</v>
      </c>
      <c r="R106" s="61">
        <f t="shared" si="489"/>
        <v>210</v>
      </c>
      <c r="S106" s="61">
        <f t="shared" si="489"/>
        <v>264</v>
      </c>
      <c r="T106" s="61">
        <f t="shared" si="489"/>
        <v>284</v>
      </c>
      <c r="U106" s="1124">
        <f t="shared" si="489"/>
        <v>954</v>
      </c>
      <c r="V106" s="61">
        <f t="shared" si="489"/>
        <v>230</v>
      </c>
      <c r="W106" s="61">
        <f t="shared" si="489"/>
        <v>231</v>
      </c>
      <c r="X106" s="61">
        <f t="shared" si="489"/>
        <v>308</v>
      </c>
      <c r="Y106" s="61">
        <f t="shared" si="489"/>
        <v>356</v>
      </c>
      <c r="Z106" s="1124">
        <f t="shared" si="489"/>
        <v>1125</v>
      </c>
      <c r="AA106" s="61">
        <f t="shared" si="489"/>
        <v>322</v>
      </c>
      <c r="AB106" s="61">
        <f t="shared" si="489"/>
        <v>382</v>
      </c>
      <c r="AC106" s="61">
        <f t="shared" si="489"/>
        <v>708</v>
      </c>
      <c r="AD106" s="61">
        <f t="shared" si="489"/>
        <v>809</v>
      </c>
      <c r="AE106" s="1124">
        <f t="shared" si="489"/>
        <v>2221</v>
      </c>
      <c r="AF106" s="61">
        <f t="shared" si="489"/>
        <v>637</v>
      </c>
      <c r="AG106" s="61">
        <f t="shared" si="489"/>
        <v>773</v>
      </c>
      <c r="AH106" s="61">
        <f t="shared" si="489"/>
        <v>1005</v>
      </c>
      <c r="AI106" s="61">
        <f t="shared" si="489"/>
        <v>1202</v>
      </c>
      <c r="AJ106" s="1124">
        <f t="shared" si="489"/>
        <v>3617</v>
      </c>
      <c r="AK106" s="61">
        <f t="shared" si="489"/>
        <v>1428</v>
      </c>
      <c r="AL106" s="61">
        <f t="shared" si="489"/>
        <v>1290</v>
      </c>
      <c r="AM106" s="61">
        <f t="shared" si="489"/>
        <v>1210</v>
      </c>
      <c r="AN106" s="61">
        <f t="shared" si="489"/>
        <v>479</v>
      </c>
      <c r="AO106" s="1124">
        <f t="shared" si="489"/>
        <v>4407</v>
      </c>
      <c r="AP106" s="61">
        <f t="shared" si="489"/>
        <v>557</v>
      </c>
      <c r="AQ106" s="61">
        <f t="shared" si="489"/>
        <v>802</v>
      </c>
      <c r="AR106" s="61">
        <f t="shared" si="489"/>
        <v>1156</v>
      </c>
      <c r="AS106" s="61">
        <f t="shared" si="489"/>
        <v>1220</v>
      </c>
      <c r="AT106" s="1124">
        <f t="shared" si="489"/>
        <v>3735</v>
      </c>
      <c r="AU106" s="61">
        <f t="shared" si="489"/>
        <v>1205</v>
      </c>
      <c r="AV106" s="61">
        <f t="shared" si="489"/>
        <v>1516</v>
      </c>
      <c r="AW106" s="61">
        <f t="shared" si="489"/>
        <v>1993</v>
      </c>
      <c r="AX106" s="61">
        <f t="shared" si="489"/>
        <v>2089</v>
      </c>
      <c r="AY106" s="1124">
        <f t="shared" si="489"/>
        <v>6803</v>
      </c>
      <c r="AZ106" s="61">
        <f t="shared" si="489"/>
        <v>2557</v>
      </c>
      <c r="BA106" s="61">
        <f t="shared" si="489"/>
        <v>3071</v>
      </c>
      <c r="BB106" s="61">
        <f t="shared" si="489"/>
        <v>3386</v>
      </c>
      <c r="BC106" s="61">
        <f t="shared" si="489"/>
        <v>3677</v>
      </c>
      <c r="BD106" s="1124">
        <f t="shared" si="489"/>
        <v>12690</v>
      </c>
      <c r="BE106" s="61">
        <f t="shared" si="489"/>
        <v>3955</v>
      </c>
      <c r="BF106" s="61">
        <f t="shared" ref="BF106:BI106" si="490">BF57-BF74-BF89-BF100-BF105</f>
        <v>1325</v>
      </c>
      <c r="BG106" s="61">
        <f t="shared" si="490"/>
        <v>1536</v>
      </c>
      <c r="BH106" s="61">
        <f t="shared" si="490"/>
        <v>2224</v>
      </c>
      <c r="BI106" s="1124">
        <f t="shared" si="490"/>
        <v>9040</v>
      </c>
      <c r="BJ106" s="61">
        <f t="shared" ref="BJ106:BN106" si="491">BJ57-BJ74-BJ89-BJ100-BJ105</f>
        <v>3052</v>
      </c>
      <c r="BK106" s="61">
        <f t="shared" si="491"/>
        <v>7776</v>
      </c>
      <c r="BL106" s="61">
        <f t="shared" si="491"/>
        <v>11557</v>
      </c>
      <c r="BM106" s="61">
        <f t="shared" si="491"/>
        <v>14749</v>
      </c>
      <c r="BN106" s="1124">
        <f t="shared" si="491"/>
        <v>37134</v>
      </c>
      <c r="BO106" s="61">
        <f t="shared" ref="BO106:BS106" si="492">BO57-BO74-BO89-BO100-BO105</f>
        <v>18059</v>
      </c>
      <c r="BP106" s="61">
        <f t="shared" si="492"/>
        <v>19937</v>
      </c>
      <c r="BQ106" s="61">
        <f t="shared" si="492"/>
        <v>23276</v>
      </c>
      <c r="BR106" s="61">
        <f t="shared" si="492"/>
        <v>25516</v>
      </c>
      <c r="BS106" s="1124">
        <f t="shared" si="492"/>
        <v>86789</v>
      </c>
      <c r="BT106" s="61">
        <f t="shared" ref="BT106:CK106" si="493">BT57-BT74-BT89-BT100-BT105</f>
        <v>23275</v>
      </c>
      <c r="BU106" s="61">
        <f t="shared" si="493"/>
        <v>30165</v>
      </c>
      <c r="BV106" s="61">
        <f t="shared" si="493"/>
        <v>37752</v>
      </c>
      <c r="BW106" s="61">
        <f t="shared" si="493"/>
        <v>46107</v>
      </c>
      <c r="BX106" s="1124">
        <f t="shared" si="493"/>
        <v>137300</v>
      </c>
      <c r="BY106" s="896">
        <f>BY57-BY74-BY89-BY100-BY105</f>
        <v>53783</v>
      </c>
      <c r="BZ106" s="61">
        <f t="shared" si="493"/>
        <v>59835.724645399518</v>
      </c>
      <c r="CA106" s="61">
        <f t="shared" si="493"/>
        <v>61534.58267108725</v>
      </c>
      <c r="CB106" s="61">
        <f t="shared" si="493"/>
        <v>64505.552758179576</v>
      </c>
      <c r="CC106" s="1124">
        <f t="shared" si="493"/>
        <v>239658.86007466636</v>
      </c>
      <c r="CD106" s="61">
        <f t="shared" si="493"/>
        <v>69538.35801813392</v>
      </c>
      <c r="CE106" s="61">
        <f t="shared" si="493"/>
        <v>77427.956367816136</v>
      </c>
      <c r="CF106" s="61">
        <f t="shared" si="493"/>
        <v>76767.759498915897</v>
      </c>
      <c r="CG106" s="61">
        <f t="shared" si="493"/>
        <v>80245.024769330426</v>
      </c>
      <c r="CH106" s="1124">
        <f t="shared" si="493"/>
        <v>303979.09865419642</v>
      </c>
      <c r="CI106" s="1124">
        <f t="shared" si="493"/>
        <v>362848.70544912887</v>
      </c>
      <c r="CJ106" s="1124">
        <f t="shared" si="493"/>
        <v>426544.80125808634</v>
      </c>
      <c r="CK106" s="1124">
        <f t="shared" si="493"/>
        <v>501566.81081483781</v>
      </c>
      <c r="CL106" s="155"/>
    </row>
    <row r="107" spans="1:90" x14ac:dyDescent="0.3">
      <c r="A107" s="656" t="str">
        <f>CONCATENATE("Consensus Estimates - ",IFERROR(LEFT(A106,FIND("(",A106)-1),A106))</f>
        <v>Consensus Estimates - Non-GAAP Operating Income, mm</v>
      </c>
      <c r="B107" s="641"/>
      <c r="C107" s="1119"/>
      <c r="D107" s="1119"/>
      <c r="E107" s="1119"/>
      <c r="F107" s="1119"/>
      <c r="G107" s="76"/>
      <c r="H107" s="76"/>
      <c r="I107" s="76"/>
      <c r="J107" s="76"/>
      <c r="K107" s="1119"/>
      <c r="L107" s="76"/>
      <c r="M107" s="76"/>
      <c r="N107" s="76"/>
      <c r="O107" s="76"/>
      <c r="P107" s="1119"/>
      <c r="Q107" s="76"/>
      <c r="R107" s="76"/>
      <c r="S107" s="76"/>
      <c r="T107" s="76"/>
      <c r="U107" s="1119"/>
      <c r="V107" s="76"/>
      <c r="W107" s="76"/>
      <c r="X107" s="76"/>
      <c r="Y107" s="76"/>
      <c r="Z107" s="1119"/>
      <c r="AA107" s="76"/>
      <c r="AB107" s="76"/>
      <c r="AC107" s="76"/>
      <c r="AD107" s="76"/>
      <c r="AE107" s="1119"/>
      <c r="AF107" s="76"/>
      <c r="AG107" s="76"/>
      <c r="AH107" s="76"/>
      <c r="AI107" s="76"/>
      <c r="AJ107" s="1119"/>
      <c r="AK107" s="76"/>
      <c r="AL107" s="76"/>
      <c r="AM107" s="76"/>
      <c r="AN107" s="76"/>
      <c r="AO107" s="1119"/>
      <c r="AP107" s="76"/>
      <c r="AQ107" s="76"/>
      <c r="AR107" s="76"/>
      <c r="AS107" s="76"/>
      <c r="AT107" s="1119"/>
      <c r="AU107" s="76"/>
      <c r="AV107" s="76"/>
      <c r="AW107" s="76"/>
      <c r="AX107" s="76"/>
      <c r="AY107" s="1119"/>
      <c r="AZ107" s="76"/>
      <c r="BA107" s="76"/>
      <c r="BB107" s="76"/>
      <c r="BC107" s="76"/>
      <c r="BD107" s="1119"/>
      <c r="BE107" s="76"/>
      <c r="BF107" s="76"/>
      <c r="BG107" s="76"/>
      <c r="BH107" s="76"/>
      <c r="BI107" s="1119"/>
      <c r="BJ107" s="76"/>
      <c r="BK107" s="76"/>
      <c r="BL107" s="76"/>
      <c r="BM107" s="76"/>
      <c r="BN107" s="1119"/>
      <c r="BO107" s="76"/>
      <c r="BP107" s="76"/>
      <c r="BQ107" s="76"/>
      <c r="BR107" s="76"/>
      <c r="BS107" s="1119"/>
      <c r="BT107" s="76"/>
      <c r="BU107" s="76"/>
      <c r="BV107" s="76"/>
      <c r="BW107" s="76"/>
      <c r="BX107" s="1119"/>
      <c r="BY107" s="893"/>
      <c r="BZ107" s="867" t="str">
        <f t="shared" ref="BZ107:CK107" ca="1" si="494">BZ397</f>
        <v>N/A</v>
      </c>
      <c r="CA107" s="867" t="str">
        <f t="shared" ca="1" si="494"/>
        <v>N/A</v>
      </c>
      <c r="CB107" s="867" t="str">
        <f t="shared" ca="1" si="494"/>
        <v>N/A</v>
      </c>
      <c r="CC107" s="1126" t="str">
        <f t="shared" ca="1" si="494"/>
        <v>N/A</v>
      </c>
      <c r="CD107" s="867" t="str">
        <f t="shared" ca="1" si="494"/>
        <v>N/A</v>
      </c>
      <c r="CE107" s="867" t="str">
        <f t="shared" ca="1" si="494"/>
        <v>N/A</v>
      </c>
      <c r="CF107" s="867" t="str">
        <f t="shared" ca="1" si="494"/>
        <v>N/A</v>
      </c>
      <c r="CG107" s="867" t="str">
        <f t="shared" ca="1" si="494"/>
        <v>N/A</v>
      </c>
      <c r="CH107" s="1126" t="str">
        <f t="shared" ca="1" si="494"/>
        <v>N/A</v>
      </c>
      <c r="CI107" s="1126" t="str">
        <f t="shared" ca="1" si="494"/>
        <v>N/A</v>
      </c>
      <c r="CJ107" s="1126" t="str">
        <f t="shared" ca="1" si="494"/>
        <v>N/A</v>
      </c>
      <c r="CK107" s="1126" t="str">
        <f t="shared" ca="1" si="494"/>
        <v>N/A</v>
      </c>
      <c r="CL107" s="155"/>
    </row>
    <row r="108" spans="1:90" x14ac:dyDescent="0.3">
      <c r="A108" s="371" t="s">
        <v>758</v>
      </c>
      <c r="B108" s="582"/>
      <c r="C108" s="1115"/>
      <c r="D108" s="1115">
        <f t="shared" ref="D108:E108" si="495">D106/C106-1</f>
        <v>-9.0006863048533226E-2</v>
      </c>
      <c r="E108" s="1115">
        <f t="shared" si="495"/>
        <v>2.7131132389367356</v>
      </c>
      <c r="F108" s="1115">
        <f>F106/E106-1</f>
        <v>0.65164881118323992</v>
      </c>
      <c r="G108" s="90"/>
      <c r="H108" s="90"/>
      <c r="I108" s="90"/>
      <c r="J108" s="90"/>
      <c r="K108" s="1115">
        <f t="shared" ref="K108:BD108" si="496">K106/F106-1</f>
        <v>1.4155589715767025E-2</v>
      </c>
      <c r="L108" s="90">
        <f t="shared" si="496"/>
        <v>6.0479356786647509E-2</v>
      </c>
      <c r="M108" s="90">
        <f t="shared" si="496"/>
        <v>-0.25729349211406638</v>
      </c>
      <c r="N108" s="90">
        <f t="shared" si="496"/>
        <v>-0.38136053867112318</v>
      </c>
      <c r="O108" s="90">
        <f t="shared" si="496"/>
        <v>-8.8357305735833003E-2</v>
      </c>
      <c r="P108" s="1115">
        <f t="shared" si="496"/>
        <v>-0.21056010347541287</v>
      </c>
      <c r="Q108" s="90">
        <f t="shared" si="496"/>
        <v>0.56751093658778484</v>
      </c>
      <c r="R108" s="90">
        <f t="shared" si="496"/>
        <v>0.40766709343557817</v>
      </c>
      <c r="S108" s="90">
        <f t="shared" si="496"/>
        <v>0.4497608443758605</v>
      </c>
      <c r="T108" s="90">
        <f t="shared" si="496"/>
        <v>0.36610050459134436</v>
      </c>
      <c r="U108" s="1115">
        <f t="shared" si="496"/>
        <v>0.43663880731872506</v>
      </c>
      <c r="V108" s="90">
        <f t="shared" si="496"/>
        <v>0.17346938775510212</v>
      </c>
      <c r="W108" s="90">
        <f t="shared" si="496"/>
        <v>0.10000000000000009</v>
      </c>
      <c r="X108" s="90">
        <f t="shared" si="496"/>
        <v>0.16666666666666674</v>
      </c>
      <c r="Y108" s="90">
        <f t="shared" si="496"/>
        <v>0.25352112676056349</v>
      </c>
      <c r="Z108" s="1115">
        <f t="shared" si="496"/>
        <v>0.179245283018868</v>
      </c>
      <c r="AA108" s="90">
        <f t="shared" si="496"/>
        <v>0.39999999999999991</v>
      </c>
      <c r="AB108" s="90">
        <f t="shared" si="496"/>
        <v>0.65367965367965364</v>
      </c>
      <c r="AC108" s="90">
        <f t="shared" si="496"/>
        <v>1.2987012987012987</v>
      </c>
      <c r="AD108" s="90">
        <f t="shared" si="496"/>
        <v>1.2724719101123596</v>
      </c>
      <c r="AE108" s="1115">
        <f t="shared" si="496"/>
        <v>0.97422222222222232</v>
      </c>
      <c r="AF108" s="90">
        <f t="shared" si="496"/>
        <v>0.97826086956521729</v>
      </c>
      <c r="AG108" s="90">
        <f t="shared" si="496"/>
        <v>1.0235602094240837</v>
      </c>
      <c r="AH108" s="90">
        <f t="shared" si="496"/>
        <v>0.41949152542372881</v>
      </c>
      <c r="AI108" s="90">
        <f t="shared" si="496"/>
        <v>0.4857849196538937</v>
      </c>
      <c r="AJ108" s="1115">
        <f t="shared" si="496"/>
        <v>0.62854570013507427</v>
      </c>
      <c r="AK108" s="90">
        <f t="shared" si="496"/>
        <v>1.2417582417582418</v>
      </c>
      <c r="AL108" s="90">
        <f t="shared" si="496"/>
        <v>0.66882276843467015</v>
      </c>
      <c r="AM108" s="90">
        <f t="shared" si="496"/>
        <v>0.20398009950248763</v>
      </c>
      <c r="AN108" s="90">
        <f t="shared" si="496"/>
        <v>-0.6014975041597338</v>
      </c>
      <c r="AO108" s="1115">
        <f t="shared" si="496"/>
        <v>0.21841304948852636</v>
      </c>
      <c r="AP108" s="90">
        <f t="shared" si="496"/>
        <v>-0.60994397759103647</v>
      </c>
      <c r="AQ108" s="90">
        <f t="shared" si="496"/>
        <v>-0.3782945736434109</v>
      </c>
      <c r="AR108" s="90">
        <f t="shared" si="496"/>
        <v>-4.4628099173553704E-2</v>
      </c>
      <c r="AS108" s="90">
        <f t="shared" si="496"/>
        <v>1.546972860125261</v>
      </c>
      <c r="AT108" s="1115">
        <f t="shared" si="496"/>
        <v>-0.15248468345813482</v>
      </c>
      <c r="AU108" s="90">
        <f t="shared" si="496"/>
        <v>1.1633752244165172</v>
      </c>
      <c r="AV108" s="90">
        <f t="shared" si="496"/>
        <v>0.89027431421446379</v>
      </c>
      <c r="AW108" s="90">
        <f t="shared" si="496"/>
        <v>0.72404844290657433</v>
      </c>
      <c r="AX108" s="90">
        <f t="shared" si="496"/>
        <v>0.71229508196721314</v>
      </c>
      <c r="AY108" s="1115">
        <f t="shared" si="496"/>
        <v>0.82141900937081669</v>
      </c>
      <c r="AZ108" s="90">
        <f t="shared" si="496"/>
        <v>1.1219917012448133</v>
      </c>
      <c r="BA108" s="90">
        <f t="shared" si="496"/>
        <v>1.0257255936675462</v>
      </c>
      <c r="BB108" s="90">
        <f t="shared" si="496"/>
        <v>0.69894631209232316</v>
      </c>
      <c r="BC108" s="90">
        <f t="shared" si="496"/>
        <v>0.76017233125897565</v>
      </c>
      <c r="BD108" s="1115">
        <f t="shared" si="496"/>
        <v>0.86535352050565928</v>
      </c>
      <c r="BE108" s="90">
        <f t="shared" ref="BE108:BI108" si="497">BE106/AZ106-1</f>
        <v>0.54673445443879554</v>
      </c>
      <c r="BF108" s="90">
        <f t="shared" si="497"/>
        <v>-0.56854444806252036</v>
      </c>
      <c r="BG108" s="90">
        <f t="shared" si="497"/>
        <v>-0.54636739515652688</v>
      </c>
      <c r="BH108" s="90">
        <f t="shared" si="497"/>
        <v>-0.39515909709001906</v>
      </c>
      <c r="BI108" s="1115">
        <f t="shared" si="497"/>
        <v>-0.28762805358550037</v>
      </c>
      <c r="BJ108" s="90">
        <f t="shared" ref="BJ108:BN108" si="498">BJ106/BE106-1</f>
        <v>-0.22831858407079642</v>
      </c>
      <c r="BK108" s="90">
        <f t="shared" si="498"/>
        <v>4.868679245283019</v>
      </c>
      <c r="BL108" s="90">
        <f t="shared" si="498"/>
        <v>6.524088541666667</v>
      </c>
      <c r="BM108" s="90">
        <f t="shared" si="498"/>
        <v>5.6317446043165464</v>
      </c>
      <c r="BN108" s="1115">
        <f t="shared" si="498"/>
        <v>3.107743362831858</v>
      </c>
      <c r="BO108" s="90">
        <f t="shared" ref="BO108:BS108" si="499">BO106/BJ106-1</f>
        <v>4.9171035386631718</v>
      </c>
      <c r="BP108" s="90">
        <f t="shared" si="499"/>
        <v>1.5639146090534979</v>
      </c>
      <c r="BQ108" s="90">
        <f t="shared" si="499"/>
        <v>1.0140174785844076</v>
      </c>
      <c r="BR108" s="90">
        <f t="shared" si="499"/>
        <v>0.73001559427757812</v>
      </c>
      <c r="BS108" s="1115">
        <f t="shared" si="499"/>
        <v>1.3371842516292345</v>
      </c>
      <c r="BT108" s="90">
        <f t="shared" ref="BT108:CH108" si="500">BT106/BO106-1</f>
        <v>0.28883105376820417</v>
      </c>
      <c r="BU108" s="90">
        <f t="shared" si="500"/>
        <v>0.51301600040126405</v>
      </c>
      <c r="BV108" s="90">
        <f t="shared" si="500"/>
        <v>0.62192816635160675</v>
      </c>
      <c r="BW108" s="90">
        <f t="shared" si="500"/>
        <v>0.80698385326853739</v>
      </c>
      <c r="BX108" s="1115">
        <f t="shared" si="500"/>
        <v>0.58199771860489236</v>
      </c>
      <c r="BY108" s="892">
        <f>BY106/BT106-1</f>
        <v>1.3107626208378087</v>
      </c>
      <c r="BZ108" s="90">
        <f t="shared" si="500"/>
        <v>0.98361427632685294</v>
      </c>
      <c r="CA108" s="90">
        <f t="shared" si="500"/>
        <v>0.62996881413136396</v>
      </c>
      <c r="CB108" s="90">
        <f t="shared" si="500"/>
        <v>0.39904033570129438</v>
      </c>
      <c r="CC108" s="1115">
        <f t="shared" si="500"/>
        <v>0.74551245502306163</v>
      </c>
      <c r="CD108" s="90">
        <f t="shared" si="500"/>
        <v>0.29294308644244316</v>
      </c>
      <c r="CE108" s="90">
        <f t="shared" si="500"/>
        <v>0.29400883546864831</v>
      </c>
      <c r="CF108" s="90">
        <f t="shared" si="500"/>
        <v>0.24755472722148064</v>
      </c>
      <c r="CG108" s="90">
        <f t="shared" si="500"/>
        <v>0.24400181593909398</v>
      </c>
      <c r="CH108" s="1115">
        <f t="shared" si="500"/>
        <v>0.26838247732418874</v>
      </c>
      <c r="CI108" s="1115">
        <f>CI106/CH106-1</f>
        <v>0.19366333756355369</v>
      </c>
      <c r="CJ108" s="1115">
        <f>CJ106/CI106-1</f>
        <v>0.17554450340429173</v>
      </c>
      <c r="CK108" s="1115">
        <f>CK106/CJ106-1</f>
        <v>0.17588307098216971</v>
      </c>
      <c r="CL108" s="155"/>
    </row>
    <row r="109" spans="1:90" x14ac:dyDescent="0.3">
      <c r="A109" s="621" t="s">
        <v>755</v>
      </c>
      <c r="B109" s="202"/>
      <c r="C109" s="1128">
        <f t="shared" ref="C109:AH109" si="501">C106/C44</f>
        <v>4.3395071154753932E-2</v>
      </c>
      <c r="D109" s="1128">
        <f t="shared" si="501"/>
        <v>4.0657518762522854E-2</v>
      </c>
      <c r="E109" s="1128">
        <f t="shared" si="501"/>
        <v>0.1417262790233649</v>
      </c>
      <c r="F109" s="1128">
        <f t="shared" si="501"/>
        <v>0.20746361241942693</v>
      </c>
      <c r="G109" s="315">
        <f t="shared" si="501"/>
        <v>0.12748506017556926</v>
      </c>
      <c r="H109" s="315">
        <f t="shared" si="501"/>
        <v>0.19234872207379311</v>
      </c>
      <c r="I109" s="315">
        <f t="shared" si="501"/>
        <v>0.2444577322669855</v>
      </c>
      <c r="J109" s="315">
        <f t="shared" si="501"/>
        <v>0.20601643144560222</v>
      </c>
      <c r="K109" s="1128">
        <f t="shared" si="501"/>
        <v>0.19652681127032887</v>
      </c>
      <c r="L109" s="315">
        <f t="shared" si="501"/>
        <v>0.1309666830411243</v>
      </c>
      <c r="M109" s="315">
        <f t="shared" si="501"/>
        <v>0.15265779677008068</v>
      </c>
      <c r="N109" s="315">
        <f t="shared" si="501"/>
        <v>0.17277485917490787</v>
      </c>
      <c r="O109" s="315">
        <f t="shared" si="501"/>
        <v>0.18168827968097037</v>
      </c>
      <c r="P109" s="1128">
        <f t="shared" si="501"/>
        <v>0.16078692493946742</v>
      </c>
      <c r="Q109" s="315">
        <f t="shared" si="501"/>
        <v>0.17769718948322757</v>
      </c>
      <c r="R109" s="315">
        <f t="shared" si="501"/>
        <v>0.19038984587488667</v>
      </c>
      <c r="S109" s="315">
        <f t="shared" si="501"/>
        <v>0.21551020408163266</v>
      </c>
      <c r="T109" s="315">
        <f t="shared" si="501"/>
        <v>0.2270183852917666</v>
      </c>
      <c r="U109" s="1128">
        <f t="shared" si="501"/>
        <v>0.20375907731738574</v>
      </c>
      <c r="V109" s="315">
        <f t="shared" si="501"/>
        <v>0.19982623805386621</v>
      </c>
      <c r="W109" s="315">
        <f t="shared" si="501"/>
        <v>0.20034692107545535</v>
      </c>
      <c r="X109" s="315">
        <f t="shared" si="501"/>
        <v>0.23601532567049807</v>
      </c>
      <c r="Y109" s="315">
        <f t="shared" si="501"/>
        <v>0.25410421127765881</v>
      </c>
      <c r="Z109" s="1128">
        <f t="shared" si="501"/>
        <v>0.22455089820359281</v>
      </c>
      <c r="AA109" s="315">
        <f t="shared" si="501"/>
        <v>0.24674329501915709</v>
      </c>
      <c r="AB109" s="315">
        <f t="shared" si="501"/>
        <v>0.26750700280112044</v>
      </c>
      <c r="AC109" s="315">
        <f t="shared" si="501"/>
        <v>0.3532934131736527</v>
      </c>
      <c r="AD109" s="315">
        <f t="shared" si="501"/>
        <v>0.37229636447307868</v>
      </c>
      <c r="AE109" s="1128">
        <f t="shared" si="501"/>
        <v>0.32141823444283646</v>
      </c>
      <c r="AF109" s="315">
        <f t="shared" si="501"/>
        <v>0.32885906040268459</v>
      </c>
      <c r="AG109" s="315">
        <f t="shared" si="501"/>
        <v>0.34663677130044845</v>
      </c>
      <c r="AH109" s="315">
        <f t="shared" si="501"/>
        <v>0.38125948406676785</v>
      </c>
      <c r="AI109" s="315">
        <f t="shared" ref="AI109:BE109" si="502">AI106/AI44</f>
        <v>0.41291652353143249</v>
      </c>
      <c r="AJ109" s="1128">
        <f t="shared" si="502"/>
        <v>0.37234918674078649</v>
      </c>
      <c r="AK109" s="315">
        <f t="shared" si="502"/>
        <v>0.4452759588400374</v>
      </c>
      <c r="AL109" s="315">
        <f t="shared" si="502"/>
        <v>0.41306436119116235</v>
      </c>
      <c r="AM109" s="315">
        <f t="shared" si="502"/>
        <v>0.38038352719270668</v>
      </c>
      <c r="AN109" s="315">
        <f t="shared" si="502"/>
        <v>0.21723356009070294</v>
      </c>
      <c r="AO109" s="1128">
        <f t="shared" si="502"/>
        <v>0.37615227039945376</v>
      </c>
      <c r="AP109" s="315">
        <f t="shared" si="502"/>
        <v>0.25090090090090089</v>
      </c>
      <c r="AQ109" s="315">
        <f t="shared" si="502"/>
        <v>0.31097324544397054</v>
      </c>
      <c r="AR109" s="315">
        <f t="shared" si="502"/>
        <v>0.38354346383543464</v>
      </c>
      <c r="AS109" s="315">
        <f t="shared" si="502"/>
        <v>0.39291465378421903</v>
      </c>
      <c r="AT109" s="1128">
        <f t="shared" si="502"/>
        <v>0.34209562190877452</v>
      </c>
      <c r="AU109" s="315">
        <f t="shared" si="502"/>
        <v>0.39123376623376621</v>
      </c>
      <c r="AV109" s="315">
        <f t="shared" si="502"/>
        <v>0.39213657527159856</v>
      </c>
      <c r="AW109" s="315">
        <f t="shared" si="502"/>
        <v>0.42170969107067285</v>
      </c>
      <c r="AX109" s="315">
        <f t="shared" si="502"/>
        <v>0.41754947031780931</v>
      </c>
      <c r="AY109" s="1128">
        <f t="shared" si="502"/>
        <v>0.40797601199400302</v>
      </c>
      <c r="AZ109" s="315">
        <f t="shared" si="502"/>
        <v>0.45168698109874583</v>
      </c>
      <c r="BA109" s="315">
        <f t="shared" si="502"/>
        <v>0.47195328108191181</v>
      </c>
      <c r="BB109" s="315">
        <f t="shared" si="502"/>
        <v>0.47669998592144164</v>
      </c>
      <c r="BC109" s="315">
        <f t="shared" si="502"/>
        <v>0.48109381133062934</v>
      </c>
      <c r="BD109" s="1128">
        <f t="shared" si="502"/>
        <v>0.47150182061380697</v>
      </c>
      <c r="BE109" s="315">
        <f t="shared" si="502"/>
        <v>0.47719594594594594</v>
      </c>
      <c r="BF109" s="315">
        <f t="shared" ref="BF109:BI109" si="503">BF106/BF44</f>
        <v>0.19764319809069211</v>
      </c>
      <c r="BG109" s="315">
        <f t="shared" si="503"/>
        <v>0.25897824987354578</v>
      </c>
      <c r="BH109" s="315">
        <f t="shared" si="503"/>
        <v>0.36754255494959509</v>
      </c>
      <c r="BI109" s="1128">
        <f t="shared" si="503"/>
        <v>0.33513753985319195</v>
      </c>
      <c r="BJ109" s="315">
        <f t="shared" ref="BJ109:BN109" si="504">BJ106/BJ44</f>
        <v>0.42436040044493883</v>
      </c>
      <c r="BK109" s="315">
        <f t="shared" si="504"/>
        <v>0.57570148811727251</v>
      </c>
      <c r="BL109" s="315">
        <f t="shared" si="504"/>
        <v>0.63780353200883</v>
      </c>
      <c r="BM109" s="315">
        <f t="shared" si="504"/>
        <v>0.66728498393883184</v>
      </c>
      <c r="BN109" s="1128">
        <f t="shared" si="504"/>
        <v>0.60953350185483079</v>
      </c>
      <c r="BO109" s="315">
        <f t="shared" ref="BO109:BS109" si="505">BO106/BO44</f>
        <v>0.69340347104899402</v>
      </c>
      <c r="BP109" s="315">
        <f t="shared" si="505"/>
        <v>0.66368175765645809</v>
      </c>
      <c r="BQ109" s="315">
        <f t="shared" si="505"/>
        <v>0.66347414628584456</v>
      </c>
      <c r="BR109" s="315">
        <f t="shared" si="505"/>
        <v>0.64875034959700995</v>
      </c>
      <c r="BS109" s="1128">
        <f t="shared" si="505"/>
        <v>0.66506509728192986</v>
      </c>
      <c r="BT109" s="315">
        <f t="shared" ref="BT109:CK109" si="506">BT106/BT44</f>
        <v>0.52823294448731328</v>
      </c>
      <c r="BU109" s="315">
        <f t="shared" si="506"/>
        <v>0.64533726975162053</v>
      </c>
      <c r="BV109" s="315">
        <f t="shared" si="506"/>
        <v>0.66224607936006741</v>
      </c>
      <c r="BW109" s="315">
        <f t="shared" si="506"/>
        <v>0.67678013122550529</v>
      </c>
      <c r="BX109" s="1128">
        <f t="shared" si="506"/>
        <v>0.63583065509544401</v>
      </c>
      <c r="BY109" s="897">
        <f>BY106/BY44</f>
        <v>0.65898425534521843</v>
      </c>
      <c r="BZ109" s="315">
        <f t="shared" si="506"/>
        <v>0.65801636608690073</v>
      </c>
      <c r="CA109" s="315">
        <f t="shared" si="506"/>
        <v>0.67224607936006742</v>
      </c>
      <c r="CB109" s="315">
        <f t="shared" si="506"/>
        <v>0.68622234943561289</v>
      </c>
      <c r="CC109" s="1128">
        <f t="shared" si="506"/>
        <v>0.66927880097673498</v>
      </c>
      <c r="CD109" s="315">
        <f t="shared" si="506"/>
        <v>0.65898425534521843</v>
      </c>
      <c r="CE109" s="315">
        <f t="shared" si="506"/>
        <v>0.65801636608690062</v>
      </c>
      <c r="CF109" s="315">
        <f t="shared" si="506"/>
        <v>0.67224607936006742</v>
      </c>
      <c r="CG109" s="315">
        <f t="shared" si="506"/>
        <v>0.68622234943561289</v>
      </c>
      <c r="CH109" s="1128">
        <f t="shared" si="506"/>
        <v>0.66907769247242233</v>
      </c>
      <c r="CI109" s="1128">
        <f t="shared" si="506"/>
        <v>0.66957769247242249</v>
      </c>
      <c r="CJ109" s="1128">
        <f t="shared" si="506"/>
        <v>0.67007769247242233</v>
      </c>
      <c r="CK109" s="1128">
        <f t="shared" si="506"/>
        <v>0.67057769247242238</v>
      </c>
      <c r="CL109" s="155"/>
    </row>
    <row r="110" spans="1:90" x14ac:dyDescent="0.3">
      <c r="A110" s="371" t="s">
        <v>754</v>
      </c>
      <c r="B110" s="582"/>
      <c r="C110" s="1115"/>
      <c r="D110" s="1115"/>
      <c r="E110" s="1115"/>
      <c r="F110" s="1115"/>
      <c r="G110" s="90"/>
      <c r="H110" s="90"/>
      <c r="I110" s="90"/>
      <c r="J110" s="90"/>
      <c r="K110" s="1115"/>
      <c r="L110" s="90"/>
      <c r="M110" s="90"/>
      <c r="N110" s="90"/>
      <c r="O110" s="90"/>
      <c r="P110" s="1115"/>
      <c r="Q110" s="90"/>
      <c r="R110" s="90"/>
      <c r="S110" s="90"/>
      <c r="T110" s="90"/>
      <c r="U110" s="1115"/>
      <c r="V110" s="90"/>
      <c r="W110" s="90"/>
      <c r="X110" s="90"/>
      <c r="Y110" s="90"/>
      <c r="Z110" s="1115"/>
      <c r="AA110" s="90"/>
      <c r="AB110" s="90"/>
      <c r="AC110" s="90"/>
      <c r="AD110" s="90"/>
      <c r="AE110" s="1115"/>
      <c r="AF110" s="90"/>
      <c r="AG110" s="90"/>
      <c r="AH110" s="90"/>
      <c r="AI110" s="90"/>
      <c r="AJ110" s="1115"/>
      <c r="AK110" s="90"/>
      <c r="AL110" s="90"/>
      <c r="AM110" s="90"/>
      <c r="AN110" s="90"/>
      <c r="AO110" s="1115"/>
      <c r="AP110" s="90"/>
      <c r="AQ110" s="90"/>
      <c r="AR110" s="90"/>
      <c r="AS110" s="90"/>
      <c r="AT110" s="1115"/>
      <c r="AU110" s="90"/>
      <c r="AV110" s="90"/>
      <c r="AW110" s="90"/>
      <c r="AX110" s="90"/>
      <c r="AY110" s="1115"/>
      <c r="AZ110" s="90"/>
      <c r="BA110" s="90"/>
      <c r="BB110" s="90"/>
      <c r="BC110" s="90"/>
      <c r="BD110" s="1115"/>
      <c r="BE110" s="90"/>
      <c r="BF110" s="90"/>
      <c r="BG110" s="90"/>
      <c r="BH110" s="90"/>
      <c r="BI110" s="1115"/>
      <c r="BJ110" s="90"/>
      <c r="BK110" s="90"/>
      <c r="BL110" s="90"/>
      <c r="BM110" s="90"/>
      <c r="BN110" s="1115"/>
      <c r="BO110" s="90"/>
      <c r="BP110" s="90"/>
      <c r="BQ110" s="90"/>
      <c r="BR110" s="90"/>
      <c r="BS110" s="1115"/>
      <c r="BT110" s="90"/>
      <c r="BU110" s="90"/>
      <c r="BV110" s="90"/>
      <c r="BW110" s="90"/>
      <c r="BX110" s="1115"/>
      <c r="BY110" s="892"/>
      <c r="BZ110" s="643">
        <f t="shared" ref="BZ110:CK110" ca="1" si="507">BZ295</f>
        <v>0</v>
      </c>
      <c r="CA110" s="643">
        <f t="shared" ca="1" si="507"/>
        <v>0</v>
      </c>
      <c r="CB110" s="643">
        <f t="shared" ca="1" si="507"/>
        <v>0</v>
      </c>
      <c r="CC110" s="1116">
        <f t="shared" ca="1" si="507"/>
        <v>0</v>
      </c>
      <c r="CD110" s="643">
        <f t="shared" ca="1" si="507"/>
        <v>0</v>
      </c>
      <c r="CE110" s="643">
        <f t="shared" ca="1" si="507"/>
        <v>0</v>
      </c>
      <c r="CF110" s="643">
        <f t="shared" ca="1" si="507"/>
        <v>0</v>
      </c>
      <c r="CG110" s="643">
        <f t="shared" ca="1" si="507"/>
        <v>0</v>
      </c>
      <c r="CH110" s="1116">
        <f t="shared" ca="1" si="507"/>
        <v>0</v>
      </c>
      <c r="CI110" s="1116">
        <f t="shared" ca="1" si="507"/>
        <v>0</v>
      </c>
      <c r="CJ110" s="1116">
        <f t="shared" ca="1" si="507"/>
        <v>0</v>
      </c>
      <c r="CK110" s="1116">
        <f t="shared" ca="1" si="507"/>
        <v>0</v>
      </c>
      <c r="CL110" s="155"/>
    </row>
    <row r="111" spans="1:90" x14ac:dyDescent="0.3">
      <c r="A111" s="99" t="s">
        <v>756</v>
      </c>
      <c r="B111" s="598"/>
      <c r="C111" s="1112"/>
      <c r="D111" s="1112">
        <f t="shared" ref="D111:E111" si="508">(D109-C109)*10000</f>
        <v>-27.375523922310784</v>
      </c>
      <c r="E111" s="1112">
        <f t="shared" si="508"/>
        <v>1010.6876026084205</v>
      </c>
      <c r="F111" s="1112">
        <f>(F109-E109)*10000</f>
        <v>657.37333396062024</v>
      </c>
      <c r="G111" s="68"/>
      <c r="H111" s="68"/>
      <c r="I111" s="68"/>
      <c r="J111" s="68"/>
      <c r="K111" s="1112">
        <f t="shared" ref="K111:BD111" si="509">(K109-F109)*10000</f>
        <v>-109.36801149098063</v>
      </c>
      <c r="L111" s="68">
        <f t="shared" si="509"/>
        <v>34.81622865555034</v>
      </c>
      <c r="M111" s="68">
        <f t="shared" si="509"/>
        <v>-396.9092530371243</v>
      </c>
      <c r="N111" s="68">
        <f t="shared" si="509"/>
        <v>-716.82873092077637</v>
      </c>
      <c r="O111" s="68">
        <f t="shared" si="509"/>
        <v>-243.28151764631849</v>
      </c>
      <c r="P111" s="1112">
        <f t="shared" si="509"/>
        <v>-357.39886330861447</v>
      </c>
      <c r="Q111" s="68">
        <f t="shared" si="509"/>
        <v>467.30506442103274</v>
      </c>
      <c r="R111" s="68">
        <f t="shared" si="509"/>
        <v>377.32049104805986</v>
      </c>
      <c r="S111" s="68">
        <f t="shared" si="509"/>
        <v>427.35344906724788</v>
      </c>
      <c r="T111" s="68">
        <f t="shared" si="509"/>
        <v>453.30105610796227</v>
      </c>
      <c r="U111" s="1112">
        <f t="shared" si="509"/>
        <v>429.7215237791832</v>
      </c>
      <c r="V111" s="68">
        <f t="shared" si="509"/>
        <v>221.29048570638631</v>
      </c>
      <c r="W111" s="68">
        <f t="shared" si="509"/>
        <v>99.570752005686828</v>
      </c>
      <c r="X111" s="68">
        <f t="shared" si="509"/>
        <v>205.05121588865416</v>
      </c>
      <c r="Y111" s="68">
        <f t="shared" si="509"/>
        <v>270.85825985892211</v>
      </c>
      <c r="Z111" s="1112">
        <f t="shared" si="509"/>
        <v>207.91820886207068</v>
      </c>
      <c r="AA111" s="68">
        <f t="shared" si="509"/>
        <v>469.17056965290885</v>
      </c>
      <c r="AB111" s="68">
        <f t="shared" si="509"/>
        <v>671.60081725665088</v>
      </c>
      <c r="AC111" s="68">
        <f t="shared" si="509"/>
        <v>1172.7808750315464</v>
      </c>
      <c r="AD111" s="68">
        <f t="shared" si="509"/>
        <v>1181.9215319541986</v>
      </c>
      <c r="AE111" s="1112">
        <f t="shared" si="509"/>
        <v>968.6733623924365</v>
      </c>
      <c r="AF111" s="68">
        <f t="shared" si="509"/>
        <v>821.15765383527491</v>
      </c>
      <c r="AG111" s="68">
        <f t="shared" si="509"/>
        <v>791.29768499328009</v>
      </c>
      <c r="AH111" s="68">
        <f t="shared" si="509"/>
        <v>279.66070893115148</v>
      </c>
      <c r="AI111" s="68">
        <f t="shared" si="509"/>
        <v>406.20159058353812</v>
      </c>
      <c r="AJ111" s="1112">
        <f t="shared" si="509"/>
        <v>509.30952297950029</v>
      </c>
      <c r="AK111" s="68">
        <f t="shared" si="509"/>
        <v>1164.168984373528</v>
      </c>
      <c r="AL111" s="68">
        <f t="shared" si="509"/>
        <v>664.27589890713898</v>
      </c>
      <c r="AM111" s="68">
        <f t="shared" si="509"/>
        <v>-8.7595687406116785</v>
      </c>
      <c r="AN111" s="68">
        <f t="shared" si="509"/>
        <v>-1956.8296344072955</v>
      </c>
      <c r="AO111" s="1112">
        <f t="shared" si="509"/>
        <v>38.03083658667272</v>
      </c>
      <c r="AP111" s="68">
        <f t="shared" si="509"/>
        <v>-1943.7505793913651</v>
      </c>
      <c r="AQ111" s="68">
        <f t="shared" si="509"/>
        <v>-1020.9111574719182</v>
      </c>
      <c r="AR111" s="68">
        <f t="shared" si="509"/>
        <v>31.599366427279563</v>
      </c>
      <c r="AS111" s="68">
        <f t="shared" si="509"/>
        <v>1756.810936935161</v>
      </c>
      <c r="AT111" s="1112">
        <f t="shared" si="509"/>
        <v>-340.56648490679243</v>
      </c>
      <c r="AU111" s="68">
        <f t="shared" si="509"/>
        <v>1403.3286533286532</v>
      </c>
      <c r="AV111" s="68">
        <f t="shared" si="509"/>
        <v>811.63329827628024</v>
      </c>
      <c r="AW111" s="68">
        <f t="shared" si="509"/>
        <v>381.66227235238216</v>
      </c>
      <c r="AX111" s="68">
        <f t="shared" si="509"/>
        <v>246.34816533590288</v>
      </c>
      <c r="AY111" s="1112">
        <f t="shared" si="509"/>
        <v>658.80390085228498</v>
      </c>
      <c r="AZ111" s="68">
        <f t="shared" si="509"/>
        <v>604.53214864979623</v>
      </c>
      <c r="BA111" s="68">
        <f t="shared" si="509"/>
        <v>798.16705810313249</v>
      </c>
      <c r="BB111" s="68">
        <f t="shared" si="509"/>
        <v>549.90294850768782</v>
      </c>
      <c r="BC111" s="68">
        <f t="shared" si="509"/>
        <v>635.4434101282003</v>
      </c>
      <c r="BD111" s="1112">
        <f t="shared" si="509"/>
        <v>635.25808619803945</v>
      </c>
      <c r="BE111" s="68">
        <f t="shared" ref="BE111:BI111" si="510">(BE109-AZ109)*10000</f>
        <v>255.0896484720011</v>
      </c>
      <c r="BF111" s="68">
        <f t="shared" si="510"/>
        <v>-2743.1008299121972</v>
      </c>
      <c r="BG111" s="68">
        <f t="shared" si="510"/>
        <v>-2177.2173604789587</v>
      </c>
      <c r="BH111" s="68">
        <f t="shared" si="510"/>
        <v>-1135.5125638103425</v>
      </c>
      <c r="BI111" s="1112">
        <f t="shared" si="510"/>
        <v>-1363.6428076061502</v>
      </c>
      <c r="BJ111" s="68">
        <f t="shared" ref="BJ111:BN111" si="511">(BJ109-BE109)*10000</f>
        <v>-528.35545501007107</v>
      </c>
      <c r="BK111" s="68">
        <f t="shared" si="511"/>
        <v>3780.5829002658043</v>
      </c>
      <c r="BL111" s="68">
        <f t="shared" si="511"/>
        <v>3788.2528213528421</v>
      </c>
      <c r="BM111" s="68">
        <f t="shared" si="511"/>
        <v>2997.4242898923676</v>
      </c>
      <c r="BN111" s="1112">
        <f t="shared" si="511"/>
        <v>2743.9596200163883</v>
      </c>
      <c r="BO111" s="68">
        <f t="shared" ref="BO111:CC111" si="512">(BO109-BJ109)*10000</f>
        <v>2690.4307060405517</v>
      </c>
      <c r="BP111" s="68">
        <f t="shared" si="512"/>
        <v>879.80269539185588</v>
      </c>
      <c r="BQ111" s="68">
        <f t="shared" si="512"/>
        <v>256.70614277014556</v>
      </c>
      <c r="BR111" s="68">
        <f t="shared" si="512"/>
        <v>-185.34634341821899</v>
      </c>
      <c r="BS111" s="1112">
        <f t="shared" si="512"/>
        <v>555.31595427099069</v>
      </c>
      <c r="BT111" s="68">
        <f t="shared" ref="BT111:CB111" si="513">(BT109-BO109)*10000</f>
        <v>-1651.7052656168073</v>
      </c>
      <c r="BU111" s="68">
        <f t="shared" si="513"/>
        <v>-183.44487904837558</v>
      </c>
      <c r="BV111" s="68">
        <f t="shared" si="513"/>
        <v>-12.280669257771493</v>
      </c>
      <c r="BW111" s="68">
        <f t="shared" si="513"/>
        <v>280.29781628495346</v>
      </c>
      <c r="BX111" s="1112">
        <f t="shared" si="513"/>
        <v>-292.34442186485853</v>
      </c>
      <c r="BY111" s="588">
        <f>(BY109-BT109)*10000</f>
        <v>1307.5131085790515</v>
      </c>
      <c r="BZ111" s="68">
        <f t="shared" si="513"/>
        <v>126.79096335280194</v>
      </c>
      <c r="CA111" s="68">
        <f t="shared" si="513"/>
        <v>100.00000000000009</v>
      </c>
      <c r="CB111" s="68">
        <f t="shared" si="513"/>
        <v>94.422182101076004</v>
      </c>
      <c r="CC111" s="1112">
        <f t="shared" si="512"/>
        <v>334.48145881290969</v>
      </c>
      <c r="CD111" s="68">
        <f>(CD109-BY109)*10000</f>
        <v>0</v>
      </c>
      <c r="CE111" s="68">
        <f>(CE109-BZ109)*10000</f>
        <v>-1.1102230246251565E-12</v>
      </c>
      <c r="CF111" s="68">
        <f>(CF109-CA109)*10000</f>
        <v>0</v>
      </c>
      <c r="CG111" s="68">
        <f>(CG109-CB109)*10000</f>
        <v>0</v>
      </c>
      <c r="CH111" s="1112">
        <f>(CH109-CC109)*10000</f>
        <v>-2.0110850431265259</v>
      </c>
      <c r="CI111" s="1112">
        <f>(CI109-CH109)*10000</f>
        <v>5.0000000000016698</v>
      </c>
      <c r="CJ111" s="1112">
        <f>(CJ109-CI109)*10000</f>
        <v>4.9999999999983391</v>
      </c>
      <c r="CK111" s="1112">
        <f>(CK109-CJ109)*10000</f>
        <v>5.0000000000005596</v>
      </c>
      <c r="CL111" s="155"/>
    </row>
    <row r="112" spans="1:90" x14ac:dyDescent="0.3">
      <c r="A112" s="99"/>
      <c r="B112" s="598"/>
      <c r="C112" s="1112"/>
      <c r="D112" s="1112"/>
      <c r="E112" s="1112"/>
      <c r="F112" s="1112"/>
      <c r="G112" s="68"/>
      <c r="H112" s="68"/>
      <c r="I112" s="68"/>
      <c r="J112" s="68"/>
      <c r="K112" s="1112"/>
      <c r="L112" s="68"/>
      <c r="M112" s="68"/>
      <c r="N112" s="68"/>
      <c r="O112" s="68"/>
      <c r="P112" s="1112"/>
      <c r="Q112" s="68"/>
      <c r="R112" s="68"/>
      <c r="S112" s="68"/>
      <c r="T112" s="68"/>
      <c r="U112" s="1112"/>
      <c r="V112" s="68"/>
      <c r="W112" s="68"/>
      <c r="X112" s="68"/>
      <c r="Y112" s="68"/>
      <c r="Z112" s="1112"/>
      <c r="AA112" s="68"/>
      <c r="AB112" s="68"/>
      <c r="AC112" s="68"/>
      <c r="AD112" s="68"/>
      <c r="AE112" s="1112"/>
      <c r="AF112" s="68"/>
      <c r="AG112" s="68"/>
      <c r="AH112" s="68"/>
      <c r="AI112" s="68"/>
      <c r="AJ112" s="1112"/>
      <c r="AK112" s="68"/>
      <c r="AL112" s="68"/>
      <c r="AM112" s="68"/>
      <c r="AN112" s="68"/>
      <c r="AO112" s="1112"/>
      <c r="AP112" s="68"/>
      <c r="AQ112" s="68"/>
      <c r="AR112" s="68"/>
      <c r="AS112" s="68"/>
      <c r="AT112" s="1112"/>
      <c r="AU112" s="68"/>
      <c r="AV112" s="68"/>
      <c r="AW112" s="68"/>
      <c r="AX112" s="68"/>
      <c r="AY112" s="1112"/>
      <c r="AZ112" s="68"/>
      <c r="BA112" s="68"/>
      <c r="BB112" s="68"/>
      <c r="BC112" s="68"/>
      <c r="BD112" s="1112"/>
      <c r="BE112" s="68"/>
      <c r="BF112" s="68"/>
      <c r="BG112" s="68"/>
      <c r="BH112" s="68"/>
      <c r="BI112" s="1112"/>
      <c r="BJ112" s="68"/>
      <c r="BK112" s="68"/>
      <c r="BL112" s="68"/>
      <c r="BM112" s="68"/>
      <c r="BN112" s="1112"/>
      <c r="BO112" s="68"/>
      <c r="BP112" s="68"/>
      <c r="BQ112" s="68"/>
      <c r="BR112" s="68"/>
      <c r="BS112" s="1112"/>
      <c r="BT112" s="68"/>
      <c r="BU112" s="68"/>
      <c r="BV112" s="68"/>
      <c r="BW112" s="68"/>
      <c r="BX112" s="1112"/>
      <c r="BY112" s="588"/>
      <c r="BZ112" s="68"/>
      <c r="CA112" s="68"/>
      <c r="CB112" s="68"/>
      <c r="CC112" s="1112"/>
      <c r="CD112" s="68"/>
      <c r="CE112" s="68"/>
      <c r="CF112" s="68"/>
      <c r="CG112" s="68"/>
      <c r="CH112" s="1112"/>
      <c r="CI112" s="1112"/>
      <c r="CJ112" s="1112"/>
      <c r="CK112" s="1112"/>
      <c r="CL112" s="155"/>
    </row>
    <row r="113" spans="1:90" s="32" customFormat="1" x14ac:dyDescent="0.3">
      <c r="A113" s="600" t="s">
        <v>938</v>
      </c>
      <c r="B113" s="601"/>
      <c r="C113" s="1127">
        <f t="shared" ref="C113:AH113" si="514">+C100+C89+C74</f>
        <v>1067.3340000000001</v>
      </c>
      <c r="D113" s="1127">
        <f t="shared" si="514"/>
        <v>1180.827</v>
      </c>
      <c r="E113" s="1127">
        <f t="shared" si="514"/>
        <v>1118.298</v>
      </c>
      <c r="F113" s="1127">
        <f t="shared" si="514"/>
        <v>1262.904</v>
      </c>
      <c r="G113" s="63">
        <f t="shared" si="514"/>
        <v>352.32400000000001</v>
      </c>
      <c r="H113" s="63">
        <f t="shared" si="514"/>
        <v>346.56900000000002</v>
      </c>
      <c r="I113" s="63">
        <f t="shared" si="514"/>
        <v>349.19500000000005</v>
      </c>
      <c r="J113" s="63">
        <f t="shared" si="514"/>
        <v>360.38799999999992</v>
      </c>
      <c r="K113" s="1127">
        <f t="shared" si="514"/>
        <v>1395.6670000000001</v>
      </c>
      <c r="L113" s="63">
        <f t="shared" si="514"/>
        <v>396.18200000000002</v>
      </c>
      <c r="M113" s="63">
        <f t="shared" si="514"/>
        <v>400.81299999999999</v>
      </c>
      <c r="N113" s="63">
        <f t="shared" si="514"/>
        <v>405.40600000000001</v>
      </c>
      <c r="O113" s="63">
        <f t="shared" si="514"/>
        <v>407.79599999999994</v>
      </c>
      <c r="P113" s="1127">
        <f t="shared" si="514"/>
        <v>1610.1969999999999</v>
      </c>
      <c r="Q113" s="63">
        <f t="shared" si="514"/>
        <v>410.63900000000001</v>
      </c>
      <c r="R113" s="63">
        <f t="shared" si="514"/>
        <v>412</v>
      </c>
      <c r="S113" s="63">
        <f t="shared" si="514"/>
        <v>414.58600000000001</v>
      </c>
      <c r="T113" s="63">
        <f t="shared" si="514"/>
        <v>421</v>
      </c>
      <c r="U113" s="1127">
        <f t="shared" si="514"/>
        <v>1658.2249999999999</v>
      </c>
      <c r="V113" s="63">
        <f t="shared" si="514"/>
        <v>424</v>
      </c>
      <c r="W113" s="63">
        <f t="shared" si="514"/>
        <v>421</v>
      </c>
      <c r="X113" s="63">
        <f t="shared" si="514"/>
        <v>430</v>
      </c>
      <c r="Y113" s="63">
        <f t="shared" si="514"/>
        <v>446</v>
      </c>
      <c r="Z113" s="1127">
        <f t="shared" si="514"/>
        <v>1721</v>
      </c>
      <c r="AA113" s="63">
        <f t="shared" si="514"/>
        <v>443</v>
      </c>
      <c r="AB113" s="63">
        <f t="shared" si="514"/>
        <v>448</v>
      </c>
      <c r="AC113" s="63">
        <f t="shared" si="514"/>
        <v>478</v>
      </c>
      <c r="AD113" s="63">
        <f t="shared" si="514"/>
        <v>499</v>
      </c>
      <c r="AE113" s="1127">
        <f t="shared" si="514"/>
        <v>1868</v>
      </c>
      <c r="AF113" s="63">
        <f t="shared" si="514"/>
        <v>518</v>
      </c>
      <c r="AG113" s="63">
        <f t="shared" si="514"/>
        <v>533</v>
      </c>
      <c r="AH113" s="63">
        <f t="shared" si="514"/>
        <v>570</v>
      </c>
      <c r="AI113" s="63">
        <f t="shared" ref="AI113:BL113" si="515">+AI100+AI89+AI74</f>
        <v>607</v>
      </c>
      <c r="AJ113" s="1127">
        <f t="shared" si="515"/>
        <v>2227</v>
      </c>
      <c r="AK113" s="63">
        <f t="shared" si="515"/>
        <v>648</v>
      </c>
      <c r="AL113" s="63">
        <f t="shared" si="515"/>
        <v>692</v>
      </c>
      <c r="AM113" s="63">
        <f t="shared" si="515"/>
        <v>730</v>
      </c>
      <c r="AN113" s="63">
        <f t="shared" si="515"/>
        <v>755</v>
      </c>
      <c r="AO113" s="1127">
        <f t="shared" si="515"/>
        <v>2826</v>
      </c>
      <c r="AP113" s="63">
        <f t="shared" si="515"/>
        <v>753</v>
      </c>
      <c r="AQ113" s="63">
        <f t="shared" si="515"/>
        <v>749</v>
      </c>
      <c r="AR113" s="63">
        <f t="shared" si="515"/>
        <v>774</v>
      </c>
      <c r="AS113" s="63">
        <f t="shared" si="515"/>
        <v>810</v>
      </c>
      <c r="AT113" s="1127">
        <f t="shared" si="515"/>
        <v>3085</v>
      </c>
      <c r="AU113" s="63">
        <f t="shared" si="515"/>
        <v>821</v>
      </c>
      <c r="AV113" s="63">
        <f t="shared" si="515"/>
        <v>1035</v>
      </c>
      <c r="AW113" s="63">
        <f t="shared" si="515"/>
        <v>1101</v>
      </c>
      <c r="AX113" s="63">
        <f t="shared" si="515"/>
        <v>1187</v>
      </c>
      <c r="AY113" s="1127">
        <f t="shared" si="515"/>
        <v>4144</v>
      </c>
      <c r="AZ113" s="63">
        <f t="shared" si="515"/>
        <v>1189</v>
      </c>
      <c r="BA113" s="63">
        <f t="shared" si="515"/>
        <v>1266</v>
      </c>
      <c r="BB113" s="63">
        <f t="shared" si="515"/>
        <v>1375</v>
      </c>
      <c r="BC113" s="63">
        <f t="shared" si="515"/>
        <v>1447</v>
      </c>
      <c r="BD113" s="1127">
        <f t="shared" si="515"/>
        <v>5279</v>
      </c>
      <c r="BE113" s="63">
        <f t="shared" si="515"/>
        <v>1608</v>
      </c>
      <c r="BF113" s="63">
        <f t="shared" si="515"/>
        <v>1749</v>
      </c>
      <c r="BG113" s="63">
        <f t="shared" si="515"/>
        <v>1793</v>
      </c>
      <c r="BH113" s="63">
        <f t="shared" si="515"/>
        <v>1775</v>
      </c>
      <c r="BI113" s="1127">
        <f t="shared" si="515"/>
        <v>6925</v>
      </c>
      <c r="BJ113" s="63">
        <f t="shared" si="515"/>
        <v>1750</v>
      </c>
      <c r="BK113" s="63">
        <f t="shared" si="515"/>
        <v>1838</v>
      </c>
      <c r="BL113" s="63">
        <f t="shared" si="515"/>
        <v>2026</v>
      </c>
      <c r="BM113" s="63">
        <f t="shared" ref="BM113:BN113" si="516">+BM100+BM89+BM74</f>
        <v>2210</v>
      </c>
      <c r="BN113" s="1127">
        <f t="shared" si="516"/>
        <v>7825</v>
      </c>
      <c r="BO113" s="63">
        <f t="shared" ref="BO113:BS113" si="517">+BO100+BO89+BO74</f>
        <v>2502</v>
      </c>
      <c r="BP113" s="63">
        <f t="shared" si="517"/>
        <v>2792</v>
      </c>
      <c r="BQ113" s="63">
        <f t="shared" si="517"/>
        <v>3046</v>
      </c>
      <c r="BR113" s="63">
        <f t="shared" si="517"/>
        <v>3378</v>
      </c>
      <c r="BS113" s="1127">
        <f t="shared" si="517"/>
        <v>11716</v>
      </c>
      <c r="BT113" s="63">
        <f t="shared" ref="BT113:CK113" si="518">+BT100+BT89+BT74</f>
        <v>3583</v>
      </c>
      <c r="BU113" s="63">
        <f t="shared" si="518"/>
        <v>3795</v>
      </c>
      <c r="BV113" s="63">
        <f t="shared" si="518"/>
        <v>4215</v>
      </c>
      <c r="BW113" s="63">
        <f t="shared" si="518"/>
        <v>5102</v>
      </c>
      <c r="BX113" s="1127">
        <f t="shared" si="518"/>
        <v>16694</v>
      </c>
      <c r="BY113" s="587">
        <f>+BY100+BY89+BY74</f>
        <v>7449</v>
      </c>
      <c r="BZ113" s="63">
        <f t="shared" si="518"/>
        <v>8321.2810074385452</v>
      </c>
      <c r="CA113" s="63">
        <f t="shared" si="518"/>
        <v>6768.1190927270809</v>
      </c>
      <c r="CB113" s="63">
        <f t="shared" si="518"/>
        <v>7092.1203487604034</v>
      </c>
      <c r="CC113" s="1127">
        <f t="shared" si="518"/>
        <v>29630.520448926032</v>
      </c>
      <c r="CD113" s="63">
        <f t="shared" si="518"/>
        <v>9631.1330509097588</v>
      </c>
      <c r="CE113" s="63">
        <f t="shared" si="518"/>
        <v>10767.811146042935</v>
      </c>
      <c r="CF113" s="63">
        <f t="shared" si="518"/>
        <v>8443.5989685296263</v>
      </c>
      <c r="CG113" s="63">
        <f t="shared" si="518"/>
        <v>8822.6105927165427</v>
      </c>
      <c r="CH113" s="1127">
        <f t="shared" si="518"/>
        <v>37665.153758198867</v>
      </c>
      <c r="CI113" s="1127">
        <f t="shared" si="518"/>
        <v>44654.986707387594</v>
      </c>
      <c r="CJ113" s="1127">
        <f t="shared" si="518"/>
        <v>52136.47403684794</v>
      </c>
      <c r="CK113" s="1127">
        <f t="shared" si="518"/>
        <v>60886.704438454348</v>
      </c>
      <c r="CL113" s="237"/>
    </row>
    <row r="114" spans="1:90" s="976" customFormat="1" x14ac:dyDescent="0.3">
      <c r="A114" s="656" t="str">
        <f>CONCATENATE("Guidance - ",IFERROR(LEFT(A113,FIND("(",A113)-1),A113))</f>
        <v>Guidance - Total Non-GAAP Operating Expenses, mm</v>
      </c>
      <c r="B114" s="641"/>
      <c r="C114" s="1119"/>
      <c r="D114" s="1119"/>
      <c r="E114" s="1119"/>
      <c r="F114" s="1119"/>
      <c r="G114" s="76"/>
      <c r="H114" s="76"/>
      <c r="I114" s="76"/>
      <c r="J114" s="76"/>
      <c r="K114" s="1119"/>
      <c r="L114" s="76"/>
      <c r="M114" s="76"/>
      <c r="N114" s="76"/>
      <c r="O114" s="76"/>
      <c r="P114" s="1119"/>
      <c r="Q114" s="76"/>
      <c r="R114" s="76"/>
      <c r="S114" s="76"/>
      <c r="T114" s="76"/>
      <c r="U114" s="1119"/>
      <c r="V114" s="76"/>
      <c r="W114" s="76"/>
      <c r="X114" s="76"/>
      <c r="Y114" s="76"/>
      <c r="Z114" s="1119"/>
      <c r="AA114" s="76"/>
      <c r="AB114" s="76"/>
      <c r="AC114" s="76"/>
      <c r="AD114" s="76"/>
      <c r="AE114" s="1119"/>
      <c r="AF114" s="76"/>
      <c r="AG114" s="76"/>
      <c r="AH114" s="76" t="str">
        <f>+AH530</f>
        <v/>
      </c>
      <c r="AI114" s="76">
        <f t="shared" ref="AI114:BL114" si="519">+AI530</f>
        <v>600</v>
      </c>
      <c r="AJ114" s="1119" t="str">
        <f t="shared" si="519"/>
        <v/>
      </c>
      <c r="AK114" s="76">
        <f t="shared" si="519"/>
        <v>645</v>
      </c>
      <c r="AL114" s="76">
        <f t="shared" si="519"/>
        <v>685</v>
      </c>
      <c r="AM114" s="76">
        <f t="shared" si="519"/>
        <v>730</v>
      </c>
      <c r="AN114" s="76">
        <f t="shared" si="519"/>
        <v>755</v>
      </c>
      <c r="AO114" s="1119" t="str">
        <f t="shared" si="519"/>
        <v/>
      </c>
      <c r="AP114" s="76">
        <f t="shared" si="519"/>
        <v>755</v>
      </c>
      <c r="AQ114" s="76">
        <f t="shared" si="519"/>
        <v>765</v>
      </c>
      <c r="AR114" s="76">
        <f t="shared" si="519"/>
        <v>765</v>
      </c>
      <c r="AS114" s="76">
        <f t="shared" si="519"/>
        <v>805</v>
      </c>
      <c r="AT114" s="1119" t="str">
        <f t="shared" si="519"/>
        <v/>
      </c>
      <c r="AU114" s="76">
        <f t="shared" si="519"/>
        <v>835</v>
      </c>
      <c r="AV114" s="76">
        <f t="shared" si="519"/>
        <v>1040</v>
      </c>
      <c r="AW114" s="76">
        <f t="shared" si="519"/>
        <v>1090</v>
      </c>
      <c r="AX114" s="76">
        <f t="shared" si="519"/>
        <v>1180</v>
      </c>
      <c r="AY114" s="1119">
        <f t="shared" si="519"/>
        <v>4100</v>
      </c>
      <c r="AZ114" s="76">
        <f t="shared" si="519"/>
        <v>1200</v>
      </c>
      <c r="BA114" s="76">
        <f t="shared" si="519"/>
        <v>1260</v>
      </c>
      <c r="BB114" s="76">
        <f t="shared" si="519"/>
        <v>1370</v>
      </c>
      <c r="BC114" s="76">
        <f t="shared" si="519"/>
        <v>1430</v>
      </c>
      <c r="BD114" s="1119" t="str">
        <f t="shared" si="519"/>
        <v/>
      </c>
      <c r="BE114" s="76">
        <f t="shared" si="519"/>
        <v>1600</v>
      </c>
      <c r="BF114" s="76">
        <f t="shared" si="519"/>
        <v>1750</v>
      </c>
      <c r="BG114" s="76">
        <f t="shared" si="519"/>
        <v>1820</v>
      </c>
      <c r="BH114" s="76">
        <f t="shared" si="519"/>
        <v>1780</v>
      </c>
      <c r="BI114" s="1119" t="str">
        <f t="shared" si="519"/>
        <v/>
      </c>
      <c r="BJ114" s="76">
        <f t="shared" si="519"/>
        <v>1780</v>
      </c>
      <c r="BK114" s="76">
        <f t="shared" si="519"/>
        <v>1900</v>
      </c>
      <c r="BL114" s="76">
        <f t="shared" si="519"/>
        <v>2000</v>
      </c>
      <c r="BM114" s="76">
        <f t="shared" ref="BM114" si="520">+BM530</f>
        <v>2200</v>
      </c>
      <c r="BN114" s="1119" t="str">
        <f t="shared" ref="BN114:BS114" si="521">+BN530</f>
        <v/>
      </c>
      <c r="BO114" s="76">
        <f t="shared" si="521"/>
        <v>2500</v>
      </c>
      <c r="BP114" s="76">
        <f t="shared" si="521"/>
        <v>2800</v>
      </c>
      <c r="BQ114" s="76">
        <f t="shared" si="521"/>
        <v>3000</v>
      </c>
      <c r="BR114" s="76">
        <f t="shared" si="521"/>
        <v>3400</v>
      </c>
      <c r="BS114" s="1119" t="str">
        <f t="shared" si="521"/>
        <v/>
      </c>
      <c r="BT114" s="76">
        <f t="shared" ref="BT114:CK114" si="522">+BT530</f>
        <v>3600</v>
      </c>
      <c r="BU114" s="76">
        <f t="shared" si="522"/>
        <v>4000</v>
      </c>
      <c r="BV114" s="76">
        <f t="shared" si="522"/>
        <v>4200</v>
      </c>
      <c r="BW114" s="76">
        <f t="shared" si="522"/>
        <v>5000</v>
      </c>
      <c r="BX114" s="1119" t="str">
        <f t="shared" si="522"/>
        <v/>
      </c>
      <c r="BY114" s="893">
        <f>+BY530</f>
        <v>7500</v>
      </c>
      <c r="BZ114" s="76">
        <f t="shared" si="522"/>
        <v>8300</v>
      </c>
      <c r="CA114" s="76" t="str">
        <f t="shared" si="522"/>
        <v/>
      </c>
      <c r="CB114" s="76" t="str">
        <f t="shared" si="522"/>
        <v/>
      </c>
      <c r="CC114" s="1119" t="str">
        <f t="shared" si="522"/>
        <v/>
      </c>
      <c r="CD114" s="76" t="str">
        <f t="shared" si="522"/>
        <v/>
      </c>
      <c r="CE114" s="76" t="str">
        <f t="shared" si="522"/>
        <v/>
      </c>
      <c r="CF114" s="76" t="str">
        <f t="shared" si="522"/>
        <v/>
      </c>
      <c r="CG114" s="76" t="str">
        <f t="shared" si="522"/>
        <v/>
      </c>
      <c r="CH114" s="1119" t="str">
        <f t="shared" si="522"/>
        <v/>
      </c>
      <c r="CI114" s="1119">
        <f t="shared" si="522"/>
        <v>0</v>
      </c>
      <c r="CJ114" s="1119">
        <f t="shared" si="522"/>
        <v>0</v>
      </c>
      <c r="CK114" s="1119">
        <f t="shared" si="522"/>
        <v>0</v>
      </c>
      <c r="CL114" s="791"/>
    </row>
    <row r="115" spans="1:90" x14ac:dyDescent="0.3">
      <c r="A115" s="600"/>
      <c r="B115" s="601"/>
      <c r="C115" s="1127"/>
      <c r="D115" s="1127"/>
      <c r="E115" s="1127"/>
      <c r="F115" s="1127"/>
      <c r="G115" s="63"/>
      <c r="H115" s="63"/>
      <c r="I115" s="63"/>
      <c r="J115" s="63"/>
      <c r="K115" s="1127"/>
      <c r="L115" s="63"/>
      <c r="M115" s="63"/>
      <c r="N115" s="63"/>
      <c r="O115" s="63"/>
      <c r="P115" s="1127"/>
      <c r="Q115" s="63"/>
      <c r="R115" s="63"/>
      <c r="S115" s="63"/>
      <c r="T115" s="63"/>
      <c r="U115" s="1127"/>
      <c r="V115" s="63"/>
      <c r="W115" s="63"/>
      <c r="X115" s="63"/>
      <c r="Y115" s="63"/>
      <c r="Z115" s="1127"/>
      <c r="AA115" s="63"/>
      <c r="AB115" s="63"/>
      <c r="AC115" s="63"/>
      <c r="AD115" s="63"/>
      <c r="AE115" s="1127"/>
      <c r="AF115" s="63"/>
      <c r="AG115" s="63"/>
      <c r="AH115" s="63"/>
      <c r="AI115" s="63"/>
      <c r="AJ115" s="1127"/>
      <c r="AK115" s="63"/>
      <c r="AL115" s="63"/>
      <c r="AM115" s="63"/>
      <c r="AN115" s="63"/>
      <c r="AO115" s="1127"/>
      <c r="AP115" s="63"/>
      <c r="AQ115" s="63"/>
      <c r="AR115" s="63"/>
      <c r="AS115" s="63"/>
      <c r="AT115" s="1127"/>
      <c r="AU115" s="63"/>
      <c r="AV115" s="63"/>
      <c r="AW115" s="63"/>
      <c r="AX115" s="63"/>
      <c r="AY115" s="1127"/>
      <c r="AZ115" s="63"/>
      <c r="BA115" s="63"/>
      <c r="BB115" s="63"/>
      <c r="BC115" s="63"/>
      <c r="BD115" s="1127"/>
      <c r="BE115" s="63"/>
      <c r="BF115" s="63"/>
      <c r="BG115" s="63"/>
      <c r="BH115" s="63"/>
      <c r="BI115" s="1127"/>
      <c r="BJ115" s="63"/>
      <c r="BK115" s="63"/>
      <c r="BL115" s="63"/>
      <c r="BM115" s="63"/>
      <c r="BN115" s="1127"/>
      <c r="BO115" s="63"/>
      <c r="BP115" s="63"/>
      <c r="BQ115" s="63"/>
      <c r="BR115" s="63"/>
      <c r="BS115" s="1127"/>
      <c r="BT115" s="63"/>
      <c r="BU115" s="63"/>
      <c r="BV115" s="63"/>
      <c r="BW115" s="63"/>
      <c r="BX115" s="1127"/>
      <c r="BY115" s="587"/>
      <c r="BZ115" s="63"/>
      <c r="CA115" s="63"/>
      <c r="CB115" s="63"/>
      <c r="CC115" s="1127"/>
      <c r="CD115" s="63"/>
      <c r="CE115" s="63"/>
      <c r="CF115" s="63"/>
      <c r="CG115" s="63"/>
      <c r="CH115" s="1127"/>
      <c r="CI115" s="1127"/>
      <c r="CJ115" s="1127"/>
      <c r="CK115" s="1127"/>
      <c r="CL115" s="155"/>
    </row>
    <row r="116" spans="1:90" x14ac:dyDescent="0.3">
      <c r="A116" s="45" t="s">
        <v>757</v>
      </c>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c r="BQ116" s="45"/>
      <c r="BR116" s="45"/>
      <c r="BS116" s="45"/>
      <c r="BT116" s="45"/>
      <c r="BU116" s="45"/>
      <c r="BV116" s="45"/>
      <c r="BW116" s="45"/>
      <c r="BX116" s="45"/>
      <c r="BY116" s="881"/>
      <c r="BZ116" s="45"/>
      <c r="CA116" s="45"/>
      <c r="CB116" s="45"/>
      <c r="CC116" s="45"/>
      <c r="CD116" s="45"/>
      <c r="CE116" s="45"/>
      <c r="CF116" s="45"/>
      <c r="CG116" s="45"/>
      <c r="CH116" s="45"/>
      <c r="CI116" s="45"/>
      <c r="CJ116" s="45"/>
      <c r="CK116" s="45"/>
      <c r="CL116" s="155"/>
    </row>
    <row r="117" spans="1:90" hidden="1" outlineLevel="1" x14ac:dyDescent="0.3">
      <c r="A117" s="99" t="s">
        <v>727</v>
      </c>
      <c r="B117" s="146"/>
      <c r="C117" s="1112">
        <f t="shared" ref="C117:Y117" si="523">C119-C118</f>
        <v>152.423</v>
      </c>
      <c r="D117" s="1112">
        <f t="shared" si="523"/>
        <v>164.76399999999998</v>
      </c>
      <c r="E117" s="1112">
        <f t="shared" si="523"/>
        <v>156.989</v>
      </c>
      <c r="F117" s="1112">
        <f t="shared" si="523"/>
        <v>145.20500000000001</v>
      </c>
      <c r="G117" s="68">
        <f t="shared" si="523"/>
        <v>37.890999999999998</v>
      </c>
      <c r="H117" s="68">
        <f t="shared" si="523"/>
        <v>38.995000000000005</v>
      </c>
      <c r="I117" s="68">
        <f t="shared" si="523"/>
        <v>39.847999999999999</v>
      </c>
      <c r="J117" s="68">
        <f t="shared" si="523"/>
        <v>41.100999999999999</v>
      </c>
      <c r="K117" s="1112">
        <f t="shared" si="523"/>
        <v>157.83500000000001</v>
      </c>
      <c r="L117" s="68">
        <f t="shared" si="523"/>
        <v>42.344000000000001</v>
      </c>
      <c r="M117" s="68">
        <f t="shared" si="523"/>
        <v>43.24</v>
      </c>
      <c r="N117" s="68">
        <f t="shared" si="523"/>
        <v>43.125999999999998</v>
      </c>
      <c r="O117" s="68">
        <f t="shared" si="523"/>
        <v>37.737999999999992</v>
      </c>
      <c r="P117" s="1112">
        <f t="shared" si="523"/>
        <v>166.44799999999998</v>
      </c>
      <c r="Q117" s="68">
        <f t="shared" si="523"/>
        <v>36</v>
      </c>
      <c r="R117" s="68">
        <f t="shared" si="523"/>
        <v>37</v>
      </c>
      <c r="S117" s="68">
        <f t="shared" si="523"/>
        <v>36</v>
      </c>
      <c r="T117" s="68">
        <f t="shared" si="523"/>
        <v>34</v>
      </c>
      <c r="U117" s="1112">
        <f t="shared" si="523"/>
        <v>143</v>
      </c>
      <c r="V117" s="68">
        <f t="shared" si="523"/>
        <v>35</v>
      </c>
      <c r="W117" s="68">
        <f t="shared" si="523"/>
        <v>30</v>
      </c>
      <c r="X117" s="68">
        <f t="shared" si="523"/>
        <v>30</v>
      </c>
      <c r="Y117" s="68">
        <f t="shared" si="523"/>
        <v>29</v>
      </c>
      <c r="Z117" s="1113">
        <v>124</v>
      </c>
      <c r="AA117" s="68">
        <f t="shared" ref="AA117:AI117" si="524">AA119-AA118</f>
        <v>28</v>
      </c>
      <c r="AB117" s="68">
        <f t="shared" si="524"/>
        <v>29</v>
      </c>
      <c r="AC117" s="68">
        <f t="shared" si="524"/>
        <v>30</v>
      </c>
      <c r="AD117" s="68">
        <f t="shared" si="524"/>
        <v>32</v>
      </c>
      <c r="AE117" s="1112">
        <f t="shared" si="524"/>
        <v>119</v>
      </c>
      <c r="AF117" s="68">
        <f t="shared" si="524"/>
        <v>32</v>
      </c>
      <c r="AG117" s="68">
        <f t="shared" si="524"/>
        <v>35</v>
      </c>
      <c r="AH117" s="68">
        <f t="shared" si="524"/>
        <v>36</v>
      </c>
      <c r="AI117" s="68">
        <f t="shared" si="524"/>
        <v>41</v>
      </c>
      <c r="AJ117" s="1113">
        <v>144</v>
      </c>
      <c r="AK117" s="68">
        <f>AK119-AK118</f>
        <v>46</v>
      </c>
      <c r="AL117" s="68">
        <f>AL119-AL118</f>
        <v>53</v>
      </c>
      <c r="AM117" s="68">
        <f>AM119-AM118</f>
        <v>61</v>
      </c>
      <c r="AN117" s="68">
        <f>AN119-AN118</f>
        <v>73</v>
      </c>
      <c r="AO117" s="1113">
        <v>233</v>
      </c>
      <c r="AP117" s="68">
        <f t="shared" ref="AP117:AX117" si="525">AP119-AP118</f>
        <v>84</v>
      </c>
      <c r="AQ117" s="68">
        <f t="shared" si="525"/>
        <v>86</v>
      </c>
      <c r="AR117" s="68">
        <f t="shared" si="525"/>
        <v>86</v>
      </c>
      <c r="AS117" s="68">
        <f t="shared" si="525"/>
        <v>100</v>
      </c>
      <c r="AT117" s="1112">
        <f t="shared" si="525"/>
        <v>356</v>
      </c>
      <c r="AU117" s="68">
        <f t="shared" si="525"/>
        <v>100</v>
      </c>
      <c r="AV117" s="68">
        <f t="shared" si="525"/>
        <v>120</v>
      </c>
      <c r="AW117" s="68">
        <f t="shared" si="525"/>
        <v>125</v>
      </c>
      <c r="AX117" s="68">
        <f t="shared" si="525"/>
        <v>141</v>
      </c>
      <c r="AY117" s="1113">
        <v>486</v>
      </c>
      <c r="AZ117" s="68">
        <f>AZ119-AZ118</f>
        <v>144</v>
      </c>
      <c r="BA117" s="68">
        <f>BA119-BA118</f>
        <v>148</v>
      </c>
      <c r="BB117" s="68">
        <f>BB119-BB118</f>
        <v>155</v>
      </c>
      <c r="BC117" s="68">
        <f>BD117-SUM(AZ117,BA117,BB117)</f>
        <v>164</v>
      </c>
      <c r="BD117" s="1113">
        <v>611</v>
      </c>
      <c r="BE117" s="68">
        <f>BE119-BE118</f>
        <v>179</v>
      </c>
      <c r="BF117" s="68">
        <f>BF119-BF118</f>
        <v>196</v>
      </c>
      <c r="BG117" s="68">
        <f>BG119-BG118</f>
        <v>225</v>
      </c>
      <c r="BH117" s="68">
        <f>BI117-SUM(BE117,BF117,BG117)</f>
        <v>244</v>
      </c>
      <c r="BI117" s="1113">
        <v>844</v>
      </c>
      <c r="BJ117" s="68">
        <f>BJ119-BJ118</f>
        <v>203</v>
      </c>
      <c r="BK117" s="68">
        <f>BK119-BK118</f>
        <v>219</v>
      </c>
      <c r="BL117" s="68">
        <f>BL119-BL118</f>
        <v>228</v>
      </c>
      <c r="BM117" s="68">
        <f>BN117-SUM(BJ117,BK117,BL117)</f>
        <v>244</v>
      </c>
      <c r="BN117" s="1113">
        <v>894</v>
      </c>
      <c r="BO117" s="68">
        <f>BO119-BO118</f>
        <v>267</v>
      </c>
      <c r="BP117" s="68">
        <f>BP119-BP118</f>
        <v>287</v>
      </c>
      <c r="BQ117" s="68">
        <f>BQ119-BQ118</f>
        <v>329</v>
      </c>
      <c r="BR117" s="68">
        <f>BS117-SUM(BO117,BP117,BQ117)</f>
        <v>388</v>
      </c>
      <c r="BS117" s="1112">
        <f t="shared" ref="BS117:BX117" si="526">BS119-BS118</f>
        <v>1271</v>
      </c>
      <c r="BT117" s="68">
        <f t="shared" si="526"/>
        <v>452</v>
      </c>
      <c r="BU117" s="68">
        <f t="shared" si="526"/>
        <v>583</v>
      </c>
      <c r="BV117" s="68">
        <f t="shared" si="526"/>
        <v>655</v>
      </c>
      <c r="BW117" s="27">
        <f>BX117-SUM(BT117,BU117,BV117)</f>
        <v>665</v>
      </c>
      <c r="BX117" s="1114">
        <f t="shared" si="526"/>
        <v>2355</v>
      </c>
      <c r="BY117" s="508">
        <f>BY119-BY118</f>
        <v>765</v>
      </c>
      <c r="BZ117" s="68">
        <f>BZ399</f>
        <v>790.98377358490575</v>
      </c>
      <c r="CA117" s="68">
        <f>CA399</f>
        <v>767.53646397802993</v>
      </c>
      <c r="CB117" s="68">
        <f>CB399</f>
        <v>776.95816606108576</v>
      </c>
      <c r="CC117" s="1112">
        <f>SUM(BY117,BZ117,CA117,CB117)</f>
        <v>3100.4784036240212</v>
      </c>
      <c r="CD117" s="68">
        <f>CD399</f>
        <v>693.88438284969925</v>
      </c>
      <c r="CE117" s="68">
        <f>CE399</f>
        <v>683.45878485488163</v>
      </c>
      <c r="CF117" s="68">
        <f>CF399</f>
        <v>665.34813154471203</v>
      </c>
      <c r="CG117" s="68">
        <f>CG399</f>
        <v>647.88026461513232</v>
      </c>
      <c r="CH117" s="1112">
        <f>SUM(CD117,CE117,CF117,CG117)</f>
        <v>2690.5715638644251</v>
      </c>
      <c r="CI117" s="1112">
        <f>CI399</f>
        <v>2450.3570084530043</v>
      </c>
      <c r="CJ117" s="1112">
        <f>CJ399</f>
        <v>2117.4641862552235</v>
      </c>
      <c r="CK117" s="1112">
        <f>CK399</f>
        <v>1871.1234978288653</v>
      </c>
      <c r="CL117" s="155"/>
    </row>
    <row r="118" spans="1:90" hidden="1" outlineLevel="1" x14ac:dyDescent="0.3">
      <c r="A118" s="99" t="s">
        <v>728</v>
      </c>
      <c r="B118" s="146"/>
      <c r="C118" s="1113">
        <v>32.6</v>
      </c>
      <c r="D118" s="1113">
        <v>31.9</v>
      </c>
      <c r="E118" s="1113">
        <v>30</v>
      </c>
      <c r="F118" s="1113">
        <v>59</v>
      </c>
      <c r="G118" s="1055">
        <v>16.600000000000001</v>
      </c>
      <c r="H118" s="1055">
        <v>17.2</v>
      </c>
      <c r="I118" s="1055">
        <v>17.3</v>
      </c>
      <c r="J118" s="68">
        <f>K118-SUM(G118,H118,I118)</f>
        <v>17.300000000000011</v>
      </c>
      <c r="K118" s="1113">
        <v>68.400000000000006</v>
      </c>
      <c r="L118" s="1055">
        <v>17.399999999999999</v>
      </c>
      <c r="M118" s="1055">
        <v>18.600000000000001</v>
      </c>
      <c r="N118" s="1055">
        <v>19.600000000000001</v>
      </c>
      <c r="O118" s="68">
        <f>P118-SUM(L118,M118,N118)</f>
        <v>17.100000000000001</v>
      </c>
      <c r="P118" s="1113">
        <v>72.7</v>
      </c>
      <c r="Q118" s="1055">
        <v>19</v>
      </c>
      <c r="R118" s="1055">
        <v>19</v>
      </c>
      <c r="S118" s="1055">
        <v>19</v>
      </c>
      <c r="T118" s="68">
        <f>U118-SUM(Q118,R118,S118)</f>
        <v>20</v>
      </c>
      <c r="U118" s="1113">
        <v>77</v>
      </c>
      <c r="V118" s="1055">
        <v>19</v>
      </c>
      <c r="W118" s="1055">
        <v>19</v>
      </c>
      <c r="X118" s="1055">
        <v>18</v>
      </c>
      <c r="Y118" s="68">
        <f>Z118-SUM(V118,W118,X118)</f>
        <v>17</v>
      </c>
      <c r="Z118" s="1113">
        <v>73</v>
      </c>
      <c r="AA118" s="1055">
        <v>17</v>
      </c>
      <c r="AB118" s="1055">
        <v>18</v>
      </c>
      <c r="AC118" s="1055">
        <v>18</v>
      </c>
      <c r="AD118" s="68">
        <f>AE118-SUM(AA118,AB118,AC118)</f>
        <v>15</v>
      </c>
      <c r="AE118" s="1113">
        <v>68</v>
      </c>
      <c r="AF118" s="1055">
        <v>15</v>
      </c>
      <c r="AG118" s="1055">
        <v>14</v>
      </c>
      <c r="AH118" s="1055">
        <v>13</v>
      </c>
      <c r="AI118" s="68">
        <f>AJ118-SUM(AF118,AG118,AH118)</f>
        <v>13</v>
      </c>
      <c r="AJ118" s="1113">
        <v>55</v>
      </c>
      <c r="AK118" s="1055">
        <v>11</v>
      </c>
      <c r="AL118" s="1055">
        <v>6</v>
      </c>
      <c r="AM118" s="1055">
        <v>7</v>
      </c>
      <c r="AN118" s="68">
        <f>AO118-SUM(AK118,AL118,AM118)</f>
        <v>5</v>
      </c>
      <c r="AO118" s="1113">
        <v>29</v>
      </c>
      <c r="AP118" s="1055">
        <v>7</v>
      </c>
      <c r="AQ118" s="1055">
        <v>6</v>
      </c>
      <c r="AR118" s="1055">
        <v>6</v>
      </c>
      <c r="AS118" s="68">
        <f>AT118-SUM(AP118,AQ118,AR118)</f>
        <v>6</v>
      </c>
      <c r="AT118" s="1113">
        <v>25</v>
      </c>
      <c r="AU118" s="1055">
        <v>7</v>
      </c>
      <c r="AV118" s="1055">
        <v>284</v>
      </c>
      <c r="AW118" s="1055">
        <v>174</v>
      </c>
      <c r="AX118" s="68">
        <f>AY118-SUM(AU118,AV118,AW118)</f>
        <v>147</v>
      </c>
      <c r="AY118" s="1113">
        <v>612</v>
      </c>
      <c r="AZ118" s="1055">
        <v>137</v>
      </c>
      <c r="BA118" s="1055">
        <v>138</v>
      </c>
      <c r="BB118" s="1055">
        <v>143</v>
      </c>
      <c r="BC118" s="68">
        <f>BD118-SUM(AZ118,BA118,BB118)</f>
        <v>145</v>
      </c>
      <c r="BD118" s="1113">
        <v>563</v>
      </c>
      <c r="BE118" s="1055">
        <v>155</v>
      </c>
      <c r="BF118" s="1055">
        <v>182</v>
      </c>
      <c r="BG118" s="1055">
        <v>181</v>
      </c>
      <c r="BH118" s="68">
        <f>BI118-SUM(BE118,BF118,BG118)</f>
        <v>181</v>
      </c>
      <c r="BI118" s="1113">
        <v>699</v>
      </c>
      <c r="BJ118" s="1055">
        <v>181</v>
      </c>
      <c r="BK118" s="1055">
        <v>146</v>
      </c>
      <c r="BL118" s="1055">
        <v>144</v>
      </c>
      <c r="BM118" s="68">
        <f>BN118-SUM(BJ118,BK118,BL118)</f>
        <v>143</v>
      </c>
      <c r="BN118" s="1113">
        <v>614</v>
      </c>
      <c r="BO118" s="1055">
        <v>143</v>
      </c>
      <c r="BP118" s="1055">
        <v>146</v>
      </c>
      <c r="BQ118" s="1055">
        <v>149</v>
      </c>
      <c r="BR118" s="27">
        <f>BS118-SUM(BO118,BP118,BQ118)</f>
        <v>155</v>
      </c>
      <c r="BS118" s="1113">
        <v>593</v>
      </c>
      <c r="BT118" s="1055">
        <v>159</v>
      </c>
      <c r="BU118" s="1055">
        <v>86</v>
      </c>
      <c r="BV118" s="1055">
        <v>96</v>
      </c>
      <c r="BW118" s="27">
        <f>BX118-SUM(BT118,BU118,BV118)</f>
        <v>147</v>
      </c>
      <c r="BX118" s="1113">
        <v>488</v>
      </c>
      <c r="BY118" s="1057">
        <v>232</v>
      </c>
      <c r="BZ118" s="68">
        <f>-BZ931</f>
        <v>229.58490566037736</v>
      </c>
      <c r="CA118" s="68">
        <f>-CA931</f>
        <v>217.44597467324414</v>
      </c>
      <c r="CB118" s="68">
        <f>-CB931</f>
        <v>214.75714658299623</v>
      </c>
      <c r="CC118" s="1112">
        <f>SUM(BY118,BZ118,CA118,CB118)</f>
        <v>893.7880269166177</v>
      </c>
      <c r="CD118" s="68">
        <f>-CD931</f>
        <v>186.95208131870223</v>
      </c>
      <c r="CE118" s="68">
        <f>-CE931</f>
        <v>179.60108231555006</v>
      </c>
      <c r="CF118" s="68">
        <f>-CF931</f>
        <v>170.45146065971502</v>
      </c>
      <c r="CG118" s="68">
        <f>-CG931</f>
        <v>161.75941104445116</v>
      </c>
      <c r="CH118" s="1112">
        <f>SUM(CD118,CE118,CF118,CG118)</f>
        <v>698.76403533841858</v>
      </c>
      <c r="CI118" s="1112">
        <f>-CI931</f>
        <v>596.08438132348908</v>
      </c>
      <c r="CJ118" s="1112">
        <f>-CJ931</f>
        <v>456.25906692644236</v>
      </c>
      <c r="CK118" s="1112">
        <f>-CK931</f>
        <v>358.38134684850968</v>
      </c>
      <c r="CL118" s="155"/>
    </row>
    <row r="119" spans="1:90" hidden="1" outlineLevel="1" x14ac:dyDescent="0.3">
      <c r="A119" s="631" t="s">
        <v>729</v>
      </c>
      <c r="B119" s="607"/>
      <c r="C119" s="1124">
        <f t="shared" ref="C119:AH119" si="527">C854</f>
        <v>185.023</v>
      </c>
      <c r="D119" s="1124">
        <f t="shared" si="527"/>
        <v>196.66399999999999</v>
      </c>
      <c r="E119" s="1124">
        <f t="shared" si="527"/>
        <v>186.989</v>
      </c>
      <c r="F119" s="1124">
        <f t="shared" si="527"/>
        <v>204.20500000000001</v>
      </c>
      <c r="G119" s="61">
        <f t="shared" si="527"/>
        <v>54.491</v>
      </c>
      <c r="H119" s="61">
        <f t="shared" si="527"/>
        <v>56.195000000000007</v>
      </c>
      <c r="I119" s="61">
        <f t="shared" si="527"/>
        <v>57.147999999999996</v>
      </c>
      <c r="J119" s="61">
        <f t="shared" si="527"/>
        <v>58.40100000000001</v>
      </c>
      <c r="K119" s="1124">
        <f t="shared" si="527"/>
        <v>226.23500000000001</v>
      </c>
      <c r="L119" s="61">
        <f t="shared" si="527"/>
        <v>59.744</v>
      </c>
      <c r="M119" s="61">
        <f t="shared" si="527"/>
        <v>61.84</v>
      </c>
      <c r="N119" s="61">
        <f t="shared" si="527"/>
        <v>62.725999999999999</v>
      </c>
      <c r="O119" s="61">
        <f t="shared" si="527"/>
        <v>54.837999999999994</v>
      </c>
      <c r="P119" s="1124">
        <f t="shared" si="527"/>
        <v>239.148</v>
      </c>
      <c r="Q119" s="61">
        <f t="shared" si="527"/>
        <v>55</v>
      </c>
      <c r="R119" s="61">
        <f t="shared" si="527"/>
        <v>56</v>
      </c>
      <c r="S119" s="61">
        <f t="shared" si="527"/>
        <v>55</v>
      </c>
      <c r="T119" s="61">
        <f t="shared" si="527"/>
        <v>54</v>
      </c>
      <c r="U119" s="1124">
        <f t="shared" si="527"/>
        <v>220</v>
      </c>
      <c r="V119" s="61">
        <f t="shared" si="527"/>
        <v>54</v>
      </c>
      <c r="W119" s="61">
        <f t="shared" si="527"/>
        <v>49</v>
      </c>
      <c r="X119" s="61">
        <f t="shared" si="527"/>
        <v>48</v>
      </c>
      <c r="Y119" s="61">
        <f t="shared" si="527"/>
        <v>46</v>
      </c>
      <c r="Z119" s="1124">
        <f t="shared" si="527"/>
        <v>197</v>
      </c>
      <c r="AA119" s="61">
        <f t="shared" si="527"/>
        <v>45</v>
      </c>
      <c r="AB119" s="61">
        <f t="shared" si="527"/>
        <v>47</v>
      </c>
      <c r="AC119" s="61">
        <f t="shared" si="527"/>
        <v>48</v>
      </c>
      <c r="AD119" s="61">
        <f t="shared" si="527"/>
        <v>47</v>
      </c>
      <c r="AE119" s="1124">
        <f t="shared" si="527"/>
        <v>187</v>
      </c>
      <c r="AF119" s="61">
        <f t="shared" si="527"/>
        <v>47</v>
      </c>
      <c r="AG119" s="61">
        <f t="shared" si="527"/>
        <v>49</v>
      </c>
      <c r="AH119" s="61">
        <f t="shared" si="527"/>
        <v>49</v>
      </c>
      <c r="AI119" s="61">
        <f t="shared" ref="AI119:BE119" si="528">AI854</f>
        <v>54</v>
      </c>
      <c r="AJ119" s="1124">
        <f t="shared" si="528"/>
        <v>199</v>
      </c>
      <c r="AK119" s="61">
        <f t="shared" si="528"/>
        <v>57</v>
      </c>
      <c r="AL119" s="61">
        <f t="shared" si="528"/>
        <v>59</v>
      </c>
      <c r="AM119" s="61">
        <f t="shared" si="528"/>
        <v>68</v>
      </c>
      <c r="AN119" s="61">
        <f t="shared" si="528"/>
        <v>78</v>
      </c>
      <c r="AO119" s="1124">
        <f t="shared" si="528"/>
        <v>262</v>
      </c>
      <c r="AP119" s="61">
        <f t="shared" si="528"/>
        <v>91</v>
      </c>
      <c r="AQ119" s="61">
        <f t="shared" si="528"/>
        <v>92</v>
      </c>
      <c r="AR119" s="61">
        <f t="shared" si="528"/>
        <v>92</v>
      </c>
      <c r="AS119" s="61">
        <f t="shared" si="528"/>
        <v>106</v>
      </c>
      <c r="AT119" s="1124">
        <f t="shared" si="528"/>
        <v>381</v>
      </c>
      <c r="AU119" s="61">
        <f t="shared" si="528"/>
        <v>107</v>
      </c>
      <c r="AV119" s="61">
        <f t="shared" si="528"/>
        <v>404</v>
      </c>
      <c r="AW119" s="61">
        <f t="shared" si="528"/>
        <v>299</v>
      </c>
      <c r="AX119" s="61">
        <f t="shared" si="528"/>
        <v>288</v>
      </c>
      <c r="AY119" s="1124">
        <f t="shared" si="528"/>
        <v>1098</v>
      </c>
      <c r="AZ119" s="61">
        <f t="shared" si="528"/>
        <v>281</v>
      </c>
      <c r="BA119" s="61">
        <f t="shared" si="528"/>
        <v>286</v>
      </c>
      <c r="BB119" s="61">
        <f t="shared" si="528"/>
        <v>298</v>
      </c>
      <c r="BC119" s="61">
        <f t="shared" si="528"/>
        <v>309</v>
      </c>
      <c r="BD119" s="1124">
        <f t="shared" si="528"/>
        <v>1174</v>
      </c>
      <c r="BE119" s="61">
        <f t="shared" si="528"/>
        <v>334</v>
      </c>
      <c r="BF119" s="61">
        <f>BF854</f>
        <v>378</v>
      </c>
      <c r="BG119" s="61">
        <f>BG854</f>
        <v>406</v>
      </c>
      <c r="BH119" s="61">
        <f t="shared" ref="BH119:BI119" si="529">BH854</f>
        <v>426</v>
      </c>
      <c r="BI119" s="1124">
        <f t="shared" si="529"/>
        <v>1544</v>
      </c>
      <c r="BJ119" s="60">
        <f t="shared" ref="BJ119:BO119" si="530">BJ854</f>
        <v>384</v>
      </c>
      <c r="BK119" s="61">
        <f t="shared" si="530"/>
        <v>365</v>
      </c>
      <c r="BL119" s="61">
        <f t="shared" si="530"/>
        <v>372</v>
      </c>
      <c r="BM119" s="60">
        <f t="shared" si="530"/>
        <v>387</v>
      </c>
      <c r="BN119" s="1124">
        <f t="shared" si="530"/>
        <v>1508</v>
      </c>
      <c r="BO119" s="60">
        <f t="shared" si="530"/>
        <v>410</v>
      </c>
      <c r="BP119" s="61">
        <f t="shared" ref="BP119:BU119" si="531">BP854</f>
        <v>433</v>
      </c>
      <c r="BQ119" s="61">
        <f t="shared" si="531"/>
        <v>478</v>
      </c>
      <c r="BR119" s="60">
        <f t="shared" si="531"/>
        <v>543</v>
      </c>
      <c r="BS119" s="1124">
        <f t="shared" si="531"/>
        <v>1864</v>
      </c>
      <c r="BT119" s="60">
        <f t="shared" si="531"/>
        <v>611</v>
      </c>
      <c r="BU119" s="61">
        <f t="shared" si="531"/>
        <v>669</v>
      </c>
      <c r="BV119" s="61">
        <f>BV854</f>
        <v>751</v>
      </c>
      <c r="BW119" s="60">
        <f>BW854</f>
        <v>812</v>
      </c>
      <c r="BX119" s="1124">
        <f>BX854</f>
        <v>2843</v>
      </c>
      <c r="BY119" s="895">
        <f>BY854</f>
        <v>997</v>
      </c>
      <c r="BZ119" s="61">
        <f t="shared" ref="BZ119:CK119" si="532">SUM(BZ117:BZ118)</f>
        <v>1020.5686792452831</v>
      </c>
      <c r="CA119" s="61">
        <f t="shared" si="532"/>
        <v>984.98243865127404</v>
      </c>
      <c r="CB119" s="61">
        <f t="shared" si="532"/>
        <v>991.71531264408202</v>
      </c>
      <c r="CC119" s="1124">
        <f t="shared" si="532"/>
        <v>3994.2664305406388</v>
      </c>
      <c r="CD119" s="61">
        <f t="shared" si="532"/>
        <v>880.83646416840145</v>
      </c>
      <c r="CE119" s="61">
        <f t="shared" si="532"/>
        <v>863.05986717043174</v>
      </c>
      <c r="CF119" s="61">
        <f t="shared" si="532"/>
        <v>835.79959220442709</v>
      </c>
      <c r="CG119" s="61">
        <f t="shared" si="532"/>
        <v>809.63967565958342</v>
      </c>
      <c r="CH119" s="1124">
        <f t="shared" si="532"/>
        <v>3389.3355992028437</v>
      </c>
      <c r="CI119" s="1124">
        <f t="shared" si="532"/>
        <v>3046.4413897764935</v>
      </c>
      <c r="CJ119" s="1124">
        <f t="shared" si="532"/>
        <v>2573.7232531816658</v>
      </c>
      <c r="CK119" s="1124">
        <f t="shared" si="532"/>
        <v>2229.5048446773749</v>
      </c>
      <c r="CL119" s="155"/>
    </row>
    <row r="120" spans="1:90" hidden="1" outlineLevel="1" x14ac:dyDescent="0.3">
      <c r="A120" s="600"/>
      <c r="B120" s="279"/>
      <c r="C120" s="1127"/>
      <c r="D120" s="1127"/>
      <c r="E120" s="1127"/>
      <c r="F120" s="1127"/>
      <c r="G120" s="63"/>
      <c r="H120" s="63"/>
      <c r="I120" s="63"/>
      <c r="J120" s="63"/>
      <c r="K120" s="1127"/>
      <c r="L120" s="63"/>
      <c r="M120" s="63"/>
      <c r="N120" s="63"/>
      <c r="O120" s="63"/>
      <c r="P120" s="1127"/>
      <c r="Q120" s="63"/>
      <c r="R120" s="63"/>
      <c r="S120" s="63"/>
      <c r="T120" s="63"/>
      <c r="U120" s="1127"/>
      <c r="V120" s="63"/>
      <c r="W120" s="63"/>
      <c r="X120" s="63"/>
      <c r="Y120" s="63"/>
      <c r="Z120" s="1127"/>
      <c r="AA120" s="63"/>
      <c r="AB120" s="63"/>
      <c r="AC120" s="63"/>
      <c r="AD120" s="63"/>
      <c r="AE120" s="1127"/>
      <c r="AF120" s="63"/>
      <c r="AG120" s="63"/>
      <c r="AH120" s="63"/>
      <c r="AI120" s="63"/>
      <c r="AJ120" s="1127"/>
      <c r="AK120" s="63"/>
      <c r="AL120" s="63"/>
      <c r="AM120" s="63"/>
      <c r="AN120" s="63"/>
      <c r="AO120" s="1127"/>
      <c r="AP120" s="63"/>
      <c r="AQ120" s="63"/>
      <c r="AR120" s="63"/>
      <c r="AS120" s="63"/>
      <c r="AT120" s="1127"/>
      <c r="AU120" s="63"/>
      <c r="AV120" s="63"/>
      <c r="AW120" s="63"/>
      <c r="AX120" s="63"/>
      <c r="AY120" s="1127"/>
      <c r="AZ120" s="63"/>
      <c r="BA120" s="63"/>
      <c r="BB120" s="63"/>
      <c r="BC120" s="63"/>
      <c r="BD120" s="1127"/>
      <c r="BE120" s="63"/>
      <c r="BF120" s="63"/>
      <c r="BG120" s="63"/>
      <c r="BH120" s="63"/>
      <c r="BI120" s="1127"/>
      <c r="BJ120" s="63"/>
      <c r="BK120" s="63"/>
      <c r="BL120" s="63"/>
      <c r="BM120" s="63"/>
      <c r="BN120" s="1127"/>
      <c r="BO120" s="63"/>
      <c r="BP120" s="63"/>
      <c r="BQ120" s="63"/>
      <c r="BR120" s="63"/>
      <c r="BS120" s="1127"/>
      <c r="BT120" s="63"/>
      <c r="BU120" s="63"/>
      <c r="BV120" s="63"/>
      <c r="BW120" s="63"/>
      <c r="BX120" s="1127"/>
      <c r="BY120" s="587"/>
      <c r="BZ120" s="63"/>
      <c r="CA120" s="63"/>
      <c r="CB120" s="63"/>
      <c r="CC120" s="1127"/>
      <c r="CD120" s="63"/>
      <c r="CE120" s="63"/>
      <c r="CF120" s="63"/>
      <c r="CG120" s="63"/>
      <c r="CH120" s="1127"/>
      <c r="CI120" s="1127"/>
      <c r="CJ120" s="1127"/>
      <c r="CK120" s="1127"/>
      <c r="CL120" s="155"/>
    </row>
    <row r="121" spans="1:90" hidden="1" outlineLevel="1" x14ac:dyDescent="0.3">
      <c r="A121" s="99" t="s">
        <v>730</v>
      </c>
      <c r="B121" s="146"/>
      <c r="C121" s="1112">
        <f t="shared" ref="C121:AQ121" si="533">C330</f>
        <v>0</v>
      </c>
      <c r="D121" s="1112">
        <f t="shared" si="533"/>
        <v>0</v>
      </c>
      <c r="E121" s="1112">
        <f t="shared" si="533"/>
        <v>0</v>
      </c>
      <c r="F121" s="1112">
        <f t="shared" si="533"/>
        <v>0</v>
      </c>
      <c r="G121" s="68">
        <f t="shared" si="533"/>
        <v>0</v>
      </c>
      <c r="H121" s="68">
        <f t="shared" si="533"/>
        <v>0</v>
      </c>
      <c r="I121" s="68">
        <f t="shared" si="533"/>
        <v>0</v>
      </c>
      <c r="J121" s="68">
        <f t="shared" si="533"/>
        <v>0</v>
      </c>
      <c r="K121" s="1112">
        <f t="shared" si="533"/>
        <v>0</v>
      </c>
      <c r="L121" s="68">
        <f t="shared" si="533"/>
        <v>0</v>
      </c>
      <c r="M121" s="68">
        <f t="shared" si="533"/>
        <v>0</v>
      </c>
      <c r="N121" s="68">
        <f t="shared" si="533"/>
        <v>0</v>
      </c>
      <c r="O121" s="68">
        <f t="shared" si="533"/>
        <v>0</v>
      </c>
      <c r="P121" s="1112">
        <f t="shared" si="533"/>
        <v>0</v>
      </c>
      <c r="Q121" s="68">
        <f t="shared" si="533"/>
        <v>0</v>
      </c>
      <c r="R121" s="68">
        <f t="shared" si="533"/>
        <v>0</v>
      </c>
      <c r="S121" s="68">
        <f t="shared" si="533"/>
        <v>0</v>
      </c>
      <c r="T121" s="68">
        <f t="shared" si="533"/>
        <v>0</v>
      </c>
      <c r="U121" s="1112">
        <f t="shared" si="533"/>
        <v>0</v>
      </c>
      <c r="V121" s="68">
        <f t="shared" si="533"/>
        <v>0</v>
      </c>
      <c r="W121" s="68">
        <f t="shared" si="533"/>
        <v>0</v>
      </c>
      <c r="X121" s="68">
        <f t="shared" si="533"/>
        <v>0</v>
      </c>
      <c r="Y121" s="68">
        <f t="shared" si="533"/>
        <v>0</v>
      </c>
      <c r="Z121" s="1112">
        <f t="shared" si="533"/>
        <v>0</v>
      </c>
      <c r="AA121" s="68">
        <f t="shared" si="533"/>
        <v>0</v>
      </c>
      <c r="AB121" s="68">
        <f t="shared" si="533"/>
        <v>0</v>
      </c>
      <c r="AC121" s="68">
        <f t="shared" si="533"/>
        <v>0</v>
      </c>
      <c r="AD121" s="68">
        <f t="shared" si="533"/>
        <v>0</v>
      </c>
      <c r="AE121" s="1112">
        <f t="shared" si="533"/>
        <v>0</v>
      </c>
      <c r="AF121" s="68">
        <f t="shared" si="533"/>
        <v>0</v>
      </c>
      <c r="AG121" s="68">
        <f t="shared" si="533"/>
        <v>0</v>
      </c>
      <c r="AH121" s="68">
        <f t="shared" si="533"/>
        <v>0</v>
      </c>
      <c r="AI121" s="68">
        <f t="shared" si="533"/>
        <v>0</v>
      </c>
      <c r="AJ121" s="1112">
        <f t="shared" si="533"/>
        <v>0</v>
      </c>
      <c r="AK121" s="68">
        <f t="shared" si="533"/>
        <v>0</v>
      </c>
      <c r="AL121" s="68">
        <f t="shared" si="533"/>
        <v>0</v>
      </c>
      <c r="AM121" s="68">
        <f t="shared" si="533"/>
        <v>0</v>
      </c>
      <c r="AN121" s="68">
        <f t="shared" si="533"/>
        <v>0</v>
      </c>
      <c r="AO121" s="1112">
        <f t="shared" si="533"/>
        <v>0</v>
      </c>
      <c r="AP121" s="68">
        <f t="shared" si="533"/>
        <v>0</v>
      </c>
      <c r="AQ121" s="68">
        <f t="shared" si="533"/>
        <v>0</v>
      </c>
      <c r="AR121" s="1055">
        <v>0</v>
      </c>
      <c r="AS121" s="1055">
        <v>0</v>
      </c>
      <c r="AT121" s="1113">
        <v>0</v>
      </c>
      <c r="AU121" s="68">
        <f>AU330</f>
        <v>1</v>
      </c>
      <c r="AV121" s="1055">
        <v>245</v>
      </c>
      <c r="AW121" s="1055">
        <v>86</v>
      </c>
      <c r="AX121" s="1055">
        <v>92</v>
      </c>
      <c r="AY121" s="1113">
        <v>425</v>
      </c>
      <c r="AZ121" s="1055">
        <v>87</v>
      </c>
      <c r="BA121" s="1055">
        <v>86</v>
      </c>
      <c r="BB121" s="1055">
        <v>86</v>
      </c>
      <c r="BC121" s="1055">
        <v>86</v>
      </c>
      <c r="BD121" s="1113">
        <v>344</v>
      </c>
      <c r="BE121" s="1055">
        <v>94</v>
      </c>
      <c r="BF121" s="1055">
        <v>121</v>
      </c>
      <c r="BG121" s="1055">
        <v>120</v>
      </c>
      <c r="BH121" s="1055">
        <v>120</v>
      </c>
      <c r="BI121" s="1113">
        <v>455</v>
      </c>
      <c r="BJ121" s="1055">
        <v>119</v>
      </c>
      <c r="BK121" s="1055">
        <v>119</v>
      </c>
      <c r="BL121" s="1055">
        <v>119</v>
      </c>
      <c r="BM121" s="1055">
        <v>119</v>
      </c>
      <c r="BN121" s="1113">
        <v>477</v>
      </c>
      <c r="BO121" s="1055">
        <v>119</v>
      </c>
      <c r="BP121" s="1055">
        <v>118</v>
      </c>
      <c r="BQ121" s="1055">
        <v>116</v>
      </c>
      <c r="BR121" s="1055">
        <v>118</v>
      </c>
      <c r="BS121" s="1113">
        <v>472</v>
      </c>
      <c r="BT121" s="1055">
        <v>123</v>
      </c>
      <c r="BU121" s="1055">
        <v>49</v>
      </c>
      <c r="BV121" s="1055">
        <v>48</v>
      </c>
      <c r="BW121" s="1055">
        <v>48</v>
      </c>
      <c r="BX121" s="1113">
        <v>267</v>
      </c>
      <c r="BY121" s="1057">
        <v>47</v>
      </c>
      <c r="BZ121" s="68">
        <f>BZ53</f>
        <v>90.933489999999992</v>
      </c>
      <c r="CA121" s="68">
        <f>CA53</f>
        <v>91.535799999999995</v>
      </c>
      <c r="CB121" s="68">
        <f>CB53</f>
        <v>94.000950000000003</v>
      </c>
      <c r="CC121" s="1112">
        <f t="shared" ref="CC121" si="534">CC53</f>
        <v>323.47023999999999</v>
      </c>
      <c r="CD121" s="68">
        <f t="shared" ref="CD121:CK121" si="535">CD53</f>
        <v>105.52355</v>
      </c>
      <c r="CE121" s="68">
        <f t="shared" si="535"/>
        <v>117.6687395</v>
      </c>
      <c r="CF121" s="68">
        <f t="shared" si="535"/>
        <v>114.19591999999999</v>
      </c>
      <c r="CG121" s="68">
        <f t="shared" si="535"/>
        <v>116.93735249999997</v>
      </c>
      <c r="CH121" s="1112">
        <f t="shared" si="535"/>
        <v>454.32556199999999</v>
      </c>
      <c r="CI121" s="1112">
        <f t="shared" si="535"/>
        <v>1083.8136023</v>
      </c>
      <c r="CJ121" s="1112">
        <f t="shared" si="535"/>
        <v>1273.1204337939998</v>
      </c>
      <c r="CK121" s="1112">
        <f t="shared" si="535"/>
        <v>1495.9245332649202</v>
      </c>
      <c r="CL121" s="155"/>
    </row>
    <row r="122" spans="1:90" hidden="1" outlineLevel="1" x14ac:dyDescent="0.3">
      <c r="A122" s="99" t="s">
        <v>731</v>
      </c>
      <c r="B122" s="146"/>
      <c r="C122" s="1112">
        <f t="shared" ref="C122:AQ122" si="536">C124-C123-C121</f>
        <v>0</v>
      </c>
      <c r="D122" s="1112">
        <f t="shared" si="536"/>
        <v>0</v>
      </c>
      <c r="E122" s="1112">
        <f t="shared" si="536"/>
        <v>0</v>
      </c>
      <c r="F122" s="1112">
        <f t="shared" si="536"/>
        <v>10.282</v>
      </c>
      <c r="G122" s="68">
        <f t="shared" si="536"/>
        <v>3.1710000000000003</v>
      </c>
      <c r="H122" s="68">
        <f t="shared" si="536"/>
        <v>2.7939999999999996</v>
      </c>
      <c r="I122" s="68">
        <f t="shared" si="536"/>
        <v>2.6660000000000004</v>
      </c>
      <c r="J122" s="68">
        <f t="shared" si="536"/>
        <v>3.6980000000000004</v>
      </c>
      <c r="K122" s="1112">
        <f t="shared" si="536"/>
        <v>25.137999999999998</v>
      </c>
      <c r="L122" s="68">
        <f t="shared" si="536"/>
        <v>3.8610000000000007</v>
      </c>
      <c r="M122" s="68">
        <f t="shared" si="536"/>
        <v>3.9640000000000004</v>
      </c>
      <c r="N122" s="68">
        <f t="shared" si="536"/>
        <v>1.577</v>
      </c>
      <c r="O122" s="68">
        <f t="shared" si="536"/>
        <v>4.25</v>
      </c>
      <c r="P122" s="1112">
        <f t="shared" si="536"/>
        <v>13.652000000000001</v>
      </c>
      <c r="Q122" s="68">
        <f t="shared" si="536"/>
        <v>4</v>
      </c>
      <c r="R122" s="68">
        <f t="shared" si="536"/>
        <v>4</v>
      </c>
      <c r="S122" s="68">
        <f t="shared" si="536"/>
        <v>5</v>
      </c>
      <c r="T122" s="68">
        <f t="shared" si="536"/>
        <v>4</v>
      </c>
      <c r="U122" s="1112">
        <f t="shared" si="536"/>
        <v>17</v>
      </c>
      <c r="V122" s="68">
        <f t="shared" si="536"/>
        <v>5</v>
      </c>
      <c r="W122" s="68">
        <f t="shared" si="536"/>
        <v>2</v>
      </c>
      <c r="X122" s="68">
        <f t="shared" si="536"/>
        <v>2</v>
      </c>
      <c r="Y122" s="68">
        <f t="shared" si="536"/>
        <v>2</v>
      </c>
      <c r="Z122" s="1112">
        <f t="shared" si="536"/>
        <v>12</v>
      </c>
      <c r="AA122" s="68">
        <f t="shared" si="536"/>
        <v>2</v>
      </c>
      <c r="AB122" s="68">
        <f t="shared" si="536"/>
        <v>2</v>
      </c>
      <c r="AC122" s="68">
        <f t="shared" si="536"/>
        <v>2</v>
      </c>
      <c r="AD122" s="68">
        <f t="shared" si="536"/>
        <v>2</v>
      </c>
      <c r="AE122" s="1112">
        <f t="shared" si="536"/>
        <v>8</v>
      </c>
      <c r="AF122" s="68">
        <f t="shared" si="536"/>
        <v>2</v>
      </c>
      <c r="AG122" s="68">
        <f t="shared" si="536"/>
        <v>2</v>
      </c>
      <c r="AH122" s="68">
        <f t="shared" si="536"/>
        <v>1</v>
      </c>
      <c r="AI122" s="68">
        <f t="shared" si="536"/>
        <v>0</v>
      </c>
      <c r="AJ122" s="1112">
        <f t="shared" si="536"/>
        <v>5</v>
      </c>
      <c r="AK122" s="68">
        <f t="shared" si="536"/>
        <v>1</v>
      </c>
      <c r="AL122" s="68">
        <f t="shared" si="536"/>
        <v>1</v>
      </c>
      <c r="AM122" s="68">
        <f t="shared" si="536"/>
        <v>0</v>
      </c>
      <c r="AN122" s="68">
        <f t="shared" si="536"/>
        <v>0</v>
      </c>
      <c r="AO122" s="1112">
        <f t="shared" si="536"/>
        <v>1</v>
      </c>
      <c r="AP122" s="68">
        <f t="shared" si="536"/>
        <v>4</v>
      </c>
      <c r="AQ122" s="68">
        <f t="shared" si="536"/>
        <v>1</v>
      </c>
      <c r="AR122" s="1055">
        <v>1</v>
      </c>
      <c r="AS122" s="1055">
        <v>1</v>
      </c>
      <c r="AT122" s="1113">
        <v>6</v>
      </c>
      <c r="AU122" s="68">
        <f>AU124-AU123-AU121</f>
        <v>2</v>
      </c>
      <c r="AV122" s="1055">
        <v>3</v>
      </c>
      <c r="AW122" s="1055">
        <v>2</v>
      </c>
      <c r="AX122" s="1055">
        <v>2</v>
      </c>
      <c r="AY122" s="1113">
        <v>9</v>
      </c>
      <c r="AZ122" s="1055">
        <v>1</v>
      </c>
      <c r="BA122" s="1055">
        <v>1</v>
      </c>
      <c r="BB122" s="1055">
        <v>7</v>
      </c>
      <c r="BC122" s="1055">
        <v>9</v>
      </c>
      <c r="BD122" s="1113">
        <v>19</v>
      </c>
      <c r="BE122" s="1055">
        <v>9</v>
      </c>
      <c r="BF122" s="1055">
        <v>10</v>
      </c>
      <c r="BG122" s="1055">
        <v>10</v>
      </c>
      <c r="BH122" s="1055">
        <v>10</v>
      </c>
      <c r="BI122" s="1113">
        <v>39</v>
      </c>
      <c r="BJ122" s="1055">
        <v>12</v>
      </c>
      <c r="BK122" s="1055">
        <v>12</v>
      </c>
      <c r="BL122" s="1055">
        <v>12</v>
      </c>
      <c r="BM122" s="1055">
        <v>12</v>
      </c>
      <c r="BN122" s="1113">
        <v>49</v>
      </c>
      <c r="BO122" s="1055">
        <v>12</v>
      </c>
      <c r="BP122" s="1055">
        <v>17</v>
      </c>
      <c r="BQ122" s="1055">
        <v>23</v>
      </c>
      <c r="BR122" s="1055">
        <v>27</v>
      </c>
      <c r="BS122" s="1113">
        <v>79</v>
      </c>
      <c r="BT122" s="1055">
        <v>28</v>
      </c>
      <c r="BU122" s="1055">
        <v>29</v>
      </c>
      <c r="BV122" s="1055">
        <v>35</v>
      </c>
      <c r="BW122" s="1055">
        <v>83</v>
      </c>
      <c r="BX122" s="1113">
        <v>176</v>
      </c>
      <c r="BY122" s="1057">
        <v>167</v>
      </c>
      <c r="BZ122" s="68">
        <f>BZ71</f>
        <v>181.86697999999998</v>
      </c>
      <c r="CA122" s="68">
        <f>CA71</f>
        <v>91.535799999999995</v>
      </c>
      <c r="CB122" s="68">
        <f>CB71</f>
        <v>94.000950000000003</v>
      </c>
      <c r="CC122" s="1112">
        <f t="shared" ref="CC122" si="537">CC71</f>
        <v>534.40373</v>
      </c>
      <c r="CD122" s="68">
        <f t="shared" ref="CD122:CK122" si="538">CD71</f>
        <v>105.52355</v>
      </c>
      <c r="CE122" s="68">
        <f t="shared" si="538"/>
        <v>117.6687395</v>
      </c>
      <c r="CF122" s="68">
        <f t="shared" si="538"/>
        <v>114.19591999999999</v>
      </c>
      <c r="CG122" s="68">
        <f t="shared" si="538"/>
        <v>116.93735249999997</v>
      </c>
      <c r="CH122" s="1112">
        <f t="shared" si="538"/>
        <v>454.32556199999999</v>
      </c>
      <c r="CI122" s="1112">
        <f t="shared" si="538"/>
        <v>541.90680114999998</v>
      </c>
      <c r="CJ122" s="1112">
        <f t="shared" si="538"/>
        <v>636.56021689699992</v>
      </c>
      <c r="CK122" s="1112">
        <f t="shared" si="538"/>
        <v>747.96226663246011</v>
      </c>
      <c r="CL122" s="155"/>
    </row>
    <row r="123" spans="1:90" hidden="1" outlineLevel="1" x14ac:dyDescent="0.3">
      <c r="A123" s="99" t="s">
        <v>732</v>
      </c>
      <c r="B123" s="146"/>
      <c r="C123" s="1113">
        <v>0</v>
      </c>
      <c r="D123" s="1113">
        <v>0</v>
      </c>
      <c r="E123" s="1113">
        <v>0</v>
      </c>
      <c r="F123" s="1113">
        <v>10</v>
      </c>
      <c r="G123" s="1055">
        <v>2</v>
      </c>
      <c r="H123" s="1055">
        <v>2</v>
      </c>
      <c r="I123" s="1055">
        <v>2</v>
      </c>
      <c r="J123" s="1055">
        <v>5</v>
      </c>
      <c r="K123" s="1112">
        <f>SUM(G123,H123,I123,J123)</f>
        <v>11</v>
      </c>
      <c r="L123" s="1055">
        <v>5</v>
      </c>
      <c r="M123" s="1055">
        <v>5</v>
      </c>
      <c r="N123" s="1055">
        <v>3</v>
      </c>
      <c r="O123" s="1055">
        <v>5</v>
      </c>
      <c r="P123" s="1112">
        <f>SUM(L123,M123,N123,O123)</f>
        <v>18</v>
      </c>
      <c r="Q123" s="1055">
        <v>5</v>
      </c>
      <c r="R123" s="1055">
        <v>5</v>
      </c>
      <c r="S123" s="1055">
        <v>5</v>
      </c>
      <c r="T123" s="1055">
        <v>5</v>
      </c>
      <c r="U123" s="1112">
        <f>SUM(Q123,R123,S123,T123)</f>
        <v>20</v>
      </c>
      <c r="V123" s="1055">
        <v>4</v>
      </c>
      <c r="W123" s="1055">
        <v>2</v>
      </c>
      <c r="X123" s="1055">
        <v>2</v>
      </c>
      <c r="Y123" s="1055">
        <v>2</v>
      </c>
      <c r="Z123" s="1112">
        <f>SUM(V123,W123,X123,Y123)</f>
        <v>10</v>
      </c>
      <c r="AA123" s="1055">
        <v>2</v>
      </c>
      <c r="AB123" s="1055">
        <v>2</v>
      </c>
      <c r="AC123" s="1055">
        <v>2</v>
      </c>
      <c r="AD123" s="1055">
        <v>2</v>
      </c>
      <c r="AE123" s="1112">
        <f>SUM(AA123,AB123,AC123,AD123)</f>
        <v>8</v>
      </c>
      <c r="AF123" s="1055">
        <v>2</v>
      </c>
      <c r="AG123" s="1055">
        <v>2</v>
      </c>
      <c r="AH123" s="1055">
        <v>2</v>
      </c>
      <c r="AI123" s="1055">
        <v>2</v>
      </c>
      <c r="AJ123" s="1112">
        <f>SUM(AF123,AG123,AH123,AI123)</f>
        <v>8</v>
      </c>
      <c r="AK123" s="1055">
        <v>1</v>
      </c>
      <c r="AL123" s="1055">
        <v>1</v>
      </c>
      <c r="AM123" s="1055">
        <v>1</v>
      </c>
      <c r="AN123" s="1055">
        <v>1</v>
      </c>
      <c r="AO123" s="1113">
        <v>1</v>
      </c>
      <c r="AP123" s="1055">
        <v>6</v>
      </c>
      <c r="AQ123" s="1055">
        <v>4</v>
      </c>
      <c r="AR123" s="1055">
        <v>6</v>
      </c>
      <c r="AS123" s="1055">
        <v>6</v>
      </c>
      <c r="AT123" s="1113">
        <v>25</v>
      </c>
      <c r="AU123" s="1055">
        <v>2</v>
      </c>
      <c r="AV123" s="1055">
        <v>226</v>
      </c>
      <c r="AW123" s="1055">
        <v>104</v>
      </c>
      <c r="AX123" s="1055">
        <v>70</v>
      </c>
      <c r="AY123" s="1113">
        <v>402</v>
      </c>
      <c r="AZ123" s="1055">
        <v>79</v>
      </c>
      <c r="BA123" s="1055">
        <v>71</v>
      </c>
      <c r="BB123" s="1055">
        <v>63</v>
      </c>
      <c r="BC123" s="1055">
        <v>61</v>
      </c>
      <c r="BD123" s="1113">
        <v>273</v>
      </c>
      <c r="BE123" s="1055">
        <v>46</v>
      </c>
      <c r="BF123" s="1055">
        <v>44</v>
      </c>
      <c r="BG123" s="1055">
        <v>44</v>
      </c>
      <c r="BH123" s="1055">
        <v>44</v>
      </c>
      <c r="BI123" s="1113">
        <v>180</v>
      </c>
      <c r="BJ123" s="1055">
        <v>42</v>
      </c>
      <c r="BK123" s="1055">
        <v>6</v>
      </c>
      <c r="BL123" s="1055">
        <v>4</v>
      </c>
      <c r="BM123" s="1055">
        <v>6</v>
      </c>
      <c r="BN123" s="1113">
        <v>57</v>
      </c>
      <c r="BO123" s="1055">
        <v>8</v>
      </c>
      <c r="BP123" s="1055">
        <v>9</v>
      </c>
      <c r="BQ123" s="1055">
        <v>16</v>
      </c>
      <c r="BR123" s="1055">
        <v>16</v>
      </c>
      <c r="BS123" s="1113">
        <v>51</v>
      </c>
      <c r="BT123" s="1055">
        <v>9</v>
      </c>
      <c r="BU123" s="1055">
        <v>8</v>
      </c>
      <c r="BV123" s="1055">
        <v>4</v>
      </c>
      <c r="BW123" s="1055">
        <v>7</v>
      </c>
      <c r="BX123" s="1113">
        <v>28</v>
      </c>
      <c r="BY123" s="1057">
        <v>5</v>
      </c>
      <c r="BZ123" s="68">
        <f>BZ86</f>
        <v>18.186698</v>
      </c>
      <c r="CA123" s="68">
        <f>CA86</f>
        <v>18.30716</v>
      </c>
      <c r="CB123" s="68">
        <f>CB86</f>
        <v>18.800190000000001</v>
      </c>
      <c r="CC123" s="1112">
        <f t="shared" ref="CC123" si="539">CC86</f>
        <v>60.294048000000004</v>
      </c>
      <c r="CD123" s="68">
        <f t="shared" ref="CD123:CK123" si="540">CD86</f>
        <v>21.104710000000001</v>
      </c>
      <c r="CE123" s="68">
        <f t="shared" si="540"/>
        <v>23.533747900000002</v>
      </c>
      <c r="CF123" s="68">
        <f t="shared" si="540"/>
        <v>22.839183999999999</v>
      </c>
      <c r="CG123" s="68">
        <f t="shared" si="540"/>
        <v>23.387470499999996</v>
      </c>
      <c r="CH123" s="1112">
        <f t="shared" si="540"/>
        <v>90.865112400000001</v>
      </c>
      <c r="CI123" s="1112">
        <f t="shared" si="540"/>
        <v>108.38136023</v>
      </c>
      <c r="CJ123" s="1112">
        <f t="shared" si="540"/>
        <v>127.31204337939998</v>
      </c>
      <c r="CK123" s="1112">
        <f t="shared" si="540"/>
        <v>149.59245332649201</v>
      </c>
      <c r="CL123" s="155"/>
    </row>
    <row r="124" spans="1:90" hidden="1" outlineLevel="1" x14ac:dyDescent="0.3">
      <c r="A124" s="631" t="s">
        <v>733</v>
      </c>
      <c r="B124" s="607"/>
      <c r="C124" s="1124">
        <f t="shared" ref="C124:AQ124" si="541">-C343+C330</f>
        <v>0</v>
      </c>
      <c r="D124" s="1124">
        <f t="shared" si="541"/>
        <v>0</v>
      </c>
      <c r="E124" s="1124">
        <f t="shared" si="541"/>
        <v>0</v>
      </c>
      <c r="F124" s="1124">
        <f t="shared" si="541"/>
        <v>20.282</v>
      </c>
      <c r="G124" s="61">
        <f t="shared" si="541"/>
        <v>5.1710000000000003</v>
      </c>
      <c r="H124" s="61">
        <f t="shared" si="541"/>
        <v>4.7939999999999996</v>
      </c>
      <c r="I124" s="61">
        <f t="shared" si="541"/>
        <v>4.6660000000000004</v>
      </c>
      <c r="J124" s="61">
        <f t="shared" si="541"/>
        <v>8.6980000000000004</v>
      </c>
      <c r="K124" s="1124">
        <f t="shared" si="541"/>
        <v>36.137999999999998</v>
      </c>
      <c r="L124" s="61">
        <f t="shared" si="541"/>
        <v>8.8610000000000007</v>
      </c>
      <c r="M124" s="61">
        <f t="shared" si="541"/>
        <v>8.9640000000000004</v>
      </c>
      <c r="N124" s="61">
        <f t="shared" si="541"/>
        <v>4.577</v>
      </c>
      <c r="O124" s="61">
        <f t="shared" si="541"/>
        <v>9.25</v>
      </c>
      <c r="P124" s="1124">
        <f t="shared" si="541"/>
        <v>31.652000000000001</v>
      </c>
      <c r="Q124" s="61">
        <f t="shared" si="541"/>
        <v>9</v>
      </c>
      <c r="R124" s="61">
        <f t="shared" si="541"/>
        <v>9</v>
      </c>
      <c r="S124" s="61">
        <f t="shared" si="541"/>
        <v>10</v>
      </c>
      <c r="T124" s="61">
        <f t="shared" si="541"/>
        <v>9</v>
      </c>
      <c r="U124" s="1124">
        <f t="shared" si="541"/>
        <v>37</v>
      </c>
      <c r="V124" s="61">
        <f t="shared" si="541"/>
        <v>9</v>
      </c>
      <c r="W124" s="61">
        <f t="shared" si="541"/>
        <v>4</v>
      </c>
      <c r="X124" s="61">
        <f t="shared" si="541"/>
        <v>4</v>
      </c>
      <c r="Y124" s="61">
        <f t="shared" si="541"/>
        <v>4</v>
      </c>
      <c r="Z124" s="1124">
        <f t="shared" si="541"/>
        <v>22</v>
      </c>
      <c r="AA124" s="61">
        <f t="shared" si="541"/>
        <v>4</v>
      </c>
      <c r="AB124" s="61">
        <f t="shared" si="541"/>
        <v>4</v>
      </c>
      <c r="AC124" s="61">
        <f t="shared" si="541"/>
        <v>4</v>
      </c>
      <c r="AD124" s="61">
        <f t="shared" si="541"/>
        <v>4</v>
      </c>
      <c r="AE124" s="1124">
        <f t="shared" si="541"/>
        <v>16</v>
      </c>
      <c r="AF124" s="61">
        <f t="shared" si="541"/>
        <v>4</v>
      </c>
      <c r="AG124" s="61">
        <f t="shared" si="541"/>
        <v>4</v>
      </c>
      <c r="AH124" s="61">
        <f t="shared" si="541"/>
        <v>3</v>
      </c>
      <c r="AI124" s="61">
        <f t="shared" si="541"/>
        <v>2</v>
      </c>
      <c r="AJ124" s="1124">
        <f t="shared" si="541"/>
        <v>13</v>
      </c>
      <c r="AK124" s="61">
        <f t="shared" si="541"/>
        <v>2</v>
      </c>
      <c r="AL124" s="61">
        <f t="shared" si="541"/>
        <v>2</v>
      </c>
      <c r="AM124" s="61">
        <f t="shared" si="541"/>
        <v>1</v>
      </c>
      <c r="AN124" s="61">
        <f t="shared" si="541"/>
        <v>1</v>
      </c>
      <c r="AO124" s="1124">
        <f t="shared" si="541"/>
        <v>2</v>
      </c>
      <c r="AP124" s="61">
        <f t="shared" si="541"/>
        <v>10</v>
      </c>
      <c r="AQ124" s="61">
        <f t="shared" si="541"/>
        <v>5</v>
      </c>
      <c r="AR124" s="61">
        <f t="shared" ref="AR124:AY124" si="542">SUM(AR121:AR123)</f>
        <v>7</v>
      </c>
      <c r="AS124" s="61">
        <f t="shared" si="542"/>
        <v>7</v>
      </c>
      <c r="AT124" s="1124">
        <f t="shared" si="542"/>
        <v>31</v>
      </c>
      <c r="AU124" s="61">
        <f>-AU343+AU330</f>
        <v>5</v>
      </c>
      <c r="AV124" s="61">
        <f t="shared" si="542"/>
        <v>474</v>
      </c>
      <c r="AW124" s="61">
        <f t="shared" si="542"/>
        <v>192</v>
      </c>
      <c r="AX124" s="61">
        <f t="shared" si="542"/>
        <v>164</v>
      </c>
      <c r="AY124" s="1124">
        <f t="shared" si="542"/>
        <v>836</v>
      </c>
      <c r="AZ124" s="61">
        <f t="shared" ref="AZ124:BE124" si="543">SUM(AZ121:AZ123)</f>
        <v>167</v>
      </c>
      <c r="BA124" s="61">
        <f t="shared" si="543"/>
        <v>158</v>
      </c>
      <c r="BB124" s="61">
        <f t="shared" si="543"/>
        <v>156</v>
      </c>
      <c r="BC124" s="61">
        <f t="shared" si="543"/>
        <v>156</v>
      </c>
      <c r="BD124" s="1124">
        <f t="shared" si="543"/>
        <v>636</v>
      </c>
      <c r="BE124" s="61">
        <f t="shared" si="543"/>
        <v>149</v>
      </c>
      <c r="BF124" s="61">
        <f t="shared" ref="BF124:BI124" si="544">SUM(BF121:BF123)</f>
        <v>175</v>
      </c>
      <c r="BG124" s="61">
        <f t="shared" si="544"/>
        <v>174</v>
      </c>
      <c r="BH124" s="61">
        <f t="shared" si="544"/>
        <v>174</v>
      </c>
      <c r="BI124" s="1124">
        <f t="shared" si="544"/>
        <v>674</v>
      </c>
      <c r="BJ124" s="61">
        <f t="shared" ref="BJ124:BN124" si="545">SUM(BJ121:BJ123)</f>
        <v>173</v>
      </c>
      <c r="BK124" s="61">
        <f t="shared" si="545"/>
        <v>137</v>
      </c>
      <c r="BL124" s="61">
        <f t="shared" si="545"/>
        <v>135</v>
      </c>
      <c r="BM124" s="61">
        <f t="shared" si="545"/>
        <v>137</v>
      </c>
      <c r="BN124" s="1124">
        <f t="shared" si="545"/>
        <v>583</v>
      </c>
      <c r="BO124" s="61">
        <f t="shared" ref="BO124:BS124" si="546">SUM(BO121:BO123)</f>
        <v>139</v>
      </c>
      <c r="BP124" s="61">
        <f t="shared" si="546"/>
        <v>144</v>
      </c>
      <c r="BQ124" s="61">
        <f t="shared" si="546"/>
        <v>155</v>
      </c>
      <c r="BR124" s="61">
        <f t="shared" si="546"/>
        <v>161</v>
      </c>
      <c r="BS124" s="1124">
        <f t="shared" si="546"/>
        <v>602</v>
      </c>
      <c r="BT124" s="61">
        <f t="shared" ref="BT124:CK124" si="547">SUM(BT121:BT123)</f>
        <v>160</v>
      </c>
      <c r="BU124" s="61">
        <f t="shared" si="547"/>
        <v>86</v>
      </c>
      <c r="BV124" s="61">
        <f t="shared" si="547"/>
        <v>87</v>
      </c>
      <c r="BW124" s="61">
        <f t="shared" si="547"/>
        <v>138</v>
      </c>
      <c r="BX124" s="1124">
        <f t="shared" si="547"/>
        <v>471</v>
      </c>
      <c r="BY124" s="896">
        <f>SUM(BY121:BY123)</f>
        <v>219</v>
      </c>
      <c r="BZ124" s="61">
        <f t="shared" si="547"/>
        <v>290.98716799999994</v>
      </c>
      <c r="CA124" s="61">
        <f t="shared" si="547"/>
        <v>201.37876</v>
      </c>
      <c r="CB124" s="61">
        <f t="shared" si="547"/>
        <v>206.80209000000002</v>
      </c>
      <c r="CC124" s="1124">
        <f t="shared" si="547"/>
        <v>918.16801799999996</v>
      </c>
      <c r="CD124" s="61">
        <f t="shared" si="547"/>
        <v>232.15181000000001</v>
      </c>
      <c r="CE124" s="61">
        <f t="shared" si="547"/>
        <v>258.87122690000001</v>
      </c>
      <c r="CF124" s="61">
        <f t="shared" si="547"/>
        <v>251.23102399999996</v>
      </c>
      <c r="CG124" s="61">
        <f t="shared" si="547"/>
        <v>257.26217549999996</v>
      </c>
      <c r="CH124" s="1124">
        <f t="shared" si="547"/>
        <v>999.51623640000003</v>
      </c>
      <c r="CI124" s="1124">
        <f t="shared" si="547"/>
        <v>1734.10176368</v>
      </c>
      <c r="CJ124" s="1124">
        <f t="shared" si="547"/>
        <v>2036.9926940703997</v>
      </c>
      <c r="CK124" s="1124">
        <f t="shared" si="547"/>
        <v>2393.4792532238721</v>
      </c>
      <c r="CL124" s="155"/>
    </row>
    <row r="125" spans="1:90" hidden="1" outlineLevel="1" x14ac:dyDescent="0.3">
      <c r="A125" s="600"/>
      <c r="B125" s="279"/>
      <c r="C125" s="1127"/>
      <c r="D125" s="1127"/>
      <c r="E125" s="1127"/>
      <c r="F125" s="1127"/>
      <c r="G125" s="63"/>
      <c r="H125" s="63"/>
      <c r="I125" s="63"/>
      <c r="J125" s="63"/>
      <c r="K125" s="1127"/>
      <c r="L125" s="63"/>
      <c r="M125" s="63"/>
      <c r="N125" s="63"/>
      <c r="O125" s="63"/>
      <c r="P125" s="1127"/>
      <c r="Q125" s="63"/>
      <c r="R125" s="63"/>
      <c r="S125" s="63"/>
      <c r="T125" s="63"/>
      <c r="U125" s="1127"/>
      <c r="V125" s="63"/>
      <c r="W125" s="63"/>
      <c r="X125" s="63"/>
      <c r="Y125" s="63"/>
      <c r="Z125" s="1127"/>
      <c r="AA125" s="63"/>
      <c r="AB125" s="63"/>
      <c r="AC125" s="63"/>
      <c r="AD125" s="63"/>
      <c r="AE125" s="1127"/>
      <c r="AF125" s="63"/>
      <c r="AG125" s="63"/>
      <c r="AH125" s="63"/>
      <c r="AI125" s="63"/>
      <c r="AJ125" s="1127"/>
      <c r="AK125" s="63"/>
      <c r="AL125" s="63"/>
      <c r="AM125" s="63"/>
      <c r="AN125" s="63"/>
      <c r="AO125" s="1127"/>
      <c r="AP125" s="63"/>
      <c r="AQ125" s="63"/>
      <c r="AR125" s="63"/>
      <c r="AS125" s="63"/>
      <c r="AT125" s="1127"/>
      <c r="AU125" s="63"/>
      <c r="AV125" s="63"/>
      <c r="AW125" s="63"/>
      <c r="AX125" s="63"/>
      <c r="AY125" s="1127"/>
      <c r="AZ125" s="63"/>
      <c r="BA125" s="63"/>
      <c r="BB125" s="63"/>
      <c r="BC125" s="63"/>
      <c r="BD125" s="1127"/>
      <c r="BE125" s="63"/>
      <c r="BF125" s="63"/>
      <c r="BG125" s="63"/>
      <c r="BH125" s="63"/>
      <c r="BI125" s="1127"/>
      <c r="BJ125" s="63"/>
      <c r="BK125" s="63"/>
      <c r="BL125" s="63"/>
      <c r="BM125" s="63"/>
      <c r="BN125" s="1127"/>
      <c r="BO125" s="63"/>
      <c r="BP125" s="63"/>
      <c r="BQ125" s="63"/>
      <c r="BR125" s="63"/>
      <c r="BS125" s="1127"/>
      <c r="BT125" s="63"/>
      <c r="BU125" s="63"/>
      <c r="BV125" s="63"/>
      <c r="BW125" s="63"/>
      <c r="BX125" s="1127"/>
      <c r="BY125" s="587"/>
      <c r="BZ125" s="63"/>
      <c r="CA125" s="63"/>
      <c r="CB125" s="63"/>
      <c r="CC125" s="1127"/>
      <c r="CD125" s="63"/>
      <c r="CE125" s="63"/>
      <c r="CF125" s="63"/>
      <c r="CG125" s="63"/>
      <c r="CH125" s="1127"/>
      <c r="CI125" s="1127"/>
      <c r="CJ125" s="1127"/>
      <c r="CK125" s="1127"/>
      <c r="CL125" s="155"/>
    </row>
    <row r="126" spans="1:90" hidden="1" outlineLevel="1" x14ac:dyDescent="0.3">
      <c r="A126" s="67" t="s">
        <v>734</v>
      </c>
      <c r="B126" s="146"/>
      <c r="C126" s="1113">
        <v>11.939</v>
      </c>
      <c r="D126" s="1113">
        <v>12.05</v>
      </c>
      <c r="E126" s="1113">
        <v>8.3079999999999998</v>
      </c>
      <c r="F126" s="1113">
        <v>11.321999999999999</v>
      </c>
      <c r="G126" s="1055">
        <v>2.5259999999999998</v>
      </c>
      <c r="H126" s="1055">
        <v>2.649</v>
      </c>
      <c r="I126" s="1055">
        <v>2.4889999999999999</v>
      </c>
      <c r="J126" s="1055">
        <v>2.8260000000000001</v>
      </c>
      <c r="K126" s="1114">
        <f>SUM(G126,H126,I126,J126)</f>
        <v>10.49</v>
      </c>
      <c r="L126" s="1055">
        <v>2.653</v>
      </c>
      <c r="M126" s="1055">
        <v>2.1680000000000001</v>
      </c>
      <c r="N126" s="1055">
        <v>3.09</v>
      </c>
      <c r="O126" s="1055">
        <v>2.7770000000000001</v>
      </c>
      <c r="P126" s="1114">
        <f>SUM(L126,M126,N126,O126)</f>
        <v>10.687999999999999</v>
      </c>
      <c r="Q126" s="27">
        <f>8.596-R126-S126</f>
        <v>2.5750000000000002</v>
      </c>
      <c r="R126" s="1055">
        <v>3</v>
      </c>
      <c r="S126" s="1055">
        <v>3.0209999999999999</v>
      </c>
      <c r="T126" s="1055">
        <v>4</v>
      </c>
      <c r="U126" s="1114">
        <f>SUM(Q126,R126,S126,T126)</f>
        <v>12.596</v>
      </c>
      <c r="V126" s="1055">
        <v>2</v>
      </c>
      <c r="W126" s="1055">
        <v>3</v>
      </c>
      <c r="X126" s="1055">
        <v>4</v>
      </c>
      <c r="Y126" s="1055">
        <v>5</v>
      </c>
      <c r="Z126" s="1114">
        <f>SUM(V126,W126,X126,Y126)</f>
        <v>14</v>
      </c>
      <c r="AA126" s="1055">
        <v>4</v>
      </c>
      <c r="AB126" s="1055">
        <v>4</v>
      </c>
      <c r="AC126" s="1055">
        <v>3</v>
      </c>
      <c r="AD126" s="1055">
        <v>4</v>
      </c>
      <c r="AE126" s="1114">
        <f>SUM(AA126,AB126,AC126,AD126)</f>
        <v>15</v>
      </c>
      <c r="AF126" s="1055">
        <v>4</v>
      </c>
      <c r="AG126" s="1055">
        <v>4</v>
      </c>
      <c r="AH126" s="1055">
        <v>6</v>
      </c>
      <c r="AI126" s="1055">
        <v>7</v>
      </c>
      <c r="AJ126" s="1114">
        <f>SUM(AF126,AG126,AH126,AI126)</f>
        <v>21</v>
      </c>
      <c r="AK126" s="1055">
        <v>8</v>
      </c>
      <c r="AL126" s="1055">
        <v>8</v>
      </c>
      <c r="AM126" s="1055">
        <v>5</v>
      </c>
      <c r="AN126" s="1055">
        <v>6</v>
      </c>
      <c r="AO126" s="1114">
        <f>SUM(AK126,AL126,AM126,AN126)</f>
        <v>27</v>
      </c>
      <c r="AP126" s="1055">
        <v>4</v>
      </c>
      <c r="AQ126" s="1055">
        <v>8</v>
      </c>
      <c r="AR126" s="1055">
        <v>15</v>
      </c>
      <c r="AS126" s="1055">
        <v>12</v>
      </c>
      <c r="AT126" s="1114">
        <f>SUM(AP126,AQ126,AR126,AS126)</f>
        <v>39</v>
      </c>
      <c r="AU126" s="1055">
        <v>21</v>
      </c>
      <c r="AV126" s="1055">
        <v>14</v>
      </c>
      <c r="AW126" s="1055">
        <v>28</v>
      </c>
      <c r="AX126" s="27">
        <f>AX331</f>
        <v>26</v>
      </c>
      <c r="AY126" s="1114">
        <f>AY331</f>
        <v>88</v>
      </c>
      <c r="AZ126" s="1055">
        <v>25</v>
      </c>
      <c r="BA126" s="1055">
        <v>32</v>
      </c>
      <c r="BB126" s="1055">
        <v>44</v>
      </c>
      <c r="BC126" s="1055">
        <v>39</v>
      </c>
      <c r="BD126" s="1113">
        <v>141</v>
      </c>
      <c r="BE126" s="1055">
        <v>38</v>
      </c>
      <c r="BF126" s="1055">
        <v>38</v>
      </c>
      <c r="BG126" s="1055">
        <v>32</v>
      </c>
      <c r="BH126" s="1055">
        <v>30</v>
      </c>
      <c r="BI126" s="1113">
        <v>138</v>
      </c>
      <c r="BJ126" s="1055">
        <v>27</v>
      </c>
      <c r="BK126" s="1055">
        <v>31</v>
      </c>
      <c r="BL126" s="1055">
        <v>38</v>
      </c>
      <c r="BM126" s="1055">
        <v>45</v>
      </c>
      <c r="BN126" s="1113">
        <v>141</v>
      </c>
      <c r="BO126" s="1055">
        <v>36</v>
      </c>
      <c r="BP126" s="1055">
        <v>40</v>
      </c>
      <c r="BQ126" s="1055">
        <v>50</v>
      </c>
      <c r="BR126" s="1055">
        <v>53</v>
      </c>
      <c r="BS126" s="1113">
        <v>178</v>
      </c>
      <c r="BT126" s="1055">
        <v>64</v>
      </c>
      <c r="BU126" s="1055">
        <v>58</v>
      </c>
      <c r="BV126" s="1055">
        <v>70</v>
      </c>
      <c r="BW126" s="1055">
        <v>69</v>
      </c>
      <c r="BX126" s="1113">
        <v>261</v>
      </c>
      <c r="BY126" s="1057">
        <v>68</v>
      </c>
      <c r="BZ126" s="68">
        <f>BZ51</f>
        <v>0</v>
      </c>
      <c r="CA126" s="68">
        <f>CA51</f>
        <v>0</v>
      </c>
      <c r="CB126" s="68">
        <f>CB51</f>
        <v>0</v>
      </c>
      <c r="CC126" s="1112">
        <f t="shared" ref="CC126" si="548">CC51</f>
        <v>0</v>
      </c>
      <c r="CD126" s="68">
        <f t="shared" ref="CD126:CK126" si="549">CD51</f>
        <v>0</v>
      </c>
      <c r="CE126" s="68">
        <f t="shared" si="549"/>
        <v>0</v>
      </c>
      <c r="CF126" s="68">
        <f t="shared" si="549"/>
        <v>0</v>
      </c>
      <c r="CG126" s="68">
        <f t="shared" si="549"/>
        <v>0</v>
      </c>
      <c r="CH126" s="1112">
        <f t="shared" si="549"/>
        <v>0</v>
      </c>
      <c r="CI126" s="1112">
        <f t="shared" si="549"/>
        <v>0</v>
      </c>
      <c r="CJ126" s="1112">
        <f t="shared" si="549"/>
        <v>0</v>
      </c>
      <c r="CK126" s="1112">
        <f t="shared" si="549"/>
        <v>0</v>
      </c>
      <c r="CL126" s="155"/>
    </row>
    <row r="127" spans="1:90" hidden="1" outlineLevel="1" x14ac:dyDescent="0.3">
      <c r="A127" s="67" t="s">
        <v>735</v>
      </c>
      <c r="B127" s="146"/>
      <c r="C127" s="1113">
        <v>98.007000000000005</v>
      </c>
      <c r="D127" s="1113">
        <v>61.337000000000003</v>
      </c>
      <c r="E127" s="1113">
        <v>57.973999999999997</v>
      </c>
      <c r="F127" s="1113">
        <v>80.501999999999995</v>
      </c>
      <c r="G127" s="1055">
        <v>21.207000000000001</v>
      </c>
      <c r="H127" s="1055">
        <v>18.885000000000002</v>
      </c>
      <c r="I127" s="1055">
        <v>20.056000000000001</v>
      </c>
      <c r="J127" s="1055">
        <v>22.009</v>
      </c>
      <c r="K127" s="1114">
        <f>SUM(G127,H127,I127,J127)</f>
        <v>82.156999999999996</v>
      </c>
      <c r="L127" s="1055">
        <v>21.934999999999999</v>
      </c>
      <c r="M127" s="1055">
        <v>18.555</v>
      </c>
      <c r="N127" s="1055">
        <v>20.902000000000001</v>
      </c>
      <c r="O127" s="1055">
        <v>21.547999999999998</v>
      </c>
      <c r="P127" s="1114">
        <f>SUM(L127,M127,N127,O127)</f>
        <v>82.94</v>
      </c>
      <c r="Q127" s="27">
        <f>64.636-R127-S127</f>
        <v>20.955999999999996</v>
      </c>
      <c r="R127" s="1055">
        <v>21</v>
      </c>
      <c r="S127" s="1055">
        <v>22.68</v>
      </c>
      <c r="T127" s="1055">
        <v>23</v>
      </c>
      <c r="U127" s="1114">
        <f>SUM(Q127,R127,S127,T127)</f>
        <v>87.635999999999996</v>
      </c>
      <c r="V127" s="1055">
        <v>27</v>
      </c>
      <c r="W127" s="1055">
        <v>27</v>
      </c>
      <c r="X127" s="1055">
        <v>28</v>
      </c>
      <c r="Y127" s="1055">
        <v>33</v>
      </c>
      <c r="Z127" s="1114">
        <f>SUM(V127,W127,X127,Y127)</f>
        <v>115</v>
      </c>
      <c r="AA127" s="1055">
        <v>29</v>
      </c>
      <c r="AB127" s="1055">
        <v>30</v>
      </c>
      <c r="AC127" s="1055">
        <v>35</v>
      </c>
      <c r="AD127" s="1055">
        <v>40</v>
      </c>
      <c r="AE127" s="1114">
        <f>SUM(AA127,AB127,AC127,AD127)</f>
        <v>134</v>
      </c>
      <c r="AF127" s="1055">
        <v>41</v>
      </c>
      <c r="AG127" s="1055">
        <v>44</v>
      </c>
      <c r="AH127" s="1055">
        <v>61</v>
      </c>
      <c r="AI127" s="1055">
        <v>73</v>
      </c>
      <c r="AJ127" s="1114">
        <f>SUM(AF127,AG127,AH127,AI127)</f>
        <v>219</v>
      </c>
      <c r="AK127" s="1055">
        <v>74</v>
      </c>
      <c r="AL127" s="1055">
        <v>76</v>
      </c>
      <c r="AM127" s="1055">
        <v>88</v>
      </c>
      <c r="AN127" s="1055">
        <v>99</v>
      </c>
      <c r="AO127" s="1113">
        <v>336</v>
      </c>
      <c r="AP127" s="1055">
        <v>114</v>
      </c>
      <c r="AQ127" s="1055">
        <v>145</v>
      </c>
      <c r="AR127" s="1055">
        <v>141</v>
      </c>
      <c r="AS127" s="1055">
        <v>140</v>
      </c>
      <c r="AT127" s="1113">
        <v>540</v>
      </c>
      <c r="AU127" s="1055">
        <v>134</v>
      </c>
      <c r="AV127" s="1055">
        <v>228</v>
      </c>
      <c r="AW127" s="1055">
        <v>232</v>
      </c>
      <c r="AX127" s="1055">
        <v>266</v>
      </c>
      <c r="AY127" s="1113">
        <v>860</v>
      </c>
      <c r="AZ127" s="1055">
        <v>276</v>
      </c>
      <c r="BA127" s="1055">
        <v>297</v>
      </c>
      <c r="BB127" s="1055">
        <v>363</v>
      </c>
      <c r="BC127" s="1055">
        <v>362</v>
      </c>
      <c r="BD127" s="1113">
        <v>1298</v>
      </c>
      <c r="BE127" s="1055">
        <v>384</v>
      </c>
      <c r="BF127" s="1055">
        <v>452</v>
      </c>
      <c r="BG127" s="1055">
        <v>530</v>
      </c>
      <c r="BH127" s="1055">
        <v>527</v>
      </c>
      <c r="BI127" s="1113">
        <v>1892</v>
      </c>
      <c r="BJ127" s="1055">
        <v>524</v>
      </c>
      <c r="BK127" s="1055">
        <v>600</v>
      </c>
      <c r="BL127" s="1055">
        <v>701</v>
      </c>
      <c r="BM127" s="1055">
        <v>706</v>
      </c>
      <c r="BN127" s="1113">
        <v>2532</v>
      </c>
      <c r="BO127" s="1055">
        <v>727</v>
      </c>
      <c r="BP127" s="1055">
        <v>832</v>
      </c>
      <c r="BQ127" s="1055">
        <v>910</v>
      </c>
      <c r="BR127" s="1055">
        <v>955</v>
      </c>
      <c r="BS127" s="1113">
        <v>3423</v>
      </c>
      <c r="BT127" s="1055">
        <v>1063</v>
      </c>
      <c r="BU127" s="1055">
        <v>1191</v>
      </c>
      <c r="BV127" s="1055">
        <v>1206</v>
      </c>
      <c r="BW127" s="1055">
        <v>1217</v>
      </c>
      <c r="BX127" s="1113">
        <v>4676</v>
      </c>
      <c r="BY127" s="1057">
        <v>1459</v>
      </c>
      <c r="BZ127" s="68">
        <f>BZ69</f>
        <v>0</v>
      </c>
      <c r="CA127" s="68">
        <f>CA69</f>
        <v>0</v>
      </c>
      <c r="CB127" s="68">
        <f>CB69</f>
        <v>0</v>
      </c>
      <c r="CC127" s="1112">
        <f t="shared" ref="CC127" si="550">CC69</f>
        <v>0</v>
      </c>
      <c r="CD127" s="68">
        <f t="shared" ref="CD127:CK127" si="551">CD69</f>
        <v>0</v>
      </c>
      <c r="CE127" s="68">
        <f t="shared" si="551"/>
        <v>0</v>
      </c>
      <c r="CF127" s="68">
        <f t="shared" si="551"/>
        <v>0</v>
      </c>
      <c r="CG127" s="68">
        <f t="shared" si="551"/>
        <v>0</v>
      </c>
      <c r="CH127" s="1112">
        <f t="shared" si="551"/>
        <v>0</v>
      </c>
      <c r="CI127" s="1112">
        <f t="shared" si="551"/>
        <v>0</v>
      </c>
      <c r="CJ127" s="1112">
        <f t="shared" si="551"/>
        <v>0</v>
      </c>
      <c r="CK127" s="1112">
        <f t="shared" si="551"/>
        <v>0</v>
      </c>
      <c r="CL127" s="155"/>
    </row>
    <row r="128" spans="1:90" hidden="1" outlineLevel="1" x14ac:dyDescent="0.3">
      <c r="A128" s="121" t="s">
        <v>736</v>
      </c>
      <c r="B128" s="149"/>
      <c r="C128" s="1113">
        <v>52.76</v>
      </c>
      <c r="D128" s="1113">
        <v>33.704000000000001</v>
      </c>
      <c r="E128" s="1113">
        <v>34.070999999999998</v>
      </c>
      <c r="F128" s="1113">
        <v>44.53</v>
      </c>
      <c r="G128" s="1062">
        <v>11.836</v>
      </c>
      <c r="H128" s="1062">
        <v>10.721</v>
      </c>
      <c r="I128" s="1062">
        <v>10.523999999999999</v>
      </c>
      <c r="J128" s="1062">
        <v>10.933999999999999</v>
      </c>
      <c r="K128" s="1114">
        <f>SUM(G128,H128,I128,J128)</f>
        <v>44.015000000000001</v>
      </c>
      <c r="L128" s="1062">
        <v>8.8089999999999993</v>
      </c>
      <c r="M128" s="1062">
        <v>11.672000000000001</v>
      </c>
      <c r="N128" s="1062">
        <v>10.307</v>
      </c>
      <c r="O128" s="1062">
        <v>11.879</v>
      </c>
      <c r="P128" s="1114">
        <f>SUM(L128,M128,N128,O128)</f>
        <v>42.667000000000002</v>
      </c>
      <c r="Q128" s="110">
        <f>42.139-R128-S128</f>
        <v>12.405000000000003</v>
      </c>
      <c r="R128" s="1062">
        <v>14</v>
      </c>
      <c r="S128" s="1062">
        <v>15.734</v>
      </c>
      <c r="T128" s="1062">
        <v>15</v>
      </c>
      <c r="U128" s="1114">
        <f>SUM(Q128,R128,S128,T128)</f>
        <v>57.139000000000003</v>
      </c>
      <c r="V128" s="1062">
        <v>17</v>
      </c>
      <c r="W128" s="1062">
        <v>17</v>
      </c>
      <c r="X128" s="1062">
        <v>19</v>
      </c>
      <c r="Y128" s="1062">
        <v>22</v>
      </c>
      <c r="Z128" s="1114">
        <f>SUM(V128,W128,X128,Y128)</f>
        <v>75</v>
      </c>
      <c r="AA128" s="1062">
        <v>20</v>
      </c>
      <c r="AB128" s="1062">
        <v>24</v>
      </c>
      <c r="AC128" s="1062">
        <v>27</v>
      </c>
      <c r="AD128" s="1062">
        <v>27</v>
      </c>
      <c r="AE128" s="1114">
        <f>SUM(AA128,AB128,AC128,AD128)</f>
        <v>98</v>
      </c>
      <c r="AF128" s="1062">
        <v>31</v>
      </c>
      <c r="AG128" s="1062">
        <v>33</v>
      </c>
      <c r="AH128" s="1055">
        <v>40</v>
      </c>
      <c r="AI128" s="1062">
        <v>46</v>
      </c>
      <c r="AJ128" s="1113">
        <v>151</v>
      </c>
      <c r="AK128" s="1055">
        <v>47</v>
      </c>
      <c r="AL128" s="1062">
        <v>48</v>
      </c>
      <c r="AM128" s="1055">
        <v>47</v>
      </c>
      <c r="AN128" s="1062">
        <v>51</v>
      </c>
      <c r="AO128" s="1113">
        <v>194</v>
      </c>
      <c r="AP128" s="1062">
        <v>60</v>
      </c>
      <c r="AQ128" s="1062">
        <v>71</v>
      </c>
      <c r="AR128" s="1055">
        <v>67</v>
      </c>
      <c r="AS128" s="1062">
        <v>68</v>
      </c>
      <c r="AT128" s="1113">
        <v>265</v>
      </c>
      <c r="AU128" s="1062">
        <v>69</v>
      </c>
      <c r="AV128" s="1062">
        <v>132</v>
      </c>
      <c r="AW128" s="1055">
        <v>123</v>
      </c>
      <c r="AX128" s="1062">
        <v>125</v>
      </c>
      <c r="AY128" s="1113">
        <v>449</v>
      </c>
      <c r="AZ128" s="1062">
        <v>128</v>
      </c>
      <c r="BA128" s="1062">
        <v>136</v>
      </c>
      <c r="BB128" s="1055">
        <v>152</v>
      </c>
      <c r="BC128" s="1062">
        <v>150</v>
      </c>
      <c r="BD128" s="1113">
        <v>565</v>
      </c>
      <c r="BE128" s="1062">
        <v>156</v>
      </c>
      <c r="BF128" s="1062">
        <v>159</v>
      </c>
      <c r="BG128" s="1055">
        <v>183</v>
      </c>
      <c r="BH128" s="1062">
        <v>182</v>
      </c>
      <c r="BI128" s="1113">
        <v>680</v>
      </c>
      <c r="BJ128" s="1062">
        <v>184</v>
      </c>
      <c r="BK128" s="1062">
        <v>211</v>
      </c>
      <c r="BL128" s="1055">
        <v>240</v>
      </c>
      <c r="BM128" s="1062">
        <v>242</v>
      </c>
      <c r="BN128" s="1133">
        <v>876</v>
      </c>
      <c r="BO128" s="1062">
        <v>248</v>
      </c>
      <c r="BP128" s="1062">
        <v>282</v>
      </c>
      <c r="BQ128" s="1055">
        <v>292</v>
      </c>
      <c r="BR128" s="1062">
        <v>313</v>
      </c>
      <c r="BS128" s="1133">
        <v>1136</v>
      </c>
      <c r="BT128" s="1062">
        <v>347</v>
      </c>
      <c r="BU128" s="1062">
        <v>375</v>
      </c>
      <c r="BV128" s="1055">
        <v>379</v>
      </c>
      <c r="BW128" s="1062">
        <v>347</v>
      </c>
      <c r="BX128" s="1133">
        <v>1449</v>
      </c>
      <c r="BY128" s="1063">
        <v>401</v>
      </c>
      <c r="BZ128" s="68">
        <f>BZ84</f>
        <v>0</v>
      </c>
      <c r="CA128" s="68">
        <f>CA84</f>
        <v>0</v>
      </c>
      <c r="CB128" s="68">
        <f>CB84</f>
        <v>0</v>
      </c>
      <c r="CC128" s="1112">
        <f t="shared" ref="CC128" si="552">CC84</f>
        <v>0</v>
      </c>
      <c r="CD128" s="68">
        <f t="shared" ref="CD128:CK128" si="553">CD84</f>
        <v>0</v>
      </c>
      <c r="CE128" s="68">
        <f t="shared" si="553"/>
        <v>0</v>
      </c>
      <c r="CF128" s="68">
        <f t="shared" si="553"/>
        <v>0</v>
      </c>
      <c r="CG128" s="68">
        <f t="shared" si="553"/>
        <v>0</v>
      </c>
      <c r="CH128" s="1112">
        <f t="shared" si="553"/>
        <v>0</v>
      </c>
      <c r="CI128" s="1112">
        <f t="shared" si="553"/>
        <v>0</v>
      </c>
      <c r="CJ128" s="1112">
        <f t="shared" si="553"/>
        <v>0</v>
      </c>
      <c r="CK128" s="1112">
        <f t="shared" si="553"/>
        <v>0</v>
      </c>
      <c r="CL128" s="155"/>
    </row>
    <row r="129" spans="1:90" hidden="1" outlineLevel="1" x14ac:dyDescent="0.3">
      <c r="A129" s="59" t="s">
        <v>737</v>
      </c>
      <c r="B129" s="607"/>
      <c r="C129" s="1125">
        <f t="shared" ref="C129:AV129" si="554">SUM(C126:C128)</f>
        <v>162.70599999999999</v>
      </c>
      <c r="D129" s="1125">
        <f t="shared" si="554"/>
        <v>107.09100000000001</v>
      </c>
      <c r="E129" s="1125">
        <f t="shared" si="554"/>
        <v>100.35299999999999</v>
      </c>
      <c r="F129" s="1125">
        <f t="shared" si="554"/>
        <v>136.35399999999998</v>
      </c>
      <c r="G129" s="60">
        <f t="shared" si="554"/>
        <v>35.569000000000003</v>
      </c>
      <c r="H129" s="60">
        <f t="shared" si="554"/>
        <v>32.255000000000003</v>
      </c>
      <c r="I129" s="60">
        <f t="shared" si="554"/>
        <v>33.069000000000003</v>
      </c>
      <c r="J129" s="60">
        <f t="shared" si="554"/>
        <v>35.768999999999998</v>
      </c>
      <c r="K129" s="1125">
        <f t="shared" si="554"/>
        <v>136.66199999999998</v>
      </c>
      <c r="L129" s="60">
        <f t="shared" si="554"/>
        <v>33.396999999999998</v>
      </c>
      <c r="M129" s="60">
        <f t="shared" si="554"/>
        <v>32.394999999999996</v>
      </c>
      <c r="N129" s="60">
        <f t="shared" si="554"/>
        <v>34.298999999999999</v>
      </c>
      <c r="O129" s="60">
        <f t="shared" si="554"/>
        <v>36.204000000000001</v>
      </c>
      <c r="P129" s="1125">
        <f t="shared" si="554"/>
        <v>136.29500000000002</v>
      </c>
      <c r="Q129" s="60">
        <f t="shared" si="554"/>
        <v>35.936</v>
      </c>
      <c r="R129" s="60">
        <f t="shared" si="554"/>
        <v>38</v>
      </c>
      <c r="S129" s="60">
        <f t="shared" si="554"/>
        <v>41.435000000000002</v>
      </c>
      <c r="T129" s="60">
        <f t="shared" si="554"/>
        <v>42</v>
      </c>
      <c r="U129" s="1125">
        <f t="shared" si="554"/>
        <v>157.37100000000001</v>
      </c>
      <c r="V129" s="60">
        <f t="shared" si="554"/>
        <v>46</v>
      </c>
      <c r="W129" s="60">
        <f t="shared" si="554"/>
        <v>47</v>
      </c>
      <c r="X129" s="60">
        <f t="shared" si="554"/>
        <v>51</v>
      </c>
      <c r="Y129" s="60">
        <f t="shared" si="554"/>
        <v>60</v>
      </c>
      <c r="Z129" s="1125">
        <f t="shared" si="554"/>
        <v>204</v>
      </c>
      <c r="AA129" s="60">
        <f t="shared" si="554"/>
        <v>53</v>
      </c>
      <c r="AB129" s="60">
        <f t="shared" si="554"/>
        <v>58</v>
      </c>
      <c r="AC129" s="60">
        <f t="shared" si="554"/>
        <v>65</v>
      </c>
      <c r="AD129" s="60">
        <f t="shared" si="554"/>
        <v>71</v>
      </c>
      <c r="AE129" s="1125">
        <f t="shared" si="554"/>
        <v>247</v>
      </c>
      <c r="AF129" s="60">
        <f t="shared" si="554"/>
        <v>76</v>
      </c>
      <c r="AG129" s="60">
        <f t="shared" si="554"/>
        <v>81</v>
      </c>
      <c r="AH129" s="60">
        <f t="shared" si="554"/>
        <v>107</v>
      </c>
      <c r="AI129" s="60">
        <f t="shared" si="554"/>
        <v>126</v>
      </c>
      <c r="AJ129" s="1125">
        <f t="shared" si="554"/>
        <v>391</v>
      </c>
      <c r="AK129" s="60">
        <f t="shared" si="554"/>
        <v>129</v>
      </c>
      <c r="AL129" s="60">
        <f t="shared" si="554"/>
        <v>132</v>
      </c>
      <c r="AM129" s="60">
        <f t="shared" si="554"/>
        <v>140</v>
      </c>
      <c r="AN129" s="60">
        <f t="shared" si="554"/>
        <v>156</v>
      </c>
      <c r="AO129" s="1125">
        <f t="shared" si="554"/>
        <v>557</v>
      </c>
      <c r="AP129" s="60">
        <f t="shared" si="554"/>
        <v>178</v>
      </c>
      <c r="AQ129" s="60">
        <f t="shared" si="554"/>
        <v>224</v>
      </c>
      <c r="AR129" s="60">
        <f t="shared" si="554"/>
        <v>223</v>
      </c>
      <c r="AS129" s="60">
        <f t="shared" si="554"/>
        <v>220</v>
      </c>
      <c r="AT129" s="1125">
        <f t="shared" si="554"/>
        <v>844</v>
      </c>
      <c r="AU129" s="60">
        <f t="shared" si="554"/>
        <v>224</v>
      </c>
      <c r="AV129" s="60">
        <f t="shared" si="554"/>
        <v>374</v>
      </c>
      <c r="AW129" s="60">
        <f t="shared" ref="AW129:BB129" si="555">SUM(AW126:AW128)</f>
        <v>383</v>
      </c>
      <c r="AX129" s="60">
        <f t="shared" si="555"/>
        <v>417</v>
      </c>
      <c r="AY129" s="1125">
        <f t="shared" si="555"/>
        <v>1397</v>
      </c>
      <c r="AZ129" s="60">
        <f t="shared" si="555"/>
        <v>429</v>
      </c>
      <c r="BA129" s="60">
        <f t="shared" si="555"/>
        <v>465</v>
      </c>
      <c r="BB129" s="60">
        <f t="shared" si="555"/>
        <v>559</v>
      </c>
      <c r="BC129" s="60">
        <f t="shared" ref="BC129:BI129" si="556">SUM(BC126:BC128)</f>
        <v>551</v>
      </c>
      <c r="BD129" s="1125">
        <f t="shared" si="556"/>
        <v>2004</v>
      </c>
      <c r="BE129" s="60">
        <f t="shared" si="556"/>
        <v>578</v>
      </c>
      <c r="BF129" s="60">
        <f t="shared" si="556"/>
        <v>649</v>
      </c>
      <c r="BG129" s="60">
        <f t="shared" si="556"/>
        <v>745</v>
      </c>
      <c r="BH129" s="60">
        <f t="shared" si="556"/>
        <v>739</v>
      </c>
      <c r="BI129" s="1125">
        <f t="shared" si="556"/>
        <v>2710</v>
      </c>
      <c r="BJ129" s="60">
        <f t="shared" ref="BJ129:BN129" si="557">SUM(BJ126:BJ128)</f>
        <v>735</v>
      </c>
      <c r="BK129" s="60">
        <f t="shared" si="557"/>
        <v>842</v>
      </c>
      <c r="BL129" s="60">
        <f t="shared" si="557"/>
        <v>979</v>
      </c>
      <c r="BM129" s="28">
        <f t="shared" si="557"/>
        <v>993</v>
      </c>
      <c r="BN129" s="1134">
        <f t="shared" si="557"/>
        <v>3549</v>
      </c>
      <c r="BO129" s="60">
        <f t="shared" ref="BO129:BS129" si="558">SUM(BO126:BO128)</f>
        <v>1011</v>
      </c>
      <c r="BP129" s="60">
        <f t="shared" si="558"/>
        <v>1154</v>
      </c>
      <c r="BQ129" s="60">
        <f t="shared" si="558"/>
        <v>1252</v>
      </c>
      <c r="BR129" s="28">
        <f t="shared" si="558"/>
        <v>1321</v>
      </c>
      <c r="BS129" s="1134">
        <f t="shared" si="558"/>
        <v>4737</v>
      </c>
      <c r="BT129" s="60">
        <f t="shared" ref="BT129:CK129" si="559">SUM(BT126:BT128)</f>
        <v>1474</v>
      </c>
      <c r="BU129" s="60">
        <f t="shared" si="559"/>
        <v>1624</v>
      </c>
      <c r="BV129" s="60">
        <f t="shared" si="559"/>
        <v>1655</v>
      </c>
      <c r="BW129" s="28">
        <f t="shared" si="559"/>
        <v>1633</v>
      </c>
      <c r="BX129" s="1134">
        <f t="shared" si="559"/>
        <v>6386</v>
      </c>
      <c r="BY129" s="895">
        <f>SUM(BY126:BY128)</f>
        <v>1928</v>
      </c>
      <c r="BZ129" s="61">
        <f t="shared" si="559"/>
        <v>0</v>
      </c>
      <c r="CA129" s="61">
        <f t="shared" si="559"/>
        <v>0</v>
      </c>
      <c r="CB129" s="61">
        <f t="shared" si="559"/>
        <v>0</v>
      </c>
      <c r="CC129" s="1124">
        <f t="shared" si="559"/>
        <v>0</v>
      </c>
      <c r="CD129" s="61">
        <f t="shared" si="559"/>
        <v>0</v>
      </c>
      <c r="CE129" s="61">
        <f t="shared" si="559"/>
        <v>0</v>
      </c>
      <c r="CF129" s="61">
        <f t="shared" si="559"/>
        <v>0</v>
      </c>
      <c r="CG129" s="61">
        <f t="shared" si="559"/>
        <v>0</v>
      </c>
      <c r="CH129" s="1124">
        <f t="shared" si="559"/>
        <v>0</v>
      </c>
      <c r="CI129" s="1124">
        <f t="shared" si="559"/>
        <v>0</v>
      </c>
      <c r="CJ129" s="1124">
        <f t="shared" si="559"/>
        <v>0</v>
      </c>
      <c r="CK129" s="1124">
        <f t="shared" si="559"/>
        <v>0</v>
      </c>
      <c r="CL129" s="155"/>
    </row>
    <row r="130" spans="1:90" collapsed="1" x14ac:dyDescent="0.3">
      <c r="A130" s="600"/>
      <c r="B130" s="601"/>
      <c r="C130" s="1127"/>
      <c r="D130" s="1127"/>
      <c r="E130" s="1127"/>
      <c r="F130" s="1127"/>
      <c r="G130" s="63"/>
      <c r="H130" s="63"/>
      <c r="I130" s="63"/>
      <c r="J130" s="63"/>
      <c r="K130" s="1127"/>
      <c r="L130" s="63"/>
      <c r="M130" s="63"/>
      <c r="N130" s="63"/>
      <c r="O130" s="63"/>
      <c r="P130" s="1127"/>
      <c r="Q130" s="63"/>
      <c r="R130" s="63"/>
      <c r="S130" s="63"/>
      <c r="T130" s="63"/>
      <c r="U130" s="1127"/>
      <c r="V130" s="63"/>
      <c r="W130" s="63"/>
      <c r="X130" s="63"/>
      <c r="Y130" s="63"/>
      <c r="Z130" s="1127"/>
      <c r="AA130" s="63"/>
      <c r="AB130" s="63"/>
      <c r="AC130" s="63"/>
      <c r="AD130" s="63"/>
      <c r="AE130" s="1127"/>
      <c r="AF130" s="63"/>
      <c r="AG130" s="63"/>
      <c r="AH130" s="63"/>
      <c r="AI130" s="63"/>
      <c r="AJ130" s="1127"/>
      <c r="AK130" s="63"/>
      <c r="AL130" s="63"/>
      <c r="AM130" s="63"/>
      <c r="AN130" s="63"/>
      <c r="AO130" s="1127"/>
      <c r="AP130" s="63"/>
      <c r="AQ130" s="63"/>
      <c r="AR130" s="63"/>
      <c r="AS130" s="63"/>
      <c r="AT130" s="1127"/>
      <c r="AU130" s="63"/>
      <c r="AV130" s="63"/>
      <c r="AW130" s="63"/>
      <c r="AX130" s="63"/>
      <c r="AY130" s="1127"/>
      <c r="AZ130" s="63"/>
      <c r="BA130" s="63"/>
      <c r="BB130" s="63"/>
      <c r="BC130" s="63"/>
      <c r="BD130" s="1127"/>
      <c r="BE130" s="63"/>
      <c r="BF130" s="63"/>
      <c r="BG130" s="63"/>
      <c r="BH130" s="63"/>
      <c r="BI130" s="1127"/>
      <c r="BJ130" s="63"/>
      <c r="BK130" s="63"/>
      <c r="BL130" s="63"/>
      <c r="BM130" s="63"/>
      <c r="BN130" s="1127"/>
      <c r="BO130" s="63"/>
      <c r="BP130" s="63"/>
      <c r="BQ130" s="63"/>
      <c r="BR130" s="63"/>
      <c r="BS130" s="1127"/>
      <c r="BT130" s="63"/>
      <c r="BU130" s="63"/>
      <c r="BV130" s="63"/>
      <c r="BW130" s="63"/>
      <c r="BX130" s="1127"/>
      <c r="BY130" s="587"/>
      <c r="BZ130" s="63"/>
      <c r="CA130" s="63"/>
      <c r="CB130" s="63"/>
      <c r="CC130" s="1127"/>
      <c r="CD130" s="63"/>
      <c r="CE130" s="63"/>
      <c r="CF130" s="63"/>
      <c r="CG130" s="63"/>
      <c r="CH130" s="1127"/>
      <c r="CI130" s="1127"/>
      <c r="CJ130" s="1127"/>
      <c r="CK130" s="1127"/>
      <c r="CL130" s="155"/>
    </row>
    <row r="131" spans="1:90" x14ac:dyDescent="0.3">
      <c r="A131" s="45" t="s">
        <v>752</v>
      </c>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45"/>
      <c r="BJ131" s="45"/>
      <c r="BK131" s="45"/>
      <c r="BL131" s="45"/>
      <c r="BM131" s="45"/>
      <c r="BN131" s="45"/>
      <c r="BO131" s="45"/>
      <c r="BP131" s="45"/>
      <c r="BQ131" s="45"/>
      <c r="BR131" s="45"/>
      <c r="BS131" s="45"/>
      <c r="BT131" s="45"/>
      <c r="BU131" s="45"/>
      <c r="BV131" s="45"/>
      <c r="BW131" s="45"/>
      <c r="BX131" s="45"/>
      <c r="BY131" s="881"/>
      <c r="BZ131" s="45"/>
      <c r="CA131" s="45"/>
      <c r="CB131" s="45"/>
      <c r="CC131" s="45"/>
      <c r="CD131" s="45"/>
      <c r="CE131" s="45"/>
      <c r="CF131" s="45"/>
      <c r="CG131" s="45"/>
      <c r="CH131" s="45"/>
      <c r="CI131" s="45"/>
      <c r="CJ131" s="45"/>
      <c r="CK131" s="45"/>
      <c r="CL131" s="155"/>
    </row>
    <row r="132" spans="1:90" hidden="1" outlineLevel="1" x14ac:dyDescent="0.3">
      <c r="A132" s="45" t="s">
        <v>404</v>
      </c>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45"/>
      <c r="BJ132" s="45"/>
      <c r="BK132" s="45"/>
      <c r="BL132" s="45"/>
      <c r="BM132" s="45"/>
      <c r="BN132" s="45"/>
      <c r="BO132" s="45"/>
      <c r="BP132" s="45"/>
      <c r="BQ132" s="45"/>
      <c r="BR132" s="45"/>
      <c r="BS132" s="45"/>
      <c r="BT132" s="45"/>
      <c r="BU132" s="45"/>
      <c r="BV132" s="45"/>
      <c r="BW132" s="45"/>
      <c r="BX132" s="45"/>
      <c r="BY132" s="881"/>
      <c r="BZ132" s="45"/>
      <c r="CA132" s="45"/>
      <c r="CB132" s="45"/>
      <c r="CC132" s="45"/>
      <c r="CD132" s="45"/>
      <c r="CE132" s="45"/>
      <c r="CF132" s="45"/>
      <c r="CG132" s="45"/>
      <c r="CH132" s="45"/>
      <c r="CI132" s="45"/>
      <c r="CJ132" s="45"/>
      <c r="CK132" s="45"/>
      <c r="CL132" s="155"/>
    </row>
    <row r="133" spans="1:90" hidden="1" outlineLevel="1" x14ac:dyDescent="0.3">
      <c r="A133" s="67" t="s">
        <v>583</v>
      </c>
      <c r="B133" s="602"/>
      <c r="C133" s="1112"/>
      <c r="D133" s="1112"/>
      <c r="E133" s="1112"/>
      <c r="F133" s="1112"/>
      <c r="G133" s="68"/>
      <c r="H133" s="68"/>
      <c r="I133" s="68"/>
      <c r="J133" s="68"/>
      <c r="K133" s="1112"/>
      <c r="L133" s="68"/>
      <c r="M133" s="68"/>
      <c r="N133" s="68"/>
      <c r="O133" s="68"/>
      <c r="P133" s="1112"/>
      <c r="Q133" s="68"/>
      <c r="R133" s="68"/>
      <c r="S133" s="68"/>
      <c r="T133" s="68"/>
      <c r="U133" s="1112"/>
      <c r="V133" s="68"/>
      <c r="W133" s="68"/>
      <c r="X133" s="68"/>
      <c r="Y133" s="68"/>
      <c r="Z133" s="1112"/>
      <c r="AA133" s="68"/>
      <c r="AB133" s="68"/>
      <c r="AC133" s="68"/>
      <c r="AD133" s="68"/>
      <c r="AE133" s="1112"/>
      <c r="AF133" s="68"/>
      <c r="AG133" s="68"/>
      <c r="AH133" s="68"/>
      <c r="AI133" s="68"/>
      <c r="AJ133" s="1112"/>
      <c r="AK133" s="68"/>
      <c r="AL133" s="68"/>
      <c r="AM133" s="68"/>
      <c r="AN133" s="68"/>
      <c r="AO133" s="1112"/>
      <c r="AP133" s="1055">
        <v>1526</v>
      </c>
      <c r="AQ133" s="1055">
        <v>1803</v>
      </c>
      <c r="AR133" s="1055">
        <v>2226</v>
      </c>
      <c r="AS133" s="1055">
        <v>2084</v>
      </c>
      <c r="AT133" s="1113">
        <v>7639</v>
      </c>
      <c r="AU133" s="1055">
        <v>1906</v>
      </c>
      <c r="AV133" s="1055">
        <v>2085</v>
      </c>
      <c r="AW133" s="1055">
        <v>2787</v>
      </c>
      <c r="AX133" s="1055">
        <v>3056</v>
      </c>
      <c r="AY133" s="1112">
        <f>SUM(AU133,AV133,AW133,AX133)</f>
        <v>9834</v>
      </c>
      <c r="AZ133" s="1055">
        <v>3451</v>
      </c>
      <c r="BA133" s="1055">
        <v>3907</v>
      </c>
      <c r="BB133" s="1055">
        <v>4092</v>
      </c>
      <c r="BC133" s="1055">
        <v>4418</v>
      </c>
      <c r="BD133" s="1112">
        <f>SUM(AZ133,BA133,BB133,BC133)</f>
        <v>15868</v>
      </c>
      <c r="BE133" s="1055">
        <v>4616</v>
      </c>
      <c r="BF133" s="1055">
        <v>2797</v>
      </c>
      <c r="BG133" s="1055">
        <v>2115</v>
      </c>
      <c r="BH133" s="1055">
        <v>2378</v>
      </c>
      <c r="BI133" s="1112">
        <f>SUM(BE133,BF133,BG133,BH133)</f>
        <v>11906</v>
      </c>
      <c r="BJ133" s="1055">
        <v>2732</v>
      </c>
      <c r="BK133" s="1055">
        <v>3105</v>
      </c>
      <c r="BL133" s="1055">
        <v>3475</v>
      </c>
      <c r="BM133" s="1055">
        <v>4205</v>
      </c>
      <c r="BN133" s="1112">
        <f>SUM(BJ133,BK133,BL133,BM133)</f>
        <v>13517</v>
      </c>
      <c r="BO133" s="1055">
        <v>3369</v>
      </c>
      <c r="BP133" s="1055">
        <v>3594</v>
      </c>
      <c r="BQ133" s="1055">
        <v>4046</v>
      </c>
      <c r="BR133" s="1055">
        <v>3295</v>
      </c>
      <c r="BS133" s="1112">
        <f>SUM(BO133,BP133,BQ133,BR133)</f>
        <v>14304</v>
      </c>
      <c r="BT133" s="1055">
        <v>4473</v>
      </c>
      <c r="BU133" s="1055">
        <v>5412</v>
      </c>
      <c r="BV133" s="1055">
        <v>6098</v>
      </c>
      <c r="BW133" s="1055">
        <v>6476</v>
      </c>
      <c r="BX133" s="1112">
        <f>SUM(BT133,BU133,BV133,BW133)</f>
        <v>22459</v>
      </c>
      <c r="BY133" s="1057">
        <v>7065</v>
      </c>
      <c r="BZ133" s="68"/>
      <c r="CA133" s="68"/>
      <c r="CB133" s="68"/>
      <c r="CC133" s="1112"/>
      <c r="CD133" s="68"/>
      <c r="CE133" s="68"/>
      <c r="CF133" s="68"/>
      <c r="CG133" s="68"/>
      <c r="CH133" s="1112"/>
      <c r="CI133" s="1112"/>
      <c r="CJ133" s="1112"/>
      <c r="CK133" s="1112"/>
      <c r="CL133" s="155"/>
    </row>
    <row r="134" spans="1:90" hidden="1" outlineLevel="1" x14ac:dyDescent="0.3">
      <c r="A134" s="121" t="s">
        <v>584</v>
      </c>
      <c r="B134" s="603"/>
      <c r="C134" s="1123"/>
      <c r="D134" s="1123"/>
      <c r="E134" s="1123"/>
      <c r="F134" s="1123"/>
      <c r="G134" s="109"/>
      <c r="H134" s="109"/>
      <c r="I134" s="109"/>
      <c r="J134" s="109"/>
      <c r="K134" s="1123"/>
      <c r="L134" s="109"/>
      <c r="M134" s="109"/>
      <c r="N134" s="109"/>
      <c r="O134" s="109"/>
      <c r="P134" s="1123"/>
      <c r="Q134" s="109"/>
      <c r="R134" s="109"/>
      <c r="S134" s="109"/>
      <c r="T134" s="109"/>
      <c r="U134" s="1123"/>
      <c r="V134" s="109"/>
      <c r="W134" s="109"/>
      <c r="X134" s="109"/>
      <c r="Y134" s="109"/>
      <c r="Z134" s="1123"/>
      <c r="AA134" s="109"/>
      <c r="AB134" s="109"/>
      <c r="AC134" s="109"/>
      <c r="AD134" s="109"/>
      <c r="AE134" s="1123"/>
      <c r="AF134" s="109"/>
      <c r="AG134" s="109"/>
      <c r="AH134" s="109"/>
      <c r="AI134" s="109"/>
      <c r="AJ134" s="1123"/>
      <c r="AK134" s="109"/>
      <c r="AL134" s="109"/>
      <c r="AM134" s="109"/>
      <c r="AN134" s="109"/>
      <c r="AO134" s="1123"/>
      <c r="AP134" s="1062">
        <v>694</v>
      </c>
      <c r="AQ134" s="1062">
        <v>776</v>
      </c>
      <c r="AR134" s="1062">
        <v>788</v>
      </c>
      <c r="AS134" s="1062">
        <v>1021</v>
      </c>
      <c r="AT134" s="1133">
        <v>3279</v>
      </c>
      <c r="AU134" s="1062">
        <v>1174</v>
      </c>
      <c r="AV134" s="1062">
        <v>1781</v>
      </c>
      <c r="AW134" s="1062">
        <v>1939</v>
      </c>
      <c r="AX134" s="1062">
        <v>1947</v>
      </c>
      <c r="AY134" s="1123">
        <f>SUM(AU134,AV134,AW134,AX134)</f>
        <v>6841</v>
      </c>
      <c r="AZ134" s="1062">
        <v>2210</v>
      </c>
      <c r="BA134" s="1062">
        <v>2600</v>
      </c>
      <c r="BB134" s="1062">
        <v>3011</v>
      </c>
      <c r="BC134" s="1062">
        <v>3225</v>
      </c>
      <c r="BD134" s="1123">
        <f>SUM(AZ134,BA134,BB134,BC134)</f>
        <v>11046</v>
      </c>
      <c r="BE134" s="1062">
        <v>3672</v>
      </c>
      <c r="BF134" s="1062">
        <v>3907</v>
      </c>
      <c r="BG134" s="1062">
        <v>3816</v>
      </c>
      <c r="BH134" s="1062">
        <v>3673</v>
      </c>
      <c r="BI134" s="1123">
        <f>SUM(BE134,BF134,BG134,BH134)</f>
        <v>15068</v>
      </c>
      <c r="BJ134" s="1062">
        <v>4460</v>
      </c>
      <c r="BK134" s="1062">
        <v>10402</v>
      </c>
      <c r="BL134" s="1062">
        <v>14645</v>
      </c>
      <c r="BM134" s="1062">
        <v>17898</v>
      </c>
      <c r="BN134" s="1123">
        <f>SUM(BJ134,BK134,BL134,BM134)</f>
        <v>47405</v>
      </c>
      <c r="BO134" s="1062">
        <v>22675</v>
      </c>
      <c r="BP134" s="1062">
        <v>26446</v>
      </c>
      <c r="BQ134" s="1062">
        <v>31036</v>
      </c>
      <c r="BR134" s="1062">
        <v>36036</v>
      </c>
      <c r="BS134" s="1123">
        <f>SUM(BO134,BP134,BQ134,BR134)</f>
        <v>116193</v>
      </c>
      <c r="BT134" s="1062">
        <v>39589</v>
      </c>
      <c r="BU134" s="1062">
        <v>41331</v>
      </c>
      <c r="BV134" s="1062">
        <v>50908</v>
      </c>
      <c r="BW134" s="1062">
        <v>61651</v>
      </c>
      <c r="BX134" s="1123">
        <f>SUM(BT134,BU134,BV134,BW134)</f>
        <v>193479</v>
      </c>
      <c r="BY134" s="1063">
        <v>74550</v>
      </c>
      <c r="BZ134" s="109"/>
      <c r="CA134" s="109"/>
      <c r="CB134" s="109"/>
      <c r="CC134" s="1123"/>
      <c r="CD134" s="109"/>
      <c r="CE134" s="109"/>
      <c r="CF134" s="109"/>
      <c r="CG134" s="109"/>
      <c r="CH134" s="1123"/>
      <c r="CI134" s="1123"/>
      <c r="CJ134" s="1123"/>
      <c r="CK134" s="1123"/>
      <c r="CL134" s="155"/>
    </row>
    <row r="135" spans="1:90" hidden="1" outlineLevel="1" x14ac:dyDescent="0.3">
      <c r="A135" s="59" t="s">
        <v>21</v>
      </c>
      <c r="B135" s="604"/>
      <c r="C135" s="1124"/>
      <c r="D135" s="1124"/>
      <c r="E135" s="1124"/>
      <c r="F135" s="1124"/>
      <c r="G135" s="61"/>
      <c r="H135" s="61"/>
      <c r="I135" s="61"/>
      <c r="J135" s="61"/>
      <c r="K135" s="1124"/>
      <c r="L135" s="61"/>
      <c r="M135" s="61"/>
      <c r="N135" s="61"/>
      <c r="O135" s="61"/>
      <c r="P135" s="1124"/>
      <c r="Q135" s="61"/>
      <c r="R135" s="61"/>
      <c r="S135" s="61"/>
      <c r="T135" s="61"/>
      <c r="U135" s="1124"/>
      <c r="V135" s="61"/>
      <c r="W135" s="61"/>
      <c r="X135" s="61"/>
      <c r="Y135" s="61"/>
      <c r="Z135" s="1124"/>
      <c r="AA135" s="61"/>
      <c r="AB135" s="61"/>
      <c r="AC135" s="61"/>
      <c r="AD135" s="61"/>
      <c r="AE135" s="1124"/>
      <c r="AF135" s="61"/>
      <c r="AG135" s="61"/>
      <c r="AH135" s="61"/>
      <c r="AI135" s="61"/>
      <c r="AJ135" s="1124"/>
      <c r="AK135" s="61"/>
      <c r="AL135" s="61"/>
      <c r="AM135" s="61"/>
      <c r="AN135" s="61"/>
      <c r="AO135" s="1124"/>
      <c r="AP135" s="60">
        <f>SUM(AP132:AP134)</f>
        <v>2220</v>
      </c>
      <c r="AQ135" s="60">
        <f>SUM(AQ132:AQ134)</f>
        <v>2579</v>
      </c>
      <c r="AR135" s="60">
        <f>SUM(AR132:AR134)</f>
        <v>3014</v>
      </c>
      <c r="AS135" s="61">
        <f t="shared" ref="AS135:BE135" si="560">SUM(AS133:AS134)</f>
        <v>3105</v>
      </c>
      <c r="AT135" s="1124">
        <f t="shared" si="560"/>
        <v>10918</v>
      </c>
      <c r="AU135" s="60">
        <f t="shared" si="560"/>
        <v>3080</v>
      </c>
      <c r="AV135" s="60">
        <f t="shared" si="560"/>
        <v>3866</v>
      </c>
      <c r="AW135" s="60">
        <f t="shared" si="560"/>
        <v>4726</v>
      </c>
      <c r="AX135" s="61">
        <f t="shared" si="560"/>
        <v>5003</v>
      </c>
      <c r="AY135" s="1124">
        <f t="shared" si="560"/>
        <v>16675</v>
      </c>
      <c r="AZ135" s="60">
        <f t="shared" si="560"/>
        <v>5661</v>
      </c>
      <c r="BA135" s="60">
        <f t="shared" si="560"/>
        <v>6507</v>
      </c>
      <c r="BB135" s="60">
        <f t="shared" si="560"/>
        <v>7103</v>
      </c>
      <c r="BC135" s="61">
        <f t="shared" si="560"/>
        <v>7643</v>
      </c>
      <c r="BD135" s="1124">
        <f t="shared" si="560"/>
        <v>26914</v>
      </c>
      <c r="BE135" s="60">
        <f t="shared" si="560"/>
        <v>8288</v>
      </c>
      <c r="BF135" s="60">
        <f t="shared" ref="BF135:BK135" si="561">SUM(BF133:BF134)</f>
        <v>6704</v>
      </c>
      <c r="BG135" s="60">
        <f t="shared" si="561"/>
        <v>5931</v>
      </c>
      <c r="BH135" s="61">
        <f t="shared" si="561"/>
        <v>6051</v>
      </c>
      <c r="BI135" s="1124">
        <f t="shared" si="561"/>
        <v>26974</v>
      </c>
      <c r="BJ135" s="60">
        <f t="shared" si="561"/>
        <v>7192</v>
      </c>
      <c r="BK135" s="60">
        <f t="shared" si="561"/>
        <v>13507</v>
      </c>
      <c r="BL135" s="60">
        <f t="shared" ref="BL135:BQ135" si="562">SUM(BL133:BL134)</f>
        <v>18120</v>
      </c>
      <c r="BM135" s="63">
        <f t="shared" si="562"/>
        <v>22103</v>
      </c>
      <c r="BN135" s="1124">
        <f t="shared" si="562"/>
        <v>60922</v>
      </c>
      <c r="BO135" s="60">
        <f t="shared" si="562"/>
        <v>26044</v>
      </c>
      <c r="BP135" s="60">
        <f t="shared" si="562"/>
        <v>30040</v>
      </c>
      <c r="BQ135" s="60">
        <f t="shared" si="562"/>
        <v>35082</v>
      </c>
      <c r="BR135" s="63">
        <f t="shared" ref="BR135:BX135" si="563">SUM(BR133:BR134)</f>
        <v>39331</v>
      </c>
      <c r="BS135" s="1124">
        <f t="shared" si="563"/>
        <v>130497</v>
      </c>
      <c r="BT135" s="60">
        <f t="shared" si="563"/>
        <v>44062</v>
      </c>
      <c r="BU135" s="60">
        <f t="shared" si="563"/>
        <v>46743</v>
      </c>
      <c r="BV135" s="60">
        <f t="shared" si="563"/>
        <v>57006</v>
      </c>
      <c r="BW135" s="63">
        <f t="shared" si="563"/>
        <v>68127</v>
      </c>
      <c r="BX135" s="1124">
        <f t="shared" si="563"/>
        <v>215938</v>
      </c>
      <c r="BY135" s="895">
        <f>SUM(BY133:BY134)</f>
        <v>81615</v>
      </c>
      <c r="BZ135" s="61"/>
      <c r="CA135" s="61"/>
      <c r="CB135" s="61"/>
      <c r="CC135" s="1124"/>
      <c r="CD135" s="61"/>
      <c r="CE135" s="61"/>
      <c r="CF135" s="61"/>
      <c r="CG135" s="61"/>
      <c r="CH135" s="1124"/>
      <c r="CI135" s="1124"/>
      <c r="CJ135" s="1124"/>
      <c r="CK135" s="1124"/>
      <c r="CL135" s="155"/>
    </row>
    <row r="136" spans="1:90" hidden="1" outlineLevel="1" x14ac:dyDescent="0.3">
      <c r="A136" s="600"/>
      <c r="B136" s="633"/>
      <c r="C136" s="1127"/>
      <c r="D136" s="1127"/>
      <c r="E136" s="1127"/>
      <c r="F136" s="1127"/>
      <c r="G136" s="63"/>
      <c r="H136" s="63"/>
      <c r="I136" s="63"/>
      <c r="J136" s="63"/>
      <c r="K136" s="1127"/>
      <c r="L136" s="63"/>
      <c r="M136" s="63"/>
      <c r="N136" s="63"/>
      <c r="O136" s="63"/>
      <c r="P136" s="1127"/>
      <c r="Q136" s="63"/>
      <c r="R136" s="63"/>
      <c r="S136" s="63"/>
      <c r="T136" s="63"/>
      <c r="U136" s="1127"/>
      <c r="V136" s="63"/>
      <c r="W136" s="63"/>
      <c r="X136" s="63"/>
      <c r="Y136" s="63"/>
      <c r="Z136" s="1127"/>
      <c r="AA136" s="63"/>
      <c r="AB136" s="63"/>
      <c r="AC136" s="63"/>
      <c r="AD136" s="63"/>
      <c r="AE136" s="1127"/>
      <c r="AF136" s="63"/>
      <c r="AG136" s="63"/>
      <c r="AH136" s="63"/>
      <c r="AI136" s="63"/>
      <c r="AJ136" s="1127"/>
      <c r="AK136" s="63"/>
      <c r="AL136" s="63"/>
      <c r="AM136" s="63"/>
      <c r="AN136" s="63"/>
      <c r="AO136" s="1127"/>
      <c r="AP136" s="63"/>
      <c r="AQ136" s="63"/>
      <c r="AR136" s="63"/>
      <c r="AS136" s="63"/>
      <c r="AT136" s="1127"/>
      <c r="AU136" s="63"/>
      <c r="AV136" s="63"/>
      <c r="AW136" s="63"/>
      <c r="AX136" s="63"/>
      <c r="AY136" s="1127"/>
      <c r="AZ136" s="63"/>
      <c r="BA136" s="63"/>
      <c r="BB136" s="63"/>
      <c r="BC136" s="63"/>
      <c r="BD136" s="1127"/>
      <c r="BE136" s="63"/>
      <c r="BF136" s="63"/>
      <c r="BG136" s="63"/>
      <c r="BH136" s="63"/>
      <c r="BI136" s="1127"/>
      <c r="BJ136" s="63"/>
      <c r="BK136" s="63"/>
      <c r="BL136" s="63"/>
      <c r="BM136" s="63"/>
      <c r="BN136" s="1127"/>
      <c r="BO136" s="63"/>
      <c r="BP136" s="63"/>
      <c r="BQ136" s="63"/>
      <c r="BR136" s="63"/>
      <c r="BS136" s="1127"/>
      <c r="BT136" s="63"/>
      <c r="BU136" s="63"/>
      <c r="BV136" s="63"/>
      <c r="BW136" s="63"/>
      <c r="BX136" s="1127"/>
      <c r="BY136" s="587"/>
      <c r="BZ136" s="63"/>
      <c r="CA136" s="63"/>
      <c r="CB136" s="63"/>
      <c r="CC136" s="1127"/>
      <c r="CD136" s="63"/>
      <c r="CE136" s="63"/>
      <c r="CF136" s="63"/>
      <c r="CG136" s="63"/>
      <c r="CH136" s="1127"/>
      <c r="CI136" s="1127"/>
      <c r="CJ136" s="1127"/>
      <c r="CK136" s="1127"/>
      <c r="CL136" s="155"/>
    </row>
    <row r="137" spans="1:90" hidden="1" outlineLevel="1" x14ac:dyDescent="0.3">
      <c r="A137" s="572" t="s">
        <v>1290</v>
      </c>
      <c r="B137" s="602"/>
      <c r="C137" s="1112"/>
      <c r="D137" s="1112"/>
      <c r="E137" s="1112"/>
      <c r="F137" s="1112"/>
      <c r="G137" s="68"/>
      <c r="H137" s="68"/>
      <c r="I137" s="68"/>
      <c r="J137" s="68"/>
      <c r="K137" s="1112"/>
      <c r="L137" s="68"/>
      <c r="M137" s="68"/>
      <c r="N137" s="68"/>
      <c r="O137" s="68"/>
      <c r="P137" s="1112"/>
      <c r="Q137" s="68"/>
      <c r="R137" s="68"/>
      <c r="S137" s="68"/>
      <c r="T137" s="68"/>
      <c r="U137" s="1112"/>
      <c r="V137" s="68"/>
      <c r="W137" s="68"/>
      <c r="X137" s="68"/>
      <c r="Y137" s="68"/>
      <c r="Z137" s="1112"/>
      <c r="AA137" s="68"/>
      <c r="AB137" s="68"/>
      <c r="AC137" s="68"/>
      <c r="AD137" s="68"/>
      <c r="AE137" s="1112"/>
      <c r="AF137" s="68"/>
      <c r="AG137" s="68"/>
      <c r="AH137" s="68"/>
      <c r="AI137" s="68"/>
      <c r="AJ137" s="1112"/>
      <c r="AK137" s="68"/>
      <c r="AL137" s="68"/>
      <c r="AM137" s="68"/>
      <c r="AN137" s="68"/>
      <c r="AO137" s="1112"/>
      <c r="AP137" s="68"/>
      <c r="AQ137" s="68"/>
      <c r="AR137" s="68"/>
      <c r="AS137" s="68"/>
      <c r="AT137" s="1112"/>
      <c r="AU137" s="68"/>
      <c r="AV137" s="68"/>
      <c r="AW137" s="68"/>
      <c r="AX137" s="68"/>
      <c r="AY137" s="1112"/>
      <c r="AZ137" s="68"/>
      <c r="BA137" s="68"/>
      <c r="BB137" s="68"/>
      <c r="BC137" s="68"/>
      <c r="BD137" s="1112"/>
      <c r="BE137" s="68"/>
      <c r="BF137" s="68"/>
      <c r="BG137" s="68"/>
      <c r="BH137" s="68"/>
      <c r="BI137" s="1112"/>
      <c r="BJ137" s="68"/>
      <c r="BK137" s="68"/>
      <c r="BL137" s="68"/>
      <c r="BM137" s="68"/>
      <c r="BN137" s="1112"/>
      <c r="BO137" s="1055">
        <v>10690</v>
      </c>
      <c r="BP137" s="1055">
        <v>10622</v>
      </c>
      <c r="BQ137" s="1055">
        <v>13390</v>
      </c>
      <c r="BR137" s="1055">
        <v>19094</v>
      </c>
      <c r="BS137" s="1112">
        <f>SUM(BO137,BP137,BQ137,BR137)</f>
        <v>53796</v>
      </c>
      <c r="BT137" s="1055">
        <v>17599</v>
      </c>
      <c r="BU137" s="1055">
        <v>23883</v>
      </c>
      <c r="BV137" s="1055">
        <v>30340</v>
      </c>
      <c r="BW137" s="1055">
        <v>33814</v>
      </c>
      <c r="BX137" s="1112">
        <f>SUM(BT137,BU137,BV137,BW137)</f>
        <v>105636</v>
      </c>
      <c r="BY137" s="1057">
        <v>37869</v>
      </c>
      <c r="BZ137" s="68"/>
      <c r="CA137" s="68"/>
      <c r="CB137" s="68"/>
      <c r="CC137" s="1112"/>
      <c r="CD137" s="68"/>
      <c r="CE137" s="68"/>
      <c r="CF137" s="68"/>
      <c r="CG137" s="68"/>
      <c r="CH137" s="1112"/>
      <c r="CI137" s="1112"/>
      <c r="CJ137" s="1112"/>
      <c r="CK137" s="1112"/>
      <c r="CL137" s="155"/>
    </row>
    <row r="138" spans="1:90" hidden="1" outlineLevel="1" x14ac:dyDescent="0.3">
      <c r="A138" s="572" t="s">
        <v>1291</v>
      </c>
      <c r="B138" s="602"/>
      <c r="C138" s="1112"/>
      <c r="D138" s="1112"/>
      <c r="E138" s="1112"/>
      <c r="F138" s="1112"/>
      <c r="G138" s="68"/>
      <c r="H138" s="68"/>
      <c r="I138" s="68"/>
      <c r="J138" s="68"/>
      <c r="K138" s="1112"/>
      <c r="L138" s="68"/>
      <c r="M138" s="68"/>
      <c r="N138" s="68"/>
      <c r="O138" s="68"/>
      <c r="P138" s="1112"/>
      <c r="Q138" s="68"/>
      <c r="R138" s="68"/>
      <c r="S138" s="68"/>
      <c r="T138" s="68"/>
      <c r="U138" s="1112"/>
      <c r="V138" s="68"/>
      <c r="W138" s="68"/>
      <c r="X138" s="68"/>
      <c r="Y138" s="68"/>
      <c r="Z138" s="1112"/>
      <c r="AA138" s="68"/>
      <c r="AB138" s="68"/>
      <c r="AC138" s="68"/>
      <c r="AD138" s="68"/>
      <c r="AE138" s="1112"/>
      <c r="AF138" s="68"/>
      <c r="AG138" s="68"/>
      <c r="AH138" s="68"/>
      <c r="AI138" s="68"/>
      <c r="AJ138" s="1112"/>
      <c r="AK138" s="68"/>
      <c r="AL138" s="68"/>
      <c r="AM138" s="68"/>
      <c r="AN138" s="68"/>
      <c r="AO138" s="1112"/>
      <c r="AP138" s="68"/>
      <c r="AQ138" s="68"/>
      <c r="AR138" s="68"/>
      <c r="AS138" s="68"/>
      <c r="AT138" s="1112"/>
      <c r="AU138" s="68"/>
      <c r="AV138" s="68"/>
      <c r="AW138" s="68"/>
      <c r="AX138" s="68"/>
      <c r="AY138" s="1112"/>
      <c r="AZ138" s="68"/>
      <c r="BA138" s="68"/>
      <c r="BB138" s="68"/>
      <c r="BC138" s="68"/>
      <c r="BD138" s="1112"/>
      <c r="BE138" s="68"/>
      <c r="BF138" s="68"/>
      <c r="BG138" s="68"/>
      <c r="BH138" s="68"/>
      <c r="BI138" s="1112"/>
      <c r="BJ138" s="68"/>
      <c r="BK138" s="68"/>
      <c r="BL138" s="68"/>
      <c r="BM138" s="68"/>
      <c r="BN138" s="1112"/>
      <c r="BO138" s="1055">
        <v>11873</v>
      </c>
      <c r="BP138" s="1055">
        <v>15650</v>
      </c>
      <c r="BQ138" s="1055">
        <v>17381</v>
      </c>
      <c r="BR138" s="1055">
        <v>16486</v>
      </c>
      <c r="BS138" s="1112">
        <f>SUM(BO138,BP138,BQ138,BR138)</f>
        <v>61390</v>
      </c>
      <c r="BT138" s="1055">
        <v>21513</v>
      </c>
      <c r="BU138" s="1055">
        <v>17213</v>
      </c>
      <c r="BV138" s="1055">
        <v>20875</v>
      </c>
      <c r="BW138" s="1055">
        <v>28500</v>
      </c>
      <c r="BX138" s="1112">
        <f>SUM(BT138,BU138,BV138,BW138)</f>
        <v>88101</v>
      </c>
      <c r="BY138" s="1057">
        <v>37377</v>
      </c>
      <c r="BZ138" s="68"/>
      <c r="CA138" s="68"/>
      <c r="CB138" s="68"/>
      <c r="CC138" s="1112"/>
      <c r="CD138" s="68"/>
      <c r="CE138" s="68"/>
      <c r="CF138" s="68"/>
      <c r="CG138" s="68"/>
      <c r="CH138" s="1112"/>
      <c r="CI138" s="1112"/>
      <c r="CJ138" s="1112"/>
      <c r="CK138" s="1112"/>
      <c r="CL138" s="155"/>
    </row>
    <row r="139" spans="1:90" hidden="1" outlineLevel="1" x14ac:dyDescent="0.3">
      <c r="A139" s="661" t="s">
        <v>1292</v>
      </c>
      <c r="B139" s="974"/>
      <c r="C139" s="1120"/>
      <c r="D139" s="1120"/>
      <c r="E139" s="1120"/>
      <c r="F139" s="1120"/>
      <c r="G139" s="561"/>
      <c r="H139" s="561"/>
      <c r="I139" s="561"/>
      <c r="J139" s="561"/>
      <c r="K139" s="1120"/>
      <c r="L139" s="561"/>
      <c r="M139" s="561"/>
      <c r="N139" s="561"/>
      <c r="O139" s="561"/>
      <c r="P139" s="1120"/>
      <c r="Q139" s="561"/>
      <c r="R139" s="561"/>
      <c r="S139" s="561"/>
      <c r="T139" s="561"/>
      <c r="U139" s="1120"/>
      <c r="V139" s="561"/>
      <c r="W139" s="561"/>
      <c r="X139" s="561"/>
      <c r="Y139" s="561"/>
      <c r="Z139" s="1120"/>
      <c r="AA139" s="561"/>
      <c r="AB139" s="561"/>
      <c r="AC139" s="561"/>
      <c r="AD139" s="561"/>
      <c r="AE139" s="1120"/>
      <c r="AF139" s="561"/>
      <c r="AG139" s="561"/>
      <c r="AH139" s="561"/>
      <c r="AI139" s="561"/>
      <c r="AJ139" s="1120"/>
      <c r="AK139" s="561"/>
      <c r="AL139" s="561"/>
      <c r="AM139" s="561"/>
      <c r="AN139" s="561"/>
      <c r="AO139" s="1120"/>
      <c r="AP139" s="561"/>
      <c r="AQ139" s="561"/>
      <c r="AR139" s="561"/>
      <c r="AS139" s="561"/>
      <c r="AT139" s="1120"/>
      <c r="AU139" s="561"/>
      <c r="AV139" s="561"/>
      <c r="AW139" s="561"/>
      <c r="AX139" s="561"/>
      <c r="AY139" s="1120"/>
      <c r="AZ139" s="561"/>
      <c r="BA139" s="561"/>
      <c r="BB139" s="561"/>
      <c r="BC139" s="561"/>
      <c r="BD139" s="1120"/>
      <c r="BE139" s="561"/>
      <c r="BF139" s="561"/>
      <c r="BG139" s="561"/>
      <c r="BH139" s="561"/>
      <c r="BI139" s="1120"/>
      <c r="BJ139" s="561"/>
      <c r="BK139" s="561"/>
      <c r="BL139" s="561"/>
      <c r="BM139" s="561"/>
      <c r="BN139" s="1120"/>
      <c r="BO139" s="561">
        <f t="shared" ref="BO139:BX139" si="564">BO137+BO138</f>
        <v>22563</v>
      </c>
      <c r="BP139" s="561">
        <f t="shared" si="564"/>
        <v>26272</v>
      </c>
      <c r="BQ139" s="561">
        <f t="shared" si="564"/>
        <v>30771</v>
      </c>
      <c r="BR139" s="561">
        <f t="shared" si="564"/>
        <v>35580</v>
      </c>
      <c r="BS139" s="1120">
        <f t="shared" si="564"/>
        <v>115186</v>
      </c>
      <c r="BT139" s="561">
        <f t="shared" si="564"/>
        <v>39112</v>
      </c>
      <c r="BU139" s="561">
        <f t="shared" si="564"/>
        <v>41096</v>
      </c>
      <c r="BV139" s="561">
        <f t="shared" si="564"/>
        <v>51215</v>
      </c>
      <c r="BW139" s="561">
        <f t="shared" si="564"/>
        <v>62314</v>
      </c>
      <c r="BX139" s="1120">
        <f t="shared" si="564"/>
        <v>193737</v>
      </c>
      <c r="BY139" s="738">
        <f>BY137+BY138</f>
        <v>75246</v>
      </c>
      <c r="BZ139" s="561"/>
      <c r="CA139" s="561"/>
      <c r="CB139" s="561"/>
      <c r="CC139" s="1120"/>
      <c r="CD139" s="561"/>
      <c r="CE139" s="561"/>
      <c r="CF139" s="561"/>
      <c r="CG139" s="561"/>
      <c r="CH139" s="1120"/>
      <c r="CI139" s="1120"/>
      <c r="CJ139" s="1120"/>
      <c r="CK139" s="1120"/>
      <c r="CL139" s="155"/>
    </row>
    <row r="140" spans="1:90" hidden="1" outlineLevel="1" x14ac:dyDescent="0.3">
      <c r="A140" s="99" t="s">
        <v>1293</v>
      </c>
      <c r="B140" s="602"/>
      <c r="C140" s="1112"/>
      <c r="D140" s="1112"/>
      <c r="E140" s="1112"/>
      <c r="F140" s="1112"/>
      <c r="G140" s="68"/>
      <c r="H140" s="68"/>
      <c r="I140" s="68"/>
      <c r="J140" s="68"/>
      <c r="K140" s="1112"/>
      <c r="L140" s="68"/>
      <c r="M140" s="68"/>
      <c r="N140" s="68"/>
      <c r="O140" s="68"/>
      <c r="P140" s="1112"/>
      <c r="Q140" s="68"/>
      <c r="R140" s="68"/>
      <c r="S140" s="68"/>
      <c r="T140" s="68"/>
      <c r="U140" s="1112"/>
      <c r="V140" s="68"/>
      <c r="W140" s="68"/>
      <c r="X140" s="68"/>
      <c r="Y140" s="68"/>
      <c r="Z140" s="1112"/>
      <c r="AA140" s="68"/>
      <c r="AB140" s="68"/>
      <c r="AC140" s="68"/>
      <c r="AD140" s="68"/>
      <c r="AE140" s="1112"/>
      <c r="AF140" s="68"/>
      <c r="AG140" s="68"/>
      <c r="AH140" s="68"/>
      <c r="AI140" s="68"/>
      <c r="AJ140" s="1112"/>
      <c r="AK140" s="68"/>
      <c r="AL140" s="68"/>
      <c r="AM140" s="68"/>
      <c r="AN140" s="68"/>
      <c r="AO140" s="1112"/>
      <c r="AP140" s="68"/>
      <c r="AQ140" s="68"/>
      <c r="AR140" s="68"/>
      <c r="AS140" s="68"/>
      <c r="AT140" s="1112"/>
      <c r="AU140" s="68"/>
      <c r="AV140" s="68"/>
      <c r="AW140" s="68"/>
      <c r="AX140" s="68"/>
      <c r="AY140" s="1112"/>
      <c r="AZ140" s="68"/>
      <c r="BA140" s="68"/>
      <c r="BB140" s="68"/>
      <c r="BC140" s="68"/>
      <c r="BD140" s="1112"/>
      <c r="BE140" s="68"/>
      <c r="BF140" s="68"/>
      <c r="BG140" s="68"/>
      <c r="BH140" s="68"/>
      <c r="BI140" s="1112"/>
      <c r="BJ140" s="68"/>
      <c r="BK140" s="68"/>
      <c r="BL140" s="68"/>
      <c r="BM140" s="68"/>
      <c r="BN140" s="1112"/>
      <c r="BO140" s="1055">
        <v>3481</v>
      </c>
      <c r="BP140" s="1055">
        <v>3768</v>
      </c>
      <c r="BQ140" s="1055">
        <v>4311</v>
      </c>
      <c r="BR140" s="1055">
        <v>3751</v>
      </c>
      <c r="BS140" s="1112">
        <f>SUM(BO140,BP140,BQ140,BR140)</f>
        <v>15311</v>
      </c>
      <c r="BT140" s="1055">
        <v>4950</v>
      </c>
      <c r="BU140" s="1055">
        <v>5647</v>
      </c>
      <c r="BV140" s="1055">
        <v>5791</v>
      </c>
      <c r="BW140" s="1055">
        <v>5813</v>
      </c>
      <c r="BX140" s="1112">
        <f>SUM(BT140,BU140,BV140,BW140)</f>
        <v>22201</v>
      </c>
      <c r="BY140" s="1057">
        <v>6369</v>
      </c>
      <c r="BZ140" s="68"/>
      <c r="CA140" s="68"/>
      <c r="CB140" s="68"/>
      <c r="CC140" s="1112"/>
      <c r="CD140" s="68"/>
      <c r="CE140" s="68"/>
      <c r="CF140" s="68"/>
      <c r="CG140" s="68"/>
      <c r="CH140" s="1112"/>
      <c r="CI140" s="1112"/>
      <c r="CJ140" s="1112"/>
      <c r="CK140" s="1112"/>
      <c r="CL140" s="155"/>
    </row>
    <row r="141" spans="1:90" hidden="1" outlineLevel="1" x14ac:dyDescent="0.3">
      <c r="A141" s="631" t="s">
        <v>21</v>
      </c>
      <c r="B141" s="604"/>
      <c r="C141" s="1124"/>
      <c r="D141" s="1124"/>
      <c r="E141" s="1124"/>
      <c r="F141" s="1124"/>
      <c r="G141" s="61"/>
      <c r="H141" s="61"/>
      <c r="I141" s="61"/>
      <c r="J141" s="61"/>
      <c r="K141" s="1124"/>
      <c r="L141" s="61"/>
      <c r="M141" s="61"/>
      <c r="N141" s="61"/>
      <c r="O141" s="61"/>
      <c r="P141" s="1124"/>
      <c r="Q141" s="61"/>
      <c r="R141" s="61"/>
      <c r="S141" s="61"/>
      <c r="T141" s="61"/>
      <c r="U141" s="1124"/>
      <c r="V141" s="61"/>
      <c r="W141" s="61"/>
      <c r="X141" s="61"/>
      <c r="Y141" s="61"/>
      <c r="Z141" s="1124"/>
      <c r="AA141" s="61"/>
      <c r="AB141" s="61"/>
      <c r="AC141" s="61"/>
      <c r="AD141" s="61"/>
      <c r="AE141" s="1124"/>
      <c r="AF141" s="61"/>
      <c r="AG141" s="61"/>
      <c r="AH141" s="61"/>
      <c r="AI141" s="61"/>
      <c r="AJ141" s="1124"/>
      <c r="AK141" s="61"/>
      <c r="AL141" s="61"/>
      <c r="AM141" s="61"/>
      <c r="AN141" s="61"/>
      <c r="AO141" s="1124"/>
      <c r="AP141" s="61"/>
      <c r="AQ141" s="61"/>
      <c r="AR141" s="61"/>
      <c r="AS141" s="61"/>
      <c r="AT141" s="1124"/>
      <c r="AU141" s="61"/>
      <c r="AV141" s="61"/>
      <c r="AW141" s="61"/>
      <c r="AX141" s="61"/>
      <c r="AY141" s="1124"/>
      <c r="AZ141" s="61"/>
      <c r="BA141" s="61"/>
      <c r="BB141" s="61"/>
      <c r="BC141" s="61"/>
      <c r="BD141" s="1124"/>
      <c r="BE141" s="61"/>
      <c r="BF141" s="61"/>
      <c r="BG141" s="61"/>
      <c r="BH141" s="61"/>
      <c r="BI141" s="1124"/>
      <c r="BJ141" s="61"/>
      <c r="BK141" s="61"/>
      <c r="BL141" s="61"/>
      <c r="BM141" s="61"/>
      <c r="BN141" s="1124"/>
      <c r="BO141" s="61">
        <f t="shared" ref="BO141:BX141" si="565">BO139+BO140</f>
        <v>26044</v>
      </c>
      <c r="BP141" s="61">
        <f t="shared" si="565"/>
        <v>30040</v>
      </c>
      <c r="BQ141" s="61">
        <f t="shared" si="565"/>
        <v>35082</v>
      </c>
      <c r="BR141" s="61">
        <f t="shared" si="565"/>
        <v>39331</v>
      </c>
      <c r="BS141" s="1124">
        <f t="shared" si="565"/>
        <v>130497</v>
      </c>
      <c r="BT141" s="61">
        <f t="shared" si="565"/>
        <v>44062</v>
      </c>
      <c r="BU141" s="61">
        <f t="shared" si="565"/>
        <v>46743</v>
      </c>
      <c r="BV141" s="61">
        <f t="shared" si="565"/>
        <v>57006</v>
      </c>
      <c r="BW141" s="61">
        <f t="shared" si="565"/>
        <v>68127</v>
      </c>
      <c r="BX141" s="1124">
        <f t="shared" si="565"/>
        <v>215938</v>
      </c>
      <c r="BY141" s="896">
        <f>BY139+BY140</f>
        <v>81615</v>
      </c>
      <c r="BZ141" s="61"/>
      <c r="CA141" s="61"/>
      <c r="CB141" s="61"/>
      <c r="CC141" s="1124"/>
      <c r="CD141" s="61"/>
      <c r="CE141" s="61"/>
      <c r="CF141" s="61"/>
      <c r="CG141" s="61"/>
      <c r="CH141" s="1124"/>
      <c r="CI141" s="1124"/>
      <c r="CJ141" s="1124"/>
      <c r="CK141" s="1124"/>
      <c r="CL141" s="155"/>
    </row>
    <row r="142" spans="1:90" hidden="1" outlineLevel="1" x14ac:dyDescent="0.3">
      <c r="A142" s="600"/>
      <c r="B142" s="633"/>
      <c r="C142" s="1127"/>
      <c r="D142" s="1127"/>
      <c r="E142" s="1127"/>
      <c r="F142" s="1127"/>
      <c r="G142" s="63"/>
      <c r="H142" s="63"/>
      <c r="I142" s="63"/>
      <c r="J142" s="63"/>
      <c r="K142" s="1127"/>
      <c r="L142" s="63"/>
      <c r="M142" s="63"/>
      <c r="N142" s="63"/>
      <c r="O142" s="63"/>
      <c r="P142" s="1127"/>
      <c r="Q142" s="63"/>
      <c r="R142" s="63"/>
      <c r="S142" s="63"/>
      <c r="T142" s="63"/>
      <c r="U142" s="1127"/>
      <c r="V142" s="63"/>
      <c r="W142" s="63"/>
      <c r="X142" s="63"/>
      <c r="Y142" s="63"/>
      <c r="Z142" s="1127"/>
      <c r="AA142" s="63"/>
      <c r="AB142" s="63"/>
      <c r="AC142" s="63"/>
      <c r="AD142" s="63"/>
      <c r="AE142" s="1127"/>
      <c r="AF142" s="63"/>
      <c r="AG142" s="63"/>
      <c r="AH142" s="63"/>
      <c r="AI142" s="63"/>
      <c r="AJ142" s="1127"/>
      <c r="AK142" s="63"/>
      <c r="AL142" s="63"/>
      <c r="AM142" s="63"/>
      <c r="AN142" s="63"/>
      <c r="AO142" s="1127"/>
      <c r="AP142" s="63"/>
      <c r="AQ142" s="63"/>
      <c r="AR142" s="63"/>
      <c r="AS142" s="63"/>
      <c r="AT142" s="1127"/>
      <c r="AU142" s="63"/>
      <c r="AV142" s="63"/>
      <c r="AW142" s="63"/>
      <c r="AX142" s="63"/>
      <c r="AY142" s="1127"/>
      <c r="AZ142" s="63"/>
      <c r="BA142" s="63"/>
      <c r="BB142" s="63"/>
      <c r="BC142" s="63"/>
      <c r="BD142" s="1127"/>
      <c r="BE142" s="63"/>
      <c r="BF142" s="63"/>
      <c r="BG142" s="63"/>
      <c r="BH142" s="63"/>
      <c r="BI142" s="1127"/>
      <c r="BJ142" s="63"/>
      <c r="BK142" s="63"/>
      <c r="BL142" s="63"/>
      <c r="BM142" s="63"/>
      <c r="BN142" s="1127"/>
      <c r="BO142" s="63"/>
      <c r="BP142" s="63"/>
      <c r="BQ142" s="63"/>
      <c r="BR142" s="63"/>
      <c r="BS142" s="1127"/>
      <c r="BT142" s="63"/>
      <c r="BU142" s="63"/>
      <c r="BV142" s="63"/>
      <c r="BW142" s="63"/>
      <c r="BX142" s="1127"/>
      <c r="BY142" s="587"/>
      <c r="BZ142" s="63"/>
      <c r="CA142" s="63"/>
      <c r="CB142" s="63"/>
      <c r="CC142" s="1127"/>
      <c r="CD142" s="63"/>
      <c r="CE142" s="63"/>
      <c r="CF142" s="63"/>
      <c r="CG142" s="63"/>
      <c r="CH142" s="1127"/>
      <c r="CI142" s="1127"/>
      <c r="CJ142" s="1127"/>
      <c r="CK142" s="1127"/>
      <c r="CL142" s="155"/>
    </row>
    <row r="143" spans="1:90" hidden="1" outlineLevel="1" x14ac:dyDescent="0.3">
      <c r="A143" s="67" t="s">
        <v>22</v>
      </c>
      <c r="B143" s="602"/>
      <c r="C143" s="1112"/>
      <c r="D143" s="1112"/>
      <c r="E143" s="1113">
        <v>3345.6959999999999</v>
      </c>
      <c r="F143" s="1113">
        <v>3186.7640000000001</v>
      </c>
      <c r="G143" s="1055">
        <v>726.36500000000001</v>
      </c>
      <c r="H143" s="1055">
        <v>798.62400000000002</v>
      </c>
      <c r="I143" s="1055">
        <v>894.20899999999995</v>
      </c>
      <c r="J143" s="27">
        <f>K143-SUM(G143,H143,I143)</f>
        <v>832.51400000000012</v>
      </c>
      <c r="K143" s="1113">
        <v>3251.712</v>
      </c>
      <c r="L143" s="1055">
        <v>785.61199999999997</v>
      </c>
      <c r="M143" s="1055">
        <v>858.61300000000006</v>
      </c>
      <c r="N143" s="1055">
        <v>876.83299999999997</v>
      </c>
      <c r="O143" s="27">
        <f>P143-SUM(L143,M143,N143)</f>
        <v>947.08599999999979</v>
      </c>
      <c r="P143" s="1113">
        <v>3468.1439999999998</v>
      </c>
      <c r="Q143" s="1055">
        <v>898</v>
      </c>
      <c r="R143" s="1055">
        <v>878</v>
      </c>
      <c r="S143" s="1055">
        <v>991</v>
      </c>
      <c r="T143" s="27">
        <f>U143-SUM(Q143,R143,S143)</f>
        <v>1072</v>
      </c>
      <c r="U143" s="1113">
        <v>3839</v>
      </c>
      <c r="V143" s="1055">
        <v>940</v>
      </c>
      <c r="W143" s="1055">
        <v>959</v>
      </c>
      <c r="X143" s="1055">
        <v>1110</v>
      </c>
      <c r="Y143" s="27">
        <f>Z143-SUM(V143,W143,X143)</f>
        <v>1178</v>
      </c>
      <c r="Z143" s="1113">
        <v>4187</v>
      </c>
      <c r="AA143" s="1055">
        <v>1079</v>
      </c>
      <c r="AB143" s="1055">
        <v>1196</v>
      </c>
      <c r="AC143" s="1055">
        <v>1697</v>
      </c>
      <c r="AD143" s="68">
        <f>AE143-SUM(AA143,AB143,AC143)</f>
        <v>1850</v>
      </c>
      <c r="AE143" s="1113">
        <v>5822</v>
      </c>
      <c r="AF143" s="1055">
        <v>1562</v>
      </c>
      <c r="AG143" s="1055">
        <v>1897</v>
      </c>
      <c r="AH143" s="1055">
        <v>2217</v>
      </c>
      <c r="AI143" s="68">
        <f>AJ143-SUM(AF143,AG143,AH143)</f>
        <v>2461</v>
      </c>
      <c r="AJ143" s="1113">
        <v>8137</v>
      </c>
      <c r="AK143" s="1055">
        <v>2765</v>
      </c>
      <c r="AL143" s="1055">
        <v>2656</v>
      </c>
      <c r="AM143" s="1055">
        <v>2774</v>
      </c>
      <c r="AN143" s="1055">
        <v>1980</v>
      </c>
      <c r="AO143" s="1112">
        <f>SUM(AK143,AL143,AM143,AN143)</f>
        <v>10175</v>
      </c>
      <c r="AP143" s="1055">
        <v>2022</v>
      </c>
      <c r="AQ143" s="1055">
        <v>2104</v>
      </c>
      <c r="AR143" s="1055">
        <v>2565</v>
      </c>
      <c r="AS143" s="1055">
        <v>2774</v>
      </c>
      <c r="AT143" s="1112">
        <f>SUM(AP143,AQ143,AR143,AS143)</f>
        <v>9465</v>
      </c>
      <c r="AU143" s="68"/>
      <c r="AV143" s="68"/>
      <c r="AW143" s="68"/>
      <c r="AX143" s="68"/>
      <c r="AY143" s="1112"/>
      <c r="AZ143" s="68"/>
      <c r="BA143" s="68"/>
      <c r="BB143" s="68"/>
      <c r="BC143" s="68"/>
      <c r="BD143" s="1112"/>
      <c r="BE143" s="68"/>
      <c r="BF143" s="68"/>
      <c r="BG143" s="68"/>
      <c r="BH143" s="68"/>
      <c r="BI143" s="1112"/>
      <c r="BJ143" s="68"/>
      <c r="BK143" s="68"/>
      <c r="BL143" s="68"/>
      <c r="BM143" s="68"/>
      <c r="BN143" s="1112"/>
      <c r="BO143" s="68"/>
      <c r="BP143" s="68"/>
      <c r="BQ143" s="68"/>
      <c r="BR143" s="68"/>
      <c r="BS143" s="1112"/>
      <c r="BT143" s="68"/>
      <c r="BU143" s="68"/>
      <c r="BV143" s="68"/>
      <c r="BW143" s="68"/>
      <c r="BX143" s="1112"/>
      <c r="BY143" s="588"/>
      <c r="BZ143" s="68"/>
      <c r="CA143" s="68"/>
      <c r="CB143" s="68"/>
      <c r="CC143" s="1112"/>
      <c r="CD143" s="68"/>
      <c r="CE143" s="68"/>
      <c r="CF143" s="68"/>
      <c r="CG143" s="68"/>
      <c r="CH143" s="1112"/>
      <c r="CI143" s="1112"/>
      <c r="CJ143" s="1112"/>
      <c r="CK143" s="1112"/>
      <c r="CL143" s="155"/>
    </row>
    <row r="144" spans="1:90" hidden="1" outlineLevel="1" x14ac:dyDescent="0.3">
      <c r="A144" s="67" t="s">
        <v>23</v>
      </c>
      <c r="B144" s="602"/>
      <c r="C144" s="1112"/>
      <c r="D144" s="1112"/>
      <c r="E144" s="1113">
        <v>197.613</v>
      </c>
      <c r="F144" s="1113">
        <v>591.16600000000005</v>
      </c>
      <c r="G144" s="1055">
        <v>132.512</v>
      </c>
      <c r="H144" s="1055">
        <v>179.64599999999999</v>
      </c>
      <c r="I144" s="1055">
        <v>243.90100000000001</v>
      </c>
      <c r="J144" s="27">
        <f>K144-SUM(G144,H144,I144)</f>
        <v>208.38800000000003</v>
      </c>
      <c r="K144" s="1113">
        <v>764.447</v>
      </c>
      <c r="L144" s="1055">
        <v>103.127</v>
      </c>
      <c r="M144" s="1055">
        <v>52.625</v>
      </c>
      <c r="N144" s="1055">
        <v>111.134</v>
      </c>
      <c r="O144" s="27">
        <f>P144-SUM(L144,M144,N144)</f>
        <v>131.13199999999995</v>
      </c>
      <c r="P144" s="1113">
        <v>398.01799999999997</v>
      </c>
      <c r="Q144" s="1055">
        <v>139</v>
      </c>
      <c r="R144" s="1055">
        <v>159</v>
      </c>
      <c r="S144" s="1055">
        <v>168</v>
      </c>
      <c r="T144" s="27">
        <f>U144-SUM(Q144,R144,S144)</f>
        <v>113</v>
      </c>
      <c r="U144" s="1113">
        <v>579</v>
      </c>
      <c r="V144" s="1055">
        <v>145</v>
      </c>
      <c r="W144" s="1055">
        <v>128</v>
      </c>
      <c r="X144" s="1055">
        <v>129</v>
      </c>
      <c r="Y144" s="27">
        <f>Z144-SUM(V144,W144,X144)</f>
        <v>157</v>
      </c>
      <c r="Z144" s="1113">
        <v>559</v>
      </c>
      <c r="AA144" s="1055">
        <v>160</v>
      </c>
      <c r="AB144" s="1055">
        <v>166</v>
      </c>
      <c r="AC144" s="1055">
        <v>241</v>
      </c>
      <c r="AD144" s="68">
        <f>AE144-SUM(AA144,AB144,AC144)</f>
        <v>257</v>
      </c>
      <c r="AE144" s="1113">
        <v>824</v>
      </c>
      <c r="AF144" s="1055">
        <v>332</v>
      </c>
      <c r="AG144" s="1055">
        <v>333</v>
      </c>
      <c r="AH144" s="1055">
        <v>419</v>
      </c>
      <c r="AI144" s="68">
        <f>AJ144-SUM(AF144,AG144,AH144)</f>
        <v>450</v>
      </c>
      <c r="AJ144" s="1113">
        <v>1534</v>
      </c>
      <c r="AK144" s="1055">
        <v>442</v>
      </c>
      <c r="AL144" s="1055">
        <v>467</v>
      </c>
      <c r="AM144" s="1055">
        <v>407</v>
      </c>
      <c r="AN144" s="1055">
        <v>225</v>
      </c>
      <c r="AO144" s="1112">
        <f>SUM(AK144,AL144,AM144,AN144)</f>
        <v>1541</v>
      </c>
      <c r="AP144" s="1055">
        <v>198</v>
      </c>
      <c r="AQ144" s="1055">
        <v>475</v>
      </c>
      <c r="AR144" s="1055">
        <v>449</v>
      </c>
      <c r="AS144" s="1055">
        <v>331</v>
      </c>
      <c r="AT144" s="1112">
        <f>SUM(AP144,AQ144,AR144,AS144)</f>
        <v>1453</v>
      </c>
      <c r="AU144" s="68"/>
      <c r="AV144" s="68"/>
      <c r="AW144" s="68"/>
      <c r="AX144" s="68"/>
      <c r="AY144" s="1112"/>
      <c r="AZ144" s="68"/>
      <c r="BA144" s="68"/>
      <c r="BB144" s="68"/>
      <c r="BC144" s="68"/>
      <c r="BD144" s="1112"/>
      <c r="BE144" s="68"/>
      <c r="BF144" s="68"/>
      <c r="BG144" s="68"/>
      <c r="BH144" s="68"/>
      <c r="BI144" s="1112"/>
      <c r="BJ144" s="68"/>
      <c r="BK144" s="68"/>
      <c r="BL144" s="68"/>
      <c r="BM144" s="68"/>
      <c r="BN144" s="1112"/>
      <c r="BO144" s="68"/>
      <c r="BP144" s="68"/>
      <c r="BQ144" s="68"/>
      <c r="BR144" s="68"/>
      <c r="BS144" s="1112"/>
      <c r="BT144" s="68"/>
      <c r="BU144" s="68"/>
      <c r="BV144" s="68"/>
      <c r="BW144" s="68"/>
      <c r="BX144" s="1112"/>
      <c r="BY144" s="588"/>
      <c r="BZ144" s="68"/>
      <c r="CA144" s="68"/>
      <c r="CB144" s="68"/>
      <c r="CC144" s="1112"/>
      <c r="CD144" s="68"/>
      <c r="CE144" s="68"/>
      <c r="CF144" s="68"/>
      <c r="CG144" s="68"/>
      <c r="CH144" s="1112"/>
      <c r="CI144" s="1112"/>
      <c r="CJ144" s="1112"/>
      <c r="CK144" s="1112"/>
      <c r="CL144" s="155"/>
    </row>
    <row r="145" spans="1:90" hidden="1" outlineLevel="1" x14ac:dyDescent="0.3">
      <c r="A145" s="67" t="s">
        <v>24</v>
      </c>
      <c r="B145" s="602"/>
      <c r="C145" s="1112"/>
      <c r="D145" s="1112"/>
      <c r="E145" s="1113">
        <v>0</v>
      </c>
      <c r="F145" s="1113">
        <v>220</v>
      </c>
      <c r="G145" s="1055">
        <v>66</v>
      </c>
      <c r="H145" s="1055">
        <v>66</v>
      </c>
      <c r="I145" s="1055">
        <v>66</v>
      </c>
      <c r="J145" s="27">
        <f>K145-SUM(G145,H145,I145)</f>
        <v>66</v>
      </c>
      <c r="K145" s="1113">
        <v>264</v>
      </c>
      <c r="L145" s="1055">
        <v>66</v>
      </c>
      <c r="M145" s="1055">
        <v>66</v>
      </c>
      <c r="N145" s="1055">
        <v>66</v>
      </c>
      <c r="O145" s="27">
        <f>P145-SUM(L145,M145,N145)</f>
        <v>66</v>
      </c>
      <c r="P145" s="1113">
        <v>264</v>
      </c>
      <c r="Q145" s="1055">
        <v>66</v>
      </c>
      <c r="R145" s="1055">
        <v>66</v>
      </c>
      <c r="S145" s="1055">
        <v>66</v>
      </c>
      <c r="T145" s="27">
        <f>U145-SUM(Q145,R145,S145)</f>
        <v>66</v>
      </c>
      <c r="U145" s="1113">
        <v>264</v>
      </c>
      <c r="V145" s="1055">
        <v>66</v>
      </c>
      <c r="W145" s="1055">
        <v>66</v>
      </c>
      <c r="X145" s="1055">
        <v>66</v>
      </c>
      <c r="Y145" s="27">
        <f>Z145-SUM(V145,W145,X145)</f>
        <v>66</v>
      </c>
      <c r="Z145" s="1113">
        <v>264</v>
      </c>
      <c r="AA145" s="1055">
        <v>66</v>
      </c>
      <c r="AB145" s="1055">
        <v>66</v>
      </c>
      <c r="AC145" s="1055">
        <v>66</v>
      </c>
      <c r="AD145" s="68">
        <f>AE145-SUM(AA145,AB145,AC145)</f>
        <v>66</v>
      </c>
      <c r="AE145" s="1113">
        <v>264</v>
      </c>
      <c r="AF145" s="1055">
        <v>43</v>
      </c>
      <c r="AG145" s="68"/>
      <c r="AH145" s="68"/>
      <c r="AI145" s="68">
        <f>AJ145-SUM(AF145,AG145,AH145)</f>
        <v>0</v>
      </c>
      <c r="AJ145" s="1113">
        <v>43</v>
      </c>
      <c r="AK145" s="68"/>
      <c r="AL145" s="68"/>
      <c r="AM145" s="68"/>
      <c r="AN145" s="68"/>
      <c r="AO145" s="1112">
        <f>SUM(AK145,AL145,AM145,AN145)</f>
        <v>0</v>
      </c>
      <c r="AP145" s="68"/>
      <c r="AQ145" s="68"/>
      <c r="AR145" s="68"/>
      <c r="AS145" s="68"/>
      <c r="AT145" s="1112">
        <f>SUM(AP145,AQ145,AR145,AS145)</f>
        <v>0</v>
      </c>
      <c r="AU145" s="68"/>
      <c r="AV145" s="68"/>
      <c r="AW145" s="68"/>
      <c r="AX145" s="68"/>
      <c r="AY145" s="1112"/>
      <c r="AZ145" s="68"/>
      <c r="BA145" s="68"/>
      <c r="BB145" s="68"/>
      <c r="BC145" s="68"/>
      <c r="BD145" s="1112"/>
      <c r="BE145" s="68"/>
      <c r="BF145" s="68"/>
      <c r="BG145" s="68"/>
      <c r="BH145" s="68"/>
      <c r="BI145" s="1112"/>
      <c r="BJ145" s="68"/>
      <c r="BK145" s="68"/>
      <c r="BL145" s="68"/>
      <c r="BM145" s="68"/>
      <c r="BN145" s="1112"/>
      <c r="BO145" s="68"/>
      <c r="BP145" s="68"/>
      <c r="BQ145" s="68"/>
      <c r="BR145" s="68"/>
      <c r="BS145" s="1112"/>
      <c r="BT145" s="68"/>
      <c r="BU145" s="68"/>
      <c r="BV145" s="68"/>
      <c r="BW145" s="68"/>
      <c r="BX145" s="1112"/>
      <c r="BY145" s="588"/>
      <c r="BZ145" s="68"/>
      <c r="CA145" s="68"/>
      <c r="CB145" s="68"/>
      <c r="CC145" s="1112"/>
      <c r="CD145" s="68"/>
      <c r="CE145" s="68"/>
      <c r="CF145" s="68"/>
      <c r="CG145" s="68"/>
      <c r="CH145" s="1112"/>
      <c r="CI145" s="1112"/>
      <c r="CJ145" s="1112"/>
      <c r="CK145" s="1112"/>
      <c r="CL145" s="155"/>
    </row>
    <row r="146" spans="1:90" hidden="1" outlineLevel="1" x14ac:dyDescent="0.3">
      <c r="A146" s="59" t="s">
        <v>21</v>
      </c>
      <c r="B146" s="604"/>
      <c r="C146" s="1125">
        <f t="shared" ref="C146:AT146" si="566">SUM(C143:C145)</f>
        <v>0</v>
      </c>
      <c r="D146" s="1125">
        <f t="shared" si="566"/>
        <v>0</v>
      </c>
      <c r="E146" s="1125">
        <f t="shared" si="566"/>
        <v>3543.3089999999997</v>
      </c>
      <c r="F146" s="1125">
        <f t="shared" si="566"/>
        <v>3997.9300000000003</v>
      </c>
      <c r="G146" s="60">
        <f t="shared" si="566"/>
        <v>924.87699999999995</v>
      </c>
      <c r="H146" s="60">
        <f t="shared" si="566"/>
        <v>1044.27</v>
      </c>
      <c r="I146" s="60">
        <f t="shared" si="566"/>
        <v>1204.1099999999999</v>
      </c>
      <c r="J146" s="60">
        <f t="shared" si="566"/>
        <v>1106.902</v>
      </c>
      <c r="K146" s="1125">
        <f t="shared" si="566"/>
        <v>4280.1589999999997</v>
      </c>
      <c r="L146" s="60">
        <f t="shared" si="566"/>
        <v>954.73899999999992</v>
      </c>
      <c r="M146" s="60">
        <f t="shared" si="566"/>
        <v>977.23800000000006</v>
      </c>
      <c r="N146" s="60">
        <f t="shared" si="566"/>
        <v>1053.9670000000001</v>
      </c>
      <c r="O146" s="60">
        <f t="shared" si="566"/>
        <v>1144.2179999999998</v>
      </c>
      <c r="P146" s="1125">
        <f t="shared" si="566"/>
        <v>4130.1620000000003</v>
      </c>
      <c r="Q146" s="60">
        <f t="shared" si="566"/>
        <v>1103</v>
      </c>
      <c r="R146" s="60">
        <f t="shared" si="566"/>
        <v>1103</v>
      </c>
      <c r="S146" s="60">
        <f t="shared" si="566"/>
        <v>1225</v>
      </c>
      <c r="T146" s="60">
        <f t="shared" si="566"/>
        <v>1251</v>
      </c>
      <c r="U146" s="1125">
        <f t="shared" si="566"/>
        <v>4682</v>
      </c>
      <c r="V146" s="60">
        <f t="shared" si="566"/>
        <v>1151</v>
      </c>
      <c r="W146" s="60">
        <f t="shared" si="566"/>
        <v>1153</v>
      </c>
      <c r="X146" s="60">
        <f t="shared" si="566"/>
        <v>1305</v>
      </c>
      <c r="Y146" s="60">
        <f t="shared" si="566"/>
        <v>1401</v>
      </c>
      <c r="Z146" s="1125">
        <f t="shared" si="566"/>
        <v>5010</v>
      </c>
      <c r="AA146" s="60">
        <f t="shared" si="566"/>
        <v>1305</v>
      </c>
      <c r="AB146" s="60">
        <f t="shared" si="566"/>
        <v>1428</v>
      </c>
      <c r="AC146" s="61">
        <f t="shared" si="566"/>
        <v>2004</v>
      </c>
      <c r="AD146" s="61">
        <f t="shared" si="566"/>
        <v>2173</v>
      </c>
      <c r="AE146" s="1124">
        <f t="shared" si="566"/>
        <v>6910</v>
      </c>
      <c r="AF146" s="61">
        <f t="shared" si="566"/>
        <v>1937</v>
      </c>
      <c r="AG146" s="60">
        <f t="shared" si="566"/>
        <v>2230</v>
      </c>
      <c r="AH146" s="60">
        <f t="shared" si="566"/>
        <v>2636</v>
      </c>
      <c r="AI146" s="61">
        <f t="shared" si="566"/>
        <v>2911</v>
      </c>
      <c r="AJ146" s="1124">
        <f t="shared" si="566"/>
        <v>9714</v>
      </c>
      <c r="AK146" s="60">
        <f t="shared" si="566"/>
        <v>3207</v>
      </c>
      <c r="AL146" s="60">
        <f t="shared" si="566"/>
        <v>3123</v>
      </c>
      <c r="AM146" s="60">
        <f t="shared" si="566"/>
        <v>3181</v>
      </c>
      <c r="AN146" s="61">
        <f t="shared" si="566"/>
        <v>2205</v>
      </c>
      <c r="AO146" s="1124">
        <f t="shared" si="566"/>
        <v>11716</v>
      </c>
      <c r="AP146" s="60">
        <f t="shared" si="566"/>
        <v>2220</v>
      </c>
      <c r="AQ146" s="60">
        <f t="shared" si="566"/>
        <v>2579</v>
      </c>
      <c r="AR146" s="60">
        <f t="shared" si="566"/>
        <v>3014</v>
      </c>
      <c r="AS146" s="61">
        <f t="shared" si="566"/>
        <v>3105</v>
      </c>
      <c r="AT146" s="1124">
        <f t="shared" si="566"/>
        <v>10918</v>
      </c>
      <c r="AU146" s="61"/>
      <c r="AV146" s="61"/>
      <c r="AW146" s="61"/>
      <c r="AX146" s="61"/>
      <c r="AY146" s="1124"/>
      <c r="AZ146" s="61"/>
      <c r="BA146" s="61"/>
      <c r="BB146" s="61"/>
      <c r="BC146" s="61"/>
      <c r="BD146" s="1124"/>
      <c r="BE146" s="61"/>
      <c r="BF146" s="61"/>
      <c r="BG146" s="61"/>
      <c r="BH146" s="61"/>
      <c r="BI146" s="1124"/>
      <c r="BJ146" s="61"/>
      <c r="BK146" s="61"/>
      <c r="BL146" s="61"/>
      <c r="BM146" s="61"/>
      <c r="BN146" s="1124"/>
      <c r="BO146" s="61"/>
      <c r="BP146" s="61"/>
      <c r="BQ146" s="61"/>
      <c r="BR146" s="61"/>
      <c r="BS146" s="1124"/>
      <c r="BT146" s="61"/>
      <c r="BU146" s="61"/>
      <c r="BV146" s="61"/>
      <c r="BW146" s="61"/>
      <c r="BX146" s="1124"/>
      <c r="BY146" s="896"/>
      <c r="BZ146" s="61"/>
      <c r="CA146" s="61"/>
      <c r="CB146" s="61"/>
      <c r="CC146" s="1124"/>
      <c r="CD146" s="61"/>
      <c r="CE146" s="61"/>
      <c r="CF146" s="61"/>
      <c r="CG146" s="61"/>
      <c r="CH146" s="1124"/>
      <c r="CI146" s="1124"/>
      <c r="CJ146" s="1124"/>
      <c r="CK146" s="1124"/>
      <c r="CL146" s="155"/>
    </row>
    <row r="147" spans="1:90" hidden="1" outlineLevel="1" x14ac:dyDescent="0.3">
      <c r="A147" s="600"/>
      <c r="B147" s="633"/>
      <c r="C147" s="1127"/>
      <c r="D147" s="1127"/>
      <c r="E147" s="1127"/>
      <c r="F147" s="1127"/>
      <c r="G147" s="63"/>
      <c r="H147" s="63"/>
      <c r="I147" s="63"/>
      <c r="J147" s="63"/>
      <c r="K147" s="1127"/>
      <c r="L147" s="63"/>
      <c r="M147" s="63"/>
      <c r="N147" s="63"/>
      <c r="O147" s="63"/>
      <c r="P147" s="1127"/>
      <c r="Q147" s="63"/>
      <c r="R147" s="63"/>
      <c r="S147" s="63"/>
      <c r="T147" s="63"/>
      <c r="U147" s="1127"/>
      <c r="V147" s="63"/>
      <c r="W147" s="63"/>
      <c r="X147" s="63"/>
      <c r="Y147" s="63"/>
      <c r="Z147" s="1127"/>
      <c r="AA147" s="63"/>
      <c r="AB147" s="63"/>
      <c r="AC147" s="63"/>
      <c r="AD147" s="63"/>
      <c r="AE147" s="1127"/>
      <c r="AF147" s="63"/>
      <c r="AG147" s="63"/>
      <c r="AH147" s="63"/>
      <c r="AI147" s="63"/>
      <c r="AJ147" s="1127"/>
      <c r="AK147" s="63"/>
      <c r="AL147" s="63"/>
      <c r="AM147" s="63"/>
      <c r="AN147" s="63"/>
      <c r="AO147" s="1127"/>
      <c r="AP147" s="63"/>
      <c r="AQ147" s="63"/>
      <c r="AR147" s="63"/>
      <c r="AS147" s="63"/>
      <c r="AT147" s="1127"/>
      <c r="AU147" s="63"/>
      <c r="AV147" s="63"/>
      <c r="AW147" s="63"/>
      <c r="AX147" s="63"/>
      <c r="AY147" s="1127"/>
      <c r="AZ147" s="63"/>
      <c r="BA147" s="63"/>
      <c r="BB147" s="63"/>
      <c r="BC147" s="63"/>
      <c r="BD147" s="1127"/>
      <c r="BE147" s="63"/>
      <c r="BF147" s="63"/>
      <c r="BG147" s="63"/>
      <c r="BH147" s="63"/>
      <c r="BI147" s="1127"/>
      <c r="BJ147" s="63"/>
      <c r="BK147" s="63"/>
      <c r="BL147" s="63"/>
      <c r="BM147" s="63"/>
      <c r="BN147" s="1127"/>
      <c r="BO147" s="63"/>
      <c r="BP147" s="63"/>
      <c r="BQ147" s="63"/>
      <c r="BR147" s="63"/>
      <c r="BS147" s="1127"/>
      <c r="BT147" s="63"/>
      <c r="BU147" s="63"/>
      <c r="BV147" s="63"/>
      <c r="BW147" s="63"/>
      <c r="BX147" s="1127"/>
      <c r="BY147" s="587"/>
      <c r="BZ147" s="63"/>
      <c r="CA147" s="63"/>
      <c r="CB147" s="63"/>
      <c r="CC147" s="1127"/>
      <c r="CD147" s="63"/>
      <c r="CE147" s="63"/>
      <c r="CF147" s="63"/>
      <c r="CG147" s="63"/>
      <c r="CH147" s="1127"/>
      <c r="CI147" s="1127"/>
      <c r="CJ147" s="1127"/>
      <c r="CK147" s="1127"/>
      <c r="CL147" s="155"/>
    </row>
    <row r="148" spans="1:90" hidden="1" outlineLevel="1" x14ac:dyDescent="0.3">
      <c r="A148" s="45" t="s">
        <v>629</v>
      </c>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5"/>
      <c r="BQ148" s="45"/>
      <c r="BR148" s="45"/>
      <c r="BS148" s="1021" t="s">
        <v>673</v>
      </c>
      <c r="BT148" s="1021" t="s">
        <v>673</v>
      </c>
      <c r="BU148" s="1021" t="s">
        <v>673</v>
      </c>
      <c r="BV148" s="1021" t="s">
        <v>673</v>
      </c>
      <c r="BW148" s="45"/>
      <c r="BX148" s="45"/>
      <c r="BY148" s="1004"/>
      <c r="BZ148" s="45"/>
      <c r="CA148" s="45"/>
      <c r="CB148" s="45"/>
      <c r="CC148" s="45"/>
      <c r="CD148" s="45"/>
      <c r="CE148" s="45"/>
      <c r="CF148" s="45"/>
      <c r="CG148" s="45"/>
      <c r="CH148" s="45"/>
      <c r="CI148" s="45"/>
      <c r="CJ148" s="45"/>
      <c r="CK148" s="45"/>
      <c r="CL148" s="155"/>
    </row>
    <row r="149" spans="1:90" hidden="1" outlineLevel="1" x14ac:dyDescent="0.3">
      <c r="A149" s="99" t="s">
        <v>630</v>
      </c>
      <c r="B149" s="602"/>
      <c r="C149" s="1112"/>
      <c r="D149" s="1112"/>
      <c r="E149" s="1112"/>
      <c r="F149" s="1112"/>
      <c r="G149" s="68"/>
      <c r="H149" s="68"/>
      <c r="I149" s="68"/>
      <c r="J149" s="68"/>
      <c r="K149" s="1112"/>
      <c r="L149" s="68"/>
      <c r="M149" s="68"/>
      <c r="N149" s="68"/>
      <c r="O149" s="68"/>
      <c r="P149" s="1112"/>
      <c r="Q149" s="68"/>
      <c r="R149" s="68"/>
      <c r="S149" s="68"/>
      <c r="T149" s="68"/>
      <c r="U149" s="1112"/>
      <c r="V149" s="68"/>
      <c r="W149" s="68"/>
      <c r="X149" s="68"/>
      <c r="Y149" s="68"/>
      <c r="Z149" s="1112"/>
      <c r="AA149" s="68"/>
      <c r="AB149" s="68"/>
      <c r="AC149" s="68"/>
      <c r="AD149" s="68"/>
      <c r="AE149" s="1112"/>
      <c r="AF149" s="68"/>
      <c r="AG149" s="68"/>
      <c r="AH149" s="68"/>
      <c r="AI149" s="68"/>
      <c r="AJ149" s="1112"/>
      <c r="AK149" s="68"/>
      <c r="AL149" s="68"/>
      <c r="AM149" s="68"/>
      <c r="AN149" s="68"/>
      <c r="AO149" s="1112"/>
      <c r="AP149" s="1055">
        <v>532</v>
      </c>
      <c r="AQ149" s="1055">
        <v>707</v>
      </c>
      <c r="AR149" s="1055">
        <v>1068</v>
      </c>
      <c r="AS149" s="68">
        <f>AT149-SUM(AP149,AQ149,AR149)</f>
        <v>960</v>
      </c>
      <c r="AT149" s="1113">
        <v>3267</v>
      </c>
      <c r="AU149" s="1055">
        <v>836</v>
      </c>
      <c r="AV149" s="1055">
        <v>911</v>
      </c>
      <c r="AW149" s="1055">
        <v>1345</v>
      </c>
      <c r="AX149" s="68">
        <f>AY149-SUM(AU149,AV149,AW149)</f>
        <v>1520</v>
      </c>
      <c r="AY149" s="1113">
        <v>4612</v>
      </c>
      <c r="AZ149" s="1055">
        <v>1786</v>
      </c>
      <c r="BA149" s="1055">
        <v>2127</v>
      </c>
      <c r="BB149" s="1055">
        <v>2160</v>
      </c>
      <c r="BC149" s="68">
        <f>BD149-SUM(AZ149,BA149,BB149)</f>
        <v>2419</v>
      </c>
      <c r="BD149" s="1113">
        <v>8492</v>
      </c>
      <c r="BE149" s="1055">
        <v>2476</v>
      </c>
      <c r="BF149" s="1055">
        <v>657</v>
      </c>
      <c r="BG149" s="1055">
        <v>606</v>
      </c>
      <c r="BH149" s="68">
        <f t="shared" ref="BH149:BH160" si="567">BI149-SUM(BE149,BF149,BG149)</f>
        <v>813</v>
      </c>
      <c r="BI149" s="1113">
        <v>4552</v>
      </c>
      <c r="BJ149" s="1055">
        <v>1046</v>
      </c>
      <c r="BK149" s="1055">
        <v>1211</v>
      </c>
      <c r="BL149" s="1055">
        <v>1493</v>
      </c>
      <c r="BM149" s="68">
        <f t="shared" ref="BM149:BM160" si="568">BN149-SUM(BJ149,BK149,BL149)</f>
        <v>2096</v>
      </c>
      <c r="BN149" s="1113">
        <v>5846</v>
      </c>
      <c r="BO149" s="1055">
        <v>1241</v>
      </c>
      <c r="BP149" s="1055">
        <v>1369</v>
      </c>
      <c r="BQ149" s="1055">
        <v>1502</v>
      </c>
      <c r="BR149" s="68">
        <f>BS149-SUM(BO149,BP149,BQ149)</f>
        <v>973</v>
      </c>
      <c r="BS149" s="1113">
        <v>5085</v>
      </c>
      <c r="BT149" s="1055">
        <v>1640</v>
      </c>
      <c r="BU149" s="1055">
        <v>2242</v>
      </c>
      <c r="BV149" s="1055">
        <v>2546</v>
      </c>
      <c r="BW149" s="68">
        <f t="shared" ref="BW149:BW160" si="569">BX149-SUM(BT149,BU149,BV149)</f>
        <v>2728</v>
      </c>
      <c r="BX149" s="1113">
        <v>9156</v>
      </c>
      <c r="BY149" s="1057">
        <v>2941</v>
      </c>
      <c r="BZ149" s="68"/>
      <c r="CA149" s="68"/>
      <c r="CB149" s="68"/>
      <c r="CC149" s="1112"/>
      <c r="CD149" s="68"/>
      <c r="CE149" s="68"/>
      <c r="CF149" s="68"/>
      <c r="CG149" s="68"/>
      <c r="CH149" s="1112"/>
      <c r="CI149" s="1112"/>
      <c r="CJ149" s="1112"/>
      <c r="CK149" s="1112"/>
      <c r="CL149" s="155"/>
    </row>
    <row r="150" spans="1:90" hidden="1" outlineLevel="1" x14ac:dyDescent="0.3">
      <c r="A150" s="99" t="s">
        <v>631</v>
      </c>
      <c r="B150" s="602"/>
      <c r="C150" s="1112"/>
      <c r="D150" s="1112"/>
      <c r="E150" s="1112"/>
      <c r="F150" s="1112"/>
      <c r="G150" s="68"/>
      <c r="H150" s="68"/>
      <c r="I150" s="68"/>
      <c r="J150" s="68"/>
      <c r="K150" s="1112"/>
      <c r="L150" s="68"/>
      <c r="M150" s="68"/>
      <c r="N150" s="68"/>
      <c r="O150" s="68"/>
      <c r="P150" s="1112"/>
      <c r="Q150" s="68"/>
      <c r="R150" s="68"/>
      <c r="S150" s="68"/>
      <c r="T150" s="68"/>
      <c r="U150" s="1112"/>
      <c r="V150" s="68"/>
      <c r="W150" s="68"/>
      <c r="X150" s="68"/>
      <c r="Y150" s="68"/>
      <c r="Z150" s="1112"/>
      <c r="AA150" s="68"/>
      <c r="AB150" s="68"/>
      <c r="AC150" s="68"/>
      <c r="AD150" s="68"/>
      <c r="AE150" s="1112"/>
      <c r="AF150" s="68"/>
      <c r="AG150" s="68"/>
      <c r="AH150" s="68"/>
      <c r="AI150" s="68"/>
      <c r="AJ150" s="1112"/>
      <c r="AK150" s="68"/>
      <c r="AL150" s="68"/>
      <c r="AM150" s="68"/>
      <c r="AN150" s="68"/>
      <c r="AO150" s="1112"/>
      <c r="AP150" s="1055">
        <v>95</v>
      </c>
      <c r="AQ150" s="1055">
        <v>164</v>
      </c>
      <c r="AR150" s="1055">
        <v>158</v>
      </c>
      <c r="AS150" s="68">
        <f>AT150-SUM(AP150,AQ150,AR150)</f>
        <v>334</v>
      </c>
      <c r="AT150" s="1113">
        <v>751</v>
      </c>
      <c r="AU150" s="1055">
        <v>451</v>
      </c>
      <c r="AV150" s="1055">
        <v>691</v>
      </c>
      <c r="AW150" s="1055">
        <v>738</v>
      </c>
      <c r="AX150" s="68">
        <f>AY150-SUM(AU150,AV150,AW150)</f>
        <v>668</v>
      </c>
      <c r="AY150" s="1113">
        <v>2548</v>
      </c>
      <c r="AZ150" s="1055">
        <v>861</v>
      </c>
      <c r="BA150" s="1055">
        <v>1034</v>
      </c>
      <c r="BB150" s="1055">
        <v>1332</v>
      </c>
      <c r="BC150" s="68">
        <f>BD150-SUM(AZ150,BA150,BB150)</f>
        <v>1371</v>
      </c>
      <c r="BD150" s="1113">
        <v>4598</v>
      </c>
      <c r="BE150" s="1055">
        <v>1606</v>
      </c>
      <c r="BF150" s="1055">
        <v>816</v>
      </c>
      <c r="BG150" s="1055">
        <v>1086</v>
      </c>
      <c r="BH150" s="68">
        <f t="shared" si="567"/>
        <v>1575</v>
      </c>
      <c r="BI150" s="1113">
        <v>5083</v>
      </c>
      <c r="BJ150" s="1055">
        <v>2160</v>
      </c>
      <c r="BK150" s="1055">
        <v>6728</v>
      </c>
      <c r="BL150" s="1055">
        <v>10262</v>
      </c>
      <c r="BM150" s="68">
        <f t="shared" si="568"/>
        <v>12866</v>
      </c>
      <c r="BN150" s="1113">
        <v>32016</v>
      </c>
      <c r="BO150" s="1055">
        <v>17047</v>
      </c>
      <c r="BP150" s="1055">
        <v>18848</v>
      </c>
      <c r="BQ150" s="1055">
        <v>22081</v>
      </c>
      <c r="BR150" s="68">
        <f>BS150-SUM(BO150,BP150,BQ150)</f>
        <v>24899</v>
      </c>
      <c r="BS150" s="1113">
        <v>82875</v>
      </c>
      <c r="BT150" s="1055">
        <v>22054</v>
      </c>
      <c r="BU150" s="1055">
        <v>28363</v>
      </c>
      <c r="BV150" s="1055">
        <v>35721</v>
      </c>
      <c r="BW150" s="68">
        <f t="shared" si="569"/>
        <v>44003</v>
      </c>
      <c r="BX150" s="1113">
        <v>130141</v>
      </c>
      <c r="BY150" s="1057">
        <v>53335</v>
      </c>
      <c r="BZ150" s="68"/>
      <c r="CA150" s="68"/>
      <c r="CB150" s="68"/>
      <c r="CC150" s="1112"/>
      <c r="CD150" s="68"/>
      <c r="CE150" s="68"/>
      <c r="CF150" s="68"/>
      <c r="CG150" s="68"/>
      <c r="CH150" s="1112"/>
      <c r="CI150" s="1112"/>
      <c r="CJ150" s="1112"/>
      <c r="CK150" s="1112"/>
      <c r="CL150" s="155"/>
    </row>
    <row r="151" spans="1:90" hidden="1" outlineLevel="1" x14ac:dyDescent="0.3">
      <c r="A151" s="572" t="s">
        <v>786</v>
      </c>
      <c r="B151" s="602"/>
      <c r="C151" s="1112"/>
      <c r="D151" s="1112"/>
      <c r="E151" s="1112"/>
      <c r="F151" s="1112"/>
      <c r="G151" s="68"/>
      <c r="H151" s="68"/>
      <c r="I151" s="68"/>
      <c r="J151" s="68"/>
      <c r="K151" s="1112"/>
      <c r="L151" s="68"/>
      <c r="M151" s="68"/>
      <c r="N151" s="68"/>
      <c r="O151" s="68"/>
      <c r="P151" s="1112"/>
      <c r="Q151" s="68"/>
      <c r="R151" s="68"/>
      <c r="S151" s="68"/>
      <c r="T151" s="68"/>
      <c r="U151" s="1112"/>
      <c r="V151" s="68"/>
      <c r="W151" s="68"/>
      <c r="X151" s="68"/>
      <c r="Y151" s="68"/>
      <c r="Z151" s="1112"/>
      <c r="AA151" s="68"/>
      <c r="AB151" s="68"/>
      <c r="AC151" s="68"/>
      <c r="AD151" s="68"/>
      <c r="AE151" s="1112"/>
      <c r="AF151" s="68"/>
      <c r="AG151" s="68"/>
      <c r="AH151" s="68"/>
      <c r="AI151" s="68"/>
      <c r="AJ151" s="1112"/>
      <c r="AK151" s="68"/>
      <c r="AL151" s="68"/>
      <c r="AM151" s="68"/>
      <c r="AN151" s="68"/>
      <c r="AO151" s="1112"/>
      <c r="AP151" s="68"/>
      <c r="AQ151" s="68"/>
      <c r="AR151" s="68"/>
      <c r="AS151" s="68"/>
      <c r="AT151" s="1112"/>
      <c r="AU151" s="68"/>
      <c r="AV151" s="68"/>
      <c r="AW151" s="68"/>
      <c r="AX151" s="68"/>
      <c r="AY151" s="1112"/>
      <c r="AZ151" s="68"/>
      <c r="BA151" s="68"/>
      <c r="BB151" s="68"/>
      <c r="BC151" s="68"/>
      <c r="BD151" s="1112"/>
      <c r="BE151" s="1055">
        <v>-1353</v>
      </c>
      <c r="BF151" s="68"/>
      <c r="BG151" s="68"/>
      <c r="BH151" s="68">
        <f t="shared" si="567"/>
        <v>0</v>
      </c>
      <c r="BI151" s="1113">
        <v>-1353</v>
      </c>
      <c r="BJ151" s="1055">
        <v>0</v>
      </c>
      <c r="BK151" s="68"/>
      <c r="BL151" s="68"/>
      <c r="BM151" s="68">
        <f t="shared" si="568"/>
        <v>0</v>
      </c>
      <c r="BN151" s="1112"/>
      <c r="BO151" s="68"/>
      <c r="BP151" s="68"/>
      <c r="BQ151" s="68"/>
      <c r="BR151" s="68"/>
      <c r="BS151" s="1112"/>
      <c r="BT151" s="68"/>
      <c r="BU151" s="68"/>
      <c r="BV151" s="68"/>
      <c r="BW151" s="68">
        <f t="shared" si="569"/>
        <v>0</v>
      </c>
      <c r="BX151" s="1112"/>
      <c r="BY151" s="588"/>
      <c r="BZ151" s="68"/>
      <c r="CA151" s="68"/>
      <c r="CB151" s="68"/>
      <c r="CC151" s="1112"/>
      <c r="CD151" s="68"/>
      <c r="CE151" s="68"/>
      <c r="CF151" s="68"/>
      <c r="CG151" s="68"/>
      <c r="CH151" s="1112"/>
      <c r="CI151" s="1112"/>
      <c r="CJ151" s="1112"/>
      <c r="CK151" s="1112"/>
      <c r="CL151" s="155"/>
    </row>
    <row r="152" spans="1:90" hidden="1" outlineLevel="1" x14ac:dyDescent="0.3">
      <c r="A152" s="572" t="s">
        <v>787</v>
      </c>
      <c r="B152" s="602"/>
      <c r="C152" s="1112"/>
      <c r="D152" s="1112"/>
      <c r="E152" s="1112"/>
      <c r="F152" s="1112"/>
      <c r="G152" s="68"/>
      <c r="H152" s="68"/>
      <c r="I152" s="68"/>
      <c r="J152" s="68"/>
      <c r="K152" s="1112"/>
      <c r="L152" s="68"/>
      <c r="M152" s="68"/>
      <c r="N152" s="68"/>
      <c r="O152" s="68"/>
      <c r="P152" s="1112"/>
      <c r="Q152" s="68"/>
      <c r="R152" s="68"/>
      <c r="S152" s="68"/>
      <c r="T152" s="68"/>
      <c r="U152" s="1112"/>
      <c r="V152" s="68"/>
      <c r="W152" s="68"/>
      <c r="X152" s="68"/>
      <c r="Y152" s="68"/>
      <c r="Z152" s="1112"/>
      <c r="AA152" s="68"/>
      <c r="AB152" s="68"/>
      <c r="AC152" s="68"/>
      <c r="AD152" s="68"/>
      <c r="AE152" s="1112"/>
      <c r="AF152" s="68"/>
      <c r="AG152" s="68"/>
      <c r="AH152" s="68"/>
      <c r="AI152" s="68"/>
      <c r="AJ152" s="1112"/>
      <c r="AK152" s="68"/>
      <c r="AL152" s="68"/>
      <c r="AM152" s="68"/>
      <c r="AN152" s="68"/>
      <c r="AO152" s="1112"/>
      <c r="AP152" s="1055">
        <v>-178</v>
      </c>
      <c r="AQ152" s="1055">
        <v>-224</v>
      </c>
      <c r="AR152" s="1055">
        <v>-223</v>
      </c>
      <c r="AS152" s="68">
        <f>AT152-SUM(AP152,AQ152,AR152)</f>
        <v>-219</v>
      </c>
      <c r="AT152" s="1113">
        <v>-844</v>
      </c>
      <c r="AU152" s="1055">
        <v>-224</v>
      </c>
      <c r="AV152" s="1055">
        <v>-374</v>
      </c>
      <c r="AW152" s="1055">
        <v>-383</v>
      </c>
      <c r="AX152" s="68">
        <f>AY152-SUM(AU152,AV152,AW152)</f>
        <v>-416</v>
      </c>
      <c r="AY152" s="1113">
        <v>-1397</v>
      </c>
      <c r="AZ152" s="1055">
        <v>-429</v>
      </c>
      <c r="BA152" s="1055">
        <v>-465</v>
      </c>
      <c r="BB152" s="1055">
        <v>-559</v>
      </c>
      <c r="BC152" s="68">
        <f>BD152-SUM(AZ152,BA152,BB152)</f>
        <v>-551</v>
      </c>
      <c r="BD152" s="1113">
        <v>-2004</v>
      </c>
      <c r="BE152" s="1055">
        <v>-578</v>
      </c>
      <c r="BF152" s="1055">
        <v>-649</v>
      </c>
      <c r="BG152" s="1055">
        <v>-745</v>
      </c>
      <c r="BH152" s="68">
        <f t="shared" si="567"/>
        <v>-738</v>
      </c>
      <c r="BI152" s="1113">
        <v>-2710</v>
      </c>
      <c r="BJ152" s="1055">
        <v>-735</v>
      </c>
      <c r="BK152" s="1055">
        <v>-842</v>
      </c>
      <c r="BL152" s="1055">
        <v>-979</v>
      </c>
      <c r="BM152" s="68">
        <f t="shared" si="568"/>
        <v>-993</v>
      </c>
      <c r="BN152" s="1113">
        <v>-3549</v>
      </c>
      <c r="BO152" s="1055">
        <v>-1011</v>
      </c>
      <c r="BP152" s="1055">
        <v>-1154</v>
      </c>
      <c r="BQ152" s="1055">
        <v>-1252</v>
      </c>
      <c r="BR152" s="68">
        <f t="shared" ref="BR152:BR160" si="570">BS152-SUM(BO152,BP152,BQ152)</f>
        <v>-1320</v>
      </c>
      <c r="BS152" s="1113">
        <v>-4737</v>
      </c>
      <c r="BT152" s="1055">
        <v>-1474</v>
      </c>
      <c r="BU152" s="1055">
        <v>-1624</v>
      </c>
      <c r="BV152" s="1055">
        <v>-1655</v>
      </c>
      <c r="BW152" s="68">
        <f t="shared" si="569"/>
        <v>-1633</v>
      </c>
      <c r="BX152" s="1113">
        <v>-6386</v>
      </c>
      <c r="BY152" s="1057">
        <v>-1928</v>
      </c>
      <c r="BZ152" s="68"/>
      <c r="CA152" s="68"/>
      <c r="CB152" s="68"/>
      <c r="CC152" s="1112"/>
      <c r="CD152" s="68"/>
      <c r="CE152" s="68"/>
      <c r="CF152" s="68"/>
      <c r="CG152" s="68"/>
      <c r="CH152" s="1112"/>
      <c r="CI152" s="1112"/>
      <c r="CJ152" s="1112"/>
      <c r="CK152" s="1112"/>
      <c r="CL152" s="155"/>
    </row>
    <row r="153" spans="1:90" hidden="1" outlineLevel="1" x14ac:dyDescent="0.3">
      <c r="A153" s="572" t="s">
        <v>788</v>
      </c>
      <c r="B153" s="602"/>
      <c r="C153" s="1112"/>
      <c r="D153" s="1112"/>
      <c r="E153" s="1112"/>
      <c r="F153" s="1112"/>
      <c r="G153" s="68"/>
      <c r="H153" s="68"/>
      <c r="I153" s="68"/>
      <c r="J153" s="68"/>
      <c r="K153" s="1112"/>
      <c r="L153" s="68"/>
      <c r="M153" s="68"/>
      <c r="N153" s="68"/>
      <c r="O153" s="68"/>
      <c r="P153" s="1112"/>
      <c r="Q153" s="68"/>
      <c r="R153" s="68"/>
      <c r="S153" s="68"/>
      <c r="T153" s="68"/>
      <c r="U153" s="1112"/>
      <c r="V153" s="68"/>
      <c r="W153" s="68"/>
      <c r="X153" s="68"/>
      <c r="Y153" s="68"/>
      <c r="Z153" s="1112"/>
      <c r="AA153" s="68"/>
      <c r="AB153" s="68"/>
      <c r="AC153" s="68"/>
      <c r="AD153" s="68"/>
      <c r="AE153" s="1112"/>
      <c r="AF153" s="68"/>
      <c r="AG153" s="68"/>
      <c r="AH153" s="68"/>
      <c r="AI153" s="68"/>
      <c r="AJ153" s="1112"/>
      <c r="AK153" s="68"/>
      <c r="AL153" s="68"/>
      <c r="AM153" s="68"/>
      <c r="AN153" s="68"/>
      <c r="AO153" s="1112"/>
      <c r="AP153" s="1055">
        <v>-10</v>
      </c>
      <c r="AQ153" s="1055">
        <v>-5</v>
      </c>
      <c r="AR153" s="1055">
        <v>-7</v>
      </c>
      <c r="AS153" s="68">
        <f>AT153-SUM(AP153,AQ153,AR153)</f>
        <v>-9</v>
      </c>
      <c r="AT153" s="1113">
        <f>-6-25</f>
        <v>-31</v>
      </c>
      <c r="AU153" s="1055">
        <v>-5</v>
      </c>
      <c r="AV153" s="1055">
        <v>-474</v>
      </c>
      <c r="AW153" s="1055">
        <v>-192</v>
      </c>
      <c r="AX153" s="68">
        <f>AY153-SUM(AU153,AV153,AW153)</f>
        <v>-165</v>
      </c>
      <c r="AY153" s="1113">
        <f>-591-161-84</f>
        <v>-836</v>
      </c>
      <c r="AZ153" s="1055">
        <v>-167</v>
      </c>
      <c r="BA153" s="1055">
        <v>-158</v>
      </c>
      <c r="BB153" s="1055">
        <v>-156</v>
      </c>
      <c r="BC153" s="68">
        <f>BD153-SUM(AZ153,BA153,BB153)</f>
        <v>-155</v>
      </c>
      <c r="BD153" s="1113">
        <v>-636</v>
      </c>
      <c r="BE153" s="1055">
        <v>-149</v>
      </c>
      <c r="BF153" s="1055">
        <v>-175</v>
      </c>
      <c r="BG153" s="1055">
        <v>-174</v>
      </c>
      <c r="BH153" s="68">
        <f t="shared" si="567"/>
        <v>-176</v>
      </c>
      <c r="BI153" s="1113">
        <v>-674</v>
      </c>
      <c r="BJ153" s="1055">
        <v>-173</v>
      </c>
      <c r="BK153" s="1055">
        <v>-137</v>
      </c>
      <c r="BL153" s="1055">
        <v>-135</v>
      </c>
      <c r="BM153" s="68">
        <f t="shared" si="568"/>
        <v>-138</v>
      </c>
      <c r="BN153" s="1113">
        <v>-583</v>
      </c>
      <c r="BO153" s="1055">
        <v>-140</v>
      </c>
      <c r="BP153" s="1055">
        <v>-144</v>
      </c>
      <c r="BQ153" s="1055">
        <v>-155</v>
      </c>
      <c r="BR153" s="68">
        <f t="shared" si="570"/>
        <v>-163</v>
      </c>
      <c r="BS153" s="1113">
        <v>-602</v>
      </c>
      <c r="BT153" s="1055">
        <v>-160</v>
      </c>
      <c r="BU153" s="1055">
        <v>-101</v>
      </c>
      <c r="BV153" s="1055">
        <v>-87</v>
      </c>
      <c r="BW153" s="68">
        <f t="shared" si="569"/>
        <v>-179</v>
      </c>
      <c r="BX153" s="1113">
        <v>-527</v>
      </c>
      <c r="BY153" s="1057">
        <v>-247</v>
      </c>
      <c r="BZ153" s="68"/>
      <c r="CA153" s="68"/>
      <c r="CB153" s="68"/>
      <c r="CC153" s="1112"/>
      <c r="CD153" s="68"/>
      <c r="CE153" s="68"/>
      <c r="CF153" s="68"/>
      <c r="CG153" s="68"/>
      <c r="CH153" s="1112"/>
      <c r="CI153" s="1112"/>
      <c r="CJ153" s="1112"/>
      <c r="CK153" s="1112"/>
      <c r="CL153" s="155"/>
    </row>
    <row r="154" spans="1:90" hidden="1" outlineLevel="1" x14ac:dyDescent="0.3">
      <c r="A154" s="572" t="s">
        <v>789</v>
      </c>
      <c r="B154" s="602"/>
      <c r="C154" s="1112"/>
      <c r="D154" s="1112"/>
      <c r="E154" s="1112"/>
      <c r="F154" s="1112"/>
      <c r="G154" s="68"/>
      <c r="H154" s="68"/>
      <c r="I154" s="68"/>
      <c r="J154" s="68"/>
      <c r="K154" s="1112"/>
      <c r="L154" s="68"/>
      <c r="M154" s="68"/>
      <c r="N154" s="68"/>
      <c r="O154" s="68"/>
      <c r="P154" s="1112"/>
      <c r="Q154" s="68"/>
      <c r="R154" s="68"/>
      <c r="S154" s="68"/>
      <c r="T154" s="68"/>
      <c r="U154" s="1112"/>
      <c r="V154" s="68"/>
      <c r="W154" s="68"/>
      <c r="X154" s="68"/>
      <c r="Y154" s="68"/>
      <c r="Z154" s="1112"/>
      <c r="AA154" s="68"/>
      <c r="AB154" s="68"/>
      <c r="AC154" s="68"/>
      <c r="AD154" s="68"/>
      <c r="AE154" s="1112"/>
      <c r="AF154" s="68"/>
      <c r="AG154" s="68"/>
      <c r="AH154" s="68"/>
      <c r="AI154" s="68"/>
      <c r="AJ154" s="1112"/>
      <c r="AK154" s="68"/>
      <c r="AL154" s="68"/>
      <c r="AM154" s="68"/>
      <c r="AN154" s="68"/>
      <c r="AO154" s="1112"/>
      <c r="AP154" s="1055">
        <v>-70</v>
      </c>
      <c r="AQ154" s="1055">
        <v>-69</v>
      </c>
      <c r="AR154" s="1055">
        <v>-69</v>
      </c>
      <c r="AS154" s="68">
        <f>AT154-SUM(AP154,AQ154,AR154)</f>
        <v>-75</v>
      </c>
      <c r="AT154" s="1113">
        <v>-283</v>
      </c>
      <c r="AU154" s="1055">
        <v>-82</v>
      </c>
      <c r="AV154" s="1055">
        <v>-86</v>
      </c>
      <c r="AW154" s="1055">
        <v>-89</v>
      </c>
      <c r="AX154" s="68">
        <f>AY154-SUM(AU154,AV154,AW154)</f>
        <v>-100</v>
      </c>
      <c r="AY154" s="1113">
        <v>-357</v>
      </c>
      <c r="AZ154" s="1055">
        <v>-90</v>
      </c>
      <c r="BA154" s="1055">
        <v>-90</v>
      </c>
      <c r="BB154" s="1055">
        <v>-106</v>
      </c>
      <c r="BC154" s="68">
        <f>BD154-SUM(AZ154,BA154,BB154)</f>
        <v>-113</v>
      </c>
      <c r="BD154" s="1113">
        <v>-399</v>
      </c>
      <c r="BE154" s="1055">
        <v>-127</v>
      </c>
      <c r="BF154" s="1055">
        <v>-148</v>
      </c>
      <c r="BG154" s="1055">
        <v>-156</v>
      </c>
      <c r="BH154" s="68">
        <f t="shared" si="567"/>
        <v>-164</v>
      </c>
      <c r="BI154" s="1113">
        <v>-595</v>
      </c>
      <c r="BJ154" s="1055">
        <v>-154</v>
      </c>
      <c r="BK154" s="1055">
        <v>-163</v>
      </c>
      <c r="BL154" s="1055">
        <v>-198</v>
      </c>
      <c r="BM154" s="68">
        <f t="shared" si="568"/>
        <v>-213</v>
      </c>
      <c r="BN154" s="1113">
        <v>-728</v>
      </c>
      <c r="BO154" s="1055">
        <v>-229</v>
      </c>
      <c r="BP154" s="1055">
        <v>-280</v>
      </c>
      <c r="BQ154" s="1055">
        <v>-307</v>
      </c>
      <c r="BR154" s="68">
        <f t="shared" si="570"/>
        <v>-355</v>
      </c>
      <c r="BS154" s="1113">
        <v>-1171</v>
      </c>
      <c r="BT154" s="1055">
        <v>-419</v>
      </c>
      <c r="BU154" s="1055">
        <v>-440</v>
      </c>
      <c r="BV154" s="1055">
        <v>-515</v>
      </c>
      <c r="BW154" s="68">
        <f t="shared" si="569"/>
        <v>-623</v>
      </c>
      <c r="BX154" s="1113">
        <v>-1997</v>
      </c>
      <c r="BY154" s="1057">
        <v>-565</v>
      </c>
      <c r="BZ154" s="68"/>
      <c r="CA154" s="68"/>
      <c r="CB154" s="68"/>
      <c r="CC154" s="1112"/>
      <c r="CD154" s="68"/>
      <c r="CE154" s="68"/>
      <c r="CF154" s="68"/>
      <c r="CG154" s="68"/>
      <c r="CH154" s="1112"/>
      <c r="CI154" s="1112"/>
      <c r="CJ154" s="1112"/>
      <c r="CK154" s="1112"/>
      <c r="CL154" s="155"/>
    </row>
    <row r="155" spans="1:90" hidden="1" outlineLevel="1" x14ac:dyDescent="0.3">
      <c r="A155" s="572" t="s">
        <v>844</v>
      </c>
      <c r="B155" s="602"/>
      <c r="C155" s="1112"/>
      <c r="D155" s="1112"/>
      <c r="E155" s="1112"/>
      <c r="F155" s="1112"/>
      <c r="G155" s="68"/>
      <c r="H155" s="68"/>
      <c r="I155" s="68"/>
      <c r="J155" s="68"/>
      <c r="K155" s="1112"/>
      <c r="L155" s="68"/>
      <c r="M155" s="68"/>
      <c r="N155" s="68"/>
      <c r="O155" s="68"/>
      <c r="P155" s="1112"/>
      <c r="Q155" s="68"/>
      <c r="R155" s="68"/>
      <c r="S155" s="68"/>
      <c r="T155" s="68"/>
      <c r="U155" s="1112"/>
      <c r="V155" s="68"/>
      <c r="W155" s="68"/>
      <c r="X155" s="68"/>
      <c r="Y155" s="68"/>
      <c r="Z155" s="1112"/>
      <c r="AA155" s="68"/>
      <c r="AB155" s="68"/>
      <c r="AC155" s="68"/>
      <c r="AD155" s="68"/>
      <c r="AE155" s="1112"/>
      <c r="AF155" s="68"/>
      <c r="AG155" s="68"/>
      <c r="AH155" s="68"/>
      <c r="AI155" s="68"/>
      <c r="AJ155" s="1112"/>
      <c r="AK155" s="68"/>
      <c r="AL155" s="68"/>
      <c r="AM155" s="68"/>
      <c r="AN155" s="68"/>
      <c r="AO155" s="1112"/>
      <c r="AP155" s="68"/>
      <c r="AQ155" s="68"/>
      <c r="AR155" s="68"/>
      <c r="AS155" s="68"/>
      <c r="AT155" s="1112"/>
      <c r="AU155" s="68"/>
      <c r="AV155" s="68"/>
      <c r="AW155" s="68"/>
      <c r="AX155" s="68"/>
      <c r="AY155" s="1112"/>
      <c r="AZ155" s="68"/>
      <c r="BA155" s="68"/>
      <c r="BB155" s="68"/>
      <c r="BC155" s="68"/>
      <c r="BD155" s="1112"/>
      <c r="BE155" s="68"/>
      <c r="BF155" s="68"/>
      <c r="BG155" s="1055">
        <v>-16</v>
      </c>
      <c r="BH155" s="68">
        <f t="shared" si="567"/>
        <v>-38</v>
      </c>
      <c r="BI155" s="1113">
        <v>-54</v>
      </c>
      <c r="BJ155" s="68"/>
      <c r="BK155" s="68"/>
      <c r="BL155" s="68"/>
      <c r="BM155" s="68">
        <f t="shared" si="568"/>
        <v>0</v>
      </c>
      <c r="BN155" s="1112"/>
      <c r="BO155" s="68"/>
      <c r="BP155" s="68"/>
      <c r="BQ155" s="68"/>
      <c r="BR155" s="68">
        <f t="shared" si="570"/>
        <v>0</v>
      </c>
      <c r="BS155" s="1112"/>
      <c r="BT155" s="68"/>
      <c r="BU155" s="68"/>
      <c r="BV155" s="68"/>
      <c r="BW155" s="68">
        <f t="shared" si="569"/>
        <v>0</v>
      </c>
      <c r="BX155" s="1112"/>
      <c r="BY155" s="588"/>
      <c r="BZ155" s="68"/>
      <c r="CA155" s="68"/>
      <c r="CB155" s="68"/>
      <c r="CC155" s="1112"/>
      <c r="CD155" s="68"/>
      <c r="CE155" s="68"/>
      <c r="CF155" s="68"/>
      <c r="CG155" s="68"/>
      <c r="CH155" s="1112"/>
      <c r="CI155" s="1112"/>
      <c r="CJ155" s="1112"/>
      <c r="CK155" s="1112"/>
      <c r="CL155" s="155"/>
    </row>
    <row r="156" spans="1:90" hidden="1" outlineLevel="1" x14ac:dyDescent="0.3">
      <c r="A156" s="572" t="s">
        <v>792</v>
      </c>
      <c r="B156" s="602"/>
      <c r="C156" s="1112"/>
      <c r="D156" s="1112"/>
      <c r="E156" s="1112"/>
      <c r="F156" s="1112"/>
      <c r="G156" s="68"/>
      <c r="H156" s="68"/>
      <c r="I156" s="68"/>
      <c r="J156" s="68"/>
      <c r="K156" s="1112"/>
      <c r="L156" s="68"/>
      <c r="M156" s="68"/>
      <c r="N156" s="68"/>
      <c r="O156" s="68"/>
      <c r="P156" s="1112"/>
      <c r="Q156" s="68"/>
      <c r="R156" s="68"/>
      <c r="S156" s="68"/>
      <c r="T156" s="68"/>
      <c r="U156" s="1112"/>
      <c r="V156" s="68"/>
      <c r="W156" s="68"/>
      <c r="X156" s="68"/>
      <c r="Y156" s="68"/>
      <c r="Z156" s="1112"/>
      <c r="AA156" s="68"/>
      <c r="AB156" s="68"/>
      <c r="AC156" s="68"/>
      <c r="AD156" s="68"/>
      <c r="AE156" s="1112"/>
      <c r="AF156" s="68"/>
      <c r="AG156" s="68"/>
      <c r="AH156" s="68"/>
      <c r="AI156" s="68"/>
      <c r="AJ156" s="1112"/>
      <c r="AK156" s="68"/>
      <c r="AL156" s="68"/>
      <c r="AM156" s="68"/>
      <c r="AN156" s="68"/>
      <c r="AO156" s="1112"/>
      <c r="AP156" s="68"/>
      <c r="AQ156" s="68"/>
      <c r="AR156" s="68"/>
      <c r="AS156" s="68"/>
      <c r="AT156" s="1112"/>
      <c r="AU156" s="68"/>
      <c r="AV156" s="68"/>
      <c r="AW156" s="68"/>
      <c r="AX156" s="68"/>
      <c r="AY156" s="1112"/>
      <c r="AZ156" s="68"/>
      <c r="BA156" s="68"/>
      <c r="BB156" s="68"/>
      <c r="BC156" s="68"/>
      <c r="BD156" s="1112"/>
      <c r="BE156" s="68"/>
      <c r="BF156" s="1055">
        <v>-2</v>
      </c>
      <c r="BG156" s="68"/>
      <c r="BH156" s="68">
        <f t="shared" si="567"/>
        <v>0</v>
      </c>
      <c r="BI156" s="1113">
        <v>-2</v>
      </c>
      <c r="BJ156" s="68"/>
      <c r="BK156" s="68"/>
      <c r="BL156" s="68"/>
      <c r="BM156" s="68">
        <f t="shared" si="568"/>
        <v>0</v>
      </c>
      <c r="BN156" s="1112"/>
      <c r="BO156" s="68"/>
      <c r="BP156" s="68"/>
      <c r="BQ156" s="68"/>
      <c r="BR156" s="68">
        <f t="shared" si="570"/>
        <v>0</v>
      </c>
      <c r="BS156" s="1112"/>
      <c r="BT156" s="68"/>
      <c r="BU156" s="68"/>
      <c r="BV156" s="68"/>
      <c r="BW156" s="68">
        <f t="shared" si="569"/>
        <v>0</v>
      </c>
      <c r="BX156" s="1112"/>
      <c r="BY156" s="588"/>
      <c r="BZ156" s="68"/>
      <c r="CA156" s="68"/>
      <c r="CB156" s="68"/>
      <c r="CC156" s="1112"/>
      <c r="CD156" s="68"/>
      <c r="CE156" s="68"/>
      <c r="CF156" s="68"/>
      <c r="CG156" s="68"/>
      <c r="CH156" s="1112"/>
      <c r="CI156" s="1112"/>
      <c r="CJ156" s="1112"/>
      <c r="CK156" s="1112"/>
      <c r="CL156" s="155"/>
    </row>
    <row r="157" spans="1:90" hidden="1" outlineLevel="1" x14ac:dyDescent="0.3">
      <c r="A157" s="572" t="s">
        <v>840</v>
      </c>
      <c r="B157" s="602"/>
      <c r="C157" s="1112"/>
      <c r="D157" s="1112"/>
      <c r="E157" s="1112"/>
      <c r="F157" s="1112"/>
      <c r="G157" s="68"/>
      <c r="H157" s="68"/>
      <c r="I157" s="68"/>
      <c r="J157" s="68"/>
      <c r="K157" s="1112"/>
      <c r="L157" s="68"/>
      <c r="M157" s="68"/>
      <c r="N157" s="68"/>
      <c r="O157" s="68"/>
      <c r="P157" s="1112"/>
      <c r="Q157" s="68"/>
      <c r="R157" s="68"/>
      <c r="S157" s="68"/>
      <c r="T157" s="68"/>
      <c r="U157" s="1112"/>
      <c r="V157" s="68"/>
      <c r="W157" s="68"/>
      <c r="X157" s="68"/>
      <c r="Y157" s="68"/>
      <c r="Z157" s="1112"/>
      <c r="AA157" s="68"/>
      <c r="AB157" s="68"/>
      <c r="AC157" s="68"/>
      <c r="AD157" s="68"/>
      <c r="AE157" s="1112"/>
      <c r="AF157" s="68"/>
      <c r="AG157" s="68"/>
      <c r="AH157" s="68"/>
      <c r="AI157" s="68"/>
      <c r="AJ157" s="1112"/>
      <c r="AK157" s="68"/>
      <c r="AL157" s="68"/>
      <c r="AM157" s="68"/>
      <c r="AN157" s="68"/>
      <c r="AO157" s="1112"/>
      <c r="AP157" s="1055">
        <v>-11</v>
      </c>
      <c r="AQ157" s="1055">
        <v>-2</v>
      </c>
      <c r="AR157" s="1055">
        <v>0</v>
      </c>
      <c r="AS157" s="68">
        <f>AT157-SUM(AP157,AQ157,AR157)</f>
        <v>-1</v>
      </c>
      <c r="AT157" s="1113">
        <v>-14</v>
      </c>
      <c r="AU157" s="1055">
        <v>0</v>
      </c>
      <c r="AV157" s="1055">
        <v>-17</v>
      </c>
      <c r="AW157" s="1055">
        <v>-21</v>
      </c>
      <c r="AX157" s="68">
        <f>AY157-SUM(AU157,AV157,AW157)</f>
        <v>0</v>
      </c>
      <c r="AY157" s="1113">
        <v>-38</v>
      </c>
      <c r="AZ157" s="1055">
        <v>-5</v>
      </c>
      <c r="BA157" s="1055">
        <v>-4</v>
      </c>
      <c r="BB157" s="1055">
        <v>0</v>
      </c>
      <c r="BC157" s="68">
        <f>BD157-SUM(AZ157,BA157,BB157)</f>
        <v>-1</v>
      </c>
      <c r="BD157" s="1113">
        <v>-10</v>
      </c>
      <c r="BE157" s="1055">
        <v>-7</v>
      </c>
      <c r="BF157" s="68"/>
      <c r="BG157" s="68"/>
      <c r="BH157" s="68">
        <f t="shared" si="567"/>
        <v>-16</v>
      </c>
      <c r="BI157" s="1113">
        <v>-23</v>
      </c>
      <c r="BJ157" s="1055">
        <v>-8</v>
      </c>
      <c r="BK157" s="1055">
        <v>-2</v>
      </c>
      <c r="BL157" s="1055">
        <v>-26</v>
      </c>
      <c r="BM157" s="68">
        <f t="shared" si="568"/>
        <v>-4</v>
      </c>
      <c r="BN157" s="1113">
        <v>-40</v>
      </c>
      <c r="BO157" s="68"/>
      <c r="BP157" s="68"/>
      <c r="BQ157" s="1055">
        <v>0</v>
      </c>
      <c r="BR157" s="68">
        <f t="shared" si="570"/>
        <v>0</v>
      </c>
      <c r="BS157" s="1112"/>
      <c r="BT157" s="68"/>
      <c r="BU157" s="68"/>
      <c r="BV157" s="68"/>
      <c r="BW157" s="68">
        <f t="shared" si="569"/>
        <v>0</v>
      </c>
      <c r="BX157" s="1112"/>
      <c r="BY157" s="588"/>
      <c r="BZ157" s="68"/>
      <c r="CA157" s="68"/>
      <c r="CB157" s="68"/>
      <c r="CC157" s="1112"/>
      <c r="CD157" s="68"/>
      <c r="CE157" s="68"/>
      <c r="CF157" s="68"/>
      <c r="CG157" s="68"/>
      <c r="CH157" s="1112"/>
      <c r="CI157" s="1112"/>
      <c r="CJ157" s="1112"/>
      <c r="CK157" s="1112"/>
      <c r="CL157" s="155"/>
    </row>
    <row r="158" spans="1:90" hidden="1" outlineLevel="1" x14ac:dyDescent="0.3">
      <c r="A158" s="572" t="s">
        <v>1281</v>
      </c>
      <c r="B158" s="602"/>
      <c r="C158" s="1112"/>
      <c r="D158" s="1112"/>
      <c r="E158" s="1112"/>
      <c r="F158" s="1112"/>
      <c r="G158" s="68"/>
      <c r="H158" s="68"/>
      <c r="I158" s="68"/>
      <c r="J158" s="68"/>
      <c r="K158" s="1112"/>
      <c r="L158" s="68"/>
      <c r="M158" s="68"/>
      <c r="N158" s="68"/>
      <c r="O158" s="68"/>
      <c r="P158" s="1112"/>
      <c r="Q158" s="68"/>
      <c r="R158" s="68"/>
      <c r="S158" s="68"/>
      <c r="T158" s="68"/>
      <c r="U158" s="1112"/>
      <c r="V158" s="68"/>
      <c r="W158" s="68"/>
      <c r="X158" s="68"/>
      <c r="Y158" s="68"/>
      <c r="Z158" s="1112"/>
      <c r="AA158" s="68"/>
      <c r="AB158" s="68"/>
      <c r="AC158" s="68"/>
      <c r="AD158" s="68"/>
      <c r="AE158" s="1112"/>
      <c r="AF158" s="68"/>
      <c r="AG158" s="68"/>
      <c r="AH158" s="68"/>
      <c r="AI158" s="68"/>
      <c r="AJ158" s="1112"/>
      <c r="AK158" s="68"/>
      <c r="AL158" s="68"/>
      <c r="AM158" s="68"/>
      <c r="AN158" s="68"/>
      <c r="AO158" s="1112"/>
      <c r="AP158" s="68"/>
      <c r="AQ158" s="68"/>
      <c r="AR158" s="68"/>
      <c r="AS158" s="68"/>
      <c r="AT158" s="1112"/>
      <c r="AU158" s="68"/>
      <c r="AV158" s="68"/>
      <c r="AW158" s="68"/>
      <c r="AX158" s="68"/>
      <c r="AY158" s="1112"/>
      <c r="AZ158" s="68"/>
      <c r="BA158" s="68"/>
      <c r="BB158" s="68"/>
      <c r="BC158" s="68"/>
      <c r="BD158" s="1112"/>
      <c r="BE158" s="68"/>
      <c r="BF158" s="68"/>
      <c r="BG158" s="68"/>
      <c r="BH158" s="68"/>
      <c r="BI158" s="1112"/>
      <c r="BJ158" s="68"/>
      <c r="BK158" s="68"/>
      <c r="BL158" s="68"/>
      <c r="BM158" s="68"/>
      <c r="BN158" s="1112"/>
      <c r="BO158" s="68"/>
      <c r="BP158" s="68"/>
      <c r="BQ158" s="68"/>
      <c r="BR158" s="68"/>
      <c r="BS158" s="1112"/>
      <c r="BT158" s="68"/>
      <c r="BU158" s="68"/>
      <c r="BV158" s="68"/>
      <c r="BW158" s="68">
        <f t="shared" si="569"/>
        <v>0</v>
      </c>
      <c r="BX158" s="1112"/>
      <c r="BY158" s="588"/>
      <c r="BZ158" s="68"/>
      <c r="CA158" s="68"/>
      <c r="CB158" s="68"/>
      <c r="CC158" s="1112"/>
      <c r="CD158" s="68"/>
      <c r="CE158" s="68"/>
      <c r="CF158" s="68"/>
      <c r="CG158" s="68"/>
      <c r="CH158" s="1112"/>
      <c r="CI158" s="1112"/>
      <c r="CJ158" s="1112"/>
      <c r="CK158" s="1112"/>
      <c r="CL158" s="155"/>
    </row>
    <row r="159" spans="1:90" hidden="1" outlineLevel="1" x14ac:dyDescent="0.3">
      <c r="A159" s="572" t="s">
        <v>1282</v>
      </c>
      <c r="B159" s="602"/>
      <c r="C159" s="1112"/>
      <c r="D159" s="1112"/>
      <c r="E159" s="1112"/>
      <c r="F159" s="1112"/>
      <c r="G159" s="68"/>
      <c r="H159" s="68"/>
      <c r="I159" s="68"/>
      <c r="J159" s="68"/>
      <c r="K159" s="1112"/>
      <c r="L159" s="68"/>
      <c r="M159" s="68"/>
      <c r="N159" s="68"/>
      <c r="O159" s="68"/>
      <c r="P159" s="1112"/>
      <c r="Q159" s="68"/>
      <c r="R159" s="68"/>
      <c r="S159" s="68"/>
      <c r="T159" s="68"/>
      <c r="U159" s="1112"/>
      <c r="V159" s="68"/>
      <c r="W159" s="68"/>
      <c r="X159" s="68"/>
      <c r="Y159" s="68"/>
      <c r="Z159" s="1112"/>
      <c r="AA159" s="68"/>
      <c r="AB159" s="68"/>
      <c r="AC159" s="68"/>
      <c r="AD159" s="68"/>
      <c r="AE159" s="1112"/>
      <c r="AF159" s="68"/>
      <c r="AG159" s="68"/>
      <c r="AH159" s="68"/>
      <c r="AI159" s="68"/>
      <c r="AJ159" s="1112"/>
      <c r="AK159" s="68"/>
      <c r="AL159" s="68"/>
      <c r="AM159" s="68"/>
      <c r="AN159" s="68"/>
      <c r="AO159" s="1112"/>
      <c r="AP159" s="68"/>
      <c r="AQ159" s="68"/>
      <c r="AR159" s="68"/>
      <c r="AS159" s="68"/>
      <c r="AT159" s="1112"/>
      <c r="AU159" s="68"/>
      <c r="AV159" s="68"/>
      <c r="AW159" s="68"/>
      <c r="AX159" s="68"/>
      <c r="AY159" s="1112"/>
      <c r="AZ159" s="68"/>
      <c r="BA159" s="68"/>
      <c r="BB159" s="68"/>
      <c r="BC159" s="68"/>
      <c r="BD159" s="1112"/>
      <c r="BE159" s="68"/>
      <c r="BF159" s="68"/>
      <c r="BG159" s="68"/>
      <c r="BH159" s="68"/>
      <c r="BI159" s="1112"/>
      <c r="BJ159" s="68"/>
      <c r="BK159" s="68"/>
      <c r="BL159" s="68"/>
      <c r="BM159" s="68"/>
      <c r="BN159" s="1112"/>
      <c r="BO159" s="68"/>
      <c r="BP159" s="68"/>
      <c r="BQ159" s="68"/>
      <c r="BR159" s="68"/>
      <c r="BS159" s="1112"/>
      <c r="BT159" s="68"/>
      <c r="BU159" s="68"/>
      <c r="BV159" s="68"/>
      <c r="BW159" s="68">
        <f t="shared" si="569"/>
        <v>0</v>
      </c>
      <c r="BX159" s="1112"/>
      <c r="BY159" s="588"/>
      <c r="BZ159" s="68"/>
      <c r="CA159" s="68"/>
      <c r="CB159" s="68"/>
      <c r="CC159" s="1112"/>
      <c r="CD159" s="68"/>
      <c r="CE159" s="68"/>
      <c r="CF159" s="68"/>
      <c r="CG159" s="68"/>
      <c r="CH159" s="1112"/>
      <c r="CI159" s="1112"/>
      <c r="CJ159" s="1112"/>
      <c r="CK159" s="1112"/>
      <c r="CL159" s="155"/>
    </row>
    <row r="160" spans="1:90" hidden="1" outlineLevel="1" x14ac:dyDescent="0.3">
      <c r="A160" s="649" t="s">
        <v>929</v>
      </c>
      <c r="B160" s="603"/>
      <c r="C160" s="1123"/>
      <c r="D160" s="1123"/>
      <c r="E160" s="1123"/>
      <c r="F160" s="1123"/>
      <c r="G160" s="109"/>
      <c r="H160" s="109"/>
      <c r="I160" s="109"/>
      <c r="J160" s="109"/>
      <c r="K160" s="1123"/>
      <c r="L160" s="109"/>
      <c r="M160" s="109"/>
      <c r="N160" s="109"/>
      <c r="O160" s="109"/>
      <c r="P160" s="1123"/>
      <c r="Q160" s="109"/>
      <c r="R160" s="109"/>
      <c r="S160" s="109"/>
      <c r="T160" s="109"/>
      <c r="U160" s="1123"/>
      <c r="V160" s="109"/>
      <c r="W160" s="109"/>
      <c r="X160" s="109"/>
      <c r="Y160" s="109"/>
      <c r="Z160" s="1123"/>
      <c r="AA160" s="109"/>
      <c r="AB160" s="109"/>
      <c r="AC160" s="109"/>
      <c r="AD160" s="109"/>
      <c r="AE160" s="1123"/>
      <c r="AF160" s="109"/>
      <c r="AG160" s="109"/>
      <c r="AH160" s="109"/>
      <c r="AI160" s="109"/>
      <c r="AJ160" s="1123"/>
      <c r="AK160" s="109"/>
      <c r="AL160" s="109"/>
      <c r="AM160" s="109"/>
      <c r="AN160" s="109"/>
      <c r="AO160" s="1123"/>
      <c r="AP160" s="109"/>
      <c r="AQ160" s="109"/>
      <c r="AR160" s="109"/>
      <c r="AS160" s="109"/>
      <c r="AT160" s="1123"/>
      <c r="AU160" s="109"/>
      <c r="AV160" s="109"/>
      <c r="AW160" s="109"/>
      <c r="AX160" s="109"/>
      <c r="AY160" s="1123"/>
      <c r="AZ160" s="109"/>
      <c r="BA160" s="109"/>
      <c r="BB160" s="109"/>
      <c r="BC160" s="109"/>
      <c r="BD160" s="1123"/>
      <c r="BE160" s="109"/>
      <c r="BF160" s="109"/>
      <c r="BG160" s="109"/>
      <c r="BH160" s="109">
        <f t="shared" si="567"/>
        <v>0</v>
      </c>
      <c r="BI160" s="1123"/>
      <c r="BJ160" s="1062">
        <v>4</v>
      </c>
      <c r="BK160" s="1062">
        <v>5</v>
      </c>
      <c r="BL160" s="109"/>
      <c r="BM160" s="109">
        <f t="shared" si="568"/>
        <v>1</v>
      </c>
      <c r="BN160" s="1133">
        <v>10</v>
      </c>
      <c r="BO160" s="1062">
        <v>1</v>
      </c>
      <c r="BP160" s="1062">
        <v>3</v>
      </c>
      <c r="BQ160" s="109"/>
      <c r="BR160" s="109">
        <f t="shared" si="570"/>
        <v>-1</v>
      </c>
      <c r="BS160" s="1133">
        <v>3</v>
      </c>
      <c r="BT160" s="1062">
        <v>-3</v>
      </c>
      <c r="BU160" s="109"/>
      <c r="BV160" s="109"/>
      <c r="BW160" s="109">
        <f t="shared" si="569"/>
        <v>3</v>
      </c>
      <c r="BX160" s="1123"/>
      <c r="BY160" s="730"/>
      <c r="BZ160" s="109"/>
      <c r="CA160" s="109"/>
      <c r="CB160" s="109"/>
      <c r="CC160" s="1123"/>
      <c r="CD160" s="109"/>
      <c r="CE160" s="109"/>
      <c r="CF160" s="109"/>
      <c r="CG160" s="109"/>
      <c r="CH160" s="1123"/>
      <c r="CI160" s="1123"/>
      <c r="CJ160" s="1123"/>
      <c r="CK160" s="1123"/>
      <c r="CL160" s="155"/>
    </row>
    <row r="161" spans="1:90" hidden="1" outlineLevel="1" x14ac:dyDescent="0.3">
      <c r="A161" s="282" t="s">
        <v>633</v>
      </c>
      <c r="B161" s="603"/>
      <c r="C161" s="1123"/>
      <c r="D161" s="1123"/>
      <c r="E161" s="1123"/>
      <c r="F161" s="1123"/>
      <c r="G161" s="109"/>
      <c r="H161" s="109"/>
      <c r="I161" s="109"/>
      <c r="J161" s="109"/>
      <c r="K161" s="1123"/>
      <c r="L161" s="109"/>
      <c r="M161" s="109"/>
      <c r="N161" s="109"/>
      <c r="O161" s="109"/>
      <c r="P161" s="1123"/>
      <c r="Q161" s="109"/>
      <c r="R161" s="109"/>
      <c r="S161" s="109"/>
      <c r="T161" s="109"/>
      <c r="U161" s="1123"/>
      <c r="V161" s="109"/>
      <c r="W161" s="109"/>
      <c r="X161" s="109"/>
      <c r="Y161" s="109"/>
      <c r="Z161" s="1123"/>
      <c r="AA161" s="109"/>
      <c r="AB161" s="109"/>
      <c r="AC161" s="109"/>
      <c r="AD161" s="109"/>
      <c r="AE161" s="1123"/>
      <c r="AF161" s="109"/>
      <c r="AG161" s="109"/>
      <c r="AH161" s="109"/>
      <c r="AI161" s="109"/>
      <c r="AJ161" s="1123"/>
      <c r="AK161" s="109"/>
      <c r="AL161" s="109"/>
      <c r="AM161" s="109"/>
      <c r="AN161" s="109"/>
      <c r="AO161" s="1123"/>
      <c r="AP161" s="109">
        <f t="shared" ref="AP161:BV161" si="571">SUM(AP151:AP160)</f>
        <v>-269</v>
      </c>
      <c r="AQ161" s="109">
        <f t="shared" si="571"/>
        <v>-300</v>
      </c>
      <c r="AR161" s="109">
        <f t="shared" si="571"/>
        <v>-299</v>
      </c>
      <c r="AS161" s="109">
        <f t="shared" si="571"/>
        <v>-304</v>
      </c>
      <c r="AT161" s="1123">
        <f t="shared" si="571"/>
        <v>-1172</v>
      </c>
      <c r="AU161" s="109">
        <f t="shared" si="571"/>
        <v>-311</v>
      </c>
      <c r="AV161" s="109">
        <f t="shared" si="571"/>
        <v>-951</v>
      </c>
      <c r="AW161" s="109">
        <f t="shared" si="571"/>
        <v>-685</v>
      </c>
      <c r="AX161" s="109">
        <f t="shared" si="571"/>
        <v>-681</v>
      </c>
      <c r="AY161" s="1123">
        <f t="shared" si="571"/>
        <v>-2628</v>
      </c>
      <c r="AZ161" s="109">
        <f t="shared" si="571"/>
        <v>-691</v>
      </c>
      <c r="BA161" s="109">
        <f t="shared" si="571"/>
        <v>-717</v>
      </c>
      <c r="BB161" s="109">
        <f t="shared" si="571"/>
        <v>-821</v>
      </c>
      <c r="BC161" s="109">
        <f t="shared" si="571"/>
        <v>-820</v>
      </c>
      <c r="BD161" s="1123">
        <f t="shared" si="571"/>
        <v>-3049</v>
      </c>
      <c r="BE161" s="109">
        <f t="shared" si="571"/>
        <v>-2214</v>
      </c>
      <c r="BF161" s="109">
        <f t="shared" si="571"/>
        <v>-974</v>
      </c>
      <c r="BG161" s="109">
        <f t="shared" si="571"/>
        <v>-1091</v>
      </c>
      <c r="BH161" s="109">
        <f t="shared" si="571"/>
        <v>-1132</v>
      </c>
      <c r="BI161" s="1123">
        <f t="shared" si="571"/>
        <v>-5411</v>
      </c>
      <c r="BJ161" s="109">
        <f t="shared" si="571"/>
        <v>-1066</v>
      </c>
      <c r="BK161" s="109">
        <f t="shared" si="571"/>
        <v>-1139</v>
      </c>
      <c r="BL161" s="109">
        <f t="shared" si="571"/>
        <v>-1338</v>
      </c>
      <c r="BM161" s="109">
        <f t="shared" si="571"/>
        <v>-1347</v>
      </c>
      <c r="BN161" s="1123">
        <f t="shared" si="571"/>
        <v>-4890</v>
      </c>
      <c r="BO161" s="109">
        <f t="shared" si="571"/>
        <v>-1379</v>
      </c>
      <c r="BP161" s="109">
        <f t="shared" si="571"/>
        <v>-1575</v>
      </c>
      <c r="BQ161" s="109">
        <f t="shared" si="571"/>
        <v>-1714</v>
      </c>
      <c r="BR161" s="109">
        <f t="shared" si="571"/>
        <v>-1839</v>
      </c>
      <c r="BS161" s="1123">
        <f t="shared" si="571"/>
        <v>-6507</v>
      </c>
      <c r="BT161" s="109">
        <f t="shared" si="571"/>
        <v>-2056</v>
      </c>
      <c r="BU161" s="109">
        <f t="shared" si="571"/>
        <v>-2165</v>
      </c>
      <c r="BV161" s="109">
        <f t="shared" si="571"/>
        <v>-2257</v>
      </c>
      <c r="BW161" s="109">
        <f t="shared" ref="BW161:BY161" si="572">SUM(BW151:BW160)</f>
        <v>-2432</v>
      </c>
      <c r="BX161" s="1123">
        <f t="shared" si="572"/>
        <v>-8910</v>
      </c>
      <c r="BY161" s="730">
        <f t="shared" si="572"/>
        <v>-2740</v>
      </c>
      <c r="BZ161" s="109"/>
      <c r="CA161" s="109"/>
      <c r="CB161" s="109"/>
      <c r="CC161" s="1123"/>
      <c r="CD161" s="109"/>
      <c r="CE161" s="109"/>
      <c r="CF161" s="109"/>
      <c r="CG161" s="109"/>
      <c r="CH161" s="1123"/>
      <c r="CI161" s="1123"/>
      <c r="CJ161" s="1123"/>
      <c r="CK161" s="1123"/>
      <c r="CL161" s="155"/>
    </row>
    <row r="162" spans="1:90" hidden="1" outlineLevel="1" x14ac:dyDescent="0.3">
      <c r="A162" s="631" t="s">
        <v>632</v>
      </c>
      <c r="B162" s="604"/>
      <c r="C162" s="1124"/>
      <c r="D162" s="1124"/>
      <c r="E162" s="1124"/>
      <c r="F162" s="1124"/>
      <c r="G162" s="61"/>
      <c r="H162" s="61"/>
      <c r="I162" s="61"/>
      <c r="J162" s="61"/>
      <c r="K162" s="1124"/>
      <c r="L162" s="61"/>
      <c r="M162" s="61"/>
      <c r="N162" s="61"/>
      <c r="O162" s="61"/>
      <c r="P162" s="1124"/>
      <c r="Q162" s="61"/>
      <c r="R162" s="61"/>
      <c r="S162" s="61"/>
      <c r="T162" s="61"/>
      <c r="U162" s="1124"/>
      <c r="V162" s="61"/>
      <c r="W162" s="61"/>
      <c r="X162" s="61"/>
      <c r="Y162" s="61"/>
      <c r="Z162" s="1124"/>
      <c r="AA162" s="61"/>
      <c r="AB162" s="61"/>
      <c r="AC162" s="61"/>
      <c r="AD162" s="61"/>
      <c r="AE162" s="1124"/>
      <c r="AF162" s="61"/>
      <c r="AG162" s="61"/>
      <c r="AH162" s="61"/>
      <c r="AI162" s="61"/>
      <c r="AJ162" s="1124"/>
      <c r="AK162" s="61"/>
      <c r="AL162" s="61"/>
      <c r="AM162" s="61"/>
      <c r="AN162" s="61"/>
      <c r="AO162" s="1124"/>
      <c r="AP162" s="61">
        <f t="shared" ref="AP162:BL162" si="573">AP149+AP150+AP161</f>
        <v>358</v>
      </c>
      <c r="AQ162" s="61">
        <f t="shared" si="573"/>
        <v>571</v>
      </c>
      <c r="AR162" s="61">
        <f t="shared" si="573"/>
        <v>927</v>
      </c>
      <c r="AS162" s="61">
        <f t="shared" si="573"/>
        <v>990</v>
      </c>
      <c r="AT162" s="1124">
        <f t="shared" si="573"/>
        <v>2846</v>
      </c>
      <c r="AU162" s="61">
        <f t="shared" si="573"/>
        <v>976</v>
      </c>
      <c r="AV162" s="61">
        <f t="shared" si="573"/>
        <v>651</v>
      </c>
      <c r="AW162" s="61">
        <f t="shared" si="573"/>
        <v>1398</v>
      </c>
      <c r="AX162" s="61">
        <f t="shared" si="573"/>
        <v>1507</v>
      </c>
      <c r="AY162" s="1124">
        <f t="shared" si="573"/>
        <v>4532</v>
      </c>
      <c r="AZ162" s="61">
        <f t="shared" si="573"/>
        <v>1956</v>
      </c>
      <c r="BA162" s="61">
        <f t="shared" si="573"/>
        <v>2444</v>
      </c>
      <c r="BB162" s="61">
        <f t="shared" si="573"/>
        <v>2671</v>
      </c>
      <c r="BC162" s="61">
        <f t="shared" si="573"/>
        <v>2970</v>
      </c>
      <c r="BD162" s="1124">
        <f t="shared" si="573"/>
        <v>10041</v>
      </c>
      <c r="BE162" s="61">
        <f t="shared" si="573"/>
        <v>1868</v>
      </c>
      <c r="BF162" s="61">
        <f t="shared" si="573"/>
        <v>499</v>
      </c>
      <c r="BG162" s="61">
        <f t="shared" si="573"/>
        <v>601</v>
      </c>
      <c r="BH162" s="61">
        <f t="shared" si="573"/>
        <v>1256</v>
      </c>
      <c r="BI162" s="1124">
        <f t="shared" si="573"/>
        <v>4224</v>
      </c>
      <c r="BJ162" s="61">
        <f t="shared" si="573"/>
        <v>2140</v>
      </c>
      <c r="BK162" s="61">
        <f t="shared" si="573"/>
        <v>6800</v>
      </c>
      <c r="BL162" s="61">
        <f t="shared" si="573"/>
        <v>10417</v>
      </c>
      <c r="BM162" s="61">
        <f>BM309</f>
        <v>13615</v>
      </c>
      <c r="BN162" s="1124">
        <f>BN309</f>
        <v>32972</v>
      </c>
      <c r="BO162" s="61">
        <f>BO149+BO150+BO161</f>
        <v>16909</v>
      </c>
      <c r="BP162" s="61">
        <f>BP149+BP150+BP161</f>
        <v>18642</v>
      </c>
      <c r="BQ162" s="61">
        <f t="shared" ref="BQ162:BS162" si="574">BQ149+BQ150+BQ161</f>
        <v>21869</v>
      </c>
      <c r="BR162" s="61">
        <f t="shared" si="574"/>
        <v>24033</v>
      </c>
      <c r="BS162" s="1124">
        <f t="shared" si="574"/>
        <v>81453</v>
      </c>
      <c r="BT162" s="61">
        <f t="shared" ref="BT162:BY162" si="575">BT149+BT150+BT161</f>
        <v>21638</v>
      </c>
      <c r="BU162" s="61">
        <f t="shared" si="575"/>
        <v>28440</v>
      </c>
      <c r="BV162" s="61">
        <f t="shared" si="575"/>
        <v>36010</v>
      </c>
      <c r="BW162" s="61">
        <f t="shared" si="575"/>
        <v>44299</v>
      </c>
      <c r="BX162" s="1124">
        <f t="shared" si="575"/>
        <v>130387</v>
      </c>
      <c r="BY162" s="896">
        <f t="shared" si="575"/>
        <v>53536</v>
      </c>
      <c r="BZ162" s="61"/>
      <c r="CA162" s="61"/>
      <c r="CB162" s="61"/>
      <c r="CC162" s="1124"/>
      <c r="CD162" s="61"/>
      <c r="CE162" s="61"/>
      <c r="CF162" s="61"/>
      <c r="CG162" s="61"/>
      <c r="CH162" s="1124"/>
      <c r="CI162" s="1124"/>
      <c r="CJ162" s="1124"/>
      <c r="CK162" s="1124"/>
      <c r="CL162" s="155"/>
    </row>
    <row r="163" spans="1:90" hidden="1" outlineLevel="1" x14ac:dyDescent="0.3">
      <c r="A163" s="600"/>
      <c r="B163" s="633"/>
      <c r="C163" s="1127"/>
      <c r="D163" s="1127"/>
      <c r="E163" s="1127"/>
      <c r="F163" s="1127"/>
      <c r="G163" s="63"/>
      <c r="H163" s="63"/>
      <c r="I163" s="63"/>
      <c r="J163" s="63"/>
      <c r="K163" s="1127"/>
      <c r="L163" s="63"/>
      <c r="M163" s="63"/>
      <c r="N163" s="63"/>
      <c r="O163" s="63"/>
      <c r="P163" s="1127"/>
      <c r="Q163" s="63"/>
      <c r="R163" s="63"/>
      <c r="S163" s="63"/>
      <c r="T163" s="63"/>
      <c r="U163" s="1127"/>
      <c r="V163" s="63"/>
      <c r="W163" s="63"/>
      <c r="X163" s="63"/>
      <c r="Y163" s="63"/>
      <c r="Z163" s="1127"/>
      <c r="AA163" s="63"/>
      <c r="AB163" s="63"/>
      <c r="AC163" s="63"/>
      <c r="AD163" s="63"/>
      <c r="AE163" s="1127"/>
      <c r="AF163" s="63"/>
      <c r="AG163" s="63"/>
      <c r="AH163" s="63"/>
      <c r="AI163" s="63"/>
      <c r="AJ163" s="1127"/>
      <c r="AK163" s="63"/>
      <c r="AL163" s="63"/>
      <c r="AM163" s="63"/>
      <c r="AN163" s="63"/>
      <c r="AO163" s="1127"/>
      <c r="AP163" s="63"/>
      <c r="AQ163" s="63"/>
      <c r="AR163" s="63"/>
      <c r="AS163" s="63"/>
      <c r="AT163" s="1127"/>
      <c r="AU163" s="63"/>
      <c r="AV163" s="63"/>
      <c r="AW163" s="63"/>
      <c r="AX163" s="63"/>
      <c r="AY163" s="1127"/>
      <c r="AZ163" s="63"/>
      <c r="BA163" s="63"/>
      <c r="BB163" s="63"/>
      <c r="BC163" s="63"/>
      <c r="BD163" s="1127"/>
      <c r="BE163" s="63"/>
      <c r="BF163" s="63"/>
      <c r="BG163" s="63"/>
      <c r="BH163" s="63"/>
      <c r="BI163" s="1127"/>
      <c r="BJ163" s="63"/>
      <c r="BK163" s="63"/>
      <c r="BL163" s="63"/>
      <c r="BM163" s="63"/>
      <c r="BN163" s="1127"/>
      <c r="BO163" s="63"/>
      <c r="BP163" s="63"/>
      <c r="BQ163" s="63"/>
      <c r="BR163" s="63"/>
      <c r="BS163" s="1127"/>
      <c r="BT163" s="63"/>
      <c r="BU163" s="63"/>
      <c r="BV163" s="63"/>
      <c r="BW163" s="63"/>
      <c r="BX163" s="1127"/>
      <c r="BY163" s="587"/>
      <c r="BZ163" s="63"/>
      <c r="CA163" s="63"/>
      <c r="CB163" s="63"/>
      <c r="CC163" s="1127"/>
      <c r="CD163" s="63"/>
      <c r="CE163" s="63"/>
      <c r="CF163" s="63"/>
      <c r="CG163" s="63"/>
      <c r="CH163" s="1127"/>
      <c r="CI163" s="1127"/>
      <c r="CJ163" s="1127"/>
      <c r="CK163" s="1127"/>
      <c r="CL163" s="155"/>
    </row>
    <row r="164" spans="1:90" hidden="1" outlineLevel="1" x14ac:dyDescent="0.3">
      <c r="A164" s="647" t="s">
        <v>827</v>
      </c>
      <c r="B164" s="670"/>
      <c r="C164" s="1128"/>
      <c r="D164" s="1128"/>
      <c r="E164" s="1128"/>
      <c r="F164" s="1128"/>
      <c r="G164" s="315"/>
      <c r="H164" s="315"/>
      <c r="I164" s="315"/>
      <c r="J164" s="315"/>
      <c r="K164" s="1128"/>
      <c r="L164" s="315"/>
      <c r="M164" s="315"/>
      <c r="N164" s="315"/>
      <c r="O164" s="315"/>
      <c r="P164" s="1128"/>
      <c r="Q164" s="315"/>
      <c r="R164" s="315"/>
      <c r="S164" s="315"/>
      <c r="T164" s="315"/>
      <c r="U164" s="1128"/>
      <c r="V164" s="315"/>
      <c r="W164" s="315"/>
      <c r="X164" s="315"/>
      <c r="Y164" s="315"/>
      <c r="Z164" s="1128"/>
      <c r="AA164" s="315"/>
      <c r="AB164" s="315"/>
      <c r="AC164" s="315"/>
      <c r="AD164" s="315"/>
      <c r="AE164" s="1128"/>
      <c r="AF164" s="315"/>
      <c r="AG164" s="315"/>
      <c r="AH164" s="315"/>
      <c r="AI164" s="315"/>
      <c r="AJ164" s="1128"/>
      <c r="AK164" s="315"/>
      <c r="AL164" s="315"/>
      <c r="AM164" s="315"/>
      <c r="AN164" s="315"/>
      <c r="AO164" s="1128"/>
      <c r="AP164" s="315">
        <f t="shared" ref="AP164:BV164" si="576">AP149/AP133</f>
        <v>0.34862385321100919</v>
      </c>
      <c r="AQ164" s="315">
        <f t="shared" si="576"/>
        <v>0.39212423738214086</v>
      </c>
      <c r="AR164" s="315">
        <f t="shared" si="576"/>
        <v>0.47978436657681939</v>
      </c>
      <c r="AS164" s="315">
        <f t="shared" si="576"/>
        <v>0.46065259117082535</v>
      </c>
      <c r="AT164" s="1128">
        <f t="shared" si="576"/>
        <v>0.42767377929048306</v>
      </c>
      <c r="AU164" s="315">
        <f t="shared" si="576"/>
        <v>0.43861490031479539</v>
      </c>
      <c r="AV164" s="315">
        <f t="shared" si="576"/>
        <v>0.4369304556354916</v>
      </c>
      <c r="AW164" s="315">
        <f t="shared" si="576"/>
        <v>0.48259777538571941</v>
      </c>
      <c r="AX164" s="315">
        <f t="shared" si="576"/>
        <v>0.49738219895287961</v>
      </c>
      <c r="AY164" s="1128">
        <f t="shared" si="576"/>
        <v>0.46898515354891196</v>
      </c>
      <c r="AZ164" s="315">
        <f t="shared" si="576"/>
        <v>0.51753115039119091</v>
      </c>
      <c r="BA164" s="315">
        <f t="shared" si="576"/>
        <v>0.54440747376503706</v>
      </c>
      <c r="BB164" s="315">
        <f t="shared" si="576"/>
        <v>0.52785923753665687</v>
      </c>
      <c r="BC164" s="315">
        <f t="shared" si="576"/>
        <v>0.54753282028066996</v>
      </c>
      <c r="BD164" s="1128">
        <f t="shared" si="576"/>
        <v>0.53516511217544749</v>
      </c>
      <c r="BE164" s="315">
        <f t="shared" si="576"/>
        <v>0.53639514731369153</v>
      </c>
      <c r="BF164" s="315">
        <f t="shared" si="576"/>
        <v>0.23489452985341439</v>
      </c>
      <c r="BG164" s="315">
        <f t="shared" si="576"/>
        <v>0.28652482269503549</v>
      </c>
      <c r="BH164" s="315">
        <f t="shared" si="576"/>
        <v>0.34188393608074014</v>
      </c>
      <c r="BI164" s="1128">
        <f t="shared" si="576"/>
        <v>0.3823282378632622</v>
      </c>
      <c r="BJ164" s="315">
        <f t="shared" si="576"/>
        <v>0.3828696925329429</v>
      </c>
      <c r="BK164" s="315">
        <f t="shared" si="576"/>
        <v>0.39001610305958134</v>
      </c>
      <c r="BL164" s="315">
        <f t="shared" si="576"/>
        <v>0.42964028776978419</v>
      </c>
      <c r="BM164" s="315">
        <f t="shared" si="576"/>
        <v>0.49845422116527943</v>
      </c>
      <c r="BN164" s="1128">
        <f t="shared" si="576"/>
        <v>0.43249241695642526</v>
      </c>
      <c r="BO164" s="315">
        <f t="shared" si="576"/>
        <v>0.36835856337192047</v>
      </c>
      <c r="BP164" s="315">
        <f t="shared" si="576"/>
        <v>0.38091263216471899</v>
      </c>
      <c r="BQ164" s="315">
        <f t="shared" si="576"/>
        <v>0.37123084527928818</v>
      </c>
      <c r="BR164" s="315">
        <f t="shared" si="576"/>
        <v>0.29529590288315632</v>
      </c>
      <c r="BS164" s="1128">
        <f t="shared" si="576"/>
        <v>0.35549496644295303</v>
      </c>
      <c r="BT164" s="315">
        <f t="shared" si="576"/>
        <v>0.36664431030628214</v>
      </c>
      <c r="BU164" s="315">
        <f t="shared" si="576"/>
        <v>0.41426459719142644</v>
      </c>
      <c r="BV164" s="315">
        <f t="shared" si="576"/>
        <v>0.41751393899639228</v>
      </c>
      <c r="BW164" s="315">
        <f t="shared" ref="BW164:BY164" si="577">BW149/BW133</f>
        <v>0.42124768375540456</v>
      </c>
      <c r="BX164" s="1128">
        <f t="shared" si="577"/>
        <v>0.40767620998263504</v>
      </c>
      <c r="BY164" s="897">
        <f t="shared" si="577"/>
        <v>0.41627742392073602</v>
      </c>
      <c r="BZ164" s="315"/>
      <c r="CA164" s="315"/>
      <c r="CB164" s="315"/>
      <c r="CC164" s="1128"/>
      <c r="CD164" s="315"/>
      <c r="CE164" s="315"/>
      <c r="CF164" s="315"/>
      <c r="CG164" s="315"/>
      <c r="CH164" s="1128"/>
      <c r="CI164" s="1128"/>
      <c r="CJ164" s="1128"/>
      <c r="CK164" s="1128"/>
      <c r="CL164" s="155"/>
    </row>
    <row r="165" spans="1:90" hidden="1" outlineLevel="1" x14ac:dyDescent="0.3">
      <c r="A165" s="647" t="s">
        <v>829</v>
      </c>
      <c r="B165" s="670"/>
      <c r="C165" s="1128"/>
      <c r="D165" s="1128"/>
      <c r="E165" s="1128"/>
      <c r="F165" s="1128"/>
      <c r="G165" s="315"/>
      <c r="H165" s="315"/>
      <c r="I165" s="315"/>
      <c r="J165" s="315"/>
      <c r="K165" s="1128"/>
      <c r="L165" s="315"/>
      <c r="M165" s="315"/>
      <c r="N165" s="315"/>
      <c r="O165" s="315"/>
      <c r="P165" s="1128"/>
      <c r="Q165" s="315"/>
      <c r="R165" s="315"/>
      <c r="S165" s="315"/>
      <c r="T165" s="315"/>
      <c r="U165" s="1128"/>
      <c r="V165" s="315"/>
      <c r="W165" s="315"/>
      <c r="X165" s="315"/>
      <c r="Y165" s="315"/>
      <c r="Z165" s="1128"/>
      <c r="AA165" s="315"/>
      <c r="AB165" s="315"/>
      <c r="AC165" s="315"/>
      <c r="AD165" s="315"/>
      <c r="AE165" s="1128"/>
      <c r="AF165" s="315"/>
      <c r="AG165" s="315"/>
      <c r="AH165" s="315"/>
      <c r="AI165" s="315"/>
      <c r="AJ165" s="1128"/>
      <c r="AK165" s="315"/>
      <c r="AL165" s="315"/>
      <c r="AM165" s="315"/>
      <c r="AN165" s="315"/>
      <c r="AO165" s="1128"/>
      <c r="AP165" s="315">
        <f t="shared" ref="AP165:BV165" si="578">AP150/AP134</f>
        <v>0.13688760806916425</v>
      </c>
      <c r="AQ165" s="315">
        <f t="shared" si="578"/>
        <v>0.21134020618556701</v>
      </c>
      <c r="AR165" s="315">
        <f t="shared" si="578"/>
        <v>0.20050761421319796</v>
      </c>
      <c r="AS165" s="315">
        <f t="shared" si="578"/>
        <v>0.32713026444662097</v>
      </c>
      <c r="AT165" s="1128">
        <f t="shared" si="578"/>
        <v>0.229033241842025</v>
      </c>
      <c r="AU165" s="315">
        <f t="shared" si="578"/>
        <v>0.38415672913117549</v>
      </c>
      <c r="AV165" s="315">
        <f t="shared" si="578"/>
        <v>0.38798427849522737</v>
      </c>
      <c r="AW165" s="315">
        <f t="shared" si="578"/>
        <v>0.38060856111397628</v>
      </c>
      <c r="AX165" s="315">
        <f t="shared" si="578"/>
        <v>0.3430919363122753</v>
      </c>
      <c r="AY165" s="1128">
        <f t="shared" si="578"/>
        <v>0.37246016664230375</v>
      </c>
      <c r="AZ165" s="315">
        <f t="shared" si="578"/>
        <v>0.38959276018099548</v>
      </c>
      <c r="BA165" s="315">
        <f t="shared" si="578"/>
        <v>0.39769230769230768</v>
      </c>
      <c r="BB165" s="315">
        <f t="shared" si="578"/>
        <v>0.44237794752573895</v>
      </c>
      <c r="BC165" s="315">
        <f t="shared" si="578"/>
        <v>0.42511627906976746</v>
      </c>
      <c r="BD165" s="1128">
        <f t="shared" si="578"/>
        <v>0.41625927937715013</v>
      </c>
      <c r="BE165" s="315">
        <f t="shared" si="578"/>
        <v>0.43736383442265797</v>
      </c>
      <c r="BF165" s="315">
        <f t="shared" si="578"/>
        <v>0.20885589966726389</v>
      </c>
      <c r="BG165" s="315">
        <f t="shared" si="578"/>
        <v>0.28459119496855345</v>
      </c>
      <c r="BH165" s="315">
        <f t="shared" si="578"/>
        <v>0.42880479172338687</v>
      </c>
      <c r="BI165" s="1128">
        <f t="shared" si="578"/>
        <v>0.33733740376957794</v>
      </c>
      <c r="BJ165" s="315">
        <f t="shared" si="578"/>
        <v>0.48430493273542602</v>
      </c>
      <c r="BK165" s="315">
        <f t="shared" si="578"/>
        <v>0.64679869255912326</v>
      </c>
      <c r="BL165" s="315">
        <f t="shared" si="578"/>
        <v>0.70071696824854901</v>
      </c>
      <c r="BM165" s="315">
        <f t="shared" si="578"/>
        <v>0.71885126829813384</v>
      </c>
      <c r="BN165" s="1128">
        <f t="shared" si="578"/>
        <v>0.67537179622402699</v>
      </c>
      <c r="BO165" s="315">
        <f t="shared" si="578"/>
        <v>0.75179713340683574</v>
      </c>
      <c r="BP165" s="315">
        <f t="shared" si="578"/>
        <v>0.71269757241170684</v>
      </c>
      <c r="BQ165" s="315">
        <f t="shared" si="578"/>
        <v>0.71146410619925249</v>
      </c>
      <c r="BR165" s="315">
        <f t="shared" si="578"/>
        <v>0.69094794094794099</v>
      </c>
      <c r="BS165" s="1128">
        <f t="shared" si="578"/>
        <v>0.71325294983346677</v>
      </c>
      <c r="BT165" s="315">
        <f t="shared" si="578"/>
        <v>0.55707393467882493</v>
      </c>
      <c r="BU165" s="315">
        <f t="shared" si="578"/>
        <v>0.68624035227795122</v>
      </c>
      <c r="BV165" s="315">
        <f t="shared" si="578"/>
        <v>0.70167753594719884</v>
      </c>
      <c r="BW165" s="315">
        <f t="shared" ref="BW165:BY165" si="579">BW150/BW134</f>
        <v>0.71374349158975525</v>
      </c>
      <c r="BX165" s="1128">
        <f t="shared" si="579"/>
        <v>0.6726363067826483</v>
      </c>
      <c r="BY165" s="897">
        <f t="shared" si="579"/>
        <v>0.7154258886653253</v>
      </c>
      <c r="BZ165" s="315"/>
      <c r="CA165" s="315"/>
      <c r="CB165" s="315"/>
      <c r="CC165" s="1128"/>
      <c r="CD165" s="315"/>
      <c r="CE165" s="315"/>
      <c r="CF165" s="315"/>
      <c r="CG165" s="315"/>
      <c r="CH165" s="1128"/>
      <c r="CI165" s="1128"/>
      <c r="CJ165" s="1128"/>
      <c r="CK165" s="1128"/>
      <c r="CL165" s="155"/>
    </row>
    <row r="166" spans="1:90" hidden="1" outlineLevel="1" x14ac:dyDescent="0.3">
      <c r="A166" s="666" t="s">
        <v>828</v>
      </c>
      <c r="B166" s="673"/>
      <c r="C166" s="1135"/>
      <c r="D166" s="1135"/>
      <c r="E166" s="1135"/>
      <c r="F166" s="1135"/>
      <c r="G166" s="675"/>
      <c r="H166" s="675"/>
      <c r="I166" s="675"/>
      <c r="J166" s="675"/>
      <c r="K166" s="1135"/>
      <c r="L166" s="675"/>
      <c r="M166" s="675"/>
      <c r="N166" s="675"/>
      <c r="O166" s="675"/>
      <c r="P166" s="1135"/>
      <c r="Q166" s="675"/>
      <c r="R166" s="675"/>
      <c r="S166" s="675"/>
      <c r="T166" s="675"/>
      <c r="U166" s="1135"/>
      <c r="V166" s="675"/>
      <c r="W166" s="675"/>
      <c r="X166" s="675"/>
      <c r="Y166" s="675"/>
      <c r="Z166" s="1135"/>
      <c r="AA166" s="675"/>
      <c r="AB166" s="675"/>
      <c r="AC166" s="675"/>
      <c r="AD166" s="675"/>
      <c r="AE166" s="1135"/>
      <c r="AF166" s="675"/>
      <c r="AG166" s="675"/>
      <c r="AH166" s="675"/>
      <c r="AI166" s="675"/>
      <c r="AJ166" s="1135"/>
      <c r="AK166" s="675"/>
      <c r="AL166" s="675"/>
      <c r="AM166" s="675"/>
      <c r="AN166" s="675"/>
      <c r="AO166" s="1135"/>
      <c r="AP166" s="675">
        <f t="shared" ref="AP166:BP166" si="580">AP162/AP135</f>
        <v>0.16126126126126125</v>
      </c>
      <c r="AQ166" s="675">
        <f t="shared" si="580"/>
        <v>0.22140364482357502</v>
      </c>
      <c r="AR166" s="675">
        <f t="shared" si="580"/>
        <v>0.30756469807564696</v>
      </c>
      <c r="AS166" s="675">
        <f t="shared" si="580"/>
        <v>0.3188405797101449</v>
      </c>
      <c r="AT166" s="1135">
        <f t="shared" si="580"/>
        <v>0.2606704524638212</v>
      </c>
      <c r="AU166" s="675">
        <f t="shared" si="580"/>
        <v>0.31688311688311688</v>
      </c>
      <c r="AV166" s="675">
        <f t="shared" si="580"/>
        <v>0.16839110191412313</v>
      </c>
      <c r="AW166" s="675">
        <f t="shared" si="580"/>
        <v>0.29581041049513329</v>
      </c>
      <c r="AX166" s="675">
        <f t="shared" si="580"/>
        <v>0.30121926843893665</v>
      </c>
      <c r="AY166" s="1135">
        <f t="shared" si="580"/>
        <v>0.27178410794602698</v>
      </c>
      <c r="AZ166" s="675">
        <f t="shared" si="580"/>
        <v>0.34552199258081612</v>
      </c>
      <c r="BA166" s="675">
        <f t="shared" si="580"/>
        <v>0.37559551252497309</v>
      </c>
      <c r="BB166" s="675">
        <f t="shared" si="580"/>
        <v>0.37603829367872732</v>
      </c>
      <c r="BC166" s="675">
        <f t="shared" si="580"/>
        <v>0.38859086746042132</v>
      </c>
      <c r="BD166" s="1135">
        <f t="shared" si="580"/>
        <v>0.37307720888756779</v>
      </c>
      <c r="BE166" s="675">
        <f t="shared" si="580"/>
        <v>0.22538610038610038</v>
      </c>
      <c r="BF166" s="675">
        <f t="shared" si="580"/>
        <v>7.4433174224343673E-2</v>
      </c>
      <c r="BG166" s="675">
        <f t="shared" si="580"/>
        <v>0.10133198448828191</v>
      </c>
      <c r="BH166" s="675">
        <f t="shared" si="580"/>
        <v>0.20756899686002314</v>
      </c>
      <c r="BI166" s="1135">
        <f t="shared" si="580"/>
        <v>0.1565952398606065</v>
      </c>
      <c r="BJ166" s="675">
        <f t="shared" si="580"/>
        <v>0.29755283648498332</v>
      </c>
      <c r="BK166" s="675">
        <f t="shared" si="580"/>
        <v>0.50344265936181243</v>
      </c>
      <c r="BL166" s="675">
        <f t="shared" si="580"/>
        <v>0.5748896247240618</v>
      </c>
      <c r="BM166" s="675">
        <f t="shared" si="580"/>
        <v>0.61597973125820027</v>
      </c>
      <c r="BN166" s="1135">
        <f t="shared" si="580"/>
        <v>0.54121663766783756</v>
      </c>
      <c r="BO166" s="675">
        <f t="shared" si="580"/>
        <v>0.64924742743050223</v>
      </c>
      <c r="BP166" s="675">
        <f t="shared" si="580"/>
        <v>0.62057256990679099</v>
      </c>
      <c r="BQ166" s="675">
        <f t="shared" ref="BQ166" si="581">BQ162/BQ135</f>
        <v>0.62336810900176731</v>
      </c>
      <c r="BR166" s="675">
        <f t="shared" ref="BR166:BV166" si="582">BR162/BR135</f>
        <v>0.61104472299204193</v>
      </c>
      <c r="BS166" s="1135">
        <f t="shared" si="582"/>
        <v>0.62417526839697468</v>
      </c>
      <c r="BT166" s="675">
        <f t="shared" si="582"/>
        <v>0.49108074985248057</v>
      </c>
      <c r="BU166" s="675">
        <f t="shared" si="582"/>
        <v>0.60843334830883766</v>
      </c>
      <c r="BV166" s="675">
        <f t="shared" si="582"/>
        <v>0.63168789250254365</v>
      </c>
      <c r="BW166" s="675">
        <f t="shared" ref="BW166:BY166" si="583">BW162/BW135</f>
        <v>0.65024146080115075</v>
      </c>
      <c r="BX166" s="1135">
        <f t="shared" si="583"/>
        <v>0.60381683631412719</v>
      </c>
      <c r="BY166" s="900">
        <f t="shared" si="583"/>
        <v>0.65595785088525393</v>
      </c>
      <c r="BZ166" s="675"/>
      <c r="CA166" s="675"/>
      <c r="CB166" s="675"/>
      <c r="CC166" s="1135"/>
      <c r="CD166" s="675"/>
      <c r="CE166" s="675"/>
      <c r="CF166" s="675"/>
      <c r="CG166" s="675"/>
      <c r="CH166" s="1135"/>
      <c r="CI166" s="1135"/>
      <c r="CJ166" s="1135"/>
      <c r="CK166" s="1135"/>
      <c r="CL166" s="155"/>
    </row>
    <row r="167" spans="1:90" hidden="1" outlineLevel="1" x14ac:dyDescent="0.3">
      <c r="A167" s="600"/>
      <c r="B167" s="633"/>
      <c r="C167" s="1127"/>
      <c r="D167" s="1127"/>
      <c r="E167" s="1127"/>
      <c r="F167" s="1127"/>
      <c r="G167" s="63"/>
      <c r="H167" s="63"/>
      <c r="I167" s="63"/>
      <c r="J167" s="63"/>
      <c r="K167" s="1127"/>
      <c r="L167" s="63"/>
      <c r="M167" s="63"/>
      <c r="N167" s="63"/>
      <c r="O167" s="63"/>
      <c r="P167" s="1127"/>
      <c r="Q167" s="63"/>
      <c r="R167" s="63"/>
      <c r="S167" s="63"/>
      <c r="T167" s="63"/>
      <c r="U167" s="1127"/>
      <c r="V167" s="63"/>
      <c r="W167" s="63"/>
      <c r="X167" s="63"/>
      <c r="Y167" s="63"/>
      <c r="Z167" s="1127"/>
      <c r="AA167" s="63"/>
      <c r="AB167" s="63"/>
      <c r="AC167" s="63"/>
      <c r="AD167" s="63"/>
      <c r="AE167" s="1127"/>
      <c r="AF167" s="63"/>
      <c r="AG167" s="63"/>
      <c r="AH167" s="63"/>
      <c r="AI167" s="63"/>
      <c r="AJ167" s="1127"/>
      <c r="AK167" s="63"/>
      <c r="AL167" s="63"/>
      <c r="AM167" s="63"/>
      <c r="AN167" s="63"/>
      <c r="AO167" s="1127"/>
      <c r="AP167" s="63"/>
      <c r="AQ167" s="63"/>
      <c r="AR167" s="63"/>
      <c r="AS167" s="63"/>
      <c r="AT167" s="1127"/>
      <c r="AU167" s="63"/>
      <c r="AV167" s="63"/>
      <c r="AW167" s="63"/>
      <c r="AX167" s="63"/>
      <c r="AY167" s="1127"/>
      <c r="AZ167" s="63"/>
      <c r="BA167" s="63"/>
      <c r="BB167" s="63"/>
      <c r="BC167" s="63"/>
      <c r="BD167" s="1127"/>
      <c r="BE167" s="63"/>
      <c r="BF167" s="63"/>
      <c r="BG167" s="63"/>
      <c r="BH167" s="63"/>
      <c r="BI167" s="1127"/>
      <c r="BJ167" s="63"/>
      <c r="BK167" s="63"/>
      <c r="BL167" s="63"/>
      <c r="BM167" s="63"/>
      <c r="BN167" s="1127"/>
      <c r="BO167" s="63"/>
      <c r="BP167" s="63"/>
      <c r="BQ167" s="63"/>
      <c r="BR167" s="63"/>
      <c r="BS167" s="1127"/>
      <c r="BT167" s="63"/>
      <c r="BU167" s="63"/>
      <c r="BV167" s="63"/>
      <c r="BW167" s="63"/>
      <c r="BX167" s="1127"/>
      <c r="BY167" s="587"/>
      <c r="BZ167" s="63"/>
      <c r="CA167" s="63"/>
      <c r="CB167" s="63"/>
      <c r="CC167" s="1127"/>
      <c r="CD167" s="63"/>
      <c r="CE167" s="63"/>
      <c r="CF167" s="63"/>
      <c r="CG167" s="63"/>
      <c r="CH167" s="1127"/>
      <c r="CI167" s="1127"/>
      <c r="CJ167" s="1127"/>
      <c r="CK167" s="1127"/>
      <c r="CL167" s="155"/>
    </row>
    <row r="168" spans="1:90" hidden="1" outlineLevel="1" x14ac:dyDescent="0.3">
      <c r="A168" s="99" t="s">
        <v>636</v>
      </c>
      <c r="B168" s="602"/>
      <c r="C168" s="1112"/>
      <c r="D168" s="1112"/>
      <c r="E168" s="1113">
        <v>152.09399999999999</v>
      </c>
      <c r="F168" s="1113">
        <v>122.417</v>
      </c>
      <c r="G168" s="1055">
        <v>31.061</v>
      </c>
      <c r="H168" s="1055">
        <v>31.396999999999998</v>
      </c>
      <c r="I168" s="1055">
        <v>32.375</v>
      </c>
      <c r="J168" s="68">
        <f>K168-SUM(G168,H168,I168)</f>
        <v>32.864999999999995</v>
      </c>
      <c r="K168" s="1113">
        <v>127.69799999999999</v>
      </c>
      <c r="L168" s="1055">
        <v>38.847999999999999</v>
      </c>
      <c r="M168" s="1055">
        <v>36.000999999999998</v>
      </c>
      <c r="N168" s="1055">
        <v>38.677</v>
      </c>
      <c r="O168" s="68">
        <f>P168-SUM(L168,M168,N168)</f>
        <v>33.045000000000016</v>
      </c>
      <c r="P168" s="1113">
        <v>146.571</v>
      </c>
      <c r="Q168" s="1055">
        <v>30</v>
      </c>
      <c r="R168" s="1055">
        <v>29</v>
      </c>
      <c r="S168" s="1055">
        <v>29</v>
      </c>
      <c r="T168" s="68">
        <f>U168-SUM(Q168,R168,S168)</f>
        <v>29</v>
      </c>
      <c r="U168" s="1113">
        <v>117</v>
      </c>
      <c r="V168" s="1055">
        <v>28</v>
      </c>
      <c r="W168" s="1055">
        <v>27</v>
      </c>
      <c r="X168" s="1055">
        <v>26</v>
      </c>
      <c r="Y168" s="68">
        <f>Z168-SUM(V168,W168,X168)</f>
        <v>29</v>
      </c>
      <c r="Z168" s="1113">
        <v>110</v>
      </c>
      <c r="AA168" s="1055">
        <v>28</v>
      </c>
      <c r="AB168" s="1055">
        <v>29</v>
      </c>
      <c r="AC168" s="1055">
        <v>30</v>
      </c>
      <c r="AD168" s="68">
        <f>AE168-SUM(AA168,AB168,AC168)</f>
        <v>29</v>
      </c>
      <c r="AE168" s="1113">
        <v>116</v>
      </c>
      <c r="AF168" s="1055">
        <v>28</v>
      </c>
      <c r="AG168" s="1055">
        <v>29</v>
      </c>
      <c r="AH168" s="1055">
        <v>32</v>
      </c>
      <c r="AI168" s="68">
        <f>AJ168-SUM(AF168,AG168,AH168)</f>
        <v>34</v>
      </c>
      <c r="AJ168" s="1113">
        <v>123</v>
      </c>
      <c r="AK168" s="1055">
        <v>40</v>
      </c>
      <c r="AL168" s="1055">
        <v>43</v>
      </c>
      <c r="AM168" s="1055">
        <v>51</v>
      </c>
      <c r="AN168" s="68">
        <f>AO168-SUM(AK168,AL168,AM168)</f>
        <v>63</v>
      </c>
      <c r="AO168" s="1113">
        <v>197</v>
      </c>
      <c r="AP168" s="1055">
        <v>76</v>
      </c>
      <c r="AQ168" s="1055">
        <v>76</v>
      </c>
      <c r="AR168" s="1055">
        <v>78</v>
      </c>
      <c r="AS168" s="68">
        <f>AT168-SUM(AP168,AQ168,AR168)</f>
        <v>92</v>
      </c>
      <c r="AT168" s="1113">
        <v>322</v>
      </c>
      <c r="AU168" s="68"/>
      <c r="AV168" s="68"/>
      <c r="AW168" s="68"/>
      <c r="AX168" s="68"/>
      <c r="AY168" s="1112"/>
      <c r="AZ168" s="68"/>
      <c r="BA168" s="68"/>
      <c r="BB168" s="68"/>
      <c r="BC168" s="68"/>
      <c r="BD168" s="1112"/>
      <c r="BE168" s="68"/>
      <c r="BF168" s="68"/>
      <c r="BG168" s="68"/>
      <c r="BH168" s="68"/>
      <c r="BI168" s="1112"/>
      <c r="BJ168" s="68"/>
      <c r="BK168" s="68"/>
      <c r="BL168" s="68"/>
      <c r="BM168" s="68"/>
      <c r="BN168" s="1112"/>
      <c r="BO168" s="68"/>
      <c r="BP168" s="68"/>
      <c r="BQ168" s="68"/>
      <c r="BR168" s="68"/>
      <c r="BS168" s="1112"/>
      <c r="BT168" s="68"/>
      <c r="BU168" s="68"/>
      <c r="BV168" s="68"/>
      <c r="BW168" s="68"/>
      <c r="BX168" s="1112"/>
      <c r="BY168" s="588"/>
      <c r="BZ168" s="68"/>
      <c r="CA168" s="68"/>
      <c r="CB168" s="68"/>
      <c r="CC168" s="1112"/>
      <c r="CD168" s="68"/>
      <c r="CE168" s="68"/>
      <c r="CF168" s="68"/>
      <c r="CG168" s="68"/>
      <c r="CH168" s="1112"/>
      <c r="CI168" s="1112"/>
      <c r="CJ168" s="1112"/>
      <c r="CK168" s="1112"/>
      <c r="CL168" s="155"/>
    </row>
    <row r="169" spans="1:90" hidden="1" outlineLevel="1" x14ac:dyDescent="0.3">
      <c r="A169" s="99" t="s">
        <v>637</v>
      </c>
      <c r="B169" s="602"/>
      <c r="C169" s="1112"/>
      <c r="D169" s="1112"/>
      <c r="E169" s="1113">
        <v>19.081</v>
      </c>
      <c r="F169" s="1113">
        <v>42.365000000000002</v>
      </c>
      <c r="G169" s="1055">
        <v>12.718</v>
      </c>
      <c r="H169" s="1055">
        <v>14.4</v>
      </c>
      <c r="I169" s="1055">
        <v>14.087</v>
      </c>
      <c r="J169" s="68">
        <f>K169-SUM(G169,H169,I169)</f>
        <v>14.899999999999999</v>
      </c>
      <c r="K169" s="1113">
        <v>56.104999999999997</v>
      </c>
      <c r="L169" s="1055">
        <v>10.670999999999999</v>
      </c>
      <c r="M169" s="1055">
        <v>15.430999999999999</v>
      </c>
      <c r="N169" s="1055">
        <v>13.164</v>
      </c>
      <c r="O169" s="68">
        <f>P169-SUM(L169,M169,N169)</f>
        <v>10.573</v>
      </c>
      <c r="P169" s="1113">
        <v>49.838999999999999</v>
      </c>
      <c r="Q169" s="1055">
        <v>14</v>
      </c>
      <c r="R169" s="1055">
        <v>15</v>
      </c>
      <c r="S169" s="1055">
        <v>15</v>
      </c>
      <c r="T169" s="68">
        <f>U169-SUM(Q169,R169,S169)</f>
        <v>13</v>
      </c>
      <c r="U169" s="1113">
        <v>57</v>
      </c>
      <c r="V169" s="1055">
        <v>14</v>
      </c>
      <c r="W169" s="1055">
        <v>11</v>
      </c>
      <c r="X169" s="1055">
        <v>11</v>
      </c>
      <c r="Y169" s="68">
        <f>Z169-SUM(V169,W169,X169)</f>
        <v>7</v>
      </c>
      <c r="Z169" s="1113">
        <v>43</v>
      </c>
      <c r="AA169" s="1055">
        <v>7</v>
      </c>
      <c r="AB169" s="1055">
        <v>7</v>
      </c>
      <c r="AC169" s="1055">
        <v>8</v>
      </c>
      <c r="AD169" s="68">
        <f>AE169-SUM(AA169,AB169,AC169)</f>
        <v>7</v>
      </c>
      <c r="AE169" s="1113">
        <v>29</v>
      </c>
      <c r="AF169" s="1055">
        <v>9</v>
      </c>
      <c r="AG169" s="1055">
        <v>9</v>
      </c>
      <c r="AH169" s="1055">
        <v>9</v>
      </c>
      <c r="AI169" s="68">
        <f>AJ169-SUM(AF169,AG169,AH169)</f>
        <v>10</v>
      </c>
      <c r="AJ169" s="1113">
        <v>37</v>
      </c>
      <c r="AK169" s="1055">
        <v>10</v>
      </c>
      <c r="AL169" s="1055">
        <v>12</v>
      </c>
      <c r="AM169" s="1055">
        <v>13</v>
      </c>
      <c r="AN169" s="68">
        <f>AO169-SUM(AK169,AL169,AM169)</f>
        <v>12</v>
      </c>
      <c r="AO169" s="1113">
        <v>47</v>
      </c>
      <c r="AP169" s="1055">
        <v>12</v>
      </c>
      <c r="AQ169" s="1055">
        <v>12</v>
      </c>
      <c r="AR169" s="1055">
        <v>10</v>
      </c>
      <c r="AS169" s="68">
        <f>AT169-SUM(AP169,AQ169,AR169)</f>
        <v>10</v>
      </c>
      <c r="AT169" s="1113">
        <v>44</v>
      </c>
      <c r="AU169" s="68"/>
      <c r="AV169" s="68"/>
      <c r="AW169" s="68"/>
      <c r="AX169" s="68"/>
      <c r="AY169" s="1112"/>
      <c r="AZ169" s="68"/>
      <c r="BA169" s="68"/>
      <c r="BB169" s="68"/>
      <c r="BC169" s="68"/>
      <c r="BD169" s="1112"/>
      <c r="BE169" s="68"/>
      <c r="BF169" s="68"/>
      <c r="BG169" s="68"/>
      <c r="BH169" s="68"/>
      <c r="BI169" s="1112"/>
      <c r="BJ169" s="68"/>
      <c r="BK169" s="68"/>
      <c r="BL169" s="68"/>
      <c r="BM169" s="68"/>
      <c r="BN169" s="1112"/>
      <c r="BO169" s="68"/>
      <c r="BP169" s="68"/>
      <c r="BQ169" s="68"/>
      <c r="BR169" s="68"/>
      <c r="BS169" s="1112"/>
      <c r="BT169" s="68"/>
      <c r="BU169" s="68"/>
      <c r="BV169" s="68"/>
      <c r="BW169" s="68"/>
      <c r="BX169" s="1112"/>
      <c r="BY169" s="588"/>
      <c r="BZ169" s="68"/>
      <c r="CA169" s="68"/>
      <c r="CB169" s="68"/>
      <c r="CC169" s="1112"/>
      <c r="CD169" s="68"/>
      <c r="CE169" s="68"/>
      <c r="CF169" s="68"/>
      <c r="CG169" s="68"/>
      <c r="CH169" s="1112"/>
      <c r="CI169" s="1112"/>
      <c r="CJ169" s="1112"/>
      <c r="CK169" s="1112"/>
      <c r="CL169" s="155"/>
    </row>
    <row r="170" spans="1:90" hidden="1" outlineLevel="1" x14ac:dyDescent="0.3">
      <c r="A170" s="99" t="s">
        <v>638</v>
      </c>
      <c r="B170" s="602"/>
      <c r="C170" s="1112"/>
      <c r="D170" s="1112"/>
      <c r="E170" s="1113">
        <v>15.814</v>
      </c>
      <c r="F170" s="1113">
        <v>39.423000000000002</v>
      </c>
      <c r="G170" s="1055">
        <v>10.712</v>
      </c>
      <c r="H170" s="1055">
        <v>10.398</v>
      </c>
      <c r="I170" s="1055">
        <v>10.686</v>
      </c>
      <c r="J170" s="68">
        <f>K170-SUM(G170,H170,I170)</f>
        <v>10.636000000000003</v>
      </c>
      <c r="K170" s="1113">
        <v>42.432000000000002</v>
      </c>
      <c r="L170" s="1055">
        <v>10.225</v>
      </c>
      <c r="M170" s="1055">
        <v>10.407999999999999</v>
      </c>
      <c r="N170" s="1055">
        <v>10.885</v>
      </c>
      <c r="O170" s="68">
        <f>P170-SUM(L170,M170,N170)</f>
        <v>11.219999999999999</v>
      </c>
      <c r="P170" s="1113">
        <v>42.738</v>
      </c>
      <c r="Q170" s="1055">
        <v>11</v>
      </c>
      <c r="R170" s="1055">
        <v>12</v>
      </c>
      <c r="S170" s="1055">
        <v>12</v>
      </c>
      <c r="T170" s="68">
        <f>U170-SUM(Q170,R170,S170)</f>
        <v>11</v>
      </c>
      <c r="U170" s="1113">
        <v>46</v>
      </c>
      <c r="V170" s="1055">
        <v>12</v>
      </c>
      <c r="W170" s="1055">
        <v>11</v>
      </c>
      <c r="X170" s="1055">
        <v>11</v>
      </c>
      <c r="Y170" s="68">
        <f>Z170-SUM(V170,W170,X170)</f>
        <v>10</v>
      </c>
      <c r="Z170" s="1113">
        <v>44</v>
      </c>
      <c r="AA170" s="1055">
        <v>10</v>
      </c>
      <c r="AB170" s="1055">
        <v>11</v>
      </c>
      <c r="AC170" s="1055">
        <v>10</v>
      </c>
      <c r="AD170" s="68">
        <f>AE170-SUM(AA170,AB170,AC170)</f>
        <v>11</v>
      </c>
      <c r="AE170" s="1113">
        <v>42</v>
      </c>
      <c r="AF170" s="1055">
        <v>10</v>
      </c>
      <c r="AG170" s="1055">
        <v>11</v>
      </c>
      <c r="AH170" s="1055">
        <v>9</v>
      </c>
      <c r="AI170" s="68">
        <f>AJ170-SUM(AF170,AG170,AH170)</f>
        <v>9</v>
      </c>
      <c r="AJ170" s="1113">
        <v>39</v>
      </c>
      <c r="AK170" s="1055">
        <v>7</v>
      </c>
      <c r="AL170" s="1055">
        <v>3</v>
      </c>
      <c r="AM170" s="1055">
        <v>4</v>
      </c>
      <c r="AN170" s="68">
        <f>AO170-SUM(AK170,AL170,AM170)</f>
        <v>4</v>
      </c>
      <c r="AO170" s="1113">
        <v>18</v>
      </c>
      <c r="AP170" s="1055">
        <v>3</v>
      </c>
      <c r="AQ170" s="1055">
        <v>4</v>
      </c>
      <c r="AR170" s="1055">
        <v>4</v>
      </c>
      <c r="AS170" s="68">
        <f>AT170-SUM(AP170,AQ170,AR170)</f>
        <v>4</v>
      </c>
      <c r="AT170" s="1113">
        <v>15</v>
      </c>
      <c r="AU170" s="68"/>
      <c r="AV170" s="68"/>
      <c r="AW170" s="68"/>
      <c r="AX170" s="68"/>
      <c r="AY170" s="1112"/>
      <c r="AZ170" s="68"/>
      <c r="BA170" s="68"/>
      <c r="BB170" s="68"/>
      <c r="BC170" s="68"/>
      <c r="BD170" s="1112"/>
      <c r="BE170" s="68"/>
      <c r="BF170" s="68"/>
      <c r="BG170" s="68"/>
      <c r="BH170" s="68"/>
      <c r="BI170" s="1112"/>
      <c r="BJ170" s="68"/>
      <c r="BK170" s="68"/>
      <c r="BL170" s="68"/>
      <c r="BM170" s="68"/>
      <c r="BN170" s="1112"/>
      <c r="BO170" s="68"/>
      <c r="BP170" s="68"/>
      <c r="BQ170" s="68"/>
      <c r="BR170" s="68"/>
      <c r="BS170" s="1112"/>
      <c r="BT170" s="68"/>
      <c r="BU170" s="68"/>
      <c r="BV170" s="68"/>
      <c r="BW170" s="68"/>
      <c r="BX170" s="1112"/>
      <c r="BY170" s="588"/>
      <c r="BZ170" s="68"/>
      <c r="CA170" s="68"/>
      <c r="CB170" s="68"/>
      <c r="CC170" s="1112"/>
      <c r="CD170" s="68"/>
      <c r="CE170" s="68"/>
      <c r="CF170" s="68"/>
      <c r="CG170" s="68"/>
      <c r="CH170" s="1112"/>
      <c r="CI170" s="1112"/>
      <c r="CJ170" s="1112"/>
      <c r="CK170" s="1112"/>
      <c r="CL170" s="155"/>
    </row>
    <row r="171" spans="1:90" hidden="1" outlineLevel="1" x14ac:dyDescent="0.3">
      <c r="A171" s="631" t="s">
        <v>639</v>
      </c>
      <c r="B171" s="604"/>
      <c r="C171" s="1124"/>
      <c r="D171" s="1124"/>
      <c r="E171" s="1124">
        <f t="shared" ref="E171:AT171" si="584">SUM(E168:E170)</f>
        <v>186.98899999999998</v>
      </c>
      <c r="F171" s="1124">
        <f t="shared" si="584"/>
        <v>204.20500000000001</v>
      </c>
      <c r="G171" s="61">
        <f t="shared" si="584"/>
        <v>54.491</v>
      </c>
      <c r="H171" s="61">
        <f t="shared" si="584"/>
        <v>56.194999999999993</v>
      </c>
      <c r="I171" s="61">
        <f t="shared" si="584"/>
        <v>57.148000000000003</v>
      </c>
      <c r="J171" s="61">
        <f t="shared" si="584"/>
        <v>58.400999999999996</v>
      </c>
      <c r="K171" s="1124">
        <f t="shared" si="584"/>
        <v>226.23500000000001</v>
      </c>
      <c r="L171" s="61">
        <f t="shared" si="584"/>
        <v>59.744</v>
      </c>
      <c r="M171" s="61">
        <f t="shared" si="584"/>
        <v>61.839999999999996</v>
      </c>
      <c r="N171" s="61">
        <f t="shared" si="584"/>
        <v>62.725999999999999</v>
      </c>
      <c r="O171" s="61">
        <f t="shared" si="584"/>
        <v>54.838000000000015</v>
      </c>
      <c r="P171" s="1124">
        <f t="shared" si="584"/>
        <v>239.148</v>
      </c>
      <c r="Q171" s="61">
        <f t="shared" si="584"/>
        <v>55</v>
      </c>
      <c r="R171" s="61">
        <f t="shared" si="584"/>
        <v>56</v>
      </c>
      <c r="S171" s="61">
        <f t="shared" si="584"/>
        <v>56</v>
      </c>
      <c r="T171" s="61">
        <f t="shared" si="584"/>
        <v>53</v>
      </c>
      <c r="U171" s="1124">
        <f t="shared" si="584"/>
        <v>220</v>
      </c>
      <c r="V171" s="61">
        <f t="shared" si="584"/>
        <v>54</v>
      </c>
      <c r="W171" s="61">
        <f t="shared" si="584"/>
        <v>49</v>
      </c>
      <c r="X171" s="61">
        <f t="shared" si="584"/>
        <v>48</v>
      </c>
      <c r="Y171" s="61">
        <f t="shared" si="584"/>
        <v>46</v>
      </c>
      <c r="Z171" s="1124">
        <f t="shared" si="584"/>
        <v>197</v>
      </c>
      <c r="AA171" s="61">
        <f t="shared" si="584"/>
        <v>45</v>
      </c>
      <c r="AB171" s="61">
        <f t="shared" si="584"/>
        <v>47</v>
      </c>
      <c r="AC171" s="61">
        <f t="shared" si="584"/>
        <v>48</v>
      </c>
      <c r="AD171" s="61">
        <f t="shared" si="584"/>
        <v>47</v>
      </c>
      <c r="AE171" s="1124">
        <f t="shared" si="584"/>
        <v>187</v>
      </c>
      <c r="AF171" s="61">
        <f t="shared" si="584"/>
        <v>47</v>
      </c>
      <c r="AG171" s="61">
        <f t="shared" si="584"/>
        <v>49</v>
      </c>
      <c r="AH171" s="61">
        <f t="shared" si="584"/>
        <v>50</v>
      </c>
      <c r="AI171" s="61">
        <f t="shared" si="584"/>
        <v>53</v>
      </c>
      <c r="AJ171" s="1124">
        <f t="shared" si="584"/>
        <v>199</v>
      </c>
      <c r="AK171" s="61">
        <f t="shared" si="584"/>
        <v>57</v>
      </c>
      <c r="AL171" s="61">
        <f t="shared" si="584"/>
        <v>58</v>
      </c>
      <c r="AM171" s="61">
        <f t="shared" si="584"/>
        <v>68</v>
      </c>
      <c r="AN171" s="61">
        <f t="shared" si="584"/>
        <v>79</v>
      </c>
      <c r="AO171" s="1124">
        <f t="shared" si="584"/>
        <v>262</v>
      </c>
      <c r="AP171" s="61">
        <f t="shared" si="584"/>
        <v>91</v>
      </c>
      <c r="AQ171" s="61">
        <f t="shared" si="584"/>
        <v>92</v>
      </c>
      <c r="AR171" s="61">
        <f t="shared" si="584"/>
        <v>92</v>
      </c>
      <c r="AS171" s="61">
        <f t="shared" si="584"/>
        <v>106</v>
      </c>
      <c r="AT171" s="1124">
        <f t="shared" si="584"/>
        <v>381</v>
      </c>
      <c r="AU171" s="61"/>
      <c r="AV171" s="61"/>
      <c r="AW171" s="61"/>
      <c r="AX171" s="61"/>
      <c r="AY171" s="1124"/>
      <c r="AZ171" s="61"/>
      <c r="BA171" s="61"/>
      <c r="BB171" s="61"/>
      <c r="BC171" s="61"/>
      <c r="BD171" s="1124"/>
      <c r="BE171" s="61"/>
      <c r="BF171" s="61"/>
      <c r="BG171" s="61"/>
      <c r="BH171" s="61"/>
      <c r="BI171" s="1124"/>
      <c r="BJ171" s="61"/>
      <c r="BK171" s="61"/>
      <c r="BL171" s="61"/>
      <c r="BM171" s="61"/>
      <c r="BN171" s="1124"/>
      <c r="BO171" s="61"/>
      <c r="BP171" s="61"/>
      <c r="BQ171" s="61"/>
      <c r="BR171" s="61"/>
      <c r="BS171" s="1124"/>
      <c r="BT171" s="61"/>
      <c r="BU171" s="61"/>
      <c r="BV171" s="61"/>
      <c r="BW171" s="61"/>
      <c r="BX171" s="1124"/>
      <c r="BY171" s="896"/>
      <c r="BZ171" s="61"/>
      <c r="CA171" s="61"/>
      <c r="CB171" s="61"/>
      <c r="CC171" s="1124"/>
      <c r="CD171" s="61"/>
      <c r="CE171" s="61"/>
      <c r="CF171" s="61"/>
      <c r="CG171" s="61"/>
      <c r="CH171" s="1124"/>
      <c r="CI171" s="1124"/>
      <c r="CJ171" s="1124"/>
      <c r="CK171" s="1124"/>
      <c r="CL171" s="155"/>
    </row>
    <row r="172" spans="1:90" hidden="1" outlineLevel="1" x14ac:dyDescent="0.3">
      <c r="A172" s="600"/>
      <c r="B172" s="633"/>
      <c r="C172" s="1127"/>
      <c r="D172" s="1127"/>
      <c r="E172" s="1127"/>
      <c r="F172" s="1127"/>
      <c r="G172" s="63"/>
      <c r="H172" s="63"/>
      <c r="I172" s="63"/>
      <c r="J172" s="63"/>
      <c r="K172" s="1127"/>
      <c r="L172" s="63"/>
      <c r="M172" s="63"/>
      <c r="N172" s="63"/>
      <c r="O172" s="63"/>
      <c r="P172" s="1127"/>
      <c r="Q172" s="63"/>
      <c r="R172" s="63"/>
      <c r="S172" s="63"/>
      <c r="T172" s="63"/>
      <c r="U172" s="1127"/>
      <c r="V172" s="63"/>
      <c r="W172" s="63"/>
      <c r="X172" s="63"/>
      <c r="Y172" s="63"/>
      <c r="Z172" s="1127"/>
      <c r="AA172" s="63"/>
      <c r="AB172" s="63"/>
      <c r="AC172" s="63"/>
      <c r="AD172" s="63"/>
      <c r="AE172" s="1127"/>
      <c r="AF172" s="63"/>
      <c r="AG172" s="63"/>
      <c r="AH172" s="63"/>
      <c r="AI172" s="63"/>
      <c r="AJ172" s="1127"/>
      <c r="AK172" s="63"/>
      <c r="AL172" s="63"/>
      <c r="AM172" s="63"/>
      <c r="AN172" s="63"/>
      <c r="AO172" s="1127"/>
      <c r="AP172" s="63"/>
      <c r="AQ172" s="63"/>
      <c r="AR172" s="63"/>
      <c r="AS172" s="63"/>
      <c r="AT172" s="1127"/>
      <c r="AU172" s="63"/>
      <c r="AV172" s="63"/>
      <c r="AW172" s="63"/>
      <c r="AX172" s="63"/>
      <c r="AY172" s="1127"/>
      <c r="AZ172" s="63"/>
      <c r="BA172" s="63"/>
      <c r="BB172" s="63"/>
      <c r="BC172" s="63"/>
      <c r="BD172" s="1127"/>
      <c r="BE172" s="63"/>
      <c r="BF172" s="63"/>
      <c r="BG172" s="63"/>
      <c r="BH172" s="63"/>
      <c r="BI172" s="1127"/>
      <c r="BJ172" s="63"/>
      <c r="BK172" s="63"/>
      <c r="BL172" s="63"/>
      <c r="BM172" s="63"/>
      <c r="BN172" s="1127"/>
      <c r="BO172" s="63"/>
      <c r="BP172" s="63"/>
      <c r="BQ172" s="63"/>
      <c r="BR172" s="63"/>
      <c r="BS172" s="1127"/>
      <c r="BT172" s="63"/>
      <c r="BU172" s="63"/>
      <c r="BV172" s="63"/>
      <c r="BW172" s="63"/>
      <c r="BX172" s="1127"/>
      <c r="BY172" s="587"/>
      <c r="BZ172" s="63"/>
      <c r="CA172" s="63"/>
      <c r="CB172" s="63"/>
      <c r="CC172" s="1127"/>
      <c r="CD172" s="63"/>
      <c r="CE172" s="63"/>
      <c r="CF172" s="63"/>
      <c r="CG172" s="63"/>
      <c r="CH172" s="1127"/>
      <c r="CI172" s="1127"/>
      <c r="CJ172" s="1127"/>
      <c r="CK172" s="1127"/>
      <c r="CL172" s="155"/>
    </row>
    <row r="173" spans="1:90" hidden="1" outlineLevel="1" x14ac:dyDescent="0.3">
      <c r="A173" s="99" t="s">
        <v>634</v>
      </c>
      <c r="B173" s="602"/>
      <c r="C173" s="1112"/>
      <c r="D173" s="1112"/>
      <c r="E173" s="1113">
        <v>680.76099999999997</v>
      </c>
      <c r="F173" s="1113">
        <v>821.64</v>
      </c>
      <c r="G173" s="1055">
        <v>153.477</v>
      </c>
      <c r="H173" s="1055">
        <v>216.03</v>
      </c>
      <c r="I173" s="1055">
        <v>264.08699999999999</v>
      </c>
      <c r="J173" s="68">
        <f>K173-SUM(G173,H173,I173)</f>
        <v>251.173</v>
      </c>
      <c r="K173" s="1113">
        <v>884.76700000000005</v>
      </c>
      <c r="L173" s="1055">
        <v>158.52600000000001</v>
      </c>
      <c r="M173" s="1055">
        <v>207.91399999999999</v>
      </c>
      <c r="N173" s="1055">
        <v>220.351</v>
      </c>
      <c r="O173" s="68">
        <f>P173-SUM(L173,M173,N173)</f>
        <v>247.97200000000009</v>
      </c>
      <c r="P173" s="1113">
        <v>834.76300000000003</v>
      </c>
      <c r="Q173" s="1055">
        <v>235</v>
      </c>
      <c r="R173" s="1055">
        <v>241</v>
      </c>
      <c r="S173" s="1055">
        <v>294</v>
      </c>
      <c r="T173" s="68">
        <f>U173-SUM(Q173,R173,S173)</f>
        <v>343</v>
      </c>
      <c r="U173" s="1113">
        <v>1113</v>
      </c>
      <c r="V173" s="1055">
        <v>278</v>
      </c>
      <c r="W173" s="1055">
        <v>273</v>
      </c>
      <c r="X173" s="1055">
        <v>367</v>
      </c>
      <c r="Y173" s="68">
        <f>Z173-SUM(V173,W173,X173)</f>
        <v>426</v>
      </c>
      <c r="Z173" s="1113">
        <v>1344</v>
      </c>
      <c r="AA173" s="1055">
        <v>348</v>
      </c>
      <c r="AB173" s="1055">
        <v>379</v>
      </c>
      <c r="AC173" s="1055">
        <v>678</v>
      </c>
      <c r="AD173" s="68">
        <f>AE173-SUM(AA173,AB173,AC173)</f>
        <v>775</v>
      </c>
      <c r="AE173" s="1113">
        <v>2180</v>
      </c>
      <c r="AF173" s="1055">
        <v>602</v>
      </c>
      <c r="AG173" s="1055">
        <v>761</v>
      </c>
      <c r="AH173" s="1055">
        <v>978</v>
      </c>
      <c r="AI173" s="68">
        <f>AJ173-SUM(AF173,AG173,AH173)</f>
        <v>1166</v>
      </c>
      <c r="AJ173" s="1113">
        <v>3507</v>
      </c>
      <c r="AK173" s="1055">
        <v>1394</v>
      </c>
      <c r="AL173" s="1055">
        <v>1259</v>
      </c>
      <c r="AM173" s="1055">
        <v>1214</v>
      </c>
      <c r="AN173" s="68">
        <f>AO173-SUM(AK173,AL173,AM173)</f>
        <v>576</v>
      </c>
      <c r="AO173" s="1113">
        <v>4443</v>
      </c>
      <c r="AP173" s="1055">
        <v>669</v>
      </c>
      <c r="AQ173" s="1055">
        <v>746</v>
      </c>
      <c r="AR173" s="1055">
        <v>1135</v>
      </c>
      <c r="AS173" s="68">
        <f>AT173-SUM(AP173,AQ173,AR173)</f>
        <v>1256</v>
      </c>
      <c r="AT173" s="1113">
        <v>3806</v>
      </c>
      <c r="AU173" s="68"/>
      <c r="AV173" s="68"/>
      <c r="AW173" s="68"/>
      <c r="AX173" s="68"/>
      <c r="AY173" s="1112"/>
      <c r="AZ173" s="68"/>
      <c r="BA173" s="68"/>
      <c r="BB173" s="68"/>
      <c r="BC173" s="68"/>
      <c r="BD173" s="1112"/>
      <c r="BE173" s="68"/>
      <c r="BF173" s="68"/>
      <c r="BG173" s="68"/>
      <c r="BH173" s="68"/>
      <c r="BI173" s="1112"/>
      <c r="BJ173" s="68"/>
      <c r="BK173" s="68"/>
      <c r="BL173" s="68"/>
      <c r="BM173" s="68"/>
      <c r="BN173" s="1112"/>
      <c r="BO173" s="68"/>
      <c r="BP173" s="68"/>
      <c r="BQ173" s="68"/>
      <c r="BR173" s="68"/>
      <c r="BS173" s="1112"/>
      <c r="BT173" s="68"/>
      <c r="BU173" s="68"/>
      <c r="BV173" s="68"/>
      <c r="BW173" s="68"/>
      <c r="BX173" s="1112"/>
      <c r="BY173" s="588"/>
      <c r="BZ173" s="68"/>
      <c r="CA173" s="68"/>
      <c r="CB173" s="68"/>
      <c r="CC173" s="1112"/>
      <c r="CD173" s="68"/>
      <c r="CE173" s="68"/>
      <c r="CF173" s="68"/>
      <c r="CG173" s="68"/>
      <c r="CH173" s="1112"/>
      <c r="CI173" s="1112"/>
      <c r="CJ173" s="1112"/>
      <c r="CK173" s="1112"/>
      <c r="CL173" s="155"/>
    </row>
    <row r="174" spans="1:90" hidden="1" outlineLevel="1" x14ac:dyDescent="0.3">
      <c r="A174" s="99" t="s">
        <v>635</v>
      </c>
      <c r="B174" s="602"/>
      <c r="C174" s="1112"/>
      <c r="D174" s="1112"/>
      <c r="E174" s="1113">
        <v>-49.238</v>
      </c>
      <c r="F174" s="1113">
        <v>-60.417000000000002</v>
      </c>
      <c r="G174" s="1055">
        <v>-62.536000000000001</v>
      </c>
      <c r="H174" s="1055">
        <v>-45.328000000000003</v>
      </c>
      <c r="I174" s="1055">
        <v>1.276</v>
      </c>
      <c r="J174" s="68">
        <f>K174-SUM(G174,H174,I174)</f>
        <v>-51.334999999999994</v>
      </c>
      <c r="K174" s="1113">
        <v>-157.923</v>
      </c>
      <c r="L174" s="1055">
        <v>-54.99</v>
      </c>
      <c r="M174" s="1055">
        <v>-83.56</v>
      </c>
      <c r="N174" s="1055">
        <v>-64.218999999999994</v>
      </c>
      <c r="O174" s="68">
        <f>P174-SUM(L174,M174,N174)</f>
        <v>-65.298999999999978</v>
      </c>
      <c r="P174" s="1113">
        <v>-268.06799999999998</v>
      </c>
      <c r="Q174" s="1055">
        <v>-62</v>
      </c>
      <c r="R174" s="1055">
        <v>-55</v>
      </c>
      <c r="S174" s="1055">
        <v>-53</v>
      </c>
      <c r="T174" s="68">
        <f>U174-SUM(Q174,R174,S174)</f>
        <v>-84</v>
      </c>
      <c r="U174" s="1113">
        <v>-254</v>
      </c>
      <c r="V174" s="1055">
        <v>-57</v>
      </c>
      <c r="W174" s="1055">
        <v>-41</v>
      </c>
      <c r="X174" s="1055">
        <v>-65</v>
      </c>
      <c r="Y174" s="68">
        <f>Z174-SUM(V174,W174,X174)</f>
        <v>-76</v>
      </c>
      <c r="Z174" s="1113">
        <v>-239</v>
      </c>
      <c r="AA174" s="1055">
        <v>-38</v>
      </c>
      <c r="AB174" s="1055">
        <v>-14</v>
      </c>
      <c r="AC174" s="1055">
        <v>17</v>
      </c>
      <c r="AD174" s="68">
        <f>AE174-SUM(AA174,AB174,AC174)</f>
        <v>26</v>
      </c>
      <c r="AE174" s="1113">
        <v>-9</v>
      </c>
      <c r="AF174" s="1055">
        <v>47</v>
      </c>
      <c r="AG174" s="1055">
        <v>71</v>
      </c>
      <c r="AH174" s="1055">
        <v>88</v>
      </c>
      <c r="AI174" s="68">
        <f>AJ174-SUM(AF174,AG174,AH174)</f>
        <v>97</v>
      </c>
      <c r="AJ174" s="1113">
        <v>303</v>
      </c>
      <c r="AK174" s="1055">
        <v>97</v>
      </c>
      <c r="AL174" s="1055">
        <v>97</v>
      </c>
      <c r="AM174" s="1055">
        <v>72</v>
      </c>
      <c r="AN174" s="68">
        <f>AO174-SUM(AK174,AL174,AM174)</f>
        <v>-25</v>
      </c>
      <c r="AO174" s="1113">
        <v>241</v>
      </c>
      <c r="AP174" s="1055">
        <v>-44</v>
      </c>
      <c r="AQ174" s="1055">
        <v>122</v>
      </c>
      <c r="AR174" s="1055">
        <v>85</v>
      </c>
      <c r="AS174" s="68">
        <f>AT174-SUM(AP174,AQ174,AR174)</f>
        <v>33</v>
      </c>
      <c r="AT174" s="1113">
        <v>196</v>
      </c>
      <c r="AU174" s="68"/>
      <c r="AV174" s="68"/>
      <c r="AW174" s="68"/>
      <c r="AX174" s="68"/>
      <c r="AY174" s="1112"/>
      <c r="AZ174" s="68"/>
      <c r="BA174" s="68"/>
      <c r="BB174" s="68"/>
      <c r="BC174" s="68"/>
      <c r="BD174" s="1112"/>
      <c r="BE174" s="68"/>
      <c r="BF174" s="68"/>
      <c r="BG174" s="68"/>
      <c r="BH174" s="68"/>
      <c r="BI174" s="1112"/>
      <c r="BJ174" s="68"/>
      <c r="BK174" s="68"/>
      <c r="BL174" s="68"/>
      <c r="BM174" s="68"/>
      <c r="BN174" s="1112"/>
      <c r="BO174" s="68"/>
      <c r="BP174" s="68"/>
      <c r="BQ174" s="68"/>
      <c r="BR174" s="68"/>
      <c r="BS174" s="1112"/>
      <c r="BT174" s="68"/>
      <c r="BU174" s="68"/>
      <c r="BV174" s="68"/>
      <c r="BW174" s="68"/>
      <c r="BX174" s="1112"/>
      <c r="BY174" s="588"/>
      <c r="BZ174" s="68"/>
      <c r="CA174" s="68"/>
      <c r="CB174" s="68"/>
      <c r="CC174" s="1112"/>
      <c r="CD174" s="68"/>
      <c r="CE174" s="68"/>
      <c r="CF174" s="68"/>
      <c r="CG174" s="68"/>
      <c r="CH174" s="1112"/>
      <c r="CI174" s="1112"/>
      <c r="CJ174" s="1112"/>
      <c r="CK174" s="1112"/>
      <c r="CL174" s="155"/>
    </row>
    <row r="175" spans="1:90" hidden="1" outlineLevel="1" x14ac:dyDescent="0.3">
      <c r="A175" s="572" t="s">
        <v>24</v>
      </c>
      <c r="B175" s="602"/>
      <c r="C175" s="1112"/>
      <c r="D175" s="1112"/>
      <c r="E175" s="1112"/>
      <c r="F175" s="1112">
        <f t="shared" ref="F175:AT175" si="585">F145</f>
        <v>220</v>
      </c>
      <c r="G175" s="68">
        <f t="shared" si="585"/>
        <v>66</v>
      </c>
      <c r="H175" s="68">
        <f t="shared" si="585"/>
        <v>66</v>
      </c>
      <c r="I175" s="68">
        <f t="shared" si="585"/>
        <v>66</v>
      </c>
      <c r="J175" s="68">
        <f t="shared" si="585"/>
        <v>66</v>
      </c>
      <c r="K175" s="1112">
        <f t="shared" si="585"/>
        <v>264</v>
      </c>
      <c r="L175" s="68">
        <f t="shared" si="585"/>
        <v>66</v>
      </c>
      <c r="M175" s="68">
        <f t="shared" si="585"/>
        <v>66</v>
      </c>
      <c r="N175" s="68">
        <f t="shared" si="585"/>
        <v>66</v>
      </c>
      <c r="O175" s="68">
        <f t="shared" si="585"/>
        <v>66</v>
      </c>
      <c r="P175" s="1112">
        <f t="shared" si="585"/>
        <v>264</v>
      </c>
      <c r="Q175" s="68">
        <f t="shared" si="585"/>
        <v>66</v>
      </c>
      <c r="R175" s="68">
        <f t="shared" si="585"/>
        <v>66</v>
      </c>
      <c r="S175" s="68">
        <f t="shared" si="585"/>
        <v>66</v>
      </c>
      <c r="T175" s="68">
        <f t="shared" si="585"/>
        <v>66</v>
      </c>
      <c r="U175" s="1112">
        <f t="shared" si="585"/>
        <v>264</v>
      </c>
      <c r="V175" s="68">
        <f t="shared" si="585"/>
        <v>66</v>
      </c>
      <c r="W175" s="68">
        <f t="shared" si="585"/>
        <v>66</v>
      </c>
      <c r="X175" s="68">
        <f t="shared" si="585"/>
        <v>66</v>
      </c>
      <c r="Y175" s="68">
        <f t="shared" si="585"/>
        <v>66</v>
      </c>
      <c r="Z175" s="1112">
        <f t="shared" si="585"/>
        <v>264</v>
      </c>
      <c r="AA175" s="68">
        <f t="shared" si="585"/>
        <v>66</v>
      </c>
      <c r="AB175" s="68">
        <f t="shared" si="585"/>
        <v>66</v>
      </c>
      <c r="AC175" s="68">
        <f t="shared" si="585"/>
        <v>66</v>
      </c>
      <c r="AD175" s="68">
        <f t="shared" si="585"/>
        <v>66</v>
      </c>
      <c r="AE175" s="1112">
        <f t="shared" si="585"/>
        <v>264</v>
      </c>
      <c r="AF175" s="68">
        <f t="shared" si="585"/>
        <v>43</v>
      </c>
      <c r="AG175" s="68">
        <f t="shared" si="585"/>
        <v>0</v>
      </c>
      <c r="AH175" s="68">
        <f t="shared" si="585"/>
        <v>0</v>
      </c>
      <c r="AI175" s="68">
        <f t="shared" si="585"/>
        <v>0</v>
      </c>
      <c r="AJ175" s="1112">
        <f t="shared" si="585"/>
        <v>43</v>
      </c>
      <c r="AK175" s="68">
        <f t="shared" si="585"/>
        <v>0</v>
      </c>
      <c r="AL175" s="68">
        <f t="shared" si="585"/>
        <v>0</v>
      </c>
      <c r="AM175" s="68">
        <f t="shared" si="585"/>
        <v>0</v>
      </c>
      <c r="AN175" s="68">
        <f t="shared" si="585"/>
        <v>0</v>
      </c>
      <c r="AO175" s="1112">
        <f t="shared" si="585"/>
        <v>0</v>
      </c>
      <c r="AP175" s="68">
        <f t="shared" si="585"/>
        <v>0</v>
      </c>
      <c r="AQ175" s="68">
        <f t="shared" si="585"/>
        <v>0</v>
      </c>
      <c r="AR175" s="68">
        <f t="shared" si="585"/>
        <v>0</v>
      </c>
      <c r="AS175" s="68">
        <f t="shared" si="585"/>
        <v>0</v>
      </c>
      <c r="AT175" s="1112">
        <f t="shared" si="585"/>
        <v>0</v>
      </c>
      <c r="AU175" s="68"/>
      <c r="AV175" s="68"/>
      <c r="AW175" s="68"/>
      <c r="AX175" s="68"/>
      <c r="AY175" s="1112"/>
      <c r="AZ175" s="68"/>
      <c r="BA175" s="68"/>
      <c r="BB175" s="68"/>
      <c r="BC175" s="68"/>
      <c r="BD175" s="1112"/>
      <c r="BE175" s="68"/>
      <c r="BF175" s="68"/>
      <c r="BG175" s="68"/>
      <c r="BH175" s="68"/>
      <c r="BI175" s="1112"/>
      <c r="BJ175" s="68"/>
      <c r="BK175" s="68"/>
      <c r="BL175" s="68"/>
      <c r="BM175" s="68"/>
      <c r="BN175" s="1112"/>
      <c r="BO175" s="68"/>
      <c r="BP175" s="68"/>
      <c r="BQ175" s="68"/>
      <c r="BR175" s="68"/>
      <c r="BS175" s="1112"/>
      <c r="BT175" s="68"/>
      <c r="BU175" s="68"/>
      <c r="BV175" s="68"/>
      <c r="BW175" s="68"/>
      <c r="BX175" s="1112"/>
      <c r="BY175" s="588"/>
      <c r="BZ175" s="68"/>
      <c r="CA175" s="68"/>
      <c r="CB175" s="68"/>
      <c r="CC175" s="1112"/>
      <c r="CD175" s="68"/>
      <c r="CE175" s="68"/>
      <c r="CF175" s="68"/>
      <c r="CG175" s="68"/>
      <c r="CH175" s="1112"/>
      <c r="CI175" s="1112"/>
      <c r="CJ175" s="1112"/>
      <c r="CK175" s="1112"/>
      <c r="CL175" s="155"/>
    </row>
    <row r="176" spans="1:90" hidden="1" outlineLevel="1" x14ac:dyDescent="0.3">
      <c r="A176" s="572" t="s">
        <v>787</v>
      </c>
      <c r="B176" s="602"/>
      <c r="C176" s="1112"/>
      <c r="D176" s="1112"/>
      <c r="E176" s="1113">
        <v>-100.35299999999999</v>
      </c>
      <c r="F176" s="1113">
        <v>-136.35400000000001</v>
      </c>
      <c r="G176" s="1055">
        <v>-35.569000000000003</v>
      </c>
      <c r="H176" s="1055">
        <v>-32.255000000000003</v>
      </c>
      <c r="I176" s="1055">
        <v>-33.069000000000003</v>
      </c>
      <c r="J176" s="68">
        <f t="shared" ref="J176:J184" si="586">K176-SUM(G176,H176,I176)</f>
        <v>-35.768999999999991</v>
      </c>
      <c r="K176" s="1113">
        <v>-136.66200000000001</v>
      </c>
      <c r="L176" s="1055">
        <v>-33.396999999999998</v>
      </c>
      <c r="M176" s="1055">
        <v>-32.395000000000003</v>
      </c>
      <c r="N176" s="1055">
        <v>-34.298999999999999</v>
      </c>
      <c r="O176" s="68">
        <f t="shared" ref="O176:O184" si="587">P176-SUM(L176,M176,N176)</f>
        <v>-36.203999999999979</v>
      </c>
      <c r="P176" s="1113">
        <v>-136.29499999999999</v>
      </c>
      <c r="Q176" s="1055">
        <v>-36</v>
      </c>
      <c r="R176" s="1055">
        <v>-38</v>
      </c>
      <c r="S176" s="1055">
        <v>-42</v>
      </c>
      <c r="T176" s="68">
        <f t="shared" ref="T176:T184" si="588">U176-SUM(Q176,R176,S176)</f>
        <v>-42</v>
      </c>
      <c r="U176" s="1113">
        <v>-158</v>
      </c>
      <c r="V176" s="1055">
        <v>-45</v>
      </c>
      <c r="W176" s="1055">
        <v>-47</v>
      </c>
      <c r="X176" s="1055">
        <v>-51</v>
      </c>
      <c r="Y176" s="68">
        <f t="shared" ref="Y176:Y184" si="589">Z176-SUM(V176,W176,X176)</f>
        <v>-61</v>
      </c>
      <c r="Z176" s="1113">
        <v>-204</v>
      </c>
      <c r="AA176" s="1055">
        <v>-53</v>
      </c>
      <c r="AB176" s="1055">
        <v>-58</v>
      </c>
      <c r="AC176" s="1055">
        <v>-65</v>
      </c>
      <c r="AD176" s="68">
        <f t="shared" ref="AD176:AD184" si="590">AE176-SUM(AA176,AB176,AC176)</f>
        <v>-71</v>
      </c>
      <c r="AE176" s="1113">
        <v>-247</v>
      </c>
      <c r="AF176" s="1055">
        <v>-76</v>
      </c>
      <c r="AG176" s="1055">
        <v>-81</v>
      </c>
      <c r="AH176" s="1055">
        <v>-107</v>
      </c>
      <c r="AI176" s="68">
        <f t="shared" ref="AI176:AI184" si="591">AJ176-SUM(AF176,AG176,AH176)</f>
        <v>-127</v>
      </c>
      <c r="AJ176" s="1113">
        <v>-391</v>
      </c>
      <c r="AK176" s="1055">
        <v>-129</v>
      </c>
      <c r="AL176" s="1055">
        <v>-132</v>
      </c>
      <c r="AM176" s="1055">
        <v>-140</v>
      </c>
      <c r="AN176" s="68">
        <f t="shared" ref="AN176:AN184" si="592">AO176-SUM(AK176,AL176,AM176)</f>
        <v>-156</v>
      </c>
      <c r="AO176" s="1113">
        <v>-557</v>
      </c>
      <c r="AP176" s="1055">
        <v>-178</v>
      </c>
      <c r="AQ176" s="1055">
        <v>-224</v>
      </c>
      <c r="AR176" s="1055">
        <v>-223</v>
      </c>
      <c r="AS176" s="68">
        <f t="shared" ref="AS176:AS184" si="593">AT176-SUM(AP176,AQ176,AR176)</f>
        <v>-219</v>
      </c>
      <c r="AT176" s="1113">
        <v>-844</v>
      </c>
      <c r="AU176" s="68"/>
      <c r="AV176" s="68"/>
      <c r="AW176" s="68"/>
      <c r="AX176" s="68"/>
      <c r="AY176" s="1112"/>
      <c r="AZ176" s="68"/>
      <c r="BA176" s="68"/>
      <c r="BB176" s="68"/>
      <c r="BC176" s="68"/>
      <c r="BD176" s="1112"/>
      <c r="BE176" s="68"/>
      <c r="BF176" s="68"/>
      <c r="BG176" s="68"/>
      <c r="BH176" s="68"/>
      <c r="BI176" s="1112"/>
      <c r="BJ176" s="68"/>
      <c r="BK176" s="68"/>
      <c r="BL176" s="68"/>
      <c r="BM176" s="68"/>
      <c r="BN176" s="1112"/>
      <c r="BO176" s="68"/>
      <c r="BP176" s="68"/>
      <c r="BQ176" s="68"/>
      <c r="BR176" s="68"/>
      <c r="BS176" s="1112"/>
      <c r="BT176" s="68"/>
      <c r="BU176" s="68"/>
      <c r="BV176" s="68"/>
      <c r="BW176" s="68"/>
      <c r="BX176" s="1112"/>
      <c r="BY176" s="588"/>
      <c r="BZ176" s="68"/>
      <c r="CA176" s="68"/>
      <c r="CB176" s="68"/>
      <c r="CC176" s="1112"/>
      <c r="CD176" s="68"/>
      <c r="CE176" s="68"/>
      <c r="CF176" s="68"/>
      <c r="CG176" s="68"/>
      <c r="CH176" s="1112"/>
      <c r="CI176" s="1112"/>
      <c r="CJ176" s="1112"/>
      <c r="CK176" s="1112"/>
      <c r="CL176" s="155"/>
    </row>
    <row r="177" spans="1:90" hidden="1" outlineLevel="1" x14ac:dyDescent="0.3">
      <c r="A177" s="572" t="s">
        <v>789</v>
      </c>
      <c r="B177" s="602"/>
      <c r="C177" s="1112"/>
      <c r="D177" s="1112"/>
      <c r="E177" s="1113">
        <v>-129.34100000000001</v>
      </c>
      <c r="F177" s="1113">
        <v>-151.798</v>
      </c>
      <c r="G177" s="1055">
        <v>-39.033000000000001</v>
      </c>
      <c r="H177" s="1055">
        <v>-35.838000000000001</v>
      </c>
      <c r="I177" s="1055">
        <v>-37.009</v>
      </c>
      <c r="J177" s="68">
        <f t="shared" si="586"/>
        <v>-37.797999999999988</v>
      </c>
      <c r="K177" s="1113">
        <v>-149.678</v>
      </c>
      <c r="L177" s="1055">
        <v>-44.497</v>
      </c>
      <c r="M177" s="1055">
        <v>-41.170999999999999</v>
      </c>
      <c r="N177" s="1055">
        <v>-40.033000000000001</v>
      </c>
      <c r="O177" s="68">
        <f t="shared" si="587"/>
        <v>-40.781999999999996</v>
      </c>
      <c r="P177" s="1113">
        <v>-166.483</v>
      </c>
      <c r="Q177" s="1055">
        <v>-43</v>
      </c>
      <c r="R177" s="1055">
        <v>-42</v>
      </c>
      <c r="S177" s="1055">
        <v>-42</v>
      </c>
      <c r="T177" s="68">
        <f t="shared" si="588"/>
        <v>-42</v>
      </c>
      <c r="U177" s="1113">
        <v>-169</v>
      </c>
      <c r="V177" s="1055">
        <v>-57</v>
      </c>
      <c r="W177" s="1055">
        <v>-67</v>
      </c>
      <c r="X177" s="1055">
        <v>-60</v>
      </c>
      <c r="Y177" s="68">
        <f t="shared" si="589"/>
        <v>-60</v>
      </c>
      <c r="Z177" s="1113">
        <v>-244</v>
      </c>
      <c r="AA177" s="1055">
        <v>-54</v>
      </c>
      <c r="AB177" s="1055">
        <v>-49</v>
      </c>
      <c r="AC177" s="1055">
        <v>-53</v>
      </c>
      <c r="AD177" s="68">
        <f t="shared" si="590"/>
        <v>-59</v>
      </c>
      <c r="AE177" s="1113">
        <v>-215</v>
      </c>
      <c r="AF177" s="1055">
        <v>-56</v>
      </c>
      <c r="AG177" s="1055">
        <v>-59</v>
      </c>
      <c r="AH177" s="1055">
        <v>-61</v>
      </c>
      <c r="AI177" s="68">
        <f t="shared" si="591"/>
        <v>-61</v>
      </c>
      <c r="AJ177" s="1113">
        <v>-237</v>
      </c>
      <c r="AK177" s="1055">
        <v>-63</v>
      </c>
      <c r="AL177" s="1055">
        <v>-65</v>
      </c>
      <c r="AM177" s="1055">
        <v>-76</v>
      </c>
      <c r="AN177" s="68">
        <f t="shared" si="592"/>
        <v>-73</v>
      </c>
      <c r="AO177" s="1113">
        <v>-277</v>
      </c>
      <c r="AP177" s="1055">
        <v>-68</v>
      </c>
      <c r="AQ177" s="1055">
        <v>-66</v>
      </c>
      <c r="AR177" s="1055">
        <v>-63</v>
      </c>
      <c r="AS177" s="68">
        <f t="shared" si="593"/>
        <v>-70</v>
      </c>
      <c r="AT177" s="1113">
        <v>-267</v>
      </c>
      <c r="AU177" s="68"/>
      <c r="AV177" s="68"/>
      <c r="AW177" s="68"/>
      <c r="AX177" s="68"/>
      <c r="AY177" s="1112"/>
      <c r="AZ177" s="68"/>
      <c r="BA177" s="68"/>
      <c r="BB177" s="68"/>
      <c r="BC177" s="68"/>
      <c r="BD177" s="1112"/>
      <c r="BE177" s="68"/>
      <c r="BF177" s="68"/>
      <c r="BG177" s="68"/>
      <c r="BH177" s="68"/>
      <c r="BI177" s="1112"/>
      <c r="BJ177" s="68"/>
      <c r="BK177" s="68"/>
      <c r="BL177" s="68"/>
      <c r="BM177" s="68"/>
      <c r="BN177" s="1112"/>
      <c r="BO177" s="68"/>
      <c r="BP177" s="68"/>
      <c r="BQ177" s="68"/>
      <c r="BR177" s="68"/>
      <c r="BS177" s="1112"/>
      <c r="BT177" s="68"/>
      <c r="BU177" s="68"/>
      <c r="BV177" s="68"/>
      <c r="BW177" s="68"/>
      <c r="BX177" s="1112"/>
      <c r="BY177" s="588"/>
      <c r="BZ177" s="68"/>
      <c r="CA177" s="68"/>
      <c r="CB177" s="68"/>
      <c r="CC177" s="1112"/>
      <c r="CD177" s="68"/>
      <c r="CE177" s="68"/>
      <c r="CF177" s="68"/>
      <c r="CG177" s="68"/>
      <c r="CH177" s="1112"/>
      <c r="CI177" s="1112"/>
      <c r="CJ177" s="1112"/>
      <c r="CK177" s="1112"/>
      <c r="CL177" s="155"/>
    </row>
    <row r="178" spans="1:90" hidden="1" outlineLevel="1" x14ac:dyDescent="0.3">
      <c r="A178" s="572" t="s">
        <v>788</v>
      </c>
      <c r="B178" s="602"/>
      <c r="C178" s="1112"/>
      <c r="D178" s="1112"/>
      <c r="E178" s="1113">
        <v>-9.1820000000000004</v>
      </c>
      <c r="F178" s="1113">
        <f>-17.19-20.282</f>
        <v>-37.472000000000001</v>
      </c>
      <c r="G178" s="1055">
        <f>-4.342-5.171</f>
        <v>-9.5129999999999999</v>
      </c>
      <c r="H178" s="1055">
        <f>-4.065-4.794</f>
        <v>-8.859</v>
      </c>
      <c r="I178" s="1055">
        <f>-4.402-4.666</f>
        <v>-9.0680000000000014</v>
      </c>
      <c r="J178" s="68">
        <f t="shared" si="586"/>
        <v>-8.698000000000004</v>
      </c>
      <c r="K178" s="1113">
        <f>-17.134-19.004</f>
        <v>-36.138000000000005</v>
      </c>
      <c r="L178" s="1055">
        <v>-8.8610000000000007</v>
      </c>
      <c r="M178" s="1055">
        <v>-8.9640000000000004</v>
      </c>
      <c r="N178" s="1055">
        <v>-4.577</v>
      </c>
      <c r="O178" s="68">
        <f t="shared" si="587"/>
        <v>-9.25</v>
      </c>
      <c r="P178" s="1113">
        <v>-31.652000000000001</v>
      </c>
      <c r="Q178" s="1055">
        <v>-9</v>
      </c>
      <c r="R178" s="1055">
        <v>-9</v>
      </c>
      <c r="S178" s="1055">
        <v>-10</v>
      </c>
      <c r="T178" s="68">
        <f t="shared" si="588"/>
        <v>-9</v>
      </c>
      <c r="U178" s="1113">
        <v>-37</v>
      </c>
      <c r="V178" s="1055">
        <v>-9</v>
      </c>
      <c r="W178" s="1055">
        <v>-4</v>
      </c>
      <c r="X178" s="1055">
        <v>-4</v>
      </c>
      <c r="Y178" s="68">
        <f t="shared" si="589"/>
        <v>-5</v>
      </c>
      <c r="Z178" s="1113">
        <v>-22</v>
      </c>
      <c r="AA178" s="1055">
        <v>-4</v>
      </c>
      <c r="AB178" s="1055">
        <v>-4</v>
      </c>
      <c r="AC178" s="1055">
        <v>-4</v>
      </c>
      <c r="AD178" s="68">
        <f t="shared" si="590"/>
        <v>-4</v>
      </c>
      <c r="AE178" s="1113">
        <v>-16</v>
      </c>
      <c r="AF178" s="1055">
        <v>-4</v>
      </c>
      <c r="AG178" s="1055">
        <v>-4</v>
      </c>
      <c r="AH178" s="1055">
        <v>-3</v>
      </c>
      <c r="AI178" s="68">
        <f t="shared" si="591"/>
        <v>-2</v>
      </c>
      <c r="AJ178" s="1113">
        <v>-13</v>
      </c>
      <c r="AK178" s="1055">
        <v>-2</v>
      </c>
      <c r="AL178" s="1055">
        <v>-2</v>
      </c>
      <c r="AM178" s="1055">
        <v>-1</v>
      </c>
      <c r="AN178" s="68">
        <f t="shared" si="592"/>
        <v>3</v>
      </c>
      <c r="AO178" s="1113">
        <v>-2</v>
      </c>
      <c r="AP178" s="1055">
        <v>-10</v>
      </c>
      <c r="AQ178" s="1055">
        <v>-5</v>
      </c>
      <c r="AR178" s="1055">
        <v>-7</v>
      </c>
      <c r="AS178" s="68">
        <f t="shared" si="593"/>
        <v>-8</v>
      </c>
      <c r="AT178" s="1113">
        <v>-30</v>
      </c>
      <c r="AU178" s="68"/>
      <c r="AV178" s="68"/>
      <c r="AW178" s="68"/>
      <c r="AX178" s="68"/>
      <c r="AY178" s="1112"/>
      <c r="AZ178" s="68"/>
      <c r="BA178" s="68"/>
      <c r="BB178" s="68"/>
      <c r="BC178" s="68"/>
      <c r="BD178" s="1112"/>
      <c r="BE178" s="68"/>
      <c r="BF178" s="68"/>
      <c r="BG178" s="68"/>
      <c r="BH178" s="68"/>
      <c r="BI178" s="1112"/>
      <c r="BJ178" s="68"/>
      <c r="BK178" s="68"/>
      <c r="BL178" s="68"/>
      <c r="BM178" s="68"/>
      <c r="BN178" s="1112"/>
      <c r="BO178" s="68"/>
      <c r="BP178" s="68"/>
      <c r="BQ178" s="68"/>
      <c r="BR178" s="68"/>
      <c r="BS178" s="1112"/>
      <c r="BT178" s="68"/>
      <c r="BU178" s="68"/>
      <c r="BV178" s="68"/>
      <c r="BW178" s="68"/>
      <c r="BX178" s="1112"/>
      <c r="BY178" s="588"/>
      <c r="BZ178" s="68"/>
      <c r="CA178" s="68"/>
      <c r="CB178" s="68"/>
      <c r="CC178" s="1112"/>
      <c r="CD178" s="68"/>
      <c r="CE178" s="68"/>
      <c r="CF178" s="68"/>
      <c r="CG178" s="68"/>
      <c r="CH178" s="1112"/>
      <c r="CI178" s="1112"/>
      <c r="CJ178" s="1112"/>
      <c r="CK178" s="1112"/>
      <c r="CL178" s="155"/>
    </row>
    <row r="179" spans="1:90" hidden="1" outlineLevel="1" x14ac:dyDescent="0.3">
      <c r="A179" s="572" t="s">
        <v>792</v>
      </c>
      <c r="B179" s="602"/>
      <c r="C179" s="1112"/>
      <c r="D179" s="1112"/>
      <c r="E179" s="1112"/>
      <c r="F179" s="1112"/>
      <c r="G179" s="68"/>
      <c r="H179" s="68"/>
      <c r="I179" s="68"/>
      <c r="J179" s="68">
        <f t="shared" si="586"/>
        <v>0</v>
      </c>
      <c r="K179" s="1112"/>
      <c r="L179" s="68"/>
      <c r="M179" s="68"/>
      <c r="N179" s="68"/>
      <c r="O179" s="68">
        <f t="shared" si="587"/>
        <v>0</v>
      </c>
      <c r="P179" s="1112"/>
      <c r="Q179" s="68"/>
      <c r="R179" s="68"/>
      <c r="S179" s="68"/>
      <c r="T179" s="68">
        <f t="shared" si="588"/>
        <v>0</v>
      </c>
      <c r="U179" s="1112"/>
      <c r="V179" s="68"/>
      <c r="W179" s="68"/>
      <c r="X179" s="68"/>
      <c r="Y179" s="68">
        <f t="shared" si="589"/>
        <v>0</v>
      </c>
      <c r="Z179" s="1112"/>
      <c r="AA179" s="1055">
        <v>-3</v>
      </c>
      <c r="AB179" s="1055">
        <v>-1</v>
      </c>
      <c r="AC179" s="68"/>
      <c r="AD179" s="68">
        <f t="shared" si="590"/>
        <v>0</v>
      </c>
      <c r="AE179" s="1113">
        <v>-4</v>
      </c>
      <c r="AF179" s="1055">
        <v>-2</v>
      </c>
      <c r="AG179" s="68"/>
      <c r="AH179" s="68"/>
      <c r="AI179" s="68">
        <f t="shared" si="591"/>
        <v>0</v>
      </c>
      <c r="AJ179" s="1113">
        <v>-2</v>
      </c>
      <c r="AK179" s="68"/>
      <c r="AL179" s="68"/>
      <c r="AM179" s="68"/>
      <c r="AN179" s="68">
        <f t="shared" si="592"/>
        <v>0</v>
      </c>
      <c r="AO179" s="1112"/>
      <c r="AP179" s="68"/>
      <c r="AQ179" s="68"/>
      <c r="AR179" s="68"/>
      <c r="AS179" s="68">
        <f t="shared" si="593"/>
        <v>0</v>
      </c>
      <c r="AT179" s="1112"/>
      <c r="AU179" s="68"/>
      <c r="AV179" s="68"/>
      <c r="AW179" s="68"/>
      <c r="AX179" s="68"/>
      <c r="AY179" s="1112"/>
      <c r="AZ179" s="68"/>
      <c r="BA179" s="68"/>
      <c r="BB179" s="68"/>
      <c r="BC179" s="68"/>
      <c r="BD179" s="1112"/>
      <c r="BE179" s="68"/>
      <c r="BF179" s="68"/>
      <c r="BG179" s="68"/>
      <c r="BH179" s="68"/>
      <c r="BI179" s="1112"/>
      <c r="BJ179" s="68"/>
      <c r="BK179" s="68"/>
      <c r="BL179" s="68"/>
      <c r="BM179" s="68"/>
      <c r="BN179" s="1112"/>
      <c r="BO179" s="68"/>
      <c r="BP179" s="68"/>
      <c r="BQ179" s="68"/>
      <c r="BR179" s="68"/>
      <c r="BS179" s="1112"/>
      <c r="BT179" s="68"/>
      <c r="BU179" s="68"/>
      <c r="BV179" s="68"/>
      <c r="BW179" s="68"/>
      <c r="BX179" s="1112"/>
      <c r="BY179" s="588"/>
      <c r="BZ179" s="68"/>
      <c r="CA179" s="68"/>
      <c r="CB179" s="68"/>
      <c r="CC179" s="1112"/>
      <c r="CD179" s="68"/>
      <c r="CE179" s="68"/>
      <c r="CF179" s="68"/>
      <c r="CG179" s="68"/>
      <c r="CH179" s="1112"/>
      <c r="CI179" s="1112"/>
      <c r="CJ179" s="1112"/>
      <c r="CK179" s="1112"/>
      <c r="CL179" s="155"/>
    </row>
    <row r="180" spans="1:90" hidden="1" outlineLevel="1" x14ac:dyDescent="0.3">
      <c r="A180" s="572" t="s">
        <v>790</v>
      </c>
      <c r="B180" s="602"/>
      <c r="C180" s="1112"/>
      <c r="D180" s="1112"/>
      <c r="E180" s="1112"/>
      <c r="F180" s="1112"/>
      <c r="G180" s="68"/>
      <c r="H180" s="68"/>
      <c r="I180" s="68"/>
      <c r="J180" s="68">
        <f t="shared" si="586"/>
        <v>0</v>
      </c>
      <c r="K180" s="1112"/>
      <c r="L180" s="68"/>
      <c r="M180" s="68"/>
      <c r="N180" s="68"/>
      <c r="O180" s="68">
        <f t="shared" si="587"/>
        <v>0</v>
      </c>
      <c r="P180" s="1112"/>
      <c r="Q180" s="68"/>
      <c r="R180" s="68"/>
      <c r="S180" s="68"/>
      <c r="T180" s="68">
        <f t="shared" si="588"/>
        <v>0</v>
      </c>
      <c r="U180" s="1112"/>
      <c r="V180" s="68"/>
      <c r="W180" s="68"/>
      <c r="X180" s="68"/>
      <c r="Y180" s="68">
        <f t="shared" si="589"/>
        <v>0</v>
      </c>
      <c r="Z180" s="1112"/>
      <c r="AA180" s="1055">
        <v>-16</v>
      </c>
      <c r="AB180" s="68"/>
      <c r="AC180" s="68"/>
      <c r="AD180" s="68">
        <f t="shared" si="590"/>
        <v>0</v>
      </c>
      <c r="AE180" s="1113">
        <v>-16</v>
      </c>
      <c r="AF180" s="68"/>
      <c r="AG180" s="68"/>
      <c r="AH180" s="68"/>
      <c r="AI180" s="68">
        <f t="shared" si="591"/>
        <v>0</v>
      </c>
      <c r="AJ180" s="1112"/>
      <c r="AK180" s="1055">
        <v>-2</v>
      </c>
      <c r="AL180" s="68"/>
      <c r="AM180" s="1055">
        <v>-15</v>
      </c>
      <c r="AN180" s="68">
        <f t="shared" si="592"/>
        <v>-27</v>
      </c>
      <c r="AO180" s="1113">
        <v>-44</v>
      </c>
      <c r="AP180" s="1055">
        <v>-11</v>
      </c>
      <c r="AQ180" s="1055">
        <v>-2</v>
      </c>
      <c r="AR180" s="68"/>
      <c r="AS180" s="68">
        <f t="shared" si="593"/>
        <v>-2</v>
      </c>
      <c r="AT180" s="1113">
        <v>-15</v>
      </c>
      <c r="AU180" s="68"/>
      <c r="AV180" s="68"/>
      <c r="AW180" s="68"/>
      <c r="AX180" s="68"/>
      <c r="AY180" s="1112"/>
      <c r="AZ180" s="68"/>
      <c r="BA180" s="68"/>
      <c r="BB180" s="68"/>
      <c r="BC180" s="68"/>
      <c r="BD180" s="1112"/>
      <c r="BE180" s="68"/>
      <c r="BF180" s="68"/>
      <c r="BG180" s="68"/>
      <c r="BH180" s="68"/>
      <c r="BI180" s="1112"/>
      <c r="BJ180" s="68"/>
      <c r="BK180" s="68"/>
      <c r="BL180" s="68"/>
      <c r="BM180" s="68"/>
      <c r="BN180" s="1112"/>
      <c r="BO180" s="68"/>
      <c r="BP180" s="68"/>
      <c r="BQ180" s="68"/>
      <c r="BR180" s="68"/>
      <c r="BS180" s="1112"/>
      <c r="BT180" s="68"/>
      <c r="BU180" s="68"/>
      <c r="BV180" s="68"/>
      <c r="BW180" s="68"/>
      <c r="BX180" s="1112"/>
      <c r="BY180" s="588"/>
      <c r="BZ180" s="68"/>
      <c r="CA180" s="68"/>
      <c r="CB180" s="68"/>
      <c r="CC180" s="1112"/>
      <c r="CD180" s="68"/>
      <c r="CE180" s="68"/>
      <c r="CF180" s="68"/>
      <c r="CG180" s="68"/>
      <c r="CH180" s="1112"/>
      <c r="CI180" s="1112"/>
      <c r="CJ180" s="1112"/>
      <c r="CK180" s="1112"/>
      <c r="CL180" s="155"/>
    </row>
    <row r="181" spans="1:90" hidden="1" outlineLevel="1" x14ac:dyDescent="0.3">
      <c r="A181" s="572" t="s">
        <v>791</v>
      </c>
      <c r="B181" s="602"/>
      <c r="C181" s="1112"/>
      <c r="D181" s="1112"/>
      <c r="E181" s="1112"/>
      <c r="F181" s="1112"/>
      <c r="G181" s="68"/>
      <c r="H181" s="68"/>
      <c r="I181" s="68"/>
      <c r="J181" s="68">
        <f t="shared" si="586"/>
        <v>0</v>
      </c>
      <c r="K181" s="1112"/>
      <c r="L181" s="68"/>
      <c r="M181" s="68"/>
      <c r="N181" s="68"/>
      <c r="O181" s="68">
        <f t="shared" si="587"/>
        <v>0</v>
      </c>
      <c r="P181" s="1112"/>
      <c r="Q181" s="68"/>
      <c r="R181" s="68"/>
      <c r="S181" s="68"/>
      <c r="T181" s="68">
        <f t="shared" si="588"/>
        <v>0</v>
      </c>
      <c r="U181" s="1112"/>
      <c r="V181" s="68"/>
      <c r="W181" s="1055">
        <v>-89</v>
      </c>
      <c r="X181" s="1055">
        <v>-8</v>
      </c>
      <c r="Y181" s="68">
        <f t="shared" si="589"/>
        <v>-34</v>
      </c>
      <c r="Z181" s="1113">
        <v>-131</v>
      </c>
      <c r="AA181" s="1055">
        <v>-1</v>
      </c>
      <c r="AB181" s="1055">
        <v>-2</v>
      </c>
      <c r="AC181" s="68"/>
      <c r="AD181" s="68">
        <f t="shared" si="590"/>
        <v>0</v>
      </c>
      <c r="AE181" s="1113">
        <v>-3</v>
      </c>
      <c r="AF181" s="68"/>
      <c r="AG181" s="68"/>
      <c r="AH181" s="68"/>
      <c r="AI181" s="68">
        <f t="shared" si="591"/>
        <v>0</v>
      </c>
      <c r="AJ181" s="1112"/>
      <c r="AK181" s="68"/>
      <c r="AL181" s="68"/>
      <c r="AM181" s="1055">
        <v>4</v>
      </c>
      <c r="AN181" s="68">
        <f t="shared" si="592"/>
        <v>-4</v>
      </c>
      <c r="AO181" s="1112"/>
      <c r="AP181" s="68"/>
      <c r="AQ181" s="68"/>
      <c r="AR181" s="68"/>
      <c r="AS181" s="68">
        <f t="shared" si="593"/>
        <v>0</v>
      </c>
      <c r="AT181" s="1112"/>
      <c r="AU181" s="68"/>
      <c r="AV181" s="68"/>
      <c r="AW181" s="68"/>
      <c r="AX181" s="68"/>
      <c r="AY181" s="1112"/>
      <c r="AZ181" s="68"/>
      <c r="BA181" s="68"/>
      <c r="BB181" s="68"/>
      <c r="BC181" s="68"/>
      <c r="BD181" s="1112"/>
      <c r="BE181" s="68"/>
      <c r="BF181" s="68"/>
      <c r="BG181" s="68"/>
      <c r="BH181" s="68"/>
      <c r="BI181" s="1112"/>
      <c r="BJ181" s="68"/>
      <c r="BK181" s="68"/>
      <c r="BL181" s="68"/>
      <c r="BM181" s="68"/>
      <c r="BN181" s="1112"/>
      <c r="BO181" s="68"/>
      <c r="BP181" s="68"/>
      <c r="BQ181" s="68"/>
      <c r="BR181" s="68"/>
      <c r="BS181" s="1112"/>
      <c r="BT181" s="68"/>
      <c r="BU181" s="68"/>
      <c r="BV181" s="68"/>
      <c r="BW181" s="68"/>
      <c r="BX181" s="1112"/>
      <c r="BY181" s="588"/>
      <c r="BZ181" s="68"/>
      <c r="CA181" s="68"/>
      <c r="CB181" s="68"/>
      <c r="CC181" s="1112"/>
      <c r="CD181" s="68"/>
      <c r="CE181" s="68"/>
      <c r="CF181" s="68"/>
      <c r="CG181" s="68"/>
      <c r="CH181" s="1112"/>
      <c r="CI181" s="1112"/>
      <c r="CJ181" s="1112"/>
      <c r="CK181" s="1112"/>
      <c r="CL181" s="155"/>
    </row>
    <row r="182" spans="1:90" hidden="1" outlineLevel="1" x14ac:dyDescent="0.3">
      <c r="A182" s="572" t="s">
        <v>793</v>
      </c>
      <c r="B182" s="602"/>
      <c r="C182" s="1112"/>
      <c r="D182" s="1112"/>
      <c r="E182" s="1113">
        <v>-193.9</v>
      </c>
      <c r="F182" s="1112"/>
      <c r="G182" s="68"/>
      <c r="H182" s="68"/>
      <c r="I182" s="68"/>
      <c r="J182" s="68">
        <f t="shared" si="586"/>
        <v>0</v>
      </c>
      <c r="K182" s="1112"/>
      <c r="L182" s="68"/>
      <c r="M182" s="68"/>
      <c r="N182" s="68"/>
      <c r="O182" s="68">
        <f t="shared" si="587"/>
        <v>0</v>
      </c>
      <c r="P182" s="1112"/>
      <c r="Q182" s="68"/>
      <c r="R182" s="68"/>
      <c r="S182" s="68"/>
      <c r="T182" s="68">
        <f t="shared" si="588"/>
        <v>0</v>
      </c>
      <c r="U182" s="1112"/>
      <c r="V182" s="68"/>
      <c r="W182" s="1055">
        <v>-15</v>
      </c>
      <c r="X182" s="68"/>
      <c r="Y182" s="68">
        <f t="shared" si="589"/>
        <v>-6</v>
      </c>
      <c r="Z182" s="1113">
        <v>-21</v>
      </c>
      <c r="AA182" s="68"/>
      <c r="AB182" s="68"/>
      <c r="AC182" s="68"/>
      <c r="AD182" s="68">
        <f t="shared" si="590"/>
        <v>0</v>
      </c>
      <c r="AE182" s="1112"/>
      <c r="AF182" s="68"/>
      <c r="AG182" s="68"/>
      <c r="AH182" s="68"/>
      <c r="AI182" s="68">
        <f t="shared" si="591"/>
        <v>0</v>
      </c>
      <c r="AJ182" s="1112"/>
      <c r="AK182" s="68"/>
      <c r="AL182" s="68"/>
      <c r="AM182" s="68"/>
      <c r="AN182" s="68">
        <f t="shared" si="592"/>
        <v>0</v>
      </c>
      <c r="AO182" s="1112"/>
      <c r="AP182" s="68"/>
      <c r="AQ182" s="68"/>
      <c r="AR182" s="68"/>
      <c r="AS182" s="68">
        <f t="shared" si="593"/>
        <v>0</v>
      </c>
      <c r="AT182" s="1112"/>
      <c r="AU182" s="68"/>
      <c r="AV182" s="68"/>
      <c r="AW182" s="68"/>
      <c r="AX182" s="68"/>
      <c r="AY182" s="1112"/>
      <c r="AZ182" s="68"/>
      <c r="BA182" s="68"/>
      <c r="BB182" s="68"/>
      <c r="BC182" s="68"/>
      <c r="BD182" s="1112"/>
      <c r="BE182" s="68"/>
      <c r="BF182" s="68"/>
      <c r="BG182" s="68"/>
      <c r="BH182" s="68"/>
      <c r="BI182" s="1112"/>
      <c r="BJ182" s="68"/>
      <c r="BK182" s="68"/>
      <c r="BL182" s="68"/>
      <c r="BM182" s="68"/>
      <c r="BN182" s="1112"/>
      <c r="BO182" s="68"/>
      <c r="BP182" s="68"/>
      <c r="BQ182" s="68"/>
      <c r="BR182" s="68"/>
      <c r="BS182" s="1112"/>
      <c r="BT182" s="68"/>
      <c r="BU182" s="68"/>
      <c r="BV182" s="68"/>
      <c r="BW182" s="68"/>
      <c r="BX182" s="1112"/>
      <c r="BY182" s="588"/>
      <c r="BZ182" s="68"/>
      <c r="CA182" s="68"/>
      <c r="CB182" s="68"/>
      <c r="CC182" s="1112"/>
      <c r="CD182" s="68"/>
      <c r="CE182" s="68"/>
      <c r="CF182" s="68"/>
      <c r="CG182" s="68"/>
      <c r="CH182" s="1112"/>
      <c r="CI182" s="1112"/>
      <c r="CJ182" s="1112"/>
      <c r="CK182" s="1112"/>
      <c r="CL182" s="155"/>
    </row>
    <row r="183" spans="1:90" hidden="1" outlineLevel="1" x14ac:dyDescent="0.3">
      <c r="A183" s="649" t="s">
        <v>794</v>
      </c>
      <c r="B183" s="603"/>
      <c r="C183" s="1123"/>
      <c r="D183" s="1123"/>
      <c r="E183" s="1133">
        <v>57</v>
      </c>
      <c r="F183" s="1133">
        <v>-7.3</v>
      </c>
      <c r="G183" s="109"/>
      <c r="H183" s="1062">
        <v>-20.126999999999999</v>
      </c>
      <c r="I183" s="109"/>
      <c r="J183" s="109">
        <f t="shared" si="586"/>
        <v>0</v>
      </c>
      <c r="K183" s="1133">
        <v>-20.126999999999999</v>
      </c>
      <c r="L183" s="109"/>
      <c r="M183" s="1062">
        <v>-2.29</v>
      </c>
      <c r="N183" s="1062">
        <v>-2.2349999999999999</v>
      </c>
      <c r="O183" s="109">
        <f t="shared" si="587"/>
        <v>4.4870000000000001</v>
      </c>
      <c r="P183" s="1133">
        <v>-3.7999999999999999E-2</v>
      </c>
      <c r="Q183" s="109"/>
      <c r="R183" s="109"/>
      <c r="S183" s="109"/>
      <c r="T183" s="109">
        <f t="shared" si="588"/>
        <v>0</v>
      </c>
      <c r="U183" s="1123"/>
      <c r="V183" s="109"/>
      <c r="W183" s="109"/>
      <c r="X183" s="109"/>
      <c r="Y183" s="109">
        <f t="shared" si="589"/>
        <v>0</v>
      </c>
      <c r="Z183" s="1123"/>
      <c r="AA183" s="109"/>
      <c r="AB183" s="109"/>
      <c r="AC183" s="109"/>
      <c r="AD183" s="109">
        <f t="shared" si="590"/>
        <v>0</v>
      </c>
      <c r="AE183" s="1123"/>
      <c r="AF183" s="109"/>
      <c r="AG183" s="109"/>
      <c r="AH183" s="109"/>
      <c r="AI183" s="109">
        <f t="shared" si="591"/>
        <v>0</v>
      </c>
      <c r="AJ183" s="1123"/>
      <c r="AK183" s="109"/>
      <c r="AL183" s="109"/>
      <c r="AM183" s="109"/>
      <c r="AN183" s="109">
        <f t="shared" si="592"/>
        <v>0</v>
      </c>
      <c r="AO183" s="1123"/>
      <c r="AP183" s="109"/>
      <c r="AQ183" s="109"/>
      <c r="AR183" s="109"/>
      <c r="AS183" s="109">
        <f t="shared" si="593"/>
        <v>0</v>
      </c>
      <c r="AT183" s="1123"/>
      <c r="AU183" s="109"/>
      <c r="AV183" s="109"/>
      <c r="AW183" s="109"/>
      <c r="AX183" s="109"/>
      <c r="AY183" s="1123"/>
      <c r="AZ183" s="109"/>
      <c r="BA183" s="109"/>
      <c r="BB183" s="109"/>
      <c r="BC183" s="109"/>
      <c r="BD183" s="1123"/>
      <c r="BE183" s="109"/>
      <c r="BF183" s="109"/>
      <c r="BG183" s="109"/>
      <c r="BH183" s="109"/>
      <c r="BI183" s="1123"/>
      <c r="BJ183" s="109"/>
      <c r="BK183" s="109"/>
      <c r="BL183" s="109"/>
      <c r="BM183" s="109"/>
      <c r="BN183" s="1123"/>
      <c r="BO183" s="109"/>
      <c r="BP183" s="109"/>
      <c r="BQ183" s="109"/>
      <c r="BR183" s="109"/>
      <c r="BS183" s="1123"/>
      <c r="BT183" s="109"/>
      <c r="BU183" s="109"/>
      <c r="BV183" s="109"/>
      <c r="BW183" s="109"/>
      <c r="BX183" s="1123"/>
      <c r="BY183" s="730"/>
      <c r="BZ183" s="109"/>
      <c r="CA183" s="109"/>
      <c r="CB183" s="109"/>
      <c r="CC183" s="1123"/>
      <c r="CD183" s="109"/>
      <c r="CE183" s="109"/>
      <c r="CF183" s="109"/>
      <c r="CG183" s="109"/>
      <c r="CH183" s="1123"/>
      <c r="CI183" s="1123"/>
      <c r="CJ183" s="1123"/>
      <c r="CK183" s="1123"/>
      <c r="CL183" s="155"/>
    </row>
    <row r="184" spans="1:90" hidden="1" outlineLevel="1" x14ac:dyDescent="0.3">
      <c r="A184" s="99" t="s">
        <v>633</v>
      </c>
      <c r="B184" s="602"/>
      <c r="C184" s="1112"/>
      <c r="D184" s="1112"/>
      <c r="E184" s="1113">
        <v>-375.77600000000001</v>
      </c>
      <c r="F184" s="1113">
        <v>-112.92400000000001</v>
      </c>
      <c r="G184" s="1055">
        <v>-18.114999999999998</v>
      </c>
      <c r="H184" s="1055">
        <v>-31.079000000000001</v>
      </c>
      <c r="I184" s="1055">
        <v>-13.146000000000001</v>
      </c>
      <c r="J184" s="68">
        <f t="shared" si="586"/>
        <v>-16.265000000000001</v>
      </c>
      <c r="K184" s="1113">
        <v>-78.605000000000004</v>
      </c>
      <c r="L184" s="1055">
        <v>-20.754999999999999</v>
      </c>
      <c r="M184" s="1055">
        <v>-18.82</v>
      </c>
      <c r="N184" s="1055">
        <v>-15.144</v>
      </c>
      <c r="O184" s="68">
        <f t="shared" si="587"/>
        <v>-15.749000000000002</v>
      </c>
      <c r="P184" s="1113">
        <v>-70.468000000000004</v>
      </c>
      <c r="Q184" s="1055">
        <v>-22</v>
      </c>
      <c r="R184" s="1055">
        <v>-23</v>
      </c>
      <c r="S184" s="1055">
        <v>-28</v>
      </c>
      <c r="T184" s="68">
        <f t="shared" si="588"/>
        <v>-27</v>
      </c>
      <c r="U184" s="1113">
        <v>-100</v>
      </c>
      <c r="V184" s="1055">
        <v>-45</v>
      </c>
      <c r="W184" s="1055">
        <v>-156</v>
      </c>
      <c r="X184" s="1055">
        <v>-57</v>
      </c>
      <c r="Y184" s="68">
        <f t="shared" si="589"/>
        <v>-100</v>
      </c>
      <c r="Z184" s="1113">
        <v>-358</v>
      </c>
      <c r="AA184" s="1055">
        <v>-65</v>
      </c>
      <c r="AB184" s="1055">
        <v>-48</v>
      </c>
      <c r="AC184" s="1055">
        <v>-56</v>
      </c>
      <c r="AD184" s="68">
        <f t="shared" si="590"/>
        <v>-68</v>
      </c>
      <c r="AE184" s="1113">
        <v>-237</v>
      </c>
      <c r="AF184" s="1055">
        <v>-95</v>
      </c>
      <c r="AG184" s="1055">
        <v>-144</v>
      </c>
      <c r="AH184" s="1055">
        <v>-171</v>
      </c>
      <c r="AI184" s="68">
        <f t="shared" si="591"/>
        <v>-190</v>
      </c>
      <c r="AJ184" s="1113">
        <v>-600</v>
      </c>
      <c r="AK184" s="1055">
        <v>-196</v>
      </c>
      <c r="AL184" s="1055">
        <v>-199</v>
      </c>
      <c r="AM184" s="1055">
        <v>-228</v>
      </c>
      <c r="AN184" s="68">
        <f t="shared" si="592"/>
        <v>-257</v>
      </c>
      <c r="AO184" s="1113">
        <v>-880</v>
      </c>
      <c r="AP184" s="1055">
        <v>-267</v>
      </c>
      <c r="AQ184" s="1055">
        <v>-297</v>
      </c>
      <c r="AR184" s="1055">
        <v>-293</v>
      </c>
      <c r="AS184" s="68">
        <f t="shared" si="593"/>
        <v>-299</v>
      </c>
      <c r="AT184" s="1113">
        <v>-1156</v>
      </c>
      <c r="AU184" s="68"/>
      <c r="AV184" s="68"/>
      <c r="AW184" s="68"/>
      <c r="AX184" s="68"/>
      <c r="AY184" s="1112"/>
      <c r="AZ184" s="68"/>
      <c r="BA184" s="68"/>
      <c r="BB184" s="68"/>
      <c r="BC184" s="68"/>
      <c r="BD184" s="1112"/>
      <c r="BE184" s="68"/>
      <c r="BF184" s="68"/>
      <c r="BG184" s="68"/>
      <c r="BH184" s="68"/>
      <c r="BI184" s="1112"/>
      <c r="BJ184" s="68"/>
      <c r="BK184" s="68"/>
      <c r="BL184" s="68"/>
      <c r="BM184" s="68"/>
      <c r="BN184" s="1112"/>
      <c r="BO184" s="68"/>
      <c r="BP184" s="68"/>
      <c r="BQ184" s="68"/>
      <c r="BR184" s="68"/>
      <c r="BS184" s="1112"/>
      <c r="BT184" s="68"/>
      <c r="BU184" s="68"/>
      <c r="BV184" s="68"/>
      <c r="BW184" s="68"/>
      <c r="BX184" s="1112"/>
      <c r="BY184" s="588"/>
      <c r="BZ184" s="68"/>
      <c r="CA184" s="68"/>
      <c r="CB184" s="68"/>
      <c r="CC184" s="1112"/>
      <c r="CD184" s="68"/>
      <c r="CE184" s="68"/>
      <c r="CF184" s="68"/>
      <c r="CG184" s="68"/>
      <c r="CH184" s="1112"/>
      <c r="CI184" s="1112"/>
      <c r="CJ184" s="1112"/>
      <c r="CK184" s="1112"/>
      <c r="CL184" s="155"/>
    </row>
    <row r="185" spans="1:90" hidden="1" outlineLevel="1" x14ac:dyDescent="0.3">
      <c r="A185" s="631" t="s">
        <v>632</v>
      </c>
      <c r="B185" s="604"/>
      <c r="C185" s="1124">
        <f t="shared" ref="C185:AT185" si="594">SUM(C173:C174,C184)</f>
        <v>0</v>
      </c>
      <c r="D185" s="1124">
        <f t="shared" si="594"/>
        <v>0</v>
      </c>
      <c r="E185" s="1124">
        <f t="shared" si="594"/>
        <v>255.7469999999999</v>
      </c>
      <c r="F185" s="1124">
        <f t="shared" si="594"/>
        <v>648.29899999999998</v>
      </c>
      <c r="G185" s="61">
        <f t="shared" si="594"/>
        <v>72.826000000000008</v>
      </c>
      <c r="H185" s="61">
        <f t="shared" si="594"/>
        <v>139.62299999999999</v>
      </c>
      <c r="I185" s="61">
        <f t="shared" si="594"/>
        <v>252.21699999999998</v>
      </c>
      <c r="J185" s="61">
        <f t="shared" si="594"/>
        <v>183.57300000000004</v>
      </c>
      <c r="K185" s="1124">
        <f t="shared" si="594"/>
        <v>648.23900000000003</v>
      </c>
      <c r="L185" s="61">
        <f t="shared" si="594"/>
        <v>82.781000000000006</v>
      </c>
      <c r="M185" s="61">
        <f t="shared" si="594"/>
        <v>105.53399999999999</v>
      </c>
      <c r="N185" s="61">
        <f t="shared" si="594"/>
        <v>140.988</v>
      </c>
      <c r="O185" s="61">
        <f t="shared" si="594"/>
        <v>166.92400000000012</v>
      </c>
      <c r="P185" s="1124">
        <f t="shared" si="594"/>
        <v>496.22700000000003</v>
      </c>
      <c r="Q185" s="61">
        <f t="shared" si="594"/>
        <v>151</v>
      </c>
      <c r="R185" s="61">
        <f t="shared" si="594"/>
        <v>163</v>
      </c>
      <c r="S185" s="61">
        <f t="shared" si="594"/>
        <v>213</v>
      </c>
      <c r="T185" s="61">
        <f t="shared" si="594"/>
        <v>232</v>
      </c>
      <c r="U185" s="1124">
        <f t="shared" si="594"/>
        <v>759</v>
      </c>
      <c r="V185" s="61">
        <f t="shared" si="594"/>
        <v>176</v>
      </c>
      <c r="W185" s="61">
        <f t="shared" si="594"/>
        <v>76</v>
      </c>
      <c r="X185" s="61">
        <f t="shared" si="594"/>
        <v>245</v>
      </c>
      <c r="Y185" s="61">
        <f t="shared" si="594"/>
        <v>250</v>
      </c>
      <c r="Z185" s="1124">
        <f t="shared" si="594"/>
        <v>747</v>
      </c>
      <c r="AA185" s="61">
        <f t="shared" si="594"/>
        <v>245</v>
      </c>
      <c r="AB185" s="61">
        <f t="shared" si="594"/>
        <v>317</v>
      </c>
      <c r="AC185" s="61">
        <f t="shared" si="594"/>
        <v>639</v>
      </c>
      <c r="AD185" s="61">
        <f t="shared" si="594"/>
        <v>733</v>
      </c>
      <c r="AE185" s="1124">
        <f t="shared" si="594"/>
        <v>1934</v>
      </c>
      <c r="AF185" s="61">
        <f t="shared" si="594"/>
        <v>554</v>
      </c>
      <c r="AG185" s="61">
        <f t="shared" si="594"/>
        <v>688</v>
      </c>
      <c r="AH185" s="61">
        <f t="shared" si="594"/>
        <v>895</v>
      </c>
      <c r="AI185" s="61">
        <f t="shared" si="594"/>
        <v>1073</v>
      </c>
      <c r="AJ185" s="1124">
        <f t="shared" si="594"/>
        <v>3210</v>
      </c>
      <c r="AK185" s="61">
        <f t="shared" si="594"/>
        <v>1295</v>
      </c>
      <c r="AL185" s="61">
        <f t="shared" si="594"/>
        <v>1157</v>
      </c>
      <c r="AM185" s="61">
        <f t="shared" si="594"/>
        <v>1058</v>
      </c>
      <c r="AN185" s="61">
        <f t="shared" si="594"/>
        <v>294</v>
      </c>
      <c r="AO185" s="1124">
        <f t="shared" si="594"/>
        <v>3804</v>
      </c>
      <c r="AP185" s="61">
        <f t="shared" si="594"/>
        <v>358</v>
      </c>
      <c r="AQ185" s="61">
        <f t="shared" si="594"/>
        <v>571</v>
      </c>
      <c r="AR185" s="61">
        <f t="shared" si="594"/>
        <v>927</v>
      </c>
      <c r="AS185" s="61">
        <f t="shared" si="594"/>
        <v>990</v>
      </c>
      <c r="AT185" s="1124">
        <f t="shared" si="594"/>
        <v>2846</v>
      </c>
      <c r="AU185" s="61"/>
      <c r="AV185" s="61"/>
      <c r="AW185" s="61"/>
      <c r="AX185" s="61"/>
      <c r="AY185" s="1124"/>
      <c r="AZ185" s="61"/>
      <c r="BA185" s="61"/>
      <c r="BB185" s="61"/>
      <c r="BC185" s="61"/>
      <c r="BD185" s="1124"/>
      <c r="BE185" s="61"/>
      <c r="BF185" s="61"/>
      <c r="BG185" s="61"/>
      <c r="BH185" s="61"/>
      <c r="BI185" s="1124"/>
      <c r="BJ185" s="61"/>
      <c r="BK185" s="61"/>
      <c r="BL185" s="61"/>
      <c r="BM185" s="61"/>
      <c r="BN185" s="1124"/>
      <c r="BO185" s="61"/>
      <c r="BP185" s="61"/>
      <c r="BQ185" s="61"/>
      <c r="BR185" s="61"/>
      <c r="BS185" s="1124"/>
      <c r="BT185" s="61"/>
      <c r="BU185" s="61"/>
      <c r="BV185" s="61"/>
      <c r="BW185" s="61"/>
      <c r="BX185" s="1124"/>
      <c r="BY185" s="896"/>
      <c r="BZ185" s="61"/>
      <c r="CA185" s="61"/>
      <c r="CB185" s="61"/>
      <c r="CC185" s="1124"/>
      <c r="CD185" s="61"/>
      <c r="CE185" s="61"/>
      <c r="CF185" s="61"/>
      <c r="CG185" s="61"/>
      <c r="CH185" s="1124"/>
      <c r="CI185" s="1124"/>
      <c r="CJ185" s="1124"/>
      <c r="CK185" s="1124"/>
      <c r="CL185" s="155"/>
    </row>
    <row r="186" spans="1:90" hidden="1" outlineLevel="1" x14ac:dyDescent="0.3">
      <c r="A186" s="600"/>
      <c r="B186" s="633"/>
      <c r="C186" s="1127"/>
      <c r="D186" s="1127"/>
      <c r="E186" s="1127"/>
      <c r="F186" s="1127"/>
      <c r="G186" s="63"/>
      <c r="H186" s="63"/>
      <c r="I186" s="63"/>
      <c r="J186" s="63"/>
      <c r="K186" s="1127"/>
      <c r="L186" s="63"/>
      <c r="M186" s="63"/>
      <c r="N186" s="63"/>
      <c r="O186" s="63"/>
      <c r="P186" s="1127"/>
      <c r="Q186" s="63"/>
      <c r="R186" s="63"/>
      <c r="S186" s="63"/>
      <c r="T186" s="63"/>
      <c r="U186" s="1127"/>
      <c r="V186" s="63"/>
      <c r="W186" s="63"/>
      <c r="X186" s="63"/>
      <c r="Y186" s="63"/>
      <c r="Z186" s="1127"/>
      <c r="AA186" s="63"/>
      <c r="AB186" s="63"/>
      <c r="AC186" s="63"/>
      <c r="AD186" s="63"/>
      <c r="AE186" s="1127"/>
      <c r="AF186" s="63"/>
      <c r="AG186" s="63"/>
      <c r="AH186" s="63"/>
      <c r="AI186" s="63"/>
      <c r="AJ186" s="1127"/>
      <c r="AK186" s="63"/>
      <c r="AL186" s="63"/>
      <c r="AM186" s="63"/>
      <c r="AN186" s="63"/>
      <c r="AO186" s="1127"/>
      <c r="AP186" s="63"/>
      <c r="AQ186" s="63"/>
      <c r="AR186" s="63"/>
      <c r="AS186" s="63"/>
      <c r="AT186" s="1127"/>
      <c r="AU186" s="63"/>
      <c r="AV186" s="63"/>
      <c r="AW186" s="63"/>
      <c r="AX186" s="63"/>
      <c r="AY186" s="1127"/>
      <c r="AZ186" s="63"/>
      <c r="BA186" s="63"/>
      <c r="BB186" s="63"/>
      <c r="BC186" s="63"/>
      <c r="BD186" s="1127"/>
      <c r="BE186" s="63"/>
      <c r="BF186" s="63"/>
      <c r="BG186" s="63"/>
      <c r="BH186" s="63"/>
      <c r="BI186" s="1127"/>
      <c r="BJ186" s="63"/>
      <c r="BK186" s="63"/>
      <c r="BL186" s="63"/>
      <c r="BM186" s="63"/>
      <c r="BN186" s="1127"/>
      <c r="BO186" s="63"/>
      <c r="BP186" s="63"/>
      <c r="BQ186" s="63"/>
      <c r="BR186" s="63"/>
      <c r="BS186" s="1127"/>
      <c r="BT186" s="63"/>
      <c r="BU186" s="63"/>
      <c r="BV186" s="63"/>
      <c r="BW186" s="63"/>
      <c r="BX186" s="1127"/>
      <c r="BY186" s="587"/>
      <c r="BZ186" s="63"/>
      <c r="CA186" s="63"/>
      <c r="CB186" s="63"/>
      <c r="CC186" s="1127"/>
      <c r="CD186" s="63"/>
      <c r="CE186" s="63"/>
      <c r="CF186" s="63"/>
      <c r="CG186" s="63"/>
      <c r="CH186" s="1127"/>
      <c r="CI186" s="1127"/>
      <c r="CJ186" s="1127"/>
      <c r="CK186" s="1127"/>
      <c r="CL186" s="155"/>
    </row>
    <row r="187" spans="1:90" hidden="1" outlineLevel="1" x14ac:dyDescent="0.3">
      <c r="A187" s="647" t="s">
        <v>830</v>
      </c>
      <c r="B187" s="670"/>
      <c r="C187" s="1128"/>
      <c r="D187" s="1128"/>
      <c r="E187" s="1128">
        <f t="shared" ref="E187:AT187" si="595">E173/E143</f>
        <v>0.20347365690128452</v>
      </c>
      <c r="F187" s="1128">
        <f t="shared" si="595"/>
        <v>0.25782894497364722</v>
      </c>
      <c r="G187" s="315">
        <f t="shared" si="595"/>
        <v>0.21129459706896669</v>
      </c>
      <c r="H187" s="315">
        <f t="shared" si="595"/>
        <v>0.27050276475537927</v>
      </c>
      <c r="I187" s="315">
        <f t="shared" si="595"/>
        <v>0.29533028632008851</v>
      </c>
      <c r="J187" s="315">
        <f t="shared" si="595"/>
        <v>0.30170423560444626</v>
      </c>
      <c r="K187" s="1128">
        <f t="shared" si="595"/>
        <v>0.27209266995355064</v>
      </c>
      <c r="L187" s="315">
        <f t="shared" si="595"/>
        <v>0.20178663258707863</v>
      </c>
      <c r="M187" s="315">
        <f t="shared" si="595"/>
        <v>0.24215100400296755</v>
      </c>
      <c r="N187" s="315">
        <f t="shared" si="595"/>
        <v>0.25130326983587525</v>
      </c>
      <c r="O187" s="315">
        <f t="shared" si="595"/>
        <v>0.26182627554414295</v>
      </c>
      <c r="P187" s="1128">
        <f t="shared" si="595"/>
        <v>0.2406944463667022</v>
      </c>
      <c r="Q187" s="315">
        <f t="shared" si="595"/>
        <v>0.26169265033407574</v>
      </c>
      <c r="R187" s="315">
        <f t="shared" si="595"/>
        <v>0.2744874715261959</v>
      </c>
      <c r="S187" s="315">
        <f t="shared" si="595"/>
        <v>0.29667003027245209</v>
      </c>
      <c r="T187" s="315">
        <f t="shared" si="595"/>
        <v>0.3199626865671642</v>
      </c>
      <c r="U187" s="1128">
        <f t="shared" si="595"/>
        <v>0.28991924980463663</v>
      </c>
      <c r="V187" s="315">
        <f t="shared" si="595"/>
        <v>0.29574468085106381</v>
      </c>
      <c r="W187" s="315">
        <f t="shared" si="595"/>
        <v>0.28467153284671531</v>
      </c>
      <c r="X187" s="315">
        <f t="shared" si="595"/>
        <v>0.33063063063063064</v>
      </c>
      <c r="Y187" s="315">
        <f t="shared" si="595"/>
        <v>0.36162988115449918</v>
      </c>
      <c r="Z187" s="1128">
        <f t="shared" si="595"/>
        <v>0.32099355146883207</v>
      </c>
      <c r="AA187" s="315">
        <f t="shared" si="595"/>
        <v>0.32252085264133457</v>
      </c>
      <c r="AB187" s="315">
        <f t="shared" si="595"/>
        <v>0.31688963210702342</v>
      </c>
      <c r="AC187" s="315">
        <f t="shared" si="595"/>
        <v>0.39952857984678847</v>
      </c>
      <c r="AD187" s="315">
        <f t="shared" si="595"/>
        <v>0.41891891891891891</v>
      </c>
      <c r="AE187" s="1128">
        <f t="shared" si="595"/>
        <v>0.37444177258673994</v>
      </c>
      <c r="AF187" s="315">
        <f t="shared" si="595"/>
        <v>0.38540332906530089</v>
      </c>
      <c r="AG187" s="315">
        <f t="shared" si="595"/>
        <v>0.40115972588297311</v>
      </c>
      <c r="AH187" s="315">
        <f t="shared" si="595"/>
        <v>0.44113667117726657</v>
      </c>
      <c r="AI187" s="315">
        <f t="shared" si="595"/>
        <v>0.47379114181227144</v>
      </c>
      <c r="AJ187" s="1128">
        <f t="shared" si="595"/>
        <v>0.43099422391544795</v>
      </c>
      <c r="AK187" s="315">
        <f t="shared" si="595"/>
        <v>0.50415913200723328</v>
      </c>
      <c r="AL187" s="315">
        <f t="shared" si="595"/>
        <v>0.47402108433734941</v>
      </c>
      <c r="AM187" s="315">
        <f t="shared" si="595"/>
        <v>0.43763518385003602</v>
      </c>
      <c r="AN187" s="315">
        <f t="shared" si="595"/>
        <v>0.29090909090909089</v>
      </c>
      <c r="AO187" s="1128">
        <f t="shared" si="595"/>
        <v>0.43665847665847668</v>
      </c>
      <c r="AP187" s="315">
        <f t="shared" si="595"/>
        <v>0.33086053412462907</v>
      </c>
      <c r="AQ187" s="315">
        <f t="shared" si="595"/>
        <v>0.35456273764258556</v>
      </c>
      <c r="AR187" s="315">
        <f t="shared" si="595"/>
        <v>0.442495126705653</v>
      </c>
      <c r="AS187" s="315">
        <f t="shared" si="595"/>
        <v>0.45277577505407351</v>
      </c>
      <c r="AT187" s="1128">
        <f t="shared" si="595"/>
        <v>0.40211304807184362</v>
      </c>
      <c r="AU187" s="315"/>
      <c r="AV187" s="315"/>
      <c r="AW187" s="315"/>
      <c r="AX187" s="315"/>
      <c r="AY187" s="1128"/>
      <c r="AZ187" s="315"/>
      <c r="BA187" s="315"/>
      <c r="BB187" s="315"/>
      <c r="BC187" s="315"/>
      <c r="BD187" s="1128"/>
      <c r="BE187" s="315"/>
      <c r="BF187" s="315"/>
      <c r="BG187" s="315"/>
      <c r="BH187" s="315"/>
      <c r="BI187" s="1128"/>
      <c r="BJ187" s="315"/>
      <c r="BK187" s="315"/>
      <c r="BL187" s="315"/>
      <c r="BM187" s="315"/>
      <c r="BN187" s="1128"/>
      <c r="BO187" s="315"/>
      <c r="BP187" s="315"/>
      <c r="BQ187" s="315"/>
      <c r="BR187" s="315"/>
      <c r="BS187" s="1128"/>
      <c r="BT187" s="315"/>
      <c r="BU187" s="315"/>
      <c r="BV187" s="315"/>
      <c r="BW187" s="315"/>
      <c r="BX187" s="1128"/>
      <c r="BY187" s="897"/>
      <c r="BZ187" s="315"/>
      <c r="CA187" s="315"/>
      <c r="CB187" s="315"/>
      <c r="CC187" s="1128"/>
      <c r="CD187" s="315"/>
      <c r="CE187" s="315"/>
      <c r="CF187" s="315"/>
      <c r="CG187" s="315"/>
      <c r="CH187" s="1128"/>
      <c r="CI187" s="1128"/>
      <c r="CJ187" s="1128"/>
      <c r="CK187" s="1128"/>
      <c r="CL187" s="155"/>
    </row>
    <row r="188" spans="1:90" hidden="1" outlineLevel="1" x14ac:dyDescent="0.3">
      <c r="A188" s="647" t="s">
        <v>831</v>
      </c>
      <c r="B188" s="670"/>
      <c r="C188" s="1128"/>
      <c r="D188" s="1128"/>
      <c r="E188" s="1128">
        <f t="shared" ref="E188:AT188" si="596">E174/E144</f>
        <v>-0.24916376959005734</v>
      </c>
      <c r="F188" s="1128">
        <f t="shared" si="596"/>
        <v>-0.10219972055226451</v>
      </c>
      <c r="G188" s="315">
        <f t="shared" si="596"/>
        <v>-0.4719270707558561</v>
      </c>
      <c r="H188" s="315">
        <f t="shared" si="596"/>
        <v>-0.2523184485042807</v>
      </c>
      <c r="I188" s="315">
        <f t="shared" si="596"/>
        <v>5.2316308666221127E-3</v>
      </c>
      <c r="J188" s="315">
        <f t="shared" si="596"/>
        <v>-0.2463433595024665</v>
      </c>
      <c r="K188" s="1128">
        <f t="shared" si="596"/>
        <v>-0.20658462915022233</v>
      </c>
      <c r="L188" s="315">
        <f t="shared" si="596"/>
        <v>-0.53322602228320426</v>
      </c>
      <c r="M188" s="315">
        <f t="shared" si="596"/>
        <v>-1.5878384798099763</v>
      </c>
      <c r="N188" s="315">
        <f t="shared" si="596"/>
        <v>-0.57785196249572579</v>
      </c>
      <c r="O188" s="315">
        <f t="shared" si="596"/>
        <v>-0.49796388372022088</v>
      </c>
      <c r="P188" s="1128">
        <f t="shared" si="596"/>
        <v>-0.67350722831630727</v>
      </c>
      <c r="Q188" s="315">
        <f t="shared" si="596"/>
        <v>-0.4460431654676259</v>
      </c>
      <c r="R188" s="315">
        <f t="shared" si="596"/>
        <v>-0.34591194968553457</v>
      </c>
      <c r="S188" s="315">
        <f t="shared" si="596"/>
        <v>-0.31547619047619047</v>
      </c>
      <c r="T188" s="315">
        <f t="shared" si="596"/>
        <v>-0.74336283185840712</v>
      </c>
      <c r="U188" s="1128">
        <f t="shared" si="596"/>
        <v>-0.43868739205526769</v>
      </c>
      <c r="V188" s="315">
        <f t="shared" si="596"/>
        <v>-0.39310344827586208</v>
      </c>
      <c r="W188" s="315">
        <f t="shared" si="596"/>
        <v>-0.3203125</v>
      </c>
      <c r="X188" s="315">
        <f t="shared" si="596"/>
        <v>-0.50387596899224807</v>
      </c>
      <c r="Y188" s="315">
        <f t="shared" si="596"/>
        <v>-0.48407643312101911</v>
      </c>
      <c r="Z188" s="1128">
        <f t="shared" si="596"/>
        <v>-0.42754919499105548</v>
      </c>
      <c r="AA188" s="315">
        <f t="shared" si="596"/>
        <v>-0.23749999999999999</v>
      </c>
      <c r="AB188" s="315">
        <f t="shared" si="596"/>
        <v>-8.4337349397590355E-2</v>
      </c>
      <c r="AC188" s="315">
        <f t="shared" si="596"/>
        <v>7.0539419087136929E-2</v>
      </c>
      <c r="AD188" s="315">
        <f t="shared" si="596"/>
        <v>0.10116731517509728</v>
      </c>
      <c r="AE188" s="1128">
        <f t="shared" si="596"/>
        <v>-1.0922330097087379E-2</v>
      </c>
      <c r="AF188" s="315">
        <f t="shared" si="596"/>
        <v>0.14156626506024098</v>
      </c>
      <c r="AG188" s="315">
        <f t="shared" si="596"/>
        <v>0.21321321321321321</v>
      </c>
      <c r="AH188" s="315">
        <f t="shared" si="596"/>
        <v>0.21002386634844869</v>
      </c>
      <c r="AI188" s="315">
        <f t="shared" si="596"/>
        <v>0.21555555555555556</v>
      </c>
      <c r="AJ188" s="1128">
        <f t="shared" si="596"/>
        <v>0.19752281616688397</v>
      </c>
      <c r="AK188" s="315">
        <f t="shared" si="596"/>
        <v>0.21945701357466063</v>
      </c>
      <c r="AL188" s="315">
        <f t="shared" si="596"/>
        <v>0.20770877944325483</v>
      </c>
      <c r="AM188" s="315">
        <f t="shared" si="596"/>
        <v>0.1769041769041769</v>
      </c>
      <c r="AN188" s="315">
        <f t="shared" si="596"/>
        <v>-0.1111111111111111</v>
      </c>
      <c r="AO188" s="1128">
        <f t="shared" si="596"/>
        <v>0.15639195327709279</v>
      </c>
      <c r="AP188" s="315">
        <f t="shared" si="596"/>
        <v>-0.22222222222222221</v>
      </c>
      <c r="AQ188" s="315">
        <f t="shared" si="596"/>
        <v>0.25684210526315787</v>
      </c>
      <c r="AR188" s="315">
        <f t="shared" si="596"/>
        <v>0.18930957683741648</v>
      </c>
      <c r="AS188" s="315">
        <f t="shared" si="596"/>
        <v>9.9697885196374625E-2</v>
      </c>
      <c r="AT188" s="1128">
        <f t="shared" si="596"/>
        <v>0.13489332415691671</v>
      </c>
      <c r="AU188" s="315"/>
      <c r="AV188" s="315"/>
      <c r="AW188" s="315"/>
      <c r="AX188" s="315"/>
      <c r="AY188" s="1128"/>
      <c r="AZ188" s="315"/>
      <c r="BA188" s="315"/>
      <c r="BB188" s="315"/>
      <c r="BC188" s="315"/>
      <c r="BD188" s="1128"/>
      <c r="BE188" s="315"/>
      <c r="BF188" s="315"/>
      <c r="BG188" s="315"/>
      <c r="BH188" s="315"/>
      <c r="BI188" s="1128"/>
      <c r="BJ188" s="315"/>
      <c r="BK188" s="315"/>
      <c r="BL188" s="315"/>
      <c r="BM188" s="315"/>
      <c r="BN188" s="1128"/>
      <c r="BO188" s="315"/>
      <c r="BP188" s="315"/>
      <c r="BQ188" s="315"/>
      <c r="BR188" s="315"/>
      <c r="BS188" s="1128"/>
      <c r="BT188" s="315"/>
      <c r="BU188" s="315"/>
      <c r="BV188" s="315"/>
      <c r="BW188" s="315"/>
      <c r="BX188" s="1128"/>
      <c r="BY188" s="897"/>
      <c r="BZ188" s="315"/>
      <c r="CA188" s="315"/>
      <c r="CB188" s="315"/>
      <c r="CC188" s="1128"/>
      <c r="CD188" s="315"/>
      <c r="CE188" s="315"/>
      <c r="CF188" s="315"/>
      <c r="CG188" s="315"/>
      <c r="CH188" s="1128"/>
      <c r="CI188" s="1128"/>
      <c r="CJ188" s="1128"/>
      <c r="CK188" s="1128"/>
      <c r="CL188" s="155"/>
    </row>
    <row r="189" spans="1:90" hidden="1" outlineLevel="1" x14ac:dyDescent="0.3">
      <c r="A189" s="647" t="s">
        <v>832</v>
      </c>
      <c r="B189" s="670"/>
      <c r="C189" s="1128"/>
      <c r="D189" s="1128"/>
      <c r="E189" s="1128" t="str">
        <f t="shared" ref="E189:AS189" si="597">IFERROR(E184/E145,"N/A")</f>
        <v>N/A</v>
      </c>
      <c r="F189" s="1128">
        <f t="shared" si="597"/>
        <v>-0.51329090909090913</v>
      </c>
      <c r="G189" s="315">
        <f t="shared" si="597"/>
        <v>-0.27446969696969692</v>
      </c>
      <c r="H189" s="315">
        <f t="shared" si="597"/>
        <v>-0.47089393939393942</v>
      </c>
      <c r="I189" s="315">
        <f t="shared" si="597"/>
        <v>-0.19918181818181818</v>
      </c>
      <c r="J189" s="315">
        <f t="shared" si="597"/>
        <v>-0.24643939393939396</v>
      </c>
      <c r="K189" s="1128">
        <f t="shared" si="597"/>
        <v>-0.29774621212121216</v>
      </c>
      <c r="L189" s="315">
        <f t="shared" si="597"/>
        <v>-0.31446969696969695</v>
      </c>
      <c r="M189" s="315">
        <f t="shared" si="597"/>
        <v>-0.28515151515151516</v>
      </c>
      <c r="N189" s="315">
        <f t="shared" si="597"/>
        <v>-0.22945454545454547</v>
      </c>
      <c r="O189" s="315">
        <f t="shared" si="597"/>
        <v>-0.23862121212121215</v>
      </c>
      <c r="P189" s="1128">
        <f t="shared" si="597"/>
        <v>-0.26692424242424245</v>
      </c>
      <c r="Q189" s="315">
        <f t="shared" si="597"/>
        <v>-0.33333333333333331</v>
      </c>
      <c r="R189" s="315">
        <f t="shared" si="597"/>
        <v>-0.34848484848484851</v>
      </c>
      <c r="S189" s="315">
        <f t="shared" si="597"/>
        <v>-0.42424242424242425</v>
      </c>
      <c r="T189" s="315">
        <f t="shared" si="597"/>
        <v>-0.40909090909090912</v>
      </c>
      <c r="U189" s="1128">
        <f t="shared" si="597"/>
        <v>-0.37878787878787878</v>
      </c>
      <c r="V189" s="315">
        <f t="shared" si="597"/>
        <v>-0.68181818181818177</v>
      </c>
      <c r="W189" s="315">
        <f t="shared" si="597"/>
        <v>-2.3636363636363638</v>
      </c>
      <c r="X189" s="315">
        <f t="shared" si="597"/>
        <v>-0.86363636363636365</v>
      </c>
      <c r="Y189" s="315">
        <f t="shared" si="597"/>
        <v>-1.5151515151515151</v>
      </c>
      <c r="Z189" s="1128">
        <f t="shared" si="597"/>
        <v>-1.356060606060606</v>
      </c>
      <c r="AA189" s="315">
        <f t="shared" si="597"/>
        <v>-0.98484848484848486</v>
      </c>
      <c r="AB189" s="315">
        <f t="shared" si="597"/>
        <v>-0.72727272727272729</v>
      </c>
      <c r="AC189" s="315">
        <f t="shared" si="597"/>
        <v>-0.84848484848484851</v>
      </c>
      <c r="AD189" s="315">
        <f t="shared" si="597"/>
        <v>-1.0303030303030303</v>
      </c>
      <c r="AE189" s="1128">
        <f t="shared" si="597"/>
        <v>-0.89772727272727271</v>
      </c>
      <c r="AF189" s="315">
        <f t="shared" si="597"/>
        <v>-2.2093023255813953</v>
      </c>
      <c r="AG189" s="315" t="str">
        <f t="shared" si="597"/>
        <v>N/A</v>
      </c>
      <c r="AH189" s="315" t="str">
        <f t="shared" si="597"/>
        <v>N/A</v>
      </c>
      <c r="AI189" s="315" t="str">
        <f t="shared" si="597"/>
        <v>N/A</v>
      </c>
      <c r="AJ189" s="1128">
        <f t="shared" si="597"/>
        <v>-13.953488372093023</v>
      </c>
      <c r="AK189" s="315" t="str">
        <f t="shared" si="597"/>
        <v>N/A</v>
      </c>
      <c r="AL189" s="315" t="str">
        <f t="shared" si="597"/>
        <v>N/A</v>
      </c>
      <c r="AM189" s="315" t="str">
        <f t="shared" si="597"/>
        <v>N/A</v>
      </c>
      <c r="AN189" s="315" t="str">
        <f t="shared" si="597"/>
        <v>N/A</v>
      </c>
      <c r="AO189" s="1128" t="str">
        <f t="shared" si="597"/>
        <v>N/A</v>
      </c>
      <c r="AP189" s="315" t="str">
        <f t="shared" si="597"/>
        <v>N/A</v>
      </c>
      <c r="AQ189" s="315" t="str">
        <f t="shared" si="597"/>
        <v>N/A</v>
      </c>
      <c r="AR189" s="315" t="str">
        <f t="shared" si="597"/>
        <v>N/A</v>
      </c>
      <c r="AS189" s="315" t="str">
        <f t="shared" si="597"/>
        <v>N/A</v>
      </c>
      <c r="AT189" s="1128" t="str">
        <f>IFERROR(AT184/AT145,"N/A")</f>
        <v>N/A</v>
      </c>
      <c r="AU189" s="315"/>
      <c r="AV189" s="315"/>
      <c r="AW189" s="315"/>
      <c r="AX189" s="315"/>
      <c r="AY189" s="1128"/>
      <c r="AZ189" s="315"/>
      <c r="BA189" s="315"/>
      <c r="BB189" s="315"/>
      <c r="BC189" s="315"/>
      <c r="BD189" s="1128"/>
      <c r="BE189" s="315"/>
      <c r="BF189" s="315"/>
      <c r="BG189" s="315"/>
      <c r="BH189" s="315"/>
      <c r="BI189" s="1128"/>
      <c r="BJ189" s="315"/>
      <c r="BK189" s="315"/>
      <c r="BL189" s="315"/>
      <c r="BM189" s="315"/>
      <c r="BN189" s="1128"/>
      <c r="BO189" s="315"/>
      <c r="BP189" s="315"/>
      <c r="BQ189" s="315"/>
      <c r="BR189" s="315"/>
      <c r="BS189" s="1128"/>
      <c r="BT189" s="315"/>
      <c r="BU189" s="315"/>
      <c r="BV189" s="315"/>
      <c r="BW189" s="315"/>
      <c r="BX189" s="1128"/>
      <c r="BY189" s="897"/>
      <c r="BZ189" s="315"/>
      <c r="CA189" s="315"/>
      <c r="CB189" s="315"/>
      <c r="CC189" s="1128"/>
      <c r="CD189" s="315"/>
      <c r="CE189" s="315"/>
      <c r="CF189" s="315"/>
      <c r="CG189" s="315"/>
      <c r="CH189" s="1128"/>
      <c r="CI189" s="1128"/>
      <c r="CJ189" s="1128"/>
      <c r="CK189" s="1128"/>
      <c r="CL189" s="155"/>
    </row>
    <row r="190" spans="1:90" hidden="1" outlineLevel="1" x14ac:dyDescent="0.3">
      <c r="A190" s="666" t="s">
        <v>828</v>
      </c>
      <c r="B190" s="673"/>
      <c r="C190" s="1135"/>
      <c r="D190" s="1135"/>
      <c r="E190" s="1135">
        <f t="shared" ref="E190:AS190" si="598">E185/E146</f>
        <v>7.2177447690844887E-2</v>
      </c>
      <c r="F190" s="1135">
        <f t="shared" si="598"/>
        <v>0.16215866711022953</v>
      </c>
      <c r="G190" s="675">
        <f t="shared" si="598"/>
        <v>7.8741281273077404E-2</v>
      </c>
      <c r="H190" s="675">
        <f t="shared" si="598"/>
        <v>0.13370392714527851</v>
      </c>
      <c r="I190" s="675">
        <f t="shared" si="598"/>
        <v>0.20946342111601099</v>
      </c>
      <c r="J190" s="675">
        <f t="shared" si="598"/>
        <v>0.16584395005158545</v>
      </c>
      <c r="K190" s="1135">
        <f t="shared" si="598"/>
        <v>0.15145208390622875</v>
      </c>
      <c r="L190" s="675">
        <f t="shared" si="598"/>
        <v>8.6705371834606124E-2</v>
      </c>
      <c r="M190" s="675">
        <f t="shared" si="598"/>
        <v>0.10799211655707205</v>
      </c>
      <c r="N190" s="675">
        <f t="shared" si="598"/>
        <v>0.13376889409250953</v>
      </c>
      <c r="O190" s="675">
        <f t="shared" si="598"/>
        <v>0.14588478768905938</v>
      </c>
      <c r="P190" s="1135">
        <f t="shared" si="598"/>
        <v>0.12014710318868849</v>
      </c>
      <c r="Q190" s="675">
        <f t="shared" si="598"/>
        <v>0.13689936536718042</v>
      </c>
      <c r="R190" s="675">
        <f t="shared" si="598"/>
        <v>0.14777878513145964</v>
      </c>
      <c r="S190" s="675">
        <f t="shared" si="598"/>
        <v>0.17387755102040817</v>
      </c>
      <c r="T190" s="675">
        <f t="shared" si="598"/>
        <v>0.18545163868904876</v>
      </c>
      <c r="U190" s="1135">
        <f t="shared" si="598"/>
        <v>0.16211020931225972</v>
      </c>
      <c r="V190" s="675">
        <f t="shared" si="598"/>
        <v>0.15291051259774111</v>
      </c>
      <c r="W190" s="675">
        <f t="shared" si="598"/>
        <v>6.5915004336513441E-2</v>
      </c>
      <c r="X190" s="675">
        <f t="shared" si="598"/>
        <v>0.18773946360153257</v>
      </c>
      <c r="Y190" s="675">
        <f t="shared" si="598"/>
        <v>0.17844396859386152</v>
      </c>
      <c r="Z190" s="1135">
        <f t="shared" si="598"/>
        <v>0.14910179640718563</v>
      </c>
      <c r="AA190" s="675">
        <f t="shared" si="598"/>
        <v>0.18773946360153257</v>
      </c>
      <c r="AB190" s="675">
        <f t="shared" si="598"/>
        <v>0.22198879551820727</v>
      </c>
      <c r="AC190" s="675">
        <f t="shared" si="598"/>
        <v>0.31886227544910178</v>
      </c>
      <c r="AD190" s="675">
        <f t="shared" si="598"/>
        <v>0.33732167510354349</v>
      </c>
      <c r="AE190" s="1135">
        <f t="shared" si="598"/>
        <v>0.27988422575976846</v>
      </c>
      <c r="AF190" s="675">
        <f t="shared" si="598"/>
        <v>0.28600929272070214</v>
      </c>
      <c r="AG190" s="675">
        <f t="shared" si="598"/>
        <v>0.30852017937219733</v>
      </c>
      <c r="AH190" s="675">
        <f t="shared" si="598"/>
        <v>0.33952959028831564</v>
      </c>
      <c r="AI190" s="675">
        <f t="shared" si="598"/>
        <v>0.36860185503263482</v>
      </c>
      <c r="AJ190" s="1135">
        <f t="shared" si="598"/>
        <v>0.33045089561457691</v>
      </c>
      <c r="AK190" s="675">
        <f t="shared" si="598"/>
        <v>0.40380417835983784</v>
      </c>
      <c r="AL190" s="675">
        <f t="shared" si="598"/>
        <v>0.37047710534742234</v>
      </c>
      <c r="AM190" s="675">
        <f t="shared" si="598"/>
        <v>0.33259981138006917</v>
      </c>
      <c r="AN190" s="675">
        <f t="shared" si="598"/>
        <v>0.13333333333333333</v>
      </c>
      <c r="AO190" s="1135">
        <f t="shared" si="598"/>
        <v>0.32468419255718678</v>
      </c>
      <c r="AP190" s="675">
        <f t="shared" si="598"/>
        <v>0.16126126126126125</v>
      </c>
      <c r="AQ190" s="675">
        <f t="shared" si="598"/>
        <v>0.22140364482357502</v>
      </c>
      <c r="AR190" s="675">
        <f t="shared" si="598"/>
        <v>0.30756469807564696</v>
      </c>
      <c r="AS190" s="675">
        <f t="shared" si="598"/>
        <v>0.3188405797101449</v>
      </c>
      <c r="AT190" s="1135">
        <f>AT185/AT146</f>
        <v>0.2606704524638212</v>
      </c>
      <c r="AU190" s="675"/>
      <c r="AV190" s="675"/>
      <c r="AW190" s="675"/>
      <c r="AX190" s="675"/>
      <c r="AY190" s="1135"/>
      <c r="AZ190" s="675"/>
      <c r="BA190" s="675"/>
      <c r="BB190" s="675"/>
      <c r="BC190" s="675"/>
      <c r="BD190" s="1135"/>
      <c r="BE190" s="675"/>
      <c r="BF190" s="675"/>
      <c r="BG190" s="675"/>
      <c r="BH190" s="675"/>
      <c r="BI190" s="1135"/>
      <c r="BJ190" s="675"/>
      <c r="BK190" s="675"/>
      <c r="BL190" s="675"/>
      <c r="BM190" s="675"/>
      <c r="BN190" s="1135"/>
      <c r="BO190" s="675"/>
      <c r="BP190" s="675"/>
      <c r="BQ190" s="675"/>
      <c r="BR190" s="675"/>
      <c r="BS190" s="1135"/>
      <c r="BT190" s="675"/>
      <c r="BU190" s="675"/>
      <c r="BV190" s="675"/>
      <c r="BW190" s="675"/>
      <c r="BX190" s="1135"/>
      <c r="BY190" s="900"/>
      <c r="BZ190" s="675"/>
      <c r="CA190" s="675"/>
      <c r="CB190" s="675"/>
      <c r="CC190" s="1135"/>
      <c r="CD190" s="675"/>
      <c r="CE190" s="675"/>
      <c r="CF190" s="675"/>
      <c r="CG190" s="675"/>
      <c r="CH190" s="1135"/>
      <c r="CI190" s="1135"/>
      <c r="CJ190" s="1135"/>
      <c r="CK190" s="1135"/>
      <c r="CL190" s="155"/>
    </row>
    <row r="191" spans="1:90" hidden="1" outlineLevel="1" x14ac:dyDescent="0.3">
      <c r="A191" s="605"/>
      <c r="B191" s="606"/>
      <c r="C191" s="1136"/>
      <c r="D191" s="1136"/>
      <c r="E191" s="1136"/>
      <c r="F191" s="1136"/>
      <c r="G191" s="93"/>
      <c r="H191" s="93"/>
      <c r="I191" s="93"/>
      <c r="J191" s="93"/>
      <c r="K191" s="1136"/>
      <c r="L191" s="93"/>
      <c r="M191" s="93"/>
      <c r="N191" s="93"/>
      <c r="O191" s="93"/>
      <c r="P191" s="1136"/>
      <c r="Q191" s="93"/>
      <c r="R191" s="93"/>
      <c r="S191" s="93"/>
      <c r="T191" s="93"/>
      <c r="U191" s="1136"/>
      <c r="V191" s="93"/>
      <c r="W191" s="93"/>
      <c r="X191" s="93"/>
      <c r="Y191" s="93"/>
      <c r="Z191" s="1136"/>
      <c r="AA191" s="93"/>
      <c r="AB191" s="93"/>
      <c r="AC191" s="93"/>
      <c r="AD191" s="93"/>
      <c r="AE191" s="1136"/>
      <c r="AF191" s="93"/>
      <c r="AG191" s="93"/>
      <c r="AH191" s="93"/>
      <c r="AI191" s="93"/>
      <c r="AJ191" s="1136"/>
      <c r="AK191" s="93"/>
      <c r="AL191" s="93"/>
      <c r="AM191" s="93"/>
      <c r="AN191" s="93"/>
      <c r="AO191" s="1136"/>
      <c r="AP191" s="93"/>
      <c r="AQ191" s="93"/>
      <c r="AR191" s="93"/>
      <c r="AS191" s="93"/>
      <c r="AT191" s="1136"/>
      <c r="AU191" s="93"/>
      <c r="AV191" s="93"/>
      <c r="AW191" s="93"/>
      <c r="AX191" s="93"/>
      <c r="AY191" s="1136"/>
      <c r="AZ191" s="93"/>
      <c r="BA191" s="93"/>
      <c r="BB191" s="93"/>
      <c r="BC191" s="93"/>
      <c r="BD191" s="1136"/>
      <c r="BE191" s="93"/>
      <c r="BF191" s="93"/>
      <c r="BG191" s="93"/>
      <c r="BH191" s="93"/>
      <c r="BI191" s="1136"/>
      <c r="BJ191" s="93"/>
      <c r="BK191" s="93"/>
      <c r="BL191" s="93"/>
      <c r="BM191" s="93"/>
      <c r="BN191" s="1136"/>
      <c r="BO191" s="93"/>
      <c r="BP191" s="93"/>
      <c r="BQ191" s="93"/>
      <c r="BR191" s="93"/>
      <c r="BS191" s="1136"/>
      <c r="BT191" s="93"/>
      <c r="BU191" s="93"/>
      <c r="BV191" s="93"/>
      <c r="BW191" s="93"/>
      <c r="BX191" s="1136"/>
      <c r="BY191" s="522"/>
      <c r="BZ191" s="93"/>
      <c r="CA191" s="93"/>
      <c r="CB191" s="93"/>
      <c r="CC191" s="1136"/>
      <c r="CD191" s="93"/>
      <c r="CE191" s="93"/>
      <c r="CF191" s="93"/>
      <c r="CG191" s="93"/>
      <c r="CH191" s="1136"/>
      <c r="CI191" s="1136"/>
      <c r="CJ191" s="1136"/>
      <c r="CK191" s="1136"/>
      <c r="CL191" s="155"/>
    </row>
    <row r="192" spans="1:90" hidden="1" outlineLevel="1" x14ac:dyDescent="0.3">
      <c r="A192" s="45" t="s">
        <v>25</v>
      </c>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1021" t="s">
        <v>673</v>
      </c>
      <c r="BP192" s="1021" t="s">
        <v>673</v>
      </c>
      <c r="BQ192" s="1021" t="s">
        <v>673</v>
      </c>
      <c r="BR192" s="1021" t="s">
        <v>673</v>
      </c>
      <c r="BS192" s="1021" t="s">
        <v>673</v>
      </c>
      <c r="BT192" s="1021" t="s">
        <v>673</v>
      </c>
      <c r="BU192" s="1021" t="s">
        <v>673</v>
      </c>
      <c r="BV192" s="45"/>
      <c r="BW192" s="1021"/>
      <c r="BX192" s="1021"/>
      <c r="BY192" s="1004"/>
      <c r="BZ192" s="45"/>
      <c r="CA192" s="45"/>
      <c r="CB192" s="45"/>
      <c r="CC192" s="45"/>
      <c r="CD192" s="45"/>
      <c r="CE192" s="45"/>
      <c r="CF192" s="45"/>
      <c r="CG192" s="45"/>
      <c r="CH192" s="45"/>
      <c r="CI192" s="45"/>
      <c r="CJ192" s="45"/>
      <c r="CK192" s="45"/>
      <c r="CL192" s="155"/>
    </row>
    <row r="193" spans="1:90" hidden="1" outlineLevel="1" x14ac:dyDescent="0.3">
      <c r="A193" s="67" t="s">
        <v>26</v>
      </c>
      <c r="B193" s="602"/>
      <c r="C193" s="1113">
        <v>974.077</v>
      </c>
      <c r="D193" s="1113">
        <v>883.13699999999994</v>
      </c>
      <c r="E193" s="1113">
        <v>936.79700000000003</v>
      </c>
      <c r="F193" s="1113">
        <v>1137.175</v>
      </c>
      <c r="G193" s="1055">
        <v>276.31799999999998</v>
      </c>
      <c r="H193" s="1055">
        <v>340.14400000000001</v>
      </c>
      <c r="I193" s="1055">
        <v>403.76900000000001</v>
      </c>
      <c r="J193" s="27">
        <f>K193-SUM(G193,H193,I193)</f>
        <v>336.60699999999997</v>
      </c>
      <c r="K193" s="1113">
        <v>1356.838</v>
      </c>
      <c r="L193" s="1055">
        <v>289.88099999999997</v>
      </c>
      <c r="M193" s="1055">
        <v>319.00400000000002</v>
      </c>
      <c r="N193" s="1055">
        <v>319.01799999999997</v>
      </c>
      <c r="O193" s="27">
        <f>P193-SUM(L193,M193,N193)</f>
        <v>393.09699999999998</v>
      </c>
      <c r="P193" s="1113">
        <v>1321</v>
      </c>
      <c r="Q193" s="1055">
        <v>373</v>
      </c>
      <c r="R193" s="1055">
        <v>331</v>
      </c>
      <c r="S193" s="1055">
        <v>406</v>
      </c>
      <c r="T193" s="27">
        <f>U193-SUM(Q193,R193,S193)</f>
        <v>484</v>
      </c>
      <c r="U193" s="1113">
        <v>1594</v>
      </c>
      <c r="V193" s="1055">
        <v>388</v>
      </c>
      <c r="W193" s="1055">
        <v>445</v>
      </c>
      <c r="X193" s="1055">
        <v>515</v>
      </c>
      <c r="Y193" s="27">
        <f>Z193-SUM(V193,W193,X193)</f>
        <v>564</v>
      </c>
      <c r="Z193" s="1113">
        <v>1912</v>
      </c>
      <c r="AA193" s="1055">
        <v>445</v>
      </c>
      <c r="AB193" s="1055">
        <v>505</v>
      </c>
      <c r="AC193" s="1055">
        <v>747</v>
      </c>
      <c r="AD193" s="27">
        <f>AE193-SUM(AA193,AB193,AC193)</f>
        <v>849</v>
      </c>
      <c r="AE193" s="1113">
        <v>2546</v>
      </c>
      <c r="AF193" s="1055">
        <v>602</v>
      </c>
      <c r="AG193" s="1055">
        <v>674</v>
      </c>
      <c r="AH193" s="1055">
        <v>864</v>
      </c>
      <c r="AI193" s="27">
        <f>AJ193-SUM(AF193,AG193,AH193)</f>
        <v>851</v>
      </c>
      <c r="AJ193" s="1113">
        <v>2991</v>
      </c>
      <c r="AK193" s="1055">
        <v>967</v>
      </c>
      <c r="AL193" s="1055">
        <v>843</v>
      </c>
      <c r="AM193" s="1055">
        <v>929</v>
      </c>
      <c r="AN193" s="27">
        <f>AO193-SUM(AK193,AL193,AM193)</f>
        <v>621</v>
      </c>
      <c r="AO193" s="1113">
        <v>3360</v>
      </c>
      <c r="AP193" s="1055">
        <v>698</v>
      </c>
      <c r="AQ193" s="1055">
        <v>635</v>
      </c>
      <c r="AR193" s="1055">
        <v>838</v>
      </c>
      <c r="AS193" s="27">
        <f>AT193-SUM(AP193,AQ193,AR193)</f>
        <v>854</v>
      </c>
      <c r="AT193" s="1113">
        <v>3025</v>
      </c>
      <c r="AU193" s="1055">
        <v>813</v>
      </c>
      <c r="AV193" s="1055">
        <v>954</v>
      </c>
      <c r="AW193" s="1055">
        <v>1296</v>
      </c>
      <c r="AX193" s="27">
        <f>AY193-SUM(AU193,AV193,AW193)</f>
        <v>1468</v>
      </c>
      <c r="AY193" s="1113">
        <v>4531</v>
      </c>
      <c r="AZ193" s="1055">
        <v>1784</v>
      </c>
      <c r="BA193" s="1055">
        <v>1961</v>
      </c>
      <c r="BB193" s="1055">
        <v>2187</v>
      </c>
      <c r="BC193" s="68">
        <f>BD193-SUM(AZ193,BA193,BB193)</f>
        <v>2612</v>
      </c>
      <c r="BD193" s="1113">
        <v>8544</v>
      </c>
      <c r="BE193" s="1055">
        <v>2777</v>
      </c>
      <c r="BF193" s="1055">
        <v>1204</v>
      </c>
      <c r="BG193" s="1055">
        <v>1153</v>
      </c>
      <c r="BH193" s="68">
        <f>BI193-SUM(BE193,BF193,BG193)</f>
        <v>1852</v>
      </c>
      <c r="BI193" s="1113">
        <v>6986</v>
      </c>
      <c r="BJ193" s="1055">
        <v>1796</v>
      </c>
      <c r="BK193" s="1055">
        <v>2839</v>
      </c>
      <c r="BL193" s="1055">
        <v>4333</v>
      </c>
      <c r="BM193" s="68">
        <f>BN193-SUM(BJ193,BK193,BL193)</f>
        <v>4437</v>
      </c>
      <c r="BN193" s="1113">
        <v>13405</v>
      </c>
      <c r="BO193" s="1055">
        <v>4373</v>
      </c>
      <c r="BP193" s="1055">
        <v>5740</v>
      </c>
      <c r="BQ193" s="1055">
        <v>5153</v>
      </c>
      <c r="BR193" s="68">
        <f>BS193-SUM(BO193,BP193,BQ193)</f>
        <v>5307</v>
      </c>
      <c r="BS193" s="1113">
        <v>20573</v>
      </c>
      <c r="BT193" s="1055">
        <v>7158</v>
      </c>
      <c r="BU193" s="1055">
        <v>8529</v>
      </c>
      <c r="BV193" s="1055">
        <v>13751</v>
      </c>
      <c r="BW193" s="68"/>
      <c r="BX193" s="1113">
        <v>42345</v>
      </c>
      <c r="BY193" s="1057">
        <v>12006</v>
      </c>
      <c r="BZ193" s="68"/>
      <c r="CA193" s="68"/>
      <c r="CB193" s="68"/>
      <c r="CC193" s="1112"/>
      <c r="CD193" s="68"/>
      <c r="CE193" s="68"/>
      <c r="CF193" s="68"/>
      <c r="CG193" s="68"/>
      <c r="CH193" s="1112"/>
      <c r="CI193" s="1112"/>
      <c r="CJ193" s="1112"/>
      <c r="CK193" s="1112"/>
      <c r="CL193" s="155"/>
    </row>
    <row r="194" spans="1:90" hidden="1" outlineLevel="1" x14ac:dyDescent="0.3">
      <c r="A194" s="67" t="s">
        <v>27</v>
      </c>
      <c r="B194" s="602"/>
      <c r="C194" s="1113">
        <v>1087.739</v>
      </c>
      <c r="D194" s="1113">
        <v>1304.1959999999999</v>
      </c>
      <c r="E194" s="1113">
        <v>1223.1990000000001</v>
      </c>
      <c r="F194" s="1113">
        <v>941.81100000000004</v>
      </c>
      <c r="G194" s="1055">
        <v>178.61</v>
      </c>
      <c r="H194" s="1055">
        <v>196.68700000000001</v>
      </c>
      <c r="I194" s="1055">
        <v>205.636</v>
      </c>
      <c r="J194" s="27">
        <f>K194-SUM(G194,H194,I194)</f>
        <v>199.56000000000006</v>
      </c>
      <c r="K194" s="1113">
        <v>780.49300000000005</v>
      </c>
      <c r="L194" s="1055">
        <v>175.04400000000001</v>
      </c>
      <c r="M194" s="1055">
        <v>184.08600000000001</v>
      </c>
      <c r="N194" s="1055">
        <v>206.374</v>
      </c>
      <c r="O194" s="27">
        <f>P194-SUM(L194,M194,N194)</f>
        <v>228.49599999999998</v>
      </c>
      <c r="P194" s="1113">
        <v>794</v>
      </c>
      <c r="Q194" s="1055">
        <v>223</v>
      </c>
      <c r="R194" s="1055">
        <v>252</v>
      </c>
      <c r="S194" s="1055">
        <v>238</v>
      </c>
      <c r="T194" s="27">
        <f>U194-SUM(Q194,R194,S194)</f>
        <v>209</v>
      </c>
      <c r="U194" s="1113">
        <v>922</v>
      </c>
      <c r="V194" s="1055">
        <v>173</v>
      </c>
      <c r="W194" s="1055">
        <v>181</v>
      </c>
      <c r="X194" s="1055">
        <v>229</v>
      </c>
      <c r="Y194" s="27">
        <f>Z194-SUM(V194,W194,X194)</f>
        <v>223</v>
      </c>
      <c r="Z194" s="1113">
        <v>806</v>
      </c>
      <c r="AA194" s="1055">
        <v>247</v>
      </c>
      <c r="AB194" s="1055">
        <v>256</v>
      </c>
      <c r="AC194" s="1055">
        <v>341</v>
      </c>
      <c r="AD194" s="27">
        <f>AE194-SUM(AA194,AB194,AC194)</f>
        <v>461</v>
      </c>
      <c r="AE194" s="1113">
        <v>1305</v>
      </c>
      <c r="AF194" s="1055">
        <v>330</v>
      </c>
      <c r="AG194" s="1055">
        <v>481</v>
      </c>
      <c r="AH194" s="1055">
        <v>515</v>
      </c>
      <c r="AI194" s="27">
        <f>AJ194-SUM(AF194,AG194,AH194)</f>
        <v>570</v>
      </c>
      <c r="AJ194" s="1113">
        <v>1896</v>
      </c>
      <c r="AK194" s="1055">
        <v>754</v>
      </c>
      <c r="AL194" s="1055">
        <v>760</v>
      </c>
      <c r="AM194" s="1055">
        <v>704</v>
      </c>
      <c r="AN194" s="27">
        <f>AO194-SUM(AK194,AL194,AM194)</f>
        <v>583</v>
      </c>
      <c r="AO194" s="1113">
        <v>2801</v>
      </c>
      <c r="AP194" s="1055">
        <v>553</v>
      </c>
      <c r="AQ194" s="1055">
        <v>583</v>
      </c>
      <c r="AR194" s="1055">
        <v>758</v>
      </c>
      <c r="AS194" s="27">
        <f>AT194-SUM(AP194,AQ194,AR194)</f>
        <v>837</v>
      </c>
      <c r="AT194" s="1113">
        <v>2731</v>
      </c>
      <c r="AU194" s="1055">
        <v>758</v>
      </c>
      <c r="AV194" s="1055">
        <v>855</v>
      </c>
      <c r="AW194" s="1055">
        <v>1113</v>
      </c>
      <c r="AX194" s="27">
        <f>AY194-SUM(AU194,AV194,AW194)</f>
        <v>1160</v>
      </c>
      <c r="AY194" s="1113">
        <v>3886</v>
      </c>
      <c r="AZ194" s="1055">
        <v>1391</v>
      </c>
      <c r="BA194" s="1055">
        <v>1720</v>
      </c>
      <c r="BB194" s="1055">
        <v>2017</v>
      </c>
      <c r="BC194" s="68">
        <f>BD194-SUM(AZ194,BA194,BB194)</f>
        <v>1983</v>
      </c>
      <c r="BD194" s="1113">
        <v>7111</v>
      </c>
      <c r="BE194" s="1055">
        <v>2081</v>
      </c>
      <c r="BF194" s="1055">
        <v>1602</v>
      </c>
      <c r="BG194" s="1055">
        <v>1148</v>
      </c>
      <c r="BH194" s="68">
        <f>BI194-SUM(BE194,BF194,BG194)</f>
        <v>954</v>
      </c>
      <c r="BI194" s="1113">
        <v>5785</v>
      </c>
      <c r="BJ194" s="1055">
        <v>1590</v>
      </c>
      <c r="BK194" s="1055">
        <v>2740</v>
      </c>
      <c r="BL194" s="1055">
        <v>4030</v>
      </c>
      <c r="BM194" s="68">
        <f>BN194-SUM(BJ194,BK194,BL194)</f>
        <v>1946</v>
      </c>
      <c r="BN194" s="1113">
        <v>10306</v>
      </c>
      <c r="BO194" s="1055">
        <v>2491</v>
      </c>
      <c r="BP194" s="1055">
        <v>3667</v>
      </c>
      <c r="BQ194" s="1055">
        <v>5416</v>
      </c>
      <c r="BR194" s="68">
        <f>BS194-SUM(BO194,BP194,BQ194)</f>
        <v>5534</v>
      </c>
      <c r="BS194" s="1113">
        <v>17108</v>
      </c>
      <c r="BT194" s="1055">
        <v>5522</v>
      </c>
      <c r="BU194" s="1055">
        <v>2769</v>
      </c>
      <c r="BV194" s="1055">
        <v>2973</v>
      </c>
      <c r="BW194" s="68"/>
      <c r="BX194" s="1113">
        <v>19677</v>
      </c>
      <c r="BY194" s="1057">
        <v>4550</v>
      </c>
      <c r="BZ194" s="68"/>
      <c r="CA194" s="68"/>
      <c r="CB194" s="68"/>
      <c r="CC194" s="1112"/>
      <c r="CD194" s="68"/>
      <c r="CE194" s="68"/>
      <c r="CF194" s="68"/>
      <c r="CG194" s="68"/>
      <c r="CH194" s="1112"/>
      <c r="CI194" s="1112"/>
      <c r="CJ194" s="1112"/>
      <c r="CK194" s="1112"/>
      <c r="CL194" s="155"/>
    </row>
    <row r="195" spans="1:90" hidden="1" outlineLevel="1" x14ac:dyDescent="0.3">
      <c r="A195" s="67" t="s">
        <v>28</v>
      </c>
      <c r="B195" s="602"/>
      <c r="C195" s="1113">
        <v>309.54000000000002</v>
      </c>
      <c r="D195" s="1113">
        <v>248.79300000000001</v>
      </c>
      <c r="E195" s="1113">
        <v>297.26499999999999</v>
      </c>
      <c r="F195" s="1113">
        <v>596.26400000000001</v>
      </c>
      <c r="G195" s="1055">
        <v>145.94200000000001</v>
      </c>
      <c r="H195" s="1055">
        <v>154.81399999999999</v>
      </c>
      <c r="I195" s="1055">
        <v>257.55099999999999</v>
      </c>
      <c r="J195" s="27">
        <f>K195-SUM(G195,H195,I195)</f>
        <v>241.12299999999993</v>
      </c>
      <c r="K195" s="1113">
        <v>799.43</v>
      </c>
      <c r="L195" s="1055">
        <v>185.97800000000001</v>
      </c>
      <c r="M195" s="1055">
        <v>163.79599999999999</v>
      </c>
      <c r="N195" s="1055">
        <v>195.529</v>
      </c>
      <c r="O195" s="27">
        <f>P195-SUM(L195,M195,N195)</f>
        <v>181.697</v>
      </c>
      <c r="P195" s="1113">
        <v>727</v>
      </c>
      <c r="Q195" s="1055">
        <v>173</v>
      </c>
      <c r="R195" s="1055">
        <v>206</v>
      </c>
      <c r="S195" s="1055">
        <v>215</v>
      </c>
      <c r="T195" s="27">
        <f>U195-SUM(Q195,R195,S195)</f>
        <v>197</v>
      </c>
      <c r="U195" s="1113">
        <v>791</v>
      </c>
      <c r="V195" s="1055">
        <v>180</v>
      </c>
      <c r="W195" s="1055">
        <v>138</v>
      </c>
      <c r="X195" s="1055">
        <v>156</v>
      </c>
      <c r="Y195" s="27">
        <f>Z195-SUM(V195,W195,X195)</f>
        <v>169</v>
      </c>
      <c r="Z195" s="1113">
        <v>643</v>
      </c>
      <c r="AA195" s="1055">
        <v>194</v>
      </c>
      <c r="AB195" s="1055">
        <v>206</v>
      </c>
      <c r="AC195" s="1055">
        <v>282</v>
      </c>
      <c r="AD195" s="27">
        <f>AE195-SUM(AA195,AB195,AC195)</f>
        <v>222</v>
      </c>
      <c r="AE195" s="1113">
        <v>904</v>
      </c>
      <c r="AF195" s="1055">
        <v>353</v>
      </c>
      <c r="AG195" s="1055">
        <v>278</v>
      </c>
      <c r="AH195" s="1055">
        <v>263</v>
      </c>
      <c r="AI195" s="27">
        <f>AJ195-SUM(AF195,AG195,AH195)</f>
        <v>380</v>
      </c>
      <c r="AJ195" s="1113">
        <v>1274</v>
      </c>
      <c r="AK195" s="1055">
        <v>434</v>
      </c>
      <c r="AL195" s="1055">
        <v>413</v>
      </c>
      <c r="AM195" s="1055">
        <v>407</v>
      </c>
      <c r="AN195" s="27">
        <f>AO195-SUM(AK195,AL195,AM195)</f>
        <v>252</v>
      </c>
      <c r="AO195" s="1113">
        <v>1506</v>
      </c>
      <c r="AP195" s="1055">
        <v>165</v>
      </c>
      <c r="AQ195" s="1055">
        <v>188</v>
      </c>
      <c r="AR195" s="1055">
        <v>236</v>
      </c>
      <c r="AS195" s="27">
        <f>AT195-SUM(AP195,AQ195,AR195)</f>
        <v>297</v>
      </c>
      <c r="AT195" s="1113">
        <v>886</v>
      </c>
      <c r="AU195" s="1055">
        <v>497</v>
      </c>
      <c r="AV195" s="1055">
        <v>944</v>
      </c>
      <c r="AW195" s="1055">
        <v>890</v>
      </c>
      <c r="AX195" s="27">
        <f>AY195-SUM(AU195,AV195,AW195)</f>
        <v>883</v>
      </c>
      <c r="AY195" s="1113">
        <v>3214</v>
      </c>
      <c r="AZ195" s="1055">
        <v>768</v>
      </c>
      <c r="BA195" s="1055">
        <v>996</v>
      </c>
      <c r="BB195" s="1055">
        <v>1126</v>
      </c>
      <c r="BC195" s="68">
        <f>BD195-SUM(AZ195,BA195,BB195)</f>
        <v>1459</v>
      </c>
      <c r="BD195" s="1113">
        <v>4349</v>
      </c>
      <c r="BE195" s="1055">
        <v>1932</v>
      </c>
      <c r="BF195" s="1055">
        <v>1988</v>
      </c>
      <c r="BG195" s="1055">
        <v>2148</v>
      </c>
      <c r="BH195" s="68">
        <f>BI195-SUM(BE195,BF195,BG195)</f>
        <v>2224</v>
      </c>
      <c r="BI195" s="1113">
        <v>8292</v>
      </c>
      <c r="BJ195" s="1055">
        <v>2385</v>
      </c>
      <c r="BK195" s="1055">
        <v>6043</v>
      </c>
      <c r="BL195" s="1055">
        <v>6302</v>
      </c>
      <c r="BM195" s="68">
        <f>BN195-SUM(BJ195,BK195,BL195)</f>
        <v>12236</v>
      </c>
      <c r="BN195" s="1113">
        <v>26966</v>
      </c>
      <c r="BO195" s="1055">
        <v>13496</v>
      </c>
      <c r="BP195" s="1055">
        <v>13022</v>
      </c>
      <c r="BQ195" s="1055">
        <v>14800</v>
      </c>
      <c r="BR195" s="68">
        <f>BS195-SUM(BO195,BP195,BQ195)</f>
        <v>19939</v>
      </c>
      <c r="BS195" s="1113">
        <v>61257</v>
      </c>
      <c r="BT195" s="1055">
        <v>20739</v>
      </c>
      <c r="BU195" s="1055">
        <v>23470</v>
      </c>
      <c r="BV195" s="1055">
        <v>39177</v>
      </c>
      <c r="BW195" s="68"/>
      <c r="BX195" s="1113">
        <v>149617</v>
      </c>
      <c r="BY195" s="1057">
        <v>63769</v>
      </c>
      <c r="BZ195" s="68"/>
      <c r="CA195" s="68"/>
      <c r="CB195" s="68"/>
      <c r="CC195" s="1112"/>
      <c r="CD195" s="68"/>
      <c r="CE195" s="68"/>
      <c r="CF195" s="68"/>
      <c r="CG195" s="68"/>
      <c r="CH195" s="1112"/>
      <c r="CI195" s="1112"/>
      <c r="CJ195" s="1112"/>
      <c r="CK195" s="1112"/>
      <c r="CL195" s="155"/>
    </row>
    <row r="196" spans="1:90" hidden="1" outlineLevel="1" x14ac:dyDescent="0.3">
      <c r="A196" s="67" t="s">
        <v>1245</v>
      </c>
      <c r="B196" s="602"/>
      <c r="C196" s="1112"/>
      <c r="D196" s="1112"/>
      <c r="E196" s="1112"/>
      <c r="F196" s="1112"/>
      <c r="G196" s="68"/>
      <c r="H196" s="68"/>
      <c r="I196" s="68"/>
      <c r="J196" s="68"/>
      <c r="K196" s="1112"/>
      <c r="L196" s="68"/>
      <c r="M196" s="68"/>
      <c r="N196" s="68"/>
      <c r="O196" s="68"/>
      <c r="P196" s="1112"/>
      <c r="Q196" s="68"/>
      <c r="R196" s="68"/>
      <c r="S196" s="68"/>
      <c r="T196" s="68"/>
      <c r="U196" s="1112"/>
      <c r="V196" s="68"/>
      <c r="W196" s="68"/>
      <c r="X196" s="68"/>
      <c r="Y196" s="68"/>
      <c r="Z196" s="1112"/>
      <c r="AA196" s="68"/>
      <c r="AB196" s="68"/>
      <c r="AC196" s="68"/>
      <c r="AD196" s="68"/>
      <c r="AE196" s="1112"/>
      <c r="AF196" s="68"/>
      <c r="AG196" s="68"/>
      <c r="AH196" s="68"/>
      <c r="AI196" s="68"/>
      <c r="AJ196" s="1112"/>
      <c r="AK196" s="68"/>
      <c r="AL196" s="68"/>
      <c r="AM196" s="68"/>
      <c r="AN196" s="68"/>
      <c r="AO196" s="1112"/>
      <c r="AP196" s="68"/>
      <c r="AQ196" s="68"/>
      <c r="AR196" s="68"/>
      <c r="AS196" s="68"/>
      <c r="AT196" s="1112"/>
      <c r="AU196" s="68"/>
      <c r="AV196" s="68"/>
      <c r="AW196" s="68"/>
      <c r="AX196" s="68"/>
      <c r="AY196" s="1112"/>
      <c r="AZ196" s="68"/>
      <c r="BA196" s="68"/>
      <c r="BB196" s="68"/>
      <c r="BC196" s="68"/>
      <c r="BD196" s="1112"/>
      <c r="BE196" s="68"/>
      <c r="BF196" s="68"/>
      <c r="BG196" s="68"/>
      <c r="BH196" s="68"/>
      <c r="BI196" s="1112"/>
      <c r="BJ196" s="68"/>
      <c r="BK196" s="68"/>
      <c r="BL196" s="68"/>
      <c r="BM196" s="68"/>
      <c r="BN196" s="1112"/>
      <c r="BO196" s="1055">
        <v>4037</v>
      </c>
      <c r="BP196" s="1055">
        <v>5622</v>
      </c>
      <c r="BQ196" s="1055">
        <v>7697</v>
      </c>
      <c r="BR196" s="68">
        <f>BS196-SUM(BO196,BP196,BQ196)</f>
        <v>6328</v>
      </c>
      <c r="BS196" s="1113">
        <v>23684</v>
      </c>
      <c r="BT196" s="1055">
        <v>9017</v>
      </c>
      <c r="BU196" s="1055">
        <v>10156</v>
      </c>
      <c r="BV196" s="68"/>
      <c r="BW196" s="68"/>
      <c r="BX196" s="1112"/>
      <c r="BY196" s="588"/>
      <c r="BZ196" s="68"/>
      <c r="CA196" s="68"/>
      <c r="CB196" s="68"/>
      <c r="CC196" s="1112"/>
      <c r="CD196" s="68"/>
      <c r="CE196" s="68"/>
      <c r="CF196" s="68"/>
      <c r="CG196" s="68"/>
      <c r="CH196" s="1112"/>
      <c r="CI196" s="1112"/>
      <c r="CJ196" s="1112"/>
      <c r="CK196" s="1112"/>
      <c r="CL196" s="155"/>
    </row>
    <row r="197" spans="1:90" hidden="1" outlineLevel="1" x14ac:dyDescent="0.3">
      <c r="A197" s="73" t="s">
        <v>29</v>
      </c>
      <c r="B197" s="602"/>
      <c r="C197" s="1113">
        <v>601.48</v>
      </c>
      <c r="D197" s="1113">
        <v>406.286</v>
      </c>
      <c r="E197" s="1113">
        <v>519.47299999999996</v>
      </c>
      <c r="F197" s="1113">
        <v>730.97500000000002</v>
      </c>
      <c r="G197" s="1055">
        <v>178.67699999999999</v>
      </c>
      <c r="H197" s="1055">
        <v>212.36699999999999</v>
      </c>
      <c r="I197" s="1055">
        <v>192.81399999999999</v>
      </c>
      <c r="J197" s="27">
        <f>K197-SUM(G197,H197,I197)</f>
        <v>199.71500000000003</v>
      </c>
      <c r="K197" s="1113">
        <v>783.57299999999998</v>
      </c>
      <c r="L197" s="1055">
        <v>167.25700000000001</v>
      </c>
      <c r="M197" s="1055">
        <v>165.11699999999999</v>
      </c>
      <c r="N197" s="1055">
        <v>174.691</v>
      </c>
      <c r="O197" s="27">
        <f>P197-SUM(L197,M197,N197)</f>
        <v>167.93499999999995</v>
      </c>
      <c r="P197" s="1113">
        <v>675</v>
      </c>
      <c r="Q197" s="1055">
        <v>155</v>
      </c>
      <c r="R197" s="1055">
        <v>151</v>
      </c>
      <c r="S197" s="1055">
        <v>170</v>
      </c>
      <c r="T197" s="27">
        <f>U197-SUM(Q197,R197,S197)</f>
        <v>162</v>
      </c>
      <c r="U197" s="1113">
        <v>638</v>
      </c>
      <c r="V197" s="1055">
        <v>188</v>
      </c>
      <c r="W197" s="1055">
        <v>185</v>
      </c>
      <c r="X197" s="1055">
        <v>181</v>
      </c>
      <c r="Y197" s="27">
        <f>Z197-SUM(V197,W197,X197)</f>
        <v>195</v>
      </c>
      <c r="Z197" s="1113">
        <v>749</v>
      </c>
      <c r="AA197" s="1055">
        <v>160</v>
      </c>
      <c r="AB197" s="1055">
        <v>191</v>
      </c>
      <c r="AC197" s="1055">
        <v>309</v>
      </c>
      <c r="AD197" s="27">
        <f>AE197-SUM(AA197,AB197,AC197)</f>
        <v>350</v>
      </c>
      <c r="AE197" s="1113">
        <v>1010</v>
      </c>
      <c r="AF197" s="1055">
        <v>377</v>
      </c>
      <c r="AG197" s="1055">
        <v>420</v>
      </c>
      <c r="AH197" s="1055">
        <v>612</v>
      </c>
      <c r="AI197" s="27">
        <f>AJ197-SUM(AF197,AG197,AH197)</f>
        <v>657</v>
      </c>
      <c r="AJ197" s="1113">
        <v>2066</v>
      </c>
      <c r="AK197" s="1055">
        <v>583</v>
      </c>
      <c r="AL197" s="1055">
        <v>676</v>
      </c>
      <c r="AM197" s="1055">
        <v>742</v>
      </c>
      <c r="AN197" s="27">
        <f>AO197-SUM(AK197,AL197,AM197)</f>
        <v>367</v>
      </c>
      <c r="AO197" s="1113">
        <v>2368</v>
      </c>
      <c r="AP197" s="1055">
        <v>422</v>
      </c>
      <c r="AQ197" s="1055">
        <v>756</v>
      </c>
      <c r="AR197" s="1055">
        <v>805</v>
      </c>
      <c r="AS197" s="27">
        <f>AT197-SUM(AP197,AQ197,AR197)</f>
        <v>702</v>
      </c>
      <c r="AT197" s="1113">
        <v>2685</v>
      </c>
      <c r="AU197" s="1055">
        <v>607</v>
      </c>
      <c r="AV197" s="1055">
        <v>698</v>
      </c>
      <c r="AW197" s="1055">
        <v>955</v>
      </c>
      <c r="AX197" s="27">
        <f>AY197-SUM(AU197,AV197,AW197)</f>
        <v>833</v>
      </c>
      <c r="AY197" s="1113">
        <v>3093</v>
      </c>
      <c r="AZ197" s="1055">
        <v>1001</v>
      </c>
      <c r="BA197" s="1055">
        <v>1047</v>
      </c>
      <c r="BB197" s="1055">
        <v>1067</v>
      </c>
      <c r="BC197" s="68"/>
      <c r="BD197" s="1112"/>
      <c r="BE197" s="68"/>
      <c r="BF197" s="68"/>
      <c r="BG197" s="68"/>
      <c r="BH197" s="68"/>
      <c r="BI197" s="1112"/>
      <c r="BJ197" s="68"/>
      <c r="BK197" s="68"/>
      <c r="BL197" s="68"/>
      <c r="BM197" s="68"/>
      <c r="BN197" s="1112"/>
      <c r="BO197" s="68"/>
      <c r="BP197" s="68"/>
      <c r="BQ197" s="68"/>
      <c r="BR197" s="68"/>
      <c r="BS197" s="1112"/>
      <c r="BT197" s="68"/>
      <c r="BU197" s="68"/>
      <c r="BV197" s="68"/>
      <c r="BW197" s="68"/>
      <c r="BX197" s="1112"/>
      <c r="BY197" s="588"/>
      <c r="BZ197" s="68"/>
      <c r="CA197" s="68"/>
      <c r="CB197" s="68"/>
      <c r="CC197" s="1112"/>
      <c r="CD197" s="68"/>
      <c r="CE197" s="68"/>
      <c r="CF197" s="68"/>
      <c r="CG197" s="68"/>
      <c r="CH197" s="1112"/>
      <c r="CI197" s="1112"/>
      <c r="CJ197" s="1112"/>
      <c r="CK197" s="1112"/>
      <c r="CL197" s="155"/>
    </row>
    <row r="198" spans="1:90" hidden="1" outlineLevel="1" x14ac:dyDescent="0.3">
      <c r="A198" s="73" t="s">
        <v>30</v>
      </c>
      <c r="B198" s="602"/>
      <c r="C198" s="1113">
        <v>321.11700000000002</v>
      </c>
      <c r="D198" s="1113">
        <v>203.76</v>
      </c>
      <c r="E198" s="1113">
        <v>261.42099999999999</v>
      </c>
      <c r="F198" s="1113">
        <v>296.59100000000001</v>
      </c>
      <c r="G198" s="1055">
        <v>69.507999999999996</v>
      </c>
      <c r="H198" s="1055">
        <v>58.997999999999998</v>
      </c>
      <c r="I198" s="1055">
        <v>62.877000000000002</v>
      </c>
      <c r="J198" s="27">
        <f>K198-SUM(G198,H198,I198)</f>
        <v>72.10499999999999</v>
      </c>
      <c r="K198" s="1113">
        <v>263.488</v>
      </c>
      <c r="L198" s="1055">
        <v>71.572000000000003</v>
      </c>
      <c r="M198" s="1055">
        <v>68.703999999999994</v>
      </c>
      <c r="N198" s="1055">
        <v>78.972999999999999</v>
      </c>
      <c r="O198" s="27">
        <f>P198-SUM(L198,M198,N198)</f>
        <v>75.750999999999976</v>
      </c>
      <c r="P198" s="1113">
        <v>295</v>
      </c>
      <c r="Q198" s="1055">
        <v>87</v>
      </c>
      <c r="R198" s="1055">
        <v>80</v>
      </c>
      <c r="S198" s="1055">
        <v>96</v>
      </c>
      <c r="T198" s="27">
        <f>U198-SUM(Q198,R198,S198)</f>
        <v>106</v>
      </c>
      <c r="U198" s="1113">
        <v>369</v>
      </c>
      <c r="V198" s="1055">
        <v>119</v>
      </c>
      <c r="W198" s="1055">
        <v>106</v>
      </c>
      <c r="X198" s="1055">
        <v>116</v>
      </c>
      <c r="Y198" s="27">
        <f>Z198-SUM(V198,W198,X198)</f>
        <v>141</v>
      </c>
      <c r="Z198" s="1113">
        <v>482</v>
      </c>
      <c r="AA198" s="1055">
        <v>156</v>
      </c>
      <c r="AB198" s="1055">
        <v>167</v>
      </c>
      <c r="AC198" s="1055">
        <v>171</v>
      </c>
      <c r="AD198" s="27">
        <f>AE198-SUM(AA198,AB198,AC198)</f>
        <v>165</v>
      </c>
      <c r="AE198" s="1113">
        <v>659</v>
      </c>
      <c r="AF198" s="1055">
        <v>182</v>
      </c>
      <c r="AG198" s="1055">
        <v>178</v>
      </c>
      <c r="AH198" s="1055">
        <v>195</v>
      </c>
      <c r="AI198" s="27">
        <f>AJ198-SUM(AF198,AG198,AH198)</f>
        <v>213</v>
      </c>
      <c r="AJ198" s="1113">
        <v>768</v>
      </c>
      <c r="AK198" s="1055">
        <v>235</v>
      </c>
      <c r="AL198" s="1055">
        <v>234</v>
      </c>
      <c r="AM198" s="1055">
        <v>230</v>
      </c>
      <c r="AN198" s="27">
        <f>AO198-SUM(AK198,AL198,AM198)</f>
        <v>215</v>
      </c>
      <c r="AO198" s="1113">
        <v>914</v>
      </c>
      <c r="AP198" s="1055">
        <v>249</v>
      </c>
      <c r="AQ198" s="1055">
        <v>288</v>
      </c>
      <c r="AR198" s="1055">
        <v>216</v>
      </c>
      <c r="AS198" s="27">
        <f>AT198-SUM(AP198,AQ198,AR198)</f>
        <v>239</v>
      </c>
      <c r="AT198" s="1113">
        <v>992</v>
      </c>
      <c r="AU198" s="1055">
        <v>254</v>
      </c>
      <c r="AV198" s="1055">
        <v>240</v>
      </c>
      <c r="AW198" s="1055">
        <v>247</v>
      </c>
      <c r="AX198" s="27">
        <f>AY198-SUM(AU198,AV198,AW198)</f>
        <v>377</v>
      </c>
      <c r="AY198" s="1113">
        <v>1118</v>
      </c>
      <c r="AZ198" s="1055">
        <v>381</v>
      </c>
      <c r="BA198" s="1055">
        <v>429</v>
      </c>
      <c r="BB198" s="1055">
        <v>340</v>
      </c>
      <c r="BC198" s="68"/>
      <c r="BD198" s="1112"/>
      <c r="BE198" s="68"/>
      <c r="BF198" s="68"/>
      <c r="BG198" s="68"/>
      <c r="BH198" s="68"/>
      <c r="BI198" s="1112"/>
      <c r="BJ198" s="68"/>
      <c r="BK198" s="68"/>
      <c r="BL198" s="68"/>
      <c r="BM198" s="68"/>
      <c r="BN198" s="1112"/>
      <c r="BO198" s="68"/>
      <c r="BP198" s="68"/>
      <c r="BQ198" s="68"/>
      <c r="BR198" s="68"/>
      <c r="BS198" s="1112"/>
      <c r="BT198" s="68"/>
      <c r="BU198" s="68"/>
      <c r="BV198" s="68"/>
      <c r="BW198" s="68"/>
      <c r="BX198" s="1112"/>
      <c r="BY198" s="588"/>
      <c r="BZ198" s="68"/>
      <c r="CA198" s="68"/>
      <c r="CB198" s="68"/>
      <c r="CC198" s="1112"/>
      <c r="CD198" s="68"/>
      <c r="CE198" s="68"/>
      <c r="CF198" s="68"/>
      <c r="CG198" s="68"/>
      <c r="CH198" s="1112"/>
      <c r="CI198" s="1112"/>
      <c r="CJ198" s="1112"/>
      <c r="CK198" s="1112"/>
      <c r="CL198" s="155"/>
    </row>
    <row r="199" spans="1:90" hidden="1" outlineLevel="1" x14ac:dyDescent="0.3">
      <c r="A199" s="150" t="s">
        <v>31</v>
      </c>
      <c r="B199" s="603"/>
      <c r="C199" s="1133">
        <v>130.90600000000001</v>
      </c>
      <c r="D199" s="1133">
        <v>280.27300000000002</v>
      </c>
      <c r="E199" s="1133">
        <v>305.154</v>
      </c>
      <c r="F199" s="1133">
        <v>295.11399999999998</v>
      </c>
      <c r="G199" s="1062">
        <v>75.822000000000003</v>
      </c>
      <c r="H199" s="1062">
        <v>81.260000000000005</v>
      </c>
      <c r="I199" s="1062">
        <v>81.462999999999994</v>
      </c>
      <c r="J199" s="110">
        <f>K199-SUM(G199,H199,I199)</f>
        <v>57.792000000000002</v>
      </c>
      <c r="K199" s="1133">
        <v>296.33699999999999</v>
      </c>
      <c r="L199" s="1062">
        <v>65.007000000000005</v>
      </c>
      <c r="M199" s="1062">
        <v>76.531000000000006</v>
      </c>
      <c r="N199" s="1062">
        <v>79.382000000000005</v>
      </c>
      <c r="O199" s="110">
        <f>P199-SUM(L199,M199,N199)</f>
        <v>97.079999999999984</v>
      </c>
      <c r="P199" s="1133">
        <v>318</v>
      </c>
      <c r="Q199" s="1062">
        <v>92</v>
      </c>
      <c r="R199" s="1062">
        <v>83</v>
      </c>
      <c r="S199" s="1062">
        <v>100</v>
      </c>
      <c r="T199" s="110">
        <f>U199-SUM(Q199,R199,S199)</f>
        <v>93</v>
      </c>
      <c r="U199" s="1133">
        <v>368</v>
      </c>
      <c r="V199" s="1062">
        <v>103</v>
      </c>
      <c r="W199" s="1062">
        <v>98</v>
      </c>
      <c r="X199" s="1062">
        <v>108</v>
      </c>
      <c r="Y199" s="110">
        <f>Z199-SUM(V199,W199,X199)</f>
        <v>109</v>
      </c>
      <c r="Z199" s="1133">
        <v>418</v>
      </c>
      <c r="AA199" s="1062">
        <v>103</v>
      </c>
      <c r="AB199" s="1062">
        <v>103</v>
      </c>
      <c r="AC199" s="1062">
        <v>154</v>
      </c>
      <c r="AD199" s="110">
        <f>AE199-SUM(AA199,AB199,AC199)</f>
        <v>126</v>
      </c>
      <c r="AE199" s="1133">
        <v>486</v>
      </c>
      <c r="AF199" s="1062">
        <v>93</v>
      </c>
      <c r="AG199" s="1062">
        <v>199</v>
      </c>
      <c r="AH199" s="1062">
        <v>187</v>
      </c>
      <c r="AI199" s="110">
        <f>AJ199-SUM(AF199,AG199,AH199)</f>
        <v>240</v>
      </c>
      <c r="AJ199" s="1133">
        <v>719</v>
      </c>
      <c r="AK199" s="1062">
        <v>234</v>
      </c>
      <c r="AL199" s="1062">
        <v>197</v>
      </c>
      <c r="AM199" s="1062">
        <v>169</v>
      </c>
      <c r="AN199" s="110">
        <f>AO199-SUM(AK199,AL199,AM199)</f>
        <v>167</v>
      </c>
      <c r="AO199" s="1133">
        <v>767</v>
      </c>
      <c r="AP199" s="1062">
        <v>133</v>
      </c>
      <c r="AQ199" s="1062">
        <v>129</v>
      </c>
      <c r="AR199" s="1062">
        <v>161</v>
      </c>
      <c r="AS199" s="110">
        <f>AT199-SUM(AP199,AQ199,AR199)</f>
        <v>176</v>
      </c>
      <c r="AT199" s="1133">
        <v>599</v>
      </c>
      <c r="AU199" s="1062">
        <v>151</v>
      </c>
      <c r="AV199" s="1062">
        <v>175</v>
      </c>
      <c r="AW199" s="1062">
        <v>225</v>
      </c>
      <c r="AX199" s="110">
        <f>AY199-SUM(AU199,AV199,AW199)</f>
        <v>282</v>
      </c>
      <c r="AY199" s="1133">
        <v>833</v>
      </c>
      <c r="AZ199" s="1062">
        <v>336</v>
      </c>
      <c r="BA199" s="1062">
        <v>354</v>
      </c>
      <c r="BB199" s="1062">
        <v>366</v>
      </c>
      <c r="BC199" s="109"/>
      <c r="BD199" s="1123"/>
      <c r="BE199" s="109"/>
      <c r="BF199" s="109"/>
      <c r="BG199" s="109"/>
      <c r="BH199" s="109"/>
      <c r="BI199" s="1123"/>
      <c r="BJ199" s="109"/>
      <c r="BK199" s="109"/>
      <c r="BL199" s="109"/>
      <c r="BM199" s="109"/>
      <c r="BN199" s="1123"/>
      <c r="BO199" s="109"/>
      <c r="BP199" s="109"/>
      <c r="BQ199" s="109"/>
      <c r="BR199" s="109"/>
      <c r="BS199" s="1123"/>
      <c r="BT199" s="109"/>
      <c r="BU199" s="109"/>
      <c r="BV199" s="109"/>
      <c r="BW199" s="109"/>
      <c r="BX199" s="1123"/>
      <c r="BY199" s="730"/>
      <c r="BZ199" s="109"/>
      <c r="CA199" s="109"/>
      <c r="CB199" s="109"/>
      <c r="CC199" s="1123"/>
      <c r="CD199" s="109"/>
      <c r="CE199" s="109"/>
      <c r="CF199" s="109"/>
      <c r="CG199" s="109"/>
      <c r="CH199" s="1123"/>
      <c r="CI199" s="1123"/>
      <c r="CJ199" s="1123"/>
      <c r="CK199" s="1123"/>
      <c r="CL199" s="155"/>
    </row>
    <row r="200" spans="1:90" hidden="1" outlineLevel="1" x14ac:dyDescent="0.3">
      <c r="A200" s="67" t="s">
        <v>679</v>
      </c>
      <c r="B200" s="602"/>
      <c r="C200" s="1114">
        <f t="shared" ref="C200:AH200" si="599">SUM(C197:C199)</f>
        <v>1053.5029999999999</v>
      </c>
      <c r="D200" s="1114">
        <f t="shared" si="599"/>
        <v>890.31900000000007</v>
      </c>
      <c r="E200" s="1114">
        <f t="shared" si="599"/>
        <v>1086.048</v>
      </c>
      <c r="F200" s="1114">
        <f t="shared" si="599"/>
        <v>1322.68</v>
      </c>
      <c r="G200" s="27">
        <f t="shared" si="599"/>
        <v>324.00700000000001</v>
      </c>
      <c r="H200" s="27">
        <f t="shared" si="599"/>
        <v>352.625</v>
      </c>
      <c r="I200" s="27">
        <f t="shared" si="599"/>
        <v>337.154</v>
      </c>
      <c r="J200" s="27">
        <f t="shared" si="599"/>
        <v>329.61200000000008</v>
      </c>
      <c r="K200" s="1114">
        <f t="shared" si="599"/>
        <v>1343.3979999999999</v>
      </c>
      <c r="L200" s="27">
        <f t="shared" si="599"/>
        <v>303.83600000000001</v>
      </c>
      <c r="M200" s="27">
        <f t="shared" si="599"/>
        <v>310.35199999999998</v>
      </c>
      <c r="N200" s="27">
        <f t="shared" si="599"/>
        <v>333.04599999999999</v>
      </c>
      <c r="O200" s="27">
        <f t="shared" si="599"/>
        <v>340.76599999999991</v>
      </c>
      <c r="P200" s="1114">
        <f t="shared" si="599"/>
        <v>1288</v>
      </c>
      <c r="Q200" s="27">
        <f t="shared" si="599"/>
        <v>334</v>
      </c>
      <c r="R200" s="27">
        <f t="shared" si="599"/>
        <v>314</v>
      </c>
      <c r="S200" s="27">
        <f t="shared" si="599"/>
        <v>366</v>
      </c>
      <c r="T200" s="27">
        <f t="shared" si="599"/>
        <v>361</v>
      </c>
      <c r="U200" s="1114">
        <f t="shared" si="599"/>
        <v>1375</v>
      </c>
      <c r="V200" s="27">
        <f t="shared" si="599"/>
        <v>410</v>
      </c>
      <c r="W200" s="27">
        <f t="shared" si="599"/>
        <v>389</v>
      </c>
      <c r="X200" s="27">
        <f t="shared" si="599"/>
        <v>405</v>
      </c>
      <c r="Y200" s="27">
        <f t="shared" si="599"/>
        <v>445</v>
      </c>
      <c r="Z200" s="1114">
        <f t="shared" si="599"/>
        <v>1649</v>
      </c>
      <c r="AA200" s="27">
        <f t="shared" si="599"/>
        <v>419</v>
      </c>
      <c r="AB200" s="27">
        <f t="shared" si="599"/>
        <v>461</v>
      </c>
      <c r="AC200" s="27">
        <f t="shared" si="599"/>
        <v>634</v>
      </c>
      <c r="AD200" s="27">
        <f t="shared" si="599"/>
        <v>641</v>
      </c>
      <c r="AE200" s="1114">
        <f t="shared" si="599"/>
        <v>2155</v>
      </c>
      <c r="AF200" s="27">
        <f t="shared" si="599"/>
        <v>652</v>
      </c>
      <c r="AG200" s="27">
        <f t="shared" si="599"/>
        <v>797</v>
      </c>
      <c r="AH200" s="27">
        <f t="shared" si="599"/>
        <v>994</v>
      </c>
      <c r="AI200" s="27">
        <f t="shared" ref="AI200:BB200" si="600">SUM(AI197:AI199)</f>
        <v>1110</v>
      </c>
      <c r="AJ200" s="1114">
        <f t="shared" si="600"/>
        <v>3553</v>
      </c>
      <c r="AK200" s="27">
        <f t="shared" si="600"/>
        <v>1052</v>
      </c>
      <c r="AL200" s="27">
        <f t="shared" si="600"/>
        <v>1107</v>
      </c>
      <c r="AM200" s="27">
        <f t="shared" si="600"/>
        <v>1141</v>
      </c>
      <c r="AN200" s="27">
        <f t="shared" si="600"/>
        <v>749</v>
      </c>
      <c r="AO200" s="1114">
        <f t="shared" si="600"/>
        <v>4049</v>
      </c>
      <c r="AP200" s="27">
        <f t="shared" si="600"/>
        <v>804</v>
      </c>
      <c r="AQ200" s="27">
        <f t="shared" si="600"/>
        <v>1173</v>
      </c>
      <c r="AR200" s="27">
        <f t="shared" si="600"/>
        <v>1182</v>
      </c>
      <c r="AS200" s="27">
        <f t="shared" si="600"/>
        <v>1117</v>
      </c>
      <c r="AT200" s="1114">
        <f t="shared" si="600"/>
        <v>4276</v>
      </c>
      <c r="AU200" s="27">
        <f t="shared" si="600"/>
        <v>1012</v>
      </c>
      <c r="AV200" s="27">
        <f t="shared" si="600"/>
        <v>1113</v>
      </c>
      <c r="AW200" s="27">
        <f t="shared" si="600"/>
        <v>1427</v>
      </c>
      <c r="AX200" s="27">
        <f t="shared" si="600"/>
        <v>1492</v>
      </c>
      <c r="AY200" s="1114">
        <f t="shared" si="600"/>
        <v>5044</v>
      </c>
      <c r="AZ200" s="68">
        <f t="shared" si="600"/>
        <v>1718</v>
      </c>
      <c r="BA200" s="68">
        <f t="shared" si="600"/>
        <v>1830</v>
      </c>
      <c r="BB200" s="68">
        <f t="shared" si="600"/>
        <v>1773</v>
      </c>
      <c r="BC200" s="68">
        <f>BD200-SUM(AZ200,BA200,BB200)</f>
        <v>1589</v>
      </c>
      <c r="BD200" s="1113">
        <v>6910</v>
      </c>
      <c r="BE200" s="1055">
        <v>1498</v>
      </c>
      <c r="BF200" s="1055">
        <v>1910</v>
      </c>
      <c r="BG200" s="1055">
        <v>1482</v>
      </c>
      <c r="BH200" s="68">
        <f>BI200-SUM(BE200,BF200,BG200)</f>
        <v>1021</v>
      </c>
      <c r="BI200" s="1113">
        <v>5911</v>
      </c>
      <c r="BJ200" s="1055">
        <f>762+659</f>
        <v>1421</v>
      </c>
      <c r="BK200" s="1055">
        <v>1885</v>
      </c>
      <c r="BL200" s="1055">
        <f>2702+753</f>
        <v>3455</v>
      </c>
      <c r="BM200" s="68">
        <f>BN200-SUM(BJ200,BK200,BL200)</f>
        <v>3484</v>
      </c>
      <c r="BN200" s="1133">
        <v>10245</v>
      </c>
      <c r="BO200" s="1055">
        <v>1647</v>
      </c>
      <c r="BP200" s="1055">
        <v>1989</v>
      </c>
      <c r="BQ200" s="1055">
        <v>2016</v>
      </c>
      <c r="BR200" s="68">
        <f>BS200-SUM(BO200,BP200,BQ200)</f>
        <v>2223</v>
      </c>
      <c r="BS200" s="1133">
        <v>7875</v>
      </c>
      <c r="BT200" s="1055">
        <v>1626</v>
      </c>
      <c r="BU200" s="1055">
        <v>1819</v>
      </c>
      <c r="BV200" s="1055">
        <v>1105</v>
      </c>
      <c r="BW200" s="68"/>
      <c r="BX200" s="1133">
        <v>4299</v>
      </c>
      <c r="BY200" s="1057">
        <v>1290</v>
      </c>
      <c r="BZ200" s="68"/>
      <c r="CA200" s="68"/>
      <c r="CB200" s="68"/>
      <c r="CC200" s="1112"/>
      <c r="CD200" s="68"/>
      <c r="CE200" s="68"/>
      <c r="CF200" s="68"/>
      <c r="CG200" s="68"/>
      <c r="CH200" s="1112"/>
      <c r="CI200" s="1112"/>
      <c r="CJ200" s="1112"/>
      <c r="CK200" s="1112"/>
      <c r="CL200" s="155"/>
    </row>
    <row r="201" spans="1:90" hidden="1" outlineLevel="1" x14ac:dyDescent="0.3">
      <c r="A201" s="59" t="s">
        <v>21</v>
      </c>
      <c r="B201" s="604"/>
      <c r="C201" s="1125">
        <f t="shared" ref="C201:AH201" si="601">SUM(C193:C195,C200)</f>
        <v>3424.8589999999995</v>
      </c>
      <c r="D201" s="1125">
        <f t="shared" si="601"/>
        <v>3326.4449999999997</v>
      </c>
      <c r="E201" s="1125">
        <f t="shared" si="601"/>
        <v>3543.3090000000002</v>
      </c>
      <c r="F201" s="1125">
        <f t="shared" si="601"/>
        <v>3997.9300000000003</v>
      </c>
      <c r="G201" s="60">
        <f t="shared" si="601"/>
        <v>924.87699999999995</v>
      </c>
      <c r="H201" s="60">
        <f t="shared" si="601"/>
        <v>1044.27</v>
      </c>
      <c r="I201" s="60">
        <f t="shared" si="601"/>
        <v>1204.1099999999999</v>
      </c>
      <c r="J201" s="60">
        <f t="shared" si="601"/>
        <v>1106.902</v>
      </c>
      <c r="K201" s="1125">
        <f t="shared" si="601"/>
        <v>4280.1589999999997</v>
      </c>
      <c r="L201" s="60">
        <f t="shared" si="601"/>
        <v>954.73900000000003</v>
      </c>
      <c r="M201" s="60">
        <f t="shared" si="601"/>
        <v>977.23799999999994</v>
      </c>
      <c r="N201" s="60">
        <f t="shared" si="601"/>
        <v>1053.9669999999999</v>
      </c>
      <c r="O201" s="60">
        <f t="shared" si="601"/>
        <v>1144.0559999999998</v>
      </c>
      <c r="P201" s="1125">
        <f t="shared" si="601"/>
        <v>4130</v>
      </c>
      <c r="Q201" s="60">
        <f t="shared" si="601"/>
        <v>1103</v>
      </c>
      <c r="R201" s="60">
        <f t="shared" si="601"/>
        <v>1103</v>
      </c>
      <c r="S201" s="60">
        <f t="shared" si="601"/>
        <v>1225</v>
      </c>
      <c r="T201" s="60">
        <f t="shared" si="601"/>
        <v>1251</v>
      </c>
      <c r="U201" s="1125">
        <f t="shared" si="601"/>
        <v>4682</v>
      </c>
      <c r="V201" s="60">
        <f t="shared" si="601"/>
        <v>1151</v>
      </c>
      <c r="W201" s="60">
        <f t="shared" si="601"/>
        <v>1153</v>
      </c>
      <c r="X201" s="60">
        <f t="shared" si="601"/>
        <v>1305</v>
      </c>
      <c r="Y201" s="60">
        <f t="shared" si="601"/>
        <v>1401</v>
      </c>
      <c r="Z201" s="1125">
        <f t="shared" si="601"/>
        <v>5010</v>
      </c>
      <c r="AA201" s="60">
        <f t="shared" si="601"/>
        <v>1305</v>
      </c>
      <c r="AB201" s="60">
        <f t="shared" si="601"/>
        <v>1428</v>
      </c>
      <c r="AC201" s="61">
        <f t="shared" si="601"/>
        <v>2004</v>
      </c>
      <c r="AD201" s="61">
        <f t="shared" si="601"/>
        <v>2173</v>
      </c>
      <c r="AE201" s="1124">
        <f t="shared" si="601"/>
        <v>6910</v>
      </c>
      <c r="AF201" s="61">
        <f t="shared" si="601"/>
        <v>1937</v>
      </c>
      <c r="AG201" s="60">
        <f t="shared" si="601"/>
        <v>2230</v>
      </c>
      <c r="AH201" s="60">
        <f t="shared" si="601"/>
        <v>2636</v>
      </c>
      <c r="AI201" s="61">
        <f t="shared" ref="AI201:BI201" si="602">SUM(AI193:AI195,AI200)</f>
        <v>2911</v>
      </c>
      <c r="AJ201" s="1124">
        <f t="shared" si="602"/>
        <v>9714</v>
      </c>
      <c r="AK201" s="60">
        <f t="shared" si="602"/>
        <v>3207</v>
      </c>
      <c r="AL201" s="60">
        <f t="shared" si="602"/>
        <v>3123</v>
      </c>
      <c r="AM201" s="60">
        <f t="shared" si="602"/>
        <v>3181</v>
      </c>
      <c r="AN201" s="61">
        <f t="shared" si="602"/>
        <v>2205</v>
      </c>
      <c r="AO201" s="1124">
        <f t="shared" si="602"/>
        <v>11716</v>
      </c>
      <c r="AP201" s="60">
        <f t="shared" si="602"/>
        <v>2220</v>
      </c>
      <c r="AQ201" s="60">
        <f t="shared" si="602"/>
        <v>2579</v>
      </c>
      <c r="AR201" s="60">
        <f t="shared" si="602"/>
        <v>3014</v>
      </c>
      <c r="AS201" s="60">
        <f t="shared" si="602"/>
        <v>3105</v>
      </c>
      <c r="AT201" s="1124">
        <f t="shared" si="602"/>
        <v>10918</v>
      </c>
      <c r="AU201" s="60">
        <f t="shared" si="602"/>
        <v>3080</v>
      </c>
      <c r="AV201" s="60">
        <f t="shared" si="602"/>
        <v>3866</v>
      </c>
      <c r="AW201" s="60">
        <f t="shared" si="602"/>
        <v>4726</v>
      </c>
      <c r="AX201" s="60">
        <f t="shared" si="602"/>
        <v>5003</v>
      </c>
      <c r="AY201" s="1124">
        <f t="shared" si="602"/>
        <v>16675</v>
      </c>
      <c r="AZ201" s="61">
        <f t="shared" si="602"/>
        <v>5661</v>
      </c>
      <c r="BA201" s="61">
        <f t="shared" si="602"/>
        <v>6507</v>
      </c>
      <c r="BB201" s="61">
        <f t="shared" si="602"/>
        <v>7103</v>
      </c>
      <c r="BC201" s="61">
        <f t="shared" si="602"/>
        <v>7643</v>
      </c>
      <c r="BD201" s="1124">
        <f t="shared" si="602"/>
        <v>26914</v>
      </c>
      <c r="BE201" s="61">
        <f t="shared" si="602"/>
        <v>8288</v>
      </c>
      <c r="BF201" s="61">
        <f t="shared" si="602"/>
        <v>6704</v>
      </c>
      <c r="BG201" s="61">
        <f t="shared" si="602"/>
        <v>5931</v>
      </c>
      <c r="BH201" s="61">
        <f t="shared" si="602"/>
        <v>6051</v>
      </c>
      <c r="BI201" s="1124">
        <f t="shared" si="602"/>
        <v>26974</v>
      </c>
      <c r="BJ201" s="61">
        <f t="shared" ref="BJ201:BY201" si="603">SUM(BJ193:BJ196,BJ200)</f>
        <v>7192</v>
      </c>
      <c r="BK201" s="61">
        <f t="shared" si="603"/>
        <v>13507</v>
      </c>
      <c r="BL201" s="61">
        <f t="shared" si="603"/>
        <v>18120</v>
      </c>
      <c r="BM201" s="61">
        <f t="shared" si="603"/>
        <v>22103</v>
      </c>
      <c r="BN201" s="1127">
        <f t="shared" si="603"/>
        <v>60922</v>
      </c>
      <c r="BO201" s="61">
        <f t="shared" si="603"/>
        <v>26044</v>
      </c>
      <c r="BP201" s="61">
        <f t="shared" si="603"/>
        <v>30040</v>
      </c>
      <c r="BQ201" s="61">
        <f t="shared" si="603"/>
        <v>35082</v>
      </c>
      <c r="BR201" s="61">
        <f t="shared" si="603"/>
        <v>39331</v>
      </c>
      <c r="BS201" s="1127">
        <f t="shared" si="603"/>
        <v>130497</v>
      </c>
      <c r="BT201" s="61">
        <f t="shared" si="603"/>
        <v>44062</v>
      </c>
      <c r="BU201" s="61">
        <f t="shared" si="603"/>
        <v>46743</v>
      </c>
      <c r="BV201" s="61">
        <f t="shared" si="603"/>
        <v>57006</v>
      </c>
      <c r="BW201" s="61"/>
      <c r="BX201" s="1127">
        <f t="shared" si="603"/>
        <v>215938</v>
      </c>
      <c r="BY201" s="896">
        <f t="shared" si="603"/>
        <v>81615</v>
      </c>
      <c r="BZ201" s="61"/>
      <c r="CA201" s="61"/>
      <c r="CB201" s="61"/>
      <c r="CC201" s="1124"/>
      <c r="CD201" s="61"/>
      <c r="CE201" s="61"/>
      <c r="CF201" s="61"/>
      <c r="CG201" s="61"/>
      <c r="CH201" s="1124"/>
      <c r="CI201" s="1124"/>
      <c r="CJ201" s="1124"/>
      <c r="CK201" s="1124"/>
      <c r="CL201" s="155"/>
    </row>
    <row r="202" spans="1:90" hidden="1" outlineLevel="1" x14ac:dyDescent="0.3">
      <c r="A202" s="600"/>
      <c r="B202" s="633"/>
      <c r="C202" s="1127"/>
      <c r="D202" s="1127"/>
      <c r="E202" s="1127"/>
      <c r="F202" s="1127"/>
      <c r="G202" s="63"/>
      <c r="H202" s="63"/>
      <c r="I202" s="63"/>
      <c r="J202" s="63"/>
      <c r="K202" s="1127"/>
      <c r="L202" s="63"/>
      <c r="M202" s="63"/>
      <c r="N202" s="63"/>
      <c r="O202" s="63"/>
      <c r="P202" s="1127"/>
      <c r="Q202" s="63"/>
      <c r="R202" s="63"/>
      <c r="S202" s="63"/>
      <c r="T202" s="63"/>
      <c r="U202" s="1127"/>
      <c r="V202" s="63"/>
      <c r="W202" s="63"/>
      <c r="X202" s="63"/>
      <c r="Y202" s="63"/>
      <c r="Z202" s="1127"/>
      <c r="AA202" s="63"/>
      <c r="AB202" s="63"/>
      <c r="AC202" s="63"/>
      <c r="AD202" s="63"/>
      <c r="AE202" s="1127"/>
      <c r="AF202" s="63"/>
      <c r="AG202" s="63"/>
      <c r="AH202" s="63"/>
      <c r="AI202" s="63"/>
      <c r="AJ202" s="1127"/>
      <c r="AK202" s="63"/>
      <c r="AL202" s="63"/>
      <c r="AM202" s="63"/>
      <c r="AN202" s="63"/>
      <c r="AO202" s="1127"/>
      <c r="AP202" s="63"/>
      <c r="AQ202" s="63"/>
      <c r="AR202" s="63"/>
      <c r="AS202" s="63"/>
      <c r="AT202" s="1127"/>
      <c r="AU202" s="63"/>
      <c r="AV202" s="63"/>
      <c r="AW202" s="63"/>
      <c r="AX202" s="63"/>
      <c r="AY202" s="1127"/>
      <c r="AZ202" s="63"/>
      <c r="BA202" s="63"/>
      <c r="BB202" s="63"/>
      <c r="BC202" s="63"/>
      <c r="BD202" s="1127"/>
      <c r="BE202" s="63"/>
      <c r="BF202" s="63"/>
      <c r="BG202" s="63"/>
      <c r="BH202" s="63"/>
      <c r="BI202" s="1127"/>
      <c r="BJ202" s="63"/>
      <c r="BK202" s="63"/>
      <c r="BL202" s="63"/>
      <c r="BM202" s="63"/>
      <c r="BN202" s="1127"/>
      <c r="BO202" s="63"/>
      <c r="BP202" s="63"/>
      <c r="BQ202" s="63"/>
      <c r="BR202" s="63"/>
      <c r="BS202" s="1127"/>
      <c r="BT202" s="63"/>
      <c r="BU202" s="63"/>
      <c r="BV202" s="63"/>
      <c r="BW202" s="63"/>
      <c r="BX202" s="1127"/>
      <c r="BY202" s="587"/>
      <c r="BZ202" s="63"/>
      <c r="CA202" s="63"/>
      <c r="CB202" s="63"/>
      <c r="CC202" s="1127"/>
      <c r="CD202" s="63"/>
      <c r="CE202" s="63"/>
      <c r="CF202" s="63"/>
      <c r="CG202" s="63"/>
      <c r="CH202" s="1127"/>
      <c r="CI202" s="1127"/>
      <c r="CJ202" s="1127"/>
      <c r="CK202" s="1127"/>
      <c r="CL202" s="155"/>
    </row>
    <row r="203" spans="1:90" hidden="1" outlineLevel="1" x14ac:dyDescent="0.3">
      <c r="A203" s="329" t="s">
        <v>819</v>
      </c>
      <c r="B203" s="670"/>
      <c r="C203" s="1137">
        <f t="shared" ref="C203:AH203" si="604">C193/C$201</f>
        <v>0.28441375250776751</v>
      </c>
      <c r="D203" s="1137">
        <f t="shared" si="604"/>
        <v>0.2654897345364195</v>
      </c>
      <c r="E203" s="1137">
        <f t="shared" si="604"/>
        <v>0.26438478834332541</v>
      </c>
      <c r="F203" s="1137">
        <f t="shared" si="604"/>
        <v>0.28444094819068866</v>
      </c>
      <c r="G203" s="332">
        <f t="shared" si="604"/>
        <v>0.29876188941880921</v>
      </c>
      <c r="H203" s="332">
        <f t="shared" si="604"/>
        <v>0.32572419010409187</v>
      </c>
      <c r="I203" s="332">
        <f t="shared" si="604"/>
        <v>0.33532567622559406</v>
      </c>
      <c r="J203" s="332">
        <f t="shared" si="604"/>
        <v>0.30409828512370557</v>
      </c>
      <c r="K203" s="1137">
        <f t="shared" si="604"/>
        <v>0.31700644765766883</v>
      </c>
      <c r="L203" s="332">
        <f t="shared" si="604"/>
        <v>0.30362329390545473</v>
      </c>
      <c r="M203" s="332">
        <f t="shared" si="604"/>
        <v>0.32643429747922209</v>
      </c>
      <c r="N203" s="332">
        <f t="shared" si="604"/>
        <v>0.30268310108381002</v>
      </c>
      <c r="O203" s="332">
        <f t="shared" si="604"/>
        <v>0.3435994391882915</v>
      </c>
      <c r="P203" s="1137">
        <f t="shared" si="604"/>
        <v>0.31985472154963679</v>
      </c>
      <c r="Q203" s="332">
        <f t="shared" si="604"/>
        <v>0.33816863100634631</v>
      </c>
      <c r="R203" s="332">
        <f t="shared" si="604"/>
        <v>0.30009066183136901</v>
      </c>
      <c r="S203" s="332">
        <f t="shared" si="604"/>
        <v>0.33142857142857141</v>
      </c>
      <c r="T203" s="332">
        <f t="shared" si="604"/>
        <v>0.38689048760991207</v>
      </c>
      <c r="U203" s="1137">
        <f t="shared" si="604"/>
        <v>0.34045279794959421</v>
      </c>
      <c r="V203" s="332">
        <f t="shared" si="604"/>
        <v>0.33709817549956561</v>
      </c>
      <c r="W203" s="332">
        <f t="shared" si="604"/>
        <v>0.38594969644405897</v>
      </c>
      <c r="X203" s="332">
        <f t="shared" si="604"/>
        <v>0.3946360153256705</v>
      </c>
      <c r="Y203" s="332">
        <f t="shared" si="604"/>
        <v>0.40256959314775159</v>
      </c>
      <c r="Z203" s="1137">
        <f t="shared" si="604"/>
        <v>0.38163672654690617</v>
      </c>
      <c r="AA203" s="332">
        <f t="shared" si="604"/>
        <v>0.34099616858237547</v>
      </c>
      <c r="AB203" s="332">
        <f t="shared" si="604"/>
        <v>0.35364145658263307</v>
      </c>
      <c r="AC203" s="315">
        <f t="shared" si="604"/>
        <v>0.3727544910179641</v>
      </c>
      <c r="AD203" s="315">
        <f t="shared" si="604"/>
        <v>0.39070409572020248</v>
      </c>
      <c r="AE203" s="1128">
        <f t="shared" si="604"/>
        <v>0.36845151953690303</v>
      </c>
      <c r="AF203" s="315">
        <f t="shared" si="604"/>
        <v>0.31078988125967993</v>
      </c>
      <c r="AG203" s="332">
        <f t="shared" si="604"/>
        <v>0.30224215246636771</v>
      </c>
      <c r="AH203" s="332">
        <f t="shared" si="604"/>
        <v>0.3277693474962064</v>
      </c>
      <c r="AI203" s="315">
        <f t="shared" ref="AI203:BN203" si="605">AI193/AI$201</f>
        <v>0.29233940226726213</v>
      </c>
      <c r="AJ203" s="1128">
        <f t="shared" si="605"/>
        <v>0.30790611488573194</v>
      </c>
      <c r="AK203" s="332">
        <f t="shared" si="605"/>
        <v>0.30152790770190208</v>
      </c>
      <c r="AL203" s="332">
        <f t="shared" si="605"/>
        <v>0.26993275696445723</v>
      </c>
      <c r="AM203" s="332">
        <f t="shared" si="605"/>
        <v>0.29204652624960703</v>
      </c>
      <c r="AN203" s="315">
        <f t="shared" si="605"/>
        <v>0.28163265306122448</v>
      </c>
      <c r="AO203" s="1128">
        <f t="shared" si="605"/>
        <v>0.28678729941959713</v>
      </c>
      <c r="AP203" s="332">
        <f t="shared" si="605"/>
        <v>0.31441441441441442</v>
      </c>
      <c r="AQ203" s="332">
        <f t="shared" si="605"/>
        <v>0.24621946490887942</v>
      </c>
      <c r="AR203" s="332">
        <f t="shared" si="605"/>
        <v>0.27803583278035832</v>
      </c>
      <c r="AS203" s="332">
        <f t="shared" si="605"/>
        <v>0.27504025764895329</v>
      </c>
      <c r="AT203" s="1128">
        <f t="shared" si="605"/>
        <v>0.27706539659278256</v>
      </c>
      <c r="AU203" s="332">
        <f t="shared" si="605"/>
        <v>0.26396103896103895</v>
      </c>
      <c r="AV203" s="332">
        <f t="shared" si="605"/>
        <v>0.24676668391101914</v>
      </c>
      <c r="AW203" s="332">
        <f t="shared" si="605"/>
        <v>0.27422767668218367</v>
      </c>
      <c r="AX203" s="332">
        <f t="shared" si="605"/>
        <v>0.29342394563262042</v>
      </c>
      <c r="AY203" s="1128">
        <f t="shared" si="605"/>
        <v>0.2717241379310345</v>
      </c>
      <c r="AZ203" s="315">
        <f t="shared" si="605"/>
        <v>0.31513866807984453</v>
      </c>
      <c r="BA203" s="315">
        <f t="shared" si="605"/>
        <v>0.30136775779929309</v>
      </c>
      <c r="BB203" s="315">
        <f t="shared" si="605"/>
        <v>0.30789807123750529</v>
      </c>
      <c r="BC203" s="315">
        <f t="shared" si="605"/>
        <v>0.3417506214837106</v>
      </c>
      <c r="BD203" s="1128">
        <f t="shared" si="605"/>
        <v>0.31745559931634093</v>
      </c>
      <c r="BE203" s="315">
        <f t="shared" si="605"/>
        <v>0.33506274131274133</v>
      </c>
      <c r="BF203" s="315">
        <f t="shared" si="605"/>
        <v>0.17959427207637232</v>
      </c>
      <c r="BG203" s="315">
        <f t="shared" si="605"/>
        <v>0.19440229303658743</v>
      </c>
      <c r="BH203" s="315">
        <f t="shared" si="605"/>
        <v>0.30606511320442903</v>
      </c>
      <c r="BI203" s="1128">
        <f t="shared" si="605"/>
        <v>0.2589901386520353</v>
      </c>
      <c r="BJ203" s="315">
        <f t="shared" si="605"/>
        <v>0.24972191323692991</v>
      </c>
      <c r="BK203" s="315">
        <f t="shared" si="605"/>
        <v>0.21018731028355667</v>
      </c>
      <c r="BL203" s="315">
        <f t="shared" si="605"/>
        <v>0.23912803532008831</v>
      </c>
      <c r="BM203" s="315">
        <f t="shared" si="605"/>
        <v>0.20074198072659821</v>
      </c>
      <c r="BN203" s="1128">
        <f t="shared" si="605"/>
        <v>0.22003545517218739</v>
      </c>
      <c r="BO203" s="315">
        <f t="shared" ref="BO203:BV203" si="606">BO193/BO$201</f>
        <v>0.16790815542927354</v>
      </c>
      <c r="BP203" s="315">
        <f t="shared" si="606"/>
        <v>0.19107856191744341</v>
      </c>
      <c r="BQ203" s="315">
        <f t="shared" si="606"/>
        <v>0.14688444216407273</v>
      </c>
      <c r="BR203" s="315">
        <f t="shared" si="606"/>
        <v>0.13493173323841245</v>
      </c>
      <c r="BS203" s="1128">
        <f t="shared" si="606"/>
        <v>0.15765113374253814</v>
      </c>
      <c r="BT203" s="315">
        <f t="shared" si="606"/>
        <v>0.16245290726703282</v>
      </c>
      <c r="BU203" s="315">
        <f t="shared" si="606"/>
        <v>0.18246582375970732</v>
      </c>
      <c r="BV203" s="315">
        <f t="shared" si="606"/>
        <v>0.24122022243272637</v>
      </c>
      <c r="BW203" s="315"/>
      <c r="BX203" s="1128">
        <f t="shared" ref="BX203:BY203" si="607">BX193/BX$201</f>
        <v>0.19609795404236402</v>
      </c>
      <c r="BY203" s="897">
        <f t="shared" si="607"/>
        <v>0.14710531152361697</v>
      </c>
      <c r="BZ203" s="315"/>
      <c r="CA203" s="315"/>
      <c r="CB203" s="315"/>
      <c r="CC203" s="1128"/>
      <c r="CD203" s="315"/>
      <c r="CE203" s="315"/>
      <c r="CF203" s="315"/>
      <c r="CG203" s="315"/>
      <c r="CH203" s="1128"/>
      <c r="CI203" s="1128"/>
      <c r="CJ203" s="1128"/>
      <c r="CK203" s="1128"/>
      <c r="CL203" s="155"/>
    </row>
    <row r="204" spans="1:90" hidden="1" outlineLevel="1" x14ac:dyDescent="0.3">
      <c r="A204" s="329" t="s">
        <v>820</v>
      </c>
      <c r="B204" s="670"/>
      <c r="C204" s="1137">
        <f t="shared" ref="C204:AH204" si="608">C194/C$201</f>
        <v>0.31760110416224441</v>
      </c>
      <c r="D204" s="1137">
        <f t="shared" si="608"/>
        <v>0.39206901061042643</v>
      </c>
      <c r="E204" s="1137">
        <f t="shared" si="608"/>
        <v>0.34521375358457307</v>
      </c>
      <c r="F204" s="1137">
        <f t="shared" si="608"/>
        <v>0.23557465988649126</v>
      </c>
      <c r="G204" s="332">
        <f t="shared" si="608"/>
        <v>0.19311757130948226</v>
      </c>
      <c r="H204" s="332">
        <f t="shared" si="608"/>
        <v>0.18834879868233312</v>
      </c>
      <c r="I204" s="332">
        <f t="shared" si="608"/>
        <v>0.17077841725423759</v>
      </c>
      <c r="J204" s="332">
        <f t="shared" si="608"/>
        <v>0.18028696307351513</v>
      </c>
      <c r="K204" s="1137">
        <f t="shared" si="608"/>
        <v>0.18235140330067179</v>
      </c>
      <c r="L204" s="332">
        <f t="shared" si="608"/>
        <v>0.18334225374683552</v>
      </c>
      <c r="M204" s="332">
        <f t="shared" si="608"/>
        <v>0.18837376360722774</v>
      </c>
      <c r="N204" s="332">
        <f t="shared" si="608"/>
        <v>0.19580688958952228</v>
      </c>
      <c r="O204" s="332">
        <f t="shared" si="608"/>
        <v>0.19972448901102746</v>
      </c>
      <c r="P204" s="1137">
        <f t="shared" si="608"/>
        <v>0.19225181598062954</v>
      </c>
      <c r="Q204" s="332">
        <f t="shared" si="608"/>
        <v>0.20217588395285585</v>
      </c>
      <c r="R204" s="332">
        <f t="shared" si="608"/>
        <v>0.22846781504986402</v>
      </c>
      <c r="S204" s="332">
        <f t="shared" si="608"/>
        <v>0.19428571428571428</v>
      </c>
      <c r="T204" s="332">
        <f t="shared" si="608"/>
        <v>0.16706634692246203</v>
      </c>
      <c r="U204" s="1137">
        <f t="shared" si="608"/>
        <v>0.1969243912857753</v>
      </c>
      <c r="V204" s="332">
        <f t="shared" si="608"/>
        <v>0.15030408340573415</v>
      </c>
      <c r="W204" s="332">
        <f t="shared" si="608"/>
        <v>0.1569817866435386</v>
      </c>
      <c r="X204" s="332">
        <f t="shared" si="608"/>
        <v>0.17547892720306513</v>
      </c>
      <c r="Y204" s="332">
        <f t="shared" si="608"/>
        <v>0.15917201998572447</v>
      </c>
      <c r="Z204" s="1137">
        <f t="shared" si="608"/>
        <v>0.16087824351297406</v>
      </c>
      <c r="AA204" s="332">
        <f t="shared" si="608"/>
        <v>0.18927203065134099</v>
      </c>
      <c r="AB204" s="332">
        <f t="shared" si="608"/>
        <v>0.17927170868347339</v>
      </c>
      <c r="AC204" s="315">
        <f t="shared" si="608"/>
        <v>0.17015968063872255</v>
      </c>
      <c r="AD204" s="315">
        <f t="shared" si="608"/>
        <v>0.21214910262310172</v>
      </c>
      <c r="AE204" s="1128">
        <f t="shared" si="608"/>
        <v>0.18885672937771347</v>
      </c>
      <c r="AF204" s="315">
        <f t="shared" si="608"/>
        <v>0.17036654620547237</v>
      </c>
      <c r="AG204" s="332">
        <f t="shared" si="608"/>
        <v>0.21569506726457399</v>
      </c>
      <c r="AH204" s="332">
        <f t="shared" si="608"/>
        <v>0.19537177541729894</v>
      </c>
      <c r="AI204" s="315">
        <f t="shared" ref="AI204:BN204" si="609">AI194/AI$201</f>
        <v>0.19580900034352455</v>
      </c>
      <c r="AJ204" s="1128">
        <f t="shared" si="609"/>
        <v>0.19518221124150711</v>
      </c>
      <c r="AK204" s="332">
        <f t="shared" si="609"/>
        <v>0.23511069535391332</v>
      </c>
      <c r="AL204" s="332">
        <f t="shared" si="609"/>
        <v>0.24335574767851426</v>
      </c>
      <c r="AM204" s="332">
        <f t="shared" si="609"/>
        <v>0.22131405218484754</v>
      </c>
      <c r="AN204" s="315">
        <f t="shared" si="609"/>
        <v>0.26439909297052155</v>
      </c>
      <c r="AO204" s="1128">
        <f t="shared" si="609"/>
        <v>0.23907476954592011</v>
      </c>
      <c r="AP204" s="332">
        <f t="shared" si="609"/>
        <v>0.24909909909909911</v>
      </c>
      <c r="AQ204" s="332">
        <f t="shared" si="609"/>
        <v>0.22605661108956959</v>
      </c>
      <c r="AR204" s="332">
        <f t="shared" si="609"/>
        <v>0.25149303251493033</v>
      </c>
      <c r="AS204" s="332">
        <f t="shared" si="609"/>
        <v>0.26956521739130435</v>
      </c>
      <c r="AT204" s="1128">
        <f t="shared" si="609"/>
        <v>0.25013738779996336</v>
      </c>
      <c r="AU204" s="332">
        <f t="shared" si="609"/>
        <v>0.2461038961038961</v>
      </c>
      <c r="AV204" s="332">
        <f t="shared" si="609"/>
        <v>0.22115882048629074</v>
      </c>
      <c r="AW204" s="332">
        <f t="shared" si="609"/>
        <v>0.23550571307659754</v>
      </c>
      <c r="AX204" s="332">
        <f t="shared" si="609"/>
        <v>0.23186088346991804</v>
      </c>
      <c r="AY204" s="1128">
        <f t="shared" si="609"/>
        <v>0.23304347826086957</v>
      </c>
      <c r="AZ204" s="315">
        <f t="shared" si="609"/>
        <v>0.24571630453983395</v>
      </c>
      <c r="BA204" s="315">
        <f t="shared" si="609"/>
        <v>0.26433072076225606</v>
      </c>
      <c r="BB204" s="315">
        <f t="shared" si="609"/>
        <v>0.28396452203294381</v>
      </c>
      <c r="BC204" s="315">
        <f t="shared" si="609"/>
        <v>0.25945309433468533</v>
      </c>
      <c r="BD204" s="1128">
        <f t="shared" si="609"/>
        <v>0.26421193430928142</v>
      </c>
      <c r="BE204" s="315">
        <f t="shared" si="609"/>
        <v>0.25108590733590735</v>
      </c>
      <c r="BF204" s="315">
        <f t="shared" si="609"/>
        <v>0.23896181384248211</v>
      </c>
      <c r="BG204" s="315">
        <f t="shared" si="609"/>
        <v>0.19355926487944697</v>
      </c>
      <c r="BH204" s="315">
        <f t="shared" si="609"/>
        <v>0.15765989092711949</v>
      </c>
      <c r="BI204" s="1128">
        <f t="shared" si="609"/>
        <v>0.21446578186401721</v>
      </c>
      <c r="BJ204" s="315">
        <f t="shared" si="609"/>
        <v>0.22107897664071191</v>
      </c>
      <c r="BK204" s="315">
        <f t="shared" si="609"/>
        <v>0.20285777744873029</v>
      </c>
      <c r="BL204" s="315">
        <f t="shared" si="609"/>
        <v>0.22240618101545254</v>
      </c>
      <c r="BM204" s="315">
        <f t="shared" si="609"/>
        <v>8.8042347192688775E-2</v>
      </c>
      <c r="BN204" s="1128">
        <f t="shared" si="609"/>
        <v>0.16916713174222778</v>
      </c>
      <c r="BO204" s="315">
        <f t="shared" ref="BO204:BV204" si="610">BO194/BO$201</f>
        <v>9.5645830133620033E-2</v>
      </c>
      <c r="BP204" s="315">
        <f t="shared" si="610"/>
        <v>0.12207057256990679</v>
      </c>
      <c r="BQ204" s="315">
        <f t="shared" si="610"/>
        <v>0.15438116412975314</v>
      </c>
      <c r="BR204" s="315">
        <f t="shared" si="610"/>
        <v>0.14070326205791869</v>
      </c>
      <c r="BS204" s="1128">
        <f t="shared" si="610"/>
        <v>0.131098799206112</v>
      </c>
      <c r="BT204" s="315">
        <f t="shared" si="610"/>
        <v>0.12532340792519631</v>
      </c>
      <c r="BU204" s="315">
        <f t="shared" si="610"/>
        <v>5.9238816507284513E-2</v>
      </c>
      <c r="BV204" s="315">
        <f t="shared" si="610"/>
        <v>5.2152405009998945E-2</v>
      </c>
      <c r="BW204" s="315"/>
      <c r="BX204" s="1128">
        <f t="shared" ref="BX204:BY204" si="611">BX194/BX$201</f>
        <v>9.112337800665006E-2</v>
      </c>
      <c r="BY204" s="897">
        <f t="shared" si="611"/>
        <v>5.5749555841450714E-2</v>
      </c>
      <c r="BZ204" s="315"/>
      <c r="CA204" s="315"/>
      <c r="CB204" s="315"/>
      <c r="CC204" s="1128"/>
      <c r="CD204" s="315"/>
      <c r="CE204" s="315"/>
      <c r="CF204" s="315"/>
      <c r="CG204" s="315"/>
      <c r="CH204" s="1128"/>
      <c r="CI204" s="1128"/>
      <c r="CJ204" s="1128"/>
      <c r="CK204" s="1128"/>
      <c r="CL204" s="155"/>
    </row>
    <row r="205" spans="1:90" hidden="1" outlineLevel="1" x14ac:dyDescent="0.3">
      <c r="A205" s="329" t="s">
        <v>821</v>
      </c>
      <c r="B205" s="670"/>
      <c r="C205" s="1137">
        <f t="shared" ref="C205:AH205" si="612">C195/C$201</f>
        <v>9.0380363103999342E-2</v>
      </c>
      <c r="D205" s="1137">
        <f t="shared" si="612"/>
        <v>7.4792458615729418E-2</v>
      </c>
      <c r="E205" s="1137">
        <f t="shared" si="612"/>
        <v>8.3894743585727349E-2</v>
      </c>
      <c r="F205" s="1137">
        <f t="shared" si="612"/>
        <v>0.14914318159647616</v>
      </c>
      <c r="G205" s="332">
        <f t="shared" si="612"/>
        <v>0.15779611775403649</v>
      </c>
      <c r="H205" s="332">
        <f t="shared" si="612"/>
        <v>0.14825093127256361</v>
      </c>
      <c r="I205" s="332">
        <f t="shared" si="612"/>
        <v>0.2138932489556602</v>
      </c>
      <c r="J205" s="332">
        <f t="shared" si="612"/>
        <v>0.21783590597902969</v>
      </c>
      <c r="K205" s="1137">
        <f t="shared" si="612"/>
        <v>0.18677577164773551</v>
      </c>
      <c r="L205" s="332">
        <f t="shared" si="612"/>
        <v>0.19479459831430371</v>
      </c>
      <c r="M205" s="332">
        <f t="shared" si="612"/>
        <v>0.16761116534559647</v>
      </c>
      <c r="N205" s="332">
        <f t="shared" si="612"/>
        <v>0.18551719361232374</v>
      </c>
      <c r="O205" s="332">
        <f t="shared" si="612"/>
        <v>0.15881827462991324</v>
      </c>
      <c r="P205" s="1137">
        <f t="shared" si="612"/>
        <v>0.17602905569007263</v>
      </c>
      <c r="Q205" s="332">
        <f t="shared" si="612"/>
        <v>0.15684496826835903</v>
      </c>
      <c r="R205" s="332">
        <f t="shared" si="612"/>
        <v>0.18676337262012693</v>
      </c>
      <c r="S205" s="332">
        <f t="shared" si="612"/>
        <v>0.17551020408163265</v>
      </c>
      <c r="T205" s="332">
        <f t="shared" si="612"/>
        <v>0.1574740207833733</v>
      </c>
      <c r="U205" s="1137">
        <f t="shared" si="612"/>
        <v>0.16894489534387014</v>
      </c>
      <c r="V205" s="332">
        <f t="shared" si="612"/>
        <v>0.15638575152041703</v>
      </c>
      <c r="W205" s="332">
        <f t="shared" si="612"/>
        <v>0.1196877710320902</v>
      </c>
      <c r="X205" s="332">
        <f t="shared" si="612"/>
        <v>0.11954022988505747</v>
      </c>
      <c r="Y205" s="332">
        <f t="shared" si="612"/>
        <v>0.1206281227694504</v>
      </c>
      <c r="Z205" s="1137">
        <f t="shared" si="612"/>
        <v>0.1283433133732535</v>
      </c>
      <c r="AA205" s="332">
        <f t="shared" si="612"/>
        <v>0.14865900383141761</v>
      </c>
      <c r="AB205" s="332">
        <f t="shared" si="612"/>
        <v>0.14425770308123248</v>
      </c>
      <c r="AC205" s="315">
        <f t="shared" si="612"/>
        <v>0.1407185628742515</v>
      </c>
      <c r="AD205" s="315">
        <f t="shared" si="612"/>
        <v>0.10216290842153705</v>
      </c>
      <c r="AE205" s="1128">
        <f t="shared" si="612"/>
        <v>0.13082489146164977</v>
      </c>
      <c r="AF205" s="315">
        <f t="shared" si="612"/>
        <v>0.18224057821373257</v>
      </c>
      <c r="AG205" s="332">
        <f t="shared" si="612"/>
        <v>0.12466367713004484</v>
      </c>
      <c r="AH205" s="332">
        <f t="shared" si="612"/>
        <v>9.9772382397572079E-2</v>
      </c>
      <c r="AI205" s="315">
        <f t="shared" ref="AI205:BN205" si="613">AI195/AI$201</f>
        <v>0.1305393335623497</v>
      </c>
      <c r="AJ205" s="1128">
        <f t="shared" si="613"/>
        <v>0.13115091620341776</v>
      </c>
      <c r="AK205" s="332">
        <f t="shared" si="613"/>
        <v>0.13532896788275647</v>
      </c>
      <c r="AL205" s="332">
        <f t="shared" si="613"/>
        <v>0.13224463656740315</v>
      </c>
      <c r="AM205" s="332">
        <f t="shared" si="613"/>
        <v>0.12794718641936498</v>
      </c>
      <c r="AN205" s="315">
        <f t="shared" si="613"/>
        <v>0.11428571428571428</v>
      </c>
      <c r="AO205" s="1128">
        <f t="shared" si="613"/>
        <v>0.12854216456128373</v>
      </c>
      <c r="AP205" s="332">
        <f t="shared" si="613"/>
        <v>7.4324324324324328E-2</v>
      </c>
      <c r="AQ205" s="332">
        <f t="shared" si="613"/>
        <v>7.2896471500581622E-2</v>
      </c>
      <c r="AR205" s="332">
        <f t="shared" si="613"/>
        <v>7.8301260783012611E-2</v>
      </c>
      <c r="AS205" s="332">
        <f t="shared" si="613"/>
        <v>9.5652173913043481E-2</v>
      </c>
      <c r="AT205" s="1128">
        <f t="shared" si="613"/>
        <v>8.1150393845026564E-2</v>
      </c>
      <c r="AU205" s="332">
        <f t="shared" si="613"/>
        <v>0.16136363636363638</v>
      </c>
      <c r="AV205" s="332">
        <f t="shared" si="613"/>
        <v>0.24418003103983446</v>
      </c>
      <c r="AW205" s="332">
        <f t="shared" si="613"/>
        <v>0.18831993228946256</v>
      </c>
      <c r="AX205" s="332">
        <f t="shared" si="613"/>
        <v>0.17649410353787728</v>
      </c>
      <c r="AY205" s="1128">
        <f t="shared" si="613"/>
        <v>0.19274362818590704</v>
      </c>
      <c r="AZ205" s="315">
        <f t="shared" si="613"/>
        <v>0.13566507684154744</v>
      </c>
      <c r="BA205" s="315">
        <f t="shared" si="613"/>
        <v>0.15306592899953897</v>
      </c>
      <c r="BB205" s="315">
        <f t="shared" si="613"/>
        <v>0.15852456708433058</v>
      </c>
      <c r="BC205" s="315">
        <f t="shared" si="613"/>
        <v>0.19089362815648306</v>
      </c>
      <c r="BD205" s="1128">
        <f t="shared" si="613"/>
        <v>0.1615887642119343</v>
      </c>
      <c r="BE205" s="315">
        <f t="shared" si="613"/>
        <v>0.23310810810810811</v>
      </c>
      <c r="BF205" s="315">
        <f t="shared" si="613"/>
        <v>0.29653937947494036</v>
      </c>
      <c r="BG205" s="315">
        <f t="shared" si="613"/>
        <v>0.36216489630753668</v>
      </c>
      <c r="BH205" s="315">
        <f t="shared" si="613"/>
        <v>0.36754255494959509</v>
      </c>
      <c r="BI205" s="1128">
        <f t="shared" si="613"/>
        <v>0.3074071327945429</v>
      </c>
      <c r="BJ205" s="315">
        <f t="shared" si="613"/>
        <v>0.33161846496106784</v>
      </c>
      <c r="BK205" s="315">
        <f t="shared" si="613"/>
        <v>0.44739764566521062</v>
      </c>
      <c r="BL205" s="315">
        <f t="shared" si="613"/>
        <v>0.34779249448123623</v>
      </c>
      <c r="BM205" s="315">
        <f t="shared" si="613"/>
        <v>0.55359001040582723</v>
      </c>
      <c r="BN205" s="1128">
        <f t="shared" si="613"/>
        <v>0.4426315616690194</v>
      </c>
      <c r="BO205" s="315">
        <f t="shared" ref="BO205:BV205" si="614">BO195/BO$201</f>
        <v>0.51819996928275225</v>
      </c>
      <c r="BP205" s="315">
        <f t="shared" si="614"/>
        <v>0.43348868175765648</v>
      </c>
      <c r="BQ205" s="315">
        <f t="shared" si="614"/>
        <v>0.42186876460863121</v>
      </c>
      <c r="BR205" s="315">
        <f t="shared" si="614"/>
        <v>0.50695380234420684</v>
      </c>
      <c r="BS205" s="1128">
        <f t="shared" si="614"/>
        <v>0.46941308995609093</v>
      </c>
      <c r="BT205" s="315">
        <f t="shared" si="614"/>
        <v>0.47067768144886751</v>
      </c>
      <c r="BU205" s="315">
        <f t="shared" si="614"/>
        <v>0.50210726739832701</v>
      </c>
      <c r="BV205" s="315">
        <f t="shared" si="614"/>
        <v>0.68724344805809912</v>
      </c>
      <c r="BW205" s="315"/>
      <c r="BX205" s="1128">
        <f t="shared" ref="BX205:BY205" si="615">BX195/BX$201</f>
        <v>0.69287017569858012</v>
      </c>
      <c r="BY205" s="897">
        <f t="shared" si="615"/>
        <v>0.78133921460515832</v>
      </c>
      <c r="BZ205" s="315"/>
      <c r="CA205" s="315"/>
      <c r="CB205" s="315"/>
      <c r="CC205" s="1128"/>
      <c r="CD205" s="315"/>
      <c r="CE205" s="315"/>
      <c r="CF205" s="315"/>
      <c r="CG205" s="315"/>
      <c r="CH205" s="1128"/>
      <c r="CI205" s="1128"/>
      <c r="CJ205" s="1128"/>
      <c r="CK205" s="1128"/>
      <c r="CL205" s="155"/>
    </row>
    <row r="206" spans="1:90" hidden="1" outlineLevel="1" x14ac:dyDescent="0.3">
      <c r="A206" s="329" t="s">
        <v>1246</v>
      </c>
      <c r="B206" s="670"/>
      <c r="C206" s="1128"/>
      <c r="D206" s="1128"/>
      <c r="E206" s="1128"/>
      <c r="F206" s="1128"/>
      <c r="G206" s="315"/>
      <c r="H206" s="315"/>
      <c r="I206" s="315"/>
      <c r="J206" s="315"/>
      <c r="K206" s="1128"/>
      <c r="L206" s="315"/>
      <c r="M206" s="315"/>
      <c r="N206" s="315"/>
      <c r="O206" s="315"/>
      <c r="P206" s="1128"/>
      <c r="Q206" s="315"/>
      <c r="R206" s="315"/>
      <c r="S206" s="315"/>
      <c r="T206" s="315"/>
      <c r="U206" s="1128"/>
      <c r="V206" s="315"/>
      <c r="W206" s="315"/>
      <c r="X206" s="315"/>
      <c r="Y206" s="315"/>
      <c r="Z206" s="1128"/>
      <c r="AA206" s="315"/>
      <c r="AB206" s="315"/>
      <c r="AC206" s="315"/>
      <c r="AD206" s="315"/>
      <c r="AE206" s="1128"/>
      <c r="AF206" s="315"/>
      <c r="AG206" s="315"/>
      <c r="AH206" s="315"/>
      <c r="AI206" s="315"/>
      <c r="AJ206" s="1128"/>
      <c r="AK206" s="315"/>
      <c r="AL206" s="315"/>
      <c r="AM206" s="315"/>
      <c r="AN206" s="315"/>
      <c r="AO206" s="1128"/>
      <c r="AP206" s="315"/>
      <c r="AQ206" s="315"/>
      <c r="AR206" s="315"/>
      <c r="AS206" s="315"/>
      <c r="AT206" s="1128"/>
      <c r="AU206" s="315"/>
      <c r="AV206" s="315"/>
      <c r="AW206" s="315"/>
      <c r="AX206" s="315"/>
      <c r="AY206" s="1128"/>
      <c r="AZ206" s="315"/>
      <c r="BA206" s="315"/>
      <c r="BB206" s="315"/>
      <c r="BC206" s="315"/>
      <c r="BD206" s="1128"/>
      <c r="BE206" s="315"/>
      <c r="BF206" s="315"/>
      <c r="BG206" s="315"/>
      <c r="BH206" s="315"/>
      <c r="BI206" s="1128"/>
      <c r="BJ206" s="315"/>
      <c r="BK206" s="315"/>
      <c r="BL206" s="315"/>
      <c r="BM206" s="315"/>
      <c r="BN206" s="1128"/>
      <c r="BO206" s="315">
        <f t="shared" ref="BO206:BV206" si="616">BO196/BO$201</f>
        <v>0.1550069113807403</v>
      </c>
      <c r="BP206" s="315">
        <f t="shared" si="616"/>
        <v>0.18715046604527297</v>
      </c>
      <c r="BQ206" s="315">
        <f t="shared" si="616"/>
        <v>0.21940026224274556</v>
      </c>
      <c r="BR206" s="315">
        <f t="shared" si="616"/>
        <v>0.16089090030764536</v>
      </c>
      <c r="BS206" s="1128">
        <f t="shared" si="616"/>
        <v>0.18149076223974497</v>
      </c>
      <c r="BT206" s="315">
        <f t="shared" si="616"/>
        <v>0.20464345694702918</v>
      </c>
      <c r="BU206" s="315">
        <f t="shared" si="616"/>
        <v>0.21727317459298717</v>
      </c>
      <c r="BV206" s="315">
        <f t="shared" si="616"/>
        <v>0</v>
      </c>
      <c r="BW206" s="315"/>
      <c r="BX206" s="1128">
        <f t="shared" ref="BX206:BY206" si="617">BX196/BX$201</f>
        <v>0</v>
      </c>
      <c r="BY206" s="897">
        <f t="shared" si="617"/>
        <v>0</v>
      </c>
      <c r="BZ206" s="315"/>
      <c r="CA206" s="315"/>
      <c r="CB206" s="315"/>
      <c r="CC206" s="1128"/>
      <c r="CD206" s="315"/>
      <c r="CE206" s="315"/>
      <c r="CF206" s="315"/>
      <c r="CG206" s="315"/>
      <c r="CH206" s="1128"/>
      <c r="CI206" s="1128"/>
      <c r="CJ206" s="1128"/>
      <c r="CK206" s="1128"/>
      <c r="CL206" s="155"/>
    </row>
    <row r="207" spans="1:90" hidden="1" outlineLevel="1" x14ac:dyDescent="0.3">
      <c r="A207" s="671" t="s">
        <v>822</v>
      </c>
      <c r="B207" s="670"/>
      <c r="C207" s="1128"/>
      <c r="D207" s="1128"/>
      <c r="E207" s="1128"/>
      <c r="F207" s="1128"/>
      <c r="G207" s="315"/>
      <c r="H207" s="315"/>
      <c r="I207" s="315"/>
      <c r="J207" s="315"/>
      <c r="K207" s="1128"/>
      <c r="L207" s="315"/>
      <c r="M207" s="315"/>
      <c r="N207" s="315"/>
      <c r="O207" s="315"/>
      <c r="P207" s="1128"/>
      <c r="Q207" s="315"/>
      <c r="R207" s="315"/>
      <c r="S207" s="315"/>
      <c r="T207" s="315"/>
      <c r="U207" s="1128"/>
      <c r="V207" s="315"/>
      <c r="W207" s="315"/>
      <c r="X207" s="315"/>
      <c r="Y207" s="315"/>
      <c r="Z207" s="1128"/>
      <c r="AA207" s="315"/>
      <c r="AB207" s="315"/>
      <c r="AC207" s="315"/>
      <c r="AD207" s="315"/>
      <c r="AE207" s="1128"/>
      <c r="AF207" s="315"/>
      <c r="AG207" s="315"/>
      <c r="AH207" s="315"/>
      <c r="AI207" s="315"/>
      <c r="AJ207" s="1128"/>
      <c r="AK207" s="315"/>
      <c r="AL207" s="315"/>
      <c r="AM207" s="315"/>
      <c r="AN207" s="315"/>
      <c r="AO207" s="1128"/>
      <c r="AP207" s="315"/>
      <c r="AQ207" s="315"/>
      <c r="AR207" s="315"/>
      <c r="AS207" s="315"/>
      <c r="AT207" s="1128"/>
      <c r="AU207" s="315"/>
      <c r="AV207" s="315"/>
      <c r="AW207" s="315"/>
      <c r="AX207" s="315"/>
      <c r="AY207" s="1128"/>
      <c r="AZ207" s="315"/>
      <c r="BA207" s="315"/>
      <c r="BB207" s="315"/>
      <c r="BC207" s="315"/>
      <c r="BD207" s="1128"/>
      <c r="BE207" s="315"/>
      <c r="BF207" s="315"/>
      <c r="BG207" s="315"/>
      <c r="BH207" s="315"/>
      <c r="BI207" s="1128"/>
      <c r="BJ207" s="315"/>
      <c r="BK207" s="315"/>
      <c r="BL207" s="315"/>
      <c r="BM207" s="315"/>
      <c r="BN207" s="1128"/>
      <c r="BO207" s="315"/>
      <c r="BP207" s="315"/>
      <c r="BQ207" s="315"/>
      <c r="BR207" s="315"/>
      <c r="BS207" s="1128"/>
      <c r="BT207" s="315"/>
      <c r="BU207" s="315"/>
      <c r="BV207" s="315"/>
      <c r="BW207" s="315"/>
      <c r="BX207" s="1128"/>
      <c r="BY207" s="897"/>
      <c r="BZ207" s="315"/>
      <c r="CA207" s="315"/>
      <c r="CB207" s="315"/>
      <c r="CC207" s="1128"/>
      <c r="CD207" s="315"/>
      <c r="CE207" s="315"/>
      <c r="CF207" s="315"/>
      <c r="CG207" s="315"/>
      <c r="CH207" s="1128"/>
      <c r="CI207" s="1128"/>
      <c r="CJ207" s="1128"/>
      <c r="CK207" s="1128"/>
      <c r="CL207" s="155"/>
    </row>
    <row r="208" spans="1:90" hidden="1" outlineLevel="1" x14ac:dyDescent="0.3">
      <c r="A208" s="671" t="s">
        <v>823</v>
      </c>
      <c r="B208" s="670"/>
      <c r="C208" s="1128"/>
      <c r="D208" s="1128"/>
      <c r="E208" s="1128"/>
      <c r="F208" s="1128"/>
      <c r="G208" s="315"/>
      <c r="H208" s="315"/>
      <c r="I208" s="315"/>
      <c r="J208" s="315"/>
      <c r="K208" s="1128"/>
      <c r="L208" s="315"/>
      <c r="M208" s="315"/>
      <c r="N208" s="315"/>
      <c r="O208" s="315"/>
      <c r="P208" s="1128"/>
      <c r="Q208" s="315"/>
      <c r="R208" s="315"/>
      <c r="S208" s="315"/>
      <c r="T208" s="315"/>
      <c r="U208" s="1128"/>
      <c r="V208" s="315"/>
      <c r="W208" s="315"/>
      <c r="X208" s="315"/>
      <c r="Y208" s="315"/>
      <c r="Z208" s="1128"/>
      <c r="AA208" s="315"/>
      <c r="AB208" s="315"/>
      <c r="AC208" s="315"/>
      <c r="AD208" s="315"/>
      <c r="AE208" s="1128"/>
      <c r="AF208" s="315"/>
      <c r="AG208" s="315"/>
      <c r="AH208" s="315"/>
      <c r="AI208" s="315"/>
      <c r="AJ208" s="1128"/>
      <c r="AK208" s="315"/>
      <c r="AL208" s="315"/>
      <c r="AM208" s="315"/>
      <c r="AN208" s="315"/>
      <c r="AO208" s="1128"/>
      <c r="AP208" s="315"/>
      <c r="AQ208" s="315"/>
      <c r="AR208" s="315"/>
      <c r="AS208" s="315"/>
      <c r="AT208" s="1128"/>
      <c r="AU208" s="315"/>
      <c r="AV208" s="315"/>
      <c r="AW208" s="315"/>
      <c r="AX208" s="315"/>
      <c r="AY208" s="1128"/>
      <c r="AZ208" s="315"/>
      <c r="BA208" s="315"/>
      <c r="BB208" s="315"/>
      <c r="BC208" s="315"/>
      <c r="BD208" s="1128"/>
      <c r="BE208" s="315"/>
      <c r="BF208" s="315"/>
      <c r="BG208" s="315"/>
      <c r="BH208" s="315"/>
      <c r="BI208" s="1128"/>
      <c r="BJ208" s="315"/>
      <c r="BK208" s="315"/>
      <c r="BL208" s="315"/>
      <c r="BM208" s="315"/>
      <c r="BN208" s="1128"/>
      <c r="BO208" s="315"/>
      <c r="BP208" s="315"/>
      <c r="BQ208" s="315"/>
      <c r="BR208" s="315"/>
      <c r="BS208" s="1128"/>
      <c r="BT208" s="315"/>
      <c r="BU208" s="315"/>
      <c r="BV208" s="315"/>
      <c r="BW208" s="315"/>
      <c r="BX208" s="1128"/>
      <c r="BY208" s="897"/>
      <c r="BZ208" s="315"/>
      <c r="CA208" s="315"/>
      <c r="CB208" s="315"/>
      <c r="CC208" s="1128"/>
      <c r="CD208" s="315"/>
      <c r="CE208" s="315"/>
      <c r="CF208" s="315"/>
      <c r="CG208" s="315"/>
      <c r="CH208" s="1128"/>
      <c r="CI208" s="1128"/>
      <c r="CJ208" s="1128"/>
      <c r="CK208" s="1128"/>
      <c r="CL208" s="155"/>
    </row>
    <row r="209" spans="1:90" hidden="1" outlineLevel="1" x14ac:dyDescent="0.3">
      <c r="A209" s="697" t="s">
        <v>824</v>
      </c>
      <c r="B209" s="698"/>
      <c r="C209" s="1138"/>
      <c r="D209" s="1138"/>
      <c r="E209" s="1138"/>
      <c r="F209" s="1138"/>
      <c r="G209" s="699"/>
      <c r="H209" s="699"/>
      <c r="I209" s="699"/>
      <c r="J209" s="699"/>
      <c r="K209" s="1138"/>
      <c r="L209" s="699"/>
      <c r="M209" s="699"/>
      <c r="N209" s="699"/>
      <c r="O209" s="699"/>
      <c r="P209" s="1138"/>
      <c r="Q209" s="699"/>
      <c r="R209" s="699"/>
      <c r="S209" s="699"/>
      <c r="T209" s="699"/>
      <c r="U209" s="1138"/>
      <c r="V209" s="699"/>
      <c r="W209" s="699"/>
      <c r="X209" s="699"/>
      <c r="Y209" s="699"/>
      <c r="Z209" s="1138"/>
      <c r="AA209" s="699"/>
      <c r="AB209" s="699"/>
      <c r="AC209" s="699"/>
      <c r="AD209" s="699"/>
      <c r="AE209" s="1138"/>
      <c r="AF209" s="699"/>
      <c r="AG209" s="699"/>
      <c r="AH209" s="699"/>
      <c r="AI209" s="699"/>
      <c r="AJ209" s="1138"/>
      <c r="AK209" s="699"/>
      <c r="AL209" s="699"/>
      <c r="AM209" s="699"/>
      <c r="AN209" s="699"/>
      <c r="AO209" s="1138"/>
      <c r="AP209" s="699"/>
      <c r="AQ209" s="699"/>
      <c r="AR209" s="699"/>
      <c r="AS209" s="699"/>
      <c r="AT209" s="1138"/>
      <c r="AU209" s="699"/>
      <c r="AV209" s="699"/>
      <c r="AW209" s="699"/>
      <c r="AX209" s="699"/>
      <c r="AY209" s="1138"/>
      <c r="AZ209" s="699"/>
      <c r="BA209" s="699"/>
      <c r="BB209" s="699"/>
      <c r="BC209" s="699"/>
      <c r="BD209" s="1138"/>
      <c r="BE209" s="699"/>
      <c r="BF209" s="699"/>
      <c r="BG209" s="699"/>
      <c r="BH209" s="699"/>
      <c r="BI209" s="1138"/>
      <c r="BJ209" s="699"/>
      <c r="BK209" s="699"/>
      <c r="BL209" s="699"/>
      <c r="BM209" s="699"/>
      <c r="BN209" s="1138"/>
      <c r="BO209" s="699"/>
      <c r="BP209" s="699"/>
      <c r="BQ209" s="699"/>
      <c r="BR209" s="699"/>
      <c r="BS209" s="1138"/>
      <c r="BT209" s="699"/>
      <c r="BU209" s="699"/>
      <c r="BV209" s="699"/>
      <c r="BW209" s="699"/>
      <c r="BX209" s="1138"/>
      <c r="BY209" s="901"/>
      <c r="BZ209" s="699"/>
      <c r="CA209" s="699"/>
      <c r="CB209" s="699"/>
      <c r="CC209" s="1138"/>
      <c r="CD209" s="699"/>
      <c r="CE209" s="699"/>
      <c r="CF209" s="699"/>
      <c r="CG209" s="699"/>
      <c r="CH209" s="1138"/>
      <c r="CI209" s="1138"/>
      <c r="CJ209" s="1138"/>
      <c r="CK209" s="1138"/>
      <c r="CL209" s="155"/>
    </row>
    <row r="210" spans="1:90" hidden="1" outlineLevel="1" x14ac:dyDescent="0.3">
      <c r="A210" s="329" t="s">
        <v>825</v>
      </c>
      <c r="B210" s="670"/>
      <c r="C210" s="1137">
        <f t="shared" ref="C210:AH210" si="618">C200/C$201</f>
        <v>0.30760478022598892</v>
      </c>
      <c r="D210" s="1137">
        <f t="shared" si="618"/>
        <v>0.26764879623742466</v>
      </c>
      <c r="E210" s="1137">
        <f t="shared" si="618"/>
        <v>0.30650671448637418</v>
      </c>
      <c r="F210" s="1137">
        <f t="shared" si="618"/>
        <v>0.33084121032634389</v>
      </c>
      <c r="G210" s="332">
        <f t="shared" si="618"/>
        <v>0.35032442151767212</v>
      </c>
      <c r="H210" s="332">
        <f t="shared" si="618"/>
        <v>0.33767607994101145</v>
      </c>
      <c r="I210" s="332">
        <f t="shared" si="618"/>
        <v>0.28000265756450826</v>
      </c>
      <c r="J210" s="332">
        <f t="shared" si="618"/>
        <v>0.29777884582374958</v>
      </c>
      <c r="K210" s="1137">
        <f t="shared" si="618"/>
        <v>0.31386637739392392</v>
      </c>
      <c r="L210" s="332">
        <f t="shared" si="618"/>
        <v>0.31823985403340599</v>
      </c>
      <c r="M210" s="332">
        <f t="shared" si="618"/>
        <v>0.31758077356795378</v>
      </c>
      <c r="N210" s="332">
        <f t="shared" si="618"/>
        <v>0.31599281571434401</v>
      </c>
      <c r="O210" s="332">
        <f t="shared" si="618"/>
        <v>0.29785779717076782</v>
      </c>
      <c r="P210" s="1137">
        <f t="shared" si="618"/>
        <v>0.31186440677966104</v>
      </c>
      <c r="Q210" s="332">
        <f t="shared" si="618"/>
        <v>0.30281051677243881</v>
      </c>
      <c r="R210" s="332">
        <f t="shared" si="618"/>
        <v>0.28467815049864009</v>
      </c>
      <c r="S210" s="332">
        <f t="shared" si="618"/>
        <v>0.29877551020408161</v>
      </c>
      <c r="T210" s="332">
        <f t="shared" si="618"/>
        <v>0.2885691446842526</v>
      </c>
      <c r="U210" s="1137">
        <f t="shared" si="618"/>
        <v>0.29367791542076038</v>
      </c>
      <c r="V210" s="332">
        <f t="shared" si="618"/>
        <v>0.35621198957428324</v>
      </c>
      <c r="W210" s="332">
        <f t="shared" si="618"/>
        <v>0.33738074588031225</v>
      </c>
      <c r="X210" s="332">
        <f t="shared" si="618"/>
        <v>0.31034482758620691</v>
      </c>
      <c r="Y210" s="332">
        <f t="shared" si="618"/>
        <v>0.31763026409707351</v>
      </c>
      <c r="Z210" s="1137">
        <f t="shared" si="618"/>
        <v>0.32914171656686625</v>
      </c>
      <c r="AA210" s="332">
        <f t="shared" si="618"/>
        <v>0.3210727969348659</v>
      </c>
      <c r="AB210" s="332">
        <f t="shared" si="618"/>
        <v>0.32282913165266108</v>
      </c>
      <c r="AC210" s="315">
        <f t="shared" si="618"/>
        <v>0.31636726546906185</v>
      </c>
      <c r="AD210" s="315">
        <f t="shared" si="618"/>
        <v>0.29498389323515878</v>
      </c>
      <c r="AE210" s="1128">
        <f t="shared" si="618"/>
        <v>0.31186685962373373</v>
      </c>
      <c r="AF210" s="315">
        <f t="shared" si="618"/>
        <v>0.33660299432111512</v>
      </c>
      <c r="AG210" s="332">
        <f t="shared" si="618"/>
        <v>0.35739910313901346</v>
      </c>
      <c r="AH210" s="332">
        <f t="shared" si="618"/>
        <v>0.37708649468892264</v>
      </c>
      <c r="AI210" s="315">
        <f t="shared" ref="AI210:BN210" si="619">AI200/AI$201</f>
        <v>0.38131226382686362</v>
      </c>
      <c r="AJ210" s="1128">
        <f t="shared" si="619"/>
        <v>0.36576075766934324</v>
      </c>
      <c r="AK210" s="332">
        <f t="shared" si="619"/>
        <v>0.3280324290614281</v>
      </c>
      <c r="AL210" s="332">
        <f t="shared" si="619"/>
        <v>0.35446685878962536</v>
      </c>
      <c r="AM210" s="332">
        <f t="shared" si="619"/>
        <v>0.35869223514618043</v>
      </c>
      <c r="AN210" s="315">
        <f t="shared" si="619"/>
        <v>0.3396825396825397</v>
      </c>
      <c r="AO210" s="1128">
        <f t="shared" si="619"/>
        <v>0.34559576647319906</v>
      </c>
      <c r="AP210" s="332">
        <f t="shared" si="619"/>
        <v>0.36216216216216218</v>
      </c>
      <c r="AQ210" s="332">
        <f t="shared" si="619"/>
        <v>0.45482745250096934</v>
      </c>
      <c r="AR210" s="332">
        <f t="shared" si="619"/>
        <v>0.39216987392169872</v>
      </c>
      <c r="AS210" s="332">
        <f t="shared" si="619"/>
        <v>0.35974235104669888</v>
      </c>
      <c r="AT210" s="1128">
        <f t="shared" si="619"/>
        <v>0.39164682176222754</v>
      </c>
      <c r="AU210" s="332">
        <f t="shared" si="619"/>
        <v>0.32857142857142857</v>
      </c>
      <c r="AV210" s="332">
        <f t="shared" si="619"/>
        <v>0.28789446456285567</v>
      </c>
      <c r="AW210" s="332">
        <f t="shared" si="619"/>
        <v>0.30194667795175623</v>
      </c>
      <c r="AX210" s="332">
        <f t="shared" si="619"/>
        <v>0.29822106735958426</v>
      </c>
      <c r="AY210" s="1128">
        <f t="shared" si="619"/>
        <v>0.30248875562218891</v>
      </c>
      <c r="AZ210" s="315">
        <f t="shared" si="619"/>
        <v>0.30347995053877408</v>
      </c>
      <c r="BA210" s="315">
        <f t="shared" si="619"/>
        <v>0.28123559243891194</v>
      </c>
      <c r="BB210" s="315">
        <f t="shared" si="619"/>
        <v>0.24961283964522032</v>
      </c>
      <c r="BC210" s="315">
        <f t="shared" si="619"/>
        <v>0.20790265602512104</v>
      </c>
      <c r="BD210" s="1128">
        <f t="shared" si="619"/>
        <v>0.25674370216244335</v>
      </c>
      <c r="BE210" s="315">
        <f t="shared" si="619"/>
        <v>0.18074324324324326</v>
      </c>
      <c r="BF210" s="315">
        <f t="shared" si="619"/>
        <v>0.28490453460620524</v>
      </c>
      <c r="BG210" s="315">
        <f t="shared" si="619"/>
        <v>0.24987354577642892</v>
      </c>
      <c r="BH210" s="315">
        <f t="shared" si="619"/>
        <v>0.16873244091885639</v>
      </c>
      <c r="BI210" s="1128">
        <f t="shared" si="619"/>
        <v>0.21913694668940462</v>
      </c>
      <c r="BJ210" s="315">
        <f t="shared" si="619"/>
        <v>0.19758064516129031</v>
      </c>
      <c r="BK210" s="315">
        <f t="shared" si="619"/>
        <v>0.13955726660250239</v>
      </c>
      <c r="BL210" s="315">
        <f t="shared" si="619"/>
        <v>0.19067328918322296</v>
      </c>
      <c r="BM210" s="315">
        <f t="shared" si="619"/>
        <v>0.15762566167488576</v>
      </c>
      <c r="BN210" s="1128">
        <f t="shared" si="619"/>
        <v>0.16816585141656545</v>
      </c>
      <c r="BO210" s="315">
        <f t="shared" ref="BO210:BV210" si="620">BO200/BO$201</f>
        <v>6.3239133773613884E-2</v>
      </c>
      <c r="BP210" s="315">
        <f t="shared" si="620"/>
        <v>6.6211717709720369E-2</v>
      </c>
      <c r="BQ210" s="315">
        <f t="shared" si="620"/>
        <v>5.7465366854797334E-2</v>
      </c>
      <c r="BR210" s="315">
        <f t="shared" si="620"/>
        <v>5.6520302051816636E-2</v>
      </c>
      <c r="BS210" s="1128">
        <f t="shared" si="620"/>
        <v>6.0346214855513919E-2</v>
      </c>
      <c r="BT210" s="315">
        <f t="shared" si="620"/>
        <v>3.6902546411874175E-2</v>
      </c>
      <c r="BU210" s="315">
        <f t="shared" si="620"/>
        <v>3.8914917741693943E-2</v>
      </c>
      <c r="BV210" s="315">
        <f t="shared" si="620"/>
        <v>1.9383924499175524E-2</v>
      </c>
      <c r="BW210" s="315"/>
      <c r="BX210" s="1128">
        <f t="shared" ref="BX210:BY210" si="621">BX200/BX$201</f>
        <v>1.9908492252405784E-2</v>
      </c>
      <c r="BY210" s="897">
        <f t="shared" si="621"/>
        <v>1.5805918029773939E-2</v>
      </c>
      <c r="BZ210" s="315"/>
      <c r="CA210" s="315"/>
      <c r="CB210" s="315"/>
      <c r="CC210" s="1128"/>
      <c r="CD210" s="315"/>
      <c r="CE210" s="315"/>
      <c r="CF210" s="315"/>
      <c r="CG210" s="315"/>
      <c r="CH210" s="1128"/>
      <c r="CI210" s="1128"/>
      <c r="CJ210" s="1128"/>
      <c r="CK210" s="1128"/>
      <c r="CL210" s="155"/>
    </row>
    <row r="211" spans="1:90" hidden="1" outlineLevel="1" x14ac:dyDescent="0.3">
      <c r="A211" s="672" t="s">
        <v>826</v>
      </c>
      <c r="B211" s="673"/>
      <c r="C211" s="1139">
        <f t="shared" ref="C211:AH211" si="622">C201/C$201</f>
        <v>1</v>
      </c>
      <c r="D211" s="1139">
        <f t="shared" si="622"/>
        <v>1</v>
      </c>
      <c r="E211" s="1139">
        <f t="shared" si="622"/>
        <v>1</v>
      </c>
      <c r="F211" s="1139">
        <f t="shared" si="622"/>
        <v>1</v>
      </c>
      <c r="G211" s="674">
        <f t="shared" si="622"/>
        <v>1</v>
      </c>
      <c r="H211" s="674">
        <f t="shared" si="622"/>
        <v>1</v>
      </c>
      <c r="I211" s="674">
        <f t="shared" si="622"/>
        <v>1</v>
      </c>
      <c r="J211" s="674">
        <f t="shared" si="622"/>
        <v>1</v>
      </c>
      <c r="K211" s="1139">
        <f t="shared" si="622"/>
        <v>1</v>
      </c>
      <c r="L211" s="674">
        <f t="shared" si="622"/>
        <v>1</v>
      </c>
      <c r="M211" s="674">
        <f t="shared" si="622"/>
        <v>1</v>
      </c>
      <c r="N211" s="674">
        <f t="shared" si="622"/>
        <v>1</v>
      </c>
      <c r="O211" s="674">
        <f t="shared" si="622"/>
        <v>1</v>
      </c>
      <c r="P211" s="1139">
        <f t="shared" si="622"/>
        <v>1</v>
      </c>
      <c r="Q211" s="674">
        <f t="shared" si="622"/>
        <v>1</v>
      </c>
      <c r="R211" s="674">
        <f t="shared" si="622"/>
        <v>1</v>
      </c>
      <c r="S211" s="674">
        <f t="shared" si="622"/>
        <v>1</v>
      </c>
      <c r="T211" s="674">
        <f t="shared" si="622"/>
        <v>1</v>
      </c>
      <c r="U211" s="1139">
        <f t="shared" si="622"/>
        <v>1</v>
      </c>
      <c r="V211" s="674">
        <f t="shared" si="622"/>
        <v>1</v>
      </c>
      <c r="W211" s="674">
        <f t="shared" si="622"/>
        <v>1</v>
      </c>
      <c r="X211" s="674">
        <f t="shared" si="622"/>
        <v>1</v>
      </c>
      <c r="Y211" s="674">
        <f t="shared" si="622"/>
        <v>1</v>
      </c>
      <c r="Z211" s="1139">
        <f t="shared" si="622"/>
        <v>1</v>
      </c>
      <c r="AA211" s="674">
        <f t="shared" si="622"/>
        <v>1</v>
      </c>
      <c r="AB211" s="674">
        <f t="shared" si="622"/>
        <v>1</v>
      </c>
      <c r="AC211" s="675">
        <f t="shared" si="622"/>
        <v>1</v>
      </c>
      <c r="AD211" s="675">
        <f t="shared" si="622"/>
        <v>1</v>
      </c>
      <c r="AE211" s="1135">
        <f t="shared" si="622"/>
        <v>1</v>
      </c>
      <c r="AF211" s="675">
        <f t="shared" si="622"/>
        <v>1</v>
      </c>
      <c r="AG211" s="674">
        <f t="shared" si="622"/>
        <v>1</v>
      </c>
      <c r="AH211" s="674">
        <f t="shared" si="622"/>
        <v>1</v>
      </c>
      <c r="AI211" s="675">
        <f t="shared" ref="AI211:BP211" si="623">AI201/AI$201</f>
        <v>1</v>
      </c>
      <c r="AJ211" s="1135">
        <f t="shared" si="623"/>
        <v>1</v>
      </c>
      <c r="AK211" s="674">
        <f t="shared" si="623"/>
        <v>1</v>
      </c>
      <c r="AL211" s="674">
        <f t="shared" si="623"/>
        <v>1</v>
      </c>
      <c r="AM211" s="674">
        <f t="shared" si="623"/>
        <v>1</v>
      </c>
      <c r="AN211" s="675">
        <f t="shared" si="623"/>
        <v>1</v>
      </c>
      <c r="AO211" s="1135">
        <f t="shared" si="623"/>
        <v>1</v>
      </c>
      <c r="AP211" s="674">
        <f t="shared" si="623"/>
        <v>1</v>
      </c>
      <c r="AQ211" s="674">
        <f t="shared" si="623"/>
        <v>1</v>
      </c>
      <c r="AR211" s="674">
        <f t="shared" si="623"/>
        <v>1</v>
      </c>
      <c r="AS211" s="674">
        <f t="shared" si="623"/>
        <v>1</v>
      </c>
      <c r="AT211" s="1135">
        <f t="shared" si="623"/>
        <v>1</v>
      </c>
      <c r="AU211" s="674">
        <f t="shared" si="623"/>
        <v>1</v>
      </c>
      <c r="AV211" s="674">
        <f t="shared" si="623"/>
        <v>1</v>
      </c>
      <c r="AW211" s="674">
        <f t="shared" si="623"/>
        <v>1</v>
      </c>
      <c r="AX211" s="674">
        <f t="shared" si="623"/>
        <v>1</v>
      </c>
      <c r="AY211" s="1135">
        <f t="shared" si="623"/>
        <v>1</v>
      </c>
      <c r="AZ211" s="675">
        <f t="shared" si="623"/>
        <v>1</v>
      </c>
      <c r="BA211" s="675">
        <f t="shared" si="623"/>
        <v>1</v>
      </c>
      <c r="BB211" s="675">
        <f t="shared" si="623"/>
        <v>1</v>
      </c>
      <c r="BC211" s="675">
        <f t="shared" si="623"/>
        <v>1</v>
      </c>
      <c r="BD211" s="1135">
        <f t="shared" si="623"/>
        <v>1</v>
      </c>
      <c r="BE211" s="675">
        <f t="shared" si="623"/>
        <v>1</v>
      </c>
      <c r="BF211" s="675">
        <f t="shared" si="623"/>
        <v>1</v>
      </c>
      <c r="BG211" s="675">
        <f t="shared" si="623"/>
        <v>1</v>
      </c>
      <c r="BH211" s="675">
        <f t="shared" si="623"/>
        <v>1</v>
      </c>
      <c r="BI211" s="1135">
        <f t="shared" si="623"/>
        <v>1</v>
      </c>
      <c r="BJ211" s="675">
        <f t="shared" si="623"/>
        <v>1</v>
      </c>
      <c r="BK211" s="675">
        <f t="shared" si="623"/>
        <v>1</v>
      </c>
      <c r="BL211" s="675">
        <f t="shared" si="623"/>
        <v>1</v>
      </c>
      <c r="BM211" s="675">
        <f t="shared" si="623"/>
        <v>1</v>
      </c>
      <c r="BN211" s="1135">
        <f t="shared" si="623"/>
        <v>1</v>
      </c>
      <c r="BO211" s="675">
        <f t="shared" si="623"/>
        <v>1</v>
      </c>
      <c r="BP211" s="675">
        <f t="shared" si="623"/>
        <v>1</v>
      </c>
      <c r="BQ211" s="675">
        <f>BQ210+BQ206+BQ205+BQ204+BQ203</f>
        <v>0.99999999999999989</v>
      </c>
      <c r="BR211" s="675">
        <f>BR210+BR206+BR205+BR204+BR203</f>
        <v>1</v>
      </c>
      <c r="BS211" s="1135">
        <f>BS210+BS206+BS205+BS204+BS203</f>
        <v>1</v>
      </c>
      <c r="BT211" s="675">
        <f>BT201/BT$201</f>
        <v>1</v>
      </c>
      <c r="BU211" s="675">
        <f>BU201/BU$201</f>
        <v>1</v>
      </c>
      <c r="BV211" s="675">
        <f>BV210+BV206+BV205+BV204+BV203</f>
        <v>0.99999999999999989</v>
      </c>
      <c r="BW211" s="675"/>
      <c r="BX211" s="1135">
        <f>BX210+BX206+BX205+BX204+BX203</f>
        <v>1</v>
      </c>
      <c r="BY211" s="900">
        <f>BY210+BY206+BY205+BY204+BY203</f>
        <v>0.99999999999999989</v>
      </c>
      <c r="BZ211" s="675"/>
      <c r="CA211" s="675"/>
      <c r="CB211" s="675"/>
      <c r="CC211" s="1135"/>
      <c r="CD211" s="675"/>
      <c r="CE211" s="675"/>
      <c r="CF211" s="675"/>
      <c r="CG211" s="675"/>
      <c r="CH211" s="1135"/>
      <c r="CI211" s="1135"/>
      <c r="CJ211" s="1135"/>
      <c r="CK211" s="1135"/>
      <c r="CL211" s="155"/>
    </row>
    <row r="212" spans="1:90" hidden="1" outlineLevel="1" x14ac:dyDescent="0.3">
      <c r="A212" s="605"/>
      <c r="B212" s="606"/>
      <c r="C212" s="1136"/>
      <c r="D212" s="1136"/>
      <c r="E212" s="1136"/>
      <c r="F212" s="1136"/>
      <c r="G212" s="93"/>
      <c r="H212" s="93"/>
      <c r="I212" s="93"/>
      <c r="J212" s="93"/>
      <c r="K212" s="1136"/>
      <c r="L212" s="93"/>
      <c r="M212" s="93"/>
      <c r="N212" s="93"/>
      <c r="O212" s="93"/>
      <c r="P212" s="1136"/>
      <c r="Q212" s="93"/>
      <c r="R212" s="93"/>
      <c r="S212" s="93"/>
      <c r="T212" s="93"/>
      <c r="U212" s="1136"/>
      <c r="V212" s="93"/>
      <c r="W212" s="93"/>
      <c r="X212" s="93"/>
      <c r="Y212" s="93"/>
      <c r="Z212" s="1136"/>
      <c r="AA212" s="93"/>
      <c r="AB212" s="93"/>
      <c r="AC212" s="93"/>
      <c r="AD212" s="93"/>
      <c r="AE212" s="1136"/>
      <c r="AF212" s="93"/>
      <c r="AG212" s="93"/>
      <c r="AH212" s="93"/>
      <c r="AI212" s="93"/>
      <c r="AJ212" s="1136"/>
      <c r="AK212" s="93"/>
      <c r="AL212" s="93"/>
      <c r="AM212" s="93"/>
      <c r="AN212" s="93"/>
      <c r="AO212" s="1136"/>
      <c r="AP212" s="93"/>
      <c r="AQ212" s="93"/>
      <c r="AR212" s="93"/>
      <c r="AS212" s="93"/>
      <c r="AT212" s="1136"/>
      <c r="AU212" s="93"/>
      <c r="AV212" s="93"/>
      <c r="AW212" s="93"/>
      <c r="AX212" s="93"/>
      <c r="AY212" s="1136"/>
      <c r="AZ212" s="93"/>
      <c r="BA212" s="93"/>
      <c r="BB212" s="93"/>
      <c r="BC212" s="93"/>
      <c r="BD212" s="1136"/>
      <c r="BE212" s="93"/>
      <c r="BF212" s="93"/>
      <c r="BG212" s="93"/>
      <c r="BH212" s="93"/>
      <c r="BI212" s="1136"/>
      <c r="BJ212" s="93"/>
      <c r="BK212" s="93"/>
      <c r="BL212" s="93"/>
      <c r="BM212" s="93"/>
      <c r="BN212" s="1136"/>
      <c r="BO212" s="93"/>
      <c r="BP212" s="93"/>
      <c r="BQ212" s="93"/>
      <c r="BR212" s="93"/>
      <c r="BS212" s="1136"/>
      <c r="BT212" s="93"/>
      <c r="BU212" s="93"/>
      <c r="BV212" s="93"/>
      <c r="BW212" s="93"/>
      <c r="BX212" s="1136"/>
      <c r="BY212" s="522"/>
      <c r="BZ212" s="93"/>
      <c r="CA212" s="93"/>
      <c r="CB212" s="93"/>
      <c r="CC212" s="1136"/>
      <c r="CD212" s="93"/>
      <c r="CE212" s="93"/>
      <c r="CF212" s="93"/>
      <c r="CG212" s="93"/>
      <c r="CH212" s="1136"/>
      <c r="CI212" s="1136"/>
      <c r="CJ212" s="1136"/>
      <c r="CK212" s="1136"/>
      <c r="CL212" s="155"/>
    </row>
    <row r="213" spans="1:90" hidden="1" outlineLevel="1" x14ac:dyDescent="0.3">
      <c r="A213" s="45" t="s">
        <v>640</v>
      </c>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5"/>
      <c r="BQ213" s="45"/>
      <c r="BR213" s="45"/>
      <c r="BS213" s="45"/>
      <c r="BT213" s="45"/>
      <c r="BU213" s="45"/>
      <c r="BV213" s="45"/>
      <c r="BW213" s="45"/>
      <c r="BX213" s="45"/>
      <c r="BY213" s="881"/>
      <c r="BZ213" s="45"/>
      <c r="CA213" s="45"/>
      <c r="CB213" s="45"/>
      <c r="CC213" s="45"/>
      <c r="CD213" s="45"/>
      <c r="CE213" s="45"/>
      <c r="CF213" s="45"/>
      <c r="CG213" s="45"/>
      <c r="CH213" s="45"/>
      <c r="CI213" s="45"/>
      <c r="CJ213" s="45"/>
      <c r="CK213" s="45"/>
      <c r="CL213" s="155"/>
    </row>
    <row r="214" spans="1:90" hidden="1" outlineLevel="1" x14ac:dyDescent="0.3">
      <c r="A214" s="600" t="s">
        <v>645</v>
      </c>
      <c r="B214" s="633"/>
      <c r="C214" s="1127"/>
      <c r="D214" s="1127"/>
      <c r="E214" s="1127"/>
      <c r="F214" s="1127"/>
      <c r="G214" s="63"/>
      <c r="H214" s="63"/>
      <c r="I214" s="63"/>
      <c r="J214" s="63"/>
      <c r="K214" s="1127"/>
      <c r="L214" s="63"/>
      <c r="M214" s="63"/>
      <c r="N214" s="63"/>
      <c r="O214" s="63"/>
      <c r="P214" s="1127"/>
      <c r="Q214" s="63"/>
      <c r="R214" s="63"/>
      <c r="S214" s="63"/>
      <c r="T214" s="63"/>
      <c r="U214" s="1127"/>
      <c r="V214" s="63"/>
      <c r="W214" s="63"/>
      <c r="X214" s="63"/>
      <c r="Y214" s="63"/>
      <c r="Z214" s="1127"/>
      <c r="AA214" s="63"/>
      <c r="AB214" s="63"/>
      <c r="AC214" s="63"/>
      <c r="AD214" s="63"/>
      <c r="AE214" s="1127"/>
      <c r="AF214" s="63"/>
      <c r="AG214" s="63"/>
      <c r="AH214" s="63"/>
      <c r="AI214" s="63"/>
      <c r="AJ214" s="1127"/>
      <c r="AK214" s="1064">
        <v>63</v>
      </c>
      <c r="AL214" s="63">
        <f>AK214</f>
        <v>63</v>
      </c>
      <c r="AM214" s="63">
        <f>AL214</f>
        <v>63</v>
      </c>
      <c r="AN214" s="63">
        <f>AM214</f>
        <v>63</v>
      </c>
      <c r="AO214" s="1127">
        <f>AN214</f>
        <v>63</v>
      </c>
      <c r="AP214" s="1064">
        <v>138</v>
      </c>
      <c r="AQ214" s="63">
        <f>AP214</f>
        <v>138</v>
      </c>
      <c r="AR214" s="63">
        <f>AP214</f>
        <v>138</v>
      </c>
      <c r="AS214" s="63">
        <f>AP214</f>
        <v>138</v>
      </c>
      <c r="AT214" s="1127">
        <f>AP214</f>
        <v>138</v>
      </c>
      <c r="AU214" s="63">
        <f>AT218</f>
        <v>201</v>
      </c>
      <c r="AV214" s="63">
        <f>AU214</f>
        <v>201</v>
      </c>
      <c r="AW214" s="63">
        <f>AV214</f>
        <v>201</v>
      </c>
      <c r="AX214" s="63">
        <f>AW214</f>
        <v>201</v>
      </c>
      <c r="AY214" s="1127">
        <f>AU214</f>
        <v>201</v>
      </c>
      <c r="AZ214" s="63">
        <f>AY218</f>
        <v>451</v>
      </c>
      <c r="BA214" s="63">
        <f>AZ214</f>
        <v>451</v>
      </c>
      <c r="BB214" s="63">
        <f>BA214</f>
        <v>451</v>
      </c>
      <c r="BC214" s="63">
        <f>BB214</f>
        <v>451</v>
      </c>
      <c r="BD214" s="1127">
        <f>AZ214</f>
        <v>451</v>
      </c>
      <c r="BE214" s="1064">
        <v>502</v>
      </c>
      <c r="BF214" s="63">
        <f>BD218</f>
        <v>502</v>
      </c>
      <c r="BG214" s="1064">
        <v>502</v>
      </c>
      <c r="BH214" s="63">
        <f>BG214</f>
        <v>502</v>
      </c>
      <c r="BI214" s="1127">
        <f>BE214</f>
        <v>502</v>
      </c>
      <c r="BJ214" s="63">
        <f>BI218</f>
        <v>572</v>
      </c>
      <c r="BK214" s="63">
        <f>BI218</f>
        <v>572</v>
      </c>
      <c r="BL214" s="1064">
        <v>572</v>
      </c>
      <c r="BM214" s="63">
        <f>BL214</f>
        <v>572</v>
      </c>
      <c r="BN214" s="1127">
        <f>BJ214</f>
        <v>572</v>
      </c>
      <c r="BO214" s="63">
        <f>BN218</f>
        <v>1337</v>
      </c>
      <c r="BP214" s="63">
        <f>BN218</f>
        <v>1337</v>
      </c>
      <c r="BQ214" s="63">
        <f>BN218</f>
        <v>1337</v>
      </c>
      <c r="BR214" s="63">
        <f>BQ214</f>
        <v>1337</v>
      </c>
      <c r="BS214" s="1127">
        <f>BO214</f>
        <v>1337</v>
      </c>
      <c r="BT214" s="63">
        <f>BS218</f>
        <v>1813</v>
      </c>
      <c r="BU214" s="63">
        <f>BS218</f>
        <v>1813</v>
      </c>
      <c r="BV214" s="63">
        <f>BS218</f>
        <v>1813</v>
      </c>
      <c r="BW214" s="63">
        <f>BV214</f>
        <v>1813</v>
      </c>
      <c r="BX214" s="1127">
        <f>BT214</f>
        <v>1813</v>
      </c>
      <c r="BY214" s="587">
        <f>BX218</f>
        <v>2572</v>
      </c>
      <c r="BZ214" s="63"/>
      <c r="CA214" s="63"/>
      <c r="CB214" s="63"/>
      <c r="CC214" s="1127"/>
      <c r="CD214" s="63"/>
      <c r="CE214" s="63"/>
      <c r="CF214" s="63"/>
      <c r="CG214" s="63"/>
      <c r="CH214" s="1127"/>
      <c r="CI214" s="1127"/>
      <c r="CJ214" s="1127"/>
      <c r="CK214" s="1127"/>
      <c r="CL214" s="155"/>
    </row>
    <row r="215" spans="1:90" hidden="1" outlineLevel="1" x14ac:dyDescent="0.3">
      <c r="A215" s="99" t="s">
        <v>646</v>
      </c>
      <c r="B215" s="602"/>
      <c r="C215" s="1112"/>
      <c r="D215" s="1112"/>
      <c r="E215" s="1112"/>
      <c r="F215" s="1112"/>
      <c r="G215" s="68"/>
      <c r="H215" s="68"/>
      <c r="I215" s="68"/>
      <c r="J215" s="68"/>
      <c r="K215" s="1112"/>
      <c r="L215" s="68"/>
      <c r="M215" s="68"/>
      <c r="N215" s="68"/>
      <c r="O215" s="68"/>
      <c r="P215" s="1112"/>
      <c r="Q215" s="68"/>
      <c r="R215" s="68"/>
      <c r="S215" s="68"/>
      <c r="T215" s="68"/>
      <c r="U215" s="1112"/>
      <c r="V215" s="68"/>
      <c r="W215" s="68"/>
      <c r="X215" s="68"/>
      <c r="Y215" s="68"/>
      <c r="Z215" s="1112"/>
      <c r="AA215" s="68"/>
      <c r="AB215" s="68"/>
      <c r="AC215" s="68"/>
      <c r="AD215" s="68"/>
      <c r="AE215" s="1112"/>
      <c r="AF215" s="68"/>
      <c r="AG215" s="68"/>
      <c r="AH215" s="68"/>
      <c r="AI215" s="68"/>
      <c r="AJ215" s="1112"/>
      <c r="AK215" s="1055">
        <v>86</v>
      </c>
      <c r="AL215" s="1055">
        <v>194</v>
      </c>
      <c r="AM215" s="1055">
        <v>271</v>
      </c>
      <c r="AN215" s="68">
        <f>AO215</f>
        <v>344</v>
      </c>
      <c r="AO215" s="1113">
        <v>344</v>
      </c>
      <c r="AP215" s="1055">
        <v>49</v>
      </c>
      <c r="AQ215" s="1055">
        <v>161</v>
      </c>
      <c r="AR215" s="1055">
        <v>237</v>
      </c>
      <c r="AS215" s="68">
        <f>AT215</f>
        <v>334</v>
      </c>
      <c r="AT215" s="1113">
        <v>334</v>
      </c>
      <c r="AU215" s="1055">
        <v>110</v>
      </c>
      <c r="AV215" s="1055">
        <v>213</v>
      </c>
      <c r="AW215" s="1055">
        <v>361</v>
      </c>
      <c r="AX215" s="68">
        <f>AY215</f>
        <v>536</v>
      </c>
      <c r="AY215" s="1113">
        <v>536</v>
      </c>
      <c r="AZ215" s="1055">
        <v>178</v>
      </c>
      <c r="BA215" s="1055">
        <v>401</v>
      </c>
      <c r="BB215" s="1055">
        <v>621</v>
      </c>
      <c r="BC215" s="68">
        <f>BD215</f>
        <v>821</v>
      </c>
      <c r="BD215" s="1113">
        <v>821</v>
      </c>
      <c r="BE215" s="1055">
        <v>212</v>
      </c>
      <c r="BF215" s="1055">
        <v>399</v>
      </c>
      <c r="BG215" s="1055">
        <v>577</v>
      </c>
      <c r="BH215" s="68">
        <f>BI215</f>
        <v>830</v>
      </c>
      <c r="BI215" s="1113">
        <v>830</v>
      </c>
      <c r="BJ215" s="1055">
        <v>287</v>
      </c>
      <c r="BK215" s="1055">
        <v>713</v>
      </c>
      <c r="BL215" s="1055">
        <v>1269</v>
      </c>
      <c r="BM215" s="68">
        <f>BN215</f>
        <v>2038</v>
      </c>
      <c r="BN215" s="1113">
        <v>2038</v>
      </c>
      <c r="BO215" s="1055">
        <v>553</v>
      </c>
      <c r="BP215" s="1055">
        <v>1478</v>
      </c>
      <c r="BQ215" s="1055">
        <v>2115</v>
      </c>
      <c r="BR215" s="68">
        <f>BS215</f>
        <v>5083</v>
      </c>
      <c r="BS215" s="1113">
        <v>5083</v>
      </c>
      <c r="BT215" s="1055">
        <v>6493</v>
      </c>
      <c r="BU215" s="1055">
        <v>8275</v>
      </c>
      <c r="BV215" s="1055">
        <v>9785</v>
      </c>
      <c r="BW215" s="68">
        <f>BX215</f>
        <v>11137</v>
      </c>
      <c r="BX215" s="1113">
        <v>11137</v>
      </c>
      <c r="BY215" s="1057">
        <v>2530</v>
      </c>
      <c r="BZ215" s="68"/>
      <c r="CA215" s="68"/>
      <c r="CB215" s="68"/>
      <c r="CC215" s="1112"/>
      <c r="CD215" s="68"/>
      <c r="CE215" s="68"/>
      <c r="CF215" s="68"/>
      <c r="CG215" s="68"/>
      <c r="CH215" s="1112"/>
      <c r="CI215" s="1112"/>
      <c r="CJ215" s="1112"/>
      <c r="CK215" s="1112"/>
      <c r="CL215" s="155"/>
    </row>
    <row r="216" spans="1:90" hidden="1" outlineLevel="1" x14ac:dyDescent="0.3">
      <c r="A216" s="99" t="s">
        <v>647</v>
      </c>
      <c r="B216" s="602"/>
      <c r="C216" s="1112"/>
      <c r="D216" s="1112"/>
      <c r="E216" s="1112"/>
      <c r="F216" s="1112"/>
      <c r="G216" s="68"/>
      <c r="H216" s="68"/>
      <c r="I216" s="68"/>
      <c r="J216" s="68"/>
      <c r="K216" s="1112"/>
      <c r="L216" s="68"/>
      <c r="M216" s="68"/>
      <c r="N216" s="68"/>
      <c r="O216" s="68"/>
      <c r="P216" s="1112"/>
      <c r="Q216" s="68"/>
      <c r="R216" s="68"/>
      <c r="S216" s="68"/>
      <c r="T216" s="68"/>
      <c r="U216" s="1112"/>
      <c r="V216" s="68"/>
      <c r="W216" s="68"/>
      <c r="X216" s="68"/>
      <c r="Y216" s="68"/>
      <c r="Z216" s="1112"/>
      <c r="AA216" s="68"/>
      <c r="AB216" s="68"/>
      <c r="AC216" s="68"/>
      <c r="AD216" s="68"/>
      <c r="AE216" s="1112"/>
      <c r="AF216" s="68"/>
      <c r="AG216" s="68"/>
      <c r="AH216" s="68"/>
      <c r="AI216" s="68"/>
      <c r="AJ216" s="1112"/>
      <c r="AK216" s="68"/>
      <c r="AL216" s="68"/>
      <c r="AM216" s="68"/>
      <c r="AN216" s="68">
        <f>AO216</f>
        <v>0</v>
      </c>
      <c r="AO216" s="1112"/>
      <c r="AP216" s="68"/>
      <c r="AQ216" s="68"/>
      <c r="AR216" s="68"/>
      <c r="AS216" s="68"/>
      <c r="AT216" s="1112"/>
      <c r="AU216" s="68"/>
      <c r="AV216" s="1055">
        <v>75</v>
      </c>
      <c r="AW216" s="1055">
        <v>75</v>
      </c>
      <c r="AX216" s="68">
        <f>AY216</f>
        <v>75</v>
      </c>
      <c r="AY216" s="1113">
        <v>75</v>
      </c>
      <c r="AZ216" s="68"/>
      <c r="BA216" s="68"/>
      <c r="BB216" s="68"/>
      <c r="BC216" s="68">
        <f>BD216</f>
        <v>8</v>
      </c>
      <c r="BD216" s="1113">
        <v>8</v>
      </c>
      <c r="BE216" s="68"/>
      <c r="BF216" s="68"/>
      <c r="BG216" s="68"/>
      <c r="BH216" s="68">
        <f>BI216</f>
        <v>0</v>
      </c>
      <c r="BI216" s="1113">
        <v>0</v>
      </c>
      <c r="BJ216" s="68"/>
      <c r="BK216" s="68"/>
      <c r="BL216" s="68"/>
      <c r="BM216" s="68">
        <f>BN216</f>
        <v>0</v>
      </c>
      <c r="BN216" s="1112"/>
      <c r="BO216" s="68"/>
      <c r="BP216" s="68"/>
      <c r="BQ216" s="68"/>
      <c r="BR216" s="68">
        <f>BS216</f>
        <v>0</v>
      </c>
      <c r="BS216" s="1112"/>
      <c r="BT216" s="68"/>
      <c r="BU216" s="68"/>
      <c r="BV216" s="68"/>
      <c r="BW216" s="68">
        <f>BX216</f>
        <v>0</v>
      </c>
      <c r="BX216" s="1112"/>
      <c r="BY216" s="588"/>
      <c r="BZ216" s="68"/>
      <c r="CA216" s="68"/>
      <c r="CB216" s="68"/>
      <c r="CC216" s="1112"/>
      <c r="CD216" s="68"/>
      <c r="CE216" s="68"/>
      <c r="CF216" s="68"/>
      <c r="CG216" s="68"/>
      <c r="CH216" s="1112"/>
      <c r="CI216" s="1112"/>
      <c r="CJ216" s="1112"/>
      <c r="CK216" s="1112"/>
      <c r="CL216" s="155"/>
    </row>
    <row r="217" spans="1:90" hidden="1" outlineLevel="1" x14ac:dyDescent="0.3">
      <c r="A217" s="99" t="s">
        <v>648</v>
      </c>
      <c r="B217" s="602"/>
      <c r="C217" s="1112"/>
      <c r="D217" s="1112"/>
      <c r="E217" s="1112"/>
      <c r="F217" s="1112"/>
      <c r="G217" s="68"/>
      <c r="H217" s="68"/>
      <c r="I217" s="68"/>
      <c r="J217" s="68"/>
      <c r="K217" s="1112"/>
      <c r="L217" s="68"/>
      <c r="M217" s="68"/>
      <c r="N217" s="68"/>
      <c r="O217" s="68"/>
      <c r="P217" s="1112"/>
      <c r="Q217" s="68"/>
      <c r="R217" s="68"/>
      <c r="S217" s="68"/>
      <c r="T217" s="68"/>
      <c r="U217" s="1112"/>
      <c r="V217" s="68"/>
      <c r="W217" s="68"/>
      <c r="X217" s="68"/>
      <c r="Y217" s="68"/>
      <c r="Z217" s="1112"/>
      <c r="AA217" s="68"/>
      <c r="AB217" s="68"/>
      <c r="AC217" s="68"/>
      <c r="AD217" s="68"/>
      <c r="AE217" s="1112"/>
      <c r="AF217" s="68"/>
      <c r="AG217" s="68"/>
      <c r="AH217" s="68"/>
      <c r="AI217" s="68"/>
      <c r="AJ217" s="1112"/>
      <c r="AK217" s="1055">
        <v>-75</v>
      </c>
      <c r="AL217" s="1055">
        <v>-153</v>
      </c>
      <c r="AM217" s="1055">
        <v>-214</v>
      </c>
      <c r="AN217" s="68">
        <f>AO217</f>
        <v>-269</v>
      </c>
      <c r="AO217" s="1113">
        <v>-269</v>
      </c>
      <c r="AP217" s="1055">
        <v>-53</v>
      </c>
      <c r="AQ217" s="1055">
        <v>-118</v>
      </c>
      <c r="AR217" s="1055">
        <v>-199</v>
      </c>
      <c r="AS217" s="68">
        <f>AT217</f>
        <v>-271</v>
      </c>
      <c r="AT217" s="1113">
        <v>-271</v>
      </c>
      <c r="AU217" s="1055">
        <v>-70</v>
      </c>
      <c r="AV217" s="1055">
        <v>-147</v>
      </c>
      <c r="AW217" s="1055">
        <v>-255</v>
      </c>
      <c r="AX217" s="68">
        <f>AY217</f>
        <v>-361</v>
      </c>
      <c r="AY217" s="1113">
        <v>-361</v>
      </c>
      <c r="AZ217" s="1055">
        <v>-123</v>
      </c>
      <c r="BA217" s="1055">
        <v>-362</v>
      </c>
      <c r="BB217" s="1055">
        <v>-583</v>
      </c>
      <c r="BC217" s="68">
        <f>BD217</f>
        <v>-778</v>
      </c>
      <c r="BD217" s="1113">
        <v>-778</v>
      </c>
      <c r="BE217" s="1055">
        <v>-177</v>
      </c>
      <c r="BF217" s="1055">
        <v>-341</v>
      </c>
      <c r="BG217" s="1055">
        <v>-528</v>
      </c>
      <c r="BH217" s="68">
        <f>BI217</f>
        <v>-760</v>
      </c>
      <c r="BI217" s="1113">
        <v>-760</v>
      </c>
      <c r="BJ217" s="1055">
        <v>-262</v>
      </c>
      <c r="BK217" s="1055">
        <v>-556</v>
      </c>
      <c r="BL217" s="1055">
        <v>-903</v>
      </c>
      <c r="BM217" s="68">
        <f>BN217</f>
        <v>-1273</v>
      </c>
      <c r="BN217" s="1113">
        <v>-1273</v>
      </c>
      <c r="BO217" s="1055">
        <v>-341</v>
      </c>
      <c r="BP217" s="1055">
        <v>-1094</v>
      </c>
      <c r="BQ217" s="1055">
        <v>-1867</v>
      </c>
      <c r="BR217" s="68">
        <f>BS217</f>
        <v>-4607</v>
      </c>
      <c r="BS217" s="1113">
        <v>-4607</v>
      </c>
      <c r="BT217" s="1055">
        <v>-6228</v>
      </c>
      <c r="BU217" s="1055">
        <v>-8053</v>
      </c>
      <c r="BV217" s="1055">
        <v>-9185</v>
      </c>
      <c r="BW217" s="68">
        <f>BX217</f>
        <v>-10378</v>
      </c>
      <c r="BX217" s="1113">
        <v>-10378</v>
      </c>
      <c r="BY217" s="1057">
        <v>-1985</v>
      </c>
      <c r="BZ217" s="68"/>
      <c r="CA217" s="68"/>
      <c r="CB217" s="68"/>
      <c r="CC217" s="1112"/>
      <c r="CD217" s="68"/>
      <c r="CE217" s="68"/>
      <c r="CF217" s="68"/>
      <c r="CG217" s="68"/>
      <c r="CH217" s="1112"/>
      <c r="CI217" s="1112"/>
      <c r="CJ217" s="1112"/>
      <c r="CK217" s="1112"/>
      <c r="CL217" s="155"/>
    </row>
    <row r="218" spans="1:90" hidden="1" outlineLevel="1" x14ac:dyDescent="0.3">
      <c r="A218" s="631" t="s">
        <v>649</v>
      </c>
      <c r="B218" s="604"/>
      <c r="C218" s="1124"/>
      <c r="D218" s="1124"/>
      <c r="E218" s="1124"/>
      <c r="F218" s="1124"/>
      <c r="G218" s="61"/>
      <c r="H218" s="61"/>
      <c r="I218" s="61"/>
      <c r="J218" s="61"/>
      <c r="K218" s="1124"/>
      <c r="L218" s="61"/>
      <c r="M218" s="61"/>
      <c r="N218" s="61"/>
      <c r="O218" s="61"/>
      <c r="P218" s="1124"/>
      <c r="Q218" s="61"/>
      <c r="R218" s="61"/>
      <c r="S218" s="61"/>
      <c r="T218" s="61"/>
      <c r="U218" s="1124"/>
      <c r="V218" s="61"/>
      <c r="W218" s="61"/>
      <c r="X218" s="61"/>
      <c r="Y218" s="61"/>
      <c r="Z218" s="1124"/>
      <c r="AA218" s="61"/>
      <c r="AB218" s="61"/>
      <c r="AC218" s="61"/>
      <c r="AD218" s="61"/>
      <c r="AE218" s="1124"/>
      <c r="AF218" s="61"/>
      <c r="AG218" s="61"/>
      <c r="AH218" s="61"/>
      <c r="AI218" s="61"/>
      <c r="AJ218" s="1124"/>
      <c r="AK218" s="61">
        <f t="shared" ref="AK218:BV218" si="624">SUM(AK214:AK217)</f>
        <v>74</v>
      </c>
      <c r="AL218" s="61">
        <f t="shared" si="624"/>
        <v>104</v>
      </c>
      <c r="AM218" s="61">
        <f t="shared" si="624"/>
        <v>120</v>
      </c>
      <c r="AN218" s="61">
        <f t="shared" si="624"/>
        <v>138</v>
      </c>
      <c r="AO218" s="1124">
        <f t="shared" si="624"/>
        <v>138</v>
      </c>
      <c r="AP218" s="61">
        <f t="shared" si="624"/>
        <v>134</v>
      </c>
      <c r="AQ218" s="61">
        <f t="shared" si="624"/>
        <v>181</v>
      </c>
      <c r="AR218" s="61">
        <f t="shared" si="624"/>
        <v>176</v>
      </c>
      <c r="AS218" s="61">
        <f t="shared" si="624"/>
        <v>201</v>
      </c>
      <c r="AT218" s="1124">
        <f t="shared" si="624"/>
        <v>201</v>
      </c>
      <c r="AU218" s="61">
        <f t="shared" si="624"/>
        <v>241</v>
      </c>
      <c r="AV218" s="61">
        <f t="shared" si="624"/>
        <v>342</v>
      </c>
      <c r="AW218" s="61">
        <f t="shared" si="624"/>
        <v>382</v>
      </c>
      <c r="AX218" s="61">
        <f t="shared" si="624"/>
        <v>451</v>
      </c>
      <c r="AY218" s="1124">
        <f t="shared" si="624"/>
        <v>451</v>
      </c>
      <c r="AZ218" s="61">
        <f t="shared" si="624"/>
        <v>506</v>
      </c>
      <c r="BA218" s="61">
        <f t="shared" si="624"/>
        <v>490</v>
      </c>
      <c r="BB218" s="61">
        <f t="shared" si="624"/>
        <v>489</v>
      </c>
      <c r="BC218" s="61">
        <f t="shared" si="624"/>
        <v>502</v>
      </c>
      <c r="BD218" s="1124">
        <f t="shared" si="624"/>
        <v>502</v>
      </c>
      <c r="BE218" s="61">
        <f t="shared" si="624"/>
        <v>537</v>
      </c>
      <c r="BF218" s="61">
        <f t="shared" si="624"/>
        <v>560</v>
      </c>
      <c r="BG218" s="61">
        <f t="shared" si="624"/>
        <v>551</v>
      </c>
      <c r="BH218" s="61">
        <f t="shared" si="624"/>
        <v>572</v>
      </c>
      <c r="BI218" s="1124">
        <f t="shared" si="624"/>
        <v>572</v>
      </c>
      <c r="BJ218" s="61">
        <f t="shared" si="624"/>
        <v>597</v>
      </c>
      <c r="BK218" s="61">
        <f t="shared" si="624"/>
        <v>729</v>
      </c>
      <c r="BL218" s="61">
        <f t="shared" si="624"/>
        <v>938</v>
      </c>
      <c r="BM218" s="61">
        <f t="shared" si="624"/>
        <v>1337</v>
      </c>
      <c r="BN218" s="1124">
        <f t="shared" si="624"/>
        <v>1337</v>
      </c>
      <c r="BO218" s="61">
        <f t="shared" si="624"/>
        <v>1549</v>
      </c>
      <c r="BP218" s="61">
        <f t="shared" si="624"/>
        <v>1721</v>
      </c>
      <c r="BQ218" s="61">
        <f t="shared" si="624"/>
        <v>1585</v>
      </c>
      <c r="BR218" s="61">
        <f t="shared" si="624"/>
        <v>1813</v>
      </c>
      <c r="BS218" s="1124">
        <f t="shared" si="624"/>
        <v>1813</v>
      </c>
      <c r="BT218" s="61">
        <f t="shared" si="624"/>
        <v>2078</v>
      </c>
      <c r="BU218" s="61">
        <f t="shared" si="624"/>
        <v>2035</v>
      </c>
      <c r="BV218" s="61">
        <f t="shared" si="624"/>
        <v>2413</v>
      </c>
      <c r="BW218" s="61">
        <f t="shared" ref="BW218:BX218" si="625">SUM(BW214:BW217)</f>
        <v>2572</v>
      </c>
      <c r="BX218" s="1124">
        <f t="shared" si="625"/>
        <v>2572</v>
      </c>
      <c r="BY218" s="896">
        <f t="shared" ref="BY218" si="626">SUM(BY214:BY217)</f>
        <v>3117</v>
      </c>
      <c r="BZ218" s="61"/>
      <c r="CA218" s="61"/>
      <c r="CB218" s="61"/>
      <c r="CC218" s="1124"/>
      <c r="CD218" s="61"/>
      <c r="CE218" s="61"/>
      <c r="CF218" s="61"/>
      <c r="CG218" s="61"/>
      <c r="CH218" s="1124"/>
      <c r="CI218" s="1124"/>
      <c r="CJ218" s="1124"/>
      <c r="CK218" s="1124"/>
      <c r="CL218" s="155"/>
    </row>
    <row r="219" spans="1:90" hidden="1" outlineLevel="1" x14ac:dyDescent="0.3">
      <c r="A219" s="605"/>
      <c r="B219" s="606"/>
      <c r="C219" s="1136"/>
      <c r="D219" s="1136"/>
      <c r="E219" s="1136"/>
      <c r="F219" s="1136"/>
      <c r="G219" s="93"/>
      <c r="H219" s="93"/>
      <c r="I219" s="93"/>
      <c r="J219" s="93"/>
      <c r="K219" s="1136"/>
      <c r="L219" s="93"/>
      <c r="M219" s="93"/>
      <c r="N219" s="93"/>
      <c r="O219" s="93"/>
      <c r="P219" s="1136"/>
      <c r="Q219" s="93"/>
      <c r="R219" s="93"/>
      <c r="S219" s="93"/>
      <c r="T219" s="93"/>
      <c r="U219" s="1136"/>
      <c r="V219" s="93"/>
      <c r="W219" s="93"/>
      <c r="X219" s="93"/>
      <c r="Y219" s="93"/>
      <c r="Z219" s="1136"/>
      <c r="AA219" s="93"/>
      <c r="AB219" s="93"/>
      <c r="AC219" s="93"/>
      <c r="AD219" s="93"/>
      <c r="AE219" s="1136"/>
      <c r="AF219" s="93"/>
      <c r="AG219" s="93"/>
      <c r="AH219" s="93"/>
      <c r="AI219" s="93"/>
      <c r="AJ219" s="1136"/>
      <c r="AK219" s="93"/>
      <c r="AL219" s="93"/>
      <c r="AM219" s="93"/>
      <c r="AN219" s="93"/>
      <c r="AO219" s="1136"/>
      <c r="AP219" s="93"/>
      <c r="AQ219" s="93"/>
      <c r="AR219" s="93"/>
      <c r="AS219" s="93"/>
      <c r="AT219" s="1136"/>
      <c r="AU219" s="93"/>
      <c r="AV219" s="93"/>
      <c r="AW219" s="93"/>
      <c r="AX219" s="93"/>
      <c r="AY219" s="1136"/>
      <c r="AZ219" s="93"/>
      <c r="BA219" s="93"/>
      <c r="BB219" s="93"/>
      <c r="BC219" s="93"/>
      <c r="BD219" s="1136"/>
      <c r="BE219" s="93"/>
      <c r="BF219" s="93"/>
      <c r="BG219" s="93"/>
      <c r="BH219" s="93"/>
      <c r="BI219" s="1136"/>
      <c r="BJ219" s="93"/>
      <c r="BK219" s="93"/>
      <c r="BL219" s="93"/>
      <c r="BM219" s="93"/>
      <c r="BN219" s="1136"/>
      <c r="BO219" s="93"/>
      <c r="BP219" s="93"/>
      <c r="BQ219" s="93"/>
      <c r="BR219" s="93"/>
      <c r="BS219" s="1136"/>
      <c r="BT219" s="93"/>
      <c r="BU219" s="93"/>
      <c r="BV219" s="93"/>
      <c r="BW219" s="93"/>
      <c r="BX219" s="1136"/>
      <c r="BY219" s="522"/>
      <c r="BZ219" s="93"/>
      <c r="CA219" s="93"/>
      <c r="CB219" s="93"/>
      <c r="CC219" s="1136"/>
      <c r="CD219" s="93"/>
      <c r="CE219" s="93"/>
      <c r="CF219" s="93"/>
      <c r="CG219" s="93"/>
      <c r="CH219" s="1136"/>
      <c r="CI219" s="1136"/>
      <c r="CJ219" s="1136"/>
      <c r="CK219" s="1136"/>
      <c r="CL219" s="155"/>
    </row>
    <row r="220" spans="1:90" s="227" customFormat="1" hidden="1" outlineLevel="1" x14ac:dyDescent="0.3">
      <c r="A220" s="636" t="s">
        <v>1273</v>
      </c>
      <c r="B220" s="602"/>
      <c r="C220" s="1112"/>
      <c r="D220" s="1112"/>
      <c r="E220" s="1112"/>
      <c r="F220" s="1112"/>
      <c r="G220" s="68"/>
      <c r="H220" s="68"/>
      <c r="I220" s="68"/>
      <c r="J220" s="68"/>
      <c r="K220" s="1112"/>
      <c r="L220" s="68"/>
      <c r="M220" s="68"/>
      <c r="N220" s="68"/>
      <c r="O220" s="68"/>
      <c r="P220" s="1112"/>
      <c r="Q220" s="68"/>
      <c r="R220" s="68"/>
      <c r="S220" s="68"/>
      <c r="T220" s="68"/>
      <c r="U220" s="1112"/>
      <c r="V220" s="68"/>
      <c r="W220" s="68"/>
      <c r="X220" s="68"/>
      <c r="Y220" s="68"/>
      <c r="Z220" s="1112"/>
      <c r="AA220" s="68"/>
      <c r="AB220" s="68"/>
      <c r="AC220" s="68"/>
      <c r="AD220" s="68"/>
      <c r="AE220" s="1112"/>
      <c r="AF220" s="68"/>
      <c r="AG220" s="68"/>
      <c r="AH220" s="68"/>
      <c r="AI220" s="68"/>
      <c r="AJ220" s="1112"/>
      <c r="AK220" s="68"/>
      <c r="AL220" s="68">
        <f>AL218-AK218</f>
        <v>30</v>
      </c>
      <c r="AM220" s="68">
        <f t="shared" ref="AM220:AN220" si="627">AM218-AL218</f>
        <v>16</v>
      </c>
      <c r="AN220" s="68">
        <f t="shared" si="627"/>
        <v>18</v>
      </c>
      <c r="AO220" s="1112"/>
      <c r="AP220" s="68">
        <f>AP218-AN218</f>
        <v>-4</v>
      </c>
      <c r="AQ220" s="68">
        <f>AQ218-AP218</f>
        <v>47</v>
      </c>
      <c r="AR220" s="68">
        <f t="shared" ref="AR220:AS220" si="628">AR218-AQ218</f>
        <v>-5</v>
      </c>
      <c r="AS220" s="68">
        <f t="shared" si="628"/>
        <v>25</v>
      </c>
      <c r="AT220" s="1112">
        <f>AT218-AO218</f>
        <v>63</v>
      </c>
      <c r="AU220" s="68">
        <f t="shared" ref="AU220" si="629">AU218-AS218</f>
        <v>40</v>
      </c>
      <c r="AV220" s="68">
        <f t="shared" ref="AV220:BR220" si="630">AV218-AU218</f>
        <v>101</v>
      </c>
      <c r="AW220" s="68">
        <f t="shared" si="630"/>
        <v>40</v>
      </c>
      <c r="AX220" s="68">
        <f t="shared" si="630"/>
        <v>69</v>
      </c>
      <c r="AY220" s="1112">
        <f t="shared" ref="AY220" si="631">AY218-AT218</f>
        <v>250</v>
      </c>
      <c r="AZ220" s="68">
        <f t="shared" ref="AZ220" si="632">AZ218-AX218</f>
        <v>55</v>
      </c>
      <c r="BA220" s="68">
        <f t="shared" ref="BA220" si="633">BA218-AZ218</f>
        <v>-16</v>
      </c>
      <c r="BB220" s="68">
        <f t="shared" si="630"/>
        <v>-1</v>
      </c>
      <c r="BC220" s="68">
        <f t="shared" si="630"/>
        <v>13</v>
      </c>
      <c r="BD220" s="1112">
        <f t="shared" ref="BD220" si="634">BD218-AY218</f>
        <v>51</v>
      </c>
      <c r="BE220" s="68">
        <f t="shared" ref="BE220" si="635">BE218-BC218</f>
        <v>35</v>
      </c>
      <c r="BF220" s="68">
        <f t="shared" ref="BF220" si="636">BF218-BE218</f>
        <v>23</v>
      </c>
      <c r="BG220" s="68">
        <f t="shared" si="630"/>
        <v>-9</v>
      </c>
      <c r="BH220" s="68">
        <f t="shared" si="630"/>
        <v>21</v>
      </c>
      <c r="BI220" s="1112">
        <f t="shared" ref="BI220" si="637">BI218-BD218</f>
        <v>70</v>
      </c>
      <c r="BJ220" s="68">
        <f t="shared" ref="BJ220" si="638">BJ218-BH218</f>
        <v>25</v>
      </c>
      <c r="BK220" s="68">
        <f t="shared" ref="BK220" si="639">BK218-BJ218</f>
        <v>132</v>
      </c>
      <c r="BL220" s="68">
        <f t="shared" si="630"/>
        <v>209</v>
      </c>
      <c r="BM220" s="68">
        <f t="shared" si="630"/>
        <v>399</v>
      </c>
      <c r="BN220" s="1112">
        <f t="shared" ref="BN220" si="640">BN218-BI218</f>
        <v>765</v>
      </c>
      <c r="BO220" s="68">
        <f t="shared" ref="BO220" si="641">BO218-BM218</f>
        <v>212</v>
      </c>
      <c r="BP220" s="68">
        <f t="shared" ref="BP220" si="642">BP218-BO218</f>
        <v>172</v>
      </c>
      <c r="BQ220" s="68">
        <f t="shared" si="630"/>
        <v>-136</v>
      </c>
      <c r="BR220" s="68">
        <f t="shared" si="630"/>
        <v>228</v>
      </c>
      <c r="BS220" s="1112">
        <f t="shared" ref="BS220" si="643">BS218-BN218</f>
        <v>476</v>
      </c>
      <c r="BT220" s="68">
        <f t="shared" ref="BT220" si="644">BT218-BR218</f>
        <v>265</v>
      </c>
      <c r="BU220" s="68">
        <f t="shared" ref="BU220" si="645">BU218-BT218</f>
        <v>-43</v>
      </c>
      <c r="BV220" s="68">
        <f>BV218-BU218</f>
        <v>378</v>
      </c>
      <c r="BW220" s="68">
        <f>BW218-BV218</f>
        <v>159</v>
      </c>
      <c r="BX220" s="1112">
        <f>BX218-BS218</f>
        <v>759</v>
      </c>
      <c r="BY220" s="588">
        <f t="shared" ref="BY220" si="646">BY218-BW218</f>
        <v>545</v>
      </c>
      <c r="BZ220" s="68"/>
      <c r="CA220" s="68"/>
      <c r="CB220" s="68"/>
      <c r="CC220" s="1112"/>
      <c r="CD220" s="68"/>
      <c r="CE220" s="68"/>
      <c r="CF220" s="68"/>
      <c r="CG220" s="68"/>
      <c r="CH220" s="1112"/>
      <c r="CI220" s="1112"/>
      <c r="CJ220" s="1112"/>
      <c r="CK220" s="1112"/>
      <c r="CL220" s="27"/>
    </row>
    <row r="221" spans="1:90" hidden="1" outlineLevel="1" x14ac:dyDescent="0.3">
      <c r="A221" s="605"/>
      <c r="B221" s="606"/>
      <c r="C221" s="1136"/>
      <c r="D221" s="1136"/>
      <c r="E221" s="1136"/>
      <c r="F221" s="1136"/>
      <c r="G221" s="93"/>
      <c r="H221" s="93"/>
      <c r="I221" s="93"/>
      <c r="J221" s="93"/>
      <c r="K221" s="1136"/>
      <c r="L221" s="93"/>
      <c r="M221" s="93"/>
      <c r="N221" s="93"/>
      <c r="O221" s="93"/>
      <c r="P221" s="1136"/>
      <c r="Q221" s="93"/>
      <c r="R221" s="93"/>
      <c r="S221" s="93"/>
      <c r="T221" s="93"/>
      <c r="U221" s="1136"/>
      <c r="V221" s="93"/>
      <c r="W221" s="93"/>
      <c r="X221" s="93"/>
      <c r="Y221" s="93"/>
      <c r="Z221" s="1136"/>
      <c r="AA221" s="93"/>
      <c r="AB221" s="93"/>
      <c r="AC221" s="93"/>
      <c r="AD221" s="93"/>
      <c r="AE221" s="1136"/>
      <c r="AF221" s="93"/>
      <c r="AG221" s="93"/>
      <c r="AH221" s="93"/>
      <c r="AI221" s="93"/>
      <c r="AJ221" s="1136"/>
      <c r="AK221" s="93"/>
      <c r="AL221" s="93"/>
      <c r="AM221" s="93"/>
      <c r="AN221" s="93"/>
      <c r="AO221" s="1136"/>
      <c r="AP221" s="93"/>
      <c r="AQ221" s="93"/>
      <c r="AR221" s="93"/>
      <c r="AS221" s="93"/>
      <c r="AT221" s="1136"/>
      <c r="AU221" s="93"/>
      <c r="AV221" s="93"/>
      <c r="AW221" s="93"/>
      <c r="AX221" s="93"/>
      <c r="AY221" s="1136"/>
      <c r="AZ221" s="93"/>
      <c r="BA221" s="93"/>
      <c r="BB221" s="93"/>
      <c r="BC221" s="93"/>
      <c r="BD221" s="1136"/>
      <c r="BE221" s="93"/>
      <c r="BF221" s="93"/>
      <c r="BG221" s="93"/>
      <c r="BH221" s="93"/>
      <c r="BI221" s="1136"/>
      <c r="BJ221" s="93"/>
      <c r="BK221" s="93"/>
      <c r="BL221" s="93"/>
      <c r="BM221" s="93"/>
      <c r="BN221" s="1136"/>
      <c r="BO221" s="93"/>
      <c r="BP221" s="93"/>
      <c r="BQ221" s="93"/>
      <c r="BR221" s="93"/>
      <c r="BS221" s="1136"/>
      <c r="BT221" s="93"/>
      <c r="BU221" s="93"/>
      <c r="BV221" s="93"/>
      <c r="BW221" s="93"/>
      <c r="BX221" s="1136"/>
      <c r="BY221" s="522"/>
      <c r="BZ221" s="93"/>
      <c r="CA221" s="93"/>
      <c r="CB221" s="93"/>
      <c r="CC221" s="1136"/>
      <c r="CD221" s="93"/>
      <c r="CE221" s="93"/>
      <c r="CF221" s="93"/>
      <c r="CG221" s="93"/>
      <c r="CH221" s="1136"/>
      <c r="CI221" s="1136"/>
      <c r="CJ221" s="1136"/>
      <c r="CK221" s="1136"/>
      <c r="CL221" s="155"/>
    </row>
    <row r="222" spans="1:90" hidden="1" outlineLevel="1" x14ac:dyDescent="0.3">
      <c r="A222" s="99" t="s">
        <v>643</v>
      </c>
      <c r="B222" s="602"/>
      <c r="C222" s="1112"/>
      <c r="D222" s="1112"/>
      <c r="E222" s="1112"/>
      <c r="F222" s="1112"/>
      <c r="G222" s="68"/>
      <c r="H222" s="68"/>
      <c r="I222" s="68"/>
      <c r="J222" s="68"/>
      <c r="K222" s="1112"/>
      <c r="L222" s="68"/>
      <c r="M222" s="68"/>
      <c r="N222" s="68"/>
      <c r="O222" s="68"/>
      <c r="P222" s="1112"/>
      <c r="Q222" s="68"/>
      <c r="R222" s="68"/>
      <c r="S222" s="68"/>
      <c r="T222" s="68"/>
      <c r="U222" s="1112"/>
      <c r="V222" s="68"/>
      <c r="W222" s="68"/>
      <c r="X222" s="68"/>
      <c r="Y222" s="68"/>
      <c r="Z222" s="1112"/>
      <c r="AA222" s="68"/>
      <c r="AB222" s="68"/>
      <c r="AC222" s="68"/>
      <c r="AD222" s="68"/>
      <c r="AE222" s="1112"/>
      <c r="AF222" s="68"/>
      <c r="AG222" s="68"/>
      <c r="AH222" s="68"/>
      <c r="AI222" s="68"/>
      <c r="AJ222" s="1112"/>
      <c r="AK222" s="68">
        <f t="shared" ref="AK222:BV222" si="647">AK224*AK226</f>
        <v>121.5</v>
      </c>
      <c r="AL222" s="68">
        <f t="shared" si="647"/>
        <v>117.5</v>
      </c>
      <c r="AM222" s="68">
        <f t="shared" si="647"/>
        <v>118.5</v>
      </c>
      <c r="AN222" s="68">
        <f t="shared" si="647"/>
        <v>152.5</v>
      </c>
      <c r="AO222" s="1112">
        <f t="shared" si="647"/>
        <v>152.5</v>
      </c>
      <c r="AP222" s="68">
        <f t="shared" si="647"/>
        <v>167.57999999999998</v>
      </c>
      <c r="AQ222" s="68">
        <f t="shared" si="647"/>
        <v>200.64</v>
      </c>
      <c r="AR222" s="68">
        <f t="shared" si="647"/>
        <v>185.64999999999998</v>
      </c>
      <c r="AS222" s="68">
        <f t="shared" si="647"/>
        <v>167.44</v>
      </c>
      <c r="AT222" s="1112">
        <f t="shared" si="647"/>
        <v>167.44</v>
      </c>
      <c r="AU222" s="68">
        <f t="shared" si="647"/>
        <v>182.82999999999998</v>
      </c>
      <c r="AV222" s="68">
        <f t="shared" si="647"/>
        <v>268</v>
      </c>
      <c r="AW222" s="68">
        <f t="shared" si="647"/>
        <v>278.39</v>
      </c>
      <c r="AX222" s="68">
        <f t="shared" si="647"/>
        <v>300.52</v>
      </c>
      <c r="AY222" s="1112">
        <f t="shared" si="647"/>
        <v>300.52</v>
      </c>
      <c r="AZ222" s="68">
        <f t="shared" si="647"/>
        <v>326.39999999999998</v>
      </c>
      <c r="BA222" s="68">
        <f t="shared" si="647"/>
        <v>323</v>
      </c>
      <c r="BB222" s="68">
        <f t="shared" si="647"/>
        <v>303.8</v>
      </c>
      <c r="BC222" s="68">
        <f t="shared" si="647"/>
        <v>305.76</v>
      </c>
      <c r="BD222" s="1112">
        <f t="shared" si="647"/>
        <v>305.76</v>
      </c>
      <c r="BE222" s="68">
        <f t="shared" si="647"/>
        <v>306.44</v>
      </c>
      <c r="BF222" s="68">
        <f t="shared" si="647"/>
        <v>309.59999999999997</v>
      </c>
      <c r="BG222" s="68">
        <f t="shared" si="647"/>
        <v>320.07</v>
      </c>
      <c r="BH222" s="68">
        <f t="shared" si="647"/>
        <v>306.44</v>
      </c>
      <c r="BI222" s="1112">
        <f t="shared" si="647"/>
        <v>306.44</v>
      </c>
      <c r="BJ222" s="68">
        <f t="shared" si="647"/>
        <v>293.94</v>
      </c>
      <c r="BK222" s="68">
        <f t="shared" si="647"/>
        <v>315.48</v>
      </c>
      <c r="BL222" s="68">
        <f t="shared" si="647"/>
        <v>376.32</v>
      </c>
      <c r="BM222" s="68">
        <f t="shared" si="647"/>
        <v>440</v>
      </c>
      <c r="BN222" s="1112">
        <f t="shared" si="647"/>
        <v>440</v>
      </c>
      <c r="BO222" s="68">
        <f t="shared" si="647"/>
        <v>494</v>
      </c>
      <c r="BP222" s="68">
        <f t="shared" si="647"/>
        <v>526.51</v>
      </c>
      <c r="BQ222" s="68">
        <f t="shared" si="647"/>
        <v>592</v>
      </c>
      <c r="BR222" s="68">
        <f t="shared" si="647"/>
        <v>663</v>
      </c>
      <c r="BS222" s="1112">
        <f t="shared" si="647"/>
        <v>663</v>
      </c>
      <c r="BT222" s="68">
        <f t="shared" si="647"/>
        <v>702</v>
      </c>
      <c r="BU222" s="68">
        <f t="shared" si="647"/>
        <v>760</v>
      </c>
      <c r="BV222" s="68">
        <f t="shared" si="647"/>
        <v>1000</v>
      </c>
      <c r="BW222" s="68">
        <f t="shared" ref="BW222:BY222" si="648">BW224*BW226</f>
        <v>966</v>
      </c>
      <c r="BX222" s="1112">
        <f t="shared" si="648"/>
        <v>966</v>
      </c>
      <c r="BY222" s="588">
        <f t="shared" si="648"/>
        <v>1040</v>
      </c>
      <c r="BZ222" s="68"/>
      <c r="CA222" s="68"/>
      <c r="CB222" s="68"/>
      <c r="CC222" s="1112"/>
      <c r="CD222" s="68"/>
      <c r="CE222" s="68"/>
      <c r="CF222" s="68"/>
      <c r="CG222" s="68"/>
      <c r="CH222" s="1112"/>
      <c r="CI222" s="1112"/>
      <c r="CJ222" s="1112"/>
      <c r="CK222" s="1112"/>
      <c r="CL222" s="155"/>
    </row>
    <row r="223" spans="1:90" hidden="1" outlineLevel="1" x14ac:dyDescent="0.3">
      <c r="A223" s="99" t="s">
        <v>644</v>
      </c>
      <c r="B223" s="602"/>
      <c r="C223" s="1112"/>
      <c r="D223" s="1112"/>
      <c r="E223" s="1112"/>
      <c r="F223" s="1112"/>
      <c r="G223" s="68"/>
      <c r="H223" s="68"/>
      <c r="I223" s="68"/>
      <c r="J223" s="68"/>
      <c r="K223" s="1112"/>
      <c r="L223" s="68"/>
      <c r="M223" s="68"/>
      <c r="N223" s="68"/>
      <c r="O223" s="68"/>
      <c r="P223" s="1112"/>
      <c r="Q223" s="68"/>
      <c r="R223" s="68"/>
      <c r="S223" s="68"/>
      <c r="T223" s="68"/>
      <c r="U223" s="1112"/>
      <c r="V223" s="68"/>
      <c r="W223" s="68"/>
      <c r="X223" s="68"/>
      <c r="Y223" s="68"/>
      <c r="Z223" s="1112"/>
      <c r="AA223" s="68"/>
      <c r="AB223" s="68"/>
      <c r="AC223" s="68"/>
      <c r="AD223" s="68"/>
      <c r="AE223" s="1112"/>
      <c r="AF223" s="68"/>
      <c r="AG223" s="68"/>
      <c r="AH223" s="68"/>
      <c r="AI223" s="68"/>
      <c r="AJ223" s="1112"/>
      <c r="AK223" s="68">
        <f t="shared" ref="AK223:BV223" si="649">AK224-AK222</f>
        <v>121.5</v>
      </c>
      <c r="AL223" s="68">
        <f t="shared" si="649"/>
        <v>117.5</v>
      </c>
      <c r="AM223" s="68">
        <f t="shared" si="649"/>
        <v>118.5</v>
      </c>
      <c r="AN223" s="68">
        <f t="shared" si="649"/>
        <v>152.5</v>
      </c>
      <c r="AO223" s="1112">
        <f t="shared" si="649"/>
        <v>152.5</v>
      </c>
      <c r="AP223" s="68">
        <f t="shared" si="649"/>
        <v>126.42000000000002</v>
      </c>
      <c r="AQ223" s="68">
        <f t="shared" si="649"/>
        <v>217.36</v>
      </c>
      <c r="AR223" s="68">
        <f t="shared" si="649"/>
        <v>209.35000000000002</v>
      </c>
      <c r="AS223" s="68">
        <f t="shared" si="649"/>
        <v>196.56</v>
      </c>
      <c r="AT223" s="1112">
        <f t="shared" si="649"/>
        <v>196.56</v>
      </c>
      <c r="AU223" s="68">
        <f t="shared" si="649"/>
        <v>206.17000000000002</v>
      </c>
      <c r="AV223" s="68">
        <f t="shared" si="649"/>
        <v>402</v>
      </c>
      <c r="AW223" s="68">
        <f t="shared" si="649"/>
        <v>400.61</v>
      </c>
      <c r="AX223" s="68">
        <f t="shared" si="649"/>
        <v>382.48</v>
      </c>
      <c r="AY223" s="1112">
        <f t="shared" si="649"/>
        <v>382.48</v>
      </c>
      <c r="AZ223" s="68">
        <f t="shared" si="649"/>
        <v>353.6</v>
      </c>
      <c r="BA223" s="68">
        <f t="shared" si="649"/>
        <v>323</v>
      </c>
      <c r="BB223" s="68">
        <f t="shared" si="649"/>
        <v>316.2</v>
      </c>
      <c r="BC223" s="68">
        <f t="shared" si="649"/>
        <v>318.24</v>
      </c>
      <c r="BD223" s="1112">
        <f t="shared" si="649"/>
        <v>318.24</v>
      </c>
      <c r="BE223" s="68">
        <f t="shared" si="649"/>
        <v>345.56</v>
      </c>
      <c r="BF223" s="68">
        <f t="shared" si="649"/>
        <v>335.40000000000003</v>
      </c>
      <c r="BG223" s="68">
        <f t="shared" si="649"/>
        <v>360.93</v>
      </c>
      <c r="BH223" s="68">
        <f t="shared" si="649"/>
        <v>345.56</v>
      </c>
      <c r="BI223" s="1112">
        <f t="shared" si="649"/>
        <v>345.56</v>
      </c>
      <c r="BJ223" s="68">
        <f t="shared" si="649"/>
        <v>345.06</v>
      </c>
      <c r="BK223" s="68">
        <f t="shared" si="649"/>
        <v>401.52</v>
      </c>
      <c r="BL223" s="68">
        <f t="shared" si="649"/>
        <v>519.68000000000006</v>
      </c>
      <c r="BM223" s="68">
        <f t="shared" si="649"/>
        <v>660</v>
      </c>
      <c r="BN223" s="1112">
        <f t="shared" si="649"/>
        <v>660</v>
      </c>
      <c r="BO223" s="68">
        <f t="shared" si="649"/>
        <v>806</v>
      </c>
      <c r="BP223" s="68">
        <f t="shared" si="649"/>
        <v>896.49</v>
      </c>
      <c r="BQ223" s="68">
        <f t="shared" si="649"/>
        <v>1008</v>
      </c>
      <c r="BR223" s="68">
        <f t="shared" si="649"/>
        <v>1037</v>
      </c>
      <c r="BS223" s="1112">
        <f t="shared" si="649"/>
        <v>1037</v>
      </c>
      <c r="BT223" s="68">
        <f t="shared" si="649"/>
        <v>1098</v>
      </c>
      <c r="BU223" s="68">
        <f t="shared" si="649"/>
        <v>1140</v>
      </c>
      <c r="BV223" s="68">
        <f t="shared" si="649"/>
        <v>1500</v>
      </c>
      <c r="BW223" s="68">
        <f t="shared" ref="BW223:BY223" si="650">BW224-BW222</f>
        <v>1334</v>
      </c>
      <c r="BX223" s="1112">
        <f t="shared" si="650"/>
        <v>1334</v>
      </c>
      <c r="BY223" s="588">
        <f t="shared" si="650"/>
        <v>1560</v>
      </c>
      <c r="BZ223" s="68"/>
      <c r="CA223" s="68"/>
      <c r="CB223" s="68"/>
      <c r="CC223" s="1112"/>
      <c r="CD223" s="68"/>
      <c r="CE223" s="68"/>
      <c r="CF223" s="68"/>
      <c r="CG223" s="68"/>
      <c r="CH223" s="1112"/>
      <c r="CI223" s="1112"/>
      <c r="CJ223" s="1112"/>
      <c r="CK223" s="1112"/>
      <c r="CL223" s="155"/>
    </row>
    <row r="224" spans="1:90" hidden="1" outlineLevel="1" x14ac:dyDescent="0.3">
      <c r="A224" s="631" t="s">
        <v>641</v>
      </c>
      <c r="B224" s="604"/>
      <c r="C224" s="1124"/>
      <c r="D224" s="1124"/>
      <c r="E224" s="1124"/>
      <c r="F224" s="1124"/>
      <c r="G224" s="61"/>
      <c r="H224" s="61"/>
      <c r="I224" s="61"/>
      <c r="J224" s="61"/>
      <c r="K224" s="1124"/>
      <c r="L224" s="61"/>
      <c r="M224" s="61"/>
      <c r="N224" s="61"/>
      <c r="O224" s="61"/>
      <c r="P224" s="1124"/>
      <c r="Q224" s="61"/>
      <c r="R224" s="61"/>
      <c r="S224" s="61"/>
      <c r="T224" s="61"/>
      <c r="U224" s="1124"/>
      <c r="V224" s="61"/>
      <c r="W224" s="61"/>
      <c r="X224" s="61"/>
      <c r="Y224" s="61"/>
      <c r="Z224" s="1124"/>
      <c r="AA224" s="61"/>
      <c r="AB224" s="61"/>
      <c r="AC224" s="61"/>
      <c r="AD224" s="61"/>
      <c r="AE224" s="1124"/>
      <c r="AF224" s="61"/>
      <c r="AG224" s="61"/>
      <c r="AH224" s="61"/>
      <c r="AI224" s="61"/>
      <c r="AJ224" s="1124"/>
      <c r="AK224" s="1065">
        <v>243</v>
      </c>
      <c r="AL224" s="1065">
        <v>235</v>
      </c>
      <c r="AM224" s="1065">
        <v>237</v>
      </c>
      <c r="AN224" s="61">
        <f>AO224</f>
        <v>305</v>
      </c>
      <c r="AO224" s="1140">
        <v>305</v>
      </c>
      <c r="AP224" s="1065">
        <v>294</v>
      </c>
      <c r="AQ224" s="1065">
        <v>418</v>
      </c>
      <c r="AR224" s="1065">
        <v>395</v>
      </c>
      <c r="AS224" s="61">
        <f>AT224</f>
        <v>364</v>
      </c>
      <c r="AT224" s="1140">
        <v>364</v>
      </c>
      <c r="AU224" s="1065">
        <v>389</v>
      </c>
      <c r="AV224" s="1065">
        <v>670</v>
      </c>
      <c r="AW224" s="1065">
        <v>679</v>
      </c>
      <c r="AX224" s="61">
        <f>AY224</f>
        <v>683</v>
      </c>
      <c r="AY224" s="1140">
        <v>683</v>
      </c>
      <c r="AZ224" s="1065">
        <v>680</v>
      </c>
      <c r="BA224" s="1065">
        <v>646</v>
      </c>
      <c r="BB224" s="1065">
        <v>620</v>
      </c>
      <c r="BC224" s="61">
        <f>BD224</f>
        <v>624</v>
      </c>
      <c r="BD224" s="1140">
        <v>624</v>
      </c>
      <c r="BE224" s="1065">
        <v>652</v>
      </c>
      <c r="BF224" s="1065">
        <v>645</v>
      </c>
      <c r="BG224" s="1065">
        <v>681</v>
      </c>
      <c r="BH224" s="61">
        <f>BI224</f>
        <v>652</v>
      </c>
      <c r="BI224" s="1140">
        <v>652</v>
      </c>
      <c r="BJ224" s="1065">
        <v>639</v>
      </c>
      <c r="BK224" s="1065">
        <v>717</v>
      </c>
      <c r="BL224" s="1065">
        <v>896</v>
      </c>
      <c r="BM224" s="61">
        <f>BN224</f>
        <v>1100</v>
      </c>
      <c r="BN224" s="1140">
        <v>1100</v>
      </c>
      <c r="BO224" s="1065">
        <v>1300</v>
      </c>
      <c r="BP224" s="1065">
        <f>1300+123</f>
        <v>1423</v>
      </c>
      <c r="BQ224" s="1065">
        <v>1600</v>
      </c>
      <c r="BR224" s="61">
        <f>BS224</f>
        <v>1700</v>
      </c>
      <c r="BS224" s="1140">
        <v>1700</v>
      </c>
      <c r="BT224" s="1065">
        <v>1800</v>
      </c>
      <c r="BU224" s="1065">
        <v>1900</v>
      </c>
      <c r="BV224" s="1065">
        <v>2500</v>
      </c>
      <c r="BW224" s="61">
        <f>BX224</f>
        <v>2300</v>
      </c>
      <c r="BX224" s="1140">
        <v>2300</v>
      </c>
      <c r="BY224" s="1066">
        <v>2600</v>
      </c>
      <c r="BZ224" s="61"/>
      <c r="CA224" s="61"/>
      <c r="CB224" s="61"/>
      <c r="CC224" s="1124"/>
      <c r="CD224" s="61"/>
      <c r="CE224" s="61"/>
      <c r="CF224" s="61"/>
      <c r="CG224" s="61"/>
      <c r="CH224" s="1124"/>
      <c r="CI224" s="1124"/>
      <c r="CJ224" s="1124"/>
      <c r="CK224" s="1124"/>
      <c r="CL224" s="155"/>
    </row>
    <row r="225" spans="1:90" hidden="1" outlineLevel="1" x14ac:dyDescent="0.3">
      <c r="A225" s="600"/>
      <c r="B225" s="633"/>
      <c r="C225" s="1127"/>
      <c r="D225" s="1127"/>
      <c r="E225" s="1127"/>
      <c r="F225" s="1127"/>
      <c r="G225" s="63"/>
      <c r="H225" s="63"/>
      <c r="I225" s="63"/>
      <c r="J225" s="63"/>
      <c r="K225" s="1127"/>
      <c r="L225" s="63"/>
      <c r="M225" s="63"/>
      <c r="N225" s="63"/>
      <c r="O225" s="63"/>
      <c r="P225" s="1127"/>
      <c r="Q225" s="63"/>
      <c r="R225" s="63"/>
      <c r="S225" s="63"/>
      <c r="T225" s="63"/>
      <c r="U225" s="1127"/>
      <c r="V225" s="63"/>
      <c r="W225" s="63"/>
      <c r="X225" s="63"/>
      <c r="Y225" s="63"/>
      <c r="Z225" s="1127"/>
      <c r="AA225" s="63"/>
      <c r="AB225" s="63"/>
      <c r="AC225" s="63"/>
      <c r="AD225" s="63"/>
      <c r="AE225" s="1127"/>
      <c r="AF225" s="63"/>
      <c r="AG225" s="63"/>
      <c r="AH225" s="63"/>
      <c r="AI225" s="63"/>
      <c r="AJ225" s="1127"/>
      <c r="AK225" s="63"/>
      <c r="AL225" s="63"/>
      <c r="AM225" s="63"/>
      <c r="AN225" s="63"/>
      <c r="AO225" s="1127"/>
      <c r="AP225" s="63"/>
      <c r="AQ225" s="63"/>
      <c r="AR225" s="63"/>
      <c r="AS225" s="63"/>
      <c r="AT225" s="1127"/>
      <c r="AU225" s="63"/>
      <c r="AV225" s="63"/>
      <c r="AW225" s="63"/>
      <c r="AX225" s="63"/>
      <c r="AY225" s="1127"/>
      <c r="AZ225" s="63"/>
      <c r="BA225" s="63"/>
      <c r="BB225" s="63"/>
      <c r="BC225" s="63"/>
      <c r="BD225" s="1127"/>
      <c r="BE225" s="63"/>
      <c r="BF225" s="63"/>
      <c r="BG225" s="63"/>
      <c r="BH225" s="63"/>
      <c r="BI225" s="1127"/>
      <c r="BJ225" s="63"/>
      <c r="BK225" s="63"/>
      <c r="BL225" s="63"/>
      <c r="BM225" s="63"/>
      <c r="BN225" s="1127"/>
      <c r="BO225" s="63"/>
      <c r="BP225" s="63"/>
      <c r="BQ225" s="63"/>
      <c r="BR225" s="63"/>
      <c r="BS225" s="1127"/>
      <c r="BT225" s="63"/>
      <c r="BU225" s="63"/>
      <c r="BV225" s="63"/>
      <c r="BW225" s="63"/>
      <c r="BX225" s="1127"/>
      <c r="BY225" s="587"/>
      <c r="BZ225" s="63"/>
      <c r="CA225" s="63"/>
      <c r="CB225" s="63"/>
      <c r="CC225" s="1127"/>
      <c r="CD225" s="63"/>
      <c r="CE225" s="63"/>
      <c r="CF225" s="63"/>
      <c r="CG225" s="63"/>
      <c r="CH225" s="1127"/>
      <c r="CI225" s="1127"/>
      <c r="CJ225" s="1127"/>
      <c r="CK225" s="1127"/>
      <c r="CL225" s="155"/>
    </row>
    <row r="226" spans="1:90" s="977" customFormat="1" hidden="1" outlineLevel="1" x14ac:dyDescent="0.3">
      <c r="A226" s="733" t="s">
        <v>642</v>
      </c>
      <c r="B226" s="734"/>
      <c r="C226" s="1141"/>
      <c r="D226" s="1141"/>
      <c r="E226" s="1141"/>
      <c r="F226" s="1141"/>
      <c r="G226" s="735"/>
      <c r="H226" s="735"/>
      <c r="I226" s="735"/>
      <c r="J226" s="735"/>
      <c r="K226" s="1141"/>
      <c r="L226" s="735"/>
      <c r="M226" s="735"/>
      <c r="N226" s="735"/>
      <c r="O226" s="735"/>
      <c r="P226" s="1141"/>
      <c r="Q226" s="735"/>
      <c r="R226" s="735"/>
      <c r="S226" s="735"/>
      <c r="T226" s="735"/>
      <c r="U226" s="1141"/>
      <c r="V226" s="735"/>
      <c r="W226" s="735"/>
      <c r="X226" s="735"/>
      <c r="Y226" s="735"/>
      <c r="Z226" s="1141"/>
      <c r="AA226" s="735"/>
      <c r="AB226" s="735"/>
      <c r="AC226" s="735"/>
      <c r="AD226" s="735"/>
      <c r="AE226" s="1141"/>
      <c r="AF226" s="735"/>
      <c r="AG226" s="735"/>
      <c r="AH226" s="735"/>
      <c r="AI226" s="735"/>
      <c r="AJ226" s="1141"/>
      <c r="AK226" s="1067">
        <v>0.5</v>
      </c>
      <c r="AL226" s="1067">
        <v>0.5</v>
      </c>
      <c r="AM226" s="1067">
        <v>0.5</v>
      </c>
      <c r="AN226" s="735">
        <f>AO226</f>
        <v>0.5</v>
      </c>
      <c r="AO226" s="1142">
        <v>0.5</v>
      </c>
      <c r="AP226" s="1067">
        <v>0.56999999999999995</v>
      </c>
      <c r="AQ226" s="1067">
        <v>0.48</v>
      </c>
      <c r="AR226" s="1067">
        <v>0.47</v>
      </c>
      <c r="AS226" s="735">
        <f>AT226</f>
        <v>0.46</v>
      </c>
      <c r="AT226" s="1142">
        <v>0.46</v>
      </c>
      <c r="AU226" s="1067">
        <v>0.47</v>
      </c>
      <c r="AV226" s="1067">
        <v>0.4</v>
      </c>
      <c r="AW226" s="1067">
        <v>0.41</v>
      </c>
      <c r="AX226" s="735">
        <f>AY226</f>
        <v>0.44</v>
      </c>
      <c r="AY226" s="1142">
        <v>0.44</v>
      </c>
      <c r="AZ226" s="1067">
        <v>0.48</v>
      </c>
      <c r="BA226" s="1067">
        <v>0.5</v>
      </c>
      <c r="BB226" s="1067">
        <v>0.49</v>
      </c>
      <c r="BC226" s="735">
        <f>BD226</f>
        <v>0.49</v>
      </c>
      <c r="BD226" s="1142">
        <v>0.49</v>
      </c>
      <c r="BE226" s="1067">
        <v>0.47</v>
      </c>
      <c r="BF226" s="1067">
        <v>0.48</v>
      </c>
      <c r="BG226" s="1067">
        <v>0.47</v>
      </c>
      <c r="BH226" s="735">
        <f>BI226</f>
        <v>0.47</v>
      </c>
      <c r="BI226" s="1142">
        <v>0.47</v>
      </c>
      <c r="BJ226" s="1067">
        <v>0.46</v>
      </c>
      <c r="BK226" s="1067">
        <v>0.44</v>
      </c>
      <c r="BL226" s="1067">
        <v>0.42</v>
      </c>
      <c r="BM226" s="735">
        <f>BN226</f>
        <v>0.4</v>
      </c>
      <c r="BN226" s="1142">
        <v>0.4</v>
      </c>
      <c r="BO226" s="1067">
        <v>0.38</v>
      </c>
      <c r="BP226" s="1067">
        <v>0.37</v>
      </c>
      <c r="BQ226" s="1067">
        <v>0.37</v>
      </c>
      <c r="BR226" s="735">
        <f>BS226</f>
        <v>0.39</v>
      </c>
      <c r="BS226" s="1142">
        <v>0.39</v>
      </c>
      <c r="BT226" s="1067">
        <v>0.39</v>
      </c>
      <c r="BU226" s="1067">
        <v>0.4</v>
      </c>
      <c r="BV226" s="1067">
        <v>0.4</v>
      </c>
      <c r="BW226" s="735">
        <f>BX226</f>
        <v>0.42</v>
      </c>
      <c r="BX226" s="1142">
        <v>0.42</v>
      </c>
      <c r="BY226" s="1068">
        <v>0.4</v>
      </c>
      <c r="BZ226" s="735"/>
      <c r="CA226" s="735"/>
      <c r="CB226" s="735"/>
      <c r="CC226" s="1141"/>
      <c r="CD226" s="735"/>
      <c r="CE226" s="735"/>
      <c r="CF226" s="735"/>
      <c r="CG226" s="735"/>
      <c r="CH226" s="1141"/>
      <c r="CI226" s="1141"/>
      <c r="CJ226" s="1141"/>
      <c r="CK226" s="1141"/>
      <c r="CL226" s="736"/>
    </row>
    <row r="227" spans="1:90" hidden="1" outlineLevel="1" x14ac:dyDescent="0.3">
      <c r="A227" s="605"/>
      <c r="B227" s="606"/>
      <c r="C227" s="1136"/>
      <c r="D227" s="1136"/>
      <c r="E227" s="1136"/>
      <c r="F227" s="1136"/>
      <c r="G227" s="93"/>
      <c r="H227" s="93"/>
      <c r="I227" s="93"/>
      <c r="J227" s="93"/>
      <c r="K227" s="1136"/>
      <c r="L227" s="93"/>
      <c r="M227" s="93"/>
      <c r="N227" s="93"/>
      <c r="O227" s="93"/>
      <c r="P227" s="1136"/>
      <c r="Q227" s="93"/>
      <c r="R227" s="93"/>
      <c r="S227" s="93"/>
      <c r="T227" s="93"/>
      <c r="U227" s="1136"/>
      <c r="V227" s="93"/>
      <c r="W227" s="93"/>
      <c r="X227" s="93"/>
      <c r="Y227" s="93"/>
      <c r="Z227" s="1136"/>
      <c r="AA227" s="93"/>
      <c r="AB227" s="93"/>
      <c r="AC227" s="93"/>
      <c r="AD227" s="93"/>
      <c r="AE227" s="1136"/>
      <c r="AF227" s="93"/>
      <c r="AG227" s="93"/>
      <c r="AH227" s="93"/>
      <c r="AI227" s="93"/>
      <c r="AJ227" s="1136"/>
      <c r="AK227" s="93"/>
      <c r="AL227" s="93"/>
      <c r="AM227" s="93"/>
      <c r="AN227" s="93"/>
      <c r="AO227" s="1136"/>
      <c r="AP227" s="93"/>
      <c r="AQ227" s="93"/>
      <c r="AR227" s="93"/>
      <c r="AS227" s="93"/>
      <c r="AT227" s="1136"/>
      <c r="AU227" s="93"/>
      <c r="AV227" s="93"/>
      <c r="AW227" s="93"/>
      <c r="AX227" s="93"/>
      <c r="AY227" s="1136"/>
      <c r="AZ227" s="93"/>
      <c r="BA227" s="93"/>
      <c r="BB227" s="93"/>
      <c r="BC227" s="93"/>
      <c r="BD227" s="1136"/>
      <c r="BE227" s="93"/>
      <c r="BF227" s="93"/>
      <c r="BG227" s="93"/>
      <c r="BH227" s="93"/>
      <c r="BI227" s="1136"/>
      <c r="BJ227" s="93"/>
      <c r="BK227" s="93"/>
      <c r="BL227" s="93"/>
      <c r="BM227" s="93"/>
      <c r="BN227" s="1136"/>
      <c r="BO227" s="93"/>
      <c r="BP227" s="93"/>
      <c r="BQ227" s="93"/>
      <c r="BR227" s="93"/>
      <c r="BS227" s="1136"/>
      <c r="BT227" s="93"/>
      <c r="BU227" s="93"/>
      <c r="BV227" s="93"/>
      <c r="BW227" s="93"/>
      <c r="BX227" s="1136"/>
      <c r="BY227" s="522"/>
      <c r="BZ227" s="93"/>
      <c r="CA227" s="93"/>
      <c r="CB227" s="93"/>
      <c r="CC227" s="1136"/>
      <c r="CD227" s="93"/>
      <c r="CE227" s="93"/>
      <c r="CF227" s="93"/>
      <c r="CG227" s="93"/>
      <c r="CH227" s="1136"/>
      <c r="CI227" s="1136"/>
      <c r="CJ227" s="1136"/>
      <c r="CK227" s="1136"/>
      <c r="CL227" s="155"/>
    </row>
    <row r="228" spans="1:90" hidden="1" outlineLevel="1" x14ac:dyDescent="0.3">
      <c r="A228" s="45" t="s">
        <v>1100</v>
      </c>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45"/>
      <c r="BJ228" s="45"/>
      <c r="BK228" s="45"/>
      <c r="BL228" s="45"/>
      <c r="BM228" s="45"/>
      <c r="BN228" s="45"/>
      <c r="BO228" s="45"/>
      <c r="BP228" s="45"/>
      <c r="BQ228" s="45"/>
      <c r="BR228" s="45"/>
      <c r="BS228" s="45"/>
      <c r="BT228" s="45"/>
      <c r="BU228" s="45"/>
      <c r="BV228" s="45"/>
      <c r="BW228" s="45"/>
      <c r="BX228" s="45"/>
      <c r="BY228" s="881"/>
      <c r="BZ228" s="45"/>
      <c r="CA228" s="45"/>
      <c r="CB228" s="45"/>
      <c r="CC228" s="45"/>
      <c r="CD228" s="45"/>
      <c r="CE228" s="45"/>
      <c r="CF228" s="45"/>
      <c r="CG228" s="45"/>
      <c r="CH228" s="45"/>
      <c r="CI228" s="45"/>
      <c r="CJ228" s="45"/>
      <c r="CK228" s="45"/>
      <c r="CL228" s="155"/>
    </row>
    <row r="229" spans="1:90" hidden="1" outlineLevel="1" x14ac:dyDescent="0.3">
      <c r="A229" s="636" t="s">
        <v>1099</v>
      </c>
      <c r="B229" s="602"/>
      <c r="C229" s="1112"/>
      <c r="D229" s="1113">
        <v>37</v>
      </c>
      <c r="E229" s="1113">
        <v>36</v>
      </c>
      <c r="F229" s="1113">
        <v>31</v>
      </c>
      <c r="G229" s="1055">
        <v>41</v>
      </c>
      <c r="H229" s="1055">
        <v>39</v>
      </c>
      <c r="I229" s="1055">
        <v>34</v>
      </c>
      <c r="J229" s="68">
        <f>K229</f>
        <v>37</v>
      </c>
      <c r="K229" s="1113">
        <v>37</v>
      </c>
      <c r="L229" s="1055">
        <v>33</v>
      </c>
      <c r="M229" s="1055">
        <v>39</v>
      </c>
      <c r="N229" s="1055">
        <v>39</v>
      </c>
      <c r="O229" s="68">
        <f>P229</f>
        <v>34</v>
      </c>
      <c r="P229" s="1113">
        <v>34</v>
      </c>
      <c r="Q229" s="1055">
        <v>33</v>
      </c>
      <c r="R229" s="1055">
        <v>39</v>
      </c>
      <c r="S229" s="1055">
        <v>42</v>
      </c>
      <c r="T229" s="68">
        <f>U229</f>
        <v>34</v>
      </c>
      <c r="U229" s="1113">
        <v>34</v>
      </c>
      <c r="V229" s="1055">
        <v>36</v>
      </c>
      <c r="W229" s="1055">
        <v>41</v>
      </c>
      <c r="X229" s="1055">
        <v>37</v>
      </c>
      <c r="Y229" s="68">
        <f>Z229</f>
        <v>35</v>
      </c>
      <c r="Z229" s="1113">
        <v>35</v>
      </c>
      <c r="AA229" s="1055">
        <v>36</v>
      </c>
      <c r="AB229" s="1055">
        <v>41</v>
      </c>
      <c r="AC229" s="1055">
        <v>38</v>
      </c>
      <c r="AD229" s="68">
        <f>AE229</f>
        <v>35</v>
      </c>
      <c r="AE229" s="1113">
        <v>35</v>
      </c>
      <c r="AF229" s="1055">
        <v>46</v>
      </c>
      <c r="AG229" s="1055">
        <v>49</v>
      </c>
      <c r="AH229" s="1055">
        <v>40</v>
      </c>
      <c r="AI229" s="68">
        <f>AJ229</f>
        <v>40</v>
      </c>
      <c r="AJ229" s="1113">
        <v>40</v>
      </c>
      <c r="AK229" s="1055">
        <v>35</v>
      </c>
      <c r="AL229" s="1055">
        <v>48</v>
      </c>
      <c r="AM229" s="1055">
        <v>63</v>
      </c>
      <c r="AN229" s="68">
        <f>AO229</f>
        <v>59</v>
      </c>
      <c r="AO229" s="1113">
        <v>59</v>
      </c>
      <c r="AP229" s="1055">
        <v>51</v>
      </c>
      <c r="AQ229" s="1055">
        <v>55</v>
      </c>
      <c r="AR229" s="1055">
        <v>44</v>
      </c>
      <c r="AS229" s="68">
        <f>AT229</f>
        <v>49</v>
      </c>
      <c r="AT229" s="1113">
        <v>49</v>
      </c>
      <c r="AU229" s="1055">
        <v>56</v>
      </c>
      <c r="AV229" s="1055">
        <v>49</v>
      </c>
      <c r="AW229" s="1055">
        <v>49</v>
      </c>
      <c r="AX229" s="68">
        <f>AY229</f>
        <v>48</v>
      </c>
      <c r="AY229" s="1113">
        <v>48</v>
      </c>
      <c r="AZ229" s="1055">
        <v>49</v>
      </c>
      <c r="BA229" s="1055">
        <v>50</v>
      </c>
      <c r="BB229" s="1055">
        <v>51</v>
      </c>
      <c r="BC229" s="68">
        <f>BD229</f>
        <v>55</v>
      </c>
      <c r="BD229" s="1113">
        <v>55</v>
      </c>
      <c r="BE229" s="1055">
        <v>60</v>
      </c>
      <c r="BF229" s="1055">
        <v>72</v>
      </c>
      <c r="BG229" s="1055">
        <v>75</v>
      </c>
      <c r="BH229" s="68">
        <f>BI229</f>
        <v>58</v>
      </c>
      <c r="BI229" s="1113">
        <v>58</v>
      </c>
      <c r="BJ229" s="1055">
        <v>52</v>
      </c>
      <c r="BK229" s="1055">
        <v>48</v>
      </c>
      <c r="BL229" s="1055">
        <v>42</v>
      </c>
      <c r="BM229" s="68">
        <f>BN229</f>
        <v>41</v>
      </c>
      <c r="BN229" s="1113">
        <v>41</v>
      </c>
      <c r="BO229" s="1055">
        <v>43</v>
      </c>
      <c r="BP229" s="1055">
        <v>43</v>
      </c>
      <c r="BQ229" s="1055">
        <v>46</v>
      </c>
      <c r="BR229" s="68">
        <f>BS229</f>
        <v>53</v>
      </c>
      <c r="BS229" s="1113">
        <v>53</v>
      </c>
      <c r="BT229" s="1055">
        <v>46</v>
      </c>
      <c r="BU229" s="1055">
        <v>54</v>
      </c>
      <c r="BV229" s="1055">
        <v>53</v>
      </c>
      <c r="BW229" s="68">
        <f>BX229</f>
        <v>51</v>
      </c>
      <c r="BX229" s="1113">
        <v>51</v>
      </c>
      <c r="BY229" s="1057">
        <v>45</v>
      </c>
      <c r="BZ229" s="68"/>
      <c r="CA229" s="68"/>
      <c r="CB229" s="68"/>
      <c r="CC229" s="1112"/>
      <c r="CD229" s="68"/>
      <c r="CE229" s="68"/>
      <c r="CF229" s="68"/>
      <c r="CG229" s="68"/>
      <c r="CH229" s="1112"/>
      <c r="CI229" s="1112"/>
      <c r="CJ229" s="1112"/>
      <c r="CK229" s="1112"/>
      <c r="CL229" s="155"/>
    </row>
    <row r="230" spans="1:90" ht="7.5" hidden="1" customHeight="1" outlineLevel="1" x14ac:dyDescent="0.3">
      <c r="A230" s="636"/>
      <c r="B230" s="602"/>
      <c r="C230" s="1112"/>
      <c r="D230" s="1112"/>
      <c r="E230" s="1112"/>
      <c r="F230" s="1112"/>
      <c r="G230" s="68"/>
      <c r="H230" s="68"/>
      <c r="I230" s="68"/>
      <c r="J230" s="68"/>
      <c r="K230" s="1112"/>
      <c r="L230" s="68"/>
      <c r="M230" s="68"/>
      <c r="N230" s="68"/>
      <c r="O230" s="68"/>
      <c r="P230" s="1112"/>
      <c r="Q230" s="68"/>
      <c r="R230" s="68"/>
      <c r="S230" s="68"/>
      <c r="T230" s="68"/>
      <c r="U230" s="1112"/>
      <c r="V230" s="68"/>
      <c r="W230" s="68"/>
      <c r="X230" s="68"/>
      <c r="Y230" s="68"/>
      <c r="Z230" s="1112"/>
      <c r="AA230" s="68"/>
      <c r="AB230" s="68"/>
      <c r="AC230" s="68"/>
      <c r="AD230" s="68"/>
      <c r="AE230" s="1112"/>
      <c r="AF230" s="68"/>
      <c r="AG230" s="68"/>
      <c r="AH230" s="68"/>
      <c r="AI230" s="68"/>
      <c r="AJ230" s="1112"/>
      <c r="AK230" s="68"/>
      <c r="AL230" s="68"/>
      <c r="AM230" s="68"/>
      <c r="AN230" s="68"/>
      <c r="AO230" s="1112"/>
      <c r="AP230" s="68"/>
      <c r="AQ230" s="68"/>
      <c r="AR230" s="68"/>
      <c r="AS230" s="68"/>
      <c r="AT230" s="1112"/>
      <c r="AU230" s="68"/>
      <c r="AV230" s="68"/>
      <c r="AW230" s="68"/>
      <c r="AX230" s="68"/>
      <c r="AY230" s="1112"/>
      <c r="AZ230" s="68"/>
      <c r="BA230" s="68"/>
      <c r="BB230" s="68"/>
      <c r="BC230" s="68"/>
      <c r="BD230" s="1112"/>
      <c r="BE230" s="68"/>
      <c r="BF230" s="68"/>
      <c r="BG230" s="68"/>
      <c r="BH230" s="68"/>
      <c r="BI230" s="1112"/>
      <c r="BJ230" s="68"/>
      <c r="BK230" s="68"/>
      <c r="BL230" s="68"/>
      <c r="BM230" s="68"/>
      <c r="BN230" s="1112"/>
      <c r="BO230" s="68"/>
      <c r="BP230" s="68"/>
      <c r="BQ230" s="68"/>
      <c r="BR230" s="68"/>
      <c r="BS230" s="1112"/>
      <c r="BT230" s="68"/>
      <c r="BU230" s="68"/>
      <c r="BV230" s="68"/>
      <c r="BW230" s="68"/>
      <c r="BX230" s="1112"/>
      <c r="BY230" s="588"/>
      <c r="BZ230" s="68"/>
      <c r="CA230" s="68"/>
      <c r="CB230" s="68"/>
      <c r="CC230" s="1112"/>
      <c r="CD230" s="68"/>
      <c r="CE230" s="68"/>
      <c r="CF230" s="68"/>
      <c r="CG230" s="68"/>
      <c r="CH230" s="1112"/>
      <c r="CI230" s="1112"/>
      <c r="CJ230" s="1112"/>
      <c r="CK230" s="1112"/>
      <c r="CL230" s="155"/>
    </row>
    <row r="231" spans="1:90" hidden="1" outlineLevel="1" x14ac:dyDescent="0.3">
      <c r="A231" s="636" t="s">
        <v>1103</v>
      </c>
      <c r="B231" s="602"/>
      <c r="C231" s="1112"/>
      <c r="D231" s="1113">
        <v>60</v>
      </c>
      <c r="E231" s="1113">
        <v>59</v>
      </c>
      <c r="F231" s="1113">
        <v>64</v>
      </c>
      <c r="G231" s="1055">
        <v>68</v>
      </c>
      <c r="H231" s="1055">
        <v>70</v>
      </c>
      <c r="I231" s="1055">
        <v>69</v>
      </c>
      <c r="J231" s="68">
        <f>K231</f>
        <v>73</v>
      </c>
      <c r="K231" s="1113">
        <v>73</v>
      </c>
      <c r="L231" s="1055">
        <v>79</v>
      </c>
      <c r="M231" s="1055">
        <v>80</v>
      </c>
      <c r="N231" s="1055">
        <v>74</v>
      </c>
      <c r="O231" s="68">
        <f>P231</f>
        <v>67</v>
      </c>
      <c r="P231" s="1113">
        <v>67</v>
      </c>
      <c r="Q231" s="1055">
        <v>72</v>
      </c>
      <c r="R231" s="1055">
        <v>73</v>
      </c>
      <c r="S231" s="1055">
        <v>68</v>
      </c>
      <c r="T231" s="68">
        <f>U231</f>
        <v>80</v>
      </c>
      <c r="U231" s="1113">
        <v>80</v>
      </c>
      <c r="V231" s="1055">
        <v>80</v>
      </c>
      <c r="W231" s="1055">
        <v>77</v>
      </c>
      <c r="X231" s="1055">
        <v>68</v>
      </c>
      <c r="Y231" s="68">
        <f>Z231</f>
        <v>67</v>
      </c>
      <c r="Z231" s="1113">
        <v>67</v>
      </c>
      <c r="AA231" s="1055">
        <v>65</v>
      </c>
      <c r="AB231" s="1055">
        <v>79</v>
      </c>
      <c r="AC231" s="1055">
        <v>75</v>
      </c>
      <c r="AD231" s="68">
        <f>AE231</f>
        <v>83</v>
      </c>
      <c r="AE231" s="1113">
        <v>83</v>
      </c>
      <c r="AF231" s="1055">
        <v>95</v>
      </c>
      <c r="AG231" s="1055">
        <v>84</v>
      </c>
      <c r="AH231" s="1055">
        <v>73</v>
      </c>
      <c r="AI231" s="68">
        <f>AJ231</f>
        <v>65</v>
      </c>
      <c r="AJ231" s="1113">
        <v>65</v>
      </c>
      <c r="AK231" s="1055">
        <v>64</v>
      </c>
      <c r="AL231" s="1055">
        <v>86</v>
      </c>
      <c r="AM231" s="1055">
        <v>102</v>
      </c>
      <c r="AN231" s="68">
        <f>AO231</f>
        <v>143</v>
      </c>
      <c r="AO231" s="1113">
        <v>143</v>
      </c>
      <c r="AP231" s="1055">
        <v>140</v>
      </c>
      <c r="AQ231" s="1055">
        <v>106</v>
      </c>
      <c r="AR231" s="1055">
        <v>87</v>
      </c>
      <c r="AS231" s="68">
        <f>AT231</f>
        <v>82</v>
      </c>
      <c r="AT231" s="1113">
        <v>82</v>
      </c>
      <c r="AU231" s="1055">
        <v>95</v>
      </c>
      <c r="AV231" s="1055">
        <v>80</v>
      </c>
      <c r="AW231" s="1055">
        <v>77</v>
      </c>
      <c r="AX231" s="68">
        <f>AY231</f>
        <v>97</v>
      </c>
      <c r="AY231" s="1113">
        <v>97</v>
      </c>
      <c r="AZ231" s="1055">
        <v>89</v>
      </c>
      <c r="BA231" s="1055">
        <v>84</v>
      </c>
      <c r="BB231" s="1055">
        <v>82</v>
      </c>
      <c r="BC231" s="68">
        <f>BD231</f>
        <v>90</v>
      </c>
      <c r="BD231" s="1113">
        <v>90</v>
      </c>
      <c r="BE231" s="1055">
        <v>101</v>
      </c>
      <c r="BF231" s="1055">
        <v>93</v>
      </c>
      <c r="BG231" s="1055">
        <v>147</v>
      </c>
      <c r="BH231" s="68">
        <f>BI231</f>
        <v>212</v>
      </c>
      <c r="BI231" s="1113">
        <v>212</v>
      </c>
      <c r="BJ231" s="1055">
        <v>165</v>
      </c>
      <c r="BK231" s="1055">
        <v>97</v>
      </c>
      <c r="BL231" s="1055">
        <v>92</v>
      </c>
      <c r="BM231" s="68">
        <f>BN231</f>
        <v>90</v>
      </c>
      <c r="BN231" s="1113">
        <v>90</v>
      </c>
      <c r="BO231" s="1055">
        <v>95</v>
      </c>
      <c r="BP231" s="1055">
        <v>81</v>
      </c>
      <c r="BQ231" s="1055">
        <v>78</v>
      </c>
      <c r="BR231" s="68">
        <f>BS231</f>
        <v>86</v>
      </c>
      <c r="BS231" s="1113">
        <v>86</v>
      </c>
      <c r="BT231" s="1055">
        <v>59</v>
      </c>
      <c r="BU231" s="68"/>
      <c r="BV231" s="68"/>
      <c r="BW231" s="68"/>
      <c r="BX231" s="1112"/>
      <c r="BY231" s="588"/>
      <c r="BZ231" s="68"/>
      <c r="CA231" s="68"/>
      <c r="CB231" s="68"/>
      <c r="CC231" s="1112"/>
      <c r="CD231" s="68"/>
      <c r="CE231" s="68"/>
      <c r="CF231" s="68"/>
      <c r="CG231" s="68"/>
      <c r="CH231" s="1112"/>
      <c r="CI231" s="1112"/>
      <c r="CJ231" s="1112"/>
      <c r="CK231" s="1112"/>
      <c r="CL231" s="155"/>
    </row>
    <row r="232" spans="1:90" hidden="1" outlineLevel="1" x14ac:dyDescent="0.3">
      <c r="A232" s="605"/>
      <c r="B232" s="606"/>
      <c r="C232" s="1136"/>
      <c r="D232" s="1136"/>
      <c r="E232" s="1136"/>
      <c r="F232" s="1136"/>
      <c r="G232" s="93"/>
      <c r="H232" s="93"/>
      <c r="I232" s="93"/>
      <c r="J232" s="93"/>
      <c r="K232" s="1136"/>
      <c r="L232" s="93"/>
      <c r="M232" s="93"/>
      <c r="N232" s="93"/>
      <c r="O232" s="93"/>
      <c r="P232" s="1136"/>
      <c r="Q232" s="93"/>
      <c r="R232" s="93"/>
      <c r="S232" s="93"/>
      <c r="T232" s="93"/>
      <c r="U232" s="1136"/>
      <c r="V232" s="93"/>
      <c r="W232" s="93"/>
      <c r="X232" s="93"/>
      <c r="Y232" s="93"/>
      <c r="Z232" s="1136"/>
      <c r="AA232" s="93"/>
      <c r="AB232" s="93"/>
      <c r="AC232" s="93"/>
      <c r="AD232" s="93"/>
      <c r="AE232" s="1136"/>
      <c r="AF232" s="93"/>
      <c r="AG232" s="93"/>
      <c r="AH232" s="93"/>
      <c r="AI232" s="93"/>
      <c r="AJ232" s="1136"/>
      <c r="AK232" s="93"/>
      <c r="AL232" s="93"/>
      <c r="AM232" s="93"/>
      <c r="AN232" s="93"/>
      <c r="AO232" s="1136"/>
      <c r="AP232" s="93"/>
      <c r="AQ232" s="93"/>
      <c r="AR232" s="93"/>
      <c r="AS232" s="93"/>
      <c r="AT232" s="1136"/>
      <c r="AU232" s="93"/>
      <c r="AV232" s="93"/>
      <c r="AW232" s="93"/>
      <c r="AX232" s="93"/>
      <c r="AY232" s="1136"/>
      <c r="AZ232" s="93"/>
      <c r="BA232" s="93"/>
      <c r="BB232" s="93"/>
      <c r="BC232" s="93"/>
      <c r="BD232" s="1136"/>
      <c r="BE232" s="93"/>
      <c r="BF232" s="93"/>
      <c r="BG232" s="93"/>
      <c r="BH232" s="93"/>
      <c r="BI232" s="1136"/>
      <c r="BJ232" s="93"/>
      <c r="BK232" s="93"/>
      <c r="BL232" s="93"/>
      <c r="BM232" s="93"/>
      <c r="BN232" s="1136"/>
      <c r="BO232" s="93"/>
      <c r="BP232" s="93"/>
      <c r="BQ232" s="93"/>
      <c r="BR232" s="93"/>
      <c r="BS232" s="1136"/>
      <c r="BT232" s="93"/>
      <c r="BU232" s="93"/>
      <c r="BV232" s="93"/>
      <c r="BW232" s="93"/>
      <c r="BX232" s="1136"/>
      <c r="BY232" s="522"/>
      <c r="BZ232" s="93"/>
      <c r="CA232" s="93"/>
      <c r="CB232" s="93"/>
      <c r="CC232" s="1136"/>
      <c r="CD232" s="93"/>
      <c r="CE232" s="93"/>
      <c r="CF232" s="93"/>
      <c r="CG232" s="93"/>
      <c r="CH232" s="1136"/>
      <c r="CI232" s="1136"/>
      <c r="CJ232" s="1136"/>
      <c r="CK232" s="1136"/>
      <c r="CL232" s="155"/>
    </row>
    <row r="233" spans="1:90" hidden="1" outlineLevel="1" x14ac:dyDescent="0.3">
      <c r="A233" s="45" t="s">
        <v>1104</v>
      </c>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45"/>
      <c r="BJ233" s="45"/>
      <c r="BK233" s="45"/>
      <c r="BL233" s="45"/>
      <c r="BM233" s="45"/>
      <c r="BN233" s="45"/>
      <c r="BO233" s="45"/>
      <c r="BP233" s="45"/>
      <c r="BQ233" s="45"/>
      <c r="BR233" s="45"/>
      <c r="BS233" s="45"/>
      <c r="BT233" s="45"/>
      <c r="BU233" s="45"/>
      <c r="BV233" s="45"/>
      <c r="BW233" s="45"/>
      <c r="BX233" s="45"/>
      <c r="BY233" s="881"/>
      <c r="BZ233" s="45"/>
      <c r="CA233" s="45"/>
      <c r="CB233" s="45"/>
      <c r="CC233" s="45"/>
      <c r="CD233" s="45"/>
      <c r="CE233" s="45"/>
      <c r="CF233" s="45"/>
      <c r="CG233" s="45"/>
      <c r="CH233" s="45"/>
      <c r="CI233" s="45"/>
      <c r="CJ233" s="45"/>
      <c r="CK233" s="45"/>
      <c r="CL233" s="155"/>
    </row>
    <row r="234" spans="1:90" s="227" customFormat="1" hidden="1" outlineLevel="1" x14ac:dyDescent="0.3">
      <c r="A234" s="99" t="s">
        <v>1110</v>
      </c>
      <c r="B234" s="602"/>
      <c r="C234" s="1112"/>
      <c r="D234" s="1112"/>
      <c r="E234" s="1112"/>
      <c r="F234" s="1112"/>
      <c r="G234" s="68"/>
      <c r="H234" s="68"/>
      <c r="I234" s="68"/>
      <c r="J234" s="68"/>
      <c r="K234" s="1112"/>
      <c r="L234" s="68"/>
      <c r="M234" s="68"/>
      <c r="N234" s="68"/>
      <c r="O234" s="68"/>
      <c r="P234" s="1112"/>
      <c r="Q234" s="68"/>
      <c r="R234" s="68"/>
      <c r="S234" s="68"/>
      <c r="T234" s="68"/>
      <c r="U234" s="1112"/>
      <c r="V234" s="68"/>
      <c r="W234" s="68"/>
      <c r="X234" s="68"/>
      <c r="Y234" s="68"/>
      <c r="Z234" s="1112"/>
      <c r="AA234" s="68"/>
      <c r="AB234" s="68"/>
      <c r="AC234" s="68"/>
      <c r="AD234" s="68"/>
      <c r="AE234" s="1112"/>
      <c r="AF234" s="68"/>
      <c r="AG234" s="68"/>
      <c r="AH234" s="68"/>
      <c r="AI234" s="68"/>
      <c r="AJ234" s="1112"/>
      <c r="AK234" s="68"/>
      <c r="AL234" s="68"/>
      <c r="AM234" s="68"/>
      <c r="AN234" s="68"/>
      <c r="AO234" s="1112"/>
      <c r="AP234" s="68"/>
      <c r="AQ234" s="68"/>
      <c r="AR234" s="68"/>
      <c r="AS234" s="68"/>
      <c r="AT234" s="1112"/>
      <c r="AU234" s="68"/>
      <c r="AV234" s="68"/>
      <c r="AW234" s="68"/>
      <c r="AX234" s="68"/>
      <c r="AY234" s="1112"/>
      <c r="AZ234" s="68"/>
      <c r="BA234" s="68"/>
      <c r="BB234" s="68"/>
      <c r="BC234" s="68"/>
      <c r="BD234" s="1112"/>
      <c r="BE234" s="68"/>
      <c r="BF234" s="68"/>
      <c r="BG234" s="1055">
        <v>150</v>
      </c>
      <c r="BH234" s="1055">
        <v>150</v>
      </c>
      <c r="BI234" s="1112"/>
      <c r="BJ234" s="1055">
        <v>150</v>
      </c>
      <c r="BK234" s="1055">
        <v>150</v>
      </c>
      <c r="BL234" s="1055">
        <v>150</v>
      </c>
      <c r="BM234" s="68"/>
      <c r="BN234" s="1112"/>
      <c r="BO234" s="68"/>
      <c r="BP234" s="68"/>
      <c r="BQ234" s="68"/>
      <c r="BR234" s="68"/>
      <c r="BS234" s="1112"/>
      <c r="BT234" s="68"/>
      <c r="BU234" s="68"/>
      <c r="BV234" s="68"/>
      <c r="BW234" s="68"/>
      <c r="BX234" s="1112"/>
      <c r="BY234" s="588"/>
      <c r="BZ234" s="68"/>
      <c r="CA234" s="68"/>
      <c r="CB234" s="68"/>
      <c r="CC234" s="1112"/>
      <c r="CD234" s="68"/>
      <c r="CE234" s="68"/>
      <c r="CF234" s="68"/>
      <c r="CG234" s="68"/>
      <c r="CH234" s="1112"/>
      <c r="CI234" s="1112"/>
      <c r="CJ234" s="1112"/>
      <c r="CK234" s="1112"/>
      <c r="CL234" s="27"/>
    </row>
    <row r="235" spans="1:90" s="227" customFormat="1" hidden="1" outlineLevel="1" x14ac:dyDescent="0.3">
      <c r="A235" s="99" t="s">
        <v>1107</v>
      </c>
      <c r="B235" s="602"/>
      <c r="C235" s="1112"/>
      <c r="D235" s="1112"/>
      <c r="E235" s="1112"/>
      <c r="F235" s="1112"/>
      <c r="G235" s="68"/>
      <c r="H235" s="68"/>
      <c r="I235" s="68"/>
      <c r="J235" s="68"/>
      <c r="K235" s="1112"/>
      <c r="L235" s="68"/>
      <c r="M235" s="68"/>
      <c r="N235" s="68"/>
      <c r="O235" s="68"/>
      <c r="P235" s="1112"/>
      <c r="Q235" s="68"/>
      <c r="R235" s="68"/>
      <c r="S235" s="68"/>
      <c r="T235" s="68"/>
      <c r="U235" s="1112"/>
      <c r="V235" s="68"/>
      <c r="W235" s="68"/>
      <c r="X235" s="68"/>
      <c r="Y235" s="68"/>
      <c r="Z235" s="1112"/>
      <c r="AA235" s="68"/>
      <c r="AB235" s="68"/>
      <c r="AC235" s="68"/>
      <c r="AD235" s="68"/>
      <c r="AE235" s="1112"/>
      <c r="AF235" s="68"/>
      <c r="AG235" s="68"/>
      <c r="AH235" s="68"/>
      <c r="AI235" s="68"/>
      <c r="AJ235" s="1112"/>
      <c r="AK235" s="68"/>
      <c r="AL235" s="68"/>
      <c r="AM235" s="68"/>
      <c r="AN235" s="68"/>
      <c r="AO235" s="1112"/>
      <c r="AP235" s="68"/>
      <c r="AQ235" s="68"/>
      <c r="AR235" s="68"/>
      <c r="AS235" s="68"/>
      <c r="AT235" s="1112"/>
      <c r="AU235" s="68"/>
      <c r="AV235" s="68"/>
      <c r="AW235" s="68"/>
      <c r="AX235" s="68"/>
      <c r="AY235" s="1112"/>
      <c r="AZ235" s="68"/>
      <c r="BA235" s="68"/>
      <c r="BB235" s="68"/>
      <c r="BC235" s="68"/>
      <c r="BD235" s="1112"/>
      <c r="BE235" s="68"/>
      <c r="BF235" s="68"/>
      <c r="BG235" s="1055">
        <v>300</v>
      </c>
      <c r="BH235" s="1055">
        <v>300</v>
      </c>
      <c r="BI235" s="1112"/>
      <c r="BJ235" s="1055">
        <v>300</v>
      </c>
      <c r="BK235" s="1055">
        <v>300</v>
      </c>
      <c r="BL235" s="1055">
        <v>300</v>
      </c>
      <c r="BM235" s="68"/>
      <c r="BN235" s="1112"/>
      <c r="BO235" s="68"/>
      <c r="BP235" s="68"/>
      <c r="BQ235" s="68"/>
      <c r="BR235" s="68"/>
      <c r="BS235" s="1112"/>
      <c r="BT235" s="68"/>
      <c r="BU235" s="68"/>
      <c r="BV235" s="68"/>
      <c r="BW235" s="68"/>
      <c r="BX235" s="1112"/>
      <c r="BY235" s="588"/>
      <c r="BZ235" s="68"/>
      <c r="CA235" s="68"/>
      <c r="CB235" s="68"/>
      <c r="CC235" s="1112"/>
      <c r="CD235" s="68"/>
      <c r="CE235" s="68"/>
      <c r="CF235" s="68"/>
      <c r="CG235" s="68"/>
      <c r="CH235" s="1112"/>
      <c r="CI235" s="1112"/>
      <c r="CJ235" s="1112"/>
      <c r="CK235" s="1112"/>
      <c r="CL235" s="27"/>
    </row>
    <row r="236" spans="1:90" s="227" customFormat="1" hidden="1" outlineLevel="1" x14ac:dyDescent="0.3">
      <c r="A236" s="99" t="s">
        <v>1106</v>
      </c>
      <c r="B236" s="602"/>
      <c r="C236" s="1112"/>
      <c r="D236" s="1112"/>
      <c r="E236" s="1112"/>
      <c r="F236" s="1112"/>
      <c r="G236" s="68"/>
      <c r="H236" s="68"/>
      <c r="I236" s="68"/>
      <c r="J236" s="68"/>
      <c r="K236" s="1112"/>
      <c r="L236" s="68"/>
      <c r="M236" s="68"/>
      <c r="N236" s="68"/>
      <c r="O236" s="68"/>
      <c r="P236" s="1112"/>
      <c r="Q236" s="68"/>
      <c r="R236" s="68"/>
      <c r="S236" s="68"/>
      <c r="T236" s="68"/>
      <c r="U236" s="1112"/>
      <c r="V236" s="68"/>
      <c r="W236" s="68"/>
      <c r="X236" s="68"/>
      <c r="Y236" s="68"/>
      <c r="Z236" s="1112"/>
      <c r="AA236" s="68"/>
      <c r="AB236" s="68"/>
      <c r="AC236" s="68"/>
      <c r="AD236" s="68"/>
      <c r="AE236" s="1112"/>
      <c r="AF236" s="68"/>
      <c r="AG236" s="68"/>
      <c r="AH236" s="68"/>
      <c r="AI236" s="68"/>
      <c r="AJ236" s="1112"/>
      <c r="AK236" s="68"/>
      <c r="AL236" s="68"/>
      <c r="AM236" s="68"/>
      <c r="AN236" s="68"/>
      <c r="AO236" s="1112"/>
      <c r="AP236" s="68"/>
      <c r="AQ236" s="68"/>
      <c r="AR236" s="68"/>
      <c r="AS236" s="68"/>
      <c r="AT236" s="1112"/>
      <c r="AU236" s="68"/>
      <c r="AV236" s="68"/>
      <c r="AW236" s="68"/>
      <c r="AX236" s="68"/>
      <c r="AY236" s="1112"/>
      <c r="AZ236" s="68"/>
      <c r="BA236" s="68"/>
      <c r="BB236" s="68"/>
      <c r="BC236" s="68"/>
      <c r="BD236" s="1112"/>
      <c r="BE236" s="68"/>
      <c r="BF236" s="68"/>
      <c r="BG236" s="1055">
        <v>150</v>
      </c>
      <c r="BH236" s="1055">
        <v>150</v>
      </c>
      <c r="BI236" s="1112"/>
      <c r="BJ236" s="1055">
        <v>150</v>
      </c>
      <c r="BK236" s="1055">
        <v>150</v>
      </c>
      <c r="BL236" s="1055">
        <v>150</v>
      </c>
      <c r="BM236" s="68"/>
      <c r="BN236" s="1112"/>
      <c r="BO236" s="68"/>
      <c r="BP236" s="68"/>
      <c r="BQ236" s="68"/>
      <c r="BR236" s="68"/>
      <c r="BS236" s="1112"/>
      <c r="BT236" s="68"/>
      <c r="BU236" s="68"/>
      <c r="BV236" s="68"/>
      <c r="BW236" s="68"/>
      <c r="BX236" s="1112"/>
      <c r="BY236" s="588"/>
      <c r="BZ236" s="68"/>
      <c r="CA236" s="68"/>
      <c r="CB236" s="68"/>
      <c r="CC236" s="1112"/>
      <c r="CD236" s="68"/>
      <c r="CE236" s="68"/>
      <c r="CF236" s="68"/>
      <c r="CG236" s="68"/>
      <c r="CH236" s="1112"/>
      <c r="CI236" s="1112"/>
      <c r="CJ236" s="1112"/>
      <c r="CK236" s="1112"/>
      <c r="CL236" s="27"/>
    </row>
    <row r="237" spans="1:90" s="227" customFormat="1" hidden="1" outlineLevel="1" x14ac:dyDescent="0.3">
      <c r="A237" s="99" t="s">
        <v>1108</v>
      </c>
      <c r="B237" s="602"/>
      <c r="C237" s="1112"/>
      <c r="D237" s="1112"/>
      <c r="E237" s="1112"/>
      <c r="F237" s="1112"/>
      <c r="G237" s="68"/>
      <c r="H237" s="68"/>
      <c r="I237" s="68"/>
      <c r="J237" s="68"/>
      <c r="K237" s="1112"/>
      <c r="L237" s="68"/>
      <c r="M237" s="68"/>
      <c r="N237" s="68"/>
      <c r="O237" s="68"/>
      <c r="P237" s="1112"/>
      <c r="Q237" s="68"/>
      <c r="R237" s="68"/>
      <c r="S237" s="68"/>
      <c r="T237" s="68"/>
      <c r="U237" s="1112"/>
      <c r="V237" s="68"/>
      <c r="W237" s="68"/>
      <c r="X237" s="68"/>
      <c r="Y237" s="68"/>
      <c r="Z237" s="1112"/>
      <c r="AA237" s="68"/>
      <c r="AB237" s="68"/>
      <c r="AC237" s="68"/>
      <c r="AD237" s="68"/>
      <c r="AE237" s="1112"/>
      <c r="AF237" s="68"/>
      <c r="AG237" s="68"/>
      <c r="AH237" s="68"/>
      <c r="AI237" s="68"/>
      <c r="AJ237" s="1112"/>
      <c r="AK237" s="68"/>
      <c r="AL237" s="68"/>
      <c r="AM237" s="68"/>
      <c r="AN237" s="68"/>
      <c r="AO237" s="1112"/>
      <c r="AP237" s="68"/>
      <c r="AQ237" s="68"/>
      <c r="AR237" s="68"/>
      <c r="AS237" s="68"/>
      <c r="AT237" s="1112"/>
      <c r="AU237" s="68"/>
      <c r="AV237" s="68"/>
      <c r="AW237" s="68"/>
      <c r="AX237" s="68"/>
      <c r="AY237" s="1112"/>
      <c r="AZ237" s="68"/>
      <c r="BA237" s="68"/>
      <c r="BB237" s="68"/>
      <c r="BC237" s="68"/>
      <c r="BD237" s="1112"/>
      <c r="BE237" s="68"/>
      <c r="BF237" s="68"/>
      <c r="BG237" s="1055">
        <v>300</v>
      </c>
      <c r="BH237" s="1055">
        <v>300</v>
      </c>
      <c r="BI237" s="1112"/>
      <c r="BJ237" s="1055">
        <v>300</v>
      </c>
      <c r="BK237" s="1055">
        <v>300</v>
      </c>
      <c r="BL237" s="1055">
        <v>300</v>
      </c>
      <c r="BM237" s="68"/>
      <c r="BN237" s="1112"/>
      <c r="BO237" s="68"/>
      <c r="BP237" s="68"/>
      <c r="BQ237" s="68"/>
      <c r="BR237" s="68"/>
      <c r="BS237" s="1112"/>
      <c r="BT237" s="68"/>
      <c r="BU237" s="68"/>
      <c r="BV237" s="68"/>
      <c r="BW237" s="68"/>
      <c r="BX237" s="1112"/>
      <c r="BY237" s="588"/>
      <c r="BZ237" s="68"/>
      <c r="CA237" s="68"/>
      <c r="CB237" s="68"/>
      <c r="CC237" s="1112"/>
      <c r="CD237" s="68"/>
      <c r="CE237" s="68"/>
      <c r="CF237" s="68"/>
      <c r="CG237" s="68"/>
      <c r="CH237" s="1112"/>
      <c r="CI237" s="1112"/>
      <c r="CJ237" s="1112"/>
      <c r="CK237" s="1112"/>
      <c r="CL237" s="27"/>
    </row>
    <row r="238" spans="1:90" s="227" customFormat="1" hidden="1" outlineLevel="1" x14ac:dyDescent="0.3">
      <c r="A238" s="99" t="s">
        <v>1109</v>
      </c>
      <c r="B238" s="602"/>
      <c r="C238" s="1112"/>
      <c r="D238" s="1112"/>
      <c r="E238" s="1112"/>
      <c r="F238" s="1112"/>
      <c r="G238" s="68"/>
      <c r="H238" s="68"/>
      <c r="I238" s="68"/>
      <c r="J238" s="68"/>
      <c r="K238" s="1112"/>
      <c r="L238" s="68"/>
      <c r="M238" s="68"/>
      <c r="N238" s="68"/>
      <c r="O238" s="68"/>
      <c r="P238" s="1112"/>
      <c r="Q238" s="68"/>
      <c r="R238" s="68"/>
      <c r="S238" s="68"/>
      <c r="T238" s="68"/>
      <c r="U238" s="1112"/>
      <c r="V238" s="68"/>
      <c r="W238" s="68"/>
      <c r="X238" s="68"/>
      <c r="Y238" s="68"/>
      <c r="Z238" s="1112"/>
      <c r="AA238" s="68"/>
      <c r="AB238" s="68"/>
      <c r="AC238" s="68"/>
      <c r="AD238" s="68"/>
      <c r="AE238" s="1112"/>
      <c r="AF238" s="68"/>
      <c r="AG238" s="68"/>
      <c r="AH238" s="68"/>
      <c r="AI238" s="68"/>
      <c r="AJ238" s="1112"/>
      <c r="AK238" s="68"/>
      <c r="AL238" s="68"/>
      <c r="AM238" s="68"/>
      <c r="AN238" s="68"/>
      <c r="AO238" s="1112"/>
      <c r="AP238" s="68"/>
      <c r="AQ238" s="68"/>
      <c r="AR238" s="68"/>
      <c r="AS238" s="68"/>
      <c r="AT238" s="1112"/>
      <c r="AU238" s="68"/>
      <c r="AV238" s="68"/>
      <c r="AW238" s="68"/>
      <c r="AX238" s="68"/>
      <c r="AY238" s="1112"/>
      <c r="AZ238" s="68"/>
      <c r="BA238" s="68"/>
      <c r="BB238" s="68"/>
      <c r="BC238" s="68"/>
      <c r="BD238" s="1112"/>
      <c r="BE238" s="68"/>
      <c r="BF238" s="68"/>
      <c r="BG238" s="1055">
        <v>100</v>
      </c>
      <c r="BH238" s="1055">
        <v>100</v>
      </c>
      <c r="BI238" s="1112"/>
      <c r="BJ238" s="1055">
        <v>100</v>
      </c>
      <c r="BK238" s="1055">
        <v>100</v>
      </c>
      <c r="BL238" s="1055">
        <v>100</v>
      </c>
      <c r="BM238" s="68"/>
      <c r="BN238" s="1112"/>
      <c r="BO238" s="68"/>
      <c r="BP238" s="68"/>
      <c r="BQ238" s="68"/>
      <c r="BR238" s="68"/>
      <c r="BS238" s="1112"/>
      <c r="BT238" s="68"/>
      <c r="BU238" s="68"/>
      <c r="BV238" s="68"/>
      <c r="BW238" s="68"/>
      <c r="BX238" s="1112"/>
      <c r="BY238" s="588"/>
      <c r="BZ238" s="68"/>
      <c r="CA238" s="68"/>
      <c r="CB238" s="68"/>
      <c r="CC238" s="1112"/>
      <c r="CD238" s="68"/>
      <c r="CE238" s="68"/>
      <c r="CF238" s="68"/>
      <c r="CG238" s="68"/>
      <c r="CH238" s="1112"/>
      <c r="CI238" s="1112"/>
      <c r="CJ238" s="1112"/>
      <c r="CK238" s="1112"/>
      <c r="CL238" s="27"/>
    </row>
    <row r="239" spans="1:90" s="227" customFormat="1" hidden="1" outlineLevel="1" x14ac:dyDescent="0.3">
      <c r="A239" s="631" t="s">
        <v>1105</v>
      </c>
      <c r="B239" s="604"/>
      <c r="C239" s="1124"/>
      <c r="D239" s="1124"/>
      <c r="E239" s="1124"/>
      <c r="F239" s="1124"/>
      <c r="G239" s="61"/>
      <c r="H239" s="61"/>
      <c r="I239" s="61"/>
      <c r="J239" s="61"/>
      <c r="K239" s="1124"/>
      <c r="L239" s="61"/>
      <c r="M239" s="61"/>
      <c r="N239" s="61"/>
      <c r="O239" s="61"/>
      <c r="P239" s="1124"/>
      <c r="Q239" s="61"/>
      <c r="R239" s="61"/>
      <c r="S239" s="61"/>
      <c r="T239" s="61"/>
      <c r="U239" s="1124"/>
      <c r="V239" s="61"/>
      <c r="W239" s="61"/>
      <c r="X239" s="61"/>
      <c r="Y239" s="61"/>
      <c r="Z239" s="1124"/>
      <c r="AA239" s="61"/>
      <c r="AB239" s="61"/>
      <c r="AC239" s="61"/>
      <c r="AD239" s="61"/>
      <c r="AE239" s="1124"/>
      <c r="AF239" s="61"/>
      <c r="AG239" s="61"/>
      <c r="AH239" s="61"/>
      <c r="AI239" s="61"/>
      <c r="AJ239" s="1124"/>
      <c r="AK239" s="61"/>
      <c r="AL239" s="61"/>
      <c r="AM239" s="61"/>
      <c r="AN239" s="61"/>
      <c r="AO239" s="1124"/>
      <c r="AP239" s="61"/>
      <c r="AQ239" s="61"/>
      <c r="AR239" s="61"/>
      <c r="AS239" s="61"/>
      <c r="AT239" s="1124"/>
      <c r="AU239" s="61"/>
      <c r="AV239" s="61"/>
      <c r="AW239" s="61"/>
      <c r="AX239" s="61"/>
      <c r="AY239" s="1124"/>
      <c r="AZ239" s="61"/>
      <c r="BA239" s="61"/>
      <c r="BB239" s="61"/>
      <c r="BC239" s="61"/>
      <c r="BD239" s="1124"/>
      <c r="BE239" s="61"/>
      <c r="BF239" s="61"/>
      <c r="BG239" s="61">
        <f>SUM(BG234:BG238)</f>
        <v>1000</v>
      </c>
      <c r="BH239" s="61">
        <f>SUM(BH234:BH238)</f>
        <v>1000</v>
      </c>
      <c r="BI239" s="1124"/>
      <c r="BJ239" s="61">
        <f>SUM(BJ234:BJ238)</f>
        <v>1000</v>
      </c>
      <c r="BK239" s="61">
        <f>SUM(BK234:BK238)</f>
        <v>1000</v>
      </c>
      <c r="BL239" s="61">
        <f>SUM(BL234:BL238)</f>
        <v>1000</v>
      </c>
      <c r="BM239" s="61"/>
      <c r="BN239" s="1124"/>
      <c r="BO239" s="61"/>
      <c r="BP239" s="61"/>
      <c r="BQ239" s="61"/>
      <c r="BR239" s="61"/>
      <c r="BS239" s="1124"/>
      <c r="BT239" s="61"/>
      <c r="BU239" s="61"/>
      <c r="BV239" s="61"/>
      <c r="BW239" s="61"/>
      <c r="BX239" s="1124"/>
      <c r="BY239" s="896"/>
      <c r="BZ239" s="61"/>
      <c r="CA239" s="61"/>
      <c r="CB239" s="61"/>
      <c r="CC239" s="1124"/>
      <c r="CD239" s="61"/>
      <c r="CE239" s="61"/>
      <c r="CF239" s="61"/>
      <c r="CG239" s="61"/>
      <c r="CH239" s="1124"/>
      <c r="CI239" s="1124"/>
      <c r="CJ239" s="1124"/>
      <c r="CK239" s="1124"/>
      <c r="CL239" s="27"/>
    </row>
    <row r="240" spans="1:90" hidden="1" outlineLevel="1" x14ac:dyDescent="0.3">
      <c r="A240" s="605"/>
      <c r="B240" s="606"/>
      <c r="C240" s="1136"/>
      <c r="D240" s="1136"/>
      <c r="E240" s="1136"/>
      <c r="F240" s="1136"/>
      <c r="G240" s="93"/>
      <c r="H240" s="93"/>
      <c r="I240" s="93"/>
      <c r="J240" s="93"/>
      <c r="K240" s="1136"/>
      <c r="L240" s="93"/>
      <c r="M240" s="93"/>
      <c r="N240" s="93"/>
      <c r="O240" s="93"/>
      <c r="P240" s="1136"/>
      <c r="Q240" s="93"/>
      <c r="R240" s="93"/>
      <c r="S240" s="93"/>
      <c r="T240" s="93"/>
      <c r="U240" s="1136"/>
      <c r="V240" s="93"/>
      <c r="W240" s="93"/>
      <c r="X240" s="93"/>
      <c r="Y240" s="93"/>
      <c r="Z240" s="1136"/>
      <c r="AA240" s="93"/>
      <c r="AB240" s="93"/>
      <c r="AC240" s="93"/>
      <c r="AD240" s="93"/>
      <c r="AE240" s="1136"/>
      <c r="AF240" s="93"/>
      <c r="AG240" s="93"/>
      <c r="AH240" s="93"/>
      <c r="AI240" s="93"/>
      <c r="AJ240" s="1136"/>
      <c r="AK240" s="93"/>
      <c r="AL240" s="93"/>
      <c r="AM240" s="93"/>
      <c r="AN240" s="93"/>
      <c r="AO240" s="1136"/>
      <c r="AP240" s="93"/>
      <c r="AQ240" s="93"/>
      <c r="AR240" s="93"/>
      <c r="AS240" s="93"/>
      <c r="AT240" s="1136"/>
      <c r="AU240" s="93"/>
      <c r="AV240" s="93"/>
      <c r="AW240" s="93"/>
      <c r="AX240" s="93"/>
      <c r="AY240" s="1136"/>
      <c r="AZ240" s="93"/>
      <c r="BA240" s="93"/>
      <c r="BB240" s="93"/>
      <c r="BC240" s="93"/>
      <c r="BD240" s="1136"/>
      <c r="BE240" s="93"/>
      <c r="BF240" s="93"/>
      <c r="BG240" s="93"/>
      <c r="BH240" s="93"/>
      <c r="BI240" s="1136"/>
      <c r="BJ240" s="93"/>
      <c r="BK240" s="93"/>
      <c r="BL240" s="93"/>
      <c r="BM240" s="93"/>
      <c r="BN240" s="1136"/>
      <c r="BO240" s="93"/>
      <c r="BP240" s="93"/>
      <c r="BQ240" s="93"/>
      <c r="BR240" s="93"/>
      <c r="BS240" s="1136"/>
      <c r="BT240" s="93"/>
      <c r="BU240" s="93"/>
      <c r="BV240" s="93"/>
      <c r="BW240" s="93"/>
      <c r="BX240" s="1136"/>
      <c r="BY240" s="522"/>
      <c r="BZ240" s="93"/>
      <c r="CA240" s="93"/>
      <c r="CB240" s="93"/>
      <c r="CC240" s="1136"/>
      <c r="CD240" s="93"/>
      <c r="CE240" s="93"/>
      <c r="CF240" s="93"/>
      <c r="CG240" s="93"/>
      <c r="CH240" s="1136"/>
      <c r="CI240" s="1136"/>
      <c r="CJ240" s="1136"/>
      <c r="CK240" s="1136"/>
      <c r="CL240" s="155"/>
    </row>
    <row r="241" spans="1:90" hidden="1" outlineLevel="1" x14ac:dyDescent="0.3">
      <c r="A241" s="45" t="s">
        <v>657</v>
      </c>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45"/>
      <c r="BJ241" s="45"/>
      <c r="BK241" s="45"/>
      <c r="BL241" s="45"/>
      <c r="BM241" s="45"/>
      <c r="BN241" s="45"/>
      <c r="BO241" s="45"/>
      <c r="BP241" s="45"/>
      <c r="BQ241" s="45"/>
      <c r="BR241" s="45"/>
      <c r="BS241" s="45"/>
      <c r="BT241" s="45"/>
      <c r="BU241" s="45"/>
      <c r="BV241" s="45"/>
      <c r="BW241" s="45"/>
      <c r="BX241" s="45"/>
      <c r="BY241" s="881"/>
      <c r="BZ241" s="45"/>
      <c r="CA241" s="45"/>
      <c r="CB241" s="45"/>
      <c r="CC241" s="45"/>
      <c r="CD241" s="45"/>
      <c r="CE241" s="45"/>
      <c r="CF241" s="45"/>
      <c r="CG241" s="45"/>
      <c r="CH241" s="45"/>
      <c r="CI241" s="45"/>
      <c r="CJ241" s="45"/>
      <c r="CK241" s="45"/>
      <c r="CL241" s="155"/>
    </row>
    <row r="242" spans="1:90" hidden="1" outlineLevel="1" x14ac:dyDescent="0.3">
      <c r="A242" s="99" t="s">
        <v>654</v>
      </c>
      <c r="B242" s="602"/>
      <c r="C242" s="1113">
        <v>3772</v>
      </c>
      <c r="D242" s="1113">
        <v>3940</v>
      </c>
      <c r="E242" s="1113">
        <v>4161</v>
      </c>
      <c r="F242" s="1113">
        <v>5042</v>
      </c>
      <c r="G242" s="68"/>
      <c r="H242" s="68"/>
      <c r="I242" s="68"/>
      <c r="J242" s="68"/>
      <c r="K242" s="1113">
        <v>5783</v>
      </c>
      <c r="L242" s="68"/>
      <c r="M242" s="68"/>
      <c r="N242" s="68"/>
      <c r="O242" s="68"/>
      <c r="P242" s="1113">
        <v>6384</v>
      </c>
      <c r="Q242" s="68"/>
      <c r="R242" s="68"/>
      <c r="S242" s="68"/>
      <c r="T242" s="68"/>
      <c r="U242" s="1113">
        <v>6658</v>
      </c>
      <c r="V242" s="68"/>
      <c r="W242" s="68"/>
      <c r="X242" s="68"/>
      <c r="Y242" s="68"/>
      <c r="Z242" s="1113">
        <v>6566</v>
      </c>
      <c r="AA242" s="68"/>
      <c r="AB242" s="68"/>
      <c r="AC242" s="68"/>
      <c r="AD242" s="68"/>
      <c r="AE242" s="1113">
        <v>7282</v>
      </c>
      <c r="AF242" s="68"/>
      <c r="AG242" s="68"/>
      <c r="AH242" s="68"/>
      <c r="AI242" s="68"/>
      <c r="AJ242" s="1113">
        <v>8191</v>
      </c>
      <c r="AK242" s="68"/>
      <c r="AL242" s="68"/>
      <c r="AM242" s="68"/>
      <c r="AN242" s="68"/>
      <c r="AO242" s="1113">
        <v>9486</v>
      </c>
      <c r="AP242" s="68"/>
      <c r="AQ242" s="68"/>
      <c r="AR242" s="68"/>
      <c r="AS242" s="68"/>
      <c r="AT242" s="1113">
        <v>9823</v>
      </c>
      <c r="AU242" s="68"/>
      <c r="AV242" s="68"/>
      <c r="AW242" s="68"/>
      <c r="AX242" s="68"/>
      <c r="AY242" s="1113">
        <v>13532</v>
      </c>
      <c r="AZ242" s="68"/>
      <c r="BA242" s="68"/>
      <c r="BB242" s="68"/>
      <c r="BC242" s="68"/>
      <c r="BD242" s="1113">
        <v>16242</v>
      </c>
      <c r="BE242" s="68"/>
      <c r="BF242" s="68"/>
      <c r="BG242" s="68"/>
      <c r="BH242" s="68"/>
      <c r="BI242" s="1113">
        <v>19532</v>
      </c>
      <c r="BJ242" s="68"/>
      <c r="BK242" s="68"/>
      <c r="BL242" s="68"/>
      <c r="BM242" s="68"/>
      <c r="BN242" s="1113">
        <v>22200</v>
      </c>
      <c r="BO242" s="68"/>
      <c r="BP242" s="68"/>
      <c r="BQ242" s="68"/>
      <c r="BR242" s="68"/>
      <c r="BS242" s="1113">
        <v>27100</v>
      </c>
      <c r="BT242" s="68"/>
      <c r="BU242" s="68"/>
      <c r="BV242" s="68"/>
      <c r="BW242" s="68"/>
      <c r="BX242" s="1113">
        <v>31000</v>
      </c>
      <c r="BY242" s="588"/>
      <c r="BZ242" s="68"/>
      <c r="CA242" s="68"/>
      <c r="CB242" s="68"/>
      <c r="CC242" s="1112"/>
      <c r="CD242" s="68"/>
      <c r="CE242" s="68"/>
      <c r="CF242" s="68"/>
      <c r="CG242" s="68"/>
      <c r="CH242" s="1112"/>
      <c r="CI242" s="1112"/>
      <c r="CJ242" s="1112"/>
      <c r="CK242" s="1112"/>
      <c r="CL242" s="155"/>
    </row>
    <row r="243" spans="1:90" hidden="1" outlineLevel="1" x14ac:dyDescent="0.3">
      <c r="A243" s="99" t="s">
        <v>655</v>
      </c>
      <c r="B243" s="602"/>
      <c r="C243" s="1113">
        <v>1648</v>
      </c>
      <c r="D243" s="1113">
        <v>1766</v>
      </c>
      <c r="E243" s="1113">
        <v>1868</v>
      </c>
      <c r="F243" s="1113">
        <v>2091</v>
      </c>
      <c r="G243" s="68"/>
      <c r="H243" s="68"/>
      <c r="I243" s="68"/>
      <c r="J243" s="68"/>
      <c r="K243" s="1113">
        <v>2191</v>
      </c>
      <c r="L243" s="68"/>
      <c r="M243" s="68"/>
      <c r="N243" s="68"/>
      <c r="O243" s="68"/>
      <c r="P243" s="1113">
        <v>2424</v>
      </c>
      <c r="Q243" s="68"/>
      <c r="R243" s="68"/>
      <c r="S243" s="68"/>
      <c r="T243" s="68"/>
      <c r="U243" s="1113">
        <v>2570</v>
      </c>
      <c r="V243" s="68"/>
      <c r="W243" s="68"/>
      <c r="X243" s="68"/>
      <c r="Y243" s="68"/>
      <c r="Z243" s="1113">
        <v>2661</v>
      </c>
      <c r="AA243" s="68"/>
      <c r="AB243" s="68"/>
      <c r="AC243" s="68"/>
      <c r="AD243" s="68"/>
      <c r="AE243" s="1113">
        <v>3017</v>
      </c>
      <c r="AF243" s="68"/>
      <c r="AG243" s="68"/>
      <c r="AH243" s="68"/>
      <c r="AI243" s="68"/>
      <c r="AJ243" s="1113">
        <v>3337</v>
      </c>
      <c r="AK243" s="68"/>
      <c r="AL243" s="68"/>
      <c r="AM243" s="68"/>
      <c r="AN243" s="68"/>
      <c r="AO243" s="1113">
        <v>3791</v>
      </c>
      <c r="AP243" s="68"/>
      <c r="AQ243" s="68"/>
      <c r="AR243" s="68"/>
      <c r="AS243" s="68"/>
      <c r="AT243" s="1113">
        <v>3952</v>
      </c>
      <c r="AU243" s="68"/>
      <c r="AV243" s="68"/>
      <c r="AW243" s="68"/>
      <c r="AX243" s="68"/>
      <c r="AY243" s="1113">
        <v>5443</v>
      </c>
      <c r="AZ243" s="68"/>
      <c r="BA243" s="68"/>
      <c r="BB243" s="68"/>
      <c r="BC243" s="68"/>
      <c r="BD243" s="1113">
        <v>6231</v>
      </c>
      <c r="BE243" s="68"/>
      <c r="BF243" s="68"/>
      <c r="BG243" s="68"/>
      <c r="BH243" s="68"/>
      <c r="BI243" s="1113">
        <v>6664</v>
      </c>
      <c r="BJ243" s="68"/>
      <c r="BK243" s="68"/>
      <c r="BL243" s="68"/>
      <c r="BM243" s="68"/>
      <c r="BN243" s="1113">
        <v>7400</v>
      </c>
      <c r="BO243" s="68"/>
      <c r="BP243" s="68"/>
      <c r="BQ243" s="68"/>
      <c r="BR243" s="68"/>
      <c r="BS243" s="1113">
        <v>8900</v>
      </c>
      <c r="BT243" s="68"/>
      <c r="BU243" s="68"/>
      <c r="BV243" s="68"/>
      <c r="BW243" s="68"/>
      <c r="BX243" s="1113">
        <v>11000</v>
      </c>
      <c r="BY243" s="588"/>
      <c r="BZ243" s="68"/>
      <c r="CA243" s="68"/>
      <c r="CB243" s="68"/>
      <c r="CC243" s="1112"/>
      <c r="CD243" s="68"/>
      <c r="CE243" s="68"/>
      <c r="CF243" s="68"/>
      <c r="CG243" s="68"/>
      <c r="CH243" s="1112"/>
      <c r="CI243" s="1112"/>
      <c r="CJ243" s="1112"/>
      <c r="CK243" s="1112"/>
      <c r="CL243" s="155"/>
    </row>
    <row r="244" spans="1:90" hidden="1" outlineLevel="1" x14ac:dyDescent="0.3">
      <c r="A244" s="631" t="s">
        <v>656</v>
      </c>
      <c r="B244" s="604"/>
      <c r="C244" s="1124">
        <f>C242+C243</f>
        <v>5420</v>
      </c>
      <c r="D244" s="1124">
        <f>D242+D243</f>
        <v>5706</v>
      </c>
      <c r="E244" s="1124">
        <f>E242+E243</f>
        <v>6029</v>
      </c>
      <c r="F244" s="1124">
        <f>F242+F243</f>
        <v>7133</v>
      </c>
      <c r="G244" s="61"/>
      <c r="H244" s="61"/>
      <c r="I244" s="61"/>
      <c r="J244" s="61"/>
      <c r="K244" s="1124">
        <f>K242+K243</f>
        <v>7974</v>
      </c>
      <c r="L244" s="61"/>
      <c r="M244" s="61"/>
      <c r="N244" s="61"/>
      <c r="O244" s="61"/>
      <c r="P244" s="1124">
        <f>P242+P243</f>
        <v>8808</v>
      </c>
      <c r="Q244" s="61"/>
      <c r="R244" s="61"/>
      <c r="S244" s="61"/>
      <c r="T244" s="61"/>
      <c r="U244" s="1124">
        <f>U242+U243</f>
        <v>9228</v>
      </c>
      <c r="V244" s="61"/>
      <c r="W244" s="61"/>
      <c r="X244" s="61"/>
      <c r="Y244" s="61"/>
      <c r="Z244" s="1124">
        <f>Z242+Z243</f>
        <v>9227</v>
      </c>
      <c r="AA244" s="61"/>
      <c r="AB244" s="61"/>
      <c r="AC244" s="61"/>
      <c r="AD244" s="61"/>
      <c r="AE244" s="1124">
        <f>AE242+AE243</f>
        <v>10299</v>
      </c>
      <c r="AF244" s="61"/>
      <c r="AG244" s="61"/>
      <c r="AH244" s="61"/>
      <c r="AI244" s="61"/>
      <c r="AJ244" s="1124">
        <f>AJ242+AJ243</f>
        <v>11528</v>
      </c>
      <c r="AK244" s="61"/>
      <c r="AL244" s="61"/>
      <c r="AM244" s="61"/>
      <c r="AN244" s="61"/>
      <c r="AO244" s="1124">
        <f>AO242+AO243</f>
        <v>13277</v>
      </c>
      <c r="AP244" s="61"/>
      <c r="AQ244" s="61"/>
      <c r="AR244" s="61"/>
      <c r="AS244" s="61"/>
      <c r="AT244" s="1124">
        <f>AT242+AT243</f>
        <v>13775</v>
      </c>
      <c r="AU244" s="61"/>
      <c r="AV244" s="61"/>
      <c r="AW244" s="61"/>
      <c r="AX244" s="61"/>
      <c r="AY244" s="1124">
        <f>AY242+AY243</f>
        <v>18975</v>
      </c>
      <c r="AZ244" s="61"/>
      <c r="BA244" s="61"/>
      <c r="BB244" s="61"/>
      <c r="BC244" s="61"/>
      <c r="BD244" s="1124">
        <f>BD242+BD243</f>
        <v>22473</v>
      </c>
      <c r="BE244" s="61"/>
      <c r="BF244" s="61"/>
      <c r="BG244" s="61"/>
      <c r="BH244" s="61"/>
      <c r="BI244" s="1124">
        <f>BI242+BI243</f>
        <v>26196</v>
      </c>
      <c r="BJ244" s="61"/>
      <c r="BK244" s="61"/>
      <c r="BL244" s="61"/>
      <c r="BM244" s="61"/>
      <c r="BN244" s="1140">
        <v>29600</v>
      </c>
      <c r="BO244" s="61"/>
      <c r="BP244" s="61"/>
      <c r="BQ244" s="61"/>
      <c r="BR244" s="61"/>
      <c r="BS244" s="1140">
        <v>36000</v>
      </c>
      <c r="BT244" s="61"/>
      <c r="BU244" s="61"/>
      <c r="BV244" s="61"/>
      <c r="BW244" s="61"/>
      <c r="BX244" s="1140">
        <v>42000</v>
      </c>
      <c r="BY244" s="896"/>
      <c r="BZ244" s="61"/>
      <c r="CA244" s="61"/>
      <c r="CB244" s="61"/>
      <c r="CC244" s="1124"/>
      <c r="CD244" s="61"/>
      <c r="CE244" s="61"/>
      <c r="CF244" s="61"/>
      <c r="CG244" s="61"/>
      <c r="CH244" s="1124"/>
      <c r="CI244" s="1124"/>
      <c r="CJ244" s="1124"/>
      <c r="CK244" s="1124"/>
      <c r="CL244" s="155"/>
    </row>
    <row r="245" spans="1:90" hidden="1" outlineLevel="1" x14ac:dyDescent="0.3">
      <c r="A245" s="605"/>
      <c r="B245" s="606"/>
      <c r="C245" s="1136"/>
      <c r="D245" s="1136"/>
      <c r="E245" s="1136"/>
      <c r="F245" s="1136"/>
      <c r="G245" s="93"/>
      <c r="H245" s="93"/>
      <c r="I245" s="93"/>
      <c r="J245" s="93"/>
      <c r="K245" s="1136"/>
      <c r="L245" s="93"/>
      <c r="M245" s="93"/>
      <c r="N245" s="93"/>
      <c r="O245" s="93"/>
      <c r="P245" s="1136"/>
      <c r="Q245" s="93"/>
      <c r="R245" s="93"/>
      <c r="S245" s="93"/>
      <c r="T245" s="93"/>
      <c r="U245" s="1136"/>
      <c r="V245" s="93"/>
      <c r="W245" s="93"/>
      <c r="X245" s="93"/>
      <c r="Y245" s="93"/>
      <c r="Z245" s="1136"/>
      <c r="AA245" s="93"/>
      <c r="AB245" s="93"/>
      <c r="AC245" s="93"/>
      <c r="AD245" s="93"/>
      <c r="AE245" s="1136"/>
      <c r="AF245" s="93"/>
      <c r="AG245" s="93"/>
      <c r="AH245" s="93"/>
      <c r="AI245" s="93"/>
      <c r="AJ245" s="1136"/>
      <c r="AK245" s="93"/>
      <c r="AL245" s="93"/>
      <c r="AM245" s="93"/>
      <c r="AN245" s="93"/>
      <c r="AO245" s="1136"/>
      <c r="AP245" s="93"/>
      <c r="AQ245" s="93"/>
      <c r="AR245" s="93"/>
      <c r="AS245" s="93"/>
      <c r="AT245" s="1136"/>
      <c r="AU245" s="93"/>
      <c r="AV245" s="93"/>
      <c r="AW245" s="93"/>
      <c r="AX245" s="93"/>
      <c r="AY245" s="1136"/>
      <c r="AZ245" s="93"/>
      <c r="BA245" s="93"/>
      <c r="BB245" s="93"/>
      <c r="BC245" s="93"/>
      <c r="BD245" s="1136"/>
      <c r="BE245" s="93"/>
      <c r="BF245" s="93"/>
      <c r="BG245" s="93"/>
      <c r="BH245" s="93"/>
      <c r="BI245" s="1136"/>
      <c r="BJ245" s="93"/>
      <c r="BK245" s="93"/>
      <c r="BL245" s="93"/>
      <c r="BM245" s="93"/>
      <c r="BN245" s="1136"/>
      <c r="BO245" s="93"/>
      <c r="BP245" s="93"/>
      <c r="BQ245" s="93"/>
      <c r="BR245" s="93"/>
      <c r="BS245" s="1136"/>
      <c r="BT245" s="93"/>
      <c r="BU245" s="93"/>
      <c r="BV245" s="93"/>
      <c r="BW245" s="93"/>
      <c r="BX245" s="1136"/>
      <c r="BY245" s="522"/>
      <c r="BZ245" s="93"/>
      <c r="CA245" s="93"/>
      <c r="CB245" s="93"/>
      <c r="CC245" s="1136"/>
      <c r="CD245" s="93"/>
      <c r="CE245" s="93"/>
      <c r="CF245" s="93"/>
      <c r="CG245" s="93"/>
      <c r="CH245" s="1136"/>
      <c r="CI245" s="1136"/>
      <c r="CJ245" s="1136"/>
      <c r="CK245" s="1136"/>
      <c r="CL245" s="155"/>
    </row>
    <row r="246" spans="1:90" hidden="1" outlineLevel="1" x14ac:dyDescent="0.3">
      <c r="A246" s="45" t="s">
        <v>1263</v>
      </c>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1021"/>
      <c r="AB246" s="1021"/>
      <c r="AC246" s="1021"/>
      <c r="AD246" s="1021"/>
      <c r="AE246" s="1021"/>
      <c r="AF246" s="45"/>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c r="BI246" s="45"/>
      <c r="BJ246" s="45"/>
      <c r="BK246" s="45"/>
      <c r="BL246" s="45"/>
      <c r="BM246" s="45"/>
      <c r="BN246" s="45"/>
      <c r="BO246" s="45"/>
      <c r="BP246" s="45"/>
      <c r="BQ246" s="45"/>
      <c r="BR246" s="45"/>
      <c r="BS246" s="45"/>
      <c r="BT246" s="45"/>
      <c r="BU246" s="45"/>
      <c r="BV246" s="45"/>
      <c r="BW246" s="45"/>
      <c r="BX246" s="45"/>
      <c r="BY246" s="881"/>
      <c r="BZ246" s="45"/>
      <c r="CA246" s="45"/>
      <c r="CB246" s="45"/>
      <c r="CC246" s="45"/>
      <c r="CD246" s="45"/>
      <c r="CE246" s="45"/>
      <c r="CF246" s="45"/>
      <c r="CG246" s="45"/>
      <c r="CH246" s="45"/>
      <c r="CI246" s="45"/>
      <c r="CJ246" s="45"/>
      <c r="CK246" s="45"/>
      <c r="CL246" s="155"/>
    </row>
    <row r="247" spans="1:90" s="227" customFormat="1" hidden="1" outlineLevel="1" x14ac:dyDescent="0.3">
      <c r="A247" s="99" t="s">
        <v>1264</v>
      </c>
      <c r="B247" s="602"/>
      <c r="C247" s="1112"/>
      <c r="D247" s="1112"/>
      <c r="E247" s="1112"/>
      <c r="F247" s="1112"/>
      <c r="G247" s="68"/>
      <c r="H247" s="68"/>
      <c r="I247" s="68"/>
      <c r="J247" s="68"/>
      <c r="K247" s="1112"/>
      <c r="L247" s="68"/>
      <c r="M247" s="68"/>
      <c r="N247" s="68"/>
      <c r="O247" s="68"/>
      <c r="P247" s="1112"/>
      <c r="Q247" s="68"/>
      <c r="R247" s="68"/>
      <c r="S247" s="68"/>
      <c r="T247" s="68"/>
      <c r="U247" s="1112"/>
      <c r="V247" s="68"/>
      <c r="W247" s="68"/>
      <c r="X247" s="68"/>
      <c r="Y247" s="68"/>
      <c r="Z247" s="1112"/>
      <c r="AA247" s="68"/>
      <c r="AB247" s="68"/>
      <c r="AC247" s="68"/>
      <c r="AD247" s="68"/>
      <c r="AE247" s="1112"/>
      <c r="AF247" s="68"/>
      <c r="AG247" s="68"/>
      <c r="AH247" s="68"/>
      <c r="AI247" s="68"/>
      <c r="AJ247" s="1112"/>
      <c r="AK247" s="68"/>
      <c r="AL247" s="68"/>
      <c r="AM247" s="68"/>
      <c r="AN247" s="68"/>
      <c r="AO247" s="1112"/>
      <c r="AP247" s="68"/>
      <c r="AQ247" s="68"/>
      <c r="AR247" s="68"/>
      <c r="AS247" s="68"/>
      <c r="AT247" s="1112"/>
      <c r="AU247" s="68"/>
      <c r="AV247" s="68"/>
      <c r="AW247" s="68"/>
      <c r="AX247" s="68"/>
      <c r="AY247" s="1112"/>
      <c r="AZ247" s="68"/>
      <c r="BA247" s="68"/>
      <c r="BB247" s="68"/>
      <c r="BC247" s="68"/>
      <c r="BD247" s="1113">
        <v>173</v>
      </c>
      <c r="BE247" s="68"/>
      <c r="BF247" s="1055">
        <v>570</v>
      </c>
      <c r="BG247" s="1055">
        <v>354</v>
      </c>
      <c r="BH247" s="68"/>
      <c r="BI247" s="1113">
        <v>1040</v>
      </c>
      <c r="BJ247" s="1055">
        <v>105</v>
      </c>
      <c r="BK247" s="1055">
        <v>343</v>
      </c>
      <c r="BL247" s="1055">
        <v>208</v>
      </c>
      <c r="BM247" s="68">
        <f>BN247-SUM(BJ247,BK247,BL247)</f>
        <v>118</v>
      </c>
      <c r="BN247" s="1113">
        <v>774</v>
      </c>
      <c r="BO247" s="1055">
        <v>210</v>
      </c>
      <c r="BP247" s="1055">
        <v>345</v>
      </c>
      <c r="BQ247" s="1055">
        <v>322</v>
      </c>
      <c r="BR247" s="68">
        <f>BS247-SUM(BO247,BP247,BQ247)</f>
        <v>723</v>
      </c>
      <c r="BS247" s="1113">
        <v>1600</v>
      </c>
      <c r="BT247" s="1055">
        <v>2300</v>
      </c>
      <c r="BU247" s="1055">
        <v>886</v>
      </c>
      <c r="BV247" s="1055">
        <v>378</v>
      </c>
      <c r="BW247" s="68">
        <f>BX247-SUM(BT247,BU247,BV247)</f>
        <v>436</v>
      </c>
      <c r="BX247" s="1113">
        <v>4000</v>
      </c>
      <c r="BY247" s="1057">
        <v>800</v>
      </c>
      <c r="BZ247" s="68"/>
      <c r="CA247" s="68"/>
      <c r="CB247" s="68"/>
      <c r="CC247" s="1112"/>
      <c r="CD247" s="68"/>
      <c r="CE247" s="68"/>
      <c r="CF247" s="68"/>
      <c r="CG247" s="68"/>
      <c r="CH247" s="1112"/>
      <c r="CI247" s="1112"/>
      <c r="CJ247" s="1112"/>
      <c r="CK247" s="1112"/>
      <c r="CL247" s="27"/>
    </row>
    <row r="248" spans="1:90" s="227" customFormat="1" hidden="1" outlineLevel="1" x14ac:dyDescent="0.3">
      <c r="A248" s="99" t="s">
        <v>1265</v>
      </c>
      <c r="B248" s="602"/>
      <c r="C248" s="1112"/>
      <c r="D248" s="1112"/>
      <c r="E248" s="1112"/>
      <c r="F248" s="1112"/>
      <c r="G248" s="68"/>
      <c r="H248" s="68"/>
      <c r="I248" s="68"/>
      <c r="J248" s="68"/>
      <c r="K248" s="1112"/>
      <c r="L248" s="68"/>
      <c r="M248" s="68"/>
      <c r="N248" s="68"/>
      <c r="O248" s="68"/>
      <c r="P248" s="1112"/>
      <c r="Q248" s="68"/>
      <c r="R248" s="68"/>
      <c r="S248" s="68"/>
      <c r="T248" s="68"/>
      <c r="U248" s="1112"/>
      <c r="V248" s="68"/>
      <c r="W248" s="68"/>
      <c r="X248" s="68"/>
      <c r="Y248" s="68"/>
      <c r="Z248" s="1112"/>
      <c r="AA248" s="68"/>
      <c r="AB248" s="68"/>
      <c r="AC248" s="68"/>
      <c r="AD248" s="68"/>
      <c r="AE248" s="1112"/>
      <c r="AF248" s="68"/>
      <c r="AG248" s="68"/>
      <c r="AH248" s="68"/>
      <c r="AI248" s="68"/>
      <c r="AJ248" s="1112"/>
      <c r="AK248" s="68"/>
      <c r="AL248" s="68"/>
      <c r="AM248" s="68"/>
      <c r="AN248" s="68"/>
      <c r="AO248" s="1112"/>
      <c r="AP248" s="68"/>
      <c r="AQ248" s="68"/>
      <c r="AR248" s="68"/>
      <c r="AS248" s="68"/>
      <c r="AT248" s="1112"/>
      <c r="AU248" s="68"/>
      <c r="AV248" s="68"/>
      <c r="AW248" s="68"/>
      <c r="AX248" s="68"/>
      <c r="AY248" s="1112"/>
      <c r="AZ248" s="68"/>
      <c r="BA248" s="68"/>
      <c r="BB248" s="68"/>
      <c r="BC248" s="68"/>
      <c r="BD248" s="1112">
        <f t="shared" ref="BD248:BR248" si="651">BD249-BD247</f>
        <v>181</v>
      </c>
      <c r="BE248" s="68"/>
      <c r="BF248" s="68">
        <f t="shared" si="651"/>
        <v>650</v>
      </c>
      <c r="BG248" s="68">
        <f t="shared" si="651"/>
        <v>348</v>
      </c>
      <c r="BH248" s="68"/>
      <c r="BI248" s="1112">
        <f t="shared" si="651"/>
        <v>1130</v>
      </c>
      <c r="BJ248" s="68">
        <f t="shared" si="651"/>
        <v>29</v>
      </c>
      <c r="BK248" s="68">
        <f t="shared" si="651"/>
        <v>233</v>
      </c>
      <c r="BL248" s="68">
        <f t="shared" si="651"/>
        <v>473</v>
      </c>
      <c r="BM248" s="68">
        <f t="shared" si="651"/>
        <v>691</v>
      </c>
      <c r="BN248" s="1112">
        <f t="shared" si="651"/>
        <v>1426</v>
      </c>
      <c r="BO248" s="68">
        <f t="shared" si="651"/>
        <v>183</v>
      </c>
      <c r="BP248" s="68">
        <f t="shared" si="651"/>
        <v>563</v>
      </c>
      <c r="BQ248" s="68">
        <f t="shared" si="651"/>
        <v>543</v>
      </c>
      <c r="BR248" s="68">
        <f t="shared" si="651"/>
        <v>811</v>
      </c>
      <c r="BS248" s="1112">
        <f>BS249-BS247</f>
        <v>2100</v>
      </c>
      <c r="BT248" s="68">
        <f>BT249-BT247</f>
        <v>3000</v>
      </c>
      <c r="BU248" s="68">
        <f t="shared" ref="BU248" si="652">BU249-BU247</f>
        <v>114</v>
      </c>
      <c r="BV248" s="68">
        <f>BV249-BV247</f>
        <v>32</v>
      </c>
      <c r="BW248" s="68">
        <f t="shared" ref="BW248" si="653">BW249-BW247</f>
        <v>54</v>
      </c>
      <c r="BX248" s="1112">
        <f>BX249-BX247</f>
        <v>3200</v>
      </c>
      <c r="BY248" s="588">
        <f>BY249-BY247</f>
        <v>300</v>
      </c>
      <c r="BZ248" s="68"/>
      <c r="CA248" s="68"/>
      <c r="CB248" s="68"/>
      <c r="CC248" s="1112"/>
      <c r="CD248" s="68"/>
      <c r="CE248" s="68"/>
      <c r="CF248" s="68"/>
      <c r="CG248" s="68"/>
      <c r="CH248" s="1112"/>
      <c r="CI248" s="1112"/>
      <c r="CJ248" s="1112"/>
      <c r="CK248" s="1112"/>
      <c r="CL248" s="27"/>
    </row>
    <row r="249" spans="1:90" s="44" customFormat="1" hidden="1" outlineLevel="1" x14ac:dyDescent="0.3">
      <c r="A249" s="631" t="s">
        <v>1266</v>
      </c>
      <c r="B249" s="604"/>
      <c r="C249" s="1124"/>
      <c r="D249" s="1124"/>
      <c r="E249" s="1124"/>
      <c r="F249" s="1140">
        <v>53</v>
      </c>
      <c r="G249" s="61"/>
      <c r="H249" s="61">
        <f>56.8-I249</f>
        <v>34.299999999999997</v>
      </c>
      <c r="I249" s="1065">
        <v>22.5</v>
      </c>
      <c r="J249" s="61">
        <f>K249-SUM(G249,H249,I249)</f>
        <v>33.100000000000009</v>
      </c>
      <c r="K249" s="1140">
        <v>89.9</v>
      </c>
      <c r="L249" s="1065">
        <v>13.6</v>
      </c>
      <c r="M249" s="1065">
        <v>10.5</v>
      </c>
      <c r="N249" s="1065">
        <v>9.6</v>
      </c>
      <c r="O249" s="61">
        <f>P249-SUM(L249,M249,N249)</f>
        <v>16.399999999999999</v>
      </c>
      <c r="P249" s="1140">
        <v>50.1</v>
      </c>
      <c r="Q249" s="1065">
        <v>10.3</v>
      </c>
      <c r="R249" s="1065">
        <v>12.7</v>
      </c>
      <c r="S249" s="1065">
        <v>12.7</v>
      </c>
      <c r="T249" s="61">
        <f>U249-SUM(Q249,R249,S249)</f>
        <v>23.699999999999996</v>
      </c>
      <c r="U249" s="1140">
        <v>59.4</v>
      </c>
      <c r="V249" s="1065">
        <v>14</v>
      </c>
      <c r="W249" s="1065">
        <v>18</v>
      </c>
      <c r="X249" s="1065">
        <v>40</v>
      </c>
      <c r="Y249" s="61">
        <f>Z249-SUM(V249,W249,X249)</f>
        <v>40</v>
      </c>
      <c r="Z249" s="1140">
        <v>112</v>
      </c>
      <c r="AA249" s="1065">
        <v>22</v>
      </c>
      <c r="AB249" s="1065">
        <v>5</v>
      </c>
      <c r="AC249" s="1065">
        <v>13</v>
      </c>
      <c r="AD249" s="61">
        <f>AE249-SUM(AA249,AB249,AC249)</f>
        <v>22</v>
      </c>
      <c r="AE249" s="1140">
        <v>62</v>
      </c>
      <c r="AF249" s="1065">
        <v>3</v>
      </c>
      <c r="AG249" s="1065">
        <v>13</v>
      </c>
      <c r="AH249" s="1065">
        <v>14</v>
      </c>
      <c r="AI249" s="61">
        <f>AJ249-SUM(AF249,AG249,AH249)</f>
        <v>18</v>
      </c>
      <c r="AJ249" s="1140">
        <v>48</v>
      </c>
      <c r="AK249" s="1065">
        <v>33</v>
      </c>
      <c r="AL249" s="1065">
        <v>21</v>
      </c>
      <c r="AM249" s="1065">
        <v>70</v>
      </c>
      <c r="AN249" s="61">
        <f>AO249-SUM(AK249,AL249,AM249)</f>
        <v>146</v>
      </c>
      <c r="AO249" s="1140">
        <v>270</v>
      </c>
      <c r="AP249" s="1065">
        <v>43</v>
      </c>
      <c r="AQ249" s="1065">
        <v>28</v>
      </c>
      <c r="AR249" s="1065">
        <v>42</v>
      </c>
      <c r="AS249" s="61">
        <f>AT249-SUM(AP249,AQ249,AR249)</f>
        <v>48</v>
      </c>
      <c r="AT249" s="1140">
        <v>161</v>
      </c>
      <c r="AU249" s="1065">
        <v>36</v>
      </c>
      <c r="AV249" s="1065">
        <v>45</v>
      </c>
      <c r="AW249" s="1065">
        <v>15</v>
      </c>
      <c r="AX249" s="61">
        <f>AY249-SUM(AU249,AV249,AW249)</f>
        <v>20</v>
      </c>
      <c r="AY249" s="1140">
        <v>116</v>
      </c>
      <c r="AZ249" s="1065">
        <v>58</v>
      </c>
      <c r="BA249" s="1065">
        <v>73</v>
      </c>
      <c r="BB249" s="1065">
        <v>107</v>
      </c>
      <c r="BC249" s="61">
        <f>BD249-SUM(AZ249,BA249,BB249)</f>
        <v>116</v>
      </c>
      <c r="BD249" s="1140">
        <v>354</v>
      </c>
      <c r="BE249" s="1065">
        <v>90</v>
      </c>
      <c r="BF249" s="1065">
        <v>1220</v>
      </c>
      <c r="BG249" s="1065">
        <v>702</v>
      </c>
      <c r="BH249" s="61">
        <f>BI249-SUM(BE249,BF249,BG249)</f>
        <v>158</v>
      </c>
      <c r="BI249" s="1140">
        <v>2170</v>
      </c>
      <c r="BJ249" s="1065">
        <v>134</v>
      </c>
      <c r="BK249" s="1065">
        <v>576</v>
      </c>
      <c r="BL249" s="1065">
        <v>681</v>
      </c>
      <c r="BM249" s="61">
        <f>BN249-SUM(BJ249,BK249,BL249)</f>
        <v>809</v>
      </c>
      <c r="BN249" s="1140">
        <v>2200</v>
      </c>
      <c r="BO249" s="1065">
        <v>393</v>
      </c>
      <c r="BP249" s="1065">
        <v>908</v>
      </c>
      <c r="BQ249" s="1065">
        <v>865</v>
      </c>
      <c r="BR249" s="61">
        <f>BS249-SUM(BO249,BP249,BQ249)</f>
        <v>1534</v>
      </c>
      <c r="BS249" s="1140">
        <v>3700</v>
      </c>
      <c r="BT249" s="1065">
        <v>5300</v>
      </c>
      <c r="BU249" s="1065">
        <v>1000</v>
      </c>
      <c r="BV249" s="1065">
        <v>410</v>
      </c>
      <c r="BW249" s="61">
        <f>BX249-SUM(BT249,BU249,BV249)</f>
        <v>490</v>
      </c>
      <c r="BX249" s="1140">
        <v>7200</v>
      </c>
      <c r="BY249" s="1066">
        <v>1100</v>
      </c>
      <c r="BZ249" s="61"/>
      <c r="CA249" s="61"/>
      <c r="CB249" s="61"/>
      <c r="CC249" s="1124"/>
      <c r="CD249" s="61"/>
      <c r="CE249" s="61"/>
      <c r="CF249" s="61"/>
      <c r="CG249" s="61"/>
      <c r="CH249" s="1124"/>
      <c r="CI249" s="1124"/>
      <c r="CJ249" s="1124"/>
      <c r="CK249" s="1124"/>
      <c r="CL249" s="28"/>
    </row>
    <row r="250" spans="1:90" s="227" customFormat="1" hidden="1" outlineLevel="1" x14ac:dyDescent="0.3">
      <c r="A250" s="636"/>
      <c r="B250" s="602"/>
      <c r="C250" s="1112"/>
      <c r="D250" s="1112"/>
      <c r="E250" s="1112"/>
      <c r="F250" s="1112"/>
      <c r="G250" s="68"/>
      <c r="H250" s="68"/>
      <c r="I250" s="68"/>
      <c r="J250" s="68"/>
      <c r="K250" s="1112"/>
      <c r="L250" s="68"/>
      <c r="M250" s="68"/>
      <c r="N250" s="68"/>
      <c r="O250" s="68"/>
      <c r="P250" s="1112"/>
      <c r="Q250" s="68"/>
      <c r="R250" s="68"/>
      <c r="S250" s="68"/>
      <c r="T250" s="68"/>
      <c r="U250" s="1112"/>
      <c r="V250" s="68"/>
      <c r="W250" s="68"/>
      <c r="X250" s="68"/>
      <c r="Y250" s="68"/>
      <c r="Z250" s="1112"/>
      <c r="AA250" s="68"/>
      <c r="AB250" s="68"/>
      <c r="AC250" s="68"/>
      <c r="AD250" s="68"/>
      <c r="AE250" s="1112"/>
      <c r="AF250" s="68"/>
      <c r="AG250" s="68"/>
      <c r="AH250" s="68"/>
      <c r="AI250" s="68"/>
      <c r="AJ250" s="1112"/>
      <c r="AK250" s="68"/>
      <c r="AL250" s="68"/>
      <c r="AM250" s="68"/>
      <c r="AN250" s="68"/>
      <c r="AO250" s="1112"/>
      <c r="AP250" s="68"/>
      <c r="AQ250" s="68"/>
      <c r="AR250" s="68"/>
      <c r="AS250" s="68"/>
      <c r="AT250" s="1112"/>
      <c r="AU250" s="68"/>
      <c r="AV250" s="68"/>
      <c r="AW250" s="68"/>
      <c r="AX250" s="68"/>
      <c r="AY250" s="1112"/>
      <c r="AZ250" s="68"/>
      <c r="BA250" s="68"/>
      <c r="BB250" s="68"/>
      <c r="BC250" s="68"/>
      <c r="BD250" s="1112"/>
      <c r="BE250" s="68"/>
      <c r="BF250" s="68"/>
      <c r="BG250" s="68"/>
      <c r="BH250" s="68"/>
      <c r="BI250" s="1112"/>
      <c r="BJ250" s="68"/>
      <c r="BK250" s="68"/>
      <c r="BL250" s="68"/>
      <c r="BM250" s="68"/>
      <c r="BN250" s="1112"/>
      <c r="BO250" s="68"/>
      <c r="BP250" s="68"/>
      <c r="BQ250" s="68"/>
      <c r="BR250" s="68"/>
      <c r="BS250" s="1112"/>
      <c r="BT250" s="68"/>
      <c r="BU250" s="68"/>
      <c r="BV250" s="68"/>
      <c r="BW250" s="68"/>
      <c r="BX250" s="1112"/>
      <c r="BY250" s="588"/>
      <c r="BZ250" s="68"/>
      <c r="CA250" s="68"/>
      <c r="CB250" s="68"/>
      <c r="CC250" s="1112"/>
      <c r="CD250" s="68"/>
      <c r="CE250" s="68"/>
      <c r="CF250" s="68"/>
      <c r="CG250" s="68"/>
      <c r="CH250" s="1112"/>
      <c r="CI250" s="1112"/>
      <c r="CJ250" s="1112"/>
      <c r="CK250" s="1112"/>
      <c r="CL250" s="27"/>
    </row>
    <row r="251" spans="1:90" s="227" customFormat="1" hidden="1" outlineLevel="1" x14ac:dyDescent="0.3">
      <c r="A251" s="636" t="s">
        <v>1267</v>
      </c>
      <c r="B251" s="602"/>
      <c r="C251" s="1112"/>
      <c r="D251" s="1112"/>
      <c r="E251" s="1112"/>
      <c r="F251" s="1113">
        <v>71.099999999999994</v>
      </c>
      <c r="G251" s="68"/>
      <c r="H251" s="68">
        <f>42.8-I251</f>
        <v>31.999999999999996</v>
      </c>
      <c r="I251" s="1055">
        <v>10.8</v>
      </c>
      <c r="J251" s="68">
        <f>K251-SUM(G251,H251,I251)</f>
        <v>10.900000000000006</v>
      </c>
      <c r="K251" s="1113">
        <v>53.7</v>
      </c>
      <c r="L251" s="1055">
        <v>17.100000000000001</v>
      </c>
      <c r="M251" s="1055">
        <v>13.8</v>
      </c>
      <c r="N251" s="1055">
        <v>7.7</v>
      </c>
      <c r="O251" s="68">
        <f>P251-SUM(L251,M251,N251)</f>
        <v>4.7999999999999972</v>
      </c>
      <c r="P251" s="1113">
        <v>43.4</v>
      </c>
      <c r="Q251" s="1055">
        <v>5</v>
      </c>
      <c r="R251" s="1055">
        <v>8.8000000000000007</v>
      </c>
      <c r="S251" s="1055">
        <v>12.2</v>
      </c>
      <c r="T251" s="68">
        <f>U251-SUM(Q251,R251,S251)</f>
        <v>6.3999999999999986</v>
      </c>
      <c r="U251" s="1113">
        <v>32.4</v>
      </c>
      <c r="V251" s="1055">
        <v>9</v>
      </c>
      <c r="W251" s="1055">
        <v>10</v>
      </c>
      <c r="X251" s="1055">
        <v>6</v>
      </c>
      <c r="Y251" s="68">
        <f>Z251-SUM(V251,W251,X251)</f>
        <v>7</v>
      </c>
      <c r="Z251" s="1113">
        <v>32</v>
      </c>
      <c r="AA251" s="1055">
        <v>7</v>
      </c>
      <c r="AB251" s="1055">
        <v>12</v>
      </c>
      <c r="AC251" s="1055">
        <v>19</v>
      </c>
      <c r="AD251" s="68">
        <f>AE251-SUM(AA251,AB251,AC251)</f>
        <v>13</v>
      </c>
      <c r="AE251" s="1113">
        <v>51</v>
      </c>
      <c r="AF251" s="1055">
        <v>13</v>
      </c>
      <c r="AG251" s="1055">
        <v>9</v>
      </c>
      <c r="AH251" s="1055">
        <v>6</v>
      </c>
      <c r="AI251" s="68">
        <f>AJ251-SUM(AF251,AG251,AH251)</f>
        <v>7</v>
      </c>
      <c r="AJ251" s="1113">
        <v>35</v>
      </c>
      <c r="AK251" s="1055">
        <v>4</v>
      </c>
      <c r="AL251" s="1055">
        <v>12</v>
      </c>
      <c r="AM251" s="1055">
        <v>13</v>
      </c>
      <c r="AN251" s="68">
        <f>AO251-SUM(AK251,AL251,AM251)</f>
        <v>12</v>
      </c>
      <c r="AO251" s="1113">
        <v>41</v>
      </c>
      <c r="AP251" s="1055">
        <v>12</v>
      </c>
      <c r="AQ251" s="1055">
        <v>19</v>
      </c>
      <c r="AR251" s="1055">
        <v>78</v>
      </c>
      <c r="AS251" s="68">
        <f>AT251-SUM(AP251,AQ251,AR251)</f>
        <v>36</v>
      </c>
      <c r="AT251" s="1113">
        <v>145</v>
      </c>
      <c r="AU251" s="1055">
        <v>39</v>
      </c>
      <c r="AV251" s="1055">
        <v>49</v>
      </c>
      <c r="AW251" s="1055">
        <v>29</v>
      </c>
      <c r="AX251" s="68">
        <f>AY251-SUM(AU251,AV251,AW251)</f>
        <v>28</v>
      </c>
      <c r="AY251" s="1113">
        <v>145</v>
      </c>
      <c r="AZ251" s="1055">
        <v>21</v>
      </c>
      <c r="BA251" s="1055">
        <v>20</v>
      </c>
      <c r="BB251" s="1055">
        <v>48</v>
      </c>
      <c r="BC251" s="68">
        <f>BD251-SUM(AZ251,BA251,BB251)</f>
        <v>22</v>
      </c>
      <c r="BD251" s="1113">
        <v>111</v>
      </c>
      <c r="BE251" s="1055">
        <v>15</v>
      </c>
      <c r="BF251" s="1055">
        <v>23</v>
      </c>
      <c r="BG251" s="1055">
        <v>21</v>
      </c>
      <c r="BH251" s="68">
        <f>BI251-SUM(BE251,BF251,BG251)</f>
        <v>78</v>
      </c>
      <c r="BI251" s="1113">
        <v>137</v>
      </c>
      <c r="BJ251" s="1055">
        <v>50</v>
      </c>
      <c r="BK251" s="1055">
        <v>84</v>
      </c>
      <c r="BL251" s="1055">
        <v>239</v>
      </c>
      <c r="BM251" s="68">
        <f>BN251-SUM(BJ251,BK251,BL251)</f>
        <v>167</v>
      </c>
      <c r="BN251" s="1113">
        <v>540</v>
      </c>
      <c r="BO251" s="1055">
        <v>114</v>
      </c>
      <c r="BP251" s="1055">
        <v>85</v>
      </c>
      <c r="BQ251" s="1055">
        <v>106</v>
      </c>
      <c r="BR251" s="68">
        <f>BS251-SUM(BO251,BP251,BQ251)</f>
        <v>384</v>
      </c>
      <c r="BS251" s="1113">
        <v>689</v>
      </c>
      <c r="BT251" s="1055">
        <v>436</v>
      </c>
      <c r="BU251" s="1055">
        <v>501</v>
      </c>
      <c r="BV251" s="1055">
        <v>366</v>
      </c>
      <c r="BW251" s="68">
        <f>BX251-SUM(BT251,BU251,BV251)</f>
        <v>197</v>
      </c>
      <c r="BX251" s="1113">
        <v>1500</v>
      </c>
      <c r="BY251" s="1057">
        <v>103</v>
      </c>
      <c r="BZ251" s="68"/>
      <c r="CA251" s="68"/>
      <c r="CB251" s="68"/>
      <c r="CC251" s="1112"/>
      <c r="CD251" s="68"/>
      <c r="CE251" s="68"/>
      <c r="CF251" s="68"/>
      <c r="CG251" s="68"/>
      <c r="CH251" s="1112"/>
      <c r="CI251" s="1112"/>
      <c r="CJ251" s="1112"/>
      <c r="CK251" s="1112"/>
      <c r="CL251" s="27"/>
    </row>
    <row r="252" spans="1:90" s="5" customFormat="1" hidden="1" outlineLevel="1" x14ac:dyDescent="0.3">
      <c r="A252" s="605"/>
      <c r="B252" s="606"/>
      <c r="C252" s="1136"/>
      <c r="D252" s="1136"/>
      <c r="E252" s="1136"/>
      <c r="F252" s="1136"/>
      <c r="G252" s="93"/>
      <c r="H252" s="93"/>
      <c r="I252" s="93"/>
      <c r="J252" s="93"/>
      <c r="K252" s="1136"/>
      <c r="L252" s="93"/>
      <c r="M252" s="93"/>
      <c r="N252" s="93"/>
      <c r="O252" s="93"/>
      <c r="P252" s="1136"/>
      <c r="Q252" s="93"/>
      <c r="R252" s="93"/>
      <c r="S252" s="93"/>
      <c r="T252" s="93"/>
      <c r="U252" s="1136"/>
      <c r="V252" s="93"/>
      <c r="W252" s="93"/>
      <c r="X252" s="93"/>
      <c r="Y252" s="93"/>
      <c r="Z252" s="1136"/>
      <c r="AA252" s="93"/>
      <c r="AB252" s="93"/>
      <c r="AC252" s="93"/>
      <c r="AD252" s="93"/>
      <c r="AE252" s="1136"/>
      <c r="AF252" s="93"/>
      <c r="AG252" s="93"/>
      <c r="AH252" s="93"/>
      <c r="AI252" s="93"/>
      <c r="AJ252" s="1136"/>
      <c r="AK252" s="93"/>
      <c r="AL252" s="93"/>
      <c r="AM252" s="93"/>
      <c r="AN252" s="93"/>
      <c r="AO252" s="1136"/>
      <c r="AP252" s="93"/>
      <c r="AQ252" s="93"/>
      <c r="AR252" s="93"/>
      <c r="AS252" s="93"/>
      <c r="AT252" s="1136"/>
      <c r="AU252" s="93"/>
      <c r="AV252" s="93"/>
      <c r="AW252" s="93"/>
      <c r="AX252" s="93"/>
      <c r="AY252" s="1136"/>
      <c r="AZ252" s="93"/>
      <c r="BA252" s="93"/>
      <c r="BB252" s="93"/>
      <c r="BC252" s="93"/>
      <c r="BD252" s="1136"/>
      <c r="BE252" s="93"/>
      <c r="BF252" s="93"/>
      <c r="BG252" s="93"/>
      <c r="BH252" s="93"/>
      <c r="BI252" s="1136"/>
      <c r="BJ252" s="93"/>
      <c r="BK252" s="93"/>
      <c r="BL252" s="93"/>
      <c r="BM252" s="93"/>
      <c r="BN252" s="1136"/>
      <c r="BO252" s="93"/>
      <c r="BP252" s="93"/>
      <c r="BQ252" s="93"/>
      <c r="BR252" s="93"/>
      <c r="BS252" s="1136"/>
      <c r="BT252" s="93"/>
      <c r="BU252" s="93"/>
      <c r="BV252" s="93"/>
      <c r="BW252" s="93"/>
      <c r="BX252" s="1136"/>
      <c r="BY252" s="522"/>
      <c r="BZ252" s="93"/>
      <c r="CA252" s="93"/>
      <c r="CB252" s="93"/>
      <c r="CC252" s="1136"/>
      <c r="CD252" s="93"/>
      <c r="CE252" s="93"/>
      <c r="CF252" s="93"/>
      <c r="CG252" s="93"/>
      <c r="CH252" s="1136"/>
      <c r="CI252" s="1136"/>
      <c r="CJ252" s="1136"/>
      <c r="CK252" s="1136"/>
      <c r="CL252" s="228"/>
    </row>
    <row r="253" spans="1:90" hidden="1" outlineLevel="1" x14ac:dyDescent="0.3">
      <c r="A253" s="45" t="s">
        <v>667</v>
      </c>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1021" t="s">
        <v>673</v>
      </c>
      <c r="AB253" s="1021" t="s">
        <v>673</v>
      </c>
      <c r="AC253" s="1021" t="s">
        <v>673</v>
      </c>
      <c r="AD253" s="1021" t="s">
        <v>673</v>
      </c>
      <c r="AE253" s="1021" t="s">
        <v>673</v>
      </c>
      <c r="AF253" s="45"/>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c r="BH253" s="45"/>
      <c r="BI253" s="45"/>
      <c r="BJ253" s="45"/>
      <c r="BK253" s="45"/>
      <c r="BL253" s="45"/>
      <c r="BM253" s="45"/>
      <c r="BN253" s="45"/>
      <c r="BO253" s="45"/>
      <c r="BP253" s="45"/>
      <c r="BQ253" s="45"/>
      <c r="BR253" s="45"/>
      <c r="BS253" s="45"/>
      <c r="BT253" s="45"/>
      <c r="BU253" s="45"/>
      <c r="BV253" s="45"/>
      <c r="BW253" s="45"/>
      <c r="BX253" s="45"/>
      <c r="BY253" s="881"/>
      <c r="BZ253" s="45"/>
      <c r="CA253" s="45"/>
      <c r="CB253" s="45"/>
      <c r="CC253" s="45"/>
      <c r="CD253" s="45"/>
      <c r="CE253" s="45"/>
      <c r="CF253" s="45"/>
      <c r="CG253" s="45"/>
      <c r="CH253" s="45"/>
      <c r="CI253" s="45"/>
      <c r="CJ253" s="45"/>
      <c r="CK253" s="45"/>
      <c r="CL253" s="155"/>
    </row>
    <row r="254" spans="1:90" hidden="1" outlineLevel="1" x14ac:dyDescent="0.3">
      <c r="A254" s="99" t="s">
        <v>671</v>
      </c>
      <c r="B254" s="602"/>
      <c r="C254" s="1113">
        <v>290.66199999999998</v>
      </c>
      <c r="D254" s="1113">
        <v>461.988</v>
      </c>
      <c r="E254" s="1113">
        <v>546.36</v>
      </c>
      <c r="F254" s="1113">
        <v>561.33100000000002</v>
      </c>
      <c r="G254" s="68"/>
      <c r="H254" s="68"/>
      <c r="I254" s="68"/>
      <c r="J254" s="68">
        <f>K254</f>
        <v>470.30900000000003</v>
      </c>
      <c r="K254" s="1113">
        <v>470.30900000000003</v>
      </c>
      <c r="L254" s="68"/>
      <c r="M254" s="68"/>
      <c r="N254" s="68"/>
      <c r="O254" s="68">
        <f>P254</f>
        <v>397.70400000000001</v>
      </c>
      <c r="P254" s="1113">
        <v>397.70400000000001</v>
      </c>
      <c r="Q254" s="68"/>
      <c r="R254" s="68"/>
      <c r="S254" s="68"/>
      <c r="T254" s="68">
        <f>U254</f>
        <v>456</v>
      </c>
      <c r="U254" s="1113">
        <v>456</v>
      </c>
      <c r="V254" s="68"/>
      <c r="W254" s="68"/>
      <c r="X254" s="68"/>
      <c r="Y254" s="68">
        <f>Z254</f>
        <v>391</v>
      </c>
      <c r="Z254" s="1113">
        <v>391</v>
      </c>
      <c r="AA254" s="68"/>
      <c r="AB254" s="68"/>
      <c r="AC254" s="68"/>
      <c r="AD254" s="68">
        <f>AE254</f>
        <v>1001</v>
      </c>
      <c r="AE254" s="1113">
        <v>1001</v>
      </c>
      <c r="AF254" s="68"/>
      <c r="AG254" s="68"/>
      <c r="AH254" s="68"/>
      <c r="AI254" s="68">
        <f>AJ254</f>
        <v>1331</v>
      </c>
      <c r="AJ254" s="1113">
        <v>1331</v>
      </c>
      <c r="AK254" s="68"/>
      <c r="AL254" s="68"/>
      <c r="AM254" s="68"/>
      <c r="AN254" s="68">
        <f>AO254</f>
        <v>912</v>
      </c>
      <c r="AO254" s="1113">
        <v>912</v>
      </c>
      <c r="AP254" s="68"/>
      <c r="AQ254" s="68"/>
      <c r="AR254" s="68"/>
      <c r="AS254" s="68">
        <f>AT254</f>
        <v>1156</v>
      </c>
      <c r="AT254" s="1113">
        <v>1156</v>
      </c>
      <c r="AU254" s="68"/>
      <c r="AV254" s="68"/>
      <c r="AW254" s="68"/>
      <c r="AX254" s="68">
        <f>AY254</f>
        <v>2540</v>
      </c>
      <c r="AY254" s="1113">
        <v>2540</v>
      </c>
      <c r="AZ254" s="1055">
        <v>3460</v>
      </c>
      <c r="BA254" s="1055">
        <v>4590</v>
      </c>
      <c r="BB254" s="68"/>
      <c r="BC254" s="68"/>
      <c r="BD254" s="1112"/>
      <c r="BE254" s="68"/>
      <c r="BF254" s="68"/>
      <c r="BG254" s="68"/>
      <c r="BH254" s="68"/>
      <c r="BI254" s="1112"/>
      <c r="BJ254" s="68"/>
      <c r="BK254" s="68"/>
      <c r="BL254" s="68"/>
      <c r="BM254" s="68"/>
      <c r="BN254" s="1112"/>
      <c r="BO254" s="68"/>
      <c r="BP254" s="68"/>
      <c r="BQ254" s="68"/>
      <c r="BR254" s="68"/>
      <c r="BS254" s="1112"/>
      <c r="BT254" s="68"/>
      <c r="BU254" s="68"/>
      <c r="BV254" s="68"/>
      <c r="BW254" s="68"/>
      <c r="BX254" s="1112"/>
      <c r="BY254" s="588"/>
      <c r="BZ254" s="68"/>
      <c r="CA254" s="68"/>
      <c r="CB254" s="68"/>
      <c r="CC254" s="1112"/>
      <c r="CD254" s="68"/>
      <c r="CE254" s="68"/>
      <c r="CF254" s="68"/>
      <c r="CG254" s="68"/>
      <c r="CH254" s="1112"/>
      <c r="CI254" s="1112"/>
      <c r="CJ254" s="1112"/>
      <c r="CK254" s="1112"/>
      <c r="CL254" s="155"/>
    </row>
    <row r="255" spans="1:90" hidden="1" outlineLevel="1" x14ac:dyDescent="0.3">
      <c r="A255" s="99" t="s">
        <v>672</v>
      </c>
      <c r="B255" s="602"/>
      <c r="C255" s="1112">
        <f>C256-C254</f>
        <v>0</v>
      </c>
      <c r="D255" s="1112">
        <f>D256-D254</f>
        <v>0</v>
      </c>
      <c r="E255" s="1112">
        <f>E256-E254</f>
        <v>0</v>
      </c>
      <c r="F255" s="1112">
        <f>F256-F254</f>
        <v>0</v>
      </c>
      <c r="G255" s="68"/>
      <c r="H255" s="68"/>
      <c r="I255" s="68"/>
      <c r="J255" s="68">
        <f>J256-J254</f>
        <v>0</v>
      </c>
      <c r="K255" s="1112">
        <f>K256-K254</f>
        <v>0</v>
      </c>
      <c r="L255" s="68"/>
      <c r="M255" s="68"/>
      <c r="N255" s="68"/>
      <c r="O255" s="68">
        <f>O256-O254</f>
        <v>0</v>
      </c>
      <c r="P255" s="1112">
        <f>P256-P254</f>
        <v>0</v>
      </c>
      <c r="Q255" s="68"/>
      <c r="R255" s="68"/>
      <c r="S255" s="68"/>
      <c r="T255" s="68">
        <f>T256-T254</f>
        <v>0</v>
      </c>
      <c r="U255" s="1112">
        <f>U256-U254</f>
        <v>0</v>
      </c>
      <c r="V255" s="68"/>
      <c r="W255" s="68"/>
      <c r="X255" s="68"/>
      <c r="Y255" s="68">
        <f>Y256-Y254</f>
        <v>0</v>
      </c>
      <c r="Z255" s="1112">
        <f>Z256-Z254</f>
        <v>0</v>
      </c>
      <c r="AA255" s="68"/>
      <c r="AB255" s="68"/>
      <c r="AC255" s="68"/>
      <c r="AD255" s="68">
        <f>AD256-AD254</f>
        <v>0</v>
      </c>
      <c r="AE255" s="1112">
        <f>AE256-AE254</f>
        <v>0</v>
      </c>
      <c r="AF255" s="68"/>
      <c r="AG255" s="68"/>
      <c r="AH255" s="68"/>
      <c r="AI255" s="68">
        <f>AI256-AI254</f>
        <v>0</v>
      </c>
      <c r="AJ255" s="1112">
        <f>AJ256-AJ254</f>
        <v>0</v>
      </c>
      <c r="AK255" s="68"/>
      <c r="AL255" s="68"/>
      <c r="AM255" s="68"/>
      <c r="AN255" s="68">
        <f>AN256-AN254</f>
        <v>0</v>
      </c>
      <c r="AO255" s="1112">
        <f>AO256-AO254</f>
        <v>0</v>
      </c>
      <c r="AP255" s="68"/>
      <c r="AQ255" s="68"/>
      <c r="AR255" s="68"/>
      <c r="AS255" s="68">
        <f>AS256-AS254</f>
        <v>4</v>
      </c>
      <c r="AT255" s="1112">
        <f>AT256-AT254</f>
        <v>4</v>
      </c>
      <c r="AU255" s="68"/>
      <c r="AV255" s="68"/>
      <c r="AW255" s="68"/>
      <c r="AX255" s="68">
        <f>AX256-AX254</f>
        <v>0</v>
      </c>
      <c r="AY255" s="1112">
        <f>AY256-AY254</f>
        <v>0</v>
      </c>
      <c r="AZ255" s="68">
        <f>AZ256-AZ254</f>
        <v>0</v>
      </c>
      <c r="BA255" s="68">
        <f>BA256-BA254</f>
        <v>200</v>
      </c>
      <c r="BB255" s="68"/>
      <c r="BC255" s="68"/>
      <c r="BD255" s="1112"/>
      <c r="BE255" s="68"/>
      <c r="BF255" s="68"/>
      <c r="BG255" s="68"/>
      <c r="BH255" s="68"/>
      <c r="BI255" s="1112"/>
      <c r="BJ255" s="68"/>
      <c r="BK255" s="68"/>
      <c r="BL255" s="68"/>
      <c r="BM255" s="68"/>
      <c r="BN255" s="1112"/>
      <c r="BO255" s="68"/>
      <c r="BP255" s="68"/>
      <c r="BQ255" s="68"/>
      <c r="BR255" s="68"/>
      <c r="BS255" s="1112"/>
      <c r="BT255" s="68"/>
      <c r="BU255" s="68"/>
      <c r="BV255" s="68"/>
      <c r="BW255" s="68"/>
      <c r="BX255" s="1112"/>
      <c r="BY255" s="588"/>
      <c r="BZ255" s="68"/>
      <c r="CA255" s="68"/>
      <c r="CB255" s="68"/>
      <c r="CC255" s="1112"/>
      <c r="CD255" s="68"/>
      <c r="CE255" s="68"/>
      <c r="CF255" s="68"/>
      <c r="CG255" s="68"/>
      <c r="CH255" s="1112"/>
      <c r="CI255" s="1112"/>
      <c r="CJ255" s="1112"/>
      <c r="CK255" s="1112"/>
      <c r="CL255" s="155"/>
    </row>
    <row r="256" spans="1:90" hidden="1" outlineLevel="1" x14ac:dyDescent="0.3">
      <c r="A256" s="631" t="s">
        <v>668</v>
      </c>
      <c r="B256" s="604"/>
      <c r="C256" s="1140">
        <v>290.66199999999998</v>
      </c>
      <c r="D256" s="1140">
        <v>461.988</v>
      </c>
      <c r="E256" s="1140">
        <v>546.36</v>
      </c>
      <c r="F256" s="1140">
        <v>561.33100000000002</v>
      </c>
      <c r="G256" s="1065">
        <v>594.79999999999995</v>
      </c>
      <c r="H256" s="1065">
        <v>669.9</v>
      </c>
      <c r="I256" s="1065">
        <v>596.70000000000005</v>
      </c>
      <c r="J256" s="61">
        <f>K256</f>
        <v>470.30900000000003</v>
      </c>
      <c r="K256" s="1140">
        <v>470.30900000000003</v>
      </c>
      <c r="L256" s="1065">
        <v>538</v>
      </c>
      <c r="M256" s="1065">
        <v>457.6</v>
      </c>
      <c r="N256" s="1065">
        <v>383.7</v>
      </c>
      <c r="O256" s="61">
        <f>P256</f>
        <v>397.70400000000001</v>
      </c>
      <c r="P256" s="1140">
        <v>397.70400000000001</v>
      </c>
      <c r="Q256" s="1065">
        <v>414.2</v>
      </c>
      <c r="R256" s="1065">
        <v>486.3</v>
      </c>
      <c r="S256" s="1065">
        <v>512.20000000000005</v>
      </c>
      <c r="T256" s="61">
        <f>U256</f>
        <v>456</v>
      </c>
      <c r="U256" s="1140">
        <v>456</v>
      </c>
      <c r="V256" s="1065">
        <v>398</v>
      </c>
      <c r="W256" s="1065">
        <v>487</v>
      </c>
      <c r="X256" s="1065">
        <v>442</v>
      </c>
      <c r="Y256" s="61">
        <f>Z256</f>
        <v>391</v>
      </c>
      <c r="Z256" s="1140">
        <v>391</v>
      </c>
      <c r="AA256" s="1065">
        <v>696</v>
      </c>
      <c r="AB256" s="1065">
        <v>826</v>
      </c>
      <c r="AC256" s="1065">
        <v>908</v>
      </c>
      <c r="AD256" s="61">
        <f>AE256</f>
        <v>1001</v>
      </c>
      <c r="AE256" s="1140">
        <v>1001</v>
      </c>
      <c r="AF256" s="1065">
        <v>799</v>
      </c>
      <c r="AG256" s="1065">
        <v>1040</v>
      </c>
      <c r="AH256" s="1065">
        <v>1160</v>
      </c>
      <c r="AI256" s="61">
        <f>AJ256</f>
        <v>1331</v>
      </c>
      <c r="AJ256" s="1140">
        <v>1331</v>
      </c>
      <c r="AK256" s="1065">
        <v>1690</v>
      </c>
      <c r="AL256" s="1065">
        <v>1910</v>
      </c>
      <c r="AM256" s="1065">
        <v>1560</v>
      </c>
      <c r="AN256" s="61">
        <f>AO256</f>
        <v>912</v>
      </c>
      <c r="AO256" s="1140">
        <v>912</v>
      </c>
      <c r="AP256" s="1065">
        <v>782</v>
      </c>
      <c r="AQ256" s="1065">
        <v>757</v>
      </c>
      <c r="AR256" s="1065">
        <v>980</v>
      </c>
      <c r="AS256" s="61">
        <f>AT256</f>
        <v>1160</v>
      </c>
      <c r="AT256" s="1140">
        <v>1160</v>
      </c>
      <c r="AU256" s="1065">
        <v>1760</v>
      </c>
      <c r="AV256" s="1065">
        <v>2040</v>
      </c>
      <c r="AW256" s="1065">
        <v>2570</v>
      </c>
      <c r="AX256" s="61">
        <f>AY256</f>
        <v>2540</v>
      </c>
      <c r="AY256" s="1140">
        <v>2540</v>
      </c>
      <c r="AZ256" s="1065">
        <v>3460</v>
      </c>
      <c r="BA256" s="1065">
        <v>4790</v>
      </c>
      <c r="BB256" s="1065">
        <v>6900</v>
      </c>
      <c r="BC256" s="61">
        <f>BD256</f>
        <v>9000</v>
      </c>
      <c r="BD256" s="1140">
        <v>9000</v>
      </c>
      <c r="BE256" s="1065">
        <v>9590</v>
      </c>
      <c r="BF256" s="1065">
        <v>9220</v>
      </c>
      <c r="BG256" s="1065">
        <v>7020</v>
      </c>
      <c r="BH256" s="61">
        <f>BI256</f>
        <v>4920</v>
      </c>
      <c r="BI256" s="1140">
        <v>4920</v>
      </c>
      <c r="BJ256" s="1065">
        <v>7270</v>
      </c>
      <c r="BK256" s="1065">
        <v>11150</v>
      </c>
      <c r="BL256" s="1065">
        <v>17110</v>
      </c>
      <c r="BM256" s="61">
        <f>BN256</f>
        <v>16100</v>
      </c>
      <c r="BN256" s="1140">
        <v>16100</v>
      </c>
      <c r="BO256" s="1065">
        <v>18800</v>
      </c>
      <c r="BP256" s="1065">
        <v>27800</v>
      </c>
      <c r="BQ256" s="1065">
        <v>28900</v>
      </c>
      <c r="BR256" s="61">
        <f>BS256</f>
        <v>30800</v>
      </c>
      <c r="BS256" s="1140">
        <v>30800</v>
      </c>
      <c r="BT256" s="1065">
        <v>29800</v>
      </c>
      <c r="BU256" s="61"/>
      <c r="BV256" s="61"/>
      <c r="BW256" s="61"/>
      <c r="BX256" s="1124"/>
      <c r="BY256" s="896"/>
      <c r="BZ256" s="61"/>
      <c r="CA256" s="61"/>
      <c r="CB256" s="61"/>
      <c r="CC256" s="1124"/>
      <c r="CD256" s="61"/>
      <c r="CE256" s="61"/>
      <c r="CF256" s="61"/>
      <c r="CG256" s="61"/>
      <c r="CH256" s="1124"/>
      <c r="CI256" s="1124"/>
      <c r="CJ256" s="1124"/>
      <c r="CK256" s="1124"/>
      <c r="CL256" s="155"/>
    </row>
    <row r="257" spans="1:90" hidden="1" outlineLevel="1" x14ac:dyDescent="0.3">
      <c r="A257" s="636"/>
      <c r="B257" s="602"/>
      <c r="C257" s="1112"/>
      <c r="D257" s="1112"/>
      <c r="E257" s="1112"/>
      <c r="F257" s="1112"/>
      <c r="G257" s="68"/>
      <c r="H257" s="68"/>
      <c r="I257" s="68"/>
      <c r="J257" s="68"/>
      <c r="K257" s="1112"/>
      <c r="L257" s="68"/>
      <c r="M257" s="68"/>
      <c r="N257" s="68"/>
      <c r="O257" s="68"/>
      <c r="P257" s="1112"/>
      <c r="Q257" s="68"/>
      <c r="R257" s="68"/>
      <c r="S257" s="68"/>
      <c r="T257" s="68"/>
      <c r="U257" s="1112"/>
      <c r="V257" s="68"/>
      <c r="W257" s="68"/>
      <c r="X257" s="68"/>
      <c r="Y257" s="68"/>
      <c r="Z257" s="1112"/>
      <c r="AA257" s="68"/>
      <c r="AB257" s="68"/>
      <c r="AC257" s="68"/>
      <c r="AD257" s="68"/>
      <c r="AE257" s="1112"/>
      <c r="AF257" s="68"/>
      <c r="AG257" s="68"/>
      <c r="AH257" s="68"/>
      <c r="AI257" s="68"/>
      <c r="AJ257" s="1112"/>
      <c r="AK257" s="68"/>
      <c r="AL257" s="68"/>
      <c r="AM257" s="68"/>
      <c r="AN257" s="68"/>
      <c r="AO257" s="1112"/>
      <c r="AP257" s="68"/>
      <c r="AQ257" s="68"/>
      <c r="AR257" s="68"/>
      <c r="AS257" s="68"/>
      <c r="AT257" s="1112"/>
      <c r="AU257" s="68"/>
      <c r="AV257" s="68"/>
      <c r="AW257" s="68"/>
      <c r="AX257" s="68"/>
      <c r="AY257" s="1112"/>
      <c r="AZ257" s="68"/>
      <c r="BA257" s="68"/>
      <c r="BB257" s="68"/>
      <c r="BC257" s="68"/>
      <c r="BD257" s="1112"/>
      <c r="BE257" s="68"/>
      <c r="BF257" s="68"/>
      <c r="BG257" s="68"/>
      <c r="BH257" s="68"/>
      <c r="BI257" s="1112"/>
      <c r="BJ257" s="68"/>
      <c r="BK257" s="68"/>
      <c r="BL257" s="68"/>
      <c r="BM257" s="68"/>
      <c r="BN257" s="1112"/>
      <c r="BO257" s="68"/>
      <c r="BP257" s="68"/>
      <c r="BQ257" s="68"/>
      <c r="BR257" s="68"/>
      <c r="BS257" s="1112"/>
      <c r="BT257" s="68"/>
      <c r="BU257" s="68"/>
      <c r="BV257" s="68"/>
      <c r="BW257" s="68"/>
      <c r="BX257" s="1112"/>
      <c r="BY257" s="588"/>
      <c r="BZ257" s="68"/>
      <c r="CA257" s="68"/>
      <c r="CB257" s="68"/>
      <c r="CC257" s="1112"/>
      <c r="CD257" s="68"/>
      <c r="CE257" s="68"/>
      <c r="CF257" s="68"/>
      <c r="CG257" s="68"/>
      <c r="CH257" s="1112"/>
      <c r="CI257" s="1112"/>
      <c r="CJ257" s="1112"/>
      <c r="CK257" s="1112"/>
      <c r="CL257" s="155"/>
    </row>
    <row r="258" spans="1:90" hidden="1" outlineLevel="1" x14ac:dyDescent="0.3">
      <c r="A258" s="636" t="s">
        <v>669</v>
      </c>
      <c r="B258" s="602"/>
      <c r="C258" s="1113">
        <v>20.3</v>
      </c>
      <c r="D258" s="1113">
        <v>25.2</v>
      </c>
      <c r="E258" s="1113">
        <v>31.8</v>
      </c>
      <c r="F258" s="1113">
        <v>40.5</v>
      </c>
      <c r="G258" s="68"/>
      <c r="H258" s="68"/>
      <c r="I258" s="68"/>
      <c r="J258" s="68">
        <f>K258</f>
        <v>44.8</v>
      </c>
      <c r="K258" s="1113">
        <v>44.8</v>
      </c>
      <c r="L258" s="68"/>
      <c r="M258" s="68"/>
      <c r="N258" s="68"/>
      <c r="O258" s="68">
        <f>P258</f>
        <v>41.3</v>
      </c>
      <c r="P258" s="1113">
        <v>41.3</v>
      </c>
      <c r="Q258" s="68"/>
      <c r="R258" s="68"/>
      <c r="S258" s="68"/>
      <c r="T258" s="68">
        <f>U258</f>
        <v>51</v>
      </c>
      <c r="U258" s="1113">
        <v>51</v>
      </c>
      <c r="V258" s="68"/>
      <c r="W258" s="68"/>
      <c r="X258" s="68"/>
      <c r="Y258" s="68">
        <f>Z258</f>
        <v>36</v>
      </c>
      <c r="Z258" s="1113">
        <v>36</v>
      </c>
      <c r="AA258" s="68"/>
      <c r="AB258" s="68"/>
      <c r="AC258" s="68"/>
      <c r="AD258" s="68">
        <f>AE258</f>
        <v>38</v>
      </c>
      <c r="AE258" s="1113">
        <v>38</v>
      </c>
      <c r="AF258" s="68"/>
      <c r="AG258" s="68"/>
      <c r="AH258" s="68"/>
      <c r="AI258" s="68">
        <f>AJ258</f>
        <v>135</v>
      </c>
      <c r="AJ258" s="1113">
        <v>135</v>
      </c>
      <c r="AK258" s="68"/>
      <c r="AL258" s="68"/>
      <c r="AM258" s="68"/>
      <c r="AN258" s="68">
        <f>AO258</f>
        <v>258</v>
      </c>
      <c r="AO258" s="1113">
        <v>258</v>
      </c>
      <c r="AP258" s="1055">
        <v>194</v>
      </c>
      <c r="AQ258" s="1055">
        <v>133</v>
      </c>
      <c r="AR258" s="1055">
        <v>138</v>
      </c>
      <c r="AS258" s="68">
        <f>AT258</f>
        <v>186</v>
      </c>
      <c r="AT258" s="1113">
        <v>186</v>
      </c>
      <c r="AU258" s="1055">
        <v>287</v>
      </c>
      <c r="AV258" s="1055">
        <v>310</v>
      </c>
      <c r="AW258" s="1055">
        <v>398</v>
      </c>
      <c r="AX258" s="68">
        <f>AY258</f>
        <v>317</v>
      </c>
      <c r="AY258" s="1113">
        <v>317</v>
      </c>
      <c r="AZ258" s="1055">
        <v>396</v>
      </c>
      <c r="BA258" s="1055">
        <v>565</v>
      </c>
      <c r="BB258" s="1055">
        <v>935</v>
      </c>
      <c r="BC258" s="68">
        <f>BD258</f>
        <v>1300</v>
      </c>
      <c r="BD258" s="1113">
        <v>1300</v>
      </c>
      <c r="BE258" s="1055">
        <v>1850</v>
      </c>
      <c r="BF258" s="1055">
        <v>1360</v>
      </c>
      <c r="BG258" s="1055">
        <v>2750</v>
      </c>
      <c r="BH258" s="68">
        <f>BI258</f>
        <v>3140</v>
      </c>
      <c r="BI258" s="1113">
        <v>3140</v>
      </c>
      <c r="BJ258" s="1055">
        <v>3260</v>
      </c>
      <c r="BK258" s="1055">
        <v>4310</v>
      </c>
      <c r="BL258" s="1055">
        <v>4430</v>
      </c>
      <c r="BM258" s="68">
        <f>BN258</f>
        <v>4600</v>
      </c>
      <c r="BN258" s="1113">
        <v>4600</v>
      </c>
      <c r="BO258" s="1055">
        <v>10600</v>
      </c>
      <c r="BP258" s="1055">
        <v>12000</v>
      </c>
      <c r="BQ258" s="1055">
        <v>13200</v>
      </c>
      <c r="BR258" s="68">
        <f>BS258</f>
        <v>14300</v>
      </c>
      <c r="BS258" s="1113">
        <v>14300</v>
      </c>
      <c r="BT258" s="1055">
        <v>13700</v>
      </c>
      <c r="BU258" s="68"/>
      <c r="BV258" s="68"/>
      <c r="BW258" s="68"/>
      <c r="BX258" s="1112"/>
      <c r="BY258" s="588"/>
      <c r="BZ258" s="68"/>
      <c r="CA258" s="68"/>
      <c r="CB258" s="68"/>
      <c r="CC258" s="1112"/>
      <c r="CD258" s="68"/>
      <c r="CE258" s="68"/>
      <c r="CF258" s="68"/>
      <c r="CG258" s="68"/>
      <c r="CH258" s="1112"/>
      <c r="CI258" s="1112"/>
      <c r="CJ258" s="1112"/>
      <c r="CK258" s="1112"/>
      <c r="CL258" s="155"/>
    </row>
    <row r="259" spans="1:90" hidden="1" outlineLevel="1" x14ac:dyDescent="0.3">
      <c r="A259" s="636" t="s">
        <v>670</v>
      </c>
      <c r="B259" s="602"/>
      <c r="C259" s="1112"/>
      <c r="D259" s="1112"/>
      <c r="E259" s="1112"/>
      <c r="F259" s="1112"/>
      <c r="G259" s="68"/>
      <c r="H259" s="68"/>
      <c r="I259" s="68"/>
      <c r="J259" s="68"/>
      <c r="K259" s="1112"/>
      <c r="L259" s="68"/>
      <c r="M259" s="68"/>
      <c r="N259" s="68"/>
      <c r="O259" s="68"/>
      <c r="P259" s="1112"/>
      <c r="Q259" s="68"/>
      <c r="R259" s="68"/>
      <c r="S259" s="68"/>
      <c r="T259" s="68"/>
      <c r="U259" s="1112"/>
      <c r="V259" s="68"/>
      <c r="W259" s="68"/>
      <c r="X259" s="68"/>
      <c r="Y259" s="68"/>
      <c r="Z259" s="1112"/>
      <c r="AA259" s="68"/>
      <c r="AB259" s="68"/>
      <c r="AC259" s="68"/>
      <c r="AD259" s="68"/>
      <c r="AE259" s="1112"/>
      <c r="AF259" s="68"/>
      <c r="AG259" s="68"/>
      <c r="AH259" s="68"/>
      <c r="AI259" s="68"/>
      <c r="AJ259" s="1112"/>
      <c r="AK259" s="68"/>
      <c r="AL259" s="68"/>
      <c r="AM259" s="68"/>
      <c r="AN259" s="68"/>
      <c r="AO259" s="1112"/>
      <c r="AP259" s="68"/>
      <c r="AQ259" s="68"/>
      <c r="AR259" s="68"/>
      <c r="AS259" s="68"/>
      <c r="AT259" s="1112"/>
      <c r="AU259" s="68"/>
      <c r="AV259" s="68"/>
      <c r="AW259" s="68"/>
      <c r="AX259" s="68"/>
      <c r="AY259" s="1112"/>
      <c r="AZ259" s="68"/>
      <c r="BA259" s="68"/>
      <c r="BB259" s="1055">
        <v>1790</v>
      </c>
      <c r="BC259" s="68">
        <f>BD259</f>
        <v>1580</v>
      </c>
      <c r="BD259" s="1113">
        <v>1580</v>
      </c>
      <c r="BE259" s="1055">
        <v>1020</v>
      </c>
      <c r="BF259" s="1055">
        <v>929</v>
      </c>
      <c r="BG259" s="1055">
        <v>917</v>
      </c>
      <c r="BH259" s="68">
        <f>BI259</f>
        <v>810</v>
      </c>
      <c r="BI259" s="1113">
        <v>810</v>
      </c>
      <c r="BJ259" s="68"/>
      <c r="BK259" s="68"/>
      <c r="BL259" s="68"/>
      <c r="BM259" s="68">
        <f>BN259</f>
        <v>0</v>
      </c>
      <c r="BN259" s="1112"/>
      <c r="BO259" s="68"/>
      <c r="BP259" s="68"/>
      <c r="BQ259" s="68"/>
      <c r="BR259" s="68"/>
      <c r="BS259" s="1112"/>
      <c r="BT259" s="68"/>
      <c r="BU259" s="68"/>
      <c r="BV259" s="68"/>
      <c r="BW259" s="68"/>
      <c r="BX259" s="1112"/>
      <c r="BY259" s="588"/>
      <c r="BZ259" s="68"/>
      <c r="CA259" s="68"/>
      <c r="CB259" s="68"/>
      <c r="CC259" s="1112"/>
      <c r="CD259" s="68"/>
      <c r="CE259" s="68"/>
      <c r="CF259" s="68"/>
      <c r="CG259" s="68"/>
      <c r="CH259" s="1112"/>
      <c r="CI259" s="1112"/>
      <c r="CJ259" s="1112"/>
      <c r="CK259" s="1112"/>
      <c r="CL259" s="155"/>
    </row>
    <row r="260" spans="1:90" hidden="1" outlineLevel="1" x14ac:dyDescent="0.3">
      <c r="A260" s="636"/>
      <c r="B260" s="602"/>
      <c r="C260" s="1112"/>
      <c r="D260" s="1112"/>
      <c r="E260" s="1112"/>
      <c r="F260" s="1112"/>
      <c r="G260" s="68"/>
      <c r="H260" s="68"/>
      <c r="I260" s="68"/>
      <c r="J260" s="68"/>
      <c r="K260" s="1112"/>
      <c r="L260" s="68"/>
      <c r="M260" s="68"/>
      <c r="N260" s="68"/>
      <c r="O260" s="68"/>
      <c r="P260" s="1112"/>
      <c r="Q260" s="68"/>
      <c r="R260" s="68"/>
      <c r="S260" s="68"/>
      <c r="T260" s="68"/>
      <c r="U260" s="1112"/>
      <c r="V260" s="68"/>
      <c r="W260" s="68"/>
      <c r="X260" s="68"/>
      <c r="Y260" s="68"/>
      <c r="Z260" s="1112"/>
      <c r="AA260" s="68"/>
      <c r="AB260" s="68"/>
      <c r="AC260" s="68"/>
      <c r="AD260" s="68"/>
      <c r="AE260" s="1112"/>
      <c r="AF260" s="68"/>
      <c r="AG260" s="68"/>
      <c r="AH260" s="68"/>
      <c r="AI260" s="68"/>
      <c r="AJ260" s="1112"/>
      <c r="AK260" s="68"/>
      <c r="AL260" s="68"/>
      <c r="AM260" s="68"/>
      <c r="AN260" s="68"/>
      <c r="AO260" s="1112"/>
      <c r="AP260" s="68"/>
      <c r="AQ260" s="68"/>
      <c r="AR260" s="68"/>
      <c r="AS260" s="68"/>
      <c r="AT260" s="1112"/>
      <c r="AU260" s="68"/>
      <c r="AV260" s="68"/>
      <c r="AW260" s="68"/>
      <c r="AX260" s="68"/>
      <c r="AY260" s="1112"/>
      <c r="AZ260" s="68"/>
      <c r="BA260" s="68"/>
      <c r="BB260" s="68"/>
      <c r="BC260" s="68"/>
      <c r="BD260" s="1112"/>
      <c r="BE260" s="68"/>
      <c r="BF260" s="68"/>
      <c r="BG260" s="68"/>
      <c r="BH260" s="68"/>
      <c r="BI260" s="1112"/>
      <c r="BJ260" s="68"/>
      <c r="BK260" s="68"/>
      <c r="BL260" s="68"/>
      <c r="BM260" s="68"/>
      <c r="BN260" s="1112"/>
      <c r="BO260" s="68"/>
      <c r="BP260" s="68"/>
      <c r="BQ260" s="68"/>
      <c r="BR260" s="68"/>
      <c r="BS260" s="1112"/>
      <c r="BT260" s="68"/>
      <c r="BU260" s="68"/>
      <c r="BV260" s="68"/>
      <c r="BW260" s="68"/>
      <c r="BX260" s="1112"/>
      <c r="BY260" s="588"/>
      <c r="BZ260" s="68"/>
      <c r="CA260" s="68"/>
      <c r="CB260" s="68"/>
      <c r="CC260" s="1112"/>
      <c r="CD260" s="68"/>
      <c r="CE260" s="68"/>
      <c r="CF260" s="68"/>
      <c r="CG260" s="68"/>
      <c r="CH260" s="1112"/>
      <c r="CI260" s="1112"/>
      <c r="CJ260" s="1112"/>
      <c r="CK260" s="1112"/>
      <c r="CL260" s="155"/>
    </row>
    <row r="261" spans="1:90" hidden="1" outlineLevel="1" x14ac:dyDescent="0.3">
      <c r="A261" s="99" t="s">
        <v>750</v>
      </c>
      <c r="B261" s="602"/>
      <c r="C261" s="1112"/>
      <c r="D261" s="1112"/>
      <c r="E261" s="1112"/>
      <c r="F261" s="1112"/>
      <c r="G261" s="68"/>
      <c r="H261" s="68"/>
      <c r="I261" s="68"/>
      <c r="J261" s="68"/>
      <c r="K261" s="1112"/>
      <c r="L261" s="68"/>
      <c r="M261" s="68"/>
      <c r="N261" s="68"/>
      <c r="O261" s="68"/>
      <c r="P261" s="1112"/>
      <c r="Q261" s="68"/>
      <c r="R261" s="68"/>
      <c r="S261" s="68"/>
      <c r="T261" s="68"/>
      <c r="U261" s="1112"/>
      <c r="V261" s="68"/>
      <c r="W261" s="68"/>
      <c r="X261" s="68"/>
      <c r="Y261" s="68"/>
      <c r="Z261" s="1112"/>
      <c r="AA261" s="68"/>
      <c r="AB261" s="68"/>
      <c r="AC261" s="68"/>
      <c r="AD261" s="68"/>
      <c r="AE261" s="1112"/>
      <c r="AF261" s="68"/>
      <c r="AG261" s="68"/>
      <c r="AH261" s="68"/>
      <c r="AI261" s="68"/>
      <c r="AJ261" s="1112"/>
      <c r="AK261" s="68"/>
      <c r="AL261" s="68"/>
      <c r="AM261" s="68"/>
      <c r="AN261" s="68"/>
      <c r="AO261" s="1112"/>
      <c r="AP261" s="68"/>
      <c r="AQ261" s="68"/>
      <c r="AR261" s="68"/>
      <c r="AS261" s="68"/>
      <c r="AT261" s="1112"/>
      <c r="AU261" s="68"/>
      <c r="AV261" s="68"/>
      <c r="AW261" s="68"/>
      <c r="AX261" s="68"/>
      <c r="AY261" s="1112"/>
      <c r="AZ261" s="68"/>
      <c r="BA261" s="68"/>
      <c r="BB261" s="1055">
        <v>2944</v>
      </c>
      <c r="BC261" s="68"/>
      <c r="BD261" s="1112"/>
      <c r="BE261" s="1055">
        <v>8344</v>
      </c>
      <c r="BF261" s="1055">
        <v>7108</v>
      </c>
      <c r="BG261" s="1055">
        <v>4234</v>
      </c>
      <c r="BH261" s="68"/>
      <c r="BI261" s="1112"/>
      <c r="BJ261" s="1055">
        <v>6667</v>
      </c>
      <c r="BK261" s="1055">
        <v>8439</v>
      </c>
      <c r="BL261" s="1055">
        <v>6499</v>
      </c>
      <c r="BM261" s="68">
        <f t="shared" ref="BM261:BM267" si="654">BN261</f>
        <v>0</v>
      </c>
      <c r="BN261" s="1112"/>
      <c r="BO261" s="1055">
        <v>19306</v>
      </c>
      <c r="BP261" s="1055">
        <v>21934</v>
      </c>
      <c r="BQ261" s="1055">
        <v>14178</v>
      </c>
      <c r="BR261" s="68"/>
      <c r="BS261" s="1112"/>
      <c r="BT261" s="1055">
        <v>31445</v>
      </c>
      <c r="BU261" s="1055">
        <v>30930</v>
      </c>
      <c r="BV261" s="68"/>
      <c r="BW261" s="68"/>
      <c r="BX261" s="1112"/>
      <c r="BY261" s="588"/>
      <c r="BZ261" s="68"/>
      <c r="CA261" s="68"/>
      <c r="CB261" s="68"/>
      <c r="CC261" s="1112"/>
      <c r="CD261" s="68"/>
      <c r="CE261" s="68"/>
      <c r="CF261" s="68"/>
      <c r="CG261" s="68"/>
      <c r="CH261" s="1112"/>
      <c r="CI261" s="1112"/>
      <c r="CJ261" s="1112"/>
      <c r="CK261" s="1112"/>
      <c r="CL261" s="155"/>
    </row>
    <row r="262" spans="1:90" hidden="1" outlineLevel="1" x14ac:dyDescent="0.3">
      <c r="A262" s="99" t="s">
        <v>749</v>
      </c>
      <c r="B262" s="602"/>
      <c r="C262" s="1112"/>
      <c r="D262" s="1112"/>
      <c r="E262" s="1112"/>
      <c r="F262" s="1112"/>
      <c r="G262" s="68"/>
      <c r="H262" s="68"/>
      <c r="I262" s="68"/>
      <c r="J262" s="68"/>
      <c r="K262" s="1112"/>
      <c r="L262" s="68"/>
      <c r="M262" s="68"/>
      <c r="N262" s="68"/>
      <c r="O262" s="68"/>
      <c r="P262" s="1112"/>
      <c r="Q262" s="68"/>
      <c r="R262" s="68"/>
      <c r="S262" s="68"/>
      <c r="T262" s="68"/>
      <c r="U262" s="1112"/>
      <c r="V262" s="68"/>
      <c r="W262" s="68"/>
      <c r="X262" s="68"/>
      <c r="Y262" s="68"/>
      <c r="Z262" s="1112"/>
      <c r="AA262" s="68"/>
      <c r="AB262" s="68"/>
      <c r="AC262" s="68"/>
      <c r="AD262" s="68"/>
      <c r="AE262" s="1112"/>
      <c r="AF262" s="68"/>
      <c r="AG262" s="68"/>
      <c r="AH262" s="68"/>
      <c r="AI262" s="68"/>
      <c r="AJ262" s="1112"/>
      <c r="AK262" s="68"/>
      <c r="AL262" s="68"/>
      <c r="AM262" s="68"/>
      <c r="AN262" s="68"/>
      <c r="AO262" s="1112"/>
      <c r="AP262" s="68"/>
      <c r="AQ262" s="68"/>
      <c r="AR262" s="68"/>
      <c r="AS262" s="68"/>
      <c r="AT262" s="1112"/>
      <c r="AU262" s="68"/>
      <c r="AV262" s="68"/>
      <c r="AW262" s="68"/>
      <c r="AX262" s="68"/>
      <c r="AY262" s="1112"/>
      <c r="AZ262" s="68"/>
      <c r="BA262" s="68"/>
      <c r="BB262" s="1055">
        <v>4637</v>
      </c>
      <c r="BC262" s="68">
        <f>BD262</f>
        <v>9302</v>
      </c>
      <c r="BD262" s="1113">
        <v>9302</v>
      </c>
      <c r="BE262" s="1055">
        <v>2238</v>
      </c>
      <c r="BF262" s="1055">
        <v>2730</v>
      </c>
      <c r="BG262" s="1055">
        <v>3362</v>
      </c>
      <c r="BH262" s="68">
        <f t="shared" ref="BH262:BH267" si="655">BI262</f>
        <v>5230</v>
      </c>
      <c r="BI262" s="1113">
        <v>5230</v>
      </c>
      <c r="BJ262" s="1055">
        <v>1816</v>
      </c>
      <c r="BK262" s="1055">
        <v>3960</v>
      </c>
      <c r="BL262" s="1055">
        <v>11861</v>
      </c>
      <c r="BM262" s="68">
        <f t="shared" si="654"/>
        <v>17316</v>
      </c>
      <c r="BN262" s="1113">
        <v>17316</v>
      </c>
      <c r="BO262" s="1055">
        <v>3438</v>
      </c>
      <c r="BP262" s="1055">
        <v>10671</v>
      </c>
      <c r="BQ262" s="1055">
        <v>18895</v>
      </c>
      <c r="BR262" s="68">
        <f t="shared" ref="BR262:BR267" si="656">BS262</f>
        <v>35727</v>
      </c>
      <c r="BS262" s="1113">
        <v>35727</v>
      </c>
      <c r="BT262" s="1055">
        <v>5923</v>
      </c>
      <c r="BU262" s="1055">
        <v>6573</v>
      </c>
      <c r="BV262" s="68"/>
      <c r="BW262" s="68"/>
      <c r="BX262" s="1112"/>
      <c r="BY262" s="588"/>
      <c r="BZ262" s="68"/>
      <c r="CA262" s="68"/>
      <c r="CB262" s="68"/>
      <c r="CC262" s="1112"/>
      <c r="CD262" s="68"/>
      <c r="CE262" s="68"/>
      <c r="CF262" s="68"/>
      <c r="CG262" s="68"/>
      <c r="CH262" s="1112"/>
      <c r="CI262" s="1112"/>
      <c r="CJ262" s="1112"/>
      <c r="CK262" s="1112"/>
      <c r="CL262" s="155"/>
    </row>
    <row r="263" spans="1:90" hidden="1" outlineLevel="1" x14ac:dyDescent="0.3">
      <c r="A263" s="99" t="s">
        <v>744</v>
      </c>
      <c r="B263" s="602"/>
      <c r="C263" s="1112"/>
      <c r="D263" s="1112"/>
      <c r="E263" s="1112"/>
      <c r="F263" s="1112"/>
      <c r="G263" s="68"/>
      <c r="H263" s="68"/>
      <c r="I263" s="68"/>
      <c r="J263" s="68"/>
      <c r="K263" s="1112"/>
      <c r="L263" s="68"/>
      <c r="M263" s="68"/>
      <c r="N263" s="68"/>
      <c r="O263" s="68"/>
      <c r="P263" s="1112"/>
      <c r="Q263" s="68"/>
      <c r="R263" s="68"/>
      <c r="S263" s="68"/>
      <c r="T263" s="68"/>
      <c r="U263" s="1112"/>
      <c r="V263" s="68"/>
      <c r="W263" s="68"/>
      <c r="X263" s="68"/>
      <c r="Y263" s="68"/>
      <c r="Z263" s="1112"/>
      <c r="AA263" s="68"/>
      <c r="AB263" s="68"/>
      <c r="AC263" s="68"/>
      <c r="AD263" s="68"/>
      <c r="AE263" s="1112"/>
      <c r="AF263" s="68"/>
      <c r="AG263" s="68"/>
      <c r="AH263" s="68"/>
      <c r="AI263" s="68"/>
      <c r="AJ263" s="1112"/>
      <c r="AK263" s="68"/>
      <c r="AL263" s="68"/>
      <c r="AM263" s="68"/>
      <c r="AN263" s="68"/>
      <c r="AO263" s="1112"/>
      <c r="AP263" s="68"/>
      <c r="AQ263" s="68"/>
      <c r="AR263" s="68"/>
      <c r="AS263" s="68"/>
      <c r="AT263" s="1112"/>
      <c r="AU263" s="68"/>
      <c r="AV263" s="68"/>
      <c r="AW263" s="68"/>
      <c r="AX263" s="68"/>
      <c r="AY263" s="1112"/>
      <c r="AZ263" s="68"/>
      <c r="BA263" s="68"/>
      <c r="BB263" s="1055">
        <v>172</v>
      </c>
      <c r="BC263" s="68">
        <f>BD263</f>
        <v>765</v>
      </c>
      <c r="BD263" s="1113">
        <v>765</v>
      </c>
      <c r="BE263" s="1055">
        <v>406</v>
      </c>
      <c r="BF263" s="1055">
        <v>295</v>
      </c>
      <c r="BG263" s="1055">
        <v>798</v>
      </c>
      <c r="BH263" s="68">
        <f t="shared" si="655"/>
        <v>983</v>
      </c>
      <c r="BI263" s="1113">
        <v>983</v>
      </c>
      <c r="BJ263" s="1055">
        <v>753</v>
      </c>
      <c r="BK263" s="1055">
        <v>957</v>
      </c>
      <c r="BL263" s="1055">
        <v>1128</v>
      </c>
      <c r="BM263" s="68">
        <f t="shared" si="654"/>
        <v>1143</v>
      </c>
      <c r="BN263" s="1113">
        <v>1143</v>
      </c>
      <c r="BO263" s="1055">
        <v>2573</v>
      </c>
      <c r="BP263" s="1055">
        <v>2778</v>
      </c>
      <c r="BQ263" s="1055">
        <v>3381</v>
      </c>
      <c r="BR263" s="68">
        <f t="shared" si="656"/>
        <v>3666</v>
      </c>
      <c r="BS263" s="1113">
        <v>3666</v>
      </c>
      <c r="BT263" s="1055">
        <v>3110</v>
      </c>
      <c r="BU263" s="1055">
        <v>3915</v>
      </c>
      <c r="BV263" s="68"/>
      <c r="BW263" s="68"/>
      <c r="BX263" s="1112"/>
      <c r="BY263" s="588"/>
      <c r="BZ263" s="68"/>
      <c r="CA263" s="68"/>
      <c r="CB263" s="68"/>
      <c r="CC263" s="1112"/>
      <c r="CD263" s="68"/>
      <c r="CE263" s="68"/>
      <c r="CF263" s="68"/>
      <c r="CG263" s="68"/>
      <c r="CH263" s="1112"/>
      <c r="CI263" s="1112"/>
      <c r="CJ263" s="1112"/>
      <c r="CK263" s="1112"/>
      <c r="CL263" s="155"/>
    </row>
    <row r="264" spans="1:90" hidden="1" outlineLevel="1" x14ac:dyDescent="0.3">
      <c r="A264" s="99" t="s">
        <v>745</v>
      </c>
      <c r="B264" s="602"/>
      <c r="C264" s="1112"/>
      <c r="D264" s="1112"/>
      <c r="E264" s="1112"/>
      <c r="F264" s="1112"/>
      <c r="G264" s="68"/>
      <c r="H264" s="68"/>
      <c r="I264" s="68"/>
      <c r="J264" s="68"/>
      <c r="K264" s="1112"/>
      <c r="L264" s="68"/>
      <c r="M264" s="68"/>
      <c r="N264" s="68"/>
      <c r="O264" s="68"/>
      <c r="P264" s="1112"/>
      <c r="Q264" s="68"/>
      <c r="R264" s="68"/>
      <c r="S264" s="68"/>
      <c r="T264" s="68"/>
      <c r="U264" s="1112"/>
      <c r="V264" s="68"/>
      <c r="W264" s="68"/>
      <c r="X264" s="68"/>
      <c r="Y264" s="68"/>
      <c r="Z264" s="1112"/>
      <c r="AA264" s="68"/>
      <c r="AB264" s="68"/>
      <c r="AC264" s="68"/>
      <c r="AD264" s="68"/>
      <c r="AE264" s="1112"/>
      <c r="AF264" s="68"/>
      <c r="AG264" s="68"/>
      <c r="AH264" s="68"/>
      <c r="AI264" s="68"/>
      <c r="AJ264" s="1112"/>
      <c r="AK264" s="68"/>
      <c r="AL264" s="68"/>
      <c r="AM264" s="68"/>
      <c r="AN264" s="68"/>
      <c r="AO264" s="1112"/>
      <c r="AP264" s="68"/>
      <c r="AQ264" s="68"/>
      <c r="AR264" s="68"/>
      <c r="AS264" s="68"/>
      <c r="AT264" s="1112"/>
      <c r="AU264" s="68"/>
      <c r="AV264" s="68"/>
      <c r="AW264" s="68"/>
      <c r="AX264" s="68"/>
      <c r="AY264" s="1112"/>
      <c r="AZ264" s="68"/>
      <c r="BA264" s="68"/>
      <c r="BB264" s="1055">
        <v>52</v>
      </c>
      <c r="BC264" s="68">
        <f>BD264</f>
        <v>201</v>
      </c>
      <c r="BD264" s="1113">
        <v>201</v>
      </c>
      <c r="BE264" s="1055">
        <v>48</v>
      </c>
      <c r="BF264" s="1055">
        <v>49</v>
      </c>
      <c r="BG264" s="1055">
        <v>504</v>
      </c>
      <c r="BH264" s="68">
        <f t="shared" si="655"/>
        <v>679</v>
      </c>
      <c r="BI264" s="1113">
        <v>679</v>
      </c>
      <c r="BJ264" s="1055">
        <v>704</v>
      </c>
      <c r="BK264" s="1055">
        <v>999</v>
      </c>
      <c r="BL264" s="1055">
        <v>1038</v>
      </c>
      <c r="BM264" s="68">
        <f t="shared" si="654"/>
        <v>1060</v>
      </c>
      <c r="BN264" s="1113">
        <v>1060</v>
      </c>
      <c r="BO264" s="1055">
        <v>2222</v>
      </c>
      <c r="BP264" s="1055">
        <v>2436</v>
      </c>
      <c r="BQ264" s="1055">
        <v>2979</v>
      </c>
      <c r="BR264" s="68">
        <f t="shared" si="656"/>
        <v>2992</v>
      </c>
      <c r="BS264" s="1113">
        <v>2992</v>
      </c>
      <c r="BT264" s="1055">
        <v>2072</v>
      </c>
      <c r="BU264" s="1055">
        <v>2736</v>
      </c>
      <c r="BV264" s="68"/>
      <c r="BW264" s="68"/>
      <c r="BX264" s="1112"/>
      <c r="BY264" s="588"/>
      <c r="BZ264" s="68"/>
      <c r="CA264" s="68"/>
      <c r="CB264" s="68"/>
      <c r="CC264" s="1112"/>
      <c r="CD264" s="68"/>
      <c r="CE264" s="68"/>
      <c r="CF264" s="68"/>
      <c r="CG264" s="68"/>
      <c r="CH264" s="1112"/>
      <c r="CI264" s="1112"/>
      <c r="CJ264" s="1112"/>
      <c r="CK264" s="1112"/>
      <c r="CL264" s="155"/>
    </row>
    <row r="265" spans="1:90" hidden="1" outlineLevel="1" x14ac:dyDescent="0.3">
      <c r="A265" s="99" t="s">
        <v>746</v>
      </c>
      <c r="B265" s="602"/>
      <c r="C265" s="1112"/>
      <c r="D265" s="1112"/>
      <c r="E265" s="1112"/>
      <c r="F265" s="1112"/>
      <c r="G265" s="68"/>
      <c r="H265" s="68"/>
      <c r="I265" s="68"/>
      <c r="J265" s="68"/>
      <c r="K265" s="1112"/>
      <c r="L265" s="68"/>
      <c r="M265" s="68"/>
      <c r="N265" s="68"/>
      <c r="O265" s="68"/>
      <c r="P265" s="1112"/>
      <c r="Q265" s="68"/>
      <c r="R265" s="68"/>
      <c r="S265" s="68"/>
      <c r="T265" s="68"/>
      <c r="U265" s="1112"/>
      <c r="V265" s="68"/>
      <c r="W265" s="68"/>
      <c r="X265" s="68"/>
      <c r="Y265" s="68"/>
      <c r="Z265" s="1112"/>
      <c r="AA265" s="68"/>
      <c r="AB265" s="68"/>
      <c r="AC265" s="68"/>
      <c r="AD265" s="68"/>
      <c r="AE265" s="1112"/>
      <c r="AF265" s="68"/>
      <c r="AG265" s="68"/>
      <c r="AH265" s="68"/>
      <c r="AI265" s="68"/>
      <c r="AJ265" s="1112"/>
      <c r="AK265" s="68"/>
      <c r="AL265" s="68"/>
      <c r="AM265" s="68"/>
      <c r="AN265" s="68"/>
      <c r="AO265" s="1112"/>
      <c r="AP265" s="68"/>
      <c r="AQ265" s="68"/>
      <c r="AR265" s="68"/>
      <c r="AS265" s="68"/>
      <c r="AT265" s="1112"/>
      <c r="AU265" s="68"/>
      <c r="AV265" s="68"/>
      <c r="AW265" s="68"/>
      <c r="AX265" s="68"/>
      <c r="AY265" s="1112"/>
      <c r="AZ265" s="68"/>
      <c r="BA265" s="68"/>
      <c r="BB265" s="1055">
        <v>28</v>
      </c>
      <c r="BC265" s="68">
        <f>BD265</f>
        <v>28</v>
      </c>
      <c r="BD265" s="1113">
        <v>28</v>
      </c>
      <c r="BE265" s="1055">
        <v>70</v>
      </c>
      <c r="BF265" s="1055">
        <v>71</v>
      </c>
      <c r="BG265" s="1055">
        <v>464</v>
      </c>
      <c r="BH265" s="68">
        <f t="shared" si="655"/>
        <v>622</v>
      </c>
      <c r="BI265" s="1113">
        <v>622</v>
      </c>
      <c r="BJ265" s="1055">
        <v>332</v>
      </c>
      <c r="BK265" s="1055">
        <v>637</v>
      </c>
      <c r="BL265" s="1055">
        <v>660</v>
      </c>
      <c r="BM265" s="68">
        <f t="shared" si="654"/>
        <v>770</v>
      </c>
      <c r="BN265" s="1113">
        <v>770</v>
      </c>
      <c r="BO265" s="1055">
        <v>1585</v>
      </c>
      <c r="BP265" s="1055">
        <v>1543</v>
      </c>
      <c r="BQ265" s="1055">
        <v>1990</v>
      </c>
      <c r="BR265" s="68">
        <f t="shared" si="656"/>
        <v>2054</v>
      </c>
      <c r="BS265" s="1113">
        <v>2054</v>
      </c>
      <c r="BT265" s="1055">
        <v>752</v>
      </c>
      <c r="BU265" s="1055">
        <v>1402</v>
      </c>
      <c r="BV265" s="68"/>
      <c r="BW265" s="68"/>
      <c r="BX265" s="1112"/>
      <c r="BY265" s="588"/>
      <c r="BZ265" s="68"/>
      <c r="CA265" s="68"/>
      <c r="CB265" s="68"/>
      <c r="CC265" s="1112"/>
      <c r="CD265" s="68"/>
      <c r="CE265" s="68"/>
      <c r="CF265" s="68"/>
      <c r="CG265" s="68"/>
      <c r="CH265" s="1112"/>
      <c r="CI265" s="1112"/>
      <c r="CJ265" s="1112"/>
      <c r="CK265" s="1112"/>
      <c r="CL265" s="155"/>
    </row>
    <row r="266" spans="1:90" hidden="1" outlineLevel="1" x14ac:dyDescent="0.3">
      <c r="A266" s="99" t="s">
        <v>747</v>
      </c>
      <c r="B266" s="602"/>
      <c r="C266" s="1112"/>
      <c r="D266" s="1112"/>
      <c r="E266" s="1112"/>
      <c r="F266" s="1112"/>
      <c r="G266" s="68"/>
      <c r="H266" s="68"/>
      <c r="I266" s="68"/>
      <c r="J266" s="68"/>
      <c r="K266" s="1112"/>
      <c r="L266" s="68"/>
      <c r="M266" s="68"/>
      <c r="N266" s="68"/>
      <c r="O266" s="68"/>
      <c r="P266" s="1112"/>
      <c r="Q266" s="68"/>
      <c r="R266" s="68"/>
      <c r="S266" s="68"/>
      <c r="T266" s="68"/>
      <c r="U266" s="1112"/>
      <c r="V266" s="68"/>
      <c r="W266" s="68"/>
      <c r="X266" s="68"/>
      <c r="Y266" s="68"/>
      <c r="Z266" s="1112"/>
      <c r="AA266" s="68"/>
      <c r="AB266" s="68"/>
      <c r="AC266" s="68"/>
      <c r="AD266" s="68"/>
      <c r="AE266" s="1112"/>
      <c r="AF266" s="68"/>
      <c r="AG266" s="68"/>
      <c r="AH266" s="68"/>
      <c r="AI266" s="68"/>
      <c r="AJ266" s="1112"/>
      <c r="AK266" s="68"/>
      <c r="AL266" s="68"/>
      <c r="AM266" s="68"/>
      <c r="AN266" s="68"/>
      <c r="AO266" s="1112"/>
      <c r="AP266" s="68"/>
      <c r="AQ266" s="68"/>
      <c r="AR266" s="68"/>
      <c r="AS266" s="68"/>
      <c r="AT266" s="1112"/>
      <c r="AU266" s="68"/>
      <c r="AV266" s="68"/>
      <c r="AW266" s="68"/>
      <c r="AX266" s="68"/>
      <c r="AY266" s="1112"/>
      <c r="AZ266" s="68"/>
      <c r="BA266" s="68"/>
      <c r="BB266" s="68"/>
      <c r="BC266" s="68"/>
      <c r="BD266" s="1112"/>
      <c r="BE266" s="1055">
        <v>330</v>
      </c>
      <c r="BF266" s="1055">
        <v>331</v>
      </c>
      <c r="BG266" s="1055">
        <v>410</v>
      </c>
      <c r="BH266" s="68">
        <f t="shared" si="655"/>
        <v>296</v>
      </c>
      <c r="BI266" s="1113">
        <v>296</v>
      </c>
      <c r="BJ266" s="1055">
        <v>255</v>
      </c>
      <c r="BK266" s="1055">
        <v>468</v>
      </c>
      <c r="BL266" s="1055">
        <v>354</v>
      </c>
      <c r="BM266" s="68">
        <f t="shared" si="654"/>
        <v>418</v>
      </c>
      <c r="BN266" s="1113">
        <v>418</v>
      </c>
      <c r="BO266" s="1055">
        <v>249</v>
      </c>
      <c r="BP266" s="1055">
        <v>419</v>
      </c>
      <c r="BQ266" s="1055">
        <v>621</v>
      </c>
      <c r="BR266" s="68">
        <f t="shared" si="656"/>
        <v>422</v>
      </c>
      <c r="BS266" s="1113">
        <v>422</v>
      </c>
      <c r="BT266" s="1055">
        <v>218</v>
      </c>
      <c r="BU266" s="1055">
        <v>218</v>
      </c>
      <c r="BV266" s="68"/>
      <c r="BW266" s="68"/>
      <c r="BX266" s="1112"/>
      <c r="BY266" s="588"/>
      <c r="BZ266" s="68"/>
      <c r="CA266" s="68"/>
      <c r="CB266" s="68"/>
      <c r="CC266" s="1112"/>
      <c r="CD266" s="68"/>
      <c r="CE266" s="68"/>
      <c r="CF266" s="68"/>
      <c r="CG266" s="68"/>
      <c r="CH266" s="1112"/>
      <c r="CI266" s="1112"/>
      <c r="CJ266" s="1112"/>
      <c r="CK266" s="1112"/>
      <c r="CL266" s="155"/>
    </row>
    <row r="267" spans="1:90" hidden="1" outlineLevel="1" x14ac:dyDescent="0.3">
      <c r="A267" s="99" t="s">
        <v>870</v>
      </c>
      <c r="B267" s="602"/>
      <c r="C267" s="1112"/>
      <c r="D267" s="1112"/>
      <c r="E267" s="1112"/>
      <c r="F267" s="1112"/>
      <c r="G267" s="68"/>
      <c r="H267" s="68"/>
      <c r="I267" s="68"/>
      <c r="J267" s="68"/>
      <c r="K267" s="1112"/>
      <c r="L267" s="68"/>
      <c r="M267" s="68"/>
      <c r="N267" s="68"/>
      <c r="O267" s="68"/>
      <c r="P267" s="1112"/>
      <c r="Q267" s="68"/>
      <c r="R267" s="68"/>
      <c r="S267" s="68"/>
      <c r="T267" s="68"/>
      <c r="U267" s="1112"/>
      <c r="V267" s="68"/>
      <c r="W267" s="68"/>
      <c r="X267" s="68"/>
      <c r="Y267" s="68"/>
      <c r="Z267" s="1112"/>
      <c r="AA267" s="68"/>
      <c r="AB267" s="68"/>
      <c r="AC267" s="68"/>
      <c r="AD267" s="68"/>
      <c r="AE267" s="1112"/>
      <c r="AF267" s="68"/>
      <c r="AG267" s="68"/>
      <c r="AH267" s="68"/>
      <c r="AI267" s="68"/>
      <c r="AJ267" s="1112"/>
      <c r="AK267" s="68"/>
      <c r="AL267" s="68"/>
      <c r="AM267" s="68"/>
      <c r="AN267" s="68"/>
      <c r="AO267" s="1112"/>
      <c r="AP267" s="68"/>
      <c r="AQ267" s="68"/>
      <c r="AR267" s="68"/>
      <c r="AS267" s="68"/>
      <c r="AT267" s="1112"/>
      <c r="AU267" s="68"/>
      <c r="AV267" s="68"/>
      <c r="AW267" s="68"/>
      <c r="AX267" s="68"/>
      <c r="AY267" s="1112"/>
      <c r="AZ267" s="68"/>
      <c r="BA267" s="68"/>
      <c r="BB267" s="68"/>
      <c r="BC267" s="68"/>
      <c r="BD267" s="1112"/>
      <c r="BE267" s="68"/>
      <c r="BF267" s="68"/>
      <c r="BG267" s="68"/>
      <c r="BH267" s="68">
        <f t="shared" si="655"/>
        <v>253</v>
      </c>
      <c r="BI267" s="1113">
        <v>253</v>
      </c>
      <c r="BJ267" s="68"/>
      <c r="BK267" s="68"/>
      <c r="BL267" s="68"/>
      <c r="BM267" s="68">
        <f t="shared" si="654"/>
        <v>0</v>
      </c>
      <c r="BN267" s="1112"/>
      <c r="BO267" s="68"/>
      <c r="BP267" s="68"/>
      <c r="BQ267" s="68"/>
      <c r="BR267" s="68">
        <f t="shared" si="656"/>
        <v>218</v>
      </c>
      <c r="BS267" s="1113">
        <v>218</v>
      </c>
      <c r="BT267" s="68"/>
      <c r="BU267" s="68"/>
      <c r="BV267" s="68"/>
      <c r="BW267" s="68"/>
      <c r="BX267" s="1112"/>
      <c r="BY267" s="588"/>
      <c r="BZ267" s="68"/>
      <c r="CA267" s="68"/>
      <c r="CB267" s="68"/>
      <c r="CC267" s="1112"/>
      <c r="CD267" s="68"/>
      <c r="CE267" s="68"/>
      <c r="CF267" s="68"/>
      <c r="CG267" s="68"/>
      <c r="CH267" s="1112"/>
      <c r="CI267" s="1112"/>
      <c r="CJ267" s="1112"/>
      <c r="CK267" s="1112"/>
      <c r="CL267" s="155"/>
    </row>
    <row r="268" spans="1:90" hidden="1" outlineLevel="1" x14ac:dyDescent="0.3">
      <c r="A268" s="631" t="s">
        <v>748</v>
      </c>
      <c r="B268" s="604"/>
      <c r="C268" s="1124"/>
      <c r="D268" s="1124"/>
      <c r="E268" s="1124"/>
      <c r="F268" s="1124"/>
      <c r="G268" s="61"/>
      <c r="H268" s="61"/>
      <c r="I268" s="61"/>
      <c r="J268" s="61"/>
      <c r="K268" s="1124"/>
      <c r="L268" s="61"/>
      <c r="M268" s="61"/>
      <c r="N268" s="61"/>
      <c r="O268" s="61"/>
      <c r="P268" s="1124"/>
      <c r="Q268" s="61"/>
      <c r="R268" s="61"/>
      <c r="S268" s="61"/>
      <c r="T268" s="61"/>
      <c r="U268" s="1124"/>
      <c r="V268" s="61"/>
      <c r="W268" s="61"/>
      <c r="X268" s="61"/>
      <c r="Y268" s="61"/>
      <c r="Z268" s="1124"/>
      <c r="AA268" s="61"/>
      <c r="AB268" s="61"/>
      <c r="AC268" s="61"/>
      <c r="AD268" s="61"/>
      <c r="AE268" s="1124"/>
      <c r="AF268" s="61"/>
      <c r="AG268" s="61"/>
      <c r="AH268" s="61"/>
      <c r="AI268" s="61"/>
      <c r="AJ268" s="1124"/>
      <c r="AK268" s="61"/>
      <c r="AL268" s="61"/>
      <c r="AM268" s="61"/>
      <c r="AN268" s="61"/>
      <c r="AO268" s="1124"/>
      <c r="AP268" s="61"/>
      <c r="AQ268" s="61"/>
      <c r="AR268" s="61"/>
      <c r="AS268" s="61"/>
      <c r="AT268" s="1124"/>
      <c r="AU268" s="61"/>
      <c r="AV268" s="61"/>
      <c r="AW268" s="61"/>
      <c r="AX268" s="61"/>
      <c r="AY268" s="1124"/>
      <c r="AZ268" s="61"/>
      <c r="BA268" s="61"/>
      <c r="BB268" s="61">
        <f t="shared" ref="BB268:BU268" si="657">SUM(BB261:BB267)</f>
        <v>7833</v>
      </c>
      <c r="BC268" s="61">
        <f t="shared" si="657"/>
        <v>10296</v>
      </c>
      <c r="BD268" s="1124">
        <f t="shared" si="657"/>
        <v>10296</v>
      </c>
      <c r="BE268" s="61">
        <f t="shared" si="657"/>
        <v>11436</v>
      </c>
      <c r="BF268" s="61">
        <f t="shared" si="657"/>
        <v>10584</v>
      </c>
      <c r="BG268" s="61">
        <f t="shared" si="657"/>
        <v>9772</v>
      </c>
      <c r="BH268" s="61">
        <f t="shared" si="657"/>
        <v>8063</v>
      </c>
      <c r="BI268" s="1124">
        <f t="shared" si="657"/>
        <v>8063</v>
      </c>
      <c r="BJ268" s="61">
        <f t="shared" si="657"/>
        <v>10527</v>
      </c>
      <c r="BK268" s="61">
        <f t="shared" si="657"/>
        <v>15460</v>
      </c>
      <c r="BL268" s="61">
        <f t="shared" si="657"/>
        <v>21540</v>
      </c>
      <c r="BM268" s="61">
        <f t="shared" si="657"/>
        <v>20707</v>
      </c>
      <c r="BN268" s="1124">
        <f t="shared" si="657"/>
        <v>20707</v>
      </c>
      <c r="BO268" s="61">
        <f t="shared" si="657"/>
        <v>29373</v>
      </c>
      <c r="BP268" s="61">
        <f t="shared" si="657"/>
        <v>39781</v>
      </c>
      <c r="BQ268" s="61">
        <f t="shared" si="657"/>
        <v>42044</v>
      </c>
      <c r="BR268" s="61">
        <f t="shared" si="657"/>
        <v>45079</v>
      </c>
      <c r="BS268" s="1124">
        <f t="shared" si="657"/>
        <v>45079</v>
      </c>
      <c r="BT268" s="61">
        <f t="shared" si="657"/>
        <v>43520</v>
      </c>
      <c r="BU268" s="61">
        <f t="shared" si="657"/>
        <v>45774</v>
      </c>
      <c r="BV268" s="1065">
        <v>50300</v>
      </c>
      <c r="BW268" s="61">
        <f>BX268</f>
        <v>95200</v>
      </c>
      <c r="BX268" s="1140">
        <v>95200</v>
      </c>
      <c r="BY268" s="1066">
        <v>119000</v>
      </c>
      <c r="BZ268" s="61"/>
      <c r="CA268" s="61"/>
      <c r="CB268" s="61"/>
      <c r="CC268" s="1124"/>
      <c r="CD268" s="61"/>
      <c r="CE268" s="61"/>
      <c r="CF268" s="61"/>
      <c r="CG268" s="61"/>
      <c r="CH268" s="1124"/>
      <c r="CI268" s="1124"/>
      <c r="CJ268" s="1124"/>
      <c r="CK268" s="1124"/>
      <c r="CL268" s="155"/>
    </row>
    <row r="269" spans="1:90" hidden="1" outlineLevel="1" x14ac:dyDescent="0.3">
      <c r="A269" s="605"/>
      <c r="B269" s="606"/>
      <c r="C269" s="1136"/>
      <c r="D269" s="1136"/>
      <c r="E269" s="1136"/>
      <c r="F269" s="1136"/>
      <c r="G269" s="93"/>
      <c r="H269" s="93"/>
      <c r="I269" s="93"/>
      <c r="J269" s="93"/>
      <c r="K269" s="1136"/>
      <c r="L269" s="93"/>
      <c r="M269" s="93"/>
      <c r="N269" s="93"/>
      <c r="O269" s="93"/>
      <c r="P269" s="1136"/>
      <c r="Q269" s="93"/>
      <c r="R269" s="93"/>
      <c r="S269" s="93"/>
      <c r="T269" s="93"/>
      <c r="U269" s="1136"/>
      <c r="V269" s="93"/>
      <c r="W269" s="93"/>
      <c r="X269" s="93"/>
      <c r="Y269" s="93"/>
      <c r="Z269" s="1136"/>
      <c r="AA269" s="93"/>
      <c r="AB269" s="93"/>
      <c r="AC269" s="93"/>
      <c r="AD269" s="93"/>
      <c r="AE269" s="1136"/>
      <c r="AF269" s="93"/>
      <c r="AG269" s="93"/>
      <c r="AH269" s="93"/>
      <c r="AI269" s="93"/>
      <c r="AJ269" s="1136"/>
      <c r="AK269" s="93"/>
      <c r="AL269" s="93"/>
      <c r="AM269" s="93"/>
      <c r="AN269" s="93"/>
      <c r="AO269" s="1136"/>
      <c r="AP269" s="93"/>
      <c r="AQ269" s="93"/>
      <c r="AR269" s="93"/>
      <c r="AS269" s="93"/>
      <c r="AT269" s="1136"/>
      <c r="AU269" s="93"/>
      <c r="AV269" s="93"/>
      <c r="AW269" s="93"/>
      <c r="AX269" s="93"/>
      <c r="AY269" s="1136"/>
      <c r="AZ269" s="93"/>
      <c r="BA269" s="93"/>
      <c r="BB269" s="93"/>
      <c r="BC269" s="93"/>
      <c r="BD269" s="1136"/>
      <c r="BE269" s="93"/>
      <c r="BF269" s="93"/>
      <c r="BG269" s="93"/>
      <c r="BH269" s="93"/>
      <c r="BI269" s="1136"/>
      <c r="BJ269" s="93"/>
      <c r="BK269" s="93"/>
      <c r="BL269" s="93"/>
      <c r="BM269" s="93"/>
      <c r="BN269" s="1136"/>
      <c r="BO269" s="93"/>
      <c r="BP269" s="93"/>
      <c r="BQ269" s="93"/>
      <c r="BR269" s="93"/>
      <c r="BS269" s="1136"/>
      <c r="BT269" s="93"/>
      <c r="BU269" s="93"/>
      <c r="BV269" s="93"/>
      <c r="BW269" s="93"/>
      <c r="BX269" s="1136"/>
      <c r="BY269" s="522"/>
      <c r="BZ269" s="93"/>
      <c r="CA269" s="93"/>
      <c r="CB269" s="93"/>
      <c r="CC269" s="1136"/>
      <c r="CD269" s="93"/>
      <c r="CE269" s="93"/>
      <c r="CF269" s="93"/>
      <c r="CG269" s="93"/>
      <c r="CH269" s="1136"/>
      <c r="CI269" s="1136"/>
      <c r="CJ269" s="1136"/>
      <c r="CK269" s="1136"/>
      <c r="CL269" s="155"/>
    </row>
    <row r="270" spans="1:90" hidden="1" outlineLevel="1" x14ac:dyDescent="0.3">
      <c r="A270" s="45" t="s">
        <v>1111</v>
      </c>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c r="AT270" s="45"/>
      <c r="AU270" s="45"/>
      <c r="AV270" s="45"/>
      <c r="AW270" s="45"/>
      <c r="AX270" s="45"/>
      <c r="AY270" s="45"/>
      <c r="AZ270" s="45"/>
      <c r="BA270" s="45"/>
      <c r="BB270" s="45"/>
      <c r="BC270" s="45"/>
      <c r="BD270" s="45"/>
      <c r="BE270" s="45"/>
      <c r="BF270" s="45"/>
      <c r="BG270" s="45"/>
      <c r="BH270" s="45"/>
      <c r="BI270" s="45"/>
      <c r="BJ270" s="45"/>
      <c r="BK270" s="45"/>
      <c r="BL270" s="45"/>
      <c r="BM270" s="45"/>
      <c r="BN270" s="45"/>
      <c r="BO270" s="45"/>
      <c r="BP270" s="45"/>
      <c r="BQ270" s="45"/>
      <c r="BR270" s="45"/>
      <c r="BS270" s="45"/>
      <c r="BT270" s="45"/>
      <c r="BU270" s="45"/>
      <c r="BV270" s="45"/>
      <c r="BW270" s="45"/>
      <c r="BX270" s="45"/>
      <c r="BY270" s="881"/>
      <c r="BZ270" s="45"/>
      <c r="CA270" s="45"/>
      <c r="CB270" s="45"/>
      <c r="CC270" s="45"/>
      <c r="CD270" s="45"/>
      <c r="CE270" s="45"/>
      <c r="CF270" s="45"/>
      <c r="CG270" s="45"/>
      <c r="CH270" s="45"/>
      <c r="CI270" s="45"/>
      <c r="CJ270" s="45"/>
      <c r="CK270" s="45"/>
      <c r="CL270" s="155"/>
    </row>
    <row r="271" spans="1:90" s="333" customFormat="1" hidden="1" outlineLevel="1" x14ac:dyDescent="0.3">
      <c r="A271" s="621" t="s">
        <v>1112</v>
      </c>
      <c r="B271" s="670"/>
      <c r="C271" s="1128"/>
      <c r="D271" s="1143">
        <v>0.12</v>
      </c>
      <c r="E271" s="1143">
        <v>0.12</v>
      </c>
      <c r="F271" s="1143">
        <v>0.11</v>
      </c>
      <c r="G271" s="315"/>
      <c r="H271" s="315"/>
      <c r="I271" s="315"/>
      <c r="J271" s="315"/>
      <c r="K271" s="1143">
        <v>0.13</v>
      </c>
      <c r="L271" s="315"/>
      <c r="M271" s="315"/>
      <c r="N271" s="315"/>
      <c r="O271" s="315"/>
      <c r="P271" s="1143">
        <v>0.11</v>
      </c>
      <c r="Q271" s="315"/>
      <c r="R271" s="315"/>
      <c r="S271" s="315"/>
      <c r="T271" s="315"/>
      <c r="U271" s="1143">
        <v>0.11</v>
      </c>
      <c r="V271" s="315"/>
      <c r="W271" s="315"/>
      <c r="X271" s="315"/>
      <c r="Y271" s="315"/>
      <c r="Z271" s="1128"/>
      <c r="AA271" s="315"/>
      <c r="AB271" s="315"/>
      <c r="AC271" s="315"/>
      <c r="AD271" s="315"/>
      <c r="AE271" s="1128"/>
      <c r="AF271" s="315"/>
      <c r="AG271" s="315"/>
      <c r="AH271" s="315"/>
      <c r="AI271" s="315"/>
      <c r="AJ271" s="1128"/>
      <c r="AK271" s="315"/>
      <c r="AL271" s="315"/>
      <c r="AM271" s="315"/>
      <c r="AN271" s="315"/>
      <c r="AO271" s="1128"/>
      <c r="AP271" s="315"/>
      <c r="AQ271" s="315"/>
      <c r="AR271" s="315"/>
      <c r="AS271" s="315"/>
      <c r="AT271" s="1128"/>
      <c r="AU271" s="315"/>
      <c r="AV271" s="315"/>
      <c r="AW271" s="315"/>
      <c r="AX271" s="315"/>
      <c r="AY271" s="1128"/>
      <c r="AZ271" s="315"/>
      <c r="BA271" s="315"/>
      <c r="BB271" s="315"/>
      <c r="BC271" s="315"/>
      <c r="BD271" s="1128"/>
      <c r="BE271" s="315"/>
      <c r="BF271" s="315"/>
      <c r="BG271" s="315"/>
      <c r="BH271" s="315"/>
      <c r="BI271" s="1128"/>
      <c r="BJ271" s="315"/>
      <c r="BK271" s="315"/>
      <c r="BL271" s="1069">
        <v>0.12</v>
      </c>
      <c r="BM271" s="315"/>
      <c r="BN271" s="1143">
        <v>0.19</v>
      </c>
      <c r="BO271" s="1069">
        <v>0.13</v>
      </c>
      <c r="BP271" s="1069">
        <v>0.14000000000000001</v>
      </c>
      <c r="BQ271" s="1069">
        <v>0.12</v>
      </c>
      <c r="BR271" s="315">
        <f>BS271</f>
        <v>0.12</v>
      </c>
      <c r="BS271" s="1143">
        <v>0.12</v>
      </c>
      <c r="BT271" s="1069">
        <v>0.16</v>
      </c>
      <c r="BU271" s="1069">
        <v>0.23</v>
      </c>
      <c r="BV271" s="1069">
        <v>0.22</v>
      </c>
      <c r="BW271" s="315">
        <f>BX271</f>
        <v>0.22</v>
      </c>
      <c r="BX271" s="1143">
        <v>0.22</v>
      </c>
      <c r="BY271" s="1070">
        <v>0.21</v>
      </c>
      <c r="BZ271" s="315"/>
      <c r="CA271" s="315"/>
      <c r="CB271" s="315"/>
      <c r="CC271" s="1128"/>
      <c r="CD271" s="315"/>
      <c r="CE271" s="315"/>
      <c r="CF271" s="315"/>
      <c r="CG271" s="315"/>
      <c r="CH271" s="1128"/>
      <c r="CI271" s="1128"/>
      <c r="CJ271" s="1128"/>
      <c r="CK271" s="1128"/>
      <c r="CL271" s="332"/>
    </row>
    <row r="272" spans="1:90" s="333" customFormat="1" hidden="1" outlineLevel="1" x14ac:dyDescent="0.3">
      <c r="A272" s="621" t="s">
        <v>1113</v>
      </c>
      <c r="B272" s="670"/>
      <c r="C272" s="1128"/>
      <c r="D272" s="1128"/>
      <c r="E272" s="1128"/>
      <c r="F272" s="1128"/>
      <c r="G272" s="315"/>
      <c r="H272" s="315"/>
      <c r="I272" s="315"/>
      <c r="J272" s="315"/>
      <c r="K272" s="1128"/>
      <c r="L272" s="315"/>
      <c r="M272" s="315"/>
      <c r="N272" s="315"/>
      <c r="O272" s="315"/>
      <c r="P272" s="1128"/>
      <c r="Q272" s="315"/>
      <c r="R272" s="315"/>
      <c r="S272" s="315"/>
      <c r="T272" s="315"/>
      <c r="U272" s="1128"/>
      <c r="V272" s="315"/>
      <c r="W272" s="315"/>
      <c r="X272" s="315"/>
      <c r="Y272" s="315"/>
      <c r="Z272" s="1128"/>
      <c r="AA272" s="315"/>
      <c r="AB272" s="315"/>
      <c r="AC272" s="315"/>
      <c r="AD272" s="315"/>
      <c r="AE272" s="1128"/>
      <c r="AF272" s="315"/>
      <c r="AG272" s="315"/>
      <c r="AH272" s="315"/>
      <c r="AI272" s="315"/>
      <c r="AJ272" s="1128"/>
      <c r="AK272" s="315"/>
      <c r="AL272" s="315"/>
      <c r="AM272" s="315"/>
      <c r="AN272" s="315"/>
      <c r="AO272" s="1128"/>
      <c r="AP272" s="315"/>
      <c r="AQ272" s="315"/>
      <c r="AR272" s="315"/>
      <c r="AS272" s="315"/>
      <c r="AT272" s="1128"/>
      <c r="AU272" s="315"/>
      <c r="AV272" s="315"/>
      <c r="AW272" s="315"/>
      <c r="AX272" s="315"/>
      <c r="AY272" s="1128"/>
      <c r="AZ272" s="315"/>
      <c r="BA272" s="315"/>
      <c r="BB272" s="315"/>
      <c r="BC272" s="315"/>
      <c r="BD272" s="1128"/>
      <c r="BE272" s="315"/>
      <c r="BF272" s="315"/>
      <c r="BG272" s="315"/>
      <c r="BH272" s="315"/>
      <c r="BI272" s="1128"/>
      <c r="BJ272" s="315"/>
      <c r="BK272" s="315"/>
      <c r="BL272" s="1069">
        <v>0.11</v>
      </c>
      <c r="BM272" s="315"/>
      <c r="BN272" s="1143">
        <v>0.13</v>
      </c>
      <c r="BO272" s="1069">
        <v>0.11</v>
      </c>
      <c r="BP272" s="1069">
        <v>0.11</v>
      </c>
      <c r="BQ272" s="1069">
        <v>0.12</v>
      </c>
      <c r="BR272" s="315">
        <f>BS272</f>
        <v>0.11</v>
      </c>
      <c r="BS272" s="1143">
        <v>0.11</v>
      </c>
      <c r="BT272" s="1069">
        <v>0.14000000000000001</v>
      </c>
      <c r="BU272" s="1069">
        <v>0.16</v>
      </c>
      <c r="BV272" s="1069">
        <v>0.15</v>
      </c>
      <c r="BW272" s="315">
        <f>BX272</f>
        <v>0.14000000000000001</v>
      </c>
      <c r="BX272" s="1143">
        <v>0.14000000000000001</v>
      </c>
      <c r="BY272" s="1070">
        <v>0.17</v>
      </c>
      <c r="BZ272" s="315"/>
      <c r="CA272" s="315"/>
      <c r="CB272" s="315"/>
      <c r="CC272" s="1128"/>
      <c r="CD272" s="315"/>
      <c r="CE272" s="315"/>
      <c r="CF272" s="315"/>
      <c r="CG272" s="315"/>
      <c r="CH272" s="1128"/>
      <c r="CI272" s="1128"/>
      <c r="CJ272" s="1128"/>
      <c r="CK272" s="1128"/>
      <c r="CL272" s="332"/>
    </row>
    <row r="273" spans="1:90" s="333" customFormat="1" hidden="1" outlineLevel="1" x14ac:dyDescent="0.3">
      <c r="A273" s="621" t="s">
        <v>1251</v>
      </c>
      <c r="B273" s="670"/>
      <c r="C273" s="1128"/>
      <c r="D273" s="1128"/>
      <c r="E273" s="1128"/>
      <c r="F273" s="1128"/>
      <c r="G273" s="315"/>
      <c r="H273" s="315"/>
      <c r="I273" s="315"/>
      <c r="J273" s="315"/>
      <c r="K273" s="1128"/>
      <c r="L273" s="315"/>
      <c r="M273" s="315"/>
      <c r="N273" s="315"/>
      <c r="O273" s="315"/>
      <c r="P273" s="1128"/>
      <c r="Q273" s="315"/>
      <c r="R273" s="315"/>
      <c r="S273" s="315"/>
      <c r="T273" s="315"/>
      <c r="U273" s="1128"/>
      <c r="V273" s="315"/>
      <c r="W273" s="315"/>
      <c r="X273" s="315"/>
      <c r="Y273" s="315"/>
      <c r="Z273" s="1128"/>
      <c r="AA273" s="315"/>
      <c r="AB273" s="315"/>
      <c r="AC273" s="315"/>
      <c r="AD273" s="315"/>
      <c r="AE273" s="1128"/>
      <c r="AF273" s="315"/>
      <c r="AG273" s="315"/>
      <c r="AH273" s="315"/>
      <c r="AI273" s="315"/>
      <c r="AJ273" s="1128"/>
      <c r="AK273" s="315"/>
      <c r="AL273" s="315"/>
      <c r="AM273" s="315"/>
      <c r="AN273" s="315"/>
      <c r="AO273" s="1128"/>
      <c r="AP273" s="315"/>
      <c r="AQ273" s="315"/>
      <c r="AR273" s="315"/>
      <c r="AS273" s="315"/>
      <c r="AT273" s="1128"/>
      <c r="AU273" s="315"/>
      <c r="AV273" s="315"/>
      <c r="AW273" s="315"/>
      <c r="AX273" s="315"/>
      <c r="AY273" s="1128"/>
      <c r="AZ273" s="315"/>
      <c r="BA273" s="315"/>
      <c r="BB273" s="315"/>
      <c r="BC273" s="315"/>
      <c r="BD273" s="1128"/>
      <c r="BE273" s="315"/>
      <c r="BF273" s="315"/>
      <c r="BG273" s="315"/>
      <c r="BH273" s="315"/>
      <c r="BI273" s="1128"/>
      <c r="BJ273" s="315"/>
      <c r="BK273" s="315"/>
      <c r="BL273" s="315"/>
      <c r="BM273" s="315"/>
      <c r="BN273" s="1128"/>
      <c r="BO273" s="315"/>
      <c r="BP273" s="1069">
        <v>0.11</v>
      </c>
      <c r="BQ273" s="1069">
        <v>0.12</v>
      </c>
      <c r="BR273" s="315">
        <f>BS273</f>
        <v>0.11</v>
      </c>
      <c r="BS273" s="1143">
        <v>0.11</v>
      </c>
      <c r="BT273" s="315"/>
      <c r="BU273" s="315"/>
      <c r="BV273" s="1069">
        <v>0.13</v>
      </c>
      <c r="BW273" s="315"/>
      <c r="BX273" s="1128"/>
      <c r="BY273" s="1070">
        <v>0.16</v>
      </c>
      <c r="BZ273" s="315"/>
      <c r="CA273" s="315"/>
      <c r="CB273" s="315"/>
      <c r="CC273" s="1128"/>
      <c r="CD273" s="315"/>
      <c r="CE273" s="315"/>
      <c r="CF273" s="315"/>
      <c r="CG273" s="315"/>
      <c r="CH273" s="1128"/>
      <c r="CI273" s="1128"/>
      <c r="CJ273" s="1128"/>
      <c r="CK273" s="1128"/>
      <c r="CL273" s="332"/>
    </row>
    <row r="274" spans="1:90" s="333" customFormat="1" hidden="1" outlineLevel="1" x14ac:dyDescent="0.3">
      <c r="A274" s="621" t="s">
        <v>1277</v>
      </c>
      <c r="B274" s="670"/>
      <c r="C274" s="1128"/>
      <c r="D274" s="1128"/>
      <c r="E274" s="1128"/>
      <c r="F274" s="1128"/>
      <c r="G274" s="315"/>
      <c r="H274" s="315"/>
      <c r="I274" s="315"/>
      <c r="J274" s="315"/>
      <c r="K274" s="1128"/>
      <c r="L274" s="315"/>
      <c r="M274" s="315"/>
      <c r="N274" s="315"/>
      <c r="O274" s="315"/>
      <c r="P274" s="1128"/>
      <c r="Q274" s="315"/>
      <c r="R274" s="315"/>
      <c r="S274" s="315"/>
      <c r="T274" s="315"/>
      <c r="U274" s="1128"/>
      <c r="V274" s="315"/>
      <c r="W274" s="315"/>
      <c r="X274" s="315"/>
      <c r="Y274" s="315"/>
      <c r="Z274" s="1128"/>
      <c r="AA274" s="315"/>
      <c r="AB274" s="315"/>
      <c r="AC274" s="315"/>
      <c r="AD274" s="315"/>
      <c r="AE274" s="1128"/>
      <c r="AF274" s="315"/>
      <c r="AG274" s="315"/>
      <c r="AH274" s="315"/>
      <c r="AI274" s="315"/>
      <c r="AJ274" s="1128"/>
      <c r="AK274" s="315"/>
      <c r="AL274" s="315"/>
      <c r="AM274" s="315"/>
      <c r="AN274" s="315"/>
      <c r="AO274" s="1128"/>
      <c r="AP274" s="315"/>
      <c r="AQ274" s="315"/>
      <c r="AR274" s="315"/>
      <c r="AS274" s="315"/>
      <c r="AT274" s="1128"/>
      <c r="AU274" s="315"/>
      <c r="AV274" s="315"/>
      <c r="AW274" s="315"/>
      <c r="AX274" s="315"/>
      <c r="AY274" s="1128"/>
      <c r="AZ274" s="315"/>
      <c r="BA274" s="315"/>
      <c r="BB274" s="315"/>
      <c r="BC274" s="315"/>
      <c r="BD274" s="1128"/>
      <c r="BE274" s="315"/>
      <c r="BF274" s="315"/>
      <c r="BG274" s="315"/>
      <c r="BH274" s="315"/>
      <c r="BI274" s="1128"/>
      <c r="BJ274" s="315"/>
      <c r="BK274" s="315"/>
      <c r="BL274" s="315"/>
      <c r="BM274" s="315"/>
      <c r="BN274" s="1128"/>
      <c r="BO274" s="315"/>
      <c r="BP274" s="315"/>
      <c r="BQ274" s="315"/>
      <c r="BR274" s="315"/>
      <c r="BS274" s="1128"/>
      <c r="BT274" s="315"/>
      <c r="BU274" s="315"/>
      <c r="BV274" s="1069">
        <v>0.11</v>
      </c>
      <c r="BW274" s="315"/>
      <c r="BX274" s="1128"/>
      <c r="BY274" s="897"/>
      <c r="BZ274" s="315"/>
      <c r="CA274" s="315"/>
      <c r="CB274" s="315"/>
      <c r="CC274" s="1128"/>
      <c r="CD274" s="315"/>
      <c r="CE274" s="315"/>
      <c r="CF274" s="315"/>
      <c r="CG274" s="315"/>
      <c r="CH274" s="1128"/>
      <c r="CI274" s="1128"/>
      <c r="CJ274" s="1128"/>
      <c r="CK274" s="1128"/>
      <c r="CL274" s="332"/>
    </row>
    <row r="275" spans="1:90" collapsed="1" x14ac:dyDescent="0.3">
      <c r="A275" s="605"/>
      <c r="B275" s="606"/>
      <c r="C275" s="1136"/>
      <c r="D275" s="1136"/>
      <c r="E275" s="1136"/>
      <c r="F275" s="1136"/>
      <c r="G275" s="93"/>
      <c r="H275" s="93"/>
      <c r="I275" s="93"/>
      <c r="J275" s="93"/>
      <c r="K275" s="1136"/>
      <c r="L275" s="93"/>
      <c r="M275" s="93"/>
      <c r="N275" s="93"/>
      <c r="O275" s="93"/>
      <c r="P275" s="1136"/>
      <c r="Q275" s="93"/>
      <c r="R275" s="93"/>
      <c r="S275" s="93"/>
      <c r="T275" s="93"/>
      <c r="U275" s="1136"/>
      <c r="V275" s="93"/>
      <c r="W275" s="93"/>
      <c r="X275" s="93"/>
      <c r="Y275" s="93"/>
      <c r="Z275" s="1136"/>
      <c r="AA275" s="93"/>
      <c r="AB275" s="93"/>
      <c r="AC275" s="93"/>
      <c r="AD275" s="93"/>
      <c r="AE275" s="1136"/>
      <c r="AF275" s="93"/>
      <c r="AG275" s="93"/>
      <c r="AH275" s="93"/>
      <c r="AI275" s="93"/>
      <c r="AJ275" s="1136"/>
      <c r="AK275" s="93"/>
      <c r="AL275" s="93"/>
      <c r="AM275" s="93"/>
      <c r="AN275" s="93"/>
      <c r="AO275" s="1136"/>
      <c r="AP275" s="93"/>
      <c r="AQ275" s="93"/>
      <c r="AR275" s="93"/>
      <c r="AS275" s="93"/>
      <c r="AT275" s="1136"/>
      <c r="AU275" s="93"/>
      <c r="AV275" s="93"/>
      <c r="AW275" s="93"/>
      <c r="AX275" s="93"/>
      <c r="AY275" s="1136"/>
      <c r="AZ275" s="93"/>
      <c r="BA275" s="93"/>
      <c r="BB275" s="93"/>
      <c r="BC275" s="93"/>
      <c r="BD275" s="1136"/>
      <c r="BE275" s="93"/>
      <c r="BF275" s="93"/>
      <c r="BG275" s="93"/>
      <c r="BH275" s="93"/>
      <c r="BI275" s="1136"/>
      <c r="BJ275" s="93"/>
      <c r="BK275" s="93"/>
      <c r="BL275" s="93"/>
      <c r="BM275" s="93"/>
      <c r="BN275" s="1136"/>
      <c r="BO275" s="93"/>
      <c r="BP275" s="93"/>
      <c r="BQ275" s="93"/>
      <c r="BR275" s="93"/>
      <c r="BS275" s="1136"/>
      <c r="BT275" s="93"/>
      <c r="BU275" s="93"/>
      <c r="BV275" s="93"/>
      <c r="BW275" s="93"/>
      <c r="BX275" s="1136"/>
      <c r="BY275" s="522"/>
      <c r="BZ275" s="93"/>
      <c r="CA275" s="93"/>
      <c r="CB275" s="93"/>
      <c r="CC275" s="1136"/>
      <c r="CD275" s="93"/>
      <c r="CE275" s="93"/>
      <c r="CF275" s="93"/>
      <c r="CG275" s="93"/>
      <c r="CH275" s="1136"/>
      <c r="CI275" s="1136"/>
      <c r="CJ275" s="1136"/>
      <c r="CK275" s="1136"/>
      <c r="CL275" s="155"/>
    </row>
    <row r="276" spans="1:90" x14ac:dyDescent="0.3">
      <c r="A276" s="46" t="s">
        <v>32</v>
      </c>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46"/>
      <c r="BH276" s="46"/>
      <c r="BI276" s="46"/>
      <c r="BJ276" s="46"/>
      <c r="BK276" s="46"/>
      <c r="BL276" s="46"/>
      <c r="BM276" s="46"/>
      <c r="BN276" s="46"/>
      <c r="BO276" s="46"/>
      <c r="BP276" s="46"/>
      <c r="BQ276" s="46"/>
      <c r="BR276" s="46"/>
      <c r="BS276" s="46"/>
      <c r="BT276" s="46"/>
      <c r="BU276" s="46"/>
      <c r="BV276" s="46"/>
      <c r="BW276" s="46"/>
      <c r="BX276" s="46"/>
      <c r="BY276" s="541"/>
      <c r="BZ276" s="46"/>
      <c r="CA276" s="46"/>
      <c r="CB276" s="46"/>
      <c r="CC276" s="46"/>
      <c r="CD276" s="46"/>
      <c r="CE276" s="46"/>
      <c r="CF276" s="46"/>
      <c r="CG276" s="46"/>
      <c r="CH276" s="46"/>
      <c r="CI276" s="46"/>
      <c r="CJ276" s="46"/>
      <c r="CK276" s="46"/>
      <c r="CL276" s="155"/>
    </row>
    <row r="277" spans="1:90" hidden="1" outlineLevel="1" x14ac:dyDescent="0.3">
      <c r="A277" s="575" t="s">
        <v>33</v>
      </c>
      <c r="B277" s="576"/>
      <c r="C277" s="1144">
        <f t="shared" ref="C277:AH277" si="658">C374/C370</f>
        <v>0.65713362214327664</v>
      </c>
      <c r="D277" s="1144">
        <f t="shared" si="658"/>
        <v>0.64619195567640519</v>
      </c>
      <c r="E277" s="1144">
        <f t="shared" si="658"/>
        <v>0.60232370363408894</v>
      </c>
      <c r="F277" s="1144">
        <f t="shared" si="658"/>
        <v>0.48560455035480865</v>
      </c>
      <c r="G277" s="577">
        <f t="shared" si="658"/>
        <v>0.49899932639691547</v>
      </c>
      <c r="H277" s="577">
        <f t="shared" si="658"/>
        <v>0.48220383617263735</v>
      </c>
      <c r="I277" s="577">
        <f t="shared" si="658"/>
        <v>0.47126259228808004</v>
      </c>
      <c r="J277" s="577">
        <f t="shared" si="658"/>
        <v>0.47095406820115965</v>
      </c>
      <c r="K277" s="1144">
        <f t="shared" si="658"/>
        <v>0.47984572535739911</v>
      </c>
      <c r="L277" s="577">
        <f t="shared" si="658"/>
        <v>0.45684841616399874</v>
      </c>
      <c r="M277" s="577">
        <f t="shared" si="658"/>
        <v>0.44175523260454463</v>
      </c>
      <c r="N277" s="577">
        <f t="shared" si="658"/>
        <v>0.44550920474739719</v>
      </c>
      <c r="O277" s="577">
        <f t="shared" si="658"/>
        <v>0.45880767476127771</v>
      </c>
      <c r="P277" s="1144">
        <f t="shared" si="658"/>
        <v>0.45092638012746228</v>
      </c>
      <c r="Q277" s="577">
        <f t="shared" si="658"/>
        <v>0.45240253853127832</v>
      </c>
      <c r="R277" s="577">
        <f t="shared" si="658"/>
        <v>0.43880326382592927</v>
      </c>
      <c r="S277" s="577">
        <f t="shared" si="658"/>
        <v>0.44816326530612244</v>
      </c>
      <c r="T277" s="577">
        <f t="shared" si="658"/>
        <v>0.44044764188649083</v>
      </c>
      <c r="U277" s="1144">
        <f t="shared" si="658"/>
        <v>0.44489534387014096</v>
      </c>
      <c r="V277" s="577">
        <f t="shared" si="658"/>
        <v>0.43266724587315381</v>
      </c>
      <c r="W277" s="577">
        <f t="shared" si="658"/>
        <v>0.45013009540329574</v>
      </c>
      <c r="X277" s="577">
        <f t="shared" si="658"/>
        <v>0.43754789272030653</v>
      </c>
      <c r="Y277" s="577">
        <f t="shared" si="658"/>
        <v>0.43540328336902212</v>
      </c>
      <c r="Z277" s="1145">
        <f t="shared" si="658"/>
        <v>0.43892215568862275</v>
      </c>
      <c r="AA277" s="577">
        <f t="shared" si="658"/>
        <v>0.42452107279693485</v>
      </c>
      <c r="AB277" s="577">
        <f t="shared" si="658"/>
        <v>0.42156862745098039</v>
      </c>
      <c r="AC277" s="577">
        <f t="shared" si="658"/>
        <v>0.40968063872255489</v>
      </c>
      <c r="AD277" s="577">
        <f t="shared" si="658"/>
        <v>0.40036815462494246</v>
      </c>
      <c r="AE277" s="1145">
        <f t="shared" si="658"/>
        <v>0.41201157742402317</v>
      </c>
      <c r="AF277" s="577">
        <f t="shared" si="658"/>
        <v>0.40629839958699021</v>
      </c>
      <c r="AG277" s="577">
        <f t="shared" si="658"/>
        <v>0.41614349775784754</v>
      </c>
      <c r="AH277" s="577">
        <f t="shared" si="658"/>
        <v>0.40477996965098634</v>
      </c>
      <c r="AI277" s="577">
        <f t="shared" ref="AI277:AW277" si="659">AI374/AI370</f>
        <v>0.38131226382686362</v>
      </c>
      <c r="AJ277" s="1145">
        <f t="shared" si="659"/>
        <v>0.40065884290714432</v>
      </c>
      <c r="AK277" s="577">
        <f t="shared" si="659"/>
        <v>0.3551605862176489</v>
      </c>
      <c r="AL277" s="577">
        <f t="shared" si="659"/>
        <v>0.36759526096701889</v>
      </c>
      <c r="AM277" s="577">
        <f t="shared" si="659"/>
        <v>0.39610185476265325</v>
      </c>
      <c r="AN277" s="577">
        <f t="shared" si="659"/>
        <v>0.45260770975056691</v>
      </c>
      <c r="AO277" s="1145">
        <f t="shared" si="659"/>
        <v>0.38793103448275862</v>
      </c>
      <c r="AP277" s="577">
        <f t="shared" si="659"/>
        <v>0.41621621621621624</v>
      </c>
      <c r="AQ277" s="577">
        <f t="shared" si="659"/>
        <v>0.40248158200853046</v>
      </c>
      <c r="AR277" s="577">
        <f t="shared" si="659"/>
        <v>0.36429993364299934</v>
      </c>
      <c r="AS277" s="577">
        <f t="shared" si="659"/>
        <v>0.35104669887278583</v>
      </c>
      <c r="AT277" s="1145">
        <f t="shared" si="659"/>
        <v>0.38010624656530501</v>
      </c>
      <c r="AU277" s="577">
        <f t="shared" si="659"/>
        <v>0.34935064935064936</v>
      </c>
      <c r="AV277" s="577">
        <f t="shared" si="659"/>
        <v>0.41153647180548369</v>
      </c>
      <c r="AW277" s="577">
        <f t="shared" si="659"/>
        <v>0.373677528565383</v>
      </c>
      <c r="AX277" s="577">
        <f t="shared" ref="AX277:BD277" si="660">AX374/AX370</f>
        <v>0.3689786128323006</v>
      </c>
      <c r="AY277" s="1145">
        <f t="shared" si="660"/>
        <v>0.37655172413793103</v>
      </c>
      <c r="AZ277" s="577">
        <f t="shared" si="660"/>
        <v>0.35894718247659424</v>
      </c>
      <c r="BA277" s="577">
        <f t="shared" si="660"/>
        <v>0.35223605348086678</v>
      </c>
      <c r="BB277" s="577">
        <f t="shared" si="660"/>
        <v>0.34802196255103479</v>
      </c>
      <c r="BC277" s="577">
        <f t="shared" si="660"/>
        <v>0.34593745911291379</v>
      </c>
      <c r="BD277" s="1145">
        <f t="shared" si="660"/>
        <v>0.35070966783086871</v>
      </c>
      <c r="BE277" s="577">
        <f t="shared" ref="BE277:BI277" si="661">BE374/BE370</f>
        <v>0.34471525096525096</v>
      </c>
      <c r="BF277" s="577">
        <f t="shared" si="661"/>
        <v>0.56518496420047737</v>
      </c>
      <c r="BG277" s="577">
        <f t="shared" si="661"/>
        <v>0.46433990895295901</v>
      </c>
      <c r="BH277" s="577">
        <f t="shared" si="661"/>
        <v>0.36655098330854402</v>
      </c>
      <c r="BI277" s="1145">
        <f t="shared" si="661"/>
        <v>0.43071105509008673</v>
      </c>
      <c r="BJ277" s="577">
        <f t="shared" ref="BJ277:BN277" si="662">BJ374/BJ370</f>
        <v>0.35372636262513907</v>
      </c>
      <c r="BK277" s="577">
        <f t="shared" si="662"/>
        <v>0.2994743466350781</v>
      </c>
      <c r="BL277" s="577">
        <f t="shared" si="662"/>
        <v>0.26048565121412803</v>
      </c>
      <c r="BM277" s="577">
        <f t="shared" si="662"/>
        <v>0.24032936705424604</v>
      </c>
      <c r="BN277" s="1145">
        <f t="shared" si="662"/>
        <v>0.27282426709563046</v>
      </c>
      <c r="BO277" s="577">
        <f t="shared" ref="BO277:BS277" si="663">BO374/BO370</f>
        <v>0.21647980340961451</v>
      </c>
      <c r="BP277" s="577">
        <f t="shared" si="663"/>
        <v>0.24853528628495339</v>
      </c>
      <c r="BQ277" s="577">
        <f t="shared" si="663"/>
        <v>0.25443247249301637</v>
      </c>
      <c r="BR277" s="577">
        <f t="shared" si="663"/>
        <v>0.26971091505428291</v>
      </c>
      <c r="BS277" s="1145">
        <f t="shared" si="663"/>
        <v>0.25011302941830083</v>
      </c>
      <c r="BT277" s="577">
        <f t="shared" ref="BT277:CK277" si="664">BT374/BT370</f>
        <v>0.39476192637646951</v>
      </c>
      <c r="BU277" s="577">
        <f t="shared" si="664"/>
        <v>0.27576321588259206</v>
      </c>
      <c r="BV277" s="577">
        <f t="shared" si="664"/>
        <v>0.2658842928814511</v>
      </c>
      <c r="BW277" s="577">
        <f t="shared" si="664"/>
        <v>0.25003302655334891</v>
      </c>
      <c r="BX277" s="1145">
        <f t="shared" si="664"/>
        <v>0.28931915642452927</v>
      </c>
      <c r="BY277" s="902">
        <f>BY374/BY370</f>
        <v>0.25066470624272497</v>
      </c>
      <c r="BZ277" s="577">
        <f t="shared" si="664"/>
        <v>0.2514741030742571</v>
      </c>
      <c r="CA277" s="577">
        <f t="shared" si="664"/>
        <v>0.25481433533312281</v>
      </c>
      <c r="CB277" s="577">
        <f t="shared" si="664"/>
        <v>0.2393303242473615</v>
      </c>
      <c r="CC277" s="1145">
        <f t="shared" si="664"/>
        <v>0.24895561100593699</v>
      </c>
      <c r="CD277" s="577">
        <f t="shared" si="664"/>
        <v>0.25074575752006373</v>
      </c>
      <c r="CE277" s="577">
        <f t="shared" si="664"/>
        <v>0.25147410307425716</v>
      </c>
      <c r="CF277" s="577">
        <f t="shared" si="664"/>
        <v>0.25481433533312281</v>
      </c>
      <c r="CG277" s="577">
        <f t="shared" si="664"/>
        <v>0.2393303242473615</v>
      </c>
      <c r="CH277" s="1145">
        <f t="shared" si="664"/>
        <v>0.24901886359104908</v>
      </c>
      <c r="CI277" s="1145">
        <f t="shared" si="664"/>
        <v>0.25001886359104897</v>
      </c>
      <c r="CJ277" s="1145">
        <f t="shared" si="664"/>
        <v>0.25001886359104897</v>
      </c>
      <c r="CK277" s="1145">
        <f t="shared" si="664"/>
        <v>0.25001886359104897</v>
      </c>
      <c r="CL277" s="155"/>
    </row>
    <row r="278" spans="1:90" hidden="1" outlineLevel="1" x14ac:dyDescent="0.3">
      <c r="A278" s="579" t="s">
        <v>35</v>
      </c>
      <c r="B278" s="85"/>
      <c r="C278" s="1146">
        <f t="shared" ref="C278:AH278" si="665">1-C277</f>
        <v>0.34286637785672336</v>
      </c>
      <c r="D278" s="1146">
        <f t="shared" si="665"/>
        <v>0.35380804432359481</v>
      </c>
      <c r="E278" s="1146">
        <f t="shared" si="665"/>
        <v>0.39767629636591106</v>
      </c>
      <c r="F278" s="1146">
        <f t="shared" si="665"/>
        <v>0.51439544964519135</v>
      </c>
      <c r="G278" s="580">
        <f t="shared" si="665"/>
        <v>0.50100067360308453</v>
      </c>
      <c r="H278" s="580">
        <f t="shared" si="665"/>
        <v>0.51779616382736271</v>
      </c>
      <c r="I278" s="580">
        <f t="shared" si="665"/>
        <v>0.52873740771192002</v>
      </c>
      <c r="J278" s="580">
        <f t="shared" si="665"/>
        <v>0.5290459317988403</v>
      </c>
      <c r="K278" s="1146">
        <f t="shared" si="665"/>
        <v>0.52015427464260089</v>
      </c>
      <c r="L278" s="580">
        <f t="shared" si="665"/>
        <v>0.54315158383600126</v>
      </c>
      <c r="M278" s="580">
        <f t="shared" si="665"/>
        <v>0.55824476739545537</v>
      </c>
      <c r="N278" s="580">
        <f t="shared" si="665"/>
        <v>0.55449079525260281</v>
      </c>
      <c r="O278" s="580">
        <f t="shared" si="665"/>
        <v>0.54119232523872229</v>
      </c>
      <c r="P278" s="1146">
        <f t="shared" si="665"/>
        <v>0.54907361987253767</v>
      </c>
      <c r="Q278" s="580">
        <f t="shared" si="665"/>
        <v>0.54759746146872168</v>
      </c>
      <c r="R278" s="580">
        <f t="shared" si="665"/>
        <v>0.56119673617407073</v>
      </c>
      <c r="S278" s="580">
        <f t="shared" si="665"/>
        <v>0.55183673469387751</v>
      </c>
      <c r="T278" s="580">
        <f t="shared" si="665"/>
        <v>0.55955235811350912</v>
      </c>
      <c r="U278" s="1146">
        <f t="shared" si="665"/>
        <v>0.55510465612985904</v>
      </c>
      <c r="V278" s="580">
        <f t="shared" si="665"/>
        <v>0.56733275412684625</v>
      </c>
      <c r="W278" s="580">
        <f t="shared" si="665"/>
        <v>0.54986990459670426</v>
      </c>
      <c r="X278" s="580">
        <f t="shared" si="665"/>
        <v>0.56245210727969353</v>
      </c>
      <c r="Y278" s="580">
        <f t="shared" si="665"/>
        <v>0.56459671663097788</v>
      </c>
      <c r="Z278" s="1147">
        <f t="shared" si="665"/>
        <v>0.56107784431137731</v>
      </c>
      <c r="AA278" s="580">
        <f t="shared" si="665"/>
        <v>0.57547892720306515</v>
      </c>
      <c r="AB278" s="580">
        <f t="shared" si="665"/>
        <v>0.57843137254901955</v>
      </c>
      <c r="AC278" s="580">
        <f t="shared" si="665"/>
        <v>0.59031936127744511</v>
      </c>
      <c r="AD278" s="580">
        <f t="shared" si="665"/>
        <v>0.59963184537505754</v>
      </c>
      <c r="AE278" s="1147">
        <f t="shared" si="665"/>
        <v>0.58798842257597683</v>
      </c>
      <c r="AF278" s="580">
        <f t="shared" si="665"/>
        <v>0.59370160041300979</v>
      </c>
      <c r="AG278" s="580">
        <f t="shared" si="665"/>
        <v>0.58385650224215246</v>
      </c>
      <c r="AH278" s="580">
        <f t="shared" si="665"/>
        <v>0.59522003034901361</v>
      </c>
      <c r="AI278" s="580">
        <f t="shared" ref="AI278:AW278" si="666">1-AI277</f>
        <v>0.61868773617313644</v>
      </c>
      <c r="AJ278" s="1147">
        <f t="shared" si="666"/>
        <v>0.59934115709285574</v>
      </c>
      <c r="AK278" s="580">
        <f t="shared" si="666"/>
        <v>0.6448394137823511</v>
      </c>
      <c r="AL278" s="580">
        <f t="shared" si="666"/>
        <v>0.63240473903298111</v>
      </c>
      <c r="AM278" s="580">
        <f t="shared" si="666"/>
        <v>0.60389814523734675</v>
      </c>
      <c r="AN278" s="580">
        <f t="shared" si="666"/>
        <v>0.54739229024943303</v>
      </c>
      <c r="AO278" s="1147">
        <f t="shared" si="666"/>
        <v>0.61206896551724133</v>
      </c>
      <c r="AP278" s="580">
        <f t="shared" si="666"/>
        <v>0.58378378378378382</v>
      </c>
      <c r="AQ278" s="580">
        <f t="shared" si="666"/>
        <v>0.59751841799146954</v>
      </c>
      <c r="AR278" s="580">
        <f t="shared" si="666"/>
        <v>0.63570006635700071</v>
      </c>
      <c r="AS278" s="580">
        <f t="shared" si="666"/>
        <v>0.64895330112721417</v>
      </c>
      <c r="AT278" s="1147">
        <f t="shared" si="666"/>
        <v>0.61989375343469499</v>
      </c>
      <c r="AU278" s="580">
        <f t="shared" si="666"/>
        <v>0.6506493506493507</v>
      </c>
      <c r="AV278" s="580">
        <f t="shared" si="666"/>
        <v>0.58846352819451631</v>
      </c>
      <c r="AW278" s="580">
        <f t="shared" si="666"/>
        <v>0.62632247143461695</v>
      </c>
      <c r="AX278" s="580">
        <f t="shared" ref="AX278:BD278" si="667">1-AX277</f>
        <v>0.6310213871676994</v>
      </c>
      <c r="AY278" s="1147">
        <f t="shared" si="667"/>
        <v>0.62344827586206897</v>
      </c>
      <c r="AZ278" s="580">
        <f t="shared" si="667"/>
        <v>0.64105281752340582</v>
      </c>
      <c r="BA278" s="580">
        <f t="shared" si="667"/>
        <v>0.64776394651913316</v>
      </c>
      <c r="BB278" s="580">
        <f t="shared" si="667"/>
        <v>0.65197803744896521</v>
      </c>
      <c r="BC278" s="580">
        <f t="shared" si="667"/>
        <v>0.65406254088708615</v>
      </c>
      <c r="BD278" s="1147">
        <f t="shared" si="667"/>
        <v>0.64929033216913123</v>
      </c>
      <c r="BE278" s="580">
        <f t="shared" ref="BE278:BI278" si="668">1-BE277</f>
        <v>0.65528474903474909</v>
      </c>
      <c r="BF278" s="580">
        <f t="shared" si="668"/>
        <v>0.43481503579952263</v>
      </c>
      <c r="BG278" s="580">
        <f t="shared" si="668"/>
        <v>0.53566009104704104</v>
      </c>
      <c r="BH278" s="580">
        <f t="shared" si="668"/>
        <v>0.63344901669145592</v>
      </c>
      <c r="BI278" s="1147">
        <f t="shared" si="668"/>
        <v>0.56928894490991322</v>
      </c>
      <c r="BJ278" s="580">
        <f t="shared" ref="BJ278:BN278" si="669">1-BJ277</f>
        <v>0.64627363737486099</v>
      </c>
      <c r="BK278" s="580">
        <f t="shared" si="669"/>
        <v>0.7005256533649219</v>
      </c>
      <c r="BL278" s="580">
        <f t="shared" si="669"/>
        <v>0.73951434878587197</v>
      </c>
      <c r="BM278" s="580">
        <f t="shared" si="669"/>
        <v>0.75967063294575399</v>
      </c>
      <c r="BN278" s="1147">
        <f t="shared" si="669"/>
        <v>0.72717573290436954</v>
      </c>
      <c r="BO278" s="580">
        <f t="shared" ref="BO278:BS278" si="670">1-BO277</f>
        <v>0.78352019659038552</v>
      </c>
      <c r="BP278" s="580">
        <f t="shared" si="670"/>
        <v>0.75146471371504664</v>
      </c>
      <c r="BQ278" s="580">
        <f t="shared" si="670"/>
        <v>0.74556752750698363</v>
      </c>
      <c r="BR278" s="580">
        <f t="shared" si="670"/>
        <v>0.73028908494571709</v>
      </c>
      <c r="BS278" s="1147">
        <f t="shared" si="670"/>
        <v>0.74988697058169917</v>
      </c>
      <c r="BT278" s="580">
        <f t="shared" ref="BT278:CK278" si="671">1-BT277</f>
        <v>0.60523807362353055</v>
      </c>
      <c r="BU278" s="580">
        <f t="shared" si="671"/>
        <v>0.72423678411740799</v>
      </c>
      <c r="BV278" s="580">
        <f t="shared" si="671"/>
        <v>0.7341157071185489</v>
      </c>
      <c r="BW278" s="580">
        <f t="shared" si="671"/>
        <v>0.74996697344665109</v>
      </c>
      <c r="BX278" s="1147">
        <f t="shared" si="671"/>
        <v>0.71068084357547079</v>
      </c>
      <c r="BY278" s="903">
        <f>1-BY277</f>
        <v>0.74933529375727503</v>
      </c>
      <c r="BZ278" s="580">
        <f t="shared" si="671"/>
        <v>0.7485258969257429</v>
      </c>
      <c r="CA278" s="580">
        <f t="shared" si="671"/>
        <v>0.74518566466687719</v>
      </c>
      <c r="CB278" s="580">
        <f t="shared" si="671"/>
        <v>0.76066967575263855</v>
      </c>
      <c r="CC278" s="1147">
        <f t="shared" si="671"/>
        <v>0.75104438899406301</v>
      </c>
      <c r="CD278" s="580">
        <f t="shared" si="671"/>
        <v>0.74925424247993622</v>
      </c>
      <c r="CE278" s="580">
        <f t="shared" si="671"/>
        <v>0.7485258969257429</v>
      </c>
      <c r="CF278" s="580">
        <f t="shared" si="671"/>
        <v>0.74518566466687719</v>
      </c>
      <c r="CG278" s="580">
        <f t="shared" si="671"/>
        <v>0.76066967575263855</v>
      </c>
      <c r="CH278" s="1147">
        <f t="shared" si="671"/>
        <v>0.75098113640895092</v>
      </c>
      <c r="CI278" s="1147">
        <f t="shared" si="671"/>
        <v>0.74998113640895103</v>
      </c>
      <c r="CJ278" s="1147">
        <f t="shared" si="671"/>
        <v>0.74998113640895103</v>
      </c>
      <c r="CK278" s="1147">
        <f t="shared" si="671"/>
        <v>0.74998113640895103</v>
      </c>
      <c r="CL278" s="155"/>
    </row>
    <row r="279" spans="1:90" ht="7.5" hidden="1" customHeight="1" outlineLevel="1" x14ac:dyDescent="0.3">
      <c r="A279" s="579"/>
      <c r="B279" s="85"/>
      <c r="C279" s="1146"/>
      <c r="D279" s="1146"/>
      <c r="E279" s="1146"/>
      <c r="F279" s="1146"/>
      <c r="G279" s="580"/>
      <c r="H279" s="580"/>
      <c r="I279" s="580"/>
      <c r="J279" s="580"/>
      <c r="K279" s="1146"/>
      <c r="L279" s="580"/>
      <c r="M279" s="580"/>
      <c r="N279" s="580"/>
      <c r="O279" s="580"/>
      <c r="P279" s="1146"/>
      <c r="Q279" s="580"/>
      <c r="R279" s="580"/>
      <c r="S279" s="580"/>
      <c r="T279" s="580"/>
      <c r="U279" s="1146"/>
      <c r="V279" s="580"/>
      <c r="W279" s="580"/>
      <c r="X279" s="580"/>
      <c r="Y279" s="580"/>
      <c r="Z279" s="1147"/>
      <c r="AA279" s="580"/>
      <c r="AB279" s="580"/>
      <c r="AC279" s="580"/>
      <c r="AD279" s="580"/>
      <c r="AE279" s="1147"/>
      <c r="AF279" s="580"/>
      <c r="AG279" s="580"/>
      <c r="AH279" s="580"/>
      <c r="AI279" s="580"/>
      <c r="AJ279" s="1147"/>
      <c r="AK279" s="580"/>
      <c r="AL279" s="580"/>
      <c r="AM279" s="580"/>
      <c r="AN279" s="580"/>
      <c r="AO279" s="1147"/>
      <c r="AP279" s="580"/>
      <c r="AQ279" s="580"/>
      <c r="AR279" s="580"/>
      <c r="AS279" s="580"/>
      <c r="AT279" s="1147"/>
      <c r="AU279" s="580"/>
      <c r="AV279" s="580"/>
      <c r="AW279" s="580"/>
      <c r="AX279" s="580"/>
      <c r="AY279" s="1147"/>
      <c r="AZ279" s="580"/>
      <c r="BA279" s="580"/>
      <c r="BB279" s="580"/>
      <c r="BC279" s="580"/>
      <c r="BD279" s="1147"/>
      <c r="BE279" s="580"/>
      <c r="BF279" s="580"/>
      <c r="BG279" s="580"/>
      <c r="BH279" s="580"/>
      <c r="BI279" s="1147"/>
      <c r="BJ279" s="580"/>
      <c r="BK279" s="580"/>
      <c r="BL279" s="580"/>
      <c r="BM279" s="580"/>
      <c r="BN279" s="1147"/>
      <c r="BO279" s="580"/>
      <c r="BP279" s="580"/>
      <c r="BQ279" s="580"/>
      <c r="BR279" s="580"/>
      <c r="BS279" s="1147"/>
      <c r="BT279" s="580"/>
      <c r="BU279" s="580"/>
      <c r="BV279" s="580"/>
      <c r="BW279" s="580"/>
      <c r="BX279" s="1147"/>
      <c r="BY279" s="903"/>
      <c r="BZ279" s="580"/>
      <c r="CA279" s="580"/>
      <c r="CB279" s="580"/>
      <c r="CC279" s="1147"/>
      <c r="CD279" s="580"/>
      <c r="CE279" s="580"/>
      <c r="CF279" s="580"/>
      <c r="CG279" s="580"/>
      <c r="CH279" s="1147"/>
      <c r="CI279" s="1147"/>
      <c r="CJ279" s="1147"/>
      <c r="CK279" s="1147"/>
      <c r="CL279" s="155"/>
    </row>
    <row r="280" spans="1:90" hidden="1" outlineLevel="1" x14ac:dyDescent="0.3">
      <c r="A280" s="579" t="s">
        <v>615</v>
      </c>
      <c r="B280" s="85"/>
      <c r="C280" s="1146">
        <f t="shared" ref="C280:AH280" si="672">C386/C370</f>
        <v>0.10576260219763792</v>
      </c>
      <c r="D280" s="1146">
        <f t="shared" si="672"/>
        <v>0.11033310335808949</v>
      </c>
      <c r="E280" s="1146">
        <f t="shared" si="672"/>
        <v>0.10202694712767076</v>
      </c>
      <c r="F280" s="1146">
        <f t="shared" si="672"/>
        <v>0.10145575335235985</v>
      </c>
      <c r="G280" s="580">
        <f t="shared" si="672"/>
        <v>0.11529749361266417</v>
      </c>
      <c r="H280" s="580">
        <f t="shared" si="672"/>
        <v>0.11481992205081062</v>
      </c>
      <c r="I280" s="580">
        <f t="shared" si="672"/>
        <v>8.3265648487264463E-2</v>
      </c>
      <c r="J280" s="580">
        <f t="shared" si="672"/>
        <v>9.3975799122234888E-2</v>
      </c>
      <c r="K280" s="1146">
        <f t="shared" si="672"/>
        <v>0.10065560648564692</v>
      </c>
      <c r="L280" s="580">
        <f t="shared" si="672"/>
        <v>0.1137755973098407</v>
      </c>
      <c r="M280" s="580">
        <f t="shared" si="672"/>
        <v>0.11078775078333016</v>
      </c>
      <c r="N280" s="580">
        <f t="shared" si="672"/>
        <v>9.785220979404477E-2</v>
      </c>
      <c r="O280" s="580">
        <f t="shared" si="672"/>
        <v>0.10109699375468659</v>
      </c>
      <c r="P280" s="1146">
        <f t="shared" si="672"/>
        <v>0.10549271432936529</v>
      </c>
      <c r="Q280" s="580">
        <f t="shared" si="672"/>
        <v>0.10788757932910245</v>
      </c>
      <c r="R280" s="580">
        <f t="shared" si="672"/>
        <v>0.10788757932910245</v>
      </c>
      <c r="S280" s="580">
        <f t="shared" si="672"/>
        <v>0.10040816326530612</v>
      </c>
      <c r="T280" s="580">
        <f t="shared" si="672"/>
        <v>9.5123900879296563E-2</v>
      </c>
      <c r="U280" s="1146">
        <f t="shared" si="672"/>
        <v>0.10252029047415634</v>
      </c>
      <c r="V280" s="580">
        <f t="shared" si="672"/>
        <v>0.11989574283231973</v>
      </c>
      <c r="W280" s="580">
        <f t="shared" si="672"/>
        <v>0.12922810060711187</v>
      </c>
      <c r="X280" s="580">
        <f t="shared" si="672"/>
        <v>0.11647509578544062</v>
      </c>
      <c r="Y280" s="580">
        <f t="shared" si="672"/>
        <v>0.11491791577444682</v>
      </c>
      <c r="Z280" s="1147">
        <f t="shared" si="672"/>
        <v>0.12015968063872255</v>
      </c>
      <c r="AA280" s="580">
        <f t="shared" si="672"/>
        <v>0.12183908045977011</v>
      </c>
      <c r="AB280" s="580">
        <f t="shared" si="672"/>
        <v>0.10994397759103641</v>
      </c>
      <c r="AC280" s="580">
        <f t="shared" si="672"/>
        <v>8.5329341317365276E-2</v>
      </c>
      <c r="AD280" s="580">
        <f t="shared" si="672"/>
        <v>8.099401748734468E-2</v>
      </c>
      <c r="AE280" s="1147">
        <f t="shared" si="672"/>
        <v>9.5947901591895798E-2</v>
      </c>
      <c r="AF280" s="580">
        <f t="shared" si="672"/>
        <v>9.5508518327310277E-2</v>
      </c>
      <c r="AG280" s="580">
        <f t="shared" si="672"/>
        <v>8.8789237668161436E-2</v>
      </c>
      <c r="AH280" s="580">
        <f t="shared" si="672"/>
        <v>8.042488619119878E-2</v>
      </c>
      <c r="AI280" s="580">
        <f t="shared" ref="AI280:BE280" si="673">AI386/AI370</f>
        <v>7.5575403641360353E-2</v>
      </c>
      <c r="AJ280" s="1147">
        <f t="shared" si="673"/>
        <v>8.3899526456660489E-2</v>
      </c>
      <c r="AK280" s="580">
        <f t="shared" si="673"/>
        <v>7.2029934518241343E-2</v>
      </c>
      <c r="AL280" s="580">
        <f t="shared" si="673"/>
        <v>7.5888568683957727E-2</v>
      </c>
      <c r="AM280" s="580">
        <f t="shared" si="673"/>
        <v>8.1106570260924243E-2</v>
      </c>
      <c r="AN280" s="580">
        <f t="shared" si="673"/>
        <v>0.12063492063492064</v>
      </c>
      <c r="AO280" s="1147">
        <f t="shared" si="673"/>
        <v>8.4585182656196647E-2</v>
      </c>
      <c r="AP280" s="580">
        <f t="shared" si="673"/>
        <v>0.11891891891891893</v>
      </c>
      <c r="AQ280" s="580">
        <f t="shared" si="673"/>
        <v>0.10314075222954634</v>
      </c>
      <c r="AR280" s="580">
        <f t="shared" si="673"/>
        <v>9.1904445919044453E-2</v>
      </c>
      <c r="AS280" s="580">
        <f t="shared" si="673"/>
        <v>9.2431561996779391E-2</v>
      </c>
      <c r="AT280" s="1147">
        <f t="shared" si="673"/>
        <v>0.10010991023997069</v>
      </c>
      <c r="AU280" s="580">
        <f t="shared" si="673"/>
        <v>9.5129870129870134E-2</v>
      </c>
      <c r="AV280" s="580">
        <f t="shared" si="673"/>
        <v>0.16218313502327988</v>
      </c>
      <c r="AW280" s="580">
        <f t="shared" si="673"/>
        <v>0.10897164621244181</v>
      </c>
      <c r="AX280" s="580">
        <f t="shared" si="673"/>
        <v>0.10053967619428343</v>
      </c>
      <c r="AY280" s="1147">
        <f t="shared" si="673"/>
        <v>0.11634182908545727</v>
      </c>
      <c r="AZ280" s="580">
        <f t="shared" si="673"/>
        <v>9.1856562444797743E-2</v>
      </c>
      <c r="BA280" s="580">
        <f t="shared" si="673"/>
        <v>8.0836022744736433E-2</v>
      </c>
      <c r="BB280" s="580">
        <f t="shared" si="673"/>
        <v>7.8417570040827819E-2</v>
      </c>
      <c r="BC280" s="580">
        <f t="shared" si="673"/>
        <v>7.3662174538793673E-2</v>
      </c>
      <c r="BD280" s="1147">
        <f t="shared" si="673"/>
        <v>8.0478561343538674E-2</v>
      </c>
      <c r="BE280" s="580">
        <f t="shared" si="673"/>
        <v>7.1428571428571425E-2</v>
      </c>
      <c r="BF280" s="580">
        <f t="shared" ref="BF280:BI280" si="674">BF386/BF370</f>
        <v>8.83054892601432E-2</v>
      </c>
      <c r="BG280" s="580">
        <f t="shared" si="674"/>
        <v>0.1063901534311246</v>
      </c>
      <c r="BH280" s="580">
        <f t="shared" si="674"/>
        <v>0.10328871260948604</v>
      </c>
      <c r="BI280" s="1147">
        <f t="shared" si="674"/>
        <v>9.0457477570994288E-2</v>
      </c>
      <c r="BJ280" s="580">
        <f t="shared" ref="BJ280:BN280" si="675">BJ386/BJ370</f>
        <v>8.8014460511679646E-2</v>
      </c>
      <c r="BK280" s="580">
        <f t="shared" si="675"/>
        <v>4.6050196194565782E-2</v>
      </c>
      <c r="BL280" s="580">
        <f t="shared" si="675"/>
        <v>3.8024282560706404E-2</v>
      </c>
      <c r="BM280" s="580">
        <f t="shared" si="675"/>
        <v>3.2167579061665834E-2</v>
      </c>
      <c r="BN280" s="1147">
        <f t="shared" si="675"/>
        <v>4.3563901382095135E-2</v>
      </c>
      <c r="BO280" s="580">
        <f t="shared" ref="BO280:BS280" si="676">BO386/BO370</f>
        <v>2.9834126862233145E-2</v>
      </c>
      <c r="BP280" s="580">
        <f t="shared" si="676"/>
        <v>2.8029294274300932E-2</v>
      </c>
      <c r="BQ280" s="580">
        <f t="shared" si="676"/>
        <v>2.5568667692833932E-2</v>
      </c>
      <c r="BR280" s="580">
        <f t="shared" si="676"/>
        <v>2.478960616307747E-2</v>
      </c>
      <c r="BS280" s="1147">
        <f t="shared" si="676"/>
        <v>2.6751572833091947E-2</v>
      </c>
      <c r="BT280" s="580">
        <f t="shared" ref="BT280:CK280" si="677">BT386/BT370</f>
        <v>2.3625800009078116E-2</v>
      </c>
      <c r="BU280" s="580">
        <f t="shared" si="677"/>
        <v>2.4003594121044861E-2</v>
      </c>
      <c r="BV280" s="580">
        <f t="shared" si="677"/>
        <v>1.9892642879696873E-2</v>
      </c>
      <c r="BW280" s="580">
        <f t="shared" si="677"/>
        <v>1.88177961747912E-2</v>
      </c>
      <c r="BX280" s="1147">
        <f t="shared" si="677"/>
        <v>2.1205160740582946E-2</v>
      </c>
      <c r="BY280" s="903">
        <f>BY386/BY370</f>
        <v>1.5928444526128776E-2</v>
      </c>
      <c r="BZ280" s="580">
        <f t="shared" si="677"/>
        <v>2.1009853881864663E-2</v>
      </c>
      <c r="CA280" s="580">
        <f t="shared" si="677"/>
        <v>1.3374051854190789E-2</v>
      </c>
      <c r="CB280" s="580">
        <f t="shared" si="677"/>
        <v>1.3821618447898776E-2</v>
      </c>
      <c r="CC280" s="1147">
        <f t="shared" si="677"/>
        <v>1.6012805046705776E-2</v>
      </c>
      <c r="CD280" s="580">
        <f t="shared" si="677"/>
        <v>1.6067181277951356E-2</v>
      </c>
      <c r="CE280" s="580">
        <f t="shared" si="677"/>
        <v>2.1009853881864663E-2</v>
      </c>
      <c r="CF280" s="580">
        <f t="shared" si="677"/>
        <v>1.3374051854190785E-2</v>
      </c>
      <c r="CG280" s="580">
        <f t="shared" si="677"/>
        <v>1.3821618447898778E-2</v>
      </c>
      <c r="CH280" s="1147">
        <f t="shared" si="677"/>
        <v>1.6092413163582078E-2</v>
      </c>
      <c r="CI280" s="1147">
        <f t="shared" si="677"/>
        <v>1.5592413163582074E-2</v>
      </c>
      <c r="CJ280" s="1147">
        <f t="shared" si="677"/>
        <v>1.5092413163582074E-2</v>
      </c>
      <c r="CK280" s="1147">
        <f t="shared" si="677"/>
        <v>1.4592413163582073E-2</v>
      </c>
      <c r="CL280" s="155"/>
    </row>
    <row r="281" spans="1:90" hidden="1" outlineLevel="1" x14ac:dyDescent="0.3">
      <c r="A281" s="579" t="s">
        <v>38</v>
      </c>
      <c r="B281" s="85"/>
      <c r="C281" s="1146">
        <f t="shared" ref="C281:AH281" si="678">C381/C370</f>
        <v>0.24990196676709903</v>
      </c>
      <c r="D281" s="1146">
        <f t="shared" si="678"/>
        <v>0.27321990894182829</v>
      </c>
      <c r="E281" s="1146">
        <f t="shared" si="678"/>
        <v>0.23955855952726673</v>
      </c>
      <c r="F281" s="1146">
        <f t="shared" si="678"/>
        <v>0.25078102918260203</v>
      </c>
      <c r="G281" s="580">
        <f t="shared" si="678"/>
        <v>0.30696189871734297</v>
      </c>
      <c r="H281" s="580">
        <f t="shared" si="678"/>
        <v>0.26927231463127349</v>
      </c>
      <c r="I281" s="580">
        <f t="shared" si="678"/>
        <v>0.23600833810864458</v>
      </c>
      <c r="J281" s="580">
        <f t="shared" si="678"/>
        <v>0.26922618262502007</v>
      </c>
      <c r="K281" s="1146">
        <f t="shared" si="678"/>
        <v>0.26804658425072525</v>
      </c>
      <c r="L281" s="580">
        <f t="shared" si="678"/>
        <v>0.34267061469155441</v>
      </c>
      <c r="M281" s="580">
        <f t="shared" si="678"/>
        <v>0.33946490005505309</v>
      </c>
      <c r="N281" s="580">
        <f t="shared" si="678"/>
        <v>0.32286969136604843</v>
      </c>
      <c r="O281" s="580">
        <f t="shared" si="678"/>
        <v>0.29421054379497602</v>
      </c>
      <c r="P281" s="1146">
        <f t="shared" si="678"/>
        <v>0.32343380235448393</v>
      </c>
      <c r="Q281" s="580">
        <f t="shared" si="678"/>
        <v>0.30281051677243881</v>
      </c>
      <c r="R281" s="580">
        <f t="shared" si="678"/>
        <v>0.30553037171350861</v>
      </c>
      <c r="S281" s="580">
        <f t="shared" si="678"/>
        <v>0.27755102040816326</v>
      </c>
      <c r="T281" s="580">
        <f t="shared" si="678"/>
        <v>0.27897681854516387</v>
      </c>
      <c r="U281" s="1146">
        <f t="shared" si="678"/>
        <v>0.29047415634344298</v>
      </c>
      <c r="V281" s="580">
        <f t="shared" si="678"/>
        <v>0.29452649869678538</v>
      </c>
      <c r="W281" s="580">
        <f t="shared" si="678"/>
        <v>0.27753686036426711</v>
      </c>
      <c r="X281" s="580">
        <f t="shared" si="678"/>
        <v>0.25210727969348656</v>
      </c>
      <c r="Y281" s="580">
        <f t="shared" si="678"/>
        <v>0.24553890078515347</v>
      </c>
      <c r="Z281" s="1147">
        <f t="shared" si="678"/>
        <v>0.26566866267465072</v>
      </c>
      <c r="AA281" s="580">
        <f t="shared" si="678"/>
        <v>0.26513409961685824</v>
      </c>
      <c r="AB281" s="580">
        <f t="shared" si="678"/>
        <v>0.24509803921568626</v>
      </c>
      <c r="AC281" s="580">
        <f t="shared" si="678"/>
        <v>0.18612774451097805</v>
      </c>
      <c r="AD281" s="580">
        <f t="shared" si="678"/>
        <v>0.18131615278416935</v>
      </c>
      <c r="AE281" s="1147">
        <f t="shared" si="678"/>
        <v>0.21172214182344429</v>
      </c>
      <c r="AF281" s="580">
        <f t="shared" si="678"/>
        <v>0.2121837893649974</v>
      </c>
      <c r="AG281" s="580">
        <f t="shared" si="678"/>
        <v>0.18654708520179372</v>
      </c>
      <c r="AH281" s="580">
        <f t="shared" si="678"/>
        <v>0.17526555386949924</v>
      </c>
      <c r="AI281" s="580">
        <f t="shared" ref="AI281:AZ281" si="679">AI381/AI370</f>
        <v>0.1745104774991412</v>
      </c>
      <c r="AJ281" s="1147">
        <f t="shared" si="679"/>
        <v>0.18499073502161828</v>
      </c>
      <c r="AK281" s="580">
        <f t="shared" si="679"/>
        <v>0.1690053009042719</v>
      </c>
      <c r="AL281" s="580">
        <f t="shared" si="679"/>
        <v>0.18603906500160103</v>
      </c>
      <c r="AM281" s="580">
        <f t="shared" si="679"/>
        <v>0.19019176359635334</v>
      </c>
      <c r="AN281" s="580">
        <f t="shared" si="679"/>
        <v>0.29342403628117913</v>
      </c>
      <c r="AO281" s="1147">
        <f t="shared" si="679"/>
        <v>0.20279959030385797</v>
      </c>
      <c r="AP281" s="580">
        <f t="shared" si="679"/>
        <v>0.30360360360360361</v>
      </c>
      <c r="AQ281" s="580">
        <f t="shared" si="679"/>
        <v>0.27297402093834822</v>
      </c>
      <c r="AR281" s="580">
        <f t="shared" si="679"/>
        <v>0.23623092236230922</v>
      </c>
      <c r="AS281" s="580">
        <f t="shared" si="679"/>
        <v>0.23768115942028986</v>
      </c>
      <c r="AT281" s="1147">
        <f t="shared" si="679"/>
        <v>0.25911339073090311</v>
      </c>
      <c r="AU281" s="580">
        <f t="shared" si="679"/>
        <v>0.23863636363636365</v>
      </c>
      <c r="AV281" s="580">
        <f t="shared" si="679"/>
        <v>0.2578892912571133</v>
      </c>
      <c r="AW281" s="580">
        <f t="shared" si="679"/>
        <v>0.22154041472704189</v>
      </c>
      <c r="AX281" s="580">
        <f t="shared" si="679"/>
        <v>0.2292624425344793</v>
      </c>
      <c r="AY281" s="1147">
        <f t="shared" si="679"/>
        <v>0.2353223388305847</v>
      </c>
      <c r="AZ281" s="580">
        <f t="shared" si="679"/>
        <v>0.20367426249779191</v>
      </c>
      <c r="BA281" s="580">
        <f t="shared" ref="BA281:BD281" si="680">BA381/BA370</f>
        <v>0.19133241124942368</v>
      </c>
      <c r="BB281" s="580">
        <f t="shared" si="680"/>
        <v>0.19752217372941011</v>
      </c>
      <c r="BC281" s="580">
        <f t="shared" si="680"/>
        <v>0.19180949888787124</v>
      </c>
      <c r="BD281" s="1147">
        <f t="shared" si="680"/>
        <v>0.19573456193802483</v>
      </c>
      <c r="BE281" s="580">
        <f t="shared" ref="BE281:BI281" si="681">BE381/BE370</f>
        <v>0.19522200772200773</v>
      </c>
      <c r="BF281" s="580">
        <f t="shared" si="681"/>
        <v>0.27207637231503579</v>
      </c>
      <c r="BG281" s="580">
        <f t="shared" si="681"/>
        <v>0.32793795312763446</v>
      </c>
      <c r="BH281" s="580">
        <f t="shared" si="681"/>
        <v>0.3224260452817716</v>
      </c>
      <c r="BI281" s="1147">
        <f t="shared" si="681"/>
        <v>0.27207681471046191</v>
      </c>
      <c r="BJ281" s="580">
        <f t="shared" ref="BJ281:BN281" si="682">BJ381/BJ370</f>
        <v>0.26070634037819801</v>
      </c>
      <c r="BK281" s="580">
        <f t="shared" si="682"/>
        <v>0.15103279780854373</v>
      </c>
      <c r="BL281" s="580">
        <f t="shared" si="682"/>
        <v>0.12660044150110375</v>
      </c>
      <c r="BM281" s="580">
        <f t="shared" si="682"/>
        <v>0.11152332262588789</v>
      </c>
      <c r="BN281" s="1147">
        <f t="shared" si="682"/>
        <v>0.14239519385443683</v>
      </c>
      <c r="BO281" s="580">
        <f t="shared" ref="BO281:BS281" si="683">BO381/BO370</f>
        <v>0.10443864229765012</v>
      </c>
      <c r="BP281" s="580">
        <f t="shared" si="683"/>
        <v>0.10286284953395473</v>
      </c>
      <c r="BQ281" s="580">
        <f t="shared" si="683"/>
        <v>9.6630750812382413E-2</v>
      </c>
      <c r="BR281" s="580">
        <f t="shared" si="683"/>
        <v>9.4429330553507412E-2</v>
      </c>
      <c r="BS281" s="1147">
        <f t="shared" si="683"/>
        <v>9.8960129351632606E-2</v>
      </c>
      <c r="BT281" s="580">
        <f t="shared" ref="BT281:CK281" si="684">BT381/BT370</f>
        <v>9.0531523761971766E-2</v>
      </c>
      <c r="BU281" s="580">
        <f t="shared" si="684"/>
        <v>9.1799841687525405E-2</v>
      </c>
      <c r="BV281" s="580">
        <f t="shared" si="684"/>
        <v>8.2535171736308463E-2</v>
      </c>
      <c r="BW281" s="580">
        <f t="shared" si="684"/>
        <v>8.0907716470709115E-2</v>
      </c>
      <c r="BX281" s="1147">
        <f t="shared" si="684"/>
        <v>8.5658846520760584E-2</v>
      </c>
      <c r="BY281" s="903">
        <f>BY381/BY370</f>
        <v>7.7448998345892306E-2</v>
      </c>
      <c r="BZ281" s="580">
        <f t="shared" si="684"/>
        <v>7.2699676956977516E-2</v>
      </c>
      <c r="CA281" s="580">
        <f t="shared" si="684"/>
        <v>6.1765533452619023E-2</v>
      </c>
      <c r="CB281" s="580">
        <f t="shared" si="684"/>
        <v>6.2825707869126779E-2</v>
      </c>
      <c r="CC281" s="1147">
        <f t="shared" si="684"/>
        <v>6.8395081262503807E-2</v>
      </c>
      <c r="CD281" s="580">
        <f t="shared" si="684"/>
        <v>7.6402805856766523E-2</v>
      </c>
      <c r="CE281" s="580">
        <f t="shared" si="684"/>
        <v>7.1699676956977515E-2</v>
      </c>
      <c r="CF281" s="580">
        <f t="shared" si="684"/>
        <v>6.1765533452619016E-2</v>
      </c>
      <c r="CG281" s="580">
        <f t="shared" si="684"/>
        <v>6.2825707869126779E-2</v>
      </c>
      <c r="CH281" s="1147">
        <f t="shared" si="684"/>
        <v>6.8011030772946568E-2</v>
      </c>
      <c r="CI281" s="1147">
        <f t="shared" si="684"/>
        <v>6.8011030772946554E-2</v>
      </c>
      <c r="CJ281" s="1147">
        <f t="shared" si="684"/>
        <v>6.8011030772946568E-2</v>
      </c>
      <c r="CK281" s="1147">
        <f t="shared" si="684"/>
        <v>6.8011030772946568E-2</v>
      </c>
      <c r="CL281" s="155"/>
    </row>
    <row r="282" spans="1:90" hidden="1" outlineLevel="1" x14ac:dyDescent="0.3">
      <c r="A282" s="578" t="s">
        <v>814</v>
      </c>
      <c r="B282" s="576"/>
      <c r="C282" s="1144">
        <f>C391/C370</f>
        <v>7.8449944946638681E-3</v>
      </c>
      <c r="D282" s="1144">
        <f t="shared" ref="D282:BE282" si="685">D391/D370</f>
        <v>0</v>
      </c>
      <c r="E282" s="1144">
        <f t="shared" si="685"/>
        <v>-1.6086657979871355E-2</v>
      </c>
      <c r="F282" s="1144">
        <f t="shared" si="685"/>
        <v>0</v>
      </c>
      <c r="G282" s="577">
        <f t="shared" si="685"/>
        <v>0</v>
      </c>
      <c r="H282" s="577">
        <f t="shared" si="685"/>
        <v>0</v>
      </c>
      <c r="I282" s="577">
        <f t="shared" si="685"/>
        <v>0</v>
      </c>
      <c r="J282" s="577">
        <f t="shared" si="685"/>
        <v>0</v>
      </c>
      <c r="K282" s="1144">
        <f t="shared" si="685"/>
        <v>0</v>
      </c>
      <c r="L282" s="577">
        <f t="shared" si="685"/>
        <v>0</v>
      </c>
      <c r="M282" s="577">
        <f t="shared" si="685"/>
        <v>0</v>
      </c>
      <c r="N282" s="577">
        <f t="shared" si="685"/>
        <v>0</v>
      </c>
      <c r="O282" s="577">
        <f t="shared" si="685"/>
        <v>0</v>
      </c>
      <c r="P282" s="1144">
        <f t="shared" si="685"/>
        <v>0</v>
      </c>
      <c r="Q282" s="577">
        <f t="shared" si="685"/>
        <v>0</v>
      </c>
      <c r="R282" s="577">
        <f t="shared" si="685"/>
        <v>0</v>
      </c>
      <c r="S282" s="577">
        <f t="shared" si="685"/>
        <v>0</v>
      </c>
      <c r="T282" s="577">
        <f t="shared" si="685"/>
        <v>0</v>
      </c>
      <c r="U282" s="1144">
        <f t="shared" si="685"/>
        <v>0</v>
      </c>
      <c r="V282" s="577">
        <f t="shared" si="685"/>
        <v>0</v>
      </c>
      <c r="W282" s="577">
        <f t="shared" si="685"/>
        <v>7.7189939288811793E-2</v>
      </c>
      <c r="X282" s="577">
        <f t="shared" si="685"/>
        <v>6.1302681992337167E-3</v>
      </c>
      <c r="Y282" s="577">
        <f t="shared" si="685"/>
        <v>2.4268379728765169E-2</v>
      </c>
      <c r="Z282" s="1145">
        <f t="shared" si="685"/>
        <v>2.6147704590818364E-2</v>
      </c>
      <c r="AA282" s="577">
        <f t="shared" si="685"/>
        <v>7.6628352490421458E-4</v>
      </c>
      <c r="AB282" s="577">
        <f t="shared" si="685"/>
        <v>1.4005602240896359E-3</v>
      </c>
      <c r="AC282" s="577">
        <f t="shared" si="685"/>
        <v>0</v>
      </c>
      <c r="AD282" s="577">
        <f t="shared" si="685"/>
        <v>0</v>
      </c>
      <c r="AE282" s="1145">
        <f t="shared" si="685"/>
        <v>4.3415340086830681E-4</v>
      </c>
      <c r="AF282" s="577">
        <f t="shared" si="685"/>
        <v>0</v>
      </c>
      <c r="AG282" s="577">
        <f t="shared" si="685"/>
        <v>0</v>
      </c>
      <c r="AH282" s="577">
        <f t="shared" si="685"/>
        <v>0</v>
      </c>
      <c r="AI282" s="577">
        <f t="shared" si="685"/>
        <v>0</v>
      </c>
      <c r="AJ282" s="1145">
        <f t="shared" si="685"/>
        <v>0</v>
      </c>
      <c r="AK282" s="577">
        <f t="shared" si="685"/>
        <v>0</v>
      </c>
      <c r="AL282" s="577">
        <f t="shared" si="685"/>
        <v>0</v>
      </c>
      <c r="AM282" s="577">
        <f t="shared" si="685"/>
        <v>0</v>
      </c>
      <c r="AN282" s="577">
        <f t="shared" si="685"/>
        <v>0</v>
      </c>
      <c r="AO282" s="1145">
        <f t="shared" si="685"/>
        <v>0</v>
      </c>
      <c r="AP282" s="577">
        <f t="shared" si="685"/>
        <v>0</v>
      </c>
      <c r="AQ282" s="577">
        <f t="shared" si="685"/>
        <v>0</v>
      </c>
      <c r="AR282" s="577">
        <f t="shared" si="685"/>
        <v>0</v>
      </c>
      <c r="AS282" s="577">
        <f t="shared" si="685"/>
        <v>0</v>
      </c>
      <c r="AT282" s="1145">
        <f t="shared" si="685"/>
        <v>0</v>
      </c>
      <c r="AU282" s="577">
        <f t="shared" si="685"/>
        <v>0</v>
      </c>
      <c r="AV282" s="577">
        <f t="shared" si="685"/>
        <v>0</v>
      </c>
      <c r="AW282" s="577">
        <f t="shared" si="685"/>
        <v>0</v>
      </c>
      <c r="AX282" s="577">
        <f t="shared" si="685"/>
        <v>0</v>
      </c>
      <c r="AY282" s="1145">
        <f t="shared" si="685"/>
        <v>0</v>
      </c>
      <c r="AZ282" s="577">
        <f t="shared" si="685"/>
        <v>0</v>
      </c>
      <c r="BA282" s="577">
        <f t="shared" si="685"/>
        <v>0</v>
      </c>
      <c r="BB282" s="577">
        <f t="shared" si="685"/>
        <v>0</v>
      </c>
      <c r="BC282" s="577">
        <f t="shared" si="685"/>
        <v>0</v>
      </c>
      <c r="BD282" s="1145">
        <f t="shared" si="685"/>
        <v>0</v>
      </c>
      <c r="BE282" s="577">
        <f t="shared" si="685"/>
        <v>0.1632480694980695</v>
      </c>
      <c r="BF282" s="577">
        <f t="shared" ref="BF282:BI282" si="686">BF391/BF370</f>
        <v>0</v>
      </c>
      <c r="BG282" s="577">
        <f t="shared" si="686"/>
        <v>0</v>
      </c>
      <c r="BH282" s="577">
        <f t="shared" si="686"/>
        <v>0</v>
      </c>
      <c r="BI282" s="1145">
        <f t="shared" si="686"/>
        <v>5.015941276785052E-2</v>
      </c>
      <c r="BJ282" s="577">
        <f t="shared" ref="BJ282:BN282" si="687">BJ391/BJ370</f>
        <v>0</v>
      </c>
      <c r="BK282" s="577">
        <f t="shared" si="687"/>
        <v>0</v>
      </c>
      <c r="BL282" s="577">
        <f t="shared" si="687"/>
        <v>0</v>
      </c>
      <c r="BM282" s="577">
        <f t="shared" si="687"/>
        <v>0</v>
      </c>
      <c r="BN282" s="1145">
        <f t="shared" si="687"/>
        <v>0</v>
      </c>
      <c r="BO282" s="577">
        <f t="shared" ref="BO282:BS282" si="688">BO391/BO370</f>
        <v>0</v>
      </c>
      <c r="BP282" s="577">
        <f t="shared" si="688"/>
        <v>0</v>
      </c>
      <c r="BQ282" s="577">
        <f t="shared" si="688"/>
        <v>0</v>
      </c>
      <c r="BR282" s="577">
        <f t="shared" si="688"/>
        <v>0</v>
      </c>
      <c r="BS282" s="1145">
        <f t="shared" si="688"/>
        <v>0</v>
      </c>
      <c r="BT282" s="577">
        <f t="shared" ref="BT282:CK282" si="689">BT391/BT370</f>
        <v>0</v>
      </c>
      <c r="BU282" s="577">
        <f t="shared" si="689"/>
        <v>0</v>
      </c>
      <c r="BV282" s="577">
        <f t="shared" si="689"/>
        <v>0</v>
      </c>
      <c r="BW282" s="577">
        <f t="shared" si="689"/>
        <v>0</v>
      </c>
      <c r="BX282" s="1145">
        <f t="shared" si="689"/>
        <v>0</v>
      </c>
      <c r="BY282" s="902">
        <f>BY391/BY370</f>
        <v>0</v>
      </c>
      <c r="BZ282" s="577">
        <f t="shared" si="689"/>
        <v>0</v>
      </c>
      <c r="CA282" s="577">
        <f t="shared" si="689"/>
        <v>0</v>
      </c>
      <c r="CB282" s="577">
        <f t="shared" si="689"/>
        <v>0</v>
      </c>
      <c r="CC282" s="1145">
        <f t="shared" si="689"/>
        <v>0</v>
      </c>
      <c r="CD282" s="577">
        <f t="shared" si="689"/>
        <v>0</v>
      </c>
      <c r="CE282" s="577">
        <f t="shared" si="689"/>
        <v>0</v>
      </c>
      <c r="CF282" s="577">
        <f t="shared" si="689"/>
        <v>0</v>
      </c>
      <c r="CG282" s="577">
        <f t="shared" si="689"/>
        <v>0</v>
      </c>
      <c r="CH282" s="1145">
        <f t="shared" si="689"/>
        <v>0</v>
      </c>
      <c r="CI282" s="1145">
        <f t="shared" si="689"/>
        <v>0</v>
      </c>
      <c r="CJ282" s="1145">
        <f t="shared" si="689"/>
        <v>0</v>
      </c>
      <c r="CK282" s="1145">
        <f t="shared" si="689"/>
        <v>0</v>
      </c>
      <c r="CL282" s="155"/>
    </row>
    <row r="283" spans="1:90" hidden="1" outlineLevel="1" x14ac:dyDescent="0.3">
      <c r="A283" s="666" t="s">
        <v>40</v>
      </c>
      <c r="B283" s="88"/>
      <c r="C283" s="1148">
        <f t="shared" ref="C283:BD283" si="690">C278-C280-C281-C282</f>
        <v>-2.0643185602677451E-2</v>
      </c>
      <c r="D283" s="1148">
        <f t="shared" si="690"/>
        <v>-2.9744967976322978E-2</v>
      </c>
      <c r="E283" s="1148">
        <f t="shared" si="690"/>
        <v>7.2177447690844942E-2</v>
      </c>
      <c r="F283" s="1148">
        <f t="shared" si="690"/>
        <v>0.16215866711022947</v>
      </c>
      <c r="G283" s="667">
        <f t="shared" si="690"/>
        <v>7.874128127307739E-2</v>
      </c>
      <c r="H283" s="667">
        <f t="shared" si="690"/>
        <v>0.13370392714527862</v>
      </c>
      <c r="I283" s="667">
        <f t="shared" si="690"/>
        <v>0.20946342111601096</v>
      </c>
      <c r="J283" s="667">
        <f t="shared" si="690"/>
        <v>0.16584395005158536</v>
      </c>
      <c r="K283" s="1148">
        <f t="shared" si="690"/>
        <v>0.15145208390622872</v>
      </c>
      <c r="L283" s="667">
        <f t="shared" si="690"/>
        <v>8.6705371834606138E-2</v>
      </c>
      <c r="M283" s="667">
        <f t="shared" si="690"/>
        <v>0.10799211655707214</v>
      </c>
      <c r="N283" s="667">
        <f t="shared" si="690"/>
        <v>0.13376889409250964</v>
      </c>
      <c r="O283" s="667">
        <f t="shared" si="690"/>
        <v>0.14588478768905966</v>
      </c>
      <c r="P283" s="1148">
        <f t="shared" si="690"/>
        <v>0.12014710318868843</v>
      </c>
      <c r="Q283" s="667">
        <f t="shared" si="690"/>
        <v>0.13689936536718045</v>
      </c>
      <c r="R283" s="667">
        <f t="shared" si="690"/>
        <v>0.1477787851314597</v>
      </c>
      <c r="S283" s="667">
        <f t="shared" si="690"/>
        <v>0.17387755102040814</v>
      </c>
      <c r="T283" s="667">
        <f t="shared" si="690"/>
        <v>0.18545163868904868</v>
      </c>
      <c r="U283" s="1148">
        <f t="shared" si="690"/>
        <v>0.16211020931225972</v>
      </c>
      <c r="V283" s="667">
        <f t="shared" si="690"/>
        <v>0.15291051259774113</v>
      </c>
      <c r="W283" s="667">
        <f t="shared" si="690"/>
        <v>6.5915004336513483E-2</v>
      </c>
      <c r="X283" s="667">
        <f t="shared" si="690"/>
        <v>0.18773946360153262</v>
      </c>
      <c r="Y283" s="667">
        <f t="shared" si="690"/>
        <v>0.17987152034261242</v>
      </c>
      <c r="Z283" s="1135">
        <f t="shared" si="690"/>
        <v>0.14910179640718565</v>
      </c>
      <c r="AA283" s="667">
        <f t="shared" si="690"/>
        <v>0.1877394636015326</v>
      </c>
      <c r="AB283" s="667">
        <f t="shared" si="690"/>
        <v>0.22198879551820724</v>
      </c>
      <c r="AC283" s="667">
        <f t="shared" si="690"/>
        <v>0.31886227544910184</v>
      </c>
      <c r="AD283" s="667">
        <f t="shared" si="690"/>
        <v>0.33732167510354349</v>
      </c>
      <c r="AE283" s="1135">
        <f t="shared" si="690"/>
        <v>0.2798842257597684</v>
      </c>
      <c r="AF283" s="667">
        <f t="shared" si="690"/>
        <v>0.28600929272070208</v>
      </c>
      <c r="AG283" s="667">
        <f t="shared" si="690"/>
        <v>0.30852017937219733</v>
      </c>
      <c r="AH283" s="667">
        <f t="shared" si="690"/>
        <v>0.33952959028831553</v>
      </c>
      <c r="AI283" s="667">
        <f t="shared" si="690"/>
        <v>0.36860185503263487</v>
      </c>
      <c r="AJ283" s="1135">
        <f t="shared" si="690"/>
        <v>0.33045089561457702</v>
      </c>
      <c r="AK283" s="667">
        <f t="shared" si="690"/>
        <v>0.40380417835983784</v>
      </c>
      <c r="AL283" s="667">
        <f t="shared" si="690"/>
        <v>0.37047710534742229</v>
      </c>
      <c r="AM283" s="667">
        <f t="shared" si="690"/>
        <v>0.33259981138006911</v>
      </c>
      <c r="AN283" s="667">
        <f t="shared" si="690"/>
        <v>0.13333333333333325</v>
      </c>
      <c r="AO283" s="1135">
        <f t="shared" si="690"/>
        <v>0.32468419255718672</v>
      </c>
      <c r="AP283" s="667">
        <f t="shared" si="690"/>
        <v>0.16126126126126128</v>
      </c>
      <c r="AQ283" s="667">
        <f t="shared" si="690"/>
        <v>0.221403644823575</v>
      </c>
      <c r="AR283" s="667">
        <f t="shared" si="690"/>
        <v>0.30756469807564701</v>
      </c>
      <c r="AS283" s="667">
        <f t="shared" si="690"/>
        <v>0.3188405797101449</v>
      </c>
      <c r="AT283" s="1135">
        <f t="shared" si="690"/>
        <v>0.26067045246382115</v>
      </c>
      <c r="AU283" s="667">
        <f t="shared" si="690"/>
        <v>0.31688311688311688</v>
      </c>
      <c r="AV283" s="667">
        <f t="shared" si="690"/>
        <v>0.16839110191412315</v>
      </c>
      <c r="AW283" s="667">
        <f t="shared" si="690"/>
        <v>0.29581041049513324</v>
      </c>
      <c r="AX283" s="667">
        <f t="shared" si="690"/>
        <v>0.3012192684389367</v>
      </c>
      <c r="AY283" s="1135">
        <f t="shared" si="690"/>
        <v>0.27178410794602692</v>
      </c>
      <c r="AZ283" s="667">
        <f t="shared" si="690"/>
        <v>0.34552199258081612</v>
      </c>
      <c r="BA283" s="667">
        <f t="shared" si="690"/>
        <v>0.37559551252497303</v>
      </c>
      <c r="BB283" s="667">
        <f t="shared" si="690"/>
        <v>0.37603829367872726</v>
      </c>
      <c r="BC283" s="667">
        <f t="shared" si="690"/>
        <v>0.38859086746042126</v>
      </c>
      <c r="BD283" s="1135">
        <f t="shared" si="690"/>
        <v>0.37307720888756768</v>
      </c>
      <c r="BE283" s="667">
        <f t="shared" ref="BE283:BI283" si="691">BE278-BE280-BE281-BE282</f>
        <v>0.22538610038610049</v>
      </c>
      <c r="BF283" s="667">
        <f t="shared" si="691"/>
        <v>7.4433174224343646E-2</v>
      </c>
      <c r="BG283" s="667">
        <f t="shared" si="691"/>
        <v>0.10133198448828201</v>
      </c>
      <c r="BH283" s="667">
        <f t="shared" si="691"/>
        <v>0.2077342588001983</v>
      </c>
      <c r="BI283" s="1135">
        <f t="shared" si="691"/>
        <v>0.15659523986060647</v>
      </c>
      <c r="BJ283" s="667">
        <f t="shared" ref="BJ283:BN283" si="692">BJ278-BJ280-BJ281-BJ282</f>
        <v>0.29755283648498337</v>
      </c>
      <c r="BK283" s="667">
        <f t="shared" si="692"/>
        <v>0.50344265936181243</v>
      </c>
      <c r="BL283" s="667">
        <f t="shared" si="692"/>
        <v>0.5748896247240618</v>
      </c>
      <c r="BM283" s="667">
        <f t="shared" si="692"/>
        <v>0.61597973125820027</v>
      </c>
      <c r="BN283" s="1135">
        <f t="shared" si="692"/>
        <v>0.54121663766783756</v>
      </c>
      <c r="BO283" s="667">
        <f t="shared" ref="BO283:BS283" si="693">BO278-BO280-BO281-BO282</f>
        <v>0.64924742743050223</v>
      </c>
      <c r="BP283" s="667">
        <f t="shared" si="693"/>
        <v>0.62057256990679099</v>
      </c>
      <c r="BQ283" s="667">
        <f t="shared" si="693"/>
        <v>0.62336810900176731</v>
      </c>
      <c r="BR283" s="667">
        <f t="shared" si="693"/>
        <v>0.61107014822913219</v>
      </c>
      <c r="BS283" s="1135">
        <f t="shared" si="693"/>
        <v>0.62417526839697468</v>
      </c>
      <c r="BT283" s="667">
        <f t="shared" ref="BT283:CK283" si="694">BT278-BT280-BT281-BT282</f>
        <v>0.49108074985248068</v>
      </c>
      <c r="BU283" s="667">
        <f t="shared" si="694"/>
        <v>0.60843334830883766</v>
      </c>
      <c r="BV283" s="667">
        <f t="shared" si="694"/>
        <v>0.63168789250254365</v>
      </c>
      <c r="BW283" s="667">
        <f t="shared" si="694"/>
        <v>0.65024146080115075</v>
      </c>
      <c r="BX283" s="1135">
        <f t="shared" si="694"/>
        <v>0.60381683631412719</v>
      </c>
      <c r="BY283" s="904">
        <f>BY278-BY280-BY281-BY282</f>
        <v>0.65595785088525393</v>
      </c>
      <c r="BZ283" s="667">
        <f t="shared" si="694"/>
        <v>0.65481636608690064</v>
      </c>
      <c r="CA283" s="667">
        <f t="shared" si="694"/>
        <v>0.67004607936006733</v>
      </c>
      <c r="CB283" s="667">
        <f t="shared" si="694"/>
        <v>0.68402234943561302</v>
      </c>
      <c r="CC283" s="1135">
        <f t="shared" si="694"/>
        <v>0.66663650268485342</v>
      </c>
      <c r="CD283" s="667">
        <f t="shared" si="694"/>
        <v>0.65678425534521834</v>
      </c>
      <c r="CE283" s="667">
        <f t="shared" si="694"/>
        <v>0.65581636608690064</v>
      </c>
      <c r="CF283" s="667">
        <f t="shared" si="694"/>
        <v>0.67004607936006733</v>
      </c>
      <c r="CG283" s="667">
        <f t="shared" si="694"/>
        <v>0.68402234943561302</v>
      </c>
      <c r="CH283" s="1135">
        <f t="shared" si="694"/>
        <v>0.66687769247242223</v>
      </c>
      <c r="CI283" s="1135">
        <f t="shared" si="694"/>
        <v>0.6663776924724224</v>
      </c>
      <c r="CJ283" s="1135">
        <f t="shared" si="694"/>
        <v>0.66687769247242235</v>
      </c>
      <c r="CK283" s="1135">
        <f t="shared" si="694"/>
        <v>0.6673776924724224</v>
      </c>
      <c r="CL283" s="155"/>
    </row>
    <row r="284" spans="1:90" hidden="1" outlineLevel="1" x14ac:dyDescent="0.3">
      <c r="A284" s="581"/>
      <c r="B284" s="85"/>
      <c r="C284" s="1146"/>
      <c r="D284" s="1146"/>
      <c r="E284" s="1146"/>
      <c r="F284" s="1146"/>
      <c r="G284" s="580"/>
      <c r="H284" s="580"/>
      <c r="I284" s="580"/>
      <c r="J284" s="580"/>
      <c r="K284" s="1146"/>
      <c r="L284" s="580"/>
      <c r="M284" s="580"/>
      <c r="N284" s="580"/>
      <c r="O284" s="580"/>
      <c r="P284" s="1146"/>
      <c r="Q284" s="580"/>
      <c r="R284" s="580"/>
      <c r="S284" s="580"/>
      <c r="T284" s="580"/>
      <c r="U284" s="1146"/>
      <c r="V284" s="580"/>
      <c r="W284" s="580"/>
      <c r="X284" s="580"/>
      <c r="Y284" s="580"/>
      <c r="Z284" s="1147"/>
      <c r="AA284" s="580"/>
      <c r="AB284" s="580"/>
      <c r="AC284" s="580"/>
      <c r="AD284" s="580"/>
      <c r="AE284" s="1147"/>
      <c r="AF284" s="580"/>
      <c r="AG284" s="580"/>
      <c r="AH284" s="580"/>
      <c r="AI284" s="580"/>
      <c r="AJ284" s="1147"/>
      <c r="AK284" s="580"/>
      <c r="AL284" s="580"/>
      <c r="AM284" s="580"/>
      <c r="AN284" s="580"/>
      <c r="AO284" s="1147"/>
      <c r="AP284" s="580"/>
      <c r="AQ284" s="580"/>
      <c r="AR284" s="580"/>
      <c r="AS284" s="580"/>
      <c r="AT284" s="1147"/>
      <c r="AU284" s="580"/>
      <c r="AV284" s="580"/>
      <c r="AW284" s="580"/>
      <c r="AX284" s="580"/>
      <c r="AY284" s="1147"/>
      <c r="AZ284" s="580"/>
      <c r="BA284" s="580"/>
      <c r="BB284" s="580"/>
      <c r="BC284" s="580"/>
      <c r="BD284" s="1147"/>
      <c r="BE284" s="580"/>
      <c r="BF284" s="580"/>
      <c r="BG284" s="580"/>
      <c r="BH284" s="580"/>
      <c r="BI284" s="1147"/>
      <c r="BJ284" s="580"/>
      <c r="BK284" s="580"/>
      <c r="BL284" s="580"/>
      <c r="BM284" s="580"/>
      <c r="BN284" s="1147"/>
      <c r="BO284" s="580"/>
      <c r="BP284" s="580"/>
      <c r="BQ284" s="580"/>
      <c r="BR284" s="580"/>
      <c r="BS284" s="1147"/>
      <c r="BT284" s="580"/>
      <c r="BU284" s="580"/>
      <c r="BV284" s="580"/>
      <c r="BW284" s="580"/>
      <c r="BX284" s="1147"/>
      <c r="BY284" s="903"/>
      <c r="BZ284" s="580"/>
      <c r="CA284" s="580"/>
      <c r="CB284" s="580"/>
      <c r="CC284" s="1147"/>
      <c r="CD284" s="580"/>
      <c r="CE284" s="580"/>
      <c r="CF284" s="580"/>
      <c r="CG284" s="580"/>
      <c r="CH284" s="1147"/>
      <c r="CI284" s="1147"/>
      <c r="CJ284" s="1147"/>
      <c r="CK284" s="1147"/>
      <c r="CL284" s="155"/>
    </row>
    <row r="285" spans="1:90" hidden="1" outlineLevel="1" x14ac:dyDescent="0.3">
      <c r="A285" s="575" t="s">
        <v>34</v>
      </c>
      <c r="B285" s="576"/>
      <c r="C285" s="1144">
        <f t="shared" ref="C285:AH285" si="695">(C370-C378)/C370</f>
        <v>0.60055056281149111</v>
      </c>
      <c r="D285" s="1144">
        <f t="shared" si="695"/>
        <v>0.61393830350419132</v>
      </c>
      <c r="E285" s="1144">
        <f t="shared" si="695"/>
        <v>0.54884233918069236</v>
      </c>
      <c r="F285" s="1144">
        <f t="shared" si="695"/>
        <v>0.480946639886141</v>
      </c>
      <c r="G285" s="577">
        <f t="shared" si="695"/>
        <v>0.49626815241378042</v>
      </c>
      <c r="H285" s="577">
        <f t="shared" si="695"/>
        <v>0.4796671358939737</v>
      </c>
      <c r="I285" s="577">
        <f t="shared" si="695"/>
        <v>0.46919550539402549</v>
      </c>
      <c r="J285" s="577">
        <f t="shared" si="695"/>
        <v>0.46840099665553048</v>
      </c>
      <c r="K285" s="1144">
        <f t="shared" si="695"/>
        <v>0.47739488182565187</v>
      </c>
      <c r="L285" s="577">
        <f t="shared" si="695"/>
        <v>0.45406964625934421</v>
      </c>
      <c r="M285" s="577">
        <f t="shared" si="695"/>
        <v>0.43719339608160968</v>
      </c>
      <c r="N285" s="577">
        <f t="shared" si="695"/>
        <v>0.442577424150851</v>
      </c>
      <c r="O285" s="577">
        <f t="shared" si="695"/>
        <v>0.46191460018982361</v>
      </c>
      <c r="P285" s="1144">
        <f t="shared" si="695"/>
        <v>0.44931724227766356</v>
      </c>
      <c r="Q285" s="577">
        <f t="shared" si="695"/>
        <v>0.44968268359020852</v>
      </c>
      <c r="R285" s="577">
        <f t="shared" si="695"/>
        <v>0.43608340888485947</v>
      </c>
      <c r="S285" s="577">
        <f t="shared" si="695"/>
        <v>0.44489795918367347</v>
      </c>
      <c r="T285" s="577">
        <f t="shared" si="695"/>
        <v>0.43725019984012792</v>
      </c>
      <c r="U285" s="1144">
        <f t="shared" si="695"/>
        <v>0.44233233660828708</v>
      </c>
      <c r="V285" s="577">
        <f t="shared" si="695"/>
        <v>0.43092962641181581</v>
      </c>
      <c r="W285" s="577">
        <f t="shared" si="695"/>
        <v>0.43451864700780574</v>
      </c>
      <c r="X285" s="577">
        <f t="shared" si="695"/>
        <v>0.43448275862068964</v>
      </c>
      <c r="Y285" s="577">
        <f t="shared" si="695"/>
        <v>0.42826552462526768</v>
      </c>
      <c r="Z285" s="1145">
        <f t="shared" si="695"/>
        <v>0.43193612774451096</v>
      </c>
      <c r="AA285" s="577">
        <f t="shared" si="695"/>
        <v>0.41379310344827586</v>
      </c>
      <c r="AB285" s="577">
        <f t="shared" si="695"/>
        <v>0.41876750700280113</v>
      </c>
      <c r="AC285" s="577">
        <f t="shared" si="695"/>
        <v>0.40818363273453095</v>
      </c>
      <c r="AD285" s="577">
        <f t="shared" si="695"/>
        <v>0.39852738150023009</v>
      </c>
      <c r="AE285" s="1145">
        <f t="shared" si="695"/>
        <v>0.40839363241678728</v>
      </c>
      <c r="AF285" s="577">
        <f t="shared" si="695"/>
        <v>0.40423335054207538</v>
      </c>
      <c r="AG285" s="577">
        <f t="shared" si="695"/>
        <v>0.41434977578475335</v>
      </c>
      <c r="AH285" s="577">
        <f t="shared" si="695"/>
        <v>0.40250379362670713</v>
      </c>
      <c r="AI285" s="577">
        <f t="shared" ref="AI285:AZ285" si="696">(AI370-AI378)/AI370</f>
        <v>0.37856406733081416</v>
      </c>
      <c r="AJ285" s="1145">
        <f t="shared" si="696"/>
        <v>0.39839407041383568</v>
      </c>
      <c r="AK285" s="577">
        <f t="shared" si="696"/>
        <v>0.35266604303086996</v>
      </c>
      <c r="AL285" s="577">
        <f t="shared" si="696"/>
        <v>0.36503362151777136</v>
      </c>
      <c r="AM285" s="577">
        <f t="shared" si="696"/>
        <v>0.39012889028607356</v>
      </c>
      <c r="AN285" s="577">
        <f t="shared" si="696"/>
        <v>0.4403628117913832</v>
      </c>
      <c r="AO285" s="1145">
        <f t="shared" si="696"/>
        <v>0.38263912598156369</v>
      </c>
      <c r="AP285" s="577">
        <f t="shared" si="696"/>
        <v>0.40990990990990989</v>
      </c>
      <c r="AQ285" s="577">
        <f t="shared" si="696"/>
        <v>0.39860411012020164</v>
      </c>
      <c r="AR285" s="577">
        <f t="shared" si="696"/>
        <v>0.35932315859323161</v>
      </c>
      <c r="AS285" s="577">
        <f t="shared" si="696"/>
        <v>0.34621578099838968</v>
      </c>
      <c r="AT285" s="1145">
        <f t="shared" si="696"/>
        <v>0.37525187763326617</v>
      </c>
      <c r="AU285" s="577">
        <f t="shared" si="696"/>
        <v>0.34220779220779218</v>
      </c>
      <c r="AV285" s="577">
        <f t="shared" si="696"/>
        <v>0.34014485256078636</v>
      </c>
      <c r="AW285" s="577">
        <f t="shared" si="696"/>
        <v>0.34511214557765552</v>
      </c>
      <c r="AX285" s="577">
        <f t="shared" si="696"/>
        <v>0.34519288426943834</v>
      </c>
      <c r="AY285" s="1145">
        <f t="shared" si="696"/>
        <v>0.34350824587706147</v>
      </c>
      <c r="AZ285" s="577">
        <f t="shared" si="696"/>
        <v>0.33827945592651476</v>
      </c>
      <c r="BA285" s="577">
        <f t="shared" ref="BA285:BD285" si="697">(BA370-BA378)/BA370</f>
        <v>0.3334870139849393</v>
      </c>
      <c r="BB285" s="577">
        <f t="shared" si="697"/>
        <v>0.32971983668872307</v>
      </c>
      <c r="BC285" s="577">
        <f t="shared" si="697"/>
        <v>0.3295826246238388</v>
      </c>
      <c r="BD285" s="1145">
        <f t="shared" si="697"/>
        <v>0.33235490822620195</v>
      </c>
      <c r="BE285" s="577">
        <f t="shared" ref="BE285:BI285" si="698">(BE370-BE378)/BE370</f>
        <v>0.32878861003861004</v>
      </c>
      <c r="BF285" s="577">
        <f t="shared" si="698"/>
        <v>0.54146778042959431</v>
      </c>
      <c r="BG285" s="577">
        <f t="shared" si="698"/>
        <v>0.43871185297588938</v>
      </c>
      <c r="BH285" s="577">
        <f t="shared" si="698"/>
        <v>0.33911750123946455</v>
      </c>
      <c r="BI285" s="1145">
        <f t="shared" si="698"/>
        <v>0.40813375843404759</v>
      </c>
      <c r="BJ285" s="577">
        <f t="shared" ref="BJ285:BN285" si="699">(BJ370-BJ378)/BJ370</f>
        <v>0.33231368186874305</v>
      </c>
      <c r="BK285" s="577">
        <f t="shared" si="699"/>
        <v>0.2882209224846376</v>
      </c>
      <c r="BL285" s="577">
        <f t="shared" si="699"/>
        <v>0.25038631346578366</v>
      </c>
      <c r="BM285" s="577">
        <f t="shared" si="699"/>
        <v>0.23272858887933764</v>
      </c>
      <c r="BN285" s="1145">
        <f t="shared" si="699"/>
        <v>0.26202357112373198</v>
      </c>
      <c r="BO285" s="577">
        <f t="shared" ref="BO285:BS285" si="700">(BO370-BO378)/BO370</f>
        <v>0.21056673322070343</v>
      </c>
      <c r="BP285" s="577">
        <f t="shared" si="700"/>
        <v>0.24337549933422103</v>
      </c>
      <c r="BQ285" s="577">
        <f t="shared" si="700"/>
        <v>0.24970070121429794</v>
      </c>
      <c r="BR285" s="577">
        <f t="shared" si="700"/>
        <v>0.26536319951183546</v>
      </c>
      <c r="BS285" s="1145">
        <f t="shared" si="700"/>
        <v>0.24515506103588589</v>
      </c>
      <c r="BT285" s="577">
        <f t="shared" ref="BT285:CK285" si="701">(BT370-BT378)/BT370</f>
        <v>0.39044982070718531</v>
      </c>
      <c r="BU285" s="577">
        <f t="shared" si="701"/>
        <v>0.27347410307425712</v>
      </c>
      <c r="BV285" s="577">
        <f t="shared" si="701"/>
        <v>0.26381433533312282</v>
      </c>
      <c r="BW285" s="577">
        <f t="shared" si="701"/>
        <v>0.24833032424736154</v>
      </c>
      <c r="BX285" s="1145">
        <f t="shared" si="701"/>
        <v>0.28686011725587901</v>
      </c>
      <c r="BY285" s="902">
        <f>(BY370-BY378)/BY370</f>
        <v>0.24974575752006373</v>
      </c>
      <c r="BZ285" s="577">
        <f t="shared" si="701"/>
        <v>0.2504741030742571</v>
      </c>
      <c r="CA285" s="577">
        <f t="shared" si="701"/>
        <v>0.25381433533312281</v>
      </c>
      <c r="CB285" s="577">
        <f t="shared" si="701"/>
        <v>0.23833032424736147</v>
      </c>
      <c r="CC285" s="1145">
        <f t="shared" si="701"/>
        <v>0.24797408426107589</v>
      </c>
      <c r="CD285" s="577">
        <f t="shared" si="701"/>
        <v>0.24974575752006373</v>
      </c>
      <c r="CE285" s="577">
        <f t="shared" si="701"/>
        <v>0.2504741030742571</v>
      </c>
      <c r="CF285" s="577">
        <f t="shared" si="701"/>
        <v>0.25381433533312281</v>
      </c>
      <c r="CG285" s="577">
        <f t="shared" si="701"/>
        <v>0.2383303242473615</v>
      </c>
      <c r="CH285" s="1145">
        <f t="shared" si="701"/>
        <v>0.2480188635910491</v>
      </c>
      <c r="CI285" s="1145">
        <f t="shared" si="701"/>
        <v>0.24801886359104897</v>
      </c>
      <c r="CJ285" s="1145">
        <f t="shared" si="701"/>
        <v>0.24801886359104899</v>
      </c>
      <c r="CK285" s="1145">
        <f t="shared" si="701"/>
        <v>0.24801886359104894</v>
      </c>
      <c r="CL285" s="155"/>
    </row>
    <row r="286" spans="1:90" hidden="1" outlineLevel="1" x14ac:dyDescent="0.3">
      <c r="A286" s="579" t="s">
        <v>36</v>
      </c>
      <c r="B286" s="85"/>
      <c r="C286" s="1146">
        <f t="shared" ref="C286:AW286" si="702">1-C285</f>
        <v>0.39944943718850889</v>
      </c>
      <c r="D286" s="1146">
        <f t="shared" si="702"/>
        <v>0.38606169649580868</v>
      </c>
      <c r="E286" s="1146">
        <f t="shared" si="702"/>
        <v>0.45115766081930764</v>
      </c>
      <c r="F286" s="1146">
        <f t="shared" si="702"/>
        <v>0.51905336011385894</v>
      </c>
      <c r="G286" s="580">
        <f t="shared" si="702"/>
        <v>0.50373184758621958</v>
      </c>
      <c r="H286" s="580">
        <f t="shared" si="702"/>
        <v>0.5203328641060263</v>
      </c>
      <c r="I286" s="580">
        <f t="shared" si="702"/>
        <v>0.53080449460597445</v>
      </c>
      <c r="J286" s="580">
        <f t="shared" si="702"/>
        <v>0.53159900334446952</v>
      </c>
      <c r="K286" s="1146">
        <f t="shared" si="702"/>
        <v>0.52260511817434807</v>
      </c>
      <c r="L286" s="580">
        <f t="shared" si="702"/>
        <v>0.54593035374065579</v>
      </c>
      <c r="M286" s="580">
        <f t="shared" si="702"/>
        <v>0.56280660391839032</v>
      </c>
      <c r="N286" s="580">
        <f t="shared" si="702"/>
        <v>0.557422575849149</v>
      </c>
      <c r="O286" s="580">
        <f t="shared" si="702"/>
        <v>0.53808539981017645</v>
      </c>
      <c r="P286" s="1146">
        <f t="shared" si="702"/>
        <v>0.55068275772233644</v>
      </c>
      <c r="Q286" s="580">
        <f t="shared" si="702"/>
        <v>0.55031731640979142</v>
      </c>
      <c r="R286" s="580">
        <f t="shared" si="702"/>
        <v>0.56391659111514048</v>
      </c>
      <c r="S286" s="580">
        <f t="shared" si="702"/>
        <v>0.55510204081632653</v>
      </c>
      <c r="T286" s="580">
        <f t="shared" si="702"/>
        <v>0.56274980015987208</v>
      </c>
      <c r="U286" s="1146">
        <f t="shared" si="702"/>
        <v>0.55766766339171292</v>
      </c>
      <c r="V286" s="580">
        <f t="shared" si="702"/>
        <v>0.56907037358818413</v>
      </c>
      <c r="W286" s="580">
        <f t="shared" si="702"/>
        <v>0.56548135299219426</v>
      </c>
      <c r="X286" s="580">
        <f t="shared" si="702"/>
        <v>0.56551724137931036</v>
      </c>
      <c r="Y286" s="580">
        <f t="shared" si="702"/>
        <v>0.57173447537473232</v>
      </c>
      <c r="Z286" s="1147">
        <f t="shared" si="702"/>
        <v>0.56806387225548904</v>
      </c>
      <c r="AA286" s="580">
        <f t="shared" si="702"/>
        <v>0.5862068965517242</v>
      </c>
      <c r="AB286" s="580">
        <f t="shared" si="702"/>
        <v>0.58123249299719881</v>
      </c>
      <c r="AC286" s="580">
        <f t="shared" si="702"/>
        <v>0.59181636726546905</v>
      </c>
      <c r="AD286" s="580">
        <f t="shared" si="702"/>
        <v>0.60147261849976985</v>
      </c>
      <c r="AE286" s="1147">
        <f t="shared" si="702"/>
        <v>0.59160636758321272</v>
      </c>
      <c r="AF286" s="580">
        <f t="shared" si="702"/>
        <v>0.59576664945792457</v>
      </c>
      <c r="AG286" s="580">
        <f t="shared" si="702"/>
        <v>0.5856502242152466</v>
      </c>
      <c r="AH286" s="580">
        <f t="shared" si="702"/>
        <v>0.59749620637329293</v>
      </c>
      <c r="AI286" s="580">
        <f t="shared" si="702"/>
        <v>0.62143593266918584</v>
      </c>
      <c r="AJ286" s="1147">
        <f t="shared" si="702"/>
        <v>0.60160592958616432</v>
      </c>
      <c r="AK286" s="580">
        <f t="shared" si="702"/>
        <v>0.6473339569691301</v>
      </c>
      <c r="AL286" s="580">
        <f t="shared" si="702"/>
        <v>0.63496637848222859</v>
      </c>
      <c r="AM286" s="580">
        <f t="shared" si="702"/>
        <v>0.60987110971392644</v>
      </c>
      <c r="AN286" s="580">
        <f t="shared" si="702"/>
        <v>0.55963718820861685</v>
      </c>
      <c r="AO286" s="1147">
        <f t="shared" si="702"/>
        <v>0.61736087401843631</v>
      </c>
      <c r="AP286" s="580">
        <f t="shared" si="702"/>
        <v>0.59009009009009006</v>
      </c>
      <c r="AQ286" s="580">
        <f t="shared" si="702"/>
        <v>0.60139588987979842</v>
      </c>
      <c r="AR286" s="580">
        <f t="shared" si="702"/>
        <v>0.64067684140676839</v>
      </c>
      <c r="AS286" s="580">
        <f t="shared" si="702"/>
        <v>0.65378421900161032</v>
      </c>
      <c r="AT286" s="1147">
        <f t="shared" si="702"/>
        <v>0.62474812236673383</v>
      </c>
      <c r="AU286" s="580">
        <f t="shared" si="702"/>
        <v>0.65779220779220782</v>
      </c>
      <c r="AV286" s="580">
        <f t="shared" si="702"/>
        <v>0.65985514743921359</v>
      </c>
      <c r="AW286" s="580">
        <f t="shared" si="702"/>
        <v>0.65488785442234443</v>
      </c>
      <c r="AX286" s="580">
        <f t="shared" ref="AX286:BD286" si="703">1-AX285</f>
        <v>0.65480711573056172</v>
      </c>
      <c r="AY286" s="1147">
        <f t="shared" si="703"/>
        <v>0.65649175412293848</v>
      </c>
      <c r="AZ286" s="580">
        <f t="shared" si="703"/>
        <v>0.66172054407348524</v>
      </c>
      <c r="BA286" s="580">
        <f t="shared" si="703"/>
        <v>0.6665129860150607</v>
      </c>
      <c r="BB286" s="580">
        <f t="shared" si="703"/>
        <v>0.67028016331127693</v>
      </c>
      <c r="BC286" s="580">
        <f t="shared" si="703"/>
        <v>0.6704173753761612</v>
      </c>
      <c r="BD286" s="1147">
        <f t="shared" si="703"/>
        <v>0.66764509177379805</v>
      </c>
      <c r="BE286" s="580">
        <f t="shared" ref="BE286:BI286" si="704">1-BE285</f>
        <v>0.67121138996138996</v>
      </c>
      <c r="BF286" s="580">
        <f t="shared" si="704"/>
        <v>0.45853221957040569</v>
      </c>
      <c r="BG286" s="580">
        <f t="shared" si="704"/>
        <v>0.56128814702411067</v>
      </c>
      <c r="BH286" s="580">
        <f t="shared" si="704"/>
        <v>0.66088249876053551</v>
      </c>
      <c r="BI286" s="1147">
        <f t="shared" si="704"/>
        <v>0.59186624156595236</v>
      </c>
      <c r="BJ286" s="580">
        <f t="shared" ref="BJ286:BN286" si="705">1-BJ285</f>
        <v>0.6676863181312569</v>
      </c>
      <c r="BK286" s="580">
        <f t="shared" si="705"/>
        <v>0.7117790775153624</v>
      </c>
      <c r="BL286" s="580">
        <f t="shared" si="705"/>
        <v>0.74961368653421634</v>
      </c>
      <c r="BM286" s="580">
        <f t="shared" si="705"/>
        <v>0.76727141112066233</v>
      </c>
      <c r="BN286" s="1147">
        <f t="shared" si="705"/>
        <v>0.73797642887626802</v>
      </c>
      <c r="BO286" s="580">
        <f t="shared" ref="BO286:BS286" si="706">1-BO285</f>
        <v>0.78943326677929659</v>
      </c>
      <c r="BP286" s="580">
        <f t="shared" si="706"/>
        <v>0.75662450066577902</v>
      </c>
      <c r="BQ286" s="580">
        <f t="shared" si="706"/>
        <v>0.75029929878570201</v>
      </c>
      <c r="BR286" s="580">
        <f t="shared" si="706"/>
        <v>0.73463680048816449</v>
      </c>
      <c r="BS286" s="1147">
        <f t="shared" si="706"/>
        <v>0.75484493896411409</v>
      </c>
      <c r="BT286" s="580">
        <f t="shared" ref="BT286:CK286" si="707">1-BT285</f>
        <v>0.60955017929281463</v>
      </c>
      <c r="BU286" s="580">
        <f t="shared" si="707"/>
        <v>0.72652589692574288</v>
      </c>
      <c r="BV286" s="580">
        <f t="shared" si="707"/>
        <v>0.73618566466687718</v>
      </c>
      <c r="BW286" s="580">
        <f t="shared" si="707"/>
        <v>0.75166967575263843</v>
      </c>
      <c r="BX286" s="1147">
        <f t="shared" si="707"/>
        <v>0.71313988274412099</v>
      </c>
      <c r="BY286" s="903">
        <f>1-BY285</f>
        <v>0.75025424247993633</v>
      </c>
      <c r="BZ286" s="580">
        <f t="shared" si="707"/>
        <v>0.7495258969257429</v>
      </c>
      <c r="CA286" s="580">
        <f t="shared" si="707"/>
        <v>0.74618566466687719</v>
      </c>
      <c r="CB286" s="580">
        <f t="shared" si="707"/>
        <v>0.76166967575263855</v>
      </c>
      <c r="CC286" s="1147">
        <f t="shared" si="707"/>
        <v>0.75202591573892408</v>
      </c>
      <c r="CD286" s="580">
        <f t="shared" si="707"/>
        <v>0.75025424247993633</v>
      </c>
      <c r="CE286" s="580">
        <f t="shared" si="707"/>
        <v>0.7495258969257429</v>
      </c>
      <c r="CF286" s="580">
        <f t="shared" si="707"/>
        <v>0.74618566466687719</v>
      </c>
      <c r="CG286" s="580">
        <f t="shared" si="707"/>
        <v>0.76166967575263844</v>
      </c>
      <c r="CH286" s="1147">
        <f t="shared" si="707"/>
        <v>0.75198113640895092</v>
      </c>
      <c r="CI286" s="1147">
        <f t="shared" si="707"/>
        <v>0.75198113640895103</v>
      </c>
      <c r="CJ286" s="1147">
        <f t="shared" si="707"/>
        <v>0.75198113640895103</v>
      </c>
      <c r="CK286" s="1147">
        <f t="shared" si="707"/>
        <v>0.75198113640895103</v>
      </c>
      <c r="CL286" s="155"/>
    </row>
    <row r="287" spans="1:90" hidden="1" outlineLevel="1" x14ac:dyDescent="0.3">
      <c r="A287" s="371" t="s">
        <v>37</v>
      </c>
      <c r="B287" s="582"/>
      <c r="C287" s="1149"/>
      <c r="D287" s="1149"/>
      <c r="E287" s="1149"/>
      <c r="F287" s="1149"/>
      <c r="G287" s="583"/>
      <c r="H287" s="583"/>
      <c r="I287" s="583"/>
      <c r="J287" s="583"/>
      <c r="K287" s="1149"/>
      <c r="L287" s="583"/>
      <c r="M287" s="583"/>
      <c r="N287" s="583"/>
      <c r="O287" s="583"/>
      <c r="P287" s="1149"/>
      <c r="Q287" s="583"/>
      <c r="R287" s="583"/>
      <c r="S287" s="583"/>
      <c r="T287" s="583"/>
      <c r="U287" s="1149"/>
      <c r="V287" s="583"/>
      <c r="W287" s="583"/>
      <c r="X287" s="583"/>
      <c r="Y287" s="583"/>
      <c r="Z287" s="1115"/>
      <c r="AA287" s="583"/>
      <c r="AB287" s="583"/>
      <c r="AC287" s="583"/>
      <c r="AD287" s="583"/>
      <c r="AE287" s="1115"/>
      <c r="AF287" s="583"/>
      <c r="AG287" s="583"/>
      <c r="AH287" s="583"/>
      <c r="AI287" s="583"/>
      <c r="AJ287" s="1115"/>
      <c r="AK287" s="583"/>
      <c r="AL287" s="583"/>
      <c r="AM287" s="583"/>
      <c r="AN287" s="583"/>
      <c r="AO287" s="1115"/>
      <c r="AP287" s="583"/>
      <c r="AQ287" s="583"/>
      <c r="AR287" s="583"/>
      <c r="AS287" s="583"/>
      <c r="AT287" s="1115"/>
      <c r="AU287" s="583"/>
      <c r="AV287" s="583"/>
      <c r="AW287" s="583"/>
      <c r="AX287" s="583"/>
      <c r="AY287" s="1115"/>
      <c r="AZ287" s="583"/>
      <c r="BA287" s="583"/>
      <c r="BB287" s="583"/>
      <c r="BC287" s="583"/>
      <c r="BD287" s="1115"/>
      <c r="BE287" s="583"/>
      <c r="BF287" s="583"/>
      <c r="BG287" s="583"/>
      <c r="BH287" s="583"/>
      <c r="BI287" s="1115"/>
      <c r="BJ287" s="583"/>
      <c r="BK287" s="583"/>
      <c r="BL287" s="583"/>
      <c r="BM287" s="583"/>
      <c r="BN287" s="1115"/>
      <c r="BO287" s="583"/>
      <c r="BP287" s="583"/>
      <c r="BQ287" s="583"/>
      <c r="BR287" s="583"/>
      <c r="BS287" s="1115"/>
      <c r="BT287" s="583"/>
      <c r="BU287" s="583"/>
      <c r="BV287" s="583"/>
      <c r="BW287" s="583"/>
      <c r="BX287" s="1115"/>
      <c r="BY287" s="905"/>
      <c r="BZ287" s="643" t="str">
        <f t="shared" ref="BZ287:CK287" ca="1" si="708">IFERROR(VLOOKUP($A287,tb_ConsensusEstimate,MATCH(BZ$5,OFFSET(tb_ConsensusEstimate,0,0,1,COLUMNS(tb_ConsensusEstimate)),0),FALSE),"-")</f>
        <v>N/A</v>
      </c>
      <c r="CA287" s="643" t="str">
        <f t="shared" ca="1" si="708"/>
        <v>N/A</v>
      </c>
      <c r="CB287" s="643" t="str">
        <f t="shared" ca="1" si="708"/>
        <v>N/A</v>
      </c>
      <c r="CC287" s="1116" t="str">
        <f t="shared" ca="1" si="708"/>
        <v>N/A</v>
      </c>
      <c r="CD287" s="643" t="str">
        <f t="shared" ca="1" si="708"/>
        <v>N/A</v>
      </c>
      <c r="CE287" s="643" t="str">
        <f t="shared" ca="1" si="708"/>
        <v>N/A</v>
      </c>
      <c r="CF287" s="643" t="str">
        <f t="shared" ca="1" si="708"/>
        <v>N/A</v>
      </c>
      <c r="CG287" s="643" t="str">
        <f t="shared" ca="1" si="708"/>
        <v>N/A</v>
      </c>
      <c r="CH287" s="1116" t="str">
        <f t="shared" ca="1" si="708"/>
        <v>N/A</v>
      </c>
      <c r="CI287" s="1116" t="str">
        <f t="shared" ca="1" si="708"/>
        <v>N/A</v>
      </c>
      <c r="CJ287" s="1116" t="str">
        <f t="shared" ca="1" si="708"/>
        <v>N/A</v>
      </c>
      <c r="CK287" s="1116" t="str">
        <f t="shared" ca="1" si="708"/>
        <v>N/A</v>
      </c>
      <c r="CL287" s="155"/>
    </row>
    <row r="288" spans="1:90" hidden="1" outlineLevel="1" x14ac:dyDescent="0.3">
      <c r="A288" s="371" t="str">
        <f>CONCATENATE("Guidance - ",IFERROR(LEFT(A286,FIND("(",A286)-1),A286))</f>
        <v>Guidance - Non-GAAP Gross Margin, %</v>
      </c>
      <c r="B288" s="582"/>
      <c r="C288" s="1149"/>
      <c r="D288" s="1149"/>
      <c r="E288" s="1149"/>
      <c r="F288" s="1149"/>
      <c r="G288" s="583"/>
      <c r="H288" s="583"/>
      <c r="I288" s="583"/>
      <c r="J288" s="583"/>
      <c r="K288" s="1149"/>
      <c r="L288" s="583"/>
      <c r="M288" s="583"/>
      <c r="N288" s="583"/>
      <c r="O288" s="583"/>
      <c r="P288" s="1149"/>
      <c r="Q288" s="583"/>
      <c r="R288" s="583"/>
      <c r="S288" s="583"/>
      <c r="T288" s="583"/>
      <c r="U288" s="1149"/>
      <c r="V288" s="583"/>
      <c r="W288" s="583"/>
      <c r="X288" s="583"/>
      <c r="Y288" s="583"/>
      <c r="Z288" s="1115"/>
      <c r="AA288" s="583"/>
      <c r="AB288" s="583"/>
      <c r="AC288" s="583"/>
      <c r="AD288" s="583"/>
      <c r="AE288" s="1115"/>
      <c r="AF288" s="583"/>
      <c r="AG288" s="583"/>
      <c r="AH288" s="583"/>
      <c r="AI288" s="583">
        <f t="shared" ref="AI288:BL288" si="709">+AI650</f>
        <v>0.6</v>
      </c>
      <c r="AJ288" s="1115" t="str">
        <f t="shared" si="709"/>
        <v/>
      </c>
      <c r="AK288" s="583">
        <f t="shared" si="709"/>
        <v>0.63</v>
      </c>
      <c r="AL288" s="583">
        <f t="shared" si="709"/>
        <v>0.63500000000000001</v>
      </c>
      <c r="AM288" s="583">
        <f t="shared" si="709"/>
        <v>0.628</v>
      </c>
      <c r="AN288" s="583">
        <f t="shared" si="709"/>
        <v>0.625</v>
      </c>
      <c r="AO288" s="1115" t="str">
        <f t="shared" si="709"/>
        <v/>
      </c>
      <c r="AP288" s="583">
        <f t="shared" si="709"/>
        <v>0.59</v>
      </c>
      <c r="AQ288" s="583">
        <f t="shared" si="709"/>
        <v>0.59499999999999997</v>
      </c>
      <c r="AR288" s="583">
        <f t="shared" si="709"/>
        <v>0.625</v>
      </c>
      <c r="AS288" s="583">
        <f t="shared" si="709"/>
        <v>0.64500000000000002</v>
      </c>
      <c r="AT288" s="1115" t="str">
        <f t="shared" si="709"/>
        <v/>
      </c>
      <c r="AU288" s="583">
        <f t="shared" si="709"/>
        <v>0.65400000000000003</v>
      </c>
      <c r="AV288" s="583">
        <f t="shared" si="709"/>
        <v>0.66</v>
      </c>
      <c r="AW288" s="583">
        <f t="shared" si="709"/>
        <v>0.65500000000000003</v>
      </c>
      <c r="AX288" s="583">
        <f t="shared" si="709"/>
        <v>0.65500000000000003</v>
      </c>
      <c r="AY288" s="1115" t="str">
        <f t="shared" si="709"/>
        <v/>
      </c>
      <c r="AZ288" s="583">
        <f t="shared" si="709"/>
        <v>0.66</v>
      </c>
      <c r="BA288" s="583">
        <f t="shared" si="709"/>
        <v>0.66500000000000004</v>
      </c>
      <c r="BB288" s="583">
        <f t="shared" si="709"/>
        <v>0.67</v>
      </c>
      <c r="BC288" s="583">
        <f t="shared" si="709"/>
        <v>0.67</v>
      </c>
      <c r="BD288" s="1115" t="str">
        <f t="shared" si="709"/>
        <v/>
      </c>
      <c r="BE288" s="583">
        <f t="shared" si="709"/>
        <v>0.67</v>
      </c>
      <c r="BF288" s="583">
        <f t="shared" si="709"/>
        <v>0.67099999999999993</v>
      </c>
      <c r="BG288" s="583">
        <f t="shared" si="709"/>
        <v>0.65</v>
      </c>
      <c r="BH288" s="583">
        <f t="shared" si="709"/>
        <v>0.66</v>
      </c>
      <c r="BI288" s="1115" t="str">
        <f t="shared" si="709"/>
        <v/>
      </c>
      <c r="BJ288" s="583">
        <f t="shared" si="709"/>
        <v>0.66500000000000004</v>
      </c>
      <c r="BK288" s="583">
        <f t="shared" si="709"/>
        <v>0.7</v>
      </c>
      <c r="BL288" s="583">
        <f t="shared" si="709"/>
        <v>0.72499999999999998</v>
      </c>
      <c r="BM288" s="583">
        <f t="shared" ref="BM288:BN288" si="710">+BM650</f>
        <v>0.755</v>
      </c>
      <c r="BN288" s="1115" t="str">
        <f t="shared" si="710"/>
        <v/>
      </c>
      <c r="BO288" s="583">
        <f t="shared" ref="BO288:BS288" si="711">+BO650</f>
        <v>0.77</v>
      </c>
      <c r="BP288" s="583">
        <f t="shared" si="711"/>
        <v>0.755</v>
      </c>
      <c r="BQ288" s="583">
        <f t="shared" si="711"/>
        <v>0.75</v>
      </c>
      <c r="BR288" s="583">
        <f t="shared" si="711"/>
        <v>0.73499999999999999</v>
      </c>
      <c r="BS288" s="1115">
        <f t="shared" si="711"/>
        <v>0.75</v>
      </c>
      <c r="BT288" s="583">
        <f t="shared" ref="BT288:CK288" si="712">+BT650</f>
        <v>0.71</v>
      </c>
      <c r="BU288" s="583">
        <f t="shared" si="712"/>
        <v>0.72</v>
      </c>
      <c r="BV288" s="583">
        <f t="shared" si="712"/>
        <v>0.73499999999999999</v>
      </c>
      <c r="BW288" s="583">
        <f t="shared" si="712"/>
        <v>0.75</v>
      </c>
      <c r="BX288" s="1115" t="str">
        <f t="shared" si="712"/>
        <v/>
      </c>
      <c r="BY288" s="905">
        <f>+BY650</f>
        <v>0.75</v>
      </c>
      <c r="BZ288" s="583">
        <f t="shared" si="712"/>
        <v>0.75</v>
      </c>
      <c r="CA288" s="583" t="str">
        <f t="shared" si="712"/>
        <v/>
      </c>
      <c r="CB288" s="583" t="str">
        <f t="shared" si="712"/>
        <v/>
      </c>
      <c r="CC288" s="1115" t="str">
        <f t="shared" si="712"/>
        <v/>
      </c>
      <c r="CD288" s="583" t="str">
        <f t="shared" si="712"/>
        <v/>
      </c>
      <c r="CE288" s="583" t="str">
        <f t="shared" si="712"/>
        <v/>
      </c>
      <c r="CF288" s="583" t="str">
        <f t="shared" si="712"/>
        <v/>
      </c>
      <c r="CG288" s="583" t="str">
        <f t="shared" si="712"/>
        <v/>
      </c>
      <c r="CH288" s="1115" t="str">
        <f t="shared" si="712"/>
        <v/>
      </c>
      <c r="CI288" s="1115">
        <f t="shared" si="712"/>
        <v>0</v>
      </c>
      <c r="CJ288" s="1115">
        <f t="shared" si="712"/>
        <v>0</v>
      </c>
      <c r="CK288" s="1115">
        <f t="shared" si="712"/>
        <v>0</v>
      </c>
      <c r="CL288" s="155"/>
    </row>
    <row r="289" spans="1:90" ht="7.5" hidden="1" customHeight="1" outlineLevel="1" x14ac:dyDescent="0.3">
      <c r="A289" s="579"/>
      <c r="B289" s="85"/>
      <c r="C289" s="1146"/>
      <c r="D289" s="1146"/>
      <c r="E289" s="1146"/>
      <c r="F289" s="1146"/>
      <c r="G289" s="580"/>
      <c r="H289" s="580"/>
      <c r="I289" s="580"/>
      <c r="J289" s="580"/>
      <c r="K289" s="1146"/>
      <c r="L289" s="580"/>
      <c r="M289" s="580"/>
      <c r="N289" s="580"/>
      <c r="O289" s="580"/>
      <c r="P289" s="1146"/>
      <c r="Q289" s="580"/>
      <c r="R289" s="580"/>
      <c r="S289" s="580"/>
      <c r="T289" s="580"/>
      <c r="U289" s="1146"/>
      <c r="V289" s="580"/>
      <c r="W289" s="580"/>
      <c r="X289" s="580"/>
      <c r="Y289" s="580"/>
      <c r="Z289" s="1147"/>
      <c r="AA289" s="580"/>
      <c r="AB289" s="580"/>
      <c r="AC289" s="580"/>
      <c r="AD289" s="580"/>
      <c r="AE289" s="1147"/>
      <c r="AF289" s="580"/>
      <c r="AG289" s="580"/>
      <c r="AH289" s="580"/>
      <c r="AI289" s="580"/>
      <c r="AJ289" s="1147"/>
      <c r="AK289" s="580"/>
      <c r="AL289" s="580"/>
      <c r="AM289" s="580"/>
      <c r="AN289" s="580"/>
      <c r="AO289" s="1147"/>
      <c r="AP289" s="580"/>
      <c r="AQ289" s="580"/>
      <c r="AR289" s="580"/>
      <c r="AS289" s="580"/>
      <c r="AT289" s="1147"/>
      <c r="AU289" s="580"/>
      <c r="AV289" s="580"/>
      <c r="AW289" s="580"/>
      <c r="AX289" s="580"/>
      <c r="AY289" s="1147"/>
      <c r="AZ289" s="580"/>
      <c r="BA289" s="580"/>
      <c r="BB289" s="580"/>
      <c r="BC289" s="580"/>
      <c r="BD289" s="1147"/>
      <c r="BE289" s="580"/>
      <c r="BF289" s="580"/>
      <c r="BG289" s="580"/>
      <c r="BH289" s="580"/>
      <c r="BI289" s="1147"/>
      <c r="BJ289" s="580"/>
      <c r="BK289" s="580"/>
      <c r="BL289" s="580"/>
      <c r="BM289" s="580"/>
      <c r="BN289" s="1147"/>
      <c r="BO289" s="580"/>
      <c r="BP289" s="580"/>
      <c r="BQ289" s="580"/>
      <c r="BR289" s="580"/>
      <c r="BS289" s="1147"/>
      <c r="BT289" s="580"/>
      <c r="BU289" s="580"/>
      <c r="BV289" s="580"/>
      <c r="BW289" s="580"/>
      <c r="BX289" s="1147"/>
      <c r="BY289" s="903"/>
      <c r="BZ289" s="580"/>
      <c r="CA289" s="580"/>
      <c r="CB289" s="580"/>
      <c r="CC289" s="1147"/>
      <c r="CD289" s="580"/>
      <c r="CE289" s="580"/>
      <c r="CF289" s="580"/>
      <c r="CG289" s="580"/>
      <c r="CH289" s="1147"/>
      <c r="CI289" s="1147"/>
      <c r="CJ289" s="1147"/>
      <c r="CK289" s="1147"/>
      <c r="CL289" s="155"/>
    </row>
    <row r="290" spans="1:90" hidden="1" outlineLevel="1" x14ac:dyDescent="0.3">
      <c r="A290" s="579" t="s">
        <v>616</v>
      </c>
      <c r="B290" s="85"/>
      <c r="C290" s="1146">
        <f t="shared" ref="C290:AH290" si="713">C390/C370</f>
        <v>9.0357588443787024E-2</v>
      </c>
      <c r="D290" s="1146">
        <f t="shared" si="713"/>
        <v>0.10020096529478166</v>
      </c>
      <c r="E290" s="1146">
        <f t="shared" si="713"/>
        <v>9.2411358986755038E-2</v>
      </c>
      <c r="F290" s="1146">
        <f t="shared" si="713"/>
        <v>8.7816194880850837E-2</v>
      </c>
      <c r="G290" s="580">
        <f t="shared" si="713"/>
        <v>0.10033766652214295</v>
      </c>
      <c r="H290" s="580">
        <f t="shared" si="713"/>
        <v>8.3364455552682737E-2</v>
      </c>
      <c r="I290" s="580">
        <f t="shared" si="713"/>
        <v>7.2864605393194976E-2</v>
      </c>
      <c r="J290" s="580">
        <f t="shared" si="713"/>
        <v>7.9580667484565062E-2</v>
      </c>
      <c r="K290" s="1146">
        <f t="shared" si="713"/>
        <v>8.3099716622676872E-2</v>
      </c>
      <c r="L290" s="580">
        <f t="shared" si="713"/>
        <v>9.9311958556212748E-2</v>
      </c>
      <c r="M290" s="580">
        <f t="shared" si="713"/>
        <v>9.3727423616355485E-2</v>
      </c>
      <c r="N290" s="580">
        <f t="shared" si="713"/>
        <v>8.5226577302704914E-2</v>
      </c>
      <c r="O290" s="580">
        <f t="shared" si="713"/>
        <v>8.6345434174256983E-2</v>
      </c>
      <c r="P290" s="1146">
        <f t="shared" si="713"/>
        <v>9.0803944252065644E-2</v>
      </c>
      <c r="Q290" s="580">
        <f t="shared" si="713"/>
        <v>9.2107887579329098E-2</v>
      </c>
      <c r="R290" s="580">
        <f t="shared" si="713"/>
        <v>9.0661831368993653E-2</v>
      </c>
      <c r="S290" s="580">
        <f t="shared" si="713"/>
        <v>8.3482448979591825E-2</v>
      </c>
      <c r="T290" s="580">
        <f t="shared" si="713"/>
        <v>7.9136690647482008E-2</v>
      </c>
      <c r="U290" s="1146">
        <f t="shared" si="713"/>
        <v>8.6044639043143953E-2</v>
      </c>
      <c r="V290" s="580">
        <f t="shared" si="713"/>
        <v>0.10165073848827107</v>
      </c>
      <c r="W290" s="580">
        <f t="shared" si="713"/>
        <v>0.11274934952298352</v>
      </c>
      <c r="X290" s="580">
        <f t="shared" si="713"/>
        <v>0.10038314176245211</v>
      </c>
      <c r="Y290" s="580">
        <f t="shared" si="713"/>
        <v>9.7787294789436111E-2</v>
      </c>
      <c r="Z290" s="1147">
        <f t="shared" si="713"/>
        <v>0.1031936127744511</v>
      </c>
      <c r="AA290" s="580">
        <f t="shared" si="713"/>
        <v>0.10268199233716475</v>
      </c>
      <c r="AB290" s="580">
        <f t="shared" si="713"/>
        <v>9.1036414565826326E-2</v>
      </c>
      <c r="AC290" s="580">
        <f t="shared" si="713"/>
        <v>7.0858283433133731E-2</v>
      </c>
      <c r="AD290" s="580">
        <f t="shared" si="713"/>
        <v>6.7648412333179933E-2</v>
      </c>
      <c r="AE290" s="1147">
        <f t="shared" si="713"/>
        <v>8.002894356005788E-2</v>
      </c>
      <c r="AF290" s="580">
        <f t="shared" si="713"/>
        <v>7.7439339184305622E-2</v>
      </c>
      <c r="AG290" s="580">
        <f t="shared" si="713"/>
        <v>7.3094170403587441E-2</v>
      </c>
      <c r="AH290" s="580">
        <f t="shared" si="713"/>
        <v>6.4491654021244307E-2</v>
      </c>
      <c r="AI290" s="580">
        <f t="shared" ref="AI290:BE290" si="714">AI390/AI370</f>
        <v>5.9086224665063553E-2</v>
      </c>
      <c r="AJ290" s="1147">
        <f t="shared" si="714"/>
        <v>6.732550957381099E-2</v>
      </c>
      <c r="AK290" s="580">
        <f t="shared" si="714"/>
        <v>5.7062675397567819E-2</v>
      </c>
      <c r="AL290" s="580">
        <f t="shared" si="714"/>
        <v>6.0198527057316681E-2</v>
      </c>
      <c r="AM290" s="580">
        <f t="shared" si="714"/>
        <v>6.6016975793775537E-2</v>
      </c>
      <c r="AN290" s="580">
        <f t="shared" si="714"/>
        <v>9.7052154195011342E-2</v>
      </c>
      <c r="AO290" s="1147">
        <f t="shared" si="714"/>
        <v>6.7941276886309326E-2</v>
      </c>
      <c r="AP290" s="580">
        <f t="shared" si="714"/>
        <v>8.9189189189189194E-2</v>
      </c>
      <c r="AQ290" s="580">
        <f t="shared" si="714"/>
        <v>7.4059713067080257E-2</v>
      </c>
      <c r="AR290" s="580">
        <f t="shared" si="714"/>
        <v>6.7684140676841406E-2</v>
      </c>
      <c r="AS290" s="580">
        <f t="shared" si="714"/>
        <v>6.8599033816425126E-2</v>
      </c>
      <c r="AT290" s="1147">
        <f t="shared" si="714"/>
        <v>7.354826891372046E-2</v>
      </c>
      <c r="AU290" s="580">
        <f t="shared" si="714"/>
        <v>7.2077922077922074E-2</v>
      </c>
      <c r="AV290" s="580">
        <f t="shared" si="714"/>
        <v>6.958096223486808E-2</v>
      </c>
      <c r="AW290" s="580">
        <f t="shared" si="714"/>
        <v>6.0939483707151923E-2</v>
      </c>
      <c r="AX290" s="580">
        <f t="shared" si="714"/>
        <v>6.1563062162702381E-2</v>
      </c>
      <c r="AY290" s="1147">
        <f t="shared" si="714"/>
        <v>6.5307346326836588E-2</v>
      </c>
      <c r="AZ290" s="580">
        <f t="shared" si="714"/>
        <v>5.5290584702349412E-2</v>
      </c>
      <c r="BA290" s="580">
        <f t="shared" si="714"/>
        <v>4.9024127862302133E-2</v>
      </c>
      <c r="BB290" s="580">
        <f t="shared" si="714"/>
        <v>4.8148669576235391E-2</v>
      </c>
      <c r="BC290" s="580">
        <f t="shared" si="714"/>
        <v>4.6055213921235121E-2</v>
      </c>
      <c r="BD290" s="1147">
        <f t="shared" si="714"/>
        <v>4.9342349706472464E-2</v>
      </c>
      <c r="BE290" s="580">
        <f t="shared" si="714"/>
        <v>4.7055984555984559E-2</v>
      </c>
      <c r="BF290" s="580">
        <f t="shared" ref="BF290:BI290" si="715">BF390/BF370</f>
        <v>5.7726730310262528E-2</v>
      </c>
      <c r="BG290" s="580">
        <f t="shared" si="715"/>
        <v>6.5418984994098803E-2</v>
      </c>
      <c r="BH290" s="580">
        <f t="shared" si="715"/>
        <v>5.9659560403239137E-2</v>
      </c>
      <c r="BI290" s="1147">
        <f t="shared" si="715"/>
        <v>5.6498850745162005E-2</v>
      </c>
      <c r="BJ290" s="580">
        <f t="shared" ref="BJ290:BN290" si="716">BJ390/BJ370</f>
        <v>5.7146829810901002E-2</v>
      </c>
      <c r="BK290" s="580">
        <f t="shared" si="716"/>
        <v>3.0354630932109276E-2</v>
      </c>
      <c r="BL290" s="580">
        <f t="shared" si="716"/>
        <v>2.4558498896247241E-2</v>
      </c>
      <c r="BM290" s="580">
        <f t="shared" si="716"/>
        <v>2.0947382708229653E-2</v>
      </c>
      <c r="BN290" s="1147">
        <f t="shared" si="716"/>
        <v>2.8413381044614425E-2</v>
      </c>
      <c r="BO290" s="580">
        <f t="shared" ref="BO290:BS290" si="717">BO390/BO370</f>
        <v>2.0004607587160189E-2</v>
      </c>
      <c r="BP290" s="580">
        <f t="shared" si="717"/>
        <v>1.8342210386151799E-2</v>
      </c>
      <c r="BQ290" s="580">
        <f t="shared" si="717"/>
        <v>1.6789236645573229E-2</v>
      </c>
      <c r="BR290" s="580">
        <f t="shared" si="717"/>
        <v>1.642470316035697E-2</v>
      </c>
      <c r="BS290" s="1147">
        <f t="shared" si="717"/>
        <v>1.7655578289156072E-2</v>
      </c>
      <c r="BT290" s="580">
        <f t="shared" ref="BT290:CK290" si="718">BT390/BT370</f>
        <v>1.5546275702419319E-2</v>
      </c>
      <c r="BU290" s="580">
        <f t="shared" si="718"/>
        <v>1.5809853881864663E-2</v>
      </c>
      <c r="BV290" s="580">
        <f t="shared" si="718"/>
        <v>1.3174051854190787E-2</v>
      </c>
      <c r="BW290" s="580">
        <f t="shared" si="718"/>
        <v>1.3621618447898777E-2</v>
      </c>
      <c r="BX290" s="1147">
        <f t="shared" si="718"/>
        <v>1.4365234465448415E-2</v>
      </c>
      <c r="BY290" s="903">
        <f>BY390/BY370</f>
        <v>1.5867181277951357E-2</v>
      </c>
      <c r="BZ290" s="580">
        <f t="shared" si="718"/>
        <v>2.0809853881864664E-2</v>
      </c>
      <c r="CA290" s="580">
        <f t="shared" si="718"/>
        <v>1.3174051854190787E-2</v>
      </c>
      <c r="CB290" s="580">
        <f t="shared" si="718"/>
        <v>1.3621618447898777E-2</v>
      </c>
      <c r="CC290" s="1147">
        <f t="shared" si="718"/>
        <v>1.5844426009357017E-2</v>
      </c>
      <c r="CD290" s="580">
        <f t="shared" si="718"/>
        <v>1.5867181277951357E-2</v>
      </c>
      <c r="CE290" s="580">
        <f t="shared" si="718"/>
        <v>2.0809853881864664E-2</v>
      </c>
      <c r="CF290" s="580">
        <f t="shared" si="718"/>
        <v>1.3174051854190787E-2</v>
      </c>
      <c r="CG290" s="580">
        <f t="shared" si="718"/>
        <v>1.3621618447898777E-2</v>
      </c>
      <c r="CH290" s="1147">
        <f t="shared" si="718"/>
        <v>1.589241316358208E-2</v>
      </c>
      <c r="CI290" s="1147">
        <f t="shared" si="718"/>
        <v>1.5392413163582074E-2</v>
      </c>
      <c r="CJ290" s="1147">
        <f t="shared" si="718"/>
        <v>1.4892413163582075E-2</v>
      </c>
      <c r="CK290" s="1147">
        <f t="shared" si="718"/>
        <v>1.4392413163582075E-2</v>
      </c>
      <c r="CL290" s="155"/>
    </row>
    <row r="291" spans="1:90" hidden="1" outlineLevel="1" x14ac:dyDescent="0.3">
      <c r="A291" s="579" t="s">
        <v>39</v>
      </c>
      <c r="B291" s="85"/>
      <c r="C291" s="1146">
        <f t="shared" ref="C291:AH291" si="719">C385/C370</f>
        <v>0.22128560621035789</v>
      </c>
      <c r="D291" s="1146">
        <f t="shared" si="719"/>
        <v>0.25478070432548861</v>
      </c>
      <c r="E291" s="1146">
        <f t="shared" si="719"/>
        <v>0.22319701725138844</v>
      </c>
      <c r="F291" s="1146">
        <f t="shared" si="719"/>
        <v>0.22807327792132431</v>
      </c>
      <c r="G291" s="580">
        <f t="shared" si="719"/>
        <v>0.28060379920789469</v>
      </c>
      <c r="H291" s="580">
        <f t="shared" si="719"/>
        <v>0.2485123579150986</v>
      </c>
      <c r="I291" s="580">
        <f t="shared" si="719"/>
        <v>0.21713796912242242</v>
      </c>
      <c r="J291" s="580">
        <f t="shared" si="719"/>
        <v>0.2460019044143022</v>
      </c>
      <c r="K291" s="1146">
        <f t="shared" si="719"/>
        <v>0.24297859028134233</v>
      </c>
      <c r="L291" s="580">
        <f t="shared" si="719"/>
        <v>0.31565171214331877</v>
      </c>
      <c r="M291" s="580">
        <f t="shared" si="719"/>
        <v>0.31642138353195431</v>
      </c>
      <c r="N291" s="580">
        <f t="shared" si="719"/>
        <v>0.30154169912340706</v>
      </c>
      <c r="O291" s="580">
        <f t="shared" si="719"/>
        <v>0.27166414092419439</v>
      </c>
      <c r="P291" s="1146">
        <f t="shared" si="719"/>
        <v>0.30004682625039886</v>
      </c>
      <c r="Q291" s="580">
        <f t="shared" si="719"/>
        <v>0.28018495013599271</v>
      </c>
      <c r="R291" s="580">
        <f t="shared" si="719"/>
        <v>0.28286491387126023</v>
      </c>
      <c r="S291" s="580">
        <f t="shared" si="719"/>
        <v>0.25495510204081634</v>
      </c>
      <c r="T291" s="580">
        <f t="shared" si="719"/>
        <v>0.2573940847322142</v>
      </c>
      <c r="U291" s="1146">
        <f t="shared" si="719"/>
        <v>0.26812558735583086</v>
      </c>
      <c r="V291" s="580">
        <f t="shared" si="719"/>
        <v>0.26672458731537796</v>
      </c>
      <c r="W291" s="580">
        <f t="shared" si="719"/>
        <v>0.2523850823937554</v>
      </c>
      <c r="X291" s="580">
        <f t="shared" si="719"/>
        <v>0.22911877394636015</v>
      </c>
      <c r="Y291" s="580">
        <f t="shared" si="719"/>
        <v>0.22055674518201285</v>
      </c>
      <c r="Z291" s="1147">
        <f t="shared" si="719"/>
        <v>0.2403193612774451</v>
      </c>
      <c r="AA291" s="580">
        <f t="shared" si="719"/>
        <v>0.2413793103448276</v>
      </c>
      <c r="AB291" s="580">
        <f t="shared" si="719"/>
        <v>0.22268907563025211</v>
      </c>
      <c r="AC291" s="580">
        <f t="shared" si="719"/>
        <v>0.16766467065868262</v>
      </c>
      <c r="AD291" s="580">
        <f t="shared" si="719"/>
        <v>0.16198803497468936</v>
      </c>
      <c r="AE291" s="1147">
        <f t="shared" si="719"/>
        <v>0.19117221418234442</v>
      </c>
      <c r="AF291" s="580">
        <f t="shared" si="719"/>
        <v>0.18998451213216314</v>
      </c>
      <c r="AG291" s="580">
        <f t="shared" si="719"/>
        <v>0.16591928251121077</v>
      </c>
      <c r="AH291" s="580">
        <f t="shared" si="719"/>
        <v>0.15174506828528073</v>
      </c>
      <c r="AI291" s="580">
        <f t="shared" ref="AI291:BE291" si="720">AI385/AI370</f>
        <v>0.1494331844726898</v>
      </c>
      <c r="AJ291" s="1147">
        <f t="shared" si="720"/>
        <v>0.1619312332715668</v>
      </c>
      <c r="AK291" s="580">
        <f t="shared" si="720"/>
        <v>0.14561895852821952</v>
      </c>
      <c r="AL291" s="580">
        <f t="shared" si="720"/>
        <v>0.16138328530259366</v>
      </c>
      <c r="AM291" s="580">
        <f t="shared" si="720"/>
        <v>0.1625275070732474</v>
      </c>
      <c r="AN291" s="580">
        <f t="shared" si="720"/>
        <v>0.24852607709750568</v>
      </c>
      <c r="AO291" s="1147">
        <f t="shared" si="720"/>
        <v>0.17403550699897577</v>
      </c>
      <c r="AP291" s="580">
        <f t="shared" si="720"/>
        <v>0.25045045045045045</v>
      </c>
      <c r="AQ291" s="580">
        <f t="shared" si="720"/>
        <v>0.21636293136874757</v>
      </c>
      <c r="AR291" s="580">
        <f t="shared" si="720"/>
        <v>0.18911745189117452</v>
      </c>
      <c r="AS291" s="580">
        <f t="shared" si="720"/>
        <v>0.19227053140096617</v>
      </c>
      <c r="AT291" s="1147">
        <f t="shared" si="720"/>
        <v>0.20910423154423888</v>
      </c>
      <c r="AU291" s="580">
        <f t="shared" si="720"/>
        <v>0.19448051948051948</v>
      </c>
      <c r="AV291" s="580">
        <f t="shared" si="720"/>
        <v>0.19813760993274704</v>
      </c>
      <c r="AW291" s="580">
        <f t="shared" si="720"/>
        <v>0.17202708421498095</v>
      </c>
      <c r="AX291" s="580">
        <f t="shared" si="720"/>
        <v>0.17569458325004997</v>
      </c>
      <c r="AY291" s="1147">
        <f t="shared" si="720"/>
        <v>0.18320839580209894</v>
      </c>
      <c r="AZ291" s="580">
        <f t="shared" si="720"/>
        <v>0.15474297827239003</v>
      </c>
      <c r="BA291" s="580">
        <f t="shared" si="720"/>
        <v>0.14553557707084677</v>
      </c>
      <c r="BB291" s="580">
        <f t="shared" si="720"/>
        <v>0.1454315078135999</v>
      </c>
      <c r="BC291" s="580">
        <f t="shared" si="720"/>
        <v>0.14326835012429673</v>
      </c>
      <c r="BD291" s="1147">
        <f t="shared" si="720"/>
        <v>0.14680092145351861</v>
      </c>
      <c r="BE291" s="580">
        <f t="shared" si="720"/>
        <v>0.14780405405405406</v>
      </c>
      <c r="BF291" s="580">
        <f t="shared" ref="BF291:BI291" si="721">BF385/BF370</f>
        <v>0.20316229116945109</v>
      </c>
      <c r="BG291" s="580">
        <f t="shared" si="721"/>
        <v>0.23689091215646602</v>
      </c>
      <c r="BH291" s="580">
        <f t="shared" si="721"/>
        <v>0.2336803834077012</v>
      </c>
      <c r="BI291" s="1147">
        <f t="shared" si="721"/>
        <v>0.20048936012456439</v>
      </c>
      <c r="BJ291" s="580">
        <f t="shared" ref="BJ291:BN291" si="722">BJ385/BJ370</f>
        <v>0.18617908787541712</v>
      </c>
      <c r="BK291" s="580">
        <f t="shared" si="722"/>
        <v>0.10572295846598061</v>
      </c>
      <c r="BL291" s="580">
        <f t="shared" si="722"/>
        <v>8.7251655629139072E-2</v>
      </c>
      <c r="BM291" s="580">
        <f t="shared" si="722"/>
        <v>7.903904447360087E-2</v>
      </c>
      <c r="BN291" s="1147">
        <f t="shared" si="722"/>
        <v>0.10002954597682283</v>
      </c>
      <c r="BO291" s="580">
        <f t="shared" ref="BO291:BS291" si="723">BO385/BO370</f>
        <v>7.6063584702810633E-2</v>
      </c>
      <c r="BP291" s="580">
        <f t="shared" si="723"/>
        <v>7.4600532623169111E-2</v>
      </c>
      <c r="BQ291" s="580">
        <f t="shared" si="723"/>
        <v>7.0035915854284245E-2</v>
      </c>
      <c r="BR291" s="580">
        <f t="shared" si="723"/>
        <v>6.9461747730797593E-2</v>
      </c>
      <c r="BS291" s="1147">
        <f t="shared" si="723"/>
        <v>7.2124263393028187E-2</v>
      </c>
      <c r="BT291" s="580">
        <f t="shared" ref="BT291:CK291" si="724">BT385/BT370</f>
        <v>6.5770959103082019E-2</v>
      </c>
      <c r="BU291" s="580">
        <f t="shared" si="724"/>
        <v>6.569967695697751E-2</v>
      </c>
      <c r="BV291" s="580">
        <f t="shared" si="724"/>
        <v>6.0765533452619022E-2</v>
      </c>
      <c r="BW291" s="580">
        <f t="shared" si="724"/>
        <v>6.1825707869126778E-2</v>
      </c>
      <c r="BX291" s="1147">
        <f t="shared" si="724"/>
        <v>6.3189434004204917E-2</v>
      </c>
      <c r="BY291" s="903">
        <f>BY385/BY370</f>
        <v>7.5402805856766522E-2</v>
      </c>
      <c r="BZ291" s="580">
        <f t="shared" si="724"/>
        <v>7.0699676956977514E-2</v>
      </c>
      <c r="CA291" s="580">
        <f t="shared" si="724"/>
        <v>6.0765533452619029E-2</v>
      </c>
      <c r="CB291" s="580">
        <f t="shared" si="724"/>
        <v>6.1825707869126778E-2</v>
      </c>
      <c r="CC291" s="1147">
        <f t="shared" si="724"/>
        <v>6.690268875283209E-2</v>
      </c>
      <c r="CD291" s="580">
        <f t="shared" si="724"/>
        <v>7.5402805856766522E-2</v>
      </c>
      <c r="CE291" s="580">
        <f t="shared" si="724"/>
        <v>7.0699676956977514E-2</v>
      </c>
      <c r="CF291" s="580">
        <f t="shared" si="724"/>
        <v>6.0765533452619015E-2</v>
      </c>
      <c r="CG291" s="580">
        <f t="shared" si="724"/>
        <v>6.1825707869126778E-2</v>
      </c>
      <c r="CH291" s="1147">
        <f t="shared" si="724"/>
        <v>6.7011030772946567E-2</v>
      </c>
      <c r="CI291" s="1147">
        <f t="shared" si="724"/>
        <v>6.7011030772946567E-2</v>
      </c>
      <c r="CJ291" s="1147">
        <f t="shared" si="724"/>
        <v>6.7011030772946567E-2</v>
      </c>
      <c r="CK291" s="1147">
        <f t="shared" si="724"/>
        <v>6.7011030772946567E-2</v>
      </c>
      <c r="CL291" s="155"/>
    </row>
    <row r="292" spans="1:90" hidden="1" outlineLevel="1" x14ac:dyDescent="0.3">
      <c r="A292" s="579" t="s">
        <v>817</v>
      </c>
      <c r="B292" s="576"/>
      <c r="C292" s="1144">
        <f>C393/C370</f>
        <v>0</v>
      </c>
      <c r="D292" s="1144">
        <f t="shared" ref="D292:BE292" si="725">D393/D370</f>
        <v>0</v>
      </c>
      <c r="E292" s="1144">
        <f t="shared" si="725"/>
        <v>0</v>
      </c>
      <c r="F292" s="1144">
        <f t="shared" si="725"/>
        <v>0</v>
      </c>
      <c r="G292" s="577">
        <f t="shared" si="725"/>
        <v>0</v>
      </c>
      <c r="H292" s="577">
        <f t="shared" si="725"/>
        <v>0</v>
      </c>
      <c r="I292" s="577">
        <f t="shared" si="725"/>
        <v>0</v>
      </c>
      <c r="J292" s="577">
        <f t="shared" si="725"/>
        <v>0</v>
      </c>
      <c r="K292" s="1144">
        <f t="shared" si="725"/>
        <v>0</v>
      </c>
      <c r="L292" s="577">
        <f t="shared" si="725"/>
        <v>0</v>
      </c>
      <c r="M292" s="577">
        <f t="shared" si="725"/>
        <v>0</v>
      </c>
      <c r="N292" s="577">
        <f t="shared" si="725"/>
        <v>-2.1205597518707889E-3</v>
      </c>
      <c r="O292" s="577">
        <f t="shared" si="725"/>
        <v>-1.6124549692453705E-3</v>
      </c>
      <c r="P292" s="1144">
        <f t="shared" si="725"/>
        <v>-9.8785471368919675E-4</v>
      </c>
      <c r="Q292" s="577">
        <f t="shared" si="725"/>
        <v>0</v>
      </c>
      <c r="R292" s="577">
        <f t="shared" si="725"/>
        <v>0</v>
      </c>
      <c r="S292" s="577">
        <f t="shared" si="725"/>
        <v>0</v>
      </c>
      <c r="T292" s="577">
        <f t="shared" si="725"/>
        <v>0</v>
      </c>
      <c r="U292" s="1144">
        <f t="shared" si="725"/>
        <v>0</v>
      </c>
      <c r="V292" s="577">
        <f t="shared" si="725"/>
        <v>0</v>
      </c>
      <c r="W292" s="577">
        <f t="shared" si="725"/>
        <v>0</v>
      </c>
      <c r="X292" s="577">
        <f t="shared" si="725"/>
        <v>0</v>
      </c>
      <c r="Y292" s="577">
        <f t="shared" si="725"/>
        <v>0</v>
      </c>
      <c r="Z292" s="1145">
        <f t="shared" si="725"/>
        <v>0</v>
      </c>
      <c r="AA292" s="577">
        <f t="shared" si="725"/>
        <v>-4.5977011494252873E-3</v>
      </c>
      <c r="AB292" s="577">
        <f t="shared" si="725"/>
        <v>0</v>
      </c>
      <c r="AC292" s="577">
        <f t="shared" si="725"/>
        <v>0</v>
      </c>
      <c r="AD292" s="577">
        <f t="shared" si="725"/>
        <v>0</v>
      </c>
      <c r="AE292" s="1145">
        <f t="shared" si="725"/>
        <v>-8.6830680173661363E-4</v>
      </c>
      <c r="AF292" s="577">
        <f t="shared" si="725"/>
        <v>0</v>
      </c>
      <c r="AG292" s="577">
        <f t="shared" si="725"/>
        <v>0</v>
      </c>
      <c r="AH292" s="577">
        <f t="shared" si="725"/>
        <v>0</v>
      </c>
      <c r="AI292" s="577">
        <f t="shared" si="725"/>
        <v>0</v>
      </c>
      <c r="AJ292" s="1145">
        <f t="shared" si="725"/>
        <v>0</v>
      </c>
      <c r="AK292" s="577">
        <f t="shared" si="725"/>
        <v>-6.2363579669473025E-4</v>
      </c>
      <c r="AL292" s="577">
        <f t="shared" si="725"/>
        <v>0</v>
      </c>
      <c r="AM292" s="577">
        <f t="shared" si="725"/>
        <v>9.430996541967935E-4</v>
      </c>
      <c r="AN292" s="577">
        <f t="shared" si="725"/>
        <v>-3.1746031746031746E-3</v>
      </c>
      <c r="AO292" s="1145">
        <f t="shared" si="725"/>
        <v>-7.6818026630249235E-4</v>
      </c>
      <c r="AP292" s="577">
        <f t="shared" si="725"/>
        <v>-4.5045045045045046E-4</v>
      </c>
      <c r="AQ292" s="577">
        <f t="shared" si="725"/>
        <v>0</v>
      </c>
      <c r="AR292" s="577">
        <f t="shared" si="725"/>
        <v>0</v>
      </c>
      <c r="AS292" s="577">
        <f t="shared" si="725"/>
        <v>0</v>
      </c>
      <c r="AT292" s="1145">
        <f t="shared" si="725"/>
        <v>-9.1591866642242166E-5</v>
      </c>
      <c r="AU292" s="577">
        <f t="shared" si="725"/>
        <v>0</v>
      </c>
      <c r="AV292" s="577">
        <f t="shared" si="725"/>
        <v>0</v>
      </c>
      <c r="AW292" s="577">
        <f t="shared" si="725"/>
        <v>0</v>
      </c>
      <c r="AX292" s="577">
        <f t="shared" si="725"/>
        <v>0</v>
      </c>
      <c r="AY292" s="1145">
        <f t="shared" si="725"/>
        <v>0</v>
      </c>
      <c r="AZ292" s="577">
        <f t="shared" si="725"/>
        <v>0</v>
      </c>
      <c r="BA292" s="577">
        <f t="shared" si="725"/>
        <v>0</v>
      </c>
      <c r="BB292" s="577">
        <f t="shared" si="725"/>
        <v>0</v>
      </c>
      <c r="BC292" s="577">
        <f t="shared" si="725"/>
        <v>0</v>
      </c>
      <c r="BD292" s="1145">
        <f t="shared" si="725"/>
        <v>0</v>
      </c>
      <c r="BE292" s="577">
        <f t="shared" si="725"/>
        <v>-8.4459459459459464E-4</v>
      </c>
      <c r="BF292" s="577">
        <f t="shared" ref="BF292:BI292" si="726">BF393/BF370</f>
        <v>0</v>
      </c>
      <c r="BG292" s="577">
        <f t="shared" si="726"/>
        <v>0</v>
      </c>
      <c r="BH292" s="577">
        <f t="shared" si="726"/>
        <v>0</v>
      </c>
      <c r="BI292" s="1145">
        <f t="shared" si="726"/>
        <v>-2.5950915696596724E-4</v>
      </c>
      <c r="BJ292" s="577">
        <f t="shared" ref="BJ292:BN292" si="727">BJ393/BJ370</f>
        <v>0</v>
      </c>
      <c r="BK292" s="577">
        <f t="shared" si="727"/>
        <v>0</v>
      </c>
      <c r="BL292" s="577">
        <f t="shared" si="727"/>
        <v>0</v>
      </c>
      <c r="BM292" s="577">
        <f t="shared" si="727"/>
        <v>0</v>
      </c>
      <c r="BN292" s="1145">
        <f t="shared" si="727"/>
        <v>0</v>
      </c>
      <c r="BO292" s="577">
        <f t="shared" ref="BO292:BS292" si="728">BO393/BO370</f>
        <v>0</v>
      </c>
      <c r="BP292" s="577">
        <f t="shared" si="728"/>
        <v>0</v>
      </c>
      <c r="BQ292" s="577">
        <f t="shared" si="728"/>
        <v>0</v>
      </c>
      <c r="BR292" s="577">
        <f t="shared" si="728"/>
        <v>0</v>
      </c>
      <c r="BS292" s="1145">
        <f t="shared" si="728"/>
        <v>0</v>
      </c>
      <c r="BT292" s="577">
        <f t="shared" ref="BT292:CK292" si="729">BT393/BT370</f>
        <v>0</v>
      </c>
      <c r="BU292" s="577">
        <f t="shared" si="729"/>
        <v>-3.2090366471985109E-4</v>
      </c>
      <c r="BV292" s="577">
        <f t="shared" si="729"/>
        <v>0</v>
      </c>
      <c r="BW292" s="577">
        <f t="shared" si="729"/>
        <v>-5.5778178989240683E-4</v>
      </c>
      <c r="BX292" s="1145">
        <f t="shared" si="729"/>
        <v>-2.454408209763914E-4</v>
      </c>
      <c r="BY292" s="902">
        <f>BY393/BY370</f>
        <v>0</v>
      </c>
      <c r="BZ292" s="577">
        <f t="shared" si="729"/>
        <v>0</v>
      </c>
      <c r="CA292" s="577">
        <f t="shared" si="729"/>
        <v>0</v>
      </c>
      <c r="CB292" s="577">
        <f t="shared" si="729"/>
        <v>0</v>
      </c>
      <c r="CC292" s="1145">
        <f t="shared" si="729"/>
        <v>0</v>
      </c>
      <c r="CD292" s="577">
        <f t="shared" si="729"/>
        <v>0</v>
      </c>
      <c r="CE292" s="577">
        <f t="shared" si="729"/>
        <v>0</v>
      </c>
      <c r="CF292" s="577">
        <f t="shared" si="729"/>
        <v>0</v>
      </c>
      <c r="CG292" s="577">
        <f t="shared" si="729"/>
        <v>0</v>
      </c>
      <c r="CH292" s="1145">
        <f t="shared" si="729"/>
        <v>0</v>
      </c>
      <c r="CI292" s="1145">
        <f t="shared" si="729"/>
        <v>0</v>
      </c>
      <c r="CJ292" s="1145">
        <f t="shared" si="729"/>
        <v>0</v>
      </c>
      <c r="CK292" s="1145">
        <f t="shared" si="729"/>
        <v>0</v>
      </c>
      <c r="CL292" s="155"/>
    </row>
    <row r="293" spans="1:90" hidden="1" outlineLevel="1" x14ac:dyDescent="0.3">
      <c r="A293" s="666" t="s">
        <v>42</v>
      </c>
      <c r="B293" s="88"/>
      <c r="C293" s="1148">
        <f t="shared" ref="C293:AH293" si="730">C394/C370</f>
        <v>8.7806242534364101E-2</v>
      </c>
      <c r="D293" s="1148">
        <f t="shared" si="730"/>
        <v>3.1080026875538357E-2</v>
      </c>
      <c r="E293" s="1148">
        <f t="shared" si="730"/>
        <v>0.13554928458116414</v>
      </c>
      <c r="F293" s="1148">
        <f t="shared" si="730"/>
        <v>0.20316388731168386</v>
      </c>
      <c r="G293" s="667">
        <f t="shared" si="730"/>
        <v>0.12279038185618195</v>
      </c>
      <c r="H293" s="667">
        <f t="shared" si="730"/>
        <v>0.18845605063824494</v>
      </c>
      <c r="I293" s="667">
        <f t="shared" si="730"/>
        <v>0.24080192009035711</v>
      </c>
      <c r="J293" s="667">
        <f t="shared" si="730"/>
        <v>0.20601643144560222</v>
      </c>
      <c r="K293" s="1148">
        <f t="shared" si="730"/>
        <v>0.19652681127032892</v>
      </c>
      <c r="L293" s="667">
        <f t="shared" si="730"/>
        <v>0.1309666830411243</v>
      </c>
      <c r="M293" s="667">
        <f t="shared" si="730"/>
        <v>0.15265779677008057</v>
      </c>
      <c r="N293" s="667">
        <f t="shared" si="730"/>
        <v>0.17277485917490787</v>
      </c>
      <c r="O293" s="667">
        <f t="shared" si="730"/>
        <v>0.18168827968097037</v>
      </c>
      <c r="P293" s="1148">
        <f t="shared" si="730"/>
        <v>0.16081984193356111</v>
      </c>
      <c r="Q293" s="667">
        <f t="shared" si="730"/>
        <v>0.17802447869446963</v>
      </c>
      <c r="R293" s="667">
        <f t="shared" si="730"/>
        <v>0.19038984587488667</v>
      </c>
      <c r="S293" s="667">
        <f t="shared" si="730"/>
        <v>0.21666448979591835</v>
      </c>
      <c r="T293" s="667">
        <f t="shared" si="730"/>
        <v>0.22621902478017586</v>
      </c>
      <c r="U293" s="1148">
        <f t="shared" si="730"/>
        <v>0.20349743699273815</v>
      </c>
      <c r="V293" s="667">
        <f t="shared" si="730"/>
        <v>0.20069504778453517</v>
      </c>
      <c r="W293" s="667">
        <f t="shared" si="730"/>
        <v>0.20034692107545535</v>
      </c>
      <c r="X293" s="667">
        <f t="shared" si="730"/>
        <v>0.23601532567049807</v>
      </c>
      <c r="Y293" s="667">
        <f t="shared" si="730"/>
        <v>0.25339043540328338</v>
      </c>
      <c r="Z293" s="1135">
        <f t="shared" si="730"/>
        <v>0.22455089820359281</v>
      </c>
      <c r="AA293" s="667">
        <f t="shared" si="730"/>
        <v>0.24674329501915709</v>
      </c>
      <c r="AB293" s="667">
        <f t="shared" si="730"/>
        <v>0.26750700280112044</v>
      </c>
      <c r="AC293" s="667">
        <f t="shared" si="730"/>
        <v>0.3532934131736527</v>
      </c>
      <c r="AD293" s="667">
        <f t="shared" si="730"/>
        <v>0.3718361711919006</v>
      </c>
      <c r="AE293" s="1135">
        <f t="shared" si="730"/>
        <v>0.32127351664254705</v>
      </c>
      <c r="AF293" s="667">
        <f t="shared" si="730"/>
        <v>0.32834279814145584</v>
      </c>
      <c r="AG293" s="667">
        <f t="shared" si="730"/>
        <v>0.34663677130044845</v>
      </c>
      <c r="AH293" s="667">
        <f t="shared" si="730"/>
        <v>0.38125948406676785</v>
      </c>
      <c r="AI293" s="667">
        <f t="shared" ref="AI293:BE293" si="731">AI394/AI370</f>
        <v>0.41291652353143249</v>
      </c>
      <c r="AJ293" s="1135">
        <f t="shared" si="731"/>
        <v>0.37234918674078649</v>
      </c>
      <c r="AK293" s="667">
        <f t="shared" si="731"/>
        <v>0.4452759588400374</v>
      </c>
      <c r="AL293" s="667">
        <f t="shared" si="731"/>
        <v>0.41338456612231828</v>
      </c>
      <c r="AM293" s="667">
        <f t="shared" si="731"/>
        <v>0.38038352719270668</v>
      </c>
      <c r="AN293" s="667">
        <f t="shared" si="731"/>
        <v>0.21723356009070294</v>
      </c>
      <c r="AO293" s="1135">
        <f t="shared" si="731"/>
        <v>0.37615227039945376</v>
      </c>
      <c r="AP293" s="667">
        <f t="shared" si="731"/>
        <v>0.25090090090090089</v>
      </c>
      <c r="AQ293" s="667">
        <f t="shared" si="731"/>
        <v>0.31097324544397054</v>
      </c>
      <c r="AR293" s="667">
        <f t="shared" si="731"/>
        <v>0.38387524883875251</v>
      </c>
      <c r="AS293" s="667">
        <f t="shared" si="731"/>
        <v>0.39291465378421903</v>
      </c>
      <c r="AT293" s="1135">
        <f t="shared" si="731"/>
        <v>0.34218721377541672</v>
      </c>
      <c r="AU293" s="667">
        <f t="shared" si="731"/>
        <v>0.39123376623376621</v>
      </c>
      <c r="AV293" s="667">
        <f t="shared" si="731"/>
        <v>0.39213657527159856</v>
      </c>
      <c r="AW293" s="667">
        <f t="shared" si="731"/>
        <v>0.4219212865002116</v>
      </c>
      <c r="AX293" s="667">
        <f t="shared" si="731"/>
        <v>0.41754947031780931</v>
      </c>
      <c r="AY293" s="1135">
        <f t="shared" si="731"/>
        <v>0.40797601199400302</v>
      </c>
      <c r="AZ293" s="667">
        <f t="shared" si="731"/>
        <v>0.45168698109874583</v>
      </c>
      <c r="BA293" s="667">
        <f t="shared" si="731"/>
        <v>0.47195328108191181</v>
      </c>
      <c r="BB293" s="667">
        <f t="shared" si="731"/>
        <v>0.47669998592144164</v>
      </c>
      <c r="BC293" s="667">
        <f t="shared" si="731"/>
        <v>0.48109381133062934</v>
      </c>
      <c r="BD293" s="1135">
        <f t="shared" si="731"/>
        <v>0.47150182061380697</v>
      </c>
      <c r="BE293" s="667">
        <f t="shared" si="731"/>
        <v>0.47719594594594594</v>
      </c>
      <c r="BF293" s="667">
        <f t="shared" ref="BF293:BI293" si="732">BF394/BF370</f>
        <v>0.19764319809069211</v>
      </c>
      <c r="BG293" s="667">
        <f t="shared" si="732"/>
        <v>0.25897824987354578</v>
      </c>
      <c r="BH293" s="667">
        <f t="shared" si="732"/>
        <v>0.36754255494959509</v>
      </c>
      <c r="BI293" s="1135">
        <f t="shared" si="732"/>
        <v>0.33513753985319195</v>
      </c>
      <c r="BJ293" s="667">
        <f t="shared" ref="BJ293:BN293" si="733">BJ394/BJ370</f>
        <v>0.42436040044493883</v>
      </c>
      <c r="BK293" s="667">
        <f t="shared" si="733"/>
        <v>0.57570148811727251</v>
      </c>
      <c r="BL293" s="667">
        <f t="shared" si="733"/>
        <v>0.63780353200883</v>
      </c>
      <c r="BM293" s="667">
        <f t="shared" si="733"/>
        <v>0.66728498393883184</v>
      </c>
      <c r="BN293" s="1135">
        <f t="shared" si="733"/>
        <v>0.60953350185483079</v>
      </c>
      <c r="BO293" s="667">
        <f t="shared" ref="BO293:BS293" si="734">BO394/BO370</f>
        <v>0.69336507448932572</v>
      </c>
      <c r="BP293" s="667">
        <f t="shared" si="734"/>
        <v>0.66368175765645809</v>
      </c>
      <c r="BQ293" s="667">
        <f t="shared" si="734"/>
        <v>0.66347414628584456</v>
      </c>
      <c r="BR293" s="667">
        <f t="shared" si="734"/>
        <v>0.64875034959700995</v>
      </c>
      <c r="BS293" s="1135">
        <f t="shared" si="734"/>
        <v>0.66506509728192986</v>
      </c>
      <c r="BT293" s="667">
        <f t="shared" ref="BT293:CK293" si="735">BT394/BT370</f>
        <v>0.52823294448731328</v>
      </c>
      <c r="BU293" s="667">
        <f t="shared" si="735"/>
        <v>0.64533726975162053</v>
      </c>
      <c r="BV293" s="667">
        <f t="shared" si="735"/>
        <v>0.66224607936006741</v>
      </c>
      <c r="BW293" s="667">
        <f t="shared" si="735"/>
        <v>0.67678013122550529</v>
      </c>
      <c r="BX293" s="1135">
        <f t="shared" si="735"/>
        <v>0.63583065509544401</v>
      </c>
      <c r="BY293" s="904">
        <f>BY394/BY370</f>
        <v>0.65898425534521843</v>
      </c>
      <c r="BZ293" s="667">
        <f t="shared" si="735"/>
        <v>0.65801636608690073</v>
      </c>
      <c r="CA293" s="667">
        <f t="shared" si="735"/>
        <v>0.67224607936006742</v>
      </c>
      <c r="CB293" s="667">
        <f t="shared" si="735"/>
        <v>0.68622234943561289</v>
      </c>
      <c r="CC293" s="1135">
        <f t="shared" si="735"/>
        <v>0.66927880097673498</v>
      </c>
      <c r="CD293" s="667">
        <f t="shared" si="735"/>
        <v>0.65898425534521843</v>
      </c>
      <c r="CE293" s="667">
        <f t="shared" si="735"/>
        <v>0.65801636608690062</v>
      </c>
      <c r="CF293" s="667">
        <f t="shared" si="735"/>
        <v>0.67224607936006742</v>
      </c>
      <c r="CG293" s="667">
        <f t="shared" si="735"/>
        <v>0.68622234943561289</v>
      </c>
      <c r="CH293" s="1135">
        <f t="shared" si="735"/>
        <v>0.66907769247242221</v>
      </c>
      <c r="CI293" s="1135">
        <f t="shared" si="735"/>
        <v>0.66957769247242249</v>
      </c>
      <c r="CJ293" s="1135">
        <f t="shared" si="735"/>
        <v>0.67007769247242233</v>
      </c>
      <c r="CK293" s="1135">
        <f t="shared" si="735"/>
        <v>0.67057769247242238</v>
      </c>
      <c r="CL293" s="155"/>
    </row>
    <row r="294" spans="1:90" hidden="1" outlineLevel="1" x14ac:dyDescent="0.3">
      <c r="A294" s="581" t="s">
        <v>43</v>
      </c>
      <c r="B294" s="85"/>
      <c r="C294" s="1146">
        <f t="shared" ref="C294:AH294" si="736">C396/C370</f>
        <v>4.3395071154753995E-2</v>
      </c>
      <c r="D294" s="1146">
        <f t="shared" si="736"/>
        <v>4.0657518762522785E-2</v>
      </c>
      <c r="E294" s="1146">
        <f t="shared" si="736"/>
        <v>0.1417262790233649</v>
      </c>
      <c r="F294" s="1146">
        <f t="shared" si="736"/>
        <v>0.20746361241942704</v>
      </c>
      <c r="G294" s="580">
        <f t="shared" si="736"/>
        <v>0.12748506017556926</v>
      </c>
      <c r="H294" s="580">
        <f t="shared" si="736"/>
        <v>0.19234872207379322</v>
      </c>
      <c r="I294" s="580">
        <f t="shared" si="736"/>
        <v>0.2444577322669855</v>
      </c>
      <c r="J294" s="580">
        <f t="shared" si="736"/>
        <v>0.20601643144560222</v>
      </c>
      <c r="K294" s="1146">
        <f t="shared" si="736"/>
        <v>0.19652681127032892</v>
      </c>
      <c r="L294" s="580">
        <f t="shared" si="736"/>
        <v>0.1309666830411243</v>
      </c>
      <c r="M294" s="580">
        <f t="shared" si="736"/>
        <v>0.15265779677008051</v>
      </c>
      <c r="N294" s="580">
        <f t="shared" si="736"/>
        <v>0.1727748591749079</v>
      </c>
      <c r="O294" s="580">
        <f t="shared" si="736"/>
        <v>0.1816882796809704</v>
      </c>
      <c r="P294" s="1146">
        <f t="shared" si="736"/>
        <v>0.16081984193356094</v>
      </c>
      <c r="Q294" s="580">
        <f t="shared" si="736"/>
        <v>0.17769718948322757</v>
      </c>
      <c r="R294" s="580">
        <f t="shared" si="736"/>
        <v>0.19038984587488667</v>
      </c>
      <c r="S294" s="580">
        <f t="shared" si="736"/>
        <v>0.21551020408163266</v>
      </c>
      <c r="T294" s="580">
        <f t="shared" si="736"/>
        <v>0.2270183852917666</v>
      </c>
      <c r="U294" s="1146">
        <f t="shared" si="736"/>
        <v>0.20375907731738574</v>
      </c>
      <c r="V294" s="580">
        <f t="shared" si="736"/>
        <v>0.19982623805386621</v>
      </c>
      <c r="W294" s="580">
        <f t="shared" si="736"/>
        <v>0.20034692107545535</v>
      </c>
      <c r="X294" s="580">
        <f t="shared" si="736"/>
        <v>0.23601532567049807</v>
      </c>
      <c r="Y294" s="580">
        <f t="shared" si="736"/>
        <v>0.25410421127765881</v>
      </c>
      <c r="Z294" s="1147">
        <f t="shared" si="736"/>
        <v>0.22455089820359281</v>
      </c>
      <c r="AA294" s="580">
        <f t="shared" si="736"/>
        <v>0.24674329501915709</v>
      </c>
      <c r="AB294" s="580">
        <f t="shared" si="736"/>
        <v>0.26750700280112044</v>
      </c>
      <c r="AC294" s="580">
        <f t="shared" si="736"/>
        <v>0.3532934131736527</v>
      </c>
      <c r="AD294" s="580">
        <f t="shared" si="736"/>
        <v>0.37229636447307868</v>
      </c>
      <c r="AE294" s="1147">
        <f t="shared" si="736"/>
        <v>0.32141823444283646</v>
      </c>
      <c r="AF294" s="580">
        <f t="shared" si="736"/>
        <v>0.32885906040268459</v>
      </c>
      <c r="AG294" s="580">
        <f t="shared" si="736"/>
        <v>0.34663677130044845</v>
      </c>
      <c r="AH294" s="580">
        <f t="shared" si="736"/>
        <v>0.38125948406676785</v>
      </c>
      <c r="AI294" s="580">
        <f t="shared" ref="AI294:BE294" si="737">AI396/AI370</f>
        <v>0.41291652353143249</v>
      </c>
      <c r="AJ294" s="1147">
        <f t="shared" si="737"/>
        <v>0.37234918674078649</v>
      </c>
      <c r="AK294" s="580">
        <f t="shared" si="737"/>
        <v>0.4452759588400374</v>
      </c>
      <c r="AL294" s="580">
        <f t="shared" si="737"/>
        <v>0.41306436119116235</v>
      </c>
      <c r="AM294" s="580">
        <f t="shared" si="737"/>
        <v>0.38038352719270668</v>
      </c>
      <c r="AN294" s="580">
        <f t="shared" si="737"/>
        <v>0.21723356009070294</v>
      </c>
      <c r="AO294" s="1147">
        <f t="shared" si="737"/>
        <v>0.37615227039945376</v>
      </c>
      <c r="AP294" s="580">
        <f t="shared" si="737"/>
        <v>0.25090090090090089</v>
      </c>
      <c r="AQ294" s="580">
        <f t="shared" si="737"/>
        <v>0.31097324544397054</v>
      </c>
      <c r="AR294" s="580">
        <f t="shared" si="737"/>
        <v>0.38354346383543464</v>
      </c>
      <c r="AS294" s="580">
        <f t="shared" si="737"/>
        <v>0.39291465378421903</v>
      </c>
      <c r="AT294" s="1147">
        <f t="shared" si="737"/>
        <v>0.34209562190877452</v>
      </c>
      <c r="AU294" s="580">
        <f t="shared" si="737"/>
        <v>0.39123376623376621</v>
      </c>
      <c r="AV294" s="580">
        <f t="shared" si="737"/>
        <v>0.39213657527159856</v>
      </c>
      <c r="AW294" s="580">
        <f t="shared" si="737"/>
        <v>0.42170969107067285</v>
      </c>
      <c r="AX294" s="580">
        <f t="shared" si="737"/>
        <v>0.41754947031780931</v>
      </c>
      <c r="AY294" s="1147">
        <f t="shared" si="737"/>
        <v>0.40797601199400302</v>
      </c>
      <c r="AZ294" s="580">
        <f t="shared" si="737"/>
        <v>0.45168698109874583</v>
      </c>
      <c r="BA294" s="580">
        <f t="shared" si="737"/>
        <v>0.47195328108191181</v>
      </c>
      <c r="BB294" s="580">
        <f t="shared" si="737"/>
        <v>0.47669998592144164</v>
      </c>
      <c r="BC294" s="580">
        <f t="shared" si="737"/>
        <v>0.48109381133062934</v>
      </c>
      <c r="BD294" s="1147">
        <f t="shared" si="737"/>
        <v>0.47150182061380697</v>
      </c>
      <c r="BE294" s="580">
        <f t="shared" si="737"/>
        <v>0.47719594594594594</v>
      </c>
      <c r="BF294" s="580">
        <f t="shared" ref="BF294:BI294" si="738">BF396/BF370</f>
        <v>0.19764319809069211</v>
      </c>
      <c r="BG294" s="580">
        <f t="shared" si="738"/>
        <v>0.25897824987354578</v>
      </c>
      <c r="BH294" s="580">
        <f t="shared" si="738"/>
        <v>0.36754255494959509</v>
      </c>
      <c r="BI294" s="1147">
        <f t="shared" si="738"/>
        <v>0.33513753985319195</v>
      </c>
      <c r="BJ294" s="580">
        <f t="shared" ref="BJ294:BN294" si="739">BJ396/BJ370</f>
        <v>0.42436040044493883</v>
      </c>
      <c r="BK294" s="580">
        <f t="shared" si="739"/>
        <v>0.57570148811727251</v>
      </c>
      <c r="BL294" s="580">
        <f t="shared" si="739"/>
        <v>0.63780353200883</v>
      </c>
      <c r="BM294" s="580">
        <f t="shared" si="739"/>
        <v>0.66728498393883184</v>
      </c>
      <c r="BN294" s="1147">
        <f t="shared" si="739"/>
        <v>0.60953350185483079</v>
      </c>
      <c r="BO294" s="580">
        <f t="shared" ref="BO294:BS294" si="740">BO396/BO370</f>
        <v>0.69340347104899402</v>
      </c>
      <c r="BP294" s="580">
        <f t="shared" si="740"/>
        <v>0.66368175765645809</v>
      </c>
      <c r="BQ294" s="580">
        <f t="shared" si="740"/>
        <v>0.66347414628584456</v>
      </c>
      <c r="BR294" s="580">
        <f t="shared" si="740"/>
        <v>0.64875034959700995</v>
      </c>
      <c r="BS294" s="1147">
        <f t="shared" si="740"/>
        <v>0.66506509728192986</v>
      </c>
      <c r="BT294" s="580">
        <f t="shared" ref="BT294:CK294" si="741">BT396/BT370</f>
        <v>0.52823294448731328</v>
      </c>
      <c r="BU294" s="580">
        <f t="shared" si="741"/>
        <v>0.64533726975162053</v>
      </c>
      <c r="BV294" s="580">
        <f t="shared" si="741"/>
        <v>0.66224607936006741</v>
      </c>
      <c r="BW294" s="580">
        <f t="shared" si="741"/>
        <v>0.67678013122550529</v>
      </c>
      <c r="BX294" s="1147">
        <f t="shared" si="741"/>
        <v>0.63583065509544401</v>
      </c>
      <c r="BY294" s="903">
        <f>BY396/BY370</f>
        <v>0.65898425534521843</v>
      </c>
      <c r="BZ294" s="580">
        <f t="shared" si="741"/>
        <v>0.65801636608690073</v>
      </c>
      <c r="CA294" s="580">
        <f t="shared" si="741"/>
        <v>0.67224607936006742</v>
      </c>
      <c r="CB294" s="580">
        <f t="shared" si="741"/>
        <v>0.68622234943561289</v>
      </c>
      <c r="CC294" s="1147">
        <f t="shared" si="741"/>
        <v>0.66927880097673498</v>
      </c>
      <c r="CD294" s="580">
        <f t="shared" si="741"/>
        <v>0.65898425534521843</v>
      </c>
      <c r="CE294" s="580">
        <f t="shared" si="741"/>
        <v>0.65801636608690062</v>
      </c>
      <c r="CF294" s="580">
        <f t="shared" si="741"/>
        <v>0.67224607936006742</v>
      </c>
      <c r="CG294" s="580">
        <f t="shared" si="741"/>
        <v>0.68622234943561289</v>
      </c>
      <c r="CH294" s="1147">
        <f t="shared" si="741"/>
        <v>0.66907769247242221</v>
      </c>
      <c r="CI294" s="1147">
        <f t="shared" si="741"/>
        <v>0.66957769247242249</v>
      </c>
      <c r="CJ294" s="1147">
        <f t="shared" si="741"/>
        <v>0.67007769247242233</v>
      </c>
      <c r="CK294" s="1147">
        <f t="shared" si="741"/>
        <v>0.67057769247242238</v>
      </c>
      <c r="CL294" s="155"/>
    </row>
    <row r="295" spans="1:90" hidden="1" outlineLevel="1" x14ac:dyDescent="0.3">
      <c r="A295" s="371" t="s">
        <v>617</v>
      </c>
      <c r="B295" s="582"/>
      <c r="C295" s="1149"/>
      <c r="D295" s="1149"/>
      <c r="E295" s="1149"/>
      <c r="F295" s="1149"/>
      <c r="G295" s="583"/>
      <c r="H295" s="583"/>
      <c r="I295" s="583"/>
      <c r="J295" s="583"/>
      <c r="K295" s="1149"/>
      <c r="L295" s="583"/>
      <c r="M295" s="583"/>
      <c r="N295" s="583"/>
      <c r="O295" s="583"/>
      <c r="P295" s="1149"/>
      <c r="Q295" s="583"/>
      <c r="R295" s="583"/>
      <c r="S295" s="583"/>
      <c r="T295" s="583"/>
      <c r="U295" s="1149"/>
      <c r="V295" s="583"/>
      <c r="W295" s="583"/>
      <c r="X295" s="583"/>
      <c r="Y295" s="583"/>
      <c r="Z295" s="1115"/>
      <c r="AA295" s="583"/>
      <c r="AB295" s="583"/>
      <c r="AC295" s="583"/>
      <c r="AD295" s="583"/>
      <c r="AE295" s="1115"/>
      <c r="AF295" s="583"/>
      <c r="AG295" s="583"/>
      <c r="AH295" s="583"/>
      <c r="AI295" s="583"/>
      <c r="AJ295" s="1115"/>
      <c r="AK295" s="583"/>
      <c r="AL295" s="583"/>
      <c r="AM295" s="583"/>
      <c r="AN295" s="583"/>
      <c r="AO295" s="1115"/>
      <c r="AP295" s="583"/>
      <c r="AQ295" s="583"/>
      <c r="AR295" s="583"/>
      <c r="AS295" s="583"/>
      <c r="AT295" s="1115"/>
      <c r="AU295" s="583"/>
      <c r="AV295" s="583"/>
      <c r="AW295" s="583"/>
      <c r="AX295" s="583"/>
      <c r="AY295" s="1115"/>
      <c r="AZ295" s="583"/>
      <c r="BA295" s="583"/>
      <c r="BB295" s="583"/>
      <c r="BC295" s="583"/>
      <c r="BD295" s="1115"/>
      <c r="BE295" s="583"/>
      <c r="BF295" s="583"/>
      <c r="BG295" s="583"/>
      <c r="BH295" s="583"/>
      <c r="BI295" s="1115"/>
      <c r="BJ295" s="583"/>
      <c r="BK295" s="583"/>
      <c r="BL295" s="583"/>
      <c r="BM295" s="583"/>
      <c r="BN295" s="1115"/>
      <c r="BO295" s="583"/>
      <c r="BP295" s="583"/>
      <c r="BQ295" s="583"/>
      <c r="BR295" s="583"/>
      <c r="BS295" s="1115"/>
      <c r="BT295" s="583"/>
      <c r="BU295" s="583"/>
      <c r="BV295" s="583"/>
      <c r="BW295" s="583"/>
      <c r="BX295" s="1115"/>
      <c r="BY295" s="905"/>
      <c r="BZ295" s="643">
        <f t="shared" ref="BZ295:CK295" ca="1" si="742">IFERROR(BZ397/BZ371,0)</f>
        <v>0</v>
      </c>
      <c r="CA295" s="643">
        <f t="shared" ca="1" si="742"/>
        <v>0</v>
      </c>
      <c r="CB295" s="643">
        <f t="shared" ca="1" si="742"/>
        <v>0</v>
      </c>
      <c r="CC295" s="1116">
        <f t="shared" ca="1" si="742"/>
        <v>0</v>
      </c>
      <c r="CD295" s="643">
        <f t="shared" ca="1" si="742"/>
        <v>0</v>
      </c>
      <c r="CE295" s="643">
        <f t="shared" ca="1" si="742"/>
        <v>0</v>
      </c>
      <c r="CF295" s="643">
        <f t="shared" ca="1" si="742"/>
        <v>0</v>
      </c>
      <c r="CG295" s="643">
        <f t="shared" ca="1" si="742"/>
        <v>0</v>
      </c>
      <c r="CH295" s="1116">
        <f t="shared" ca="1" si="742"/>
        <v>0</v>
      </c>
      <c r="CI295" s="1116">
        <f t="shared" ca="1" si="742"/>
        <v>0</v>
      </c>
      <c r="CJ295" s="1116">
        <f t="shared" ca="1" si="742"/>
        <v>0</v>
      </c>
      <c r="CK295" s="1116">
        <f t="shared" ca="1" si="742"/>
        <v>0</v>
      </c>
      <c r="CL295" s="155"/>
    </row>
    <row r="296" spans="1:90" hidden="1" outlineLevel="1" x14ac:dyDescent="0.3">
      <c r="A296" s="371"/>
      <c r="B296" s="582"/>
      <c r="C296" s="1149"/>
      <c r="D296" s="1149"/>
      <c r="E296" s="1149"/>
      <c r="F296" s="1149"/>
      <c r="G296" s="583"/>
      <c r="H296" s="583"/>
      <c r="I296" s="583"/>
      <c r="J296" s="583"/>
      <c r="K296" s="1149"/>
      <c r="L296" s="583"/>
      <c r="M296" s="583"/>
      <c r="N296" s="583"/>
      <c r="O296" s="583"/>
      <c r="P296" s="1149"/>
      <c r="Q296" s="583"/>
      <c r="R296" s="583"/>
      <c r="S296" s="583"/>
      <c r="T296" s="583"/>
      <c r="U296" s="1149"/>
      <c r="V296" s="583"/>
      <c r="W296" s="583"/>
      <c r="X296" s="583"/>
      <c r="Y296" s="583"/>
      <c r="Z296" s="1115"/>
      <c r="AA296" s="583"/>
      <c r="AB296" s="583"/>
      <c r="AC296" s="583"/>
      <c r="AD296" s="583"/>
      <c r="AE296" s="1115"/>
      <c r="AF296" s="583"/>
      <c r="AG296" s="583"/>
      <c r="AH296" s="583"/>
      <c r="AI296" s="583"/>
      <c r="AJ296" s="1115"/>
      <c r="AK296" s="583"/>
      <c r="AL296" s="583"/>
      <c r="AM296" s="583"/>
      <c r="AN296" s="583"/>
      <c r="AO296" s="1115"/>
      <c r="AP296" s="583"/>
      <c r="AQ296" s="583"/>
      <c r="AR296" s="583"/>
      <c r="AS296" s="583"/>
      <c r="AT296" s="1115"/>
      <c r="AU296" s="583"/>
      <c r="AV296" s="583"/>
      <c r="AW296" s="583"/>
      <c r="AX296" s="583"/>
      <c r="AY296" s="1115"/>
      <c r="AZ296" s="583"/>
      <c r="BA296" s="583"/>
      <c r="BB296" s="583"/>
      <c r="BC296" s="583"/>
      <c r="BD296" s="1115"/>
      <c r="BE296" s="583"/>
      <c r="BF296" s="583"/>
      <c r="BG296" s="583"/>
      <c r="BH296" s="583"/>
      <c r="BI296" s="1115"/>
      <c r="BJ296" s="583"/>
      <c r="BK296" s="583"/>
      <c r="BL296" s="583"/>
      <c r="BM296" s="583"/>
      <c r="BN296" s="1115"/>
      <c r="BO296" s="583"/>
      <c r="BP296" s="583"/>
      <c r="BQ296" s="583"/>
      <c r="BR296" s="583"/>
      <c r="BS296" s="1115"/>
      <c r="BT296" s="583"/>
      <c r="BU296" s="583"/>
      <c r="BV296" s="583"/>
      <c r="BW296" s="583"/>
      <c r="BX296" s="1115"/>
      <c r="BY296" s="905"/>
      <c r="BZ296" s="583"/>
      <c r="CA296" s="583"/>
      <c r="CB296" s="583"/>
      <c r="CC296" s="1115"/>
      <c r="CD296" s="583"/>
      <c r="CE296" s="583"/>
      <c r="CF296" s="583"/>
      <c r="CG296" s="583"/>
      <c r="CH296" s="1115"/>
      <c r="CI296" s="1115"/>
      <c r="CJ296" s="1115"/>
      <c r="CK296" s="1115"/>
      <c r="CL296" s="155"/>
    </row>
    <row r="297" spans="1:90" s="16" customFormat="1" hidden="1" outlineLevel="1" x14ac:dyDescent="0.3">
      <c r="A297" s="581" t="s">
        <v>1241</v>
      </c>
      <c r="B297" s="85"/>
      <c r="C297" s="1146">
        <f>C400/C370</f>
        <v>8.7899969020622346E-2</v>
      </c>
      <c r="D297" s="1146">
        <f t="shared" ref="D297:BN297" si="743">D400/D370</f>
        <v>9.0189075724985718E-2</v>
      </c>
      <c r="E297" s="1146">
        <f t="shared" si="743"/>
        <v>0.18603203954269867</v>
      </c>
      <c r="F297" s="1146">
        <f t="shared" si="743"/>
        <v>0.24378365804303728</v>
      </c>
      <c r="G297" s="580">
        <f t="shared" si="743"/>
        <v>0.16845375114744984</v>
      </c>
      <c r="H297" s="580">
        <f t="shared" si="743"/>
        <v>0.22969059725932953</v>
      </c>
      <c r="I297" s="580">
        <f t="shared" si="743"/>
        <v>0.27755105430566968</v>
      </c>
      <c r="J297" s="580">
        <f t="shared" si="743"/>
        <v>0.24314799322794611</v>
      </c>
      <c r="K297" s="1146">
        <f t="shared" si="743"/>
        <v>0.23340277779400248</v>
      </c>
      <c r="L297" s="580">
        <f t="shared" si="743"/>
        <v>0.17531807122155896</v>
      </c>
      <c r="M297" s="580">
        <f t="shared" si="743"/>
        <v>0.1969049504828915</v>
      </c>
      <c r="N297" s="580">
        <f t="shared" si="743"/>
        <v>0.21369264882107328</v>
      </c>
      <c r="O297" s="580">
        <f t="shared" si="743"/>
        <v>0.21466975698686838</v>
      </c>
      <c r="P297" s="1146">
        <f t="shared" si="743"/>
        <v>0.20112044031202647</v>
      </c>
      <c r="Q297" s="580">
        <f t="shared" si="743"/>
        <v>0.21033544877606528</v>
      </c>
      <c r="R297" s="580">
        <f t="shared" si="743"/>
        <v>0.22393472348141433</v>
      </c>
      <c r="S297" s="580">
        <f t="shared" si="743"/>
        <v>0.24489795918367346</v>
      </c>
      <c r="T297" s="580">
        <f t="shared" si="743"/>
        <v>0.25419664268585129</v>
      </c>
      <c r="U297" s="1146">
        <f t="shared" si="743"/>
        <v>0.2343015805211448</v>
      </c>
      <c r="V297" s="580">
        <f t="shared" si="743"/>
        <v>0.23023457862728064</v>
      </c>
      <c r="W297" s="580">
        <f t="shared" si="743"/>
        <v>0.22636600173460539</v>
      </c>
      <c r="X297" s="580">
        <f t="shared" si="743"/>
        <v>0.25900383141762451</v>
      </c>
      <c r="Y297" s="580">
        <f t="shared" si="743"/>
        <v>0.27480371163454675</v>
      </c>
      <c r="Z297" s="1147">
        <f t="shared" si="743"/>
        <v>0.24930139720558883</v>
      </c>
      <c r="AA297" s="580">
        <f t="shared" si="743"/>
        <v>0.26819923371647508</v>
      </c>
      <c r="AB297" s="580">
        <f t="shared" si="743"/>
        <v>0.28781512605042014</v>
      </c>
      <c r="AC297" s="580">
        <f t="shared" si="743"/>
        <v>0.36826347305389223</v>
      </c>
      <c r="AD297" s="580">
        <f t="shared" si="743"/>
        <v>0.38702254947077774</v>
      </c>
      <c r="AE297" s="1147">
        <f t="shared" si="743"/>
        <v>0.3386396526772793</v>
      </c>
      <c r="AF297" s="580">
        <f t="shared" si="743"/>
        <v>0.3453794527620031</v>
      </c>
      <c r="AG297" s="580">
        <f t="shared" si="743"/>
        <v>0.36233183856502243</v>
      </c>
      <c r="AH297" s="580">
        <f t="shared" si="743"/>
        <v>0.3949165402124431</v>
      </c>
      <c r="AI297" s="580">
        <f t="shared" si="743"/>
        <v>0.42700103057368599</v>
      </c>
      <c r="AJ297" s="1147">
        <f t="shared" si="743"/>
        <v>0.38717315215153386</v>
      </c>
      <c r="AK297" s="580">
        <f t="shared" si="743"/>
        <v>0.45961958216401622</v>
      </c>
      <c r="AL297" s="580">
        <f t="shared" si="743"/>
        <v>0.43003522254242715</v>
      </c>
      <c r="AM297" s="580">
        <f t="shared" si="743"/>
        <v>0.3995598868280415</v>
      </c>
      <c r="AN297" s="580">
        <f t="shared" si="743"/>
        <v>0.25034013605442179</v>
      </c>
      <c r="AO297" s="1147">
        <f t="shared" si="743"/>
        <v>0.39603960396039606</v>
      </c>
      <c r="AP297" s="580">
        <f t="shared" si="743"/>
        <v>0.28873873873873873</v>
      </c>
      <c r="AQ297" s="580">
        <f t="shared" si="743"/>
        <v>0.34431950368359832</v>
      </c>
      <c r="AR297" s="580">
        <f t="shared" si="743"/>
        <v>0.41207697412076977</v>
      </c>
      <c r="AS297" s="580">
        <f t="shared" si="743"/>
        <v>0.4251207729468599</v>
      </c>
      <c r="AT297" s="1147">
        <f t="shared" si="743"/>
        <v>0.37470232643341272</v>
      </c>
      <c r="AU297" s="580">
        <f t="shared" si="743"/>
        <v>0.42370129870129869</v>
      </c>
      <c r="AV297" s="580">
        <f t="shared" si="743"/>
        <v>0.42317640972581477</v>
      </c>
      <c r="AW297" s="580">
        <f t="shared" si="743"/>
        <v>0.44815911976301309</v>
      </c>
      <c r="AX297" s="580">
        <f t="shared" si="743"/>
        <v>0.44573256046372178</v>
      </c>
      <c r="AY297" s="1147">
        <f t="shared" si="743"/>
        <v>0.43712143928035985</v>
      </c>
      <c r="AZ297" s="580">
        <f t="shared" si="743"/>
        <v>0.47712418300653597</v>
      </c>
      <c r="BA297" s="580">
        <f t="shared" si="743"/>
        <v>0.4946980175195943</v>
      </c>
      <c r="BB297" s="580">
        <f t="shared" si="743"/>
        <v>0.49852175137265942</v>
      </c>
      <c r="BC297" s="580">
        <f t="shared" si="743"/>
        <v>0.50255135418029573</v>
      </c>
      <c r="BD297" s="1147">
        <f t="shared" si="743"/>
        <v>0.49420376012484207</v>
      </c>
      <c r="BE297" s="580">
        <f t="shared" si="743"/>
        <v>0.49879343629343631</v>
      </c>
      <c r="BF297" s="580">
        <f t="shared" si="743"/>
        <v>0.22687947494033414</v>
      </c>
      <c r="BG297" s="580">
        <f t="shared" si="743"/>
        <v>0.29691451694486598</v>
      </c>
      <c r="BH297" s="580">
        <f t="shared" si="743"/>
        <v>0.40786646835233847</v>
      </c>
      <c r="BI297" s="1147">
        <f t="shared" si="743"/>
        <v>0.36642692963594575</v>
      </c>
      <c r="BJ297" s="580">
        <f t="shared" si="743"/>
        <v>0.45258620689655171</v>
      </c>
      <c r="BK297" s="580">
        <f t="shared" si="743"/>
        <v>0.59191530317613095</v>
      </c>
      <c r="BL297" s="580">
        <f t="shared" si="743"/>
        <v>0.65038631346578368</v>
      </c>
      <c r="BM297" s="580">
        <f t="shared" si="743"/>
        <v>0.67832420938334159</v>
      </c>
      <c r="BN297" s="1147">
        <f t="shared" si="743"/>
        <v>0.62420800367683271</v>
      </c>
      <c r="BO297" s="580">
        <f t="shared" ref="BO297:BS297" si="744">BO400/BO370</f>
        <v>0.70365535248041777</v>
      </c>
      <c r="BP297" s="580">
        <f t="shared" si="744"/>
        <v>0.67323568575233028</v>
      </c>
      <c r="BQ297" s="580">
        <f t="shared" si="744"/>
        <v>0.67285217490450944</v>
      </c>
      <c r="BR297" s="580">
        <f t="shared" si="744"/>
        <v>0.65861534158806034</v>
      </c>
      <c r="BS297" s="1147">
        <f t="shared" si="744"/>
        <v>0.6748047847843246</v>
      </c>
      <c r="BT297" s="580">
        <f t="shared" ref="BT297:CK297" si="745">BT400/BT370</f>
        <v>0.5384912169216105</v>
      </c>
      <c r="BU297" s="580">
        <f t="shared" si="745"/>
        <v>0.65780972552039874</v>
      </c>
      <c r="BV297" s="580">
        <f t="shared" si="745"/>
        <v>0.67373609795460132</v>
      </c>
      <c r="BW297" s="580">
        <f t="shared" si="745"/>
        <v>0.68654131254862238</v>
      </c>
      <c r="BX297" s="1147">
        <f t="shared" si="745"/>
        <v>0.64673656327279128</v>
      </c>
      <c r="BY297" s="903">
        <f>BY400/BY370</f>
        <v>0.66835753231636341</v>
      </c>
      <c r="BZ297" s="580">
        <f t="shared" si="745"/>
        <v>0.66671485300942956</v>
      </c>
      <c r="CA297" s="580">
        <f t="shared" si="745"/>
        <v>0.68063117528950734</v>
      </c>
      <c r="CB297" s="580">
        <f t="shared" si="745"/>
        <v>0.69448777830692843</v>
      </c>
      <c r="CC297" s="1147">
        <f t="shared" si="745"/>
        <v>0.67793729358487487</v>
      </c>
      <c r="CD297" s="580">
        <f t="shared" si="745"/>
        <v>0.66555989066879973</v>
      </c>
      <c r="CE297" s="580">
        <f t="shared" si="745"/>
        <v>0.66382469536584965</v>
      </c>
      <c r="CF297" s="580">
        <f t="shared" si="745"/>
        <v>0.67807245329308286</v>
      </c>
      <c r="CG297" s="580">
        <f t="shared" si="745"/>
        <v>0.69176275419734312</v>
      </c>
      <c r="CH297" s="1147">
        <f t="shared" si="745"/>
        <v>0.67499981482015048</v>
      </c>
      <c r="CI297" s="1147">
        <f t="shared" si="745"/>
        <v>0.67409942389054267</v>
      </c>
      <c r="CJ297" s="1147">
        <f t="shared" si="745"/>
        <v>0.67340410862292754</v>
      </c>
      <c r="CK297" s="1147">
        <f t="shared" si="745"/>
        <v>0.67307932067119924</v>
      </c>
      <c r="CL297" s="25"/>
    </row>
    <row r="298" spans="1:90" collapsed="1" x14ac:dyDescent="0.3">
      <c r="A298" s="581"/>
      <c r="B298" s="85"/>
      <c r="C298" s="1146"/>
      <c r="D298" s="1146"/>
      <c r="E298" s="1146"/>
      <c r="F298" s="1146"/>
      <c r="G298" s="580"/>
      <c r="H298" s="580"/>
      <c r="I298" s="580"/>
      <c r="J298" s="580"/>
      <c r="K298" s="1146"/>
      <c r="L298" s="580"/>
      <c r="M298" s="580"/>
      <c r="N298" s="580"/>
      <c r="O298" s="580"/>
      <c r="P298" s="1146"/>
      <c r="Q298" s="580"/>
      <c r="R298" s="580"/>
      <c r="S298" s="580"/>
      <c r="T298" s="580"/>
      <c r="U298" s="1146"/>
      <c r="V298" s="580"/>
      <c r="W298" s="580"/>
      <c r="X298" s="580"/>
      <c r="Y298" s="580"/>
      <c r="Z298" s="1147"/>
      <c r="AA298" s="580"/>
      <c r="AB298" s="580"/>
      <c r="AC298" s="580"/>
      <c r="AD298" s="580"/>
      <c r="AE298" s="1147"/>
      <c r="AF298" s="580"/>
      <c r="AG298" s="580"/>
      <c r="AH298" s="580"/>
      <c r="AI298" s="580"/>
      <c r="AJ298" s="1147"/>
      <c r="AK298" s="580"/>
      <c r="AL298" s="580"/>
      <c r="AM298" s="580"/>
      <c r="AN298" s="580"/>
      <c r="AO298" s="1147"/>
      <c r="AP298" s="580"/>
      <c r="AQ298" s="580"/>
      <c r="AR298" s="580"/>
      <c r="AS298" s="580"/>
      <c r="AT298" s="1147"/>
      <c r="AU298" s="580"/>
      <c r="AV298" s="580"/>
      <c r="AW298" s="580"/>
      <c r="AX298" s="580"/>
      <c r="AY298" s="1147"/>
      <c r="AZ298" s="580"/>
      <c r="BA298" s="580"/>
      <c r="BB298" s="580"/>
      <c r="BC298" s="580"/>
      <c r="BD298" s="1147"/>
      <c r="BE298" s="580"/>
      <c r="BF298" s="580"/>
      <c r="BG298" s="580"/>
      <c r="BH298" s="580"/>
      <c r="BI298" s="1147"/>
      <c r="BJ298" s="580"/>
      <c r="BK298" s="580"/>
      <c r="BL298" s="580"/>
      <c r="BM298" s="580"/>
      <c r="BN298" s="1147"/>
      <c r="BO298" s="580"/>
      <c r="BP298" s="580"/>
      <c r="BQ298" s="580"/>
      <c r="BR298" s="580"/>
      <c r="BS298" s="1147"/>
      <c r="BT298" s="580"/>
      <c r="BU298" s="580"/>
      <c r="BV298" s="580"/>
      <c r="BW298" s="580"/>
      <c r="BX298" s="1147"/>
      <c r="BY298" s="903"/>
      <c r="BZ298" s="580"/>
      <c r="CA298" s="580"/>
      <c r="CB298" s="580"/>
      <c r="CC298" s="1147"/>
      <c r="CD298" s="580"/>
      <c r="CE298" s="580"/>
      <c r="CF298" s="580"/>
      <c r="CG298" s="580"/>
      <c r="CH298" s="1147"/>
      <c r="CI298" s="1147"/>
      <c r="CJ298" s="1147"/>
      <c r="CK298" s="1147"/>
      <c r="CL298" s="155"/>
    </row>
    <row r="299" spans="1:90" x14ac:dyDescent="0.3">
      <c r="A299" s="45" t="s">
        <v>558</v>
      </c>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45"/>
      <c r="BJ299" s="45"/>
      <c r="BK299" s="45"/>
      <c r="BL299" s="45"/>
      <c r="BM299" s="45"/>
      <c r="BN299" s="45"/>
      <c r="BO299" s="45"/>
      <c r="BP299" s="45"/>
      <c r="BQ299" s="45"/>
      <c r="BR299" s="45"/>
      <c r="BS299" s="45"/>
      <c r="BT299" s="45"/>
      <c r="BU299" s="45"/>
      <c r="BV299" s="45"/>
      <c r="BW299" s="45"/>
      <c r="BX299" s="45"/>
      <c r="BY299" s="881"/>
      <c r="BZ299" s="45"/>
      <c r="CA299" s="45"/>
      <c r="CB299" s="45"/>
      <c r="CC299" s="45"/>
      <c r="CD299" s="45"/>
      <c r="CE299" s="45"/>
      <c r="CF299" s="45"/>
      <c r="CG299" s="45"/>
      <c r="CH299" s="45"/>
      <c r="CI299" s="45"/>
      <c r="CJ299" s="45"/>
      <c r="CK299" s="45"/>
      <c r="CL299" s="155"/>
    </row>
    <row r="300" spans="1:90" hidden="1" outlineLevel="1" x14ac:dyDescent="0.3">
      <c r="A300" s="62" t="s">
        <v>45</v>
      </c>
      <c r="B300" s="279"/>
      <c r="C300" s="1150">
        <v>3424.8589999999999</v>
      </c>
      <c r="D300" s="1150">
        <v>3326.4450000000002</v>
      </c>
      <c r="E300" s="1150">
        <v>3543.3090000000002</v>
      </c>
      <c r="F300" s="1150">
        <v>3997.93</v>
      </c>
      <c r="G300" s="1064">
        <v>924.87699999999995</v>
      </c>
      <c r="H300" s="1064">
        <v>1044.27</v>
      </c>
      <c r="I300" s="1064">
        <v>1204.1099999999999</v>
      </c>
      <c r="J300" s="28">
        <f>K300-G300-H300-I300</f>
        <v>1106.9019999999998</v>
      </c>
      <c r="K300" s="1150">
        <v>4280.1589999999997</v>
      </c>
      <c r="L300" s="1064">
        <v>954.73900000000003</v>
      </c>
      <c r="M300" s="1064">
        <v>977.23800000000006</v>
      </c>
      <c r="N300" s="1064">
        <v>1053.9670000000001</v>
      </c>
      <c r="O300" s="28">
        <f>P300-L300-M300-N300</f>
        <v>1144.2180000000003</v>
      </c>
      <c r="P300" s="1150">
        <v>4130.1620000000003</v>
      </c>
      <c r="Q300" s="1064">
        <v>1103</v>
      </c>
      <c r="R300" s="1064">
        <v>1103</v>
      </c>
      <c r="S300" s="1064">
        <v>1225</v>
      </c>
      <c r="T300" s="28">
        <f>U300-Q300-R300-S300</f>
        <v>1251</v>
      </c>
      <c r="U300" s="1150">
        <v>4682</v>
      </c>
      <c r="V300" s="1064">
        <v>1151</v>
      </c>
      <c r="W300" s="1064">
        <v>1153</v>
      </c>
      <c r="X300" s="1064">
        <v>1305</v>
      </c>
      <c r="Y300" s="1064">
        <v>1401</v>
      </c>
      <c r="Z300" s="1150">
        <v>5010</v>
      </c>
      <c r="AA300" s="1064">
        <v>1305</v>
      </c>
      <c r="AB300" s="1064">
        <v>1428</v>
      </c>
      <c r="AC300" s="1064">
        <v>2004</v>
      </c>
      <c r="AD300" s="1064">
        <v>2173</v>
      </c>
      <c r="AE300" s="1150">
        <v>6910</v>
      </c>
      <c r="AF300" s="1064">
        <v>1937</v>
      </c>
      <c r="AG300" s="1064">
        <v>2230</v>
      </c>
      <c r="AH300" s="1064">
        <v>2636</v>
      </c>
      <c r="AI300" s="1064">
        <v>2911</v>
      </c>
      <c r="AJ300" s="1150">
        <v>9714</v>
      </c>
      <c r="AK300" s="1064">
        <v>3207</v>
      </c>
      <c r="AL300" s="1064">
        <v>3123</v>
      </c>
      <c r="AM300" s="1064">
        <v>3181</v>
      </c>
      <c r="AN300" s="1064">
        <v>2205</v>
      </c>
      <c r="AO300" s="1150">
        <v>11716</v>
      </c>
      <c r="AP300" s="1064">
        <v>2220</v>
      </c>
      <c r="AQ300" s="1064">
        <v>2579</v>
      </c>
      <c r="AR300" s="1064">
        <v>3014</v>
      </c>
      <c r="AS300" s="1064">
        <v>3105</v>
      </c>
      <c r="AT300" s="1150">
        <v>10918</v>
      </c>
      <c r="AU300" s="1064">
        <v>3080</v>
      </c>
      <c r="AV300" s="1064">
        <v>3866</v>
      </c>
      <c r="AW300" s="1064">
        <v>4726</v>
      </c>
      <c r="AX300" s="1064">
        <v>5003</v>
      </c>
      <c r="AY300" s="1150">
        <v>16675</v>
      </c>
      <c r="AZ300" s="1064">
        <v>5661</v>
      </c>
      <c r="BA300" s="1064">
        <v>6507</v>
      </c>
      <c r="BB300" s="1064">
        <v>7103</v>
      </c>
      <c r="BC300" s="1064">
        <v>7643</v>
      </c>
      <c r="BD300" s="1150">
        <v>26914</v>
      </c>
      <c r="BE300" s="1064">
        <v>8288</v>
      </c>
      <c r="BF300" s="1064">
        <v>6704</v>
      </c>
      <c r="BG300" s="1064">
        <v>5931</v>
      </c>
      <c r="BH300" s="28">
        <f>BI300-SUM(BE300,BF300,BG300)</f>
        <v>6051</v>
      </c>
      <c r="BI300" s="1150">
        <v>26974</v>
      </c>
      <c r="BJ300" s="1064">
        <v>7192</v>
      </c>
      <c r="BK300" s="1064">
        <v>13507</v>
      </c>
      <c r="BL300" s="1064">
        <v>18120</v>
      </c>
      <c r="BM300" s="28">
        <f>BN300-SUM(BJ300,BK300,BL300)</f>
        <v>22103</v>
      </c>
      <c r="BN300" s="1150">
        <v>60922</v>
      </c>
      <c r="BO300" s="1064">
        <v>26044</v>
      </c>
      <c r="BP300" s="1064">
        <v>30040</v>
      </c>
      <c r="BQ300" s="1064">
        <v>35082</v>
      </c>
      <c r="BR300" s="28">
        <f>BS300-SUM(BO300,BP300,BQ300)</f>
        <v>39331</v>
      </c>
      <c r="BS300" s="1150">
        <v>130497</v>
      </c>
      <c r="BT300" s="1064">
        <v>44062</v>
      </c>
      <c r="BU300" s="1064">
        <v>46743</v>
      </c>
      <c r="BV300" s="1064">
        <v>57006</v>
      </c>
      <c r="BW300" s="28">
        <f>BX300-SUM(BT300,BU300,BV300)</f>
        <v>68127</v>
      </c>
      <c r="BX300" s="1150">
        <v>215938</v>
      </c>
      <c r="BY300" s="1071">
        <v>81615</v>
      </c>
      <c r="BZ300" s="63"/>
      <c r="CA300" s="63"/>
      <c r="CB300" s="63"/>
      <c r="CC300" s="1127"/>
      <c r="CD300" s="63"/>
      <c r="CE300" s="63"/>
      <c r="CF300" s="63"/>
      <c r="CG300" s="63"/>
      <c r="CH300" s="1127"/>
      <c r="CI300" s="1127"/>
      <c r="CJ300" s="1127"/>
      <c r="CK300" s="1127"/>
      <c r="CL300" s="155"/>
    </row>
    <row r="301" spans="1:90" hidden="1" outlineLevel="1" x14ac:dyDescent="0.3">
      <c r="A301" s="67" t="s">
        <v>46</v>
      </c>
      <c r="B301" s="146"/>
      <c r="C301" s="1113">
        <v>2250.59</v>
      </c>
      <c r="D301" s="1113">
        <v>2149.5219999999999</v>
      </c>
      <c r="E301" s="1113">
        <v>2134.2190000000001</v>
      </c>
      <c r="F301" s="1113">
        <v>1941.413</v>
      </c>
      <c r="G301" s="1055">
        <v>461.51299999999998</v>
      </c>
      <c r="H301" s="1055">
        <v>503.55099999999999</v>
      </c>
      <c r="I301" s="1055">
        <v>567.452</v>
      </c>
      <c r="J301" s="27">
        <f>K301-G301-H301-I301</f>
        <v>521.29999999999995</v>
      </c>
      <c r="K301" s="1113">
        <v>2053.8159999999998</v>
      </c>
      <c r="L301" s="1055">
        <v>436.17099999999999</v>
      </c>
      <c r="M301" s="1055">
        <v>431.7</v>
      </c>
      <c r="N301" s="1055">
        <v>469.55200000000002</v>
      </c>
      <c r="O301" s="27">
        <f>P301-L301-M301-N301</f>
        <v>524.97599999999977</v>
      </c>
      <c r="P301" s="1113">
        <v>1862.3989999999999</v>
      </c>
      <c r="Q301" s="1055">
        <v>499</v>
      </c>
      <c r="R301" s="1055">
        <v>484</v>
      </c>
      <c r="S301" s="1055">
        <v>549</v>
      </c>
      <c r="T301" s="27">
        <f>U301-Q301-R301-S301</f>
        <v>551</v>
      </c>
      <c r="U301" s="1113">
        <v>2083</v>
      </c>
      <c r="V301" s="1055">
        <v>498</v>
      </c>
      <c r="W301" s="1055">
        <v>519</v>
      </c>
      <c r="X301" s="1055">
        <v>571</v>
      </c>
      <c r="Y301" s="1055">
        <v>610</v>
      </c>
      <c r="Z301" s="1113">
        <v>2199</v>
      </c>
      <c r="AA301" s="1055">
        <v>554</v>
      </c>
      <c r="AB301" s="1055">
        <v>602</v>
      </c>
      <c r="AC301" s="1055">
        <v>821</v>
      </c>
      <c r="AD301" s="1055">
        <v>870</v>
      </c>
      <c r="AE301" s="1113">
        <v>2847</v>
      </c>
      <c r="AF301" s="1055">
        <v>787</v>
      </c>
      <c r="AG301" s="1055">
        <v>928</v>
      </c>
      <c r="AH301" s="1055">
        <v>1067</v>
      </c>
      <c r="AI301" s="1055">
        <v>1110</v>
      </c>
      <c r="AJ301" s="1113">
        <v>3892</v>
      </c>
      <c r="AK301" s="1055">
        <v>1139</v>
      </c>
      <c r="AL301" s="1055">
        <v>1148</v>
      </c>
      <c r="AM301" s="1055">
        <v>1260</v>
      </c>
      <c r="AN301" s="1055">
        <v>998</v>
      </c>
      <c r="AO301" s="1113">
        <v>4545</v>
      </c>
      <c r="AP301" s="1062">
        <v>924</v>
      </c>
      <c r="AQ301" s="1055">
        <v>1038</v>
      </c>
      <c r="AR301" s="1055">
        <v>1098</v>
      </c>
      <c r="AS301" s="1055">
        <v>1090</v>
      </c>
      <c r="AT301" s="1113">
        <v>4150</v>
      </c>
      <c r="AU301" s="1062">
        <v>1076</v>
      </c>
      <c r="AV301" s="1055">
        <v>1591</v>
      </c>
      <c r="AW301" s="1055">
        <v>1766</v>
      </c>
      <c r="AX301" s="1055">
        <v>1846</v>
      </c>
      <c r="AY301" s="1113">
        <v>6279</v>
      </c>
      <c r="AZ301" s="1062">
        <v>2032</v>
      </c>
      <c r="BA301" s="1055">
        <v>2292</v>
      </c>
      <c r="BB301" s="1055">
        <v>2472</v>
      </c>
      <c r="BC301" s="1055">
        <v>2644</v>
      </c>
      <c r="BD301" s="1113">
        <v>9439</v>
      </c>
      <c r="BE301" s="1062">
        <v>2857</v>
      </c>
      <c r="BF301" s="1055">
        <v>3789</v>
      </c>
      <c r="BG301" s="1055">
        <v>2754</v>
      </c>
      <c r="BH301" s="27">
        <f>BI301-SUM(BE301,BF301,BG301)</f>
        <v>2218</v>
      </c>
      <c r="BI301" s="1113">
        <v>11618</v>
      </c>
      <c r="BJ301" s="1062">
        <v>2544</v>
      </c>
      <c r="BK301" s="1055">
        <v>4045</v>
      </c>
      <c r="BL301" s="1055">
        <v>4720</v>
      </c>
      <c r="BM301" s="27">
        <f>BN301-SUM(BJ301,BK301,BL301)</f>
        <v>5312</v>
      </c>
      <c r="BN301" s="1113">
        <v>16621</v>
      </c>
      <c r="BO301" s="1062">
        <v>5638</v>
      </c>
      <c r="BP301" s="1055">
        <v>7466</v>
      </c>
      <c r="BQ301" s="1055">
        <v>8926</v>
      </c>
      <c r="BR301" s="1055">
        <v>10608</v>
      </c>
      <c r="BS301" s="1113">
        <v>32639</v>
      </c>
      <c r="BT301" s="1062">
        <v>17394</v>
      </c>
      <c r="BU301" s="1055">
        <v>12890</v>
      </c>
      <c r="BV301" s="1055">
        <v>15157</v>
      </c>
      <c r="BW301" s="1055">
        <v>17034</v>
      </c>
      <c r="BX301" s="1113">
        <v>62475</v>
      </c>
      <c r="BY301" s="1063">
        <v>20458</v>
      </c>
      <c r="BZ301" s="68"/>
      <c r="CA301" s="68"/>
      <c r="CB301" s="68"/>
      <c r="CC301" s="1112"/>
      <c r="CD301" s="68"/>
      <c r="CE301" s="68"/>
      <c r="CF301" s="68"/>
      <c r="CG301" s="68"/>
      <c r="CH301" s="1112"/>
      <c r="CI301" s="1112"/>
      <c r="CJ301" s="1112"/>
      <c r="CK301" s="1112"/>
      <c r="CL301" s="155"/>
    </row>
    <row r="302" spans="1:90" hidden="1" outlineLevel="1" x14ac:dyDescent="0.3">
      <c r="A302" s="59" t="s">
        <v>47</v>
      </c>
      <c r="B302" s="607"/>
      <c r="C302" s="1125">
        <f t="shared" ref="C302:AH302" si="746">C300-C301</f>
        <v>1174.2689999999998</v>
      </c>
      <c r="D302" s="1125">
        <f t="shared" si="746"/>
        <v>1176.9230000000002</v>
      </c>
      <c r="E302" s="1125">
        <f t="shared" si="746"/>
        <v>1409.0900000000001</v>
      </c>
      <c r="F302" s="1125">
        <f t="shared" si="746"/>
        <v>2056.5169999999998</v>
      </c>
      <c r="G302" s="60">
        <f t="shared" si="746"/>
        <v>463.36399999999998</v>
      </c>
      <c r="H302" s="60">
        <f t="shared" si="746"/>
        <v>540.71900000000005</v>
      </c>
      <c r="I302" s="60">
        <f t="shared" si="746"/>
        <v>636.6579999999999</v>
      </c>
      <c r="J302" s="60">
        <f t="shared" si="746"/>
        <v>585.60199999999986</v>
      </c>
      <c r="K302" s="1125">
        <f t="shared" si="746"/>
        <v>2226.3429999999998</v>
      </c>
      <c r="L302" s="60">
        <f t="shared" si="746"/>
        <v>518.56799999999998</v>
      </c>
      <c r="M302" s="60">
        <f t="shared" si="746"/>
        <v>545.53800000000001</v>
      </c>
      <c r="N302" s="60">
        <f t="shared" si="746"/>
        <v>584.41500000000008</v>
      </c>
      <c r="O302" s="60">
        <f t="shared" si="746"/>
        <v>619.24200000000053</v>
      </c>
      <c r="P302" s="1125">
        <f t="shared" si="746"/>
        <v>2267.7630000000004</v>
      </c>
      <c r="Q302" s="60">
        <f t="shared" si="746"/>
        <v>604</v>
      </c>
      <c r="R302" s="60">
        <f t="shared" si="746"/>
        <v>619</v>
      </c>
      <c r="S302" s="60">
        <f t="shared" si="746"/>
        <v>676</v>
      </c>
      <c r="T302" s="60">
        <f t="shared" si="746"/>
        <v>700</v>
      </c>
      <c r="U302" s="1125">
        <f t="shared" si="746"/>
        <v>2599</v>
      </c>
      <c r="V302" s="60">
        <f t="shared" si="746"/>
        <v>653</v>
      </c>
      <c r="W302" s="60">
        <f t="shared" si="746"/>
        <v>634</v>
      </c>
      <c r="X302" s="60">
        <f t="shared" si="746"/>
        <v>734</v>
      </c>
      <c r="Y302" s="60">
        <f t="shared" si="746"/>
        <v>791</v>
      </c>
      <c r="Z302" s="1125">
        <f t="shared" si="746"/>
        <v>2811</v>
      </c>
      <c r="AA302" s="60">
        <f t="shared" si="746"/>
        <v>751</v>
      </c>
      <c r="AB302" s="60">
        <f t="shared" si="746"/>
        <v>826</v>
      </c>
      <c r="AC302" s="61">
        <f t="shared" si="746"/>
        <v>1183</v>
      </c>
      <c r="AD302" s="61">
        <f t="shared" si="746"/>
        <v>1303</v>
      </c>
      <c r="AE302" s="1124">
        <f t="shared" si="746"/>
        <v>4063</v>
      </c>
      <c r="AF302" s="61">
        <f t="shared" si="746"/>
        <v>1150</v>
      </c>
      <c r="AG302" s="60">
        <f t="shared" si="746"/>
        <v>1302</v>
      </c>
      <c r="AH302" s="60">
        <f t="shared" si="746"/>
        <v>1569</v>
      </c>
      <c r="AI302" s="61">
        <f t="shared" ref="AI302:AV302" si="747">AI300-AI301</f>
        <v>1801</v>
      </c>
      <c r="AJ302" s="1124">
        <f t="shared" si="747"/>
        <v>5822</v>
      </c>
      <c r="AK302" s="60">
        <f t="shared" si="747"/>
        <v>2068</v>
      </c>
      <c r="AL302" s="60">
        <f t="shared" si="747"/>
        <v>1975</v>
      </c>
      <c r="AM302" s="60">
        <f t="shared" si="747"/>
        <v>1921</v>
      </c>
      <c r="AN302" s="61">
        <f t="shared" si="747"/>
        <v>1207</v>
      </c>
      <c r="AO302" s="1124">
        <f t="shared" si="747"/>
        <v>7171</v>
      </c>
      <c r="AP302" s="60">
        <f t="shared" si="747"/>
        <v>1296</v>
      </c>
      <c r="AQ302" s="60">
        <f t="shared" si="747"/>
        <v>1541</v>
      </c>
      <c r="AR302" s="60">
        <f t="shared" si="747"/>
        <v>1916</v>
      </c>
      <c r="AS302" s="61">
        <f t="shared" si="747"/>
        <v>2015</v>
      </c>
      <c r="AT302" s="1124">
        <f t="shared" si="747"/>
        <v>6768</v>
      </c>
      <c r="AU302" s="60">
        <f t="shared" si="747"/>
        <v>2004</v>
      </c>
      <c r="AV302" s="60">
        <f t="shared" si="747"/>
        <v>2275</v>
      </c>
      <c r="AW302" s="60">
        <f t="shared" ref="AW302:BB302" si="748">AW300-AW301</f>
        <v>2960</v>
      </c>
      <c r="AX302" s="61">
        <f t="shared" si="748"/>
        <v>3157</v>
      </c>
      <c r="AY302" s="1124">
        <f t="shared" si="748"/>
        <v>10396</v>
      </c>
      <c r="AZ302" s="60">
        <f t="shared" si="748"/>
        <v>3629</v>
      </c>
      <c r="BA302" s="60">
        <f t="shared" si="748"/>
        <v>4215</v>
      </c>
      <c r="BB302" s="60">
        <f t="shared" si="748"/>
        <v>4631</v>
      </c>
      <c r="BC302" s="61">
        <f t="shared" ref="BC302:BD302" si="749">BC300-BC301</f>
        <v>4999</v>
      </c>
      <c r="BD302" s="1124">
        <f t="shared" si="749"/>
        <v>17475</v>
      </c>
      <c r="BE302" s="60">
        <f t="shared" ref="BE302:BI302" si="750">BE300-BE301</f>
        <v>5431</v>
      </c>
      <c r="BF302" s="60">
        <f t="shared" si="750"/>
        <v>2915</v>
      </c>
      <c r="BG302" s="60">
        <f t="shared" si="750"/>
        <v>3177</v>
      </c>
      <c r="BH302" s="61">
        <f t="shared" si="750"/>
        <v>3833</v>
      </c>
      <c r="BI302" s="1124">
        <f t="shared" si="750"/>
        <v>15356</v>
      </c>
      <c r="BJ302" s="60">
        <f t="shared" ref="BJ302:BO302" si="751">BJ300-BJ301</f>
        <v>4648</v>
      </c>
      <c r="BK302" s="60">
        <f t="shared" si="751"/>
        <v>9462</v>
      </c>
      <c r="BL302" s="60">
        <f t="shared" si="751"/>
        <v>13400</v>
      </c>
      <c r="BM302" s="61">
        <f t="shared" si="751"/>
        <v>16791</v>
      </c>
      <c r="BN302" s="1124">
        <f t="shared" si="751"/>
        <v>44301</v>
      </c>
      <c r="BO302" s="60">
        <f t="shared" si="751"/>
        <v>20406</v>
      </c>
      <c r="BP302" s="60">
        <f t="shared" ref="BP302:BU302" si="752">BP300-BP301</f>
        <v>22574</v>
      </c>
      <c r="BQ302" s="60">
        <f t="shared" si="752"/>
        <v>26156</v>
      </c>
      <c r="BR302" s="61">
        <f t="shared" si="752"/>
        <v>28723</v>
      </c>
      <c r="BS302" s="1124">
        <f t="shared" si="752"/>
        <v>97858</v>
      </c>
      <c r="BT302" s="60">
        <f t="shared" si="752"/>
        <v>26668</v>
      </c>
      <c r="BU302" s="60">
        <f t="shared" si="752"/>
        <v>33853</v>
      </c>
      <c r="BV302" s="60">
        <f>BV300-BV301</f>
        <v>41849</v>
      </c>
      <c r="BW302" s="61">
        <f>BW300-BW301</f>
        <v>51093</v>
      </c>
      <c r="BX302" s="1124">
        <f>BX300-BX301</f>
        <v>153463</v>
      </c>
      <c r="BY302" s="895">
        <f>BY300-BY301</f>
        <v>61157</v>
      </c>
      <c r="BZ302" s="61"/>
      <c r="CA302" s="61"/>
      <c r="CB302" s="61"/>
      <c r="CC302" s="1124"/>
      <c r="CD302" s="61"/>
      <c r="CE302" s="61"/>
      <c r="CF302" s="61"/>
      <c r="CG302" s="61"/>
      <c r="CH302" s="1124"/>
      <c r="CI302" s="1124"/>
      <c r="CJ302" s="1124"/>
      <c r="CK302" s="1124"/>
      <c r="CL302" s="155"/>
    </row>
    <row r="303" spans="1:90" hidden="1" outlineLevel="1" x14ac:dyDescent="0.3">
      <c r="A303" s="67" t="s">
        <v>48</v>
      </c>
      <c r="B303" s="146"/>
      <c r="C303" s="1113">
        <v>855.87900000000002</v>
      </c>
      <c r="D303" s="1113">
        <v>908.851</v>
      </c>
      <c r="E303" s="1113">
        <v>848.83</v>
      </c>
      <c r="F303" s="1113">
        <v>1002.605</v>
      </c>
      <c r="G303" s="1055">
        <v>283.90199999999999</v>
      </c>
      <c r="H303" s="1055">
        <v>281.19299999999998</v>
      </c>
      <c r="I303" s="1055">
        <v>284.18</v>
      </c>
      <c r="J303" s="27">
        <f>K303-G303-H303-I303</f>
        <v>298.00699999999989</v>
      </c>
      <c r="K303" s="1113">
        <v>1147.2819999999999</v>
      </c>
      <c r="L303" s="1055">
        <v>327.161</v>
      </c>
      <c r="M303" s="1055">
        <v>331.738</v>
      </c>
      <c r="N303" s="1055">
        <v>340.29399999999998</v>
      </c>
      <c r="O303" s="27">
        <f>P303-L303-M303-N303</f>
        <v>336.64099999999996</v>
      </c>
      <c r="P303" s="1113">
        <v>1335.8340000000001</v>
      </c>
      <c r="Q303" s="1055">
        <v>334</v>
      </c>
      <c r="R303" s="1055">
        <v>337</v>
      </c>
      <c r="S303" s="1055">
        <v>340</v>
      </c>
      <c r="T303" s="27">
        <f>U303-Q303-R303-S303</f>
        <v>349</v>
      </c>
      <c r="U303" s="1113">
        <v>1360</v>
      </c>
      <c r="V303" s="1055">
        <v>339</v>
      </c>
      <c r="W303" s="1055">
        <v>320</v>
      </c>
      <c r="X303" s="1055">
        <v>329</v>
      </c>
      <c r="Y303" s="1055">
        <v>344</v>
      </c>
      <c r="Z303" s="1113">
        <v>1331</v>
      </c>
      <c r="AA303" s="1055">
        <v>346</v>
      </c>
      <c r="AB303" s="1055">
        <v>350</v>
      </c>
      <c r="AC303" s="1055">
        <v>373</v>
      </c>
      <c r="AD303" s="1055">
        <v>394</v>
      </c>
      <c r="AE303" s="1113">
        <v>1463</v>
      </c>
      <c r="AF303" s="1055">
        <v>411</v>
      </c>
      <c r="AG303" s="1055">
        <v>416</v>
      </c>
      <c r="AH303" s="1055">
        <v>462</v>
      </c>
      <c r="AI303" s="1055">
        <v>508</v>
      </c>
      <c r="AJ303" s="1113">
        <v>1797</v>
      </c>
      <c r="AK303" s="1055">
        <v>542</v>
      </c>
      <c r="AL303" s="1055">
        <v>581</v>
      </c>
      <c r="AM303" s="1055">
        <v>605</v>
      </c>
      <c r="AN303" s="1055">
        <v>647</v>
      </c>
      <c r="AO303" s="1113">
        <v>2376</v>
      </c>
      <c r="AP303" s="1055">
        <v>674</v>
      </c>
      <c r="AQ303" s="1055">
        <v>704</v>
      </c>
      <c r="AR303" s="1055">
        <v>712</v>
      </c>
      <c r="AS303" s="1055">
        <v>738</v>
      </c>
      <c r="AT303" s="1113">
        <v>2829</v>
      </c>
      <c r="AU303" s="1055">
        <v>735</v>
      </c>
      <c r="AV303" s="1055">
        <v>997</v>
      </c>
      <c r="AW303" s="1055">
        <v>1047</v>
      </c>
      <c r="AX303" s="1055">
        <v>1147</v>
      </c>
      <c r="AY303" s="1113">
        <v>3924</v>
      </c>
      <c r="AZ303" s="1055">
        <v>1153</v>
      </c>
      <c r="BA303" s="1055">
        <v>1245</v>
      </c>
      <c r="BB303" s="1055">
        <v>1403</v>
      </c>
      <c r="BC303" s="1055">
        <v>1466</v>
      </c>
      <c r="BD303" s="1113">
        <v>5268</v>
      </c>
      <c r="BE303" s="1055">
        <v>1618</v>
      </c>
      <c r="BF303" s="1055">
        <v>1824</v>
      </c>
      <c r="BG303" s="1055">
        <v>1945</v>
      </c>
      <c r="BH303" s="1055">
        <v>1951</v>
      </c>
      <c r="BI303" s="1113">
        <v>7339</v>
      </c>
      <c r="BJ303" s="1055">
        <v>1875</v>
      </c>
      <c r="BK303" s="1055">
        <v>2040</v>
      </c>
      <c r="BL303" s="1055">
        <v>2294</v>
      </c>
      <c r="BM303" s="1055">
        <v>2465</v>
      </c>
      <c r="BN303" s="1113">
        <v>8675</v>
      </c>
      <c r="BO303" s="1055">
        <v>2720</v>
      </c>
      <c r="BP303" s="1055">
        <v>3090</v>
      </c>
      <c r="BQ303" s="1055">
        <v>3390</v>
      </c>
      <c r="BR303" s="1055">
        <v>3714</v>
      </c>
      <c r="BS303" s="1113">
        <v>12914</v>
      </c>
      <c r="BT303" s="1055">
        <v>3989</v>
      </c>
      <c r="BU303" s="1055">
        <v>4291</v>
      </c>
      <c r="BV303" s="1055">
        <v>4705</v>
      </c>
      <c r="BW303" s="1055">
        <v>5512</v>
      </c>
      <c r="BX303" s="1113">
        <v>18497</v>
      </c>
      <c r="BY303" s="1057">
        <v>6321</v>
      </c>
      <c r="BZ303" s="68"/>
      <c r="CA303" s="68"/>
      <c r="CB303" s="68"/>
      <c r="CC303" s="1112"/>
      <c r="CD303" s="68"/>
      <c r="CE303" s="68"/>
      <c r="CF303" s="68"/>
      <c r="CG303" s="68"/>
      <c r="CH303" s="1112"/>
      <c r="CI303" s="1112"/>
      <c r="CJ303" s="1112"/>
      <c r="CK303" s="1112"/>
      <c r="CL303" s="155"/>
    </row>
    <row r="304" spans="1:90" hidden="1" outlineLevel="1" x14ac:dyDescent="0.3">
      <c r="A304" s="67" t="s">
        <v>49</v>
      </c>
      <c r="B304" s="146"/>
      <c r="C304" s="1113">
        <v>362.22199999999998</v>
      </c>
      <c r="D304" s="1113">
        <v>367.017</v>
      </c>
      <c r="E304" s="1113">
        <v>361.51299999999998</v>
      </c>
      <c r="F304" s="1113">
        <v>405.613</v>
      </c>
      <c r="G304" s="1055">
        <v>106.636</v>
      </c>
      <c r="H304" s="1055">
        <v>119.90300000000001</v>
      </c>
      <c r="I304" s="1055">
        <v>100.261</v>
      </c>
      <c r="J304" s="27">
        <f>K304-G304-H304-I304</f>
        <v>104.02200000000002</v>
      </c>
      <c r="K304" s="1113">
        <v>430.822</v>
      </c>
      <c r="L304" s="1055">
        <v>108.626</v>
      </c>
      <c r="M304" s="1055">
        <v>108.26600000000001</v>
      </c>
      <c r="N304" s="1055">
        <v>103.133</v>
      </c>
      <c r="O304" s="27">
        <f>P304-L304-M304-N304</f>
        <v>115.67700000000001</v>
      </c>
      <c r="P304" s="1113">
        <v>435.702</v>
      </c>
      <c r="Q304" s="1055">
        <v>119</v>
      </c>
      <c r="R304" s="1055">
        <v>119</v>
      </c>
      <c r="S304" s="1055">
        <v>123</v>
      </c>
      <c r="T304" s="27">
        <f>U304-Q304-R304-S304</f>
        <v>119</v>
      </c>
      <c r="U304" s="1113">
        <v>480</v>
      </c>
      <c r="V304" s="1055">
        <v>138</v>
      </c>
      <c r="W304" s="1055">
        <v>149</v>
      </c>
      <c r="X304" s="1055">
        <v>152</v>
      </c>
      <c r="Y304" s="1055">
        <v>161</v>
      </c>
      <c r="Z304" s="1113">
        <v>602</v>
      </c>
      <c r="AA304" s="1055">
        <v>159</v>
      </c>
      <c r="AB304" s="1055">
        <v>157</v>
      </c>
      <c r="AC304" s="1055">
        <v>171</v>
      </c>
      <c r="AD304" s="1055">
        <v>176</v>
      </c>
      <c r="AE304" s="1113">
        <v>663</v>
      </c>
      <c r="AF304" s="1055">
        <v>185</v>
      </c>
      <c r="AG304" s="1055">
        <v>198</v>
      </c>
      <c r="AH304" s="1055">
        <v>212</v>
      </c>
      <c r="AI304" s="1055">
        <v>220</v>
      </c>
      <c r="AJ304" s="1113">
        <v>815</v>
      </c>
      <c r="AK304" s="1055">
        <v>231</v>
      </c>
      <c r="AL304" s="1055">
        <v>237</v>
      </c>
      <c r="AM304" s="1055">
        <v>258</v>
      </c>
      <c r="AN304" s="1055">
        <v>266</v>
      </c>
      <c r="AO304" s="1113">
        <v>991</v>
      </c>
      <c r="AP304" s="1055">
        <v>264</v>
      </c>
      <c r="AQ304" s="1055">
        <v>266</v>
      </c>
      <c r="AR304" s="1055">
        <v>277</v>
      </c>
      <c r="AS304" s="1055">
        <v>287</v>
      </c>
      <c r="AT304" s="1113">
        <v>1093</v>
      </c>
      <c r="AU304" s="1055">
        <v>293</v>
      </c>
      <c r="AV304" s="1055">
        <v>627</v>
      </c>
      <c r="AW304" s="1055">
        <v>515</v>
      </c>
      <c r="AX304" s="1055">
        <v>503</v>
      </c>
      <c r="AY304" s="1113">
        <v>1940</v>
      </c>
      <c r="AZ304" s="1055">
        <v>520</v>
      </c>
      <c r="BA304" s="1055">
        <v>526</v>
      </c>
      <c r="BB304" s="1055">
        <v>557</v>
      </c>
      <c r="BC304" s="1055">
        <v>563</v>
      </c>
      <c r="BD304" s="1113">
        <v>2166</v>
      </c>
      <c r="BE304" s="1055">
        <v>592</v>
      </c>
      <c r="BF304" s="1055">
        <v>592</v>
      </c>
      <c r="BG304" s="1055">
        <v>631</v>
      </c>
      <c r="BH304" s="27">
        <f>BI304-SUM(BE304,BF304,BG304)</f>
        <v>625</v>
      </c>
      <c r="BI304" s="1113">
        <v>2440</v>
      </c>
      <c r="BJ304" s="1055">
        <v>633</v>
      </c>
      <c r="BK304" s="1055">
        <v>622</v>
      </c>
      <c r="BL304" s="1055">
        <v>689</v>
      </c>
      <c r="BM304" s="1055">
        <v>711</v>
      </c>
      <c r="BN304" s="1113">
        <v>2654</v>
      </c>
      <c r="BO304" s="1055">
        <v>777</v>
      </c>
      <c r="BP304" s="1055">
        <v>842</v>
      </c>
      <c r="BQ304" s="1055">
        <v>897</v>
      </c>
      <c r="BR304" s="1055">
        <v>975</v>
      </c>
      <c r="BS304" s="1113">
        <v>3491</v>
      </c>
      <c r="BT304" s="1055">
        <v>1041</v>
      </c>
      <c r="BU304" s="1055">
        <v>1122</v>
      </c>
      <c r="BV304" s="1055">
        <v>1134</v>
      </c>
      <c r="BW304" s="1055">
        <v>1282</v>
      </c>
      <c r="BX304" s="1113">
        <v>4579</v>
      </c>
      <c r="BY304" s="1057">
        <v>1300</v>
      </c>
      <c r="BZ304" s="68"/>
      <c r="CA304" s="68"/>
      <c r="CB304" s="68"/>
      <c r="CC304" s="1112"/>
      <c r="CD304" s="68"/>
      <c r="CE304" s="68"/>
      <c r="CF304" s="68"/>
      <c r="CG304" s="68"/>
      <c r="CH304" s="1112"/>
      <c r="CI304" s="1112"/>
      <c r="CJ304" s="1112"/>
      <c r="CK304" s="1112"/>
      <c r="CL304" s="155"/>
    </row>
    <row r="305" spans="1:90" hidden="1" outlineLevel="1" x14ac:dyDescent="0.3">
      <c r="A305" s="67" t="s">
        <v>50</v>
      </c>
      <c r="B305" s="146"/>
      <c r="C305" s="1113">
        <v>26.867999999999999</v>
      </c>
      <c r="D305" s="1113">
        <v>0</v>
      </c>
      <c r="E305" s="1113">
        <v>0</v>
      </c>
      <c r="F305" s="1112"/>
      <c r="G305" s="68"/>
      <c r="H305" s="68"/>
      <c r="I305" s="68"/>
      <c r="J305" s="68"/>
      <c r="K305" s="1113">
        <v>0</v>
      </c>
      <c r="L305" s="68"/>
      <c r="M305" s="68"/>
      <c r="N305" s="68"/>
      <c r="O305" s="27">
        <f>P305-L305-M305-N305</f>
        <v>0</v>
      </c>
      <c r="P305" s="1113">
        <v>0</v>
      </c>
      <c r="Q305" s="1055">
        <v>0</v>
      </c>
      <c r="R305" s="1055">
        <v>0</v>
      </c>
      <c r="S305" s="1055">
        <v>0</v>
      </c>
      <c r="T305" s="27">
        <f>U305-Q305-R305-S305</f>
        <v>0</v>
      </c>
      <c r="U305" s="1113">
        <v>0</v>
      </c>
      <c r="V305" s="1055">
        <v>0</v>
      </c>
      <c r="W305" s="1055">
        <v>89</v>
      </c>
      <c r="X305" s="1055">
        <v>8</v>
      </c>
      <c r="Y305" s="1055">
        <v>34</v>
      </c>
      <c r="Z305" s="1113">
        <v>131</v>
      </c>
      <c r="AA305" s="1055">
        <v>1</v>
      </c>
      <c r="AB305" s="1055">
        <v>2</v>
      </c>
      <c r="AC305" s="1055">
        <v>0</v>
      </c>
      <c r="AD305" s="68"/>
      <c r="AE305" s="1113">
        <v>3</v>
      </c>
      <c r="AF305" s="1055">
        <v>0</v>
      </c>
      <c r="AG305" s="68"/>
      <c r="AH305" s="68"/>
      <c r="AI305" s="68"/>
      <c r="AJ305" s="1112"/>
      <c r="AK305" s="68"/>
      <c r="AL305" s="68"/>
      <c r="AM305" s="68"/>
      <c r="AN305" s="68"/>
      <c r="AO305" s="1112"/>
      <c r="AP305" s="68"/>
      <c r="AQ305" s="68"/>
      <c r="AR305" s="68"/>
      <c r="AS305" s="68"/>
      <c r="AT305" s="1112"/>
      <c r="AU305" s="68"/>
      <c r="AV305" s="68"/>
      <c r="AW305" s="68"/>
      <c r="AX305" s="68"/>
      <c r="AY305" s="1112"/>
      <c r="AZ305" s="68"/>
      <c r="BA305" s="68"/>
      <c r="BB305" s="68"/>
      <c r="BC305" s="68"/>
      <c r="BD305" s="1112"/>
      <c r="BE305" s="68"/>
      <c r="BF305" s="68"/>
      <c r="BG305" s="68"/>
      <c r="BH305" s="68"/>
      <c r="BI305" s="1112"/>
      <c r="BJ305" s="68"/>
      <c r="BK305" s="68"/>
      <c r="BL305" s="68"/>
      <c r="BM305" s="68"/>
      <c r="BN305" s="1112"/>
      <c r="BO305" s="68"/>
      <c r="BP305" s="68"/>
      <c r="BQ305" s="68"/>
      <c r="BR305" s="68"/>
      <c r="BS305" s="1112"/>
      <c r="BT305" s="68"/>
      <c r="BU305" s="68"/>
      <c r="BV305" s="68"/>
      <c r="BW305" s="68"/>
      <c r="BX305" s="1112"/>
      <c r="BY305" s="588"/>
      <c r="BZ305" s="68"/>
      <c r="CA305" s="68"/>
      <c r="CB305" s="68"/>
      <c r="CC305" s="1112"/>
      <c r="CD305" s="68"/>
      <c r="CE305" s="68"/>
      <c r="CF305" s="68"/>
      <c r="CG305" s="68"/>
      <c r="CH305" s="1112"/>
      <c r="CI305" s="1112"/>
      <c r="CJ305" s="1112"/>
      <c r="CK305" s="1112"/>
      <c r="CL305" s="155"/>
    </row>
    <row r="306" spans="1:90" hidden="1" outlineLevel="1" x14ac:dyDescent="0.3">
      <c r="A306" s="67" t="s">
        <v>51</v>
      </c>
      <c r="B306" s="146"/>
      <c r="C306" s="1112"/>
      <c r="D306" s="1113">
        <v>0</v>
      </c>
      <c r="E306" s="1113">
        <v>-57</v>
      </c>
      <c r="F306" s="1112"/>
      <c r="G306" s="68"/>
      <c r="H306" s="68"/>
      <c r="I306" s="68"/>
      <c r="J306" s="68"/>
      <c r="K306" s="1112"/>
      <c r="L306" s="68"/>
      <c r="M306" s="68"/>
      <c r="N306" s="68"/>
      <c r="O306" s="27">
        <f>P306-L306-M306-N306</f>
        <v>0</v>
      </c>
      <c r="P306" s="1112"/>
      <c r="Q306" s="68"/>
      <c r="R306" s="68"/>
      <c r="S306" s="68"/>
      <c r="T306" s="27">
        <f>U306-Q306-R306-S306</f>
        <v>0</v>
      </c>
      <c r="U306" s="1112"/>
      <c r="V306" s="68"/>
      <c r="W306" s="68"/>
      <c r="X306" s="68"/>
      <c r="Y306" s="68"/>
      <c r="Z306" s="1112"/>
      <c r="AA306" s="68"/>
      <c r="AB306" s="68"/>
      <c r="AC306" s="68"/>
      <c r="AD306" s="68"/>
      <c r="AE306" s="1112"/>
      <c r="AF306" s="1055">
        <v>0</v>
      </c>
      <c r="AG306" s="68"/>
      <c r="AH306" s="68"/>
      <c r="AI306" s="68"/>
      <c r="AJ306" s="1112"/>
      <c r="AK306" s="68"/>
      <c r="AL306" s="68"/>
      <c r="AM306" s="68"/>
      <c r="AN306" s="68"/>
      <c r="AO306" s="1112"/>
      <c r="AP306" s="68"/>
      <c r="AQ306" s="68"/>
      <c r="AR306" s="68"/>
      <c r="AS306" s="68"/>
      <c r="AT306" s="1112"/>
      <c r="AU306" s="68"/>
      <c r="AV306" s="68"/>
      <c r="AW306" s="68"/>
      <c r="AX306" s="68"/>
      <c r="AY306" s="1112"/>
      <c r="AZ306" s="68"/>
      <c r="BA306" s="68"/>
      <c r="BB306" s="68"/>
      <c r="BC306" s="68"/>
      <c r="BD306" s="1112"/>
      <c r="BE306" s="68"/>
      <c r="BF306" s="68"/>
      <c r="BG306" s="68"/>
      <c r="BH306" s="68"/>
      <c r="BI306" s="1112"/>
      <c r="BJ306" s="68"/>
      <c r="BK306" s="68"/>
      <c r="BL306" s="68"/>
      <c r="BM306" s="68"/>
      <c r="BN306" s="1112"/>
      <c r="BO306" s="68"/>
      <c r="BP306" s="68"/>
      <c r="BQ306" s="68"/>
      <c r="BR306" s="68"/>
      <c r="BS306" s="1112"/>
      <c r="BT306" s="68"/>
      <c r="BU306" s="68"/>
      <c r="BV306" s="68"/>
      <c r="BW306" s="68"/>
      <c r="BX306" s="1112"/>
      <c r="BY306" s="588"/>
      <c r="BZ306" s="68"/>
      <c r="CA306" s="68"/>
      <c r="CB306" s="68"/>
      <c r="CC306" s="1112"/>
      <c r="CD306" s="68"/>
      <c r="CE306" s="68"/>
      <c r="CF306" s="68"/>
      <c r="CG306" s="68"/>
      <c r="CH306" s="1112"/>
      <c r="CI306" s="1112"/>
      <c r="CJ306" s="1112"/>
      <c r="CK306" s="1112"/>
      <c r="CL306" s="155"/>
    </row>
    <row r="307" spans="1:90" hidden="1" outlineLevel="1" x14ac:dyDescent="0.3">
      <c r="A307" s="67" t="s">
        <v>681</v>
      </c>
      <c r="B307" s="146"/>
      <c r="C307" s="1113">
        <v>0</v>
      </c>
      <c r="D307" s="1112"/>
      <c r="E307" s="1112"/>
      <c r="F307" s="1112"/>
      <c r="G307" s="68"/>
      <c r="H307" s="68"/>
      <c r="I307" s="68"/>
      <c r="J307" s="27">
        <f>K307-G307-H307-I307</f>
        <v>0</v>
      </c>
      <c r="K307" s="1112"/>
      <c r="L307" s="68"/>
      <c r="M307" s="68"/>
      <c r="N307" s="68"/>
      <c r="O307" s="27">
        <f>P307-L307-M307-N307</f>
        <v>0</v>
      </c>
      <c r="P307" s="1112"/>
      <c r="Q307" s="68"/>
      <c r="R307" s="68"/>
      <c r="S307" s="68"/>
      <c r="T307" s="27">
        <f>U307-Q307-R307-S307</f>
        <v>0</v>
      </c>
      <c r="U307" s="1112"/>
      <c r="V307" s="68"/>
      <c r="W307" s="68"/>
      <c r="X307" s="68"/>
      <c r="Y307" s="68"/>
      <c r="Z307" s="1112"/>
      <c r="AA307" s="68"/>
      <c r="AB307" s="68"/>
      <c r="AC307" s="68"/>
      <c r="AD307" s="68"/>
      <c r="AE307" s="1112"/>
      <c r="AF307" s="1055">
        <v>0</v>
      </c>
      <c r="AG307" s="68"/>
      <c r="AH307" s="68"/>
      <c r="AI307" s="68"/>
      <c r="AJ307" s="1112"/>
      <c r="AK307" s="68"/>
      <c r="AL307" s="68"/>
      <c r="AM307" s="68"/>
      <c r="AN307" s="68"/>
      <c r="AO307" s="1112"/>
      <c r="AP307" s="68"/>
      <c r="AQ307" s="68"/>
      <c r="AR307" s="68"/>
      <c r="AS307" s="68"/>
      <c r="AT307" s="1112"/>
      <c r="AU307" s="68"/>
      <c r="AV307" s="68"/>
      <c r="AW307" s="68"/>
      <c r="AX307" s="68"/>
      <c r="AY307" s="1112"/>
      <c r="AZ307" s="68"/>
      <c r="BA307" s="68"/>
      <c r="BB307" s="68"/>
      <c r="BC307" s="68"/>
      <c r="BD307" s="1112"/>
      <c r="BE307" s="1055">
        <v>1353</v>
      </c>
      <c r="BF307" s="68"/>
      <c r="BG307" s="68"/>
      <c r="BH307" s="68">
        <f>BI307-SUM(BE307,BF307,BG307)</f>
        <v>0</v>
      </c>
      <c r="BI307" s="1113">
        <v>1353</v>
      </c>
      <c r="BJ307" s="1055">
        <v>0</v>
      </c>
      <c r="BK307" s="68"/>
      <c r="BL307" s="68"/>
      <c r="BM307" s="68">
        <f>BN307-SUM(BJ307,BK307,BL307)</f>
        <v>0</v>
      </c>
      <c r="BN307" s="1112"/>
      <c r="BO307" s="68"/>
      <c r="BP307" s="68"/>
      <c r="BQ307" s="68"/>
      <c r="BR307" s="68">
        <f>BS307-SUM(BO307,BP307,BQ307)</f>
        <v>0</v>
      </c>
      <c r="BS307" s="1112"/>
      <c r="BT307" s="68"/>
      <c r="BU307" s="68"/>
      <c r="BV307" s="68"/>
      <c r="BW307" s="68">
        <f>BX307-SUM(BT307,BU307,BV307)</f>
        <v>0</v>
      </c>
      <c r="BX307" s="1112"/>
      <c r="BY307" s="588"/>
      <c r="BZ307" s="68"/>
      <c r="CA307" s="68"/>
      <c r="CB307" s="68"/>
      <c r="CC307" s="1112"/>
      <c r="CD307" s="68"/>
      <c r="CE307" s="68"/>
      <c r="CF307" s="68"/>
      <c r="CG307" s="68"/>
      <c r="CH307" s="1112"/>
      <c r="CI307" s="1112"/>
      <c r="CJ307" s="1112"/>
      <c r="CK307" s="1112"/>
      <c r="CL307" s="155"/>
    </row>
    <row r="308" spans="1:90" hidden="1" outlineLevel="1" x14ac:dyDescent="0.3">
      <c r="A308" s="59" t="s">
        <v>53</v>
      </c>
      <c r="B308" s="607"/>
      <c r="C308" s="1125">
        <f t="shared" ref="C308:AH308" si="753">SUM(C303:C307)</f>
        <v>1244.9690000000001</v>
      </c>
      <c r="D308" s="1125">
        <f t="shared" si="753"/>
        <v>1275.8679999999999</v>
      </c>
      <c r="E308" s="1125">
        <f t="shared" si="753"/>
        <v>1153.3430000000001</v>
      </c>
      <c r="F308" s="1125">
        <f t="shared" si="753"/>
        <v>1408.2180000000001</v>
      </c>
      <c r="G308" s="60">
        <f t="shared" si="753"/>
        <v>390.53800000000001</v>
      </c>
      <c r="H308" s="60">
        <f t="shared" si="753"/>
        <v>401.096</v>
      </c>
      <c r="I308" s="60">
        <f t="shared" si="753"/>
        <v>384.44100000000003</v>
      </c>
      <c r="J308" s="60">
        <f t="shared" si="753"/>
        <v>402.02899999999988</v>
      </c>
      <c r="K308" s="1125">
        <f t="shared" si="753"/>
        <v>1578.1039999999998</v>
      </c>
      <c r="L308" s="60">
        <f t="shared" si="753"/>
        <v>435.78700000000003</v>
      </c>
      <c r="M308" s="60">
        <f t="shared" si="753"/>
        <v>440.00400000000002</v>
      </c>
      <c r="N308" s="60">
        <f t="shared" si="753"/>
        <v>443.42699999999996</v>
      </c>
      <c r="O308" s="60">
        <f t="shared" si="753"/>
        <v>452.31799999999998</v>
      </c>
      <c r="P308" s="1125">
        <f t="shared" si="753"/>
        <v>1771.5360000000001</v>
      </c>
      <c r="Q308" s="60">
        <f t="shared" si="753"/>
        <v>453</v>
      </c>
      <c r="R308" s="60">
        <f t="shared" si="753"/>
        <v>456</v>
      </c>
      <c r="S308" s="60">
        <f t="shared" si="753"/>
        <v>463</v>
      </c>
      <c r="T308" s="60">
        <f t="shared" si="753"/>
        <v>468</v>
      </c>
      <c r="U308" s="1125">
        <f t="shared" si="753"/>
        <v>1840</v>
      </c>
      <c r="V308" s="60">
        <f t="shared" si="753"/>
        <v>477</v>
      </c>
      <c r="W308" s="60">
        <f t="shared" si="753"/>
        <v>558</v>
      </c>
      <c r="X308" s="60">
        <f t="shared" si="753"/>
        <v>489</v>
      </c>
      <c r="Y308" s="60">
        <f t="shared" si="753"/>
        <v>539</v>
      </c>
      <c r="Z308" s="1125">
        <f t="shared" si="753"/>
        <v>2064</v>
      </c>
      <c r="AA308" s="60">
        <f t="shared" si="753"/>
        <v>506</v>
      </c>
      <c r="AB308" s="60">
        <f t="shared" si="753"/>
        <v>509</v>
      </c>
      <c r="AC308" s="61">
        <f t="shared" si="753"/>
        <v>544</v>
      </c>
      <c r="AD308" s="61">
        <f t="shared" si="753"/>
        <v>570</v>
      </c>
      <c r="AE308" s="1124">
        <f t="shared" si="753"/>
        <v>2129</v>
      </c>
      <c r="AF308" s="61">
        <f t="shared" si="753"/>
        <v>596</v>
      </c>
      <c r="AG308" s="60">
        <f t="shared" si="753"/>
        <v>614</v>
      </c>
      <c r="AH308" s="60">
        <f t="shared" si="753"/>
        <v>674</v>
      </c>
      <c r="AI308" s="61">
        <f t="shared" ref="AI308:BE308" si="754">SUM(AI303:AI307)</f>
        <v>728</v>
      </c>
      <c r="AJ308" s="1124">
        <f t="shared" si="754"/>
        <v>2612</v>
      </c>
      <c r="AK308" s="60">
        <f t="shared" si="754"/>
        <v>773</v>
      </c>
      <c r="AL308" s="60">
        <f t="shared" si="754"/>
        <v>818</v>
      </c>
      <c r="AM308" s="60">
        <f t="shared" si="754"/>
        <v>863</v>
      </c>
      <c r="AN308" s="61">
        <f t="shared" si="754"/>
        <v>913</v>
      </c>
      <c r="AO308" s="1124">
        <f t="shared" si="754"/>
        <v>3367</v>
      </c>
      <c r="AP308" s="60">
        <f t="shared" si="754"/>
        <v>938</v>
      </c>
      <c r="AQ308" s="60">
        <f t="shared" si="754"/>
        <v>970</v>
      </c>
      <c r="AR308" s="60">
        <f t="shared" si="754"/>
        <v>989</v>
      </c>
      <c r="AS308" s="61">
        <f t="shared" si="754"/>
        <v>1025</v>
      </c>
      <c r="AT308" s="1124">
        <f t="shared" si="754"/>
        <v>3922</v>
      </c>
      <c r="AU308" s="60">
        <f t="shared" si="754"/>
        <v>1028</v>
      </c>
      <c r="AV308" s="60">
        <f t="shared" si="754"/>
        <v>1624</v>
      </c>
      <c r="AW308" s="60">
        <f t="shared" si="754"/>
        <v>1562</v>
      </c>
      <c r="AX308" s="61">
        <f t="shared" si="754"/>
        <v>1650</v>
      </c>
      <c r="AY308" s="1124">
        <f t="shared" si="754"/>
        <v>5864</v>
      </c>
      <c r="AZ308" s="60">
        <f t="shared" si="754"/>
        <v>1673</v>
      </c>
      <c r="BA308" s="60">
        <f t="shared" si="754"/>
        <v>1771</v>
      </c>
      <c r="BB308" s="60">
        <f t="shared" si="754"/>
        <v>1960</v>
      </c>
      <c r="BC308" s="61">
        <f t="shared" si="754"/>
        <v>2029</v>
      </c>
      <c r="BD308" s="1124">
        <f t="shared" si="754"/>
        <v>7434</v>
      </c>
      <c r="BE308" s="60">
        <f t="shared" si="754"/>
        <v>3563</v>
      </c>
      <c r="BF308" s="60">
        <f t="shared" ref="BF308:BI308" si="755">SUM(BF303:BF307)</f>
        <v>2416</v>
      </c>
      <c r="BG308" s="60">
        <f t="shared" si="755"/>
        <v>2576</v>
      </c>
      <c r="BH308" s="61">
        <f t="shared" si="755"/>
        <v>2576</v>
      </c>
      <c r="BI308" s="1124">
        <f t="shared" si="755"/>
        <v>11132</v>
      </c>
      <c r="BJ308" s="60">
        <f t="shared" ref="BJ308:BO308" si="756">SUM(BJ303:BJ307)</f>
        <v>2508</v>
      </c>
      <c r="BK308" s="60">
        <f t="shared" si="756"/>
        <v>2662</v>
      </c>
      <c r="BL308" s="60">
        <f t="shared" si="756"/>
        <v>2983</v>
      </c>
      <c r="BM308" s="61">
        <f t="shared" si="756"/>
        <v>3176</v>
      </c>
      <c r="BN308" s="1124">
        <f t="shared" si="756"/>
        <v>11329</v>
      </c>
      <c r="BO308" s="60">
        <f t="shared" si="756"/>
        <v>3497</v>
      </c>
      <c r="BP308" s="60">
        <f t="shared" ref="BP308:BU308" si="757">SUM(BP303:BP307)</f>
        <v>3932</v>
      </c>
      <c r="BQ308" s="60">
        <f t="shared" si="757"/>
        <v>4287</v>
      </c>
      <c r="BR308" s="61">
        <f t="shared" si="757"/>
        <v>4689</v>
      </c>
      <c r="BS308" s="1124">
        <f t="shared" si="757"/>
        <v>16405</v>
      </c>
      <c r="BT308" s="60">
        <f t="shared" si="757"/>
        <v>5030</v>
      </c>
      <c r="BU308" s="60">
        <f t="shared" si="757"/>
        <v>5413</v>
      </c>
      <c r="BV308" s="60">
        <f>SUM(BV303:BV307)</f>
        <v>5839</v>
      </c>
      <c r="BW308" s="61">
        <f>SUM(BW303:BW307)</f>
        <v>6794</v>
      </c>
      <c r="BX308" s="1124">
        <f>SUM(BX303:BX307)</f>
        <v>23076</v>
      </c>
      <c r="BY308" s="895">
        <f>SUM(BY303:BY307)</f>
        <v>7621</v>
      </c>
      <c r="BZ308" s="61"/>
      <c r="CA308" s="61"/>
      <c r="CB308" s="61"/>
      <c r="CC308" s="1124"/>
      <c r="CD308" s="61"/>
      <c r="CE308" s="61"/>
      <c r="CF308" s="61"/>
      <c r="CG308" s="61"/>
      <c r="CH308" s="1124"/>
      <c r="CI308" s="1124"/>
      <c r="CJ308" s="1124"/>
      <c r="CK308" s="1124"/>
      <c r="CL308" s="155"/>
    </row>
    <row r="309" spans="1:90" hidden="1" outlineLevel="1" x14ac:dyDescent="0.3">
      <c r="A309" s="62" t="s">
        <v>54</v>
      </c>
      <c r="B309" s="279"/>
      <c r="C309" s="1134">
        <f t="shared" ref="C309:AH309" si="758">C302-C308</f>
        <v>-70.700000000000273</v>
      </c>
      <c r="D309" s="1134">
        <f t="shared" si="758"/>
        <v>-98.944999999999709</v>
      </c>
      <c r="E309" s="1134">
        <f t="shared" si="758"/>
        <v>255.74700000000007</v>
      </c>
      <c r="F309" s="1134">
        <f t="shared" si="758"/>
        <v>648.29899999999975</v>
      </c>
      <c r="G309" s="28">
        <f t="shared" si="758"/>
        <v>72.825999999999965</v>
      </c>
      <c r="H309" s="28">
        <f t="shared" si="758"/>
        <v>139.62300000000005</v>
      </c>
      <c r="I309" s="28">
        <f t="shared" si="758"/>
        <v>252.21699999999987</v>
      </c>
      <c r="J309" s="28">
        <f t="shared" si="758"/>
        <v>183.57299999999998</v>
      </c>
      <c r="K309" s="1134">
        <f t="shared" si="758"/>
        <v>648.23900000000003</v>
      </c>
      <c r="L309" s="28">
        <f t="shared" si="758"/>
        <v>82.780999999999949</v>
      </c>
      <c r="M309" s="28">
        <f t="shared" si="758"/>
        <v>105.53399999999999</v>
      </c>
      <c r="N309" s="28">
        <f t="shared" si="758"/>
        <v>140.98800000000011</v>
      </c>
      <c r="O309" s="28">
        <f t="shared" si="758"/>
        <v>166.92400000000055</v>
      </c>
      <c r="P309" s="1134">
        <f t="shared" si="758"/>
        <v>496.22700000000032</v>
      </c>
      <c r="Q309" s="28">
        <f t="shared" si="758"/>
        <v>151</v>
      </c>
      <c r="R309" s="28">
        <f t="shared" si="758"/>
        <v>163</v>
      </c>
      <c r="S309" s="28">
        <f t="shared" si="758"/>
        <v>213</v>
      </c>
      <c r="T309" s="28">
        <f t="shared" si="758"/>
        <v>232</v>
      </c>
      <c r="U309" s="1134">
        <f t="shared" si="758"/>
        <v>759</v>
      </c>
      <c r="V309" s="28">
        <f t="shared" si="758"/>
        <v>176</v>
      </c>
      <c r="W309" s="28">
        <f t="shared" si="758"/>
        <v>76</v>
      </c>
      <c r="X309" s="28">
        <f t="shared" si="758"/>
        <v>245</v>
      </c>
      <c r="Y309" s="28">
        <f t="shared" si="758"/>
        <v>252</v>
      </c>
      <c r="Z309" s="1134">
        <f t="shared" si="758"/>
        <v>747</v>
      </c>
      <c r="AA309" s="28">
        <f t="shared" si="758"/>
        <v>245</v>
      </c>
      <c r="AB309" s="28">
        <f t="shared" si="758"/>
        <v>317</v>
      </c>
      <c r="AC309" s="63">
        <f t="shared" si="758"/>
        <v>639</v>
      </c>
      <c r="AD309" s="63">
        <f t="shared" si="758"/>
        <v>733</v>
      </c>
      <c r="AE309" s="1127">
        <f t="shared" si="758"/>
        <v>1934</v>
      </c>
      <c r="AF309" s="63">
        <f t="shared" si="758"/>
        <v>554</v>
      </c>
      <c r="AG309" s="28">
        <f t="shared" si="758"/>
        <v>688</v>
      </c>
      <c r="AH309" s="28">
        <f t="shared" si="758"/>
        <v>895</v>
      </c>
      <c r="AI309" s="63">
        <f t="shared" ref="AI309:BE309" si="759">AI302-AI308</f>
        <v>1073</v>
      </c>
      <c r="AJ309" s="1127">
        <f t="shared" si="759"/>
        <v>3210</v>
      </c>
      <c r="AK309" s="28">
        <f t="shared" si="759"/>
        <v>1295</v>
      </c>
      <c r="AL309" s="28">
        <f t="shared" si="759"/>
        <v>1157</v>
      </c>
      <c r="AM309" s="28">
        <f t="shared" si="759"/>
        <v>1058</v>
      </c>
      <c r="AN309" s="63">
        <f t="shared" si="759"/>
        <v>294</v>
      </c>
      <c r="AO309" s="1127">
        <f t="shared" si="759"/>
        <v>3804</v>
      </c>
      <c r="AP309" s="28">
        <f t="shared" si="759"/>
        <v>358</v>
      </c>
      <c r="AQ309" s="28">
        <f t="shared" si="759"/>
        <v>571</v>
      </c>
      <c r="AR309" s="28">
        <f t="shared" si="759"/>
        <v>927</v>
      </c>
      <c r="AS309" s="63">
        <f t="shared" si="759"/>
        <v>990</v>
      </c>
      <c r="AT309" s="1127">
        <f t="shared" si="759"/>
        <v>2846</v>
      </c>
      <c r="AU309" s="28">
        <f t="shared" si="759"/>
        <v>976</v>
      </c>
      <c r="AV309" s="28">
        <f t="shared" si="759"/>
        <v>651</v>
      </c>
      <c r="AW309" s="28">
        <f t="shared" si="759"/>
        <v>1398</v>
      </c>
      <c r="AX309" s="63">
        <f t="shared" si="759"/>
        <v>1507</v>
      </c>
      <c r="AY309" s="1127">
        <f t="shared" si="759"/>
        <v>4532</v>
      </c>
      <c r="AZ309" s="28">
        <f t="shared" si="759"/>
        <v>1956</v>
      </c>
      <c r="BA309" s="28">
        <f t="shared" si="759"/>
        <v>2444</v>
      </c>
      <c r="BB309" s="28">
        <f t="shared" si="759"/>
        <v>2671</v>
      </c>
      <c r="BC309" s="63">
        <f t="shared" si="759"/>
        <v>2970</v>
      </c>
      <c r="BD309" s="1127">
        <f t="shared" si="759"/>
        <v>10041</v>
      </c>
      <c r="BE309" s="28">
        <f t="shared" si="759"/>
        <v>1868</v>
      </c>
      <c r="BF309" s="28">
        <f t="shared" ref="BF309:BI309" si="760">BF302-BF308</f>
        <v>499</v>
      </c>
      <c r="BG309" s="28">
        <f t="shared" si="760"/>
        <v>601</v>
      </c>
      <c r="BH309" s="63">
        <f t="shared" si="760"/>
        <v>1257</v>
      </c>
      <c r="BI309" s="1127">
        <f t="shared" si="760"/>
        <v>4224</v>
      </c>
      <c r="BJ309" s="28">
        <f t="shared" ref="BJ309:BO309" si="761">BJ302-BJ308</f>
        <v>2140</v>
      </c>
      <c r="BK309" s="28">
        <f t="shared" si="761"/>
        <v>6800</v>
      </c>
      <c r="BL309" s="28">
        <f t="shared" si="761"/>
        <v>10417</v>
      </c>
      <c r="BM309" s="63">
        <f t="shared" si="761"/>
        <v>13615</v>
      </c>
      <c r="BN309" s="1127">
        <f t="shared" si="761"/>
        <v>32972</v>
      </c>
      <c r="BO309" s="28">
        <f t="shared" si="761"/>
        <v>16909</v>
      </c>
      <c r="BP309" s="28">
        <f t="shared" ref="BP309:BU309" si="762">BP302-BP308</f>
        <v>18642</v>
      </c>
      <c r="BQ309" s="28">
        <f t="shared" si="762"/>
        <v>21869</v>
      </c>
      <c r="BR309" s="63">
        <f t="shared" si="762"/>
        <v>24034</v>
      </c>
      <c r="BS309" s="1127">
        <f t="shared" si="762"/>
        <v>81453</v>
      </c>
      <c r="BT309" s="28">
        <f t="shared" si="762"/>
        <v>21638</v>
      </c>
      <c r="BU309" s="28">
        <f t="shared" si="762"/>
        <v>28440</v>
      </c>
      <c r="BV309" s="28">
        <f>BV302-BV308</f>
        <v>36010</v>
      </c>
      <c r="BW309" s="63">
        <f>BW302-BW308</f>
        <v>44299</v>
      </c>
      <c r="BX309" s="1127">
        <f>BX302-BX308</f>
        <v>130387</v>
      </c>
      <c r="BY309" s="505">
        <f>BY302-BY308</f>
        <v>53536</v>
      </c>
      <c r="BZ309" s="63"/>
      <c r="CA309" s="63"/>
      <c r="CB309" s="63"/>
      <c r="CC309" s="1127"/>
      <c r="CD309" s="63"/>
      <c r="CE309" s="63"/>
      <c r="CF309" s="63"/>
      <c r="CG309" s="63"/>
      <c r="CH309" s="1127"/>
      <c r="CI309" s="1127"/>
      <c r="CJ309" s="1127"/>
      <c r="CK309" s="1127"/>
      <c r="CL309" s="155"/>
    </row>
    <row r="310" spans="1:90" hidden="1" outlineLevel="1" x14ac:dyDescent="0.3">
      <c r="A310" s="67" t="s">
        <v>55</v>
      </c>
      <c r="B310" s="146"/>
      <c r="C310" s="1113">
        <v>42.859000000000002</v>
      </c>
      <c r="D310" s="1113">
        <v>23.114999999999998</v>
      </c>
      <c r="E310" s="1113">
        <v>19.056999999999999</v>
      </c>
      <c r="F310" s="1113">
        <v>19.149000000000001</v>
      </c>
      <c r="G310" s="1055">
        <v>5.1980000000000004</v>
      </c>
      <c r="H310" s="1055">
        <v>5.3159999999999998</v>
      </c>
      <c r="I310" s="1055">
        <v>4.7009999999999996</v>
      </c>
      <c r="J310" s="27">
        <f>K310-G310-H310-I310</f>
        <v>4.6930000000000023</v>
      </c>
      <c r="K310" s="1113">
        <v>19.908000000000001</v>
      </c>
      <c r="L310" s="1055">
        <v>5.0759999999999996</v>
      </c>
      <c r="M310" s="1055">
        <v>3.8650000000000002</v>
      </c>
      <c r="N310" s="1055">
        <v>4.0220000000000002</v>
      </c>
      <c r="O310" s="27">
        <f>P310-L310-M310-N310</f>
        <v>4.1559999999999988</v>
      </c>
      <c r="P310" s="1113">
        <v>17.119</v>
      </c>
      <c r="Q310" s="1055">
        <v>6</v>
      </c>
      <c r="R310" s="1055">
        <v>7</v>
      </c>
      <c r="S310" s="1055">
        <v>7</v>
      </c>
      <c r="T310" s="27">
        <f>U310-Q310-R310-S310</f>
        <v>8</v>
      </c>
      <c r="U310" s="1113">
        <v>28</v>
      </c>
      <c r="V310" s="1055">
        <v>9</v>
      </c>
      <c r="W310" s="1055">
        <v>9</v>
      </c>
      <c r="X310" s="1055">
        <v>9</v>
      </c>
      <c r="Y310" s="1055">
        <v>11</v>
      </c>
      <c r="Z310" s="1113">
        <v>39</v>
      </c>
      <c r="AA310" s="1055">
        <v>12</v>
      </c>
      <c r="AB310" s="1055">
        <v>12</v>
      </c>
      <c r="AC310" s="1055">
        <v>14</v>
      </c>
      <c r="AD310" s="1055">
        <v>17</v>
      </c>
      <c r="AE310" s="1113">
        <v>54</v>
      </c>
      <c r="AF310" s="1055">
        <v>16</v>
      </c>
      <c r="AG310" s="1055">
        <v>15</v>
      </c>
      <c r="AH310" s="1055">
        <v>17</v>
      </c>
      <c r="AI310" s="1055">
        <v>20</v>
      </c>
      <c r="AJ310" s="1113">
        <v>69</v>
      </c>
      <c r="AK310" s="1055">
        <v>25</v>
      </c>
      <c r="AL310" s="1055">
        <v>32</v>
      </c>
      <c r="AM310" s="1055">
        <v>37</v>
      </c>
      <c r="AN310" s="1055">
        <v>42</v>
      </c>
      <c r="AO310" s="1113">
        <v>136</v>
      </c>
      <c r="AP310" s="1055">
        <v>44</v>
      </c>
      <c r="AQ310" s="1055">
        <v>47</v>
      </c>
      <c r="AR310" s="1055">
        <v>45</v>
      </c>
      <c r="AS310" s="1055">
        <v>41</v>
      </c>
      <c r="AT310" s="1113">
        <v>178</v>
      </c>
      <c r="AU310" s="1055">
        <v>31</v>
      </c>
      <c r="AV310" s="1055">
        <v>13</v>
      </c>
      <c r="AW310" s="1055">
        <v>7</v>
      </c>
      <c r="AX310" s="1055">
        <v>6</v>
      </c>
      <c r="AY310" s="1113">
        <v>57</v>
      </c>
      <c r="AZ310" s="1055">
        <v>6</v>
      </c>
      <c r="BA310" s="1055">
        <v>6</v>
      </c>
      <c r="BB310" s="1055">
        <v>7</v>
      </c>
      <c r="BC310" s="1055">
        <v>9</v>
      </c>
      <c r="BD310" s="1113">
        <v>29</v>
      </c>
      <c r="BE310" s="1055">
        <v>18</v>
      </c>
      <c r="BF310" s="1055">
        <v>46</v>
      </c>
      <c r="BG310" s="1055">
        <v>88</v>
      </c>
      <c r="BH310" s="27">
        <f>BI310-SUM(BE310,BF310,BG310)</f>
        <v>115</v>
      </c>
      <c r="BI310" s="1113">
        <v>267</v>
      </c>
      <c r="BJ310" s="1055">
        <v>150</v>
      </c>
      <c r="BK310" s="1055">
        <v>187</v>
      </c>
      <c r="BL310" s="1055">
        <v>234</v>
      </c>
      <c r="BM310" s="1055">
        <v>294</v>
      </c>
      <c r="BN310" s="1113">
        <v>866</v>
      </c>
      <c r="BO310" s="1055">
        <v>359</v>
      </c>
      <c r="BP310" s="1055">
        <v>444</v>
      </c>
      <c r="BQ310" s="1055">
        <v>472</v>
      </c>
      <c r="BR310" s="1055">
        <v>511</v>
      </c>
      <c r="BS310" s="1113">
        <v>1786</v>
      </c>
      <c r="BT310" s="1055">
        <v>515</v>
      </c>
      <c r="BU310" s="1055">
        <v>592</v>
      </c>
      <c r="BV310" s="1055">
        <v>624</v>
      </c>
      <c r="BW310" s="1055">
        <v>568</v>
      </c>
      <c r="BX310" s="1113">
        <v>2300</v>
      </c>
      <c r="BY310" s="1057">
        <v>540</v>
      </c>
      <c r="BZ310" s="68"/>
      <c r="CA310" s="68"/>
      <c r="CB310" s="68"/>
      <c r="CC310" s="1112"/>
      <c r="CD310" s="68"/>
      <c r="CE310" s="68"/>
      <c r="CF310" s="68"/>
      <c r="CG310" s="68"/>
      <c r="CH310" s="1112"/>
      <c r="CI310" s="1112"/>
      <c r="CJ310" s="1112"/>
      <c r="CK310" s="1112"/>
      <c r="CL310" s="155"/>
    </row>
    <row r="311" spans="1:90" hidden="1" outlineLevel="1" x14ac:dyDescent="0.3">
      <c r="A311" s="67" t="s">
        <v>56</v>
      </c>
      <c r="B311" s="146"/>
      <c r="C311" s="1113">
        <v>-0.40600000000000003</v>
      </c>
      <c r="D311" s="1113">
        <v>-3.32</v>
      </c>
      <c r="E311" s="1113">
        <v>-3.1269999999999998</v>
      </c>
      <c r="F311" s="1113">
        <v>-3.089</v>
      </c>
      <c r="G311" s="1055">
        <v>-0.92900000000000005</v>
      </c>
      <c r="H311" s="1055">
        <v>0.26900000000000002</v>
      </c>
      <c r="I311" s="1055">
        <v>-3.29</v>
      </c>
      <c r="J311" s="27">
        <f>K311-G311-H311-I311</f>
        <v>0.65599999999999969</v>
      </c>
      <c r="K311" s="1113">
        <v>-3.294</v>
      </c>
      <c r="L311" s="1055">
        <v>0.20499999999999999</v>
      </c>
      <c r="M311" s="1055">
        <v>2.4209999999999998</v>
      </c>
      <c r="N311" s="1055">
        <v>-3.5259999999999998</v>
      </c>
      <c r="O311" s="27">
        <f>P311-L311-M311-N311</f>
        <v>-9.5429999999999993</v>
      </c>
      <c r="P311" s="1113">
        <v>-10.443</v>
      </c>
      <c r="Q311" s="1055">
        <v>-11</v>
      </c>
      <c r="R311" s="1055">
        <v>-12</v>
      </c>
      <c r="S311" s="1055">
        <v>-11</v>
      </c>
      <c r="T311" s="27">
        <f>U311-Q311-R311-S311</f>
        <v>-12</v>
      </c>
      <c r="U311" s="1113">
        <v>-46</v>
      </c>
      <c r="V311" s="1055">
        <v>-12</v>
      </c>
      <c r="W311" s="1055">
        <v>-12</v>
      </c>
      <c r="X311" s="1055">
        <v>-12</v>
      </c>
      <c r="Y311" s="1055">
        <v>-12</v>
      </c>
      <c r="Z311" s="1113">
        <v>-47</v>
      </c>
      <c r="AA311" s="1055">
        <v>-12</v>
      </c>
      <c r="AB311" s="1055">
        <v>-12</v>
      </c>
      <c r="AC311" s="1055">
        <v>-16</v>
      </c>
      <c r="AD311" s="1055">
        <v>-18</v>
      </c>
      <c r="AE311" s="1113">
        <v>-58</v>
      </c>
      <c r="AF311" s="1055">
        <v>-16</v>
      </c>
      <c r="AG311" s="1055">
        <v>-15</v>
      </c>
      <c r="AH311" s="1055">
        <v>-15</v>
      </c>
      <c r="AI311" s="1055">
        <v>-15</v>
      </c>
      <c r="AJ311" s="1113">
        <v>-61</v>
      </c>
      <c r="AK311" s="1055">
        <v>-15</v>
      </c>
      <c r="AL311" s="1055">
        <v>-14</v>
      </c>
      <c r="AM311" s="1055">
        <v>-15</v>
      </c>
      <c r="AN311" s="1055">
        <v>-14</v>
      </c>
      <c r="AO311" s="1113">
        <v>-58</v>
      </c>
      <c r="AP311" s="1055">
        <v>-13</v>
      </c>
      <c r="AQ311" s="1055">
        <v>-13</v>
      </c>
      <c r="AR311" s="1055">
        <v>-13</v>
      </c>
      <c r="AS311" s="1055">
        <v>-12</v>
      </c>
      <c r="AT311" s="1113">
        <v>-52</v>
      </c>
      <c r="AU311" s="1055">
        <v>-25</v>
      </c>
      <c r="AV311" s="1055">
        <v>-54</v>
      </c>
      <c r="AW311" s="1055">
        <v>-53</v>
      </c>
      <c r="AX311" s="1055">
        <v>-53</v>
      </c>
      <c r="AY311" s="1113">
        <v>-184</v>
      </c>
      <c r="AZ311" s="1055">
        <v>-53</v>
      </c>
      <c r="BA311" s="1055">
        <v>-60</v>
      </c>
      <c r="BB311" s="1055">
        <v>-62</v>
      </c>
      <c r="BC311" s="1055">
        <v>-61</v>
      </c>
      <c r="BD311" s="1113">
        <v>-236</v>
      </c>
      <c r="BE311" s="1055">
        <v>-68</v>
      </c>
      <c r="BF311" s="1055">
        <v>-65</v>
      </c>
      <c r="BG311" s="1055">
        <v>-65</v>
      </c>
      <c r="BH311" s="1055">
        <v>-65</v>
      </c>
      <c r="BI311" s="1113">
        <v>-262</v>
      </c>
      <c r="BJ311" s="1055">
        <v>-66</v>
      </c>
      <c r="BK311" s="1055">
        <v>-65</v>
      </c>
      <c r="BL311" s="1055">
        <v>-63</v>
      </c>
      <c r="BM311" s="1055">
        <v>-63</v>
      </c>
      <c r="BN311" s="1113">
        <v>-257</v>
      </c>
      <c r="BO311" s="1055">
        <v>-64</v>
      </c>
      <c r="BP311" s="1055">
        <v>-61</v>
      </c>
      <c r="BQ311" s="1055">
        <v>-61</v>
      </c>
      <c r="BR311" s="1055">
        <v>-61</v>
      </c>
      <c r="BS311" s="1113">
        <v>-247</v>
      </c>
      <c r="BT311" s="1055">
        <v>-63</v>
      </c>
      <c r="BU311" s="1055">
        <v>-62</v>
      </c>
      <c r="BV311" s="1055">
        <v>-61</v>
      </c>
      <c r="BW311" s="1055">
        <v>-74</v>
      </c>
      <c r="BX311" s="1113">
        <v>-259</v>
      </c>
      <c r="BY311" s="1057">
        <v>-102</v>
      </c>
      <c r="BZ311" s="68"/>
      <c r="CA311" s="68"/>
      <c r="CB311" s="68"/>
      <c r="CC311" s="1112"/>
      <c r="CD311" s="68"/>
      <c r="CE311" s="68"/>
      <c r="CF311" s="68"/>
      <c r="CG311" s="68"/>
      <c r="CH311" s="1112"/>
      <c r="CI311" s="1112"/>
      <c r="CJ311" s="1112"/>
      <c r="CK311" s="1112"/>
      <c r="CL311" s="155"/>
    </row>
    <row r="312" spans="1:90" hidden="1" outlineLevel="1" x14ac:dyDescent="0.3">
      <c r="A312" s="67" t="s">
        <v>57</v>
      </c>
      <c r="B312" s="146"/>
      <c r="C312" s="1113">
        <v>-14.707000000000001</v>
      </c>
      <c r="D312" s="1113">
        <v>-3.1440000000000001</v>
      </c>
      <c r="E312" s="1113">
        <v>-0.50800000000000001</v>
      </c>
      <c r="F312" s="1113">
        <v>-0.96299999999999997</v>
      </c>
      <c r="G312" s="68"/>
      <c r="H312" s="68"/>
      <c r="I312" s="68"/>
      <c r="J312" s="27">
        <f>K312-G312-H312-I312</f>
        <v>-2.8140000000000001</v>
      </c>
      <c r="K312" s="1113">
        <v>-2.8140000000000001</v>
      </c>
      <c r="L312" s="68"/>
      <c r="M312" s="68"/>
      <c r="N312" s="68"/>
      <c r="O312" s="27">
        <f>P312-L312-M312-N312</f>
        <v>7.351</v>
      </c>
      <c r="P312" s="1113">
        <v>7.351</v>
      </c>
      <c r="Q312" s="1055">
        <v>17</v>
      </c>
      <c r="R312" s="1055">
        <v>-3</v>
      </c>
      <c r="S312" s="1055">
        <v>0</v>
      </c>
      <c r="T312" s="27">
        <f>U312-Q312-R312-S312</f>
        <v>0</v>
      </c>
      <c r="U312" s="1113">
        <v>14</v>
      </c>
      <c r="V312" s="1055">
        <v>-1</v>
      </c>
      <c r="W312" s="1055">
        <v>-1</v>
      </c>
      <c r="X312" s="1055">
        <v>3</v>
      </c>
      <c r="Y312" s="1055">
        <v>2</v>
      </c>
      <c r="Z312" s="1113">
        <v>4</v>
      </c>
      <c r="AA312" s="1055">
        <v>-4</v>
      </c>
      <c r="AB312" s="1055">
        <v>0</v>
      </c>
      <c r="AC312" s="1055">
        <v>-16</v>
      </c>
      <c r="AD312" s="1055">
        <v>-6</v>
      </c>
      <c r="AE312" s="1113">
        <v>-25</v>
      </c>
      <c r="AF312" s="1055">
        <v>-18</v>
      </c>
      <c r="AG312" s="1055">
        <v>-4</v>
      </c>
      <c r="AH312" s="1055">
        <v>-1</v>
      </c>
      <c r="AI312" s="1055">
        <v>0</v>
      </c>
      <c r="AJ312" s="1113">
        <v>-22</v>
      </c>
      <c r="AK312" s="1055">
        <v>6</v>
      </c>
      <c r="AL312" s="1055">
        <v>5</v>
      </c>
      <c r="AM312" s="1055">
        <v>1</v>
      </c>
      <c r="AN312" s="1055">
        <v>2</v>
      </c>
      <c r="AO312" s="1113">
        <v>14</v>
      </c>
      <c r="AP312" s="68"/>
      <c r="AQ312" s="1055">
        <v>1</v>
      </c>
      <c r="AR312" s="68"/>
      <c r="AS312" s="1055">
        <v>-3</v>
      </c>
      <c r="AT312" s="1113">
        <v>-2</v>
      </c>
      <c r="AU312" s="1055">
        <v>-1</v>
      </c>
      <c r="AV312" s="1055">
        <v>-1</v>
      </c>
      <c r="AW312" s="1055">
        <v>-4</v>
      </c>
      <c r="AX312" s="1055">
        <v>10</v>
      </c>
      <c r="AY312" s="1113">
        <v>4</v>
      </c>
      <c r="AZ312" s="1055">
        <v>135</v>
      </c>
      <c r="BA312" s="1055">
        <v>4</v>
      </c>
      <c r="BB312" s="1055">
        <v>22</v>
      </c>
      <c r="BC312" s="1055">
        <v>-53</v>
      </c>
      <c r="BD312" s="1113">
        <v>107</v>
      </c>
      <c r="BE312" s="1055">
        <v>-13</v>
      </c>
      <c r="BF312" s="1055">
        <v>-5</v>
      </c>
      <c r="BG312" s="1055">
        <v>-11</v>
      </c>
      <c r="BH312" s="1055">
        <v>-18</v>
      </c>
      <c r="BI312" s="1113">
        <v>-48</v>
      </c>
      <c r="BJ312" s="1055">
        <v>-15</v>
      </c>
      <c r="BK312" s="1055">
        <v>59</v>
      </c>
      <c r="BL312" s="1055">
        <v>-66</v>
      </c>
      <c r="BM312" s="1055">
        <v>260</v>
      </c>
      <c r="BN312" s="1113">
        <v>237</v>
      </c>
      <c r="BO312" s="1055">
        <v>75</v>
      </c>
      <c r="BP312" s="1055">
        <v>189</v>
      </c>
      <c r="BQ312" s="1055">
        <v>36</v>
      </c>
      <c r="BR312" s="1055">
        <v>733</v>
      </c>
      <c r="BS312" s="1113">
        <v>1034</v>
      </c>
      <c r="BT312" s="1055">
        <v>-180</v>
      </c>
      <c r="BU312" s="1055">
        <v>2236</v>
      </c>
      <c r="BV312" s="1055">
        <v>1363</v>
      </c>
      <c r="BW312" s="1055">
        <v>5604</v>
      </c>
      <c r="BX312" s="1113">
        <v>9022</v>
      </c>
      <c r="BY312" s="1057">
        <v>15929</v>
      </c>
      <c r="BZ312" s="68"/>
      <c r="CA312" s="68"/>
      <c r="CB312" s="68"/>
      <c r="CC312" s="1112"/>
      <c r="CD312" s="68"/>
      <c r="CE312" s="68"/>
      <c r="CF312" s="68"/>
      <c r="CG312" s="68"/>
      <c r="CH312" s="1112"/>
      <c r="CI312" s="1112"/>
      <c r="CJ312" s="1112"/>
      <c r="CK312" s="1112"/>
      <c r="CL312" s="155"/>
    </row>
    <row r="313" spans="1:90" hidden="1" outlineLevel="1" x14ac:dyDescent="0.3">
      <c r="A313" s="59" t="s">
        <v>58</v>
      </c>
      <c r="B313" s="607"/>
      <c r="C313" s="1125">
        <f t="shared" ref="C313:AH313" si="763">C309+SUM(C310:C312)</f>
        <v>-42.954000000000271</v>
      </c>
      <c r="D313" s="1125">
        <f t="shared" si="763"/>
        <v>-82.293999999999713</v>
      </c>
      <c r="E313" s="1125">
        <f t="shared" si="763"/>
        <v>271.1690000000001</v>
      </c>
      <c r="F313" s="1125">
        <f t="shared" si="763"/>
        <v>663.39599999999973</v>
      </c>
      <c r="G313" s="60">
        <f t="shared" si="763"/>
        <v>77.09499999999997</v>
      </c>
      <c r="H313" s="60">
        <f t="shared" si="763"/>
        <v>145.20800000000006</v>
      </c>
      <c r="I313" s="60">
        <f t="shared" si="763"/>
        <v>253.62799999999987</v>
      </c>
      <c r="J313" s="60">
        <f t="shared" si="763"/>
        <v>186.10799999999998</v>
      </c>
      <c r="K313" s="1125">
        <f t="shared" si="763"/>
        <v>662.03899999999999</v>
      </c>
      <c r="L313" s="60">
        <f t="shared" si="763"/>
        <v>88.061999999999955</v>
      </c>
      <c r="M313" s="60">
        <f t="shared" si="763"/>
        <v>111.82</v>
      </c>
      <c r="N313" s="60">
        <f t="shared" si="763"/>
        <v>141.48400000000012</v>
      </c>
      <c r="O313" s="60">
        <f t="shared" si="763"/>
        <v>168.88800000000055</v>
      </c>
      <c r="P313" s="1125">
        <f t="shared" si="763"/>
        <v>510.2540000000003</v>
      </c>
      <c r="Q313" s="60">
        <f t="shared" si="763"/>
        <v>163</v>
      </c>
      <c r="R313" s="60">
        <f t="shared" si="763"/>
        <v>155</v>
      </c>
      <c r="S313" s="60">
        <f t="shared" si="763"/>
        <v>209</v>
      </c>
      <c r="T313" s="60">
        <f t="shared" si="763"/>
        <v>228</v>
      </c>
      <c r="U313" s="1125">
        <f t="shared" si="763"/>
        <v>755</v>
      </c>
      <c r="V313" s="60">
        <f t="shared" si="763"/>
        <v>172</v>
      </c>
      <c r="W313" s="60">
        <f t="shared" si="763"/>
        <v>72</v>
      </c>
      <c r="X313" s="60">
        <f t="shared" si="763"/>
        <v>245</v>
      </c>
      <c r="Y313" s="60">
        <f t="shared" si="763"/>
        <v>253</v>
      </c>
      <c r="Z313" s="1125">
        <f t="shared" si="763"/>
        <v>743</v>
      </c>
      <c r="AA313" s="60">
        <f t="shared" si="763"/>
        <v>241</v>
      </c>
      <c r="AB313" s="60">
        <f t="shared" si="763"/>
        <v>317</v>
      </c>
      <c r="AC313" s="61">
        <f t="shared" si="763"/>
        <v>621</v>
      </c>
      <c r="AD313" s="61">
        <f t="shared" si="763"/>
        <v>726</v>
      </c>
      <c r="AE313" s="1124">
        <f t="shared" si="763"/>
        <v>1905</v>
      </c>
      <c r="AF313" s="61">
        <f t="shared" si="763"/>
        <v>536</v>
      </c>
      <c r="AG313" s="60">
        <f t="shared" si="763"/>
        <v>684</v>
      </c>
      <c r="AH313" s="60">
        <f t="shared" si="763"/>
        <v>896</v>
      </c>
      <c r="AI313" s="61">
        <f t="shared" ref="AI313:AV313" si="764">AI309+SUM(AI310:AI312)</f>
        <v>1078</v>
      </c>
      <c r="AJ313" s="1124">
        <f t="shared" si="764"/>
        <v>3196</v>
      </c>
      <c r="AK313" s="60">
        <f t="shared" si="764"/>
        <v>1311</v>
      </c>
      <c r="AL313" s="60">
        <f t="shared" si="764"/>
        <v>1180</v>
      </c>
      <c r="AM313" s="60">
        <f t="shared" si="764"/>
        <v>1081</v>
      </c>
      <c r="AN313" s="61">
        <f t="shared" si="764"/>
        <v>324</v>
      </c>
      <c r="AO313" s="1124">
        <f t="shared" si="764"/>
        <v>3896</v>
      </c>
      <c r="AP313" s="60">
        <f t="shared" si="764"/>
        <v>389</v>
      </c>
      <c r="AQ313" s="60">
        <f t="shared" si="764"/>
        <v>606</v>
      </c>
      <c r="AR313" s="60">
        <f t="shared" si="764"/>
        <v>959</v>
      </c>
      <c r="AS313" s="61">
        <f t="shared" si="764"/>
        <v>1016</v>
      </c>
      <c r="AT313" s="1124">
        <f t="shared" si="764"/>
        <v>2970</v>
      </c>
      <c r="AU313" s="60">
        <f t="shared" si="764"/>
        <v>981</v>
      </c>
      <c r="AV313" s="60">
        <f t="shared" si="764"/>
        <v>609</v>
      </c>
      <c r="AW313" s="60">
        <f t="shared" ref="AW313:BB313" si="765">AW309+SUM(AW310:AW312)</f>
        <v>1348</v>
      </c>
      <c r="AX313" s="61">
        <f t="shared" si="765"/>
        <v>1470</v>
      </c>
      <c r="AY313" s="1124">
        <f t="shared" si="765"/>
        <v>4409</v>
      </c>
      <c r="AZ313" s="60">
        <f t="shared" si="765"/>
        <v>2044</v>
      </c>
      <c r="BA313" s="60">
        <f t="shared" si="765"/>
        <v>2394</v>
      </c>
      <c r="BB313" s="60">
        <f t="shared" si="765"/>
        <v>2638</v>
      </c>
      <c r="BC313" s="61">
        <f t="shared" ref="BC313:BD313" si="766">BC309+SUM(BC310:BC312)</f>
        <v>2865</v>
      </c>
      <c r="BD313" s="1124">
        <f t="shared" si="766"/>
        <v>9941</v>
      </c>
      <c r="BE313" s="60">
        <f t="shared" ref="BE313:BI313" si="767">BE309+SUM(BE310:BE312)</f>
        <v>1805</v>
      </c>
      <c r="BF313" s="60">
        <f t="shared" si="767"/>
        <v>475</v>
      </c>
      <c r="BG313" s="60">
        <f t="shared" si="767"/>
        <v>613</v>
      </c>
      <c r="BH313" s="61">
        <f t="shared" si="767"/>
        <v>1289</v>
      </c>
      <c r="BI313" s="1124">
        <f t="shared" si="767"/>
        <v>4181</v>
      </c>
      <c r="BJ313" s="60">
        <f t="shared" ref="BJ313:BO313" si="768">BJ309+SUM(BJ310:BJ312)</f>
        <v>2209</v>
      </c>
      <c r="BK313" s="60">
        <f t="shared" si="768"/>
        <v>6981</v>
      </c>
      <c r="BL313" s="60">
        <f t="shared" si="768"/>
        <v>10522</v>
      </c>
      <c r="BM313" s="61">
        <f t="shared" si="768"/>
        <v>14106</v>
      </c>
      <c r="BN313" s="1124">
        <f t="shared" si="768"/>
        <v>33818</v>
      </c>
      <c r="BO313" s="60">
        <f t="shared" si="768"/>
        <v>17279</v>
      </c>
      <c r="BP313" s="60">
        <f t="shared" ref="BP313:BU313" si="769">BP309+SUM(BP310:BP312)</f>
        <v>19214</v>
      </c>
      <c r="BQ313" s="60">
        <f t="shared" si="769"/>
        <v>22316</v>
      </c>
      <c r="BR313" s="61">
        <f t="shared" si="769"/>
        <v>25217</v>
      </c>
      <c r="BS313" s="1124">
        <f t="shared" si="769"/>
        <v>84026</v>
      </c>
      <c r="BT313" s="60">
        <f t="shared" si="769"/>
        <v>21910</v>
      </c>
      <c r="BU313" s="60">
        <f t="shared" si="769"/>
        <v>31206</v>
      </c>
      <c r="BV313" s="60">
        <f>BV309+SUM(BV310:BV312)</f>
        <v>37936</v>
      </c>
      <c r="BW313" s="61">
        <f>BW309+SUM(BW310:BW312)</f>
        <v>50397</v>
      </c>
      <c r="BX313" s="1124">
        <f>BX309+SUM(BX310:BX312)</f>
        <v>141450</v>
      </c>
      <c r="BY313" s="895">
        <f>BY309+SUM(BY310:BY312)</f>
        <v>69903</v>
      </c>
      <c r="BZ313" s="61"/>
      <c r="CA313" s="61"/>
      <c r="CB313" s="61"/>
      <c r="CC313" s="1124"/>
      <c r="CD313" s="61"/>
      <c r="CE313" s="61"/>
      <c r="CF313" s="61"/>
      <c r="CG313" s="61"/>
      <c r="CH313" s="1124"/>
      <c r="CI313" s="1124"/>
      <c r="CJ313" s="1124"/>
      <c r="CK313" s="1124"/>
      <c r="CL313" s="155"/>
    </row>
    <row r="314" spans="1:90" hidden="1" outlineLevel="1" x14ac:dyDescent="0.3">
      <c r="A314" s="67" t="s">
        <v>59</v>
      </c>
      <c r="B314" s="146"/>
      <c r="C314" s="1113">
        <v>-12.913</v>
      </c>
      <c r="D314" s="1113">
        <v>-14.307</v>
      </c>
      <c r="E314" s="1113">
        <v>18.023</v>
      </c>
      <c r="F314" s="1113">
        <v>82.305999999999997</v>
      </c>
      <c r="G314" s="1055">
        <v>16.658000000000001</v>
      </c>
      <c r="H314" s="1055">
        <v>26.161999999999999</v>
      </c>
      <c r="I314" s="1055">
        <v>44.548000000000002</v>
      </c>
      <c r="J314" s="27">
        <f>K314-G314-H314-I314</f>
        <v>12.134999999999998</v>
      </c>
      <c r="K314" s="1113">
        <v>99.503</v>
      </c>
      <c r="L314" s="1055">
        <v>10.170999999999999</v>
      </c>
      <c r="M314" s="1055">
        <v>15.372</v>
      </c>
      <c r="N314" s="1055">
        <v>22.75</v>
      </c>
      <c r="O314" s="27">
        <f>P314-L314-M314-N314</f>
        <v>21.970999999999997</v>
      </c>
      <c r="P314" s="1113">
        <v>70.263999999999996</v>
      </c>
      <c r="Q314" s="1055">
        <v>26</v>
      </c>
      <c r="R314" s="1055">
        <v>27</v>
      </c>
      <c r="S314" s="1055">
        <v>36</v>
      </c>
      <c r="T314" s="27">
        <f>U314-Q314-R314-S314</f>
        <v>35</v>
      </c>
      <c r="U314" s="1113">
        <v>124</v>
      </c>
      <c r="V314" s="1055">
        <v>38</v>
      </c>
      <c r="W314" s="1055">
        <v>46</v>
      </c>
      <c r="X314" s="1055">
        <v>-1</v>
      </c>
      <c r="Y314" s="1055">
        <v>46</v>
      </c>
      <c r="Z314" s="1113">
        <v>129</v>
      </c>
      <c r="AA314" s="1055">
        <v>33</v>
      </c>
      <c r="AB314" s="1055">
        <v>56</v>
      </c>
      <c r="AC314" s="1055">
        <v>79</v>
      </c>
      <c r="AD314" s="1055">
        <v>71</v>
      </c>
      <c r="AE314" s="1113">
        <v>239</v>
      </c>
      <c r="AF314" s="1055">
        <v>29</v>
      </c>
      <c r="AG314" s="1055">
        <v>101</v>
      </c>
      <c r="AH314" s="1055">
        <v>58</v>
      </c>
      <c r="AI314" s="1055">
        <v>-40</v>
      </c>
      <c r="AJ314" s="1113">
        <v>149</v>
      </c>
      <c r="AK314" s="1055">
        <v>67</v>
      </c>
      <c r="AL314" s="1055">
        <v>79</v>
      </c>
      <c r="AM314" s="1055">
        <v>-149</v>
      </c>
      <c r="AN314" s="1055">
        <v>-243</v>
      </c>
      <c r="AO314" s="1113">
        <v>-245</v>
      </c>
      <c r="AP314" s="1062">
        <v>-5</v>
      </c>
      <c r="AQ314" s="1055">
        <v>54</v>
      </c>
      <c r="AR314" s="1055">
        <v>60</v>
      </c>
      <c r="AS314" s="1055">
        <v>66</v>
      </c>
      <c r="AT314" s="1113">
        <v>174</v>
      </c>
      <c r="AU314" s="1062">
        <v>64</v>
      </c>
      <c r="AV314" s="1055">
        <v>-13</v>
      </c>
      <c r="AW314" s="1055">
        <v>12</v>
      </c>
      <c r="AX314" s="1055">
        <v>13</v>
      </c>
      <c r="AY314" s="1113">
        <v>77</v>
      </c>
      <c r="AZ314" s="1062">
        <v>132</v>
      </c>
      <c r="BA314" s="1055">
        <v>20</v>
      </c>
      <c r="BB314" s="1055">
        <v>174</v>
      </c>
      <c r="BC314" s="1055">
        <v>-138</v>
      </c>
      <c r="BD314" s="1113">
        <v>189</v>
      </c>
      <c r="BE314" s="1062">
        <v>187</v>
      </c>
      <c r="BF314" s="1055">
        <v>-181</v>
      </c>
      <c r="BG314" s="1055">
        <v>-67</v>
      </c>
      <c r="BH314" s="1055">
        <v>-125</v>
      </c>
      <c r="BI314" s="1113">
        <v>-187</v>
      </c>
      <c r="BJ314" s="1062">
        <v>166</v>
      </c>
      <c r="BK314" s="1055">
        <v>793</v>
      </c>
      <c r="BL314" s="1055">
        <v>1279</v>
      </c>
      <c r="BM314" s="1055">
        <v>1821</v>
      </c>
      <c r="BN314" s="1113">
        <v>4058</v>
      </c>
      <c r="BO314" s="1062">
        <v>2398</v>
      </c>
      <c r="BP314" s="1055">
        <v>2615</v>
      </c>
      <c r="BQ314" s="1055">
        <v>3007</v>
      </c>
      <c r="BR314" s="1055">
        <v>3126</v>
      </c>
      <c r="BS314" s="1113">
        <v>11146</v>
      </c>
      <c r="BT314" s="1062">
        <v>3135</v>
      </c>
      <c r="BU314" s="1055">
        <v>4784</v>
      </c>
      <c r="BV314" s="1055">
        <v>6026</v>
      </c>
      <c r="BW314" s="1055">
        <v>7437</v>
      </c>
      <c r="BX314" s="1113">
        <v>21383</v>
      </c>
      <c r="BY314" s="1063">
        <v>11582</v>
      </c>
      <c r="BZ314" s="68"/>
      <c r="CA314" s="68"/>
      <c r="CB314" s="68"/>
      <c r="CC314" s="1112"/>
      <c r="CD314" s="68"/>
      <c r="CE314" s="68"/>
      <c r="CF314" s="68"/>
      <c r="CG314" s="68"/>
      <c r="CH314" s="1112"/>
      <c r="CI314" s="1112"/>
      <c r="CJ314" s="1112"/>
      <c r="CK314" s="1112"/>
      <c r="CL314" s="155"/>
    </row>
    <row r="315" spans="1:90" hidden="1" outlineLevel="1" x14ac:dyDescent="0.3">
      <c r="A315" s="64" t="s">
        <v>60</v>
      </c>
      <c r="B315" s="608"/>
      <c r="C315" s="1151">
        <f t="shared" ref="C315:AH315" si="770">C313-C314</f>
        <v>-30.04100000000027</v>
      </c>
      <c r="D315" s="1151">
        <f t="shared" si="770"/>
        <v>-67.986999999999711</v>
      </c>
      <c r="E315" s="1151">
        <f t="shared" si="770"/>
        <v>253.1460000000001</v>
      </c>
      <c r="F315" s="1151">
        <f t="shared" si="770"/>
        <v>581.08999999999969</v>
      </c>
      <c r="G315" s="65">
        <f t="shared" si="770"/>
        <v>60.436999999999969</v>
      </c>
      <c r="H315" s="65">
        <f t="shared" si="770"/>
        <v>119.04600000000005</v>
      </c>
      <c r="I315" s="65">
        <f t="shared" si="770"/>
        <v>209.07999999999987</v>
      </c>
      <c r="J315" s="65">
        <f t="shared" si="770"/>
        <v>173.97299999999998</v>
      </c>
      <c r="K315" s="1151">
        <f t="shared" si="770"/>
        <v>562.53599999999994</v>
      </c>
      <c r="L315" s="65">
        <f t="shared" si="770"/>
        <v>77.890999999999963</v>
      </c>
      <c r="M315" s="65">
        <f t="shared" si="770"/>
        <v>96.447999999999993</v>
      </c>
      <c r="N315" s="65">
        <f t="shared" si="770"/>
        <v>118.73400000000012</v>
      </c>
      <c r="O315" s="65">
        <f t="shared" si="770"/>
        <v>146.91700000000054</v>
      </c>
      <c r="P315" s="1151">
        <f t="shared" si="770"/>
        <v>439.99000000000029</v>
      </c>
      <c r="Q315" s="65">
        <f t="shared" si="770"/>
        <v>137</v>
      </c>
      <c r="R315" s="65">
        <f t="shared" si="770"/>
        <v>128</v>
      </c>
      <c r="S315" s="65">
        <f t="shared" si="770"/>
        <v>173</v>
      </c>
      <c r="T315" s="65">
        <f t="shared" si="770"/>
        <v>193</v>
      </c>
      <c r="U315" s="1151">
        <f t="shared" si="770"/>
        <v>631</v>
      </c>
      <c r="V315" s="65">
        <f t="shared" si="770"/>
        <v>134</v>
      </c>
      <c r="W315" s="65">
        <f t="shared" si="770"/>
        <v>26</v>
      </c>
      <c r="X315" s="65">
        <f t="shared" si="770"/>
        <v>246</v>
      </c>
      <c r="Y315" s="65">
        <f t="shared" si="770"/>
        <v>207</v>
      </c>
      <c r="Z315" s="1151">
        <f t="shared" si="770"/>
        <v>614</v>
      </c>
      <c r="AA315" s="65">
        <f t="shared" si="770"/>
        <v>208</v>
      </c>
      <c r="AB315" s="65">
        <f t="shared" si="770"/>
        <v>261</v>
      </c>
      <c r="AC315" s="66">
        <f t="shared" si="770"/>
        <v>542</v>
      </c>
      <c r="AD315" s="66">
        <f t="shared" si="770"/>
        <v>655</v>
      </c>
      <c r="AE315" s="1152">
        <f t="shared" si="770"/>
        <v>1666</v>
      </c>
      <c r="AF315" s="66">
        <f t="shared" si="770"/>
        <v>507</v>
      </c>
      <c r="AG315" s="65">
        <f t="shared" si="770"/>
        <v>583</v>
      </c>
      <c r="AH315" s="65">
        <f t="shared" si="770"/>
        <v>838</v>
      </c>
      <c r="AI315" s="66">
        <f t="shared" ref="AI315:AV315" si="771">AI313-AI314</f>
        <v>1118</v>
      </c>
      <c r="AJ315" s="1152">
        <f t="shared" si="771"/>
        <v>3047</v>
      </c>
      <c r="AK315" s="65">
        <f t="shared" si="771"/>
        <v>1244</v>
      </c>
      <c r="AL315" s="65">
        <f t="shared" si="771"/>
        <v>1101</v>
      </c>
      <c r="AM315" s="65">
        <f t="shared" si="771"/>
        <v>1230</v>
      </c>
      <c r="AN315" s="66">
        <f t="shared" si="771"/>
        <v>567</v>
      </c>
      <c r="AO315" s="1152">
        <f t="shared" si="771"/>
        <v>4141</v>
      </c>
      <c r="AP315" s="65">
        <f t="shared" si="771"/>
        <v>394</v>
      </c>
      <c r="AQ315" s="65">
        <f t="shared" si="771"/>
        <v>552</v>
      </c>
      <c r="AR315" s="65">
        <f t="shared" si="771"/>
        <v>899</v>
      </c>
      <c r="AS315" s="66">
        <f t="shared" si="771"/>
        <v>950</v>
      </c>
      <c r="AT315" s="1152">
        <f t="shared" si="771"/>
        <v>2796</v>
      </c>
      <c r="AU315" s="65">
        <f t="shared" si="771"/>
        <v>917</v>
      </c>
      <c r="AV315" s="65">
        <f t="shared" si="771"/>
        <v>622</v>
      </c>
      <c r="AW315" s="65">
        <f t="shared" ref="AW315:BB315" si="772">AW313-AW314</f>
        <v>1336</v>
      </c>
      <c r="AX315" s="66">
        <f t="shared" si="772"/>
        <v>1457</v>
      </c>
      <c r="AY315" s="1152">
        <f t="shared" si="772"/>
        <v>4332</v>
      </c>
      <c r="AZ315" s="65">
        <f t="shared" si="772"/>
        <v>1912</v>
      </c>
      <c r="BA315" s="65">
        <f t="shared" si="772"/>
        <v>2374</v>
      </c>
      <c r="BB315" s="65">
        <f t="shared" si="772"/>
        <v>2464</v>
      </c>
      <c r="BC315" s="66">
        <f t="shared" ref="BC315:BD315" si="773">BC313-BC314</f>
        <v>3003</v>
      </c>
      <c r="BD315" s="1152">
        <f t="shared" si="773"/>
        <v>9752</v>
      </c>
      <c r="BE315" s="65">
        <f t="shared" ref="BE315:BI315" si="774">BE313-BE314</f>
        <v>1618</v>
      </c>
      <c r="BF315" s="65">
        <f t="shared" si="774"/>
        <v>656</v>
      </c>
      <c r="BG315" s="65">
        <f t="shared" si="774"/>
        <v>680</v>
      </c>
      <c r="BH315" s="66">
        <f t="shared" si="774"/>
        <v>1414</v>
      </c>
      <c r="BI315" s="1152">
        <f t="shared" si="774"/>
        <v>4368</v>
      </c>
      <c r="BJ315" s="65">
        <f t="shared" ref="BJ315:BO315" si="775">BJ313-BJ314</f>
        <v>2043</v>
      </c>
      <c r="BK315" s="65">
        <f t="shared" si="775"/>
        <v>6188</v>
      </c>
      <c r="BL315" s="65">
        <f t="shared" si="775"/>
        <v>9243</v>
      </c>
      <c r="BM315" s="66">
        <f t="shared" si="775"/>
        <v>12285</v>
      </c>
      <c r="BN315" s="1152">
        <f t="shared" si="775"/>
        <v>29760</v>
      </c>
      <c r="BO315" s="65">
        <f t="shared" si="775"/>
        <v>14881</v>
      </c>
      <c r="BP315" s="65">
        <f t="shared" ref="BP315:BU315" si="776">BP313-BP314</f>
        <v>16599</v>
      </c>
      <c r="BQ315" s="65">
        <f t="shared" si="776"/>
        <v>19309</v>
      </c>
      <c r="BR315" s="66">
        <f t="shared" si="776"/>
        <v>22091</v>
      </c>
      <c r="BS315" s="1152">
        <f t="shared" si="776"/>
        <v>72880</v>
      </c>
      <c r="BT315" s="65">
        <f t="shared" si="776"/>
        <v>18775</v>
      </c>
      <c r="BU315" s="65">
        <f t="shared" si="776"/>
        <v>26422</v>
      </c>
      <c r="BV315" s="65">
        <f>BV313-BV314</f>
        <v>31910</v>
      </c>
      <c r="BW315" s="66">
        <f>BW313-BW314</f>
        <v>42960</v>
      </c>
      <c r="BX315" s="1152">
        <f>BX313-BX314</f>
        <v>120067</v>
      </c>
      <c r="BY315" s="906">
        <f>BY313-BY314</f>
        <v>58321</v>
      </c>
      <c r="BZ315" s="66"/>
      <c r="CA315" s="66"/>
      <c r="CB315" s="66"/>
      <c r="CC315" s="1152"/>
      <c r="CD315" s="66"/>
      <c r="CE315" s="66"/>
      <c r="CF315" s="66"/>
      <c r="CG315" s="66"/>
      <c r="CH315" s="1152"/>
      <c r="CI315" s="1152"/>
      <c r="CJ315" s="1152"/>
      <c r="CK315" s="1152"/>
      <c r="CL315" s="155"/>
    </row>
    <row r="316" spans="1:90" hidden="1" outlineLevel="1" x14ac:dyDescent="0.3">
      <c r="A316" s="99"/>
      <c r="B316" s="146"/>
      <c r="C316" s="1112"/>
      <c r="D316" s="1112"/>
      <c r="E316" s="1112"/>
      <c r="F316" s="1112"/>
      <c r="G316" s="68"/>
      <c r="H316" s="68"/>
      <c r="I316" s="68"/>
      <c r="J316" s="68"/>
      <c r="K316" s="1112"/>
      <c r="L316" s="68"/>
      <c r="M316" s="68"/>
      <c r="N316" s="68"/>
      <c r="O316" s="68"/>
      <c r="P316" s="1112"/>
      <c r="Q316" s="68"/>
      <c r="R316" s="68"/>
      <c r="S316" s="68"/>
      <c r="T316" s="68"/>
      <c r="U316" s="1112"/>
      <c r="V316" s="68"/>
      <c r="W316" s="68"/>
      <c r="X316" s="68"/>
      <c r="Y316" s="68"/>
      <c r="Z316" s="1112"/>
      <c r="AA316" s="68"/>
      <c r="AB316" s="68"/>
      <c r="AC316" s="68"/>
      <c r="AD316" s="68"/>
      <c r="AE316" s="1112"/>
      <c r="AF316" s="68"/>
      <c r="AG316" s="68"/>
      <c r="AH316" s="68"/>
      <c r="AI316" s="68"/>
      <c r="AJ316" s="1112"/>
      <c r="AK316" s="68"/>
      <c r="AL316" s="68"/>
      <c r="AM316" s="68"/>
      <c r="AN316" s="68"/>
      <c r="AO316" s="1112"/>
      <c r="AP316" s="68"/>
      <c r="AQ316" s="68"/>
      <c r="AR316" s="68"/>
      <c r="AS316" s="68"/>
      <c r="AT316" s="1112"/>
      <c r="AU316" s="68"/>
      <c r="AV316" s="68"/>
      <c r="AW316" s="68"/>
      <c r="AX316" s="68"/>
      <c r="AY316" s="1112"/>
      <c r="AZ316" s="68"/>
      <c r="BA316" s="68"/>
      <c r="BB316" s="68"/>
      <c r="BC316" s="68"/>
      <c r="BD316" s="1112"/>
      <c r="BE316" s="68"/>
      <c r="BF316" s="68"/>
      <c r="BG316" s="68"/>
      <c r="BH316" s="68"/>
      <c r="BI316" s="1112"/>
      <c r="BJ316" s="68"/>
      <c r="BK316" s="68"/>
      <c r="BL316" s="68"/>
      <c r="BM316" s="68"/>
      <c r="BN316" s="1112"/>
      <c r="BO316" s="68"/>
      <c r="BP316" s="68"/>
      <c r="BQ316" s="68"/>
      <c r="BR316" s="68"/>
      <c r="BS316" s="1112"/>
      <c r="BT316" s="68"/>
      <c r="BU316" s="68"/>
      <c r="BV316" s="68"/>
      <c r="BW316" s="68"/>
      <c r="BX316" s="1112"/>
      <c r="BY316" s="588"/>
      <c r="BZ316" s="68"/>
      <c r="CA316" s="68"/>
      <c r="CB316" s="68"/>
      <c r="CC316" s="1112"/>
      <c r="CD316" s="68"/>
      <c r="CE316" s="68"/>
      <c r="CF316" s="68"/>
      <c r="CG316" s="68"/>
      <c r="CH316" s="1112"/>
      <c r="CI316" s="1112"/>
      <c r="CJ316" s="1112"/>
      <c r="CK316" s="1112"/>
      <c r="CL316" s="155"/>
    </row>
    <row r="317" spans="1:90" hidden="1" outlineLevel="1" x14ac:dyDescent="0.3">
      <c r="A317" s="1009" t="s">
        <v>61</v>
      </c>
      <c r="B317" s="1009"/>
      <c r="C317" s="1010">
        <f t="shared" ref="C317:AH317" si="777">IF(ISBLANK(INDEX(MO_IS_FirstRow,0,COLUMN())),0,ROUND(C315-C851,6))</f>
        <v>0</v>
      </c>
      <c r="D317" s="1010">
        <f t="shared" si="777"/>
        <v>0</v>
      </c>
      <c r="E317" s="1010">
        <f t="shared" si="777"/>
        <v>0</v>
      </c>
      <c r="F317" s="1010">
        <f t="shared" si="777"/>
        <v>0</v>
      </c>
      <c r="G317" s="1010">
        <f t="shared" si="777"/>
        <v>0</v>
      </c>
      <c r="H317" s="1010">
        <f t="shared" si="777"/>
        <v>0</v>
      </c>
      <c r="I317" s="1010">
        <f t="shared" si="777"/>
        <v>0</v>
      </c>
      <c r="J317" s="1010">
        <f t="shared" si="777"/>
        <v>0</v>
      </c>
      <c r="K317" s="1010">
        <f t="shared" si="777"/>
        <v>0</v>
      </c>
      <c r="L317" s="1010">
        <f t="shared" si="777"/>
        <v>0</v>
      </c>
      <c r="M317" s="1010">
        <f t="shared" si="777"/>
        <v>0</v>
      </c>
      <c r="N317" s="1010">
        <f t="shared" si="777"/>
        <v>0</v>
      </c>
      <c r="O317" s="1010">
        <f t="shared" si="777"/>
        <v>0</v>
      </c>
      <c r="P317" s="1010">
        <f t="shared" si="777"/>
        <v>0</v>
      </c>
      <c r="Q317" s="1010">
        <f t="shared" si="777"/>
        <v>0</v>
      </c>
      <c r="R317" s="1010">
        <f t="shared" si="777"/>
        <v>0</v>
      </c>
      <c r="S317" s="1010">
        <f t="shared" si="777"/>
        <v>1</v>
      </c>
      <c r="T317" s="1010">
        <f t="shared" si="777"/>
        <v>-1</v>
      </c>
      <c r="U317" s="1010">
        <f t="shared" si="777"/>
        <v>0</v>
      </c>
      <c r="V317" s="1010">
        <f t="shared" si="777"/>
        <v>0</v>
      </c>
      <c r="W317" s="1010">
        <f t="shared" si="777"/>
        <v>0</v>
      </c>
      <c r="X317" s="1010">
        <f t="shared" si="777"/>
        <v>0</v>
      </c>
      <c r="Y317" s="1010">
        <f t="shared" si="777"/>
        <v>-1</v>
      </c>
      <c r="Z317" s="1010">
        <f t="shared" si="777"/>
        <v>0</v>
      </c>
      <c r="AA317" s="1010">
        <f t="shared" si="777"/>
        <v>0</v>
      </c>
      <c r="AB317" s="1010">
        <f t="shared" si="777"/>
        <v>0</v>
      </c>
      <c r="AC317" s="1010">
        <f t="shared" si="777"/>
        <v>-1</v>
      </c>
      <c r="AD317" s="1010">
        <f t="shared" si="777"/>
        <v>1</v>
      </c>
      <c r="AE317" s="1010">
        <f t="shared" si="777"/>
        <v>0</v>
      </c>
      <c r="AF317" s="1010">
        <f t="shared" si="777"/>
        <v>0</v>
      </c>
      <c r="AG317" s="1010">
        <f t="shared" si="777"/>
        <v>-1</v>
      </c>
      <c r="AH317" s="1010">
        <f t="shared" si="777"/>
        <v>1</v>
      </c>
      <c r="AI317" s="1010">
        <f t="shared" ref="AI317:BJ317" si="778">IF(ISBLANK(INDEX(MO_IS_FirstRow,0,COLUMN())),0,ROUND(AI315-AI851,6))</f>
        <v>-1</v>
      </c>
      <c r="AJ317" s="1010">
        <f t="shared" si="778"/>
        <v>0</v>
      </c>
      <c r="AK317" s="1010">
        <f t="shared" si="778"/>
        <v>0</v>
      </c>
      <c r="AL317" s="1010">
        <f t="shared" si="778"/>
        <v>0</v>
      </c>
      <c r="AM317" s="1010">
        <f t="shared" si="778"/>
        <v>0</v>
      </c>
      <c r="AN317" s="1010">
        <f t="shared" si="778"/>
        <v>1</v>
      </c>
      <c r="AO317" s="1010">
        <f t="shared" si="778"/>
        <v>0</v>
      </c>
      <c r="AP317" s="1010">
        <f t="shared" si="778"/>
        <v>0</v>
      </c>
      <c r="AQ317" s="1010">
        <f t="shared" si="778"/>
        <v>-1</v>
      </c>
      <c r="AR317" s="1010">
        <f t="shared" si="778"/>
        <v>1</v>
      </c>
      <c r="AS317" s="1010">
        <f t="shared" si="778"/>
        <v>-1</v>
      </c>
      <c r="AT317" s="1010">
        <f t="shared" si="778"/>
        <v>0</v>
      </c>
      <c r="AU317" s="1010">
        <f t="shared" si="778"/>
        <v>0</v>
      </c>
      <c r="AV317" s="1010">
        <f t="shared" si="778"/>
        <v>0</v>
      </c>
      <c r="AW317" s="1010">
        <f t="shared" si="778"/>
        <v>0</v>
      </c>
      <c r="AX317" s="1010">
        <f t="shared" si="778"/>
        <v>0</v>
      </c>
      <c r="AY317" s="1010">
        <f t="shared" si="778"/>
        <v>0</v>
      </c>
      <c r="AZ317" s="1010">
        <f t="shared" si="778"/>
        <v>0</v>
      </c>
      <c r="BA317" s="1010">
        <f t="shared" si="778"/>
        <v>1</v>
      </c>
      <c r="BB317" s="1010">
        <f t="shared" si="778"/>
        <v>0</v>
      </c>
      <c r="BC317" s="1010">
        <f t="shared" si="778"/>
        <v>0</v>
      </c>
      <c r="BD317" s="1010">
        <f t="shared" si="778"/>
        <v>0</v>
      </c>
      <c r="BE317" s="1010">
        <f t="shared" si="778"/>
        <v>0</v>
      </c>
      <c r="BF317" s="1010">
        <f t="shared" si="778"/>
        <v>0</v>
      </c>
      <c r="BG317" s="1010">
        <f t="shared" si="778"/>
        <v>0</v>
      </c>
      <c r="BH317" s="1010">
        <f t="shared" si="778"/>
        <v>0</v>
      </c>
      <c r="BI317" s="1010">
        <f t="shared" si="778"/>
        <v>0</v>
      </c>
      <c r="BJ317" s="1010">
        <f t="shared" si="778"/>
        <v>0</v>
      </c>
      <c r="BK317" s="1010">
        <f t="shared" ref="BK317:BN317" si="779">IF(ISBLANK(INDEX(MO_IS_FirstRow,0,COLUMN())),0,ROUND(BK315-BK851,6))</f>
        <v>-1</v>
      </c>
      <c r="BL317" s="1010">
        <f t="shared" si="779"/>
        <v>0</v>
      </c>
      <c r="BM317" s="1010">
        <f t="shared" si="779"/>
        <v>0</v>
      </c>
      <c r="BN317" s="1010">
        <f t="shared" si="779"/>
        <v>0</v>
      </c>
      <c r="BO317" s="1010">
        <f t="shared" ref="BO317:BS317" si="780">IF(ISBLANK(INDEX(MO_IS_FirstRow,0,COLUMN())),0,ROUND(BO315-BO851,6))</f>
        <v>0</v>
      </c>
      <c r="BP317" s="1010">
        <f t="shared" si="780"/>
        <v>0</v>
      </c>
      <c r="BQ317" s="1010">
        <f t="shared" si="780"/>
        <v>0</v>
      </c>
      <c r="BR317" s="1010">
        <f t="shared" si="780"/>
        <v>0</v>
      </c>
      <c r="BS317" s="1010">
        <f t="shared" si="780"/>
        <v>0</v>
      </c>
      <c r="BT317" s="1010">
        <f t="shared" ref="BT317:CK317" si="781">IF(ISBLANK(INDEX(MO_IS_FirstRow,0,COLUMN())),0,ROUND(BT315-BT851,6))</f>
        <v>0</v>
      </c>
      <c r="BU317" s="1010">
        <f t="shared" si="781"/>
        <v>0</v>
      </c>
      <c r="BV317" s="1010">
        <f t="shared" si="781"/>
        <v>0</v>
      </c>
      <c r="BW317" s="1010">
        <f t="shared" si="781"/>
        <v>0</v>
      </c>
      <c r="BX317" s="1010">
        <f t="shared" si="781"/>
        <v>0</v>
      </c>
      <c r="BY317" s="1011">
        <f>IF(ISBLANK(INDEX(MO_IS_FirstRow,0,COLUMN())),0,ROUND(BY315-BY851,6))</f>
        <v>0</v>
      </c>
      <c r="BZ317" s="1010">
        <f t="shared" si="781"/>
        <v>0</v>
      </c>
      <c r="CA317" s="1010">
        <f t="shared" si="781"/>
        <v>0</v>
      </c>
      <c r="CB317" s="1010">
        <f t="shared" si="781"/>
        <v>0</v>
      </c>
      <c r="CC317" s="1010">
        <f t="shared" si="781"/>
        <v>0</v>
      </c>
      <c r="CD317" s="1010">
        <f t="shared" si="781"/>
        <v>0</v>
      </c>
      <c r="CE317" s="1010">
        <f t="shared" si="781"/>
        <v>0</v>
      </c>
      <c r="CF317" s="1010">
        <f t="shared" si="781"/>
        <v>0</v>
      </c>
      <c r="CG317" s="1010">
        <f t="shared" si="781"/>
        <v>0</v>
      </c>
      <c r="CH317" s="1010">
        <f t="shared" si="781"/>
        <v>0</v>
      </c>
      <c r="CI317" s="1010">
        <f t="shared" si="781"/>
        <v>0</v>
      </c>
      <c r="CJ317" s="1010">
        <f t="shared" si="781"/>
        <v>0</v>
      </c>
      <c r="CK317" s="1010">
        <f t="shared" si="781"/>
        <v>0</v>
      </c>
      <c r="CL317" s="155"/>
    </row>
    <row r="318" spans="1:90" collapsed="1" x14ac:dyDescent="0.3">
      <c r="A318" s="492"/>
      <c r="B318" s="428"/>
      <c r="C318" s="1136"/>
      <c r="D318" s="1136"/>
      <c r="E318" s="1136"/>
      <c r="F318" s="1136"/>
      <c r="G318" s="93"/>
      <c r="H318" s="93"/>
      <c r="I318" s="93"/>
      <c r="J318" s="93"/>
      <c r="K318" s="1136"/>
      <c r="L318" s="93"/>
      <c r="M318" s="93"/>
      <c r="N318" s="93"/>
      <c r="O318" s="93"/>
      <c r="P318" s="1136"/>
      <c r="Q318" s="93"/>
      <c r="R318" s="93"/>
      <c r="S318" s="93"/>
      <c r="T318" s="93"/>
      <c r="U318" s="1136"/>
      <c r="V318" s="93"/>
      <c r="W318" s="93"/>
      <c r="X318" s="93"/>
      <c r="Y318" s="93"/>
      <c r="Z318" s="1136"/>
      <c r="AA318" s="93"/>
      <c r="AB318" s="93"/>
      <c r="AC318" s="93"/>
      <c r="AD318" s="93"/>
      <c r="AE318" s="1136"/>
      <c r="AF318" s="93"/>
      <c r="AG318" s="93"/>
      <c r="AH318" s="93"/>
      <c r="AI318" s="93"/>
      <c r="AJ318" s="1136"/>
      <c r="AK318" s="93"/>
      <c r="AL318" s="93"/>
      <c r="AM318" s="93"/>
      <c r="AN318" s="93"/>
      <c r="AO318" s="1136"/>
      <c r="AP318" s="93"/>
      <c r="AQ318" s="93"/>
      <c r="AR318" s="93"/>
      <c r="AS318" s="93"/>
      <c r="AT318" s="1136"/>
      <c r="AU318" s="93"/>
      <c r="AV318" s="93"/>
      <c r="AW318" s="93"/>
      <c r="AX318" s="93"/>
      <c r="AY318" s="1136"/>
      <c r="AZ318" s="93"/>
      <c r="BA318" s="93"/>
      <c r="BB318" s="93"/>
      <c r="BC318" s="93"/>
      <c r="BD318" s="1136"/>
      <c r="BE318" s="93"/>
      <c r="BF318" s="93"/>
      <c r="BG318" s="93"/>
      <c r="BH318" s="93"/>
      <c r="BI318" s="1136"/>
      <c r="BJ318" s="93"/>
      <c r="BK318" s="93"/>
      <c r="BL318" s="93"/>
      <c r="BM318" s="93"/>
      <c r="BN318" s="1136"/>
      <c r="BO318" s="93"/>
      <c r="BP318" s="93"/>
      <c r="BQ318" s="93"/>
      <c r="BR318" s="93"/>
      <c r="BS318" s="1136"/>
      <c r="BT318" s="93"/>
      <c r="BU318" s="93"/>
      <c r="BV318" s="93"/>
      <c r="BW318" s="93"/>
      <c r="BX318" s="1136"/>
      <c r="BY318" s="522"/>
      <c r="BZ318" s="93"/>
      <c r="CA318" s="93"/>
      <c r="CB318" s="93"/>
      <c r="CC318" s="1136"/>
      <c r="CD318" s="93"/>
      <c r="CE318" s="93"/>
      <c r="CF318" s="93"/>
      <c r="CG318" s="93"/>
      <c r="CH318" s="1136"/>
      <c r="CI318" s="1136"/>
      <c r="CJ318" s="1136"/>
      <c r="CK318" s="1136"/>
      <c r="CL318" s="155"/>
    </row>
    <row r="319" spans="1:90" x14ac:dyDescent="0.3">
      <c r="A319" s="45" t="s">
        <v>559</v>
      </c>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c r="AY319" s="45"/>
      <c r="AZ319" s="45"/>
      <c r="BA319" s="45"/>
      <c r="BB319" s="45"/>
      <c r="BC319" s="45"/>
      <c r="BD319" s="45"/>
      <c r="BE319" s="45"/>
      <c r="BF319" s="45"/>
      <c r="BG319" s="45"/>
      <c r="BH319" s="45"/>
      <c r="BI319" s="45"/>
      <c r="BJ319" s="45"/>
      <c r="BK319" s="45"/>
      <c r="BL319" s="45"/>
      <c r="BM319" s="45"/>
      <c r="BN319" s="45"/>
      <c r="BO319" s="45"/>
      <c r="BP319" s="45"/>
      <c r="BQ319" s="45"/>
      <c r="BR319" s="45"/>
      <c r="BS319" s="45"/>
      <c r="BT319" s="1021" t="s">
        <v>673</v>
      </c>
      <c r="BU319" s="1021" t="s">
        <v>673</v>
      </c>
      <c r="BV319" s="1021" t="s">
        <v>673</v>
      </c>
      <c r="BW319" s="1021" t="s">
        <v>673</v>
      </c>
      <c r="BX319" s="1021" t="s">
        <v>673</v>
      </c>
      <c r="BY319" s="881"/>
      <c r="BZ319" s="45"/>
      <c r="CA319" s="45"/>
      <c r="CB319" s="45"/>
      <c r="CC319" s="45"/>
      <c r="CD319" s="45"/>
      <c r="CE319" s="45"/>
      <c r="CF319" s="45"/>
      <c r="CG319" s="45"/>
      <c r="CH319" s="45"/>
      <c r="CI319" s="45"/>
      <c r="CJ319" s="45"/>
      <c r="CK319" s="45"/>
      <c r="CL319" s="155"/>
    </row>
    <row r="320" spans="1:90" hidden="1" outlineLevel="1" x14ac:dyDescent="0.3">
      <c r="A320" s="62" t="s">
        <v>63</v>
      </c>
      <c r="B320" s="279"/>
      <c r="C320" s="1134">
        <f t="shared" ref="C320:AH320" si="782">C315</f>
        <v>-30.04100000000027</v>
      </c>
      <c r="D320" s="1134">
        <f t="shared" si="782"/>
        <v>-67.986999999999711</v>
      </c>
      <c r="E320" s="1134">
        <f t="shared" si="782"/>
        <v>253.1460000000001</v>
      </c>
      <c r="F320" s="1134">
        <f t="shared" si="782"/>
        <v>581.08999999999969</v>
      </c>
      <c r="G320" s="28">
        <f t="shared" si="782"/>
        <v>60.436999999999969</v>
      </c>
      <c r="H320" s="28">
        <f t="shared" si="782"/>
        <v>119.04600000000005</v>
      </c>
      <c r="I320" s="28">
        <f t="shared" si="782"/>
        <v>209.07999999999987</v>
      </c>
      <c r="J320" s="28">
        <f t="shared" si="782"/>
        <v>173.97299999999998</v>
      </c>
      <c r="K320" s="1134">
        <f t="shared" si="782"/>
        <v>562.53599999999994</v>
      </c>
      <c r="L320" s="28">
        <f t="shared" si="782"/>
        <v>77.890999999999963</v>
      </c>
      <c r="M320" s="28">
        <f t="shared" si="782"/>
        <v>96.447999999999993</v>
      </c>
      <c r="N320" s="28">
        <f t="shared" si="782"/>
        <v>118.73400000000012</v>
      </c>
      <c r="O320" s="28">
        <f t="shared" si="782"/>
        <v>146.91700000000054</v>
      </c>
      <c r="P320" s="1134">
        <f t="shared" si="782"/>
        <v>439.99000000000029</v>
      </c>
      <c r="Q320" s="28">
        <f t="shared" si="782"/>
        <v>137</v>
      </c>
      <c r="R320" s="28">
        <f t="shared" si="782"/>
        <v>128</v>
      </c>
      <c r="S320" s="28">
        <f t="shared" si="782"/>
        <v>173</v>
      </c>
      <c r="T320" s="28">
        <f t="shared" si="782"/>
        <v>193</v>
      </c>
      <c r="U320" s="1134">
        <f t="shared" si="782"/>
        <v>631</v>
      </c>
      <c r="V320" s="28">
        <f t="shared" si="782"/>
        <v>134</v>
      </c>
      <c r="W320" s="28">
        <f t="shared" si="782"/>
        <v>26</v>
      </c>
      <c r="X320" s="28">
        <f t="shared" si="782"/>
        <v>246</v>
      </c>
      <c r="Y320" s="28">
        <f t="shared" si="782"/>
        <v>207</v>
      </c>
      <c r="Z320" s="1134">
        <f t="shared" si="782"/>
        <v>614</v>
      </c>
      <c r="AA320" s="28">
        <f t="shared" si="782"/>
        <v>208</v>
      </c>
      <c r="AB320" s="28">
        <f t="shared" si="782"/>
        <v>261</v>
      </c>
      <c r="AC320" s="28">
        <f t="shared" si="782"/>
        <v>542</v>
      </c>
      <c r="AD320" s="28">
        <f t="shared" si="782"/>
        <v>655</v>
      </c>
      <c r="AE320" s="1134">
        <f t="shared" si="782"/>
        <v>1666</v>
      </c>
      <c r="AF320" s="28">
        <f t="shared" si="782"/>
        <v>507</v>
      </c>
      <c r="AG320" s="28">
        <f t="shared" si="782"/>
        <v>583</v>
      </c>
      <c r="AH320" s="28">
        <f t="shared" si="782"/>
        <v>838</v>
      </c>
      <c r="AI320" s="28">
        <f t="shared" ref="AI320:BG320" si="783">AI315</f>
        <v>1118</v>
      </c>
      <c r="AJ320" s="1134">
        <f t="shared" si="783"/>
        <v>3047</v>
      </c>
      <c r="AK320" s="28">
        <f t="shared" si="783"/>
        <v>1244</v>
      </c>
      <c r="AL320" s="28">
        <f t="shared" si="783"/>
        <v>1101</v>
      </c>
      <c r="AM320" s="28">
        <f t="shared" si="783"/>
        <v>1230</v>
      </c>
      <c r="AN320" s="28">
        <f t="shared" si="783"/>
        <v>567</v>
      </c>
      <c r="AO320" s="1134">
        <f t="shared" si="783"/>
        <v>4141</v>
      </c>
      <c r="AP320" s="28">
        <f t="shared" si="783"/>
        <v>394</v>
      </c>
      <c r="AQ320" s="28">
        <f t="shared" si="783"/>
        <v>552</v>
      </c>
      <c r="AR320" s="28">
        <f t="shared" si="783"/>
        <v>899</v>
      </c>
      <c r="AS320" s="28">
        <f t="shared" si="783"/>
        <v>950</v>
      </c>
      <c r="AT320" s="1134">
        <f t="shared" si="783"/>
        <v>2796</v>
      </c>
      <c r="AU320" s="28">
        <f t="shared" si="783"/>
        <v>917</v>
      </c>
      <c r="AV320" s="28">
        <f t="shared" si="783"/>
        <v>622</v>
      </c>
      <c r="AW320" s="28">
        <f t="shared" si="783"/>
        <v>1336</v>
      </c>
      <c r="AX320" s="28">
        <f t="shared" si="783"/>
        <v>1457</v>
      </c>
      <c r="AY320" s="1134">
        <f t="shared" si="783"/>
        <v>4332</v>
      </c>
      <c r="AZ320" s="28">
        <f t="shared" si="783"/>
        <v>1912</v>
      </c>
      <c r="BA320" s="28">
        <f t="shared" si="783"/>
        <v>2374</v>
      </c>
      <c r="BB320" s="28">
        <f t="shared" si="783"/>
        <v>2464</v>
      </c>
      <c r="BC320" s="28">
        <f t="shared" si="783"/>
        <v>3003</v>
      </c>
      <c r="BD320" s="1134">
        <f t="shared" si="783"/>
        <v>9752</v>
      </c>
      <c r="BE320" s="28">
        <f t="shared" si="783"/>
        <v>1618</v>
      </c>
      <c r="BF320" s="28">
        <f t="shared" si="783"/>
        <v>656</v>
      </c>
      <c r="BG320" s="28">
        <f t="shared" si="783"/>
        <v>680</v>
      </c>
      <c r="BH320" s="28">
        <f t="shared" ref="BH320:BN320" si="784">BH315</f>
        <v>1414</v>
      </c>
      <c r="BI320" s="1134">
        <f t="shared" si="784"/>
        <v>4368</v>
      </c>
      <c r="BJ320" s="28">
        <f t="shared" si="784"/>
        <v>2043</v>
      </c>
      <c r="BK320" s="28">
        <f t="shared" si="784"/>
        <v>6188</v>
      </c>
      <c r="BL320" s="28">
        <f t="shared" si="784"/>
        <v>9243</v>
      </c>
      <c r="BM320" s="28">
        <f t="shared" si="784"/>
        <v>12285</v>
      </c>
      <c r="BN320" s="1134">
        <f t="shared" si="784"/>
        <v>29760</v>
      </c>
      <c r="BO320" s="28">
        <f t="shared" ref="BO320:BT320" si="785">BO315</f>
        <v>14881</v>
      </c>
      <c r="BP320" s="28">
        <f t="shared" si="785"/>
        <v>16599</v>
      </c>
      <c r="BQ320" s="28">
        <f t="shared" si="785"/>
        <v>19309</v>
      </c>
      <c r="BR320" s="28">
        <f t="shared" si="785"/>
        <v>22091</v>
      </c>
      <c r="BS320" s="1134">
        <f t="shared" si="785"/>
        <v>72880</v>
      </c>
      <c r="BT320" s="28">
        <f t="shared" si="785"/>
        <v>18775</v>
      </c>
      <c r="BU320" s="28">
        <f>BU315</f>
        <v>26422</v>
      </c>
      <c r="BV320" s="28">
        <f>BV315</f>
        <v>31910</v>
      </c>
      <c r="BW320" s="28">
        <f>BW315</f>
        <v>42960</v>
      </c>
      <c r="BX320" s="1134">
        <f>BX315</f>
        <v>120067</v>
      </c>
      <c r="BY320" s="505">
        <f>BY315</f>
        <v>58321</v>
      </c>
      <c r="BZ320" s="63"/>
      <c r="CA320" s="63"/>
      <c r="CB320" s="63"/>
      <c r="CC320" s="1127"/>
      <c r="CD320" s="63"/>
      <c r="CE320" s="63"/>
      <c r="CF320" s="63"/>
      <c r="CG320" s="63"/>
      <c r="CH320" s="1127"/>
      <c r="CI320" s="1127"/>
      <c r="CJ320" s="1127"/>
      <c r="CK320" s="1127"/>
      <c r="CL320" s="155"/>
    </row>
    <row r="321" spans="1:90" hidden="1" outlineLevel="1" x14ac:dyDescent="0.3">
      <c r="A321" s="67" t="s">
        <v>64</v>
      </c>
      <c r="B321" s="146"/>
      <c r="C321" s="1113">
        <f>187.954+7.956+4.5+18.912</f>
        <v>219.322</v>
      </c>
      <c r="D321" s="1113">
        <f>93.949+140.241</f>
        <v>234.19</v>
      </c>
      <c r="E321" s="1113">
        <v>246.43299999999999</v>
      </c>
      <c r="F321" s="1113">
        <v>181.126</v>
      </c>
      <c r="G321" s="1055">
        <v>45.082000000000001</v>
      </c>
      <c r="H321" s="1055">
        <v>61.241</v>
      </c>
      <c r="I321" s="1055">
        <v>42.137</v>
      </c>
      <c r="J321" s="1055">
        <v>44.466999999999999</v>
      </c>
      <c r="K321" s="1113">
        <v>192.92699999999999</v>
      </c>
      <c r="L321" s="1055">
        <v>42.258000000000003</v>
      </c>
      <c r="M321" s="1055">
        <v>43.649000000000001</v>
      </c>
      <c r="N321" s="1055">
        <v>41.110999999999997</v>
      </c>
      <c r="O321" s="1055">
        <v>42.493000000000002</v>
      </c>
      <c r="P321" s="1113">
        <v>169.511</v>
      </c>
      <c r="Q321" s="1055">
        <v>35</v>
      </c>
      <c r="R321" s="1055">
        <v>57</v>
      </c>
      <c r="S321" s="1055">
        <v>58</v>
      </c>
      <c r="T321" s="1055">
        <v>59</v>
      </c>
      <c r="U321" s="1113">
        <v>208</v>
      </c>
      <c r="V321" s="1055">
        <v>63</v>
      </c>
      <c r="W321" s="1055">
        <v>162</v>
      </c>
      <c r="X321" s="1055">
        <v>66</v>
      </c>
      <c r="Y321" s="1055">
        <v>111</v>
      </c>
      <c r="Z321" s="1113">
        <v>402</v>
      </c>
      <c r="AA321" s="1055">
        <v>81</v>
      </c>
      <c r="AB321" s="1055">
        <v>72</v>
      </c>
      <c r="AC321" s="1055">
        <v>90</v>
      </c>
      <c r="AD321" s="1055">
        <v>85</v>
      </c>
      <c r="AE321" s="1113">
        <v>329</v>
      </c>
      <c r="AF321" s="1055">
        <v>99</v>
      </c>
      <c r="AG321" s="1055">
        <v>89</v>
      </c>
      <c r="AH321" s="1055">
        <v>111</v>
      </c>
      <c r="AI321" s="1055">
        <v>129</v>
      </c>
      <c r="AJ321" s="1113">
        <v>428</v>
      </c>
      <c r="AK321" s="1055">
        <v>128</v>
      </c>
      <c r="AL321" s="1055">
        <v>131</v>
      </c>
      <c r="AM321" s="1055">
        <v>150</v>
      </c>
      <c r="AN321" s="1055">
        <v>184</v>
      </c>
      <c r="AO321" s="1113">
        <v>593</v>
      </c>
      <c r="AP321" s="1055">
        <v>199</v>
      </c>
      <c r="AQ321" s="1055">
        <v>231</v>
      </c>
      <c r="AR321" s="1055">
        <v>230</v>
      </c>
      <c r="AS321" s="1055">
        <v>230</v>
      </c>
      <c r="AT321" s="1113">
        <v>890</v>
      </c>
      <c r="AU321" s="1055">
        <v>232</v>
      </c>
      <c r="AV321" s="1055">
        <v>868</v>
      </c>
      <c r="AW321" s="1055">
        <v>600</v>
      </c>
      <c r="AX321" s="1055">
        <v>574</v>
      </c>
      <c r="AY321" s="1113">
        <v>2274</v>
      </c>
      <c r="AZ321" s="1055">
        <v>468</v>
      </c>
      <c r="BA321" s="1055">
        <v>628</v>
      </c>
      <c r="BB321" s="1055">
        <v>696</v>
      </c>
      <c r="BC321" s="1055">
        <v>760</v>
      </c>
      <c r="BD321" s="1113">
        <v>2553</v>
      </c>
      <c r="BE321" s="1055">
        <v>2105</v>
      </c>
      <c r="BF321" s="1055">
        <v>833</v>
      </c>
      <c r="BG321" s="1055">
        <v>947</v>
      </c>
      <c r="BH321" s="1055">
        <v>978</v>
      </c>
      <c r="BI321" s="1113">
        <v>4865</v>
      </c>
      <c r="BJ321" s="1055">
        <v>927</v>
      </c>
      <c r="BK321" s="1055">
        <v>915</v>
      </c>
      <c r="BL321" s="1055">
        <v>1210</v>
      </c>
      <c r="BM321" s="1055">
        <v>875</v>
      </c>
      <c r="BN321" s="1113">
        <v>3928</v>
      </c>
      <c r="BO321" s="1055">
        <v>1082</v>
      </c>
      <c r="BP321" s="1055">
        <v>1103</v>
      </c>
      <c r="BQ321" s="1055">
        <v>1371</v>
      </c>
      <c r="BR321" s="1055">
        <v>756</v>
      </c>
      <c r="BS321" s="1113">
        <v>4310</v>
      </c>
      <c r="BT321" s="1055">
        <v>1813</v>
      </c>
      <c r="BU321" s="1055">
        <v>-521</v>
      </c>
      <c r="BV321" s="1055">
        <v>389</v>
      </c>
      <c r="BW321" s="1055">
        <v>-3670</v>
      </c>
      <c r="BX321" s="1113">
        <v>-1989</v>
      </c>
      <c r="BY321" s="1057">
        <v>-15663</v>
      </c>
      <c r="BZ321" s="68"/>
      <c r="CA321" s="68"/>
      <c r="CB321" s="68"/>
      <c r="CC321" s="1112"/>
      <c r="CD321" s="68"/>
      <c r="CE321" s="68"/>
      <c r="CF321" s="68"/>
      <c r="CG321" s="68"/>
      <c r="CH321" s="1112"/>
      <c r="CI321" s="1112"/>
      <c r="CJ321" s="1112"/>
      <c r="CK321" s="1112"/>
      <c r="CL321" s="155"/>
    </row>
    <row r="322" spans="1:90" hidden="1" outlineLevel="1" x14ac:dyDescent="0.3">
      <c r="A322" s="67" t="s">
        <v>66</v>
      </c>
      <c r="B322" s="146"/>
      <c r="C322" s="1113">
        <v>-28.997</v>
      </c>
      <c r="D322" s="1113">
        <v>-24.82</v>
      </c>
      <c r="E322" s="1113">
        <v>-23.164999999999999</v>
      </c>
      <c r="F322" s="1113">
        <v>-27.81</v>
      </c>
      <c r="G322" s="1055">
        <v>-7.9889999999999999</v>
      </c>
      <c r="H322" s="1055">
        <v>-9.8390000000000004</v>
      </c>
      <c r="I322" s="1055">
        <v>-5.7549999999999999</v>
      </c>
      <c r="J322" s="1055">
        <v>-3.5070000000000001</v>
      </c>
      <c r="K322" s="1113">
        <v>-27.09</v>
      </c>
      <c r="L322" s="1055">
        <v>-6.3479999999999999</v>
      </c>
      <c r="M322" s="1055">
        <v>-6.7670000000000003</v>
      </c>
      <c r="N322" s="1055">
        <v>-6.0549999999999997</v>
      </c>
      <c r="O322" s="1055">
        <v>-1.9239999999999999</v>
      </c>
      <c r="P322" s="1113">
        <v>-21.094000000000001</v>
      </c>
      <c r="Q322" s="1055">
        <v>-6</v>
      </c>
      <c r="R322" s="1055">
        <v>-12</v>
      </c>
      <c r="S322" s="1055">
        <v>-11</v>
      </c>
      <c r="T322" s="1055">
        <v>-11</v>
      </c>
      <c r="U322" s="1113">
        <v>-38</v>
      </c>
      <c r="V322" s="1055">
        <v>-10</v>
      </c>
      <c r="W322" s="1055">
        <v>2</v>
      </c>
      <c r="X322" s="1055">
        <v>-57</v>
      </c>
      <c r="Y322" s="1055">
        <v>-21</v>
      </c>
      <c r="Z322" s="1113">
        <v>-87</v>
      </c>
      <c r="AA322" s="1055">
        <v>-26</v>
      </c>
      <c r="AB322" s="1055">
        <v>-20</v>
      </c>
      <c r="AC322" s="1055">
        <v>-62</v>
      </c>
      <c r="AD322" s="1055">
        <v>-36</v>
      </c>
      <c r="AE322" s="1113">
        <v>-144</v>
      </c>
      <c r="AF322" s="1055">
        <v>-73</v>
      </c>
      <c r="AG322" s="1055">
        <v>-34</v>
      </c>
      <c r="AH322" s="1055">
        <v>-116</v>
      </c>
      <c r="AI322" s="1055">
        <v>-33</v>
      </c>
      <c r="AJ322" s="1113">
        <v>-257</v>
      </c>
      <c r="AK322" s="1055">
        <v>-87</v>
      </c>
      <c r="AL322" s="1055">
        <v>-22</v>
      </c>
      <c r="AM322" s="1055">
        <v>-91</v>
      </c>
      <c r="AN322" s="1055">
        <v>-25</v>
      </c>
      <c r="AO322" s="1113">
        <v>-223</v>
      </c>
      <c r="AP322" s="1055">
        <v>-50</v>
      </c>
      <c r="AQ322" s="1055">
        <v>-21</v>
      </c>
      <c r="AR322" s="1055">
        <v>-26</v>
      </c>
      <c r="AS322" s="1055">
        <v>-8</v>
      </c>
      <c r="AT322" s="1113">
        <v>-106</v>
      </c>
      <c r="AU322" s="1055">
        <v>-29</v>
      </c>
      <c r="AV322" s="1055">
        <v>-124</v>
      </c>
      <c r="AW322" s="1055">
        <v>-102</v>
      </c>
      <c r="AX322" s="1055">
        <v>-74</v>
      </c>
      <c r="AY322" s="1113">
        <v>-329</v>
      </c>
      <c r="AZ322" s="1055">
        <v>-67</v>
      </c>
      <c r="BA322" s="1055">
        <v>-127</v>
      </c>
      <c r="BB322" s="1055">
        <v>-187</v>
      </c>
      <c r="BC322" s="1055">
        <v>-330</v>
      </c>
      <c r="BD322" s="1113">
        <v>-712</v>
      </c>
      <c r="BE322" s="1055">
        <v>-280</v>
      </c>
      <c r="BF322" s="1055">
        <v>-197</v>
      </c>
      <c r="BG322" s="1055">
        <v>-171</v>
      </c>
      <c r="BH322" s="1055">
        <v>-218</v>
      </c>
      <c r="BI322" s="1113">
        <v>-867</v>
      </c>
      <c r="BJ322" s="1055">
        <v>-257</v>
      </c>
      <c r="BK322" s="1055">
        <v>-363</v>
      </c>
      <c r="BL322" s="1055">
        <v>-433</v>
      </c>
      <c r="BM322" s="1055">
        <v>-321</v>
      </c>
      <c r="BN322" s="1113">
        <v>-1376</v>
      </c>
      <c r="BO322" s="1055">
        <v>-725</v>
      </c>
      <c r="BP322" s="1055">
        <v>-750</v>
      </c>
      <c r="BQ322" s="1055">
        <v>-670</v>
      </c>
      <c r="BR322" s="1055">
        <v>-781</v>
      </c>
      <c r="BS322" s="1113">
        <v>-2925</v>
      </c>
      <c r="BT322" s="1055">
        <v>-694</v>
      </c>
      <c r="BU322" s="1055">
        <v>-166</v>
      </c>
      <c r="BV322" s="1055">
        <v>-532</v>
      </c>
      <c r="BW322" s="1055">
        <v>262</v>
      </c>
      <c r="BX322" s="1113">
        <v>-1129</v>
      </c>
      <c r="BY322" s="1057">
        <v>2890</v>
      </c>
      <c r="BZ322" s="68"/>
      <c r="CA322" s="68"/>
      <c r="CB322" s="68"/>
      <c r="CC322" s="1112"/>
      <c r="CD322" s="68"/>
      <c r="CE322" s="68"/>
      <c r="CF322" s="68"/>
      <c r="CG322" s="68"/>
      <c r="CH322" s="1112"/>
      <c r="CI322" s="1112"/>
      <c r="CJ322" s="1112"/>
      <c r="CK322" s="1112"/>
      <c r="CL322" s="155"/>
    </row>
    <row r="323" spans="1:90" hidden="1" outlineLevel="1" x14ac:dyDescent="0.3">
      <c r="A323" s="67" t="s">
        <v>1275</v>
      </c>
      <c r="B323" s="146"/>
      <c r="C323" s="1112"/>
      <c r="D323" s="1112"/>
      <c r="E323" s="1112"/>
      <c r="F323" s="1112"/>
      <c r="G323" s="68"/>
      <c r="H323" s="68"/>
      <c r="I323" s="68"/>
      <c r="J323" s="68"/>
      <c r="K323" s="1112"/>
      <c r="L323" s="68"/>
      <c r="M323" s="68"/>
      <c r="N323" s="68"/>
      <c r="O323" s="68"/>
      <c r="P323" s="1112"/>
      <c r="Q323" s="68"/>
      <c r="R323" s="68"/>
      <c r="S323" s="68"/>
      <c r="T323" s="68"/>
      <c r="U323" s="1112"/>
      <c r="V323" s="68"/>
      <c r="W323" s="68"/>
      <c r="X323" s="68"/>
      <c r="Y323" s="68"/>
      <c r="Z323" s="1112"/>
      <c r="AA323" s="68"/>
      <c r="AB323" s="68"/>
      <c r="AC323" s="68"/>
      <c r="AD323" s="68"/>
      <c r="AE323" s="1112"/>
      <c r="AF323" s="68"/>
      <c r="AG323" s="68"/>
      <c r="AH323" s="68"/>
      <c r="AI323" s="68"/>
      <c r="AJ323" s="1112"/>
      <c r="AK323" s="68"/>
      <c r="AL323" s="68"/>
      <c r="AM323" s="68"/>
      <c r="AN323" s="68"/>
      <c r="AO323" s="1112"/>
      <c r="AP323" s="68"/>
      <c r="AQ323" s="68"/>
      <c r="AR323" s="68"/>
      <c r="AS323" s="68"/>
      <c r="AT323" s="1112"/>
      <c r="AU323" s="68"/>
      <c r="AV323" s="68"/>
      <c r="AW323" s="68"/>
      <c r="AX323" s="68"/>
      <c r="AY323" s="1112"/>
      <c r="AZ323" s="68"/>
      <c r="BA323" s="68"/>
      <c r="BB323" s="68"/>
      <c r="BC323" s="68"/>
      <c r="BD323" s="1112"/>
      <c r="BE323" s="68"/>
      <c r="BF323" s="68"/>
      <c r="BG323" s="68"/>
      <c r="BH323" s="68"/>
      <c r="BI323" s="1112"/>
      <c r="BJ323" s="68"/>
      <c r="BK323" s="68"/>
      <c r="BL323" s="68"/>
      <c r="BM323" s="68"/>
      <c r="BN323" s="1112"/>
      <c r="BO323" s="68"/>
      <c r="BP323" s="68"/>
      <c r="BQ323" s="68"/>
      <c r="BR323" s="68"/>
      <c r="BS323" s="1112"/>
      <c r="BT323" s="68"/>
      <c r="BU323" s="1055">
        <v>48</v>
      </c>
      <c r="BV323" s="68"/>
      <c r="BW323" s="68"/>
      <c r="BX323" s="1113">
        <v>48</v>
      </c>
      <c r="BY323" s="588"/>
      <c r="BZ323" s="68"/>
      <c r="CA323" s="68"/>
      <c r="CB323" s="68"/>
      <c r="CC323" s="1112"/>
      <c r="CD323" s="68"/>
      <c r="CE323" s="68"/>
      <c r="CF323" s="68"/>
      <c r="CG323" s="68"/>
      <c r="CH323" s="1112"/>
      <c r="CI323" s="1112"/>
      <c r="CJ323" s="1112"/>
      <c r="CK323" s="1112"/>
      <c r="CL323" s="155"/>
    </row>
    <row r="324" spans="1:90" hidden="1" outlineLevel="1" x14ac:dyDescent="0.3">
      <c r="A324" s="67" t="s">
        <v>652</v>
      </c>
      <c r="B324" s="146"/>
      <c r="C324" s="1112"/>
      <c r="D324" s="1112"/>
      <c r="E324" s="1112"/>
      <c r="F324" s="1112"/>
      <c r="G324" s="68"/>
      <c r="H324" s="68"/>
      <c r="I324" s="68"/>
      <c r="J324" s="68"/>
      <c r="K324" s="1112"/>
      <c r="L324" s="68"/>
      <c r="M324" s="68"/>
      <c r="N324" s="68"/>
      <c r="O324" s="68"/>
      <c r="P324" s="1112"/>
      <c r="Q324" s="68"/>
      <c r="R324" s="68"/>
      <c r="S324" s="68"/>
      <c r="T324" s="68"/>
      <c r="U324" s="1112"/>
      <c r="V324" s="68"/>
      <c r="W324" s="68"/>
      <c r="X324" s="68"/>
      <c r="Y324" s="68"/>
      <c r="Z324" s="1112"/>
      <c r="AA324" s="68"/>
      <c r="AB324" s="68"/>
      <c r="AC324" s="68"/>
      <c r="AD324" s="68"/>
      <c r="AE324" s="1112"/>
      <c r="AF324" s="68"/>
      <c r="AG324" s="68"/>
      <c r="AH324" s="68"/>
      <c r="AI324" s="68"/>
      <c r="AJ324" s="1112"/>
      <c r="AK324" s="68"/>
      <c r="AL324" s="68"/>
      <c r="AM324" s="68"/>
      <c r="AN324" s="68"/>
      <c r="AO324" s="1112"/>
      <c r="AP324" s="68"/>
      <c r="AQ324" s="68"/>
      <c r="AR324" s="68"/>
      <c r="AS324" s="68"/>
      <c r="AT324" s="1112"/>
      <c r="AU324" s="68"/>
      <c r="AV324" s="68"/>
      <c r="AW324" s="68"/>
      <c r="AX324" s="68"/>
      <c r="AY324" s="1112"/>
      <c r="AZ324" s="68"/>
      <c r="BA324" s="1055">
        <v>-252</v>
      </c>
      <c r="BB324" s="68"/>
      <c r="BC324" s="1055">
        <v>7</v>
      </c>
      <c r="BD324" s="1113">
        <v>-244</v>
      </c>
      <c r="BE324" s="68"/>
      <c r="BF324" s="68"/>
      <c r="BG324" s="68"/>
      <c r="BH324" s="68"/>
      <c r="BI324" s="1112"/>
      <c r="BJ324" s="68"/>
      <c r="BK324" s="68"/>
      <c r="BL324" s="68"/>
      <c r="BM324" s="68"/>
      <c r="BN324" s="1112"/>
      <c r="BO324" s="68"/>
      <c r="BP324" s="68"/>
      <c r="BQ324" s="68"/>
      <c r="BR324" s="68"/>
      <c r="BS324" s="1112"/>
      <c r="BT324" s="68"/>
      <c r="BU324" s="68"/>
      <c r="BV324" s="68"/>
      <c r="BW324" s="68"/>
      <c r="BX324" s="1112"/>
      <c r="BY324" s="588"/>
      <c r="BZ324" s="68"/>
      <c r="CA324" s="68"/>
      <c r="CB324" s="68"/>
      <c r="CC324" s="1112"/>
      <c r="CD324" s="68"/>
      <c r="CE324" s="68"/>
      <c r="CF324" s="68"/>
      <c r="CG324" s="68"/>
      <c r="CH324" s="1112"/>
      <c r="CI324" s="1112"/>
      <c r="CJ324" s="1112"/>
      <c r="CK324" s="1112"/>
      <c r="CL324" s="155"/>
    </row>
    <row r="325" spans="1:90" hidden="1" outlineLevel="1" x14ac:dyDescent="0.3">
      <c r="A325" s="67" t="s">
        <v>676</v>
      </c>
      <c r="B325" s="146"/>
      <c r="C325" s="1112"/>
      <c r="D325" s="1112"/>
      <c r="E325" s="1112"/>
      <c r="F325" s="1112"/>
      <c r="G325" s="68"/>
      <c r="H325" s="68"/>
      <c r="I325" s="68"/>
      <c r="J325" s="68"/>
      <c r="K325" s="1112"/>
      <c r="L325" s="68"/>
      <c r="M325" s="68"/>
      <c r="N325" s="68"/>
      <c r="O325" s="68"/>
      <c r="P325" s="1112"/>
      <c r="Q325" s="68"/>
      <c r="R325" s="68"/>
      <c r="S325" s="68"/>
      <c r="T325" s="68"/>
      <c r="U325" s="1112"/>
      <c r="V325" s="68"/>
      <c r="W325" s="68"/>
      <c r="X325" s="68"/>
      <c r="Y325" s="68"/>
      <c r="Z325" s="1112"/>
      <c r="AA325" s="68"/>
      <c r="AB325" s="68"/>
      <c r="AC325" s="68"/>
      <c r="AD325" s="68"/>
      <c r="AE325" s="1112"/>
      <c r="AF325" s="68"/>
      <c r="AG325" s="68"/>
      <c r="AH325" s="68"/>
      <c r="AI325" s="68"/>
      <c r="AJ325" s="1112"/>
      <c r="AK325" s="68"/>
      <c r="AL325" s="68"/>
      <c r="AM325" s="68"/>
      <c r="AN325" s="68"/>
      <c r="AO325" s="1112"/>
      <c r="AP325" s="68"/>
      <c r="AQ325" s="68"/>
      <c r="AR325" s="68"/>
      <c r="AS325" s="68"/>
      <c r="AT325" s="1112"/>
      <c r="AU325" s="68"/>
      <c r="AV325" s="68"/>
      <c r="AW325" s="68"/>
      <c r="AX325" s="68"/>
      <c r="AY325" s="1112"/>
      <c r="AZ325" s="68"/>
      <c r="BA325" s="68"/>
      <c r="BB325" s="68"/>
      <c r="BC325" s="1055">
        <v>-90</v>
      </c>
      <c r="BD325" s="1113">
        <v>-90</v>
      </c>
      <c r="BE325" s="68"/>
      <c r="BF325" s="68"/>
      <c r="BG325" s="68"/>
      <c r="BH325" s="68"/>
      <c r="BI325" s="1112"/>
      <c r="BJ325" s="68"/>
      <c r="BK325" s="68"/>
      <c r="BL325" s="68"/>
      <c r="BM325" s="68"/>
      <c r="BN325" s="1112"/>
      <c r="BO325" s="68"/>
      <c r="BP325" s="68"/>
      <c r="BQ325" s="68"/>
      <c r="BR325" s="68"/>
      <c r="BS325" s="1112"/>
      <c r="BT325" s="68"/>
      <c r="BU325" s="68"/>
      <c r="BV325" s="68"/>
      <c r="BW325" s="68"/>
      <c r="BX325" s="1112"/>
      <c r="BY325" s="588"/>
      <c r="BZ325" s="68"/>
      <c r="CA325" s="68"/>
      <c r="CB325" s="68"/>
      <c r="CC325" s="1112"/>
      <c r="CD325" s="68"/>
      <c r="CE325" s="68"/>
      <c r="CF325" s="68"/>
      <c r="CG325" s="68"/>
      <c r="CH325" s="1112"/>
      <c r="CI325" s="1112"/>
      <c r="CJ325" s="1112"/>
      <c r="CK325" s="1112"/>
      <c r="CL325" s="155"/>
    </row>
    <row r="326" spans="1:90" hidden="1" outlineLevel="1" x14ac:dyDescent="0.3">
      <c r="A326" s="67" t="s">
        <v>65</v>
      </c>
      <c r="B326" s="146"/>
      <c r="C326" s="1112"/>
      <c r="D326" s="1112"/>
      <c r="E326" s="1112"/>
      <c r="F326" s="1112"/>
      <c r="G326" s="68"/>
      <c r="H326" s="68"/>
      <c r="I326" s="68"/>
      <c r="J326" s="68"/>
      <c r="K326" s="1112"/>
      <c r="L326" s="68"/>
      <c r="M326" s="68"/>
      <c r="N326" s="68"/>
      <c r="O326" s="68"/>
      <c r="P326" s="1112"/>
      <c r="Q326" s="68"/>
      <c r="R326" s="68"/>
      <c r="S326" s="68"/>
      <c r="T326" s="68"/>
      <c r="U326" s="1112"/>
      <c r="V326" s="68"/>
      <c r="W326" s="68"/>
      <c r="X326" s="68"/>
      <c r="Y326" s="68"/>
      <c r="Z326" s="1112"/>
      <c r="AA326" s="68"/>
      <c r="AB326" s="68"/>
      <c r="AC326" s="68"/>
      <c r="AD326" s="68"/>
      <c r="AE326" s="1112"/>
      <c r="AF326" s="68"/>
      <c r="AG326" s="68"/>
      <c r="AH326" s="68"/>
      <c r="AI326" s="1055">
        <v>-133</v>
      </c>
      <c r="AJ326" s="1113">
        <v>-133</v>
      </c>
      <c r="AK326" s="68"/>
      <c r="AL326" s="68"/>
      <c r="AM326" s="1055">
        <v>-138</v>
      </c>
      <c r="AN326" s="1055">
        <v>-230</v>
      </c>
      <c r="AO326" s="1113">
        <v>-368</v>
      </c>
      <c r="AP326" s="68"/>
      <c r="AQ326" s="68"/>
      <c r="AR326" s="68"/>
      <c r="AS326" s="68"/>
      <c r="AT326" s="1112"/>
      <c r="AU326" s="68"/>
      <c r="AV326" s="68"/>
      <c r="AW326" s="68"/>
      <c r="AX326" s="68"/>
      <c r="AY326" s="1112"/>
      <c r="AZ326" s="68"/>
      <c r="BA326" s="68"/>
      <c r="BB326" s="68"/>
      <c r="BC326" s="68"/>
      <c r="BD326" s="1112"/>
      <c r="BE326" s="68"/>
      <c r="BF326" s="68"/>
      <c r="BG326" s="68"/>
      <c r="BH326" s="68"/>
      <c r="BI326" s="1112"/>
      <c r="BJ326" s="68"/>
      <c r="BK326" s="68"/>
      <c r="BL326" s="68"/>
      <c r="BM326" s="68"/>
      <c r="BN326" s="1112"/>
      <c r="BO326" s="68"/>
      <c r="BP326" s="68"/>
      <c r="BQ326" s="68"/>
      <c r="BR326" s="68"/>
      <c r="BS326" s="1112"/>
      <c r="BT326" s="68"/>
      <c r="BU326" s="68"/>
      <c r="BV326" s="68"/>
      <c r="BW326" s="68"/>
      <c r="BX326" s="1112"/>
      <c r="BY326" s="588"/>
      <c r="BZ326" s="68"/>
      <c r="CA326" s="68"/>
      <c r="CB326" s="68"/>
      <c r="CC326" s="1112"/>
      <c r="CD326" s="68"/>
      <c r="CE326" s="68"/>
      <c r="CF326" s="68"/>
      <c r="CG326" s="68"/>
      <c r="CH326" s="1112"/>
      <c r="CI326" s="1112"/>
      <c r="CJ326" s="1112"/>
      <c r="CK326" s="1112"/>
      <c r="CL326" s="155"/>
    </row>
    <row r="327" spans="1:90" hidden="1" outlineLevel="1" x14ac:dyDescent="0.3">
      <c r="A327" s="59" t="s">
        <v>67</v>
      </c>
      <c r="B327" s="607"/>
      <c r="C327" s="1125">
        <f t="shared" ref="C327:AH327" si="786">SUM(C320:C326)</f>
        <v>160.28399999999971</v>
      </c>
      <c r="D327" s="1125">
        <f t="shared" si="786"/>
        <v>141.38300000000029</v>
      </c>
      <c r="E327" s="1125">
        <f t="shared" si="786"/>
        <v>476.41400000000004</v>
      </c>
      <c r="F327" s="1125">
        <f t="shared" si="786"/>
        <v>734.40599999999972</v>
      </c>
      <c r="G327" s="60">
        <f t="shared" si="786"/>
        <v>97.529999999999973</v>
      </c>
      <c r="H327" s="60">
        <f t="shared" si="786"/>
        <v>170.44800000000004</v>
      </c>
      <c r="I327" s="60">
        <f t="shared" si="786"/>
        <v>245.46199999999988</v>
      </c>
      <c r="J327" s="60">
        <f t="shared" si="786"/>
        <v>214.93299999999999</v>
      </c>
      <c r="K327" s="1125">
        <f t="shared" si="786"/>
        <v>728.37299999999993</v>
      </c>
      <c r="L327" s="60">
        <f t="shared" si="786"/>
        <v>113.80099999999997</v>
      </c>
      <c r="M327" s="60">
        <f t="shared" si="786"/>
        <v>133.32999999999998</v>
      </c>
      <c r="N327" s="60">
        <f t="shared" si="786"/>
        <v>153.79000000000011</v>
      </c>
      <c r="O327" s="60">
        <f t="shared" si="786"/>
        <v>187.48600000000053</v>
      </c>
      <c r="P327" s="1125">
        <f t="shared" si="786"/>
        <v>588.40700000000027</v>
      </c>
      <c r="Q327" s="60">
        <f t="shared" si="786"/>
        <v>166</v>
      </c>
      <c r="R327" s="60">
        <f t="shared" si="786"/>
        <v>173</v>
      </c>
      <c r="S327" s="60">
        <f t="shared" si="786"/>
        <v>220</v>
      </c>
      <c r="T327" s="60">
        <f t="shared" si="786"/>
        <v>241</v>
      </c>
      <c r="U327" s="1125">
        <f t="shared" si="786"/>
        <v>801</v>
      </c>
      <c r="V327" s="60">
        <f t="shared" si="786"/>
        <v>187</v>
      </c>
      <c r="W327" s="60">
        <f t="shared" si="786"/>
        <v>190</v>
      </c>
      <c r="X327" s="60">
        <f t="shared" si="786"/>
        <v>255</v>
      </c>
      <c r="Y327" s="60">
        <f t="shared" si="786"/>
        <v>297</v>
      </c>
      <c r="Z327" s="1125">
        <f t="shared" si="786"/>
        <v>929</v>
      </c>
      <c r="AA327" s="60">
        <f t="shared" si="786"/>
        <v>263</v>
      </c>
      <c r="AB327" s="60">
        <f t="shared" si="786"/>
        <v>313</v>
      </c>
      <c r="AC327" s="60">
        <f t="shared" si="786"/>
        <v>570</v>
      </c>
      <c r="AD327" s="60">
        <f t="shared" si="786"/>
        <v>704</v>
      </c>
      <c r="AE327" s="1125">
        <f t="shared" si="786"/>
        <v>1851</v>
      </c>
      <c r="AF327" s="60">
        <f t="shared" si="786"/>
        <v>533</v>
      </c>
      <c r="AG327" s="60">
        <f t="shared" si="786"/>
        <v>638</v>
      </c>
      <c r="AH327" s="60">
        <f t="shared" si="786"/>
        <v>833</v>
      </c>
      <c r="AI327" s="60">
        <f t="shared" ref="AI327:BI327" si="787">SUM(AI320:AI326)</f>
        <v>1081</v>
      </c>
      <c r="AJ327" s="1125">
        <f t="shared" si="787"/>
        <v>3085</v>
      </c>
      <c r="AK327" s="60">
        <f t="shared" si="787"/>
        <v>1285</v>
      </c>
      <c r="AL327" s="60">
        <f t="shared" si="787"/>
        <v>1210</v>
      </c>
      <c r="AM327" s="60">
        <f t="shared" si="787"/>
        <v>1151</v>
      </c>
      <c r="AN327" s="60">
        <f t="shared" si="787"/>
        <v>496</v>
      </c>
      <c r="AO327" s="1125">
        <f t="shared" si="787"/>
        <v>4143</v>
      </c>
      <c r="AP327" s="60">
        <f t="shared" si="787"/>
        <v>543</v>
      </c>
      <c r="AQ327" s="60">
        <f t="shared" si="787"/>
        <v>762</v>
      </c>
      <c r="AR327" s="60">
        <f t="shared" si="787"/>
        <v>1103</v>
      </c>
      <c r="AS327" s="60">
        <f t="shared" si="787"/>
        <v>1172</v>
      </c>
      <c r="AT327" s="1125">
        <f t="shared" si="787"/>
        <v>3580</v>
      </c>
      <c r="AU327" s="60">
        <f t="shared" si="787"/>
        <v>1120</v>
      </c>
      <c r="AV327" s="60">
        <f t="shared" si="787"/>
        <v>1366</v>
      </c>
      <c r="AW327" s="60">
        <f t="shared" si="787"/>
        <v>1834</v>
      </c>
      <c r="AX327" s="60">
        <f t="shared" si="787"/>
        <v>1957</v>
      </c>
      <c r="AY327" s="1125">
        <f t="shared" si="787"/>
        <v>6277</v>
      </c>
      <c r="AZ327" s="60">
        <f t="shared" si="787"/>
        <v>2313</v>
      </c>
      <c r="BA327" s="60">
        <f t="shared" si="787"/>
        <v>2623</v>
      </c>
      <c r="BB327" s="60">
        <f t="shared" si="787"/>
        <v>2973</v>
      </c>
      <c r="BC327" s="60">
        <f t="shared" si="787"/>
        <v>3350</v>
      </c>
      <c r="BD327" s="1125">
        <f t="shared" si="787"/>
        <v>11259</v>
      </c>
      <c r="BE327" s="60">
        <f t="shared" si="787"/>
        <v>3443</v>
      </c>
      <c r="BF327" s="60">
        <f t="shared" si="787"/>
        <v>1292</v>
      </c>
      <c r="BG327" s="60">
        <f t="shared" si="787"/>
        <v>1456</v>
      </c>
      <c r="BH327" s="60">
        <f t="shared" si="787"/>
        <v>2174</v>
      </c>
      <c r="BI327" s="1125">
        <f t="shared" si="787"/>
        <v>8366</v>
      </c>
      <c r="BJ327" s="60">
        <f t="shared" ref="BJ327:BO327" si="788">SUM(BJ320:BJ326)</f>
        <v>2713</v>
      </c>
      <c r="BK327" s="60">
        <f t="shared" si="788"/>
        <v>6740</v>
      </c>
      <c r="BL327" s="60">
        <f t="shared" si="788"/>
        <v>10020</v>
      </c>
      <c r="BM327" s="60">
        <f t="shared" si="788"/>
        <v>12839</v>
      </c>
      <c r="BN327" s="1125">
        <f t="shared" si="788"/>
        <v>32312</v>
      </c>
      <c r="BO327" s="60">
        <f t="shared" si="788"/>
        <v>15238</v>
      </c>
      <c r="BP327" s="60">
        <f t="shared" ref="BP327:BU327" si="789">SUM(BP320:BP326)</f>
        <v>16952</v>
      </c>
      <c r="BQ327" s="60">
        <f t="shared" si="789"/>
        <v>20010</v>
      </c>
      <c r="BR327" s="60">
        <f t="shared" si="789"/>
        <v>22066</v>
      </c>
      <c r="BS327" s="1125">
        <f t="shared" si="789"/>
        <v>74265</v>
      </c>
      <c r="BT327" s="60">
        <f t="shared" si="789"/>
        <v>19894</v>
      </c>
      <c r="BU327" s="60">
        <f t="shared" si="789"/>
        <v>25783</v>
      </c>
      <c r="BV327" s="60">
        <f>SUM(BV320:BV326)</f>
        <v>31767</v>
      </c>
      <c r="BW327" s="60">
        <f>SUM(BW320:BW326)</f>
        <v>39552</v>
      </c>
      <c r="BX327" s="1125">
        <f>SUM(BX320:BX326)</f>
        <v>116997</v>
      </c>
      <c r="BY327" s="895">
        <f>SUM(BY320:BY326)</f>
        <v>45548</v>
      </c>
      <c r="BZ327" s="61"/>
      <c r="CA327" s="61"/>
      <c r="CB327" s="61"/>
      <c r="CC327" s="1124"/>
      <c r="CD327" s="61"/>
      <c r="CE327" s="61"/>
      <c r="CF327" s="61"/>
      <c r="CG327" s="61"/>
      <c r="CH327" s="1124"/>
      <c r="CI327" s="1124"/>
      <c r="CJ327" s="1124"/>
      <c r="CK327" s="1124"/>
      <c r="CL327" s="155"/>
    </row>
    <row r="328" spans="1:90" hidden="1" outlineLevel="1" x14ac:dyDescent="0.3">
      <c r="A328" s="600"/>
      <c r="B328" s="279"/>
      <c r="C328" s="1127"/>
      <c r="D328" s="1127"/>
      <c r="E328" s="1127"/>
      <c r="F328" s="1127"/>
      <c r="G328" s="63"/>
      <c r="H328" s="63"/>
      <c r="I328" s="63"/>
      <c r="J328" s="63"/>
      <c r="K328" s="1127"/>
      <c r="L328" s="63"/>
      <c r="M328" s="63"/>
      <c r="N328" s="63"/>
      <c r="O328" s="63"/>
      <c r="P328" s="1127"/>
      <c r="Q328" s="63"/>
      <c r="R328" s="63"/>
      <c r="S328" s="63"/>
      <c r="T328" s="63"/>
      <c r="U328" s="1127"/>
      <c r="V328" s="63"/>
      <c r="W328" s="63"/>
      <c r="X328" s="63"/>
      <c r="Y328" s="63"/>
      <c r="Z328" s="1127"/>
      <c r="AA328" s="63"/>
      <c r="AB328" s="63"/>
      <c r="AC328" s="63"/>
      <c r="AD328" s="63"/>
      <c r="AE328" s="1127"/>
      <c r="AF328" s="63"/>
      <c r="AG328" s="63"/>
      <c r="AH328" s="63"/>
      <c r="AI328" s="63"/>
      <c r="AJ328" s="1127"/>
      <c r="AK328" s="63"/>
      <c r="AL328" s="63"/>
      <c r="AM328" s="63"/>
      <c r="AN328" s="63"/>
      <c r="AO328" s="1127"/>
      <c r="AP328" s="63"/>
      <c r="AQ328" s="63"/>
      <c r="AR328" s="63"/>
      <c r="AS328" s="63"/>
      <c r="AT328" s="1127"/>
      <c r="AU328" s="63"/>
      <c r="AV328" s="63"/>
      <c r="AW328" s="63"/>
      <c r="AX328" s="63"/>
      <c r="AY328" s="1127"/>
      <c r="AZ328" s="63"/>
      <c r="BA328" s="63"/>
      <c r="BB328" s="63"/>
      <c r="BC328" s="63"/>
      <c r="BD328" s="1127"/>
      <c r="BE328" s="63"/>
      <c r="BF328" s="63"/>
      <c r="BG328" s="63"/>
      <c r="BH328" s="63"/>
      <c r="BI328" s="1127"/>
      <c r="BJ328" s="63"/>
      <c r="BK328" s="63"/>
      <c r="BL328" s="63"/>
      <c r="BM328" s="63"/>
      <c r="BN328" s="1127"/>
      <c r="BO328" s="63"/>
      <c r="BP328" s="63"/>
      <c r="BQ328" s="63"/>
      <c r="BR328" s="63"/>
      <c r="BS328" s="1127"/>
      <c r="BT328" s="63"/>
      <c r="BU328" s="63"/>
      <c r="BV328" s="63"/>
      <c r="BW328" s="63"/>
      <c r="BX328" s="1127"/>
      <c r="BY328" s="587"/>
      <c r="BZ328" s="63"/>
      <c r="CA328" s="63"/>
      <c r="CB328" s="63"/>
      <c r="CC328" s="1127"/>
      <c r="CD328" s="63"/>
      <c r="CE328" s="63"/>
      <c r="CF328" s="63"/>
      <c r="CG328" s="63"/>
      <c r="CH328" s="1127"/>
      <c r="CI328" s="1127"/>
      <c r="CJ328" s="1127"/>
      <c r="CK328" s="1127"/>
      <c r="CL328" s="155"/>
    </row>
    <row r="329" spans="1:90" hidden="1" outlineLevel="1" x14ac:dyDescent="0.3">
      <c r="A329" s="62" t="s">
        <v>68</v>
      </c>
      <c r="B329" s="279"/>
      <c r="C329" s="1134">
        <f t="shared" ref="C329:AH329" si="790">C302</f>
        <v>1174.2689999999998</v>
      </c>
      <c r="D329" s="1134">
        <f t="shared" si="790"/>
        <v>1176.9230000000002</v>
      </c>
      <c r="E329" s="1134">
        <f t="shared" si="790"/>
        <v>1409.0900000000001</v>
      </c>
      <c r="F329" s="1134">
        <f t="shared" si="790"/>
        <v>2056.5169999999998</v>
      </c>
      <c r="G329" s="28">
        <f t="shared" si="790"/>
        <v>463.36399999999998</v>
      </c>
      <c r="H329" s="28">
        <f t="shared" si="790"/>
        <v>540.71900000000005</v>
      </c>
      <c r="I329" s="28">
        <f t="shared" si="790"/>
        <v>636.6579999999999</v>
      </c>
      <c r="J329" s="28">
        <f t="shared" si="790"/>
        <v>585.60199999999986</v>
      </c>
      <c r="K329" s="1134">
        <f t="shared" si="790"/>
        <v>2226.3429999999998</v>
      </c>
      <c r="L329" s="28">
        <f t="shared" si="790"/>
        <v>518.56799999999998</v>
      </c>
      <c r="M329" s="28">
        <f t="shared" si="790"/>
        <v>545.53800000000001</v>
      </c>
      <c r="N329" s="28">
        <f t="shared" si="790"/>
        <v>584.41500000000008</v>
      </c>
      <c r="O329" s="28">
        <f t="shared" si="790"/>
        <v>619.24200000000053</v>
      </c>
      <c r="P329" s="1134">
        <f t="shared" si="790"/>
        <v>2267.7630000000004</v>
      </c>
      <c r="Q329" s="28">
        <f t="shared" si="790"/>
        <v>604</v>
      </c>
      <c r="R329" s="28">
        <f t="shared" si="790"/>
        <v>619</v>
      </c>
      <c r="S329" s="28">
        <f t="shared" si="790"/>
        <v>676</v>
      </c>
      <c r="T329" s="28">
        <f t="shared" si="790"/>
        <v>700</v>
      </c>
      <c r="U329" s="1134">
        <f t="shared" si="790"/>
        <v>2599</v>
      </c>
      <c r="V329" s="28">
        <f t="shared" si="790"/>
        <v>653</v>
      </c>
      <c r="W329" s="28">
        <f t="shared" si="790"/>
        <v>634</v>
      </c>
      <c r="X329" s="28">
        <f t="shared" si="790"/>
        <v>734</v>
      </c>
      <c r="Y329" s="28">
        <f t="shared" si="790"/>
        <v>791</v>
      </c>
      <c r="Z329" s="1134">
        <f t="shared" si="790"/>
        <v>2811</v>
      </c>
      <c r="AA329" s="28">
        <f t="shared" si="790"/>
        <v>751</v>
      </c>
      <c r="AB329" s="28">
        <f t="shared" si="790"/>
        <v>826</v>
      </c>
      <c r="AC329" s="28">
        <f t="shared" si="790"/>
        <v>1183</v>
      </c>
      <c r="AD329" s="28">
        <f t="shared" si="790"/>
        <v>1303</v>
      </c>
      <c r="AE329" s="1134">
        <f t="shared" si="790"/>
        <v>4063</v>
      </c>
      <c r="AF329" s="28">
        <f t="shared" si="790"/>
        <v>1150</v>
      </c>
      <c r="AG329" s="28">
        <f t="shared" si="790"/>
        <v>1302</v>
      </c>
      <c r="AH329" s="28">
        <f t="shared" si="790"/>
        <v>1569</v>
      </c>
      <c r="AI329" s="28">
        <f t="shared" ref="AI329:BI329" si="791">AI302</f>
        <v>1801</v>
      </c>
      <c r="AJ329" s="1134">
        <f t="shared" si="791"/>
        <v>5822</v>
      </c>
      <c r="AK329" s="28">
        <f t="shared" si="791"/>
        <v>2068</v>
      </c>
      <c r="AL329" s="28">
        <f t="shared" si="791"/>
        <v>1975</v>
      </c>
      <c r="AM329" s="28">
        <f t="shared" si="791"/>
        <v>1921</v>
      </c>
      <c r="AN329" s="28">
        <f t="shared" si="791"/>
        <v>1207</v>
      </c>
      <c r="AO329" s="1134">
        <f t="shared" si="791"/>
        <v>7171</v>
      </c>
      <c r="AP329" s="28">
        <f t="shared" si="791"/>
        <v>1296</v>
      </c>
      <c r="AQ329" s="28">
        <f t="shared" si="791"/>
        <v>1541</v>
      </c>
      <c r="AR329" s="28">
        <f t="shared" si="791"/>
        <v>1916</v>
      </c>
      <c r="AS329" s="28">
        <f t="shared" si="791"/>
        <v>2015</v>
      </c>
      <c r="AT329" s="1134">
        <f t="shared" si="791"/>
        <v>6768</v>
      </c>
      <c r="AU329" s="28">
        <f t="shared" si="791"/>
        <v>2004</v>
      </c>
      <c r="AV329" s="28">
        <f t="shared" si="791"/>
        <v>2275</v>
      </c>
      <c r="AW329" s="28">
        <f t="shared" si="791"/>
        <v>2960</v>
      </c>
      <c r="AX329" s="28">
        <f t="shared" si="791"/>
        <v>3157</v>
      </c>
      <c r="AY329" s="1134">
        <f t="shared" si="791"/>
        <v>10396</v>
      </c>
      <c r="AZ329" s="28">
        <f t="shared" si="791"/>
        <v>3629</v>
      </c>
      <c r="BA329" s="28">
        <f t="shared" si="791"/>
        <v>4215</v>
      </c>
      <c r="BB329" s="28">
        <f t="shared" si="791"/>
        <v>4631</v>
      </c>
      <c r="BC329" s="28">
        <f t="shared" si="791"/>
        <v>4999</v>
      </c>
      <c r="BD329" s="1134">
        <f t="shared" si="791"/>
        <v>17475</v>
      </c>
      <c r="BE329" s="28">
        <f t="shared" si="791"/>
        <v>5431</v>
      </c>
      <c r="BF329" s="28">
        <f t="shared" si="791"/>
        <v>2915</v>
      </c>
      <c r="BG329" s="28">
        <f t="shared" si="791"/>
        <v>3177</v>
      </c>
      <c r="BH329" s="28">
        <f t="shared" si="791"/>
        <v>3833</v>
      </c>
      <c r="BI329" s="1134">
        <f t="shared" si="791"/>
        <v>15356</v>
      </c>
      <c r="BJ329" s="28">
        <f t="shared" ref="BJ329:BO329" si="792">BJ302</f>
        <v>4648</v>
      </c>
      <c r="BK329" s="28">
        <f t="shared" si="792"/>
        <v>9462</v>
      </c>
      <c r="BL329" s="28">
        <f t="shared" si="792"/>
        <v>13400</v>
      </c>
      <c r="BM329" s="28">
        <f t="shared" si="792"/>
        <v>16791</v>
      </c>
      <c r="BN329" s="1134">
        <f t="shared" si="792"/>
        <v>44301</v>
      </c>
      <c r="BO329" s="28">
        <f t="shared" si="792"/>
        <v>20406</v>
      </c>
      <c r="BP329" s="28">
        <f t="shared" ref="BP329:BU329" si="793">BP302</f>
        <v>22574</v>
      </c>
      <c r="BQ329" s="28">
        <f t="shared" si="793"/>
        <v>26156</v>
      </c>
      <c r="BR329" s="28">
        <f t="shared" si="793"/>
        <v>28723</v>
      </c>
      <c r="BS329" s="1134">
        <f t="shared" si="793"/>
        <v>97858</v>
      </c>
      <c r="BT329" s="28">
        <f t="shared" si="793"/>
        <v>26668</v>
      </c>
      <c r="BU329" s="28">
        <f t="shared" si="793"/>
        <v>33853</v>
      </c>
      <c r="BV329" s="28">
        <f>BV302</f>
        <v>41849</v>
      </c>
      <c r="BW329" s="28">
        <f>BW302</f>
        <v>51093</v>
      </c>
      <c r="BX329" s="1134">
        <f>BX302</f>
        <v>153463</v>
      </c>
      <c r="BY329" s="505">
        <f>BY302</f>
        <v>61157</v>
      </c>
      <c r="BZ329" s="63"/>
      <c r="CA329" s="63"/>
      <c r="CB329" s="63"/>
      <c r="CC329" s="1127"/>
      <c r="CD329" s="63"/>
      <c r="CE329" s="63"/>
      <c r="CF329" s="63"/>
      <c r="CG329" s="63"/>
      <c r="CH329" s="1127"/>
      <c r="CI329" s="1127"/>
      <c r="CJ329" s="1127"/>
      <c r="CK329" s="1127"/>
      <c r="CL329" s="155"/>
    </row>
    <row r="330" spans="1:90" hidden="1" outlineLevel="1" x14ac:dyDescent="0.3">
      <c r="A330" s="67" t="s">
        <v>582</v>
      </c>
      <c r="B330" s="146"/>
      <c r="C330" s="1112"/>
      <c r="D330" s="1112"/>
      <c r="E330" s="1112"/>
      <c r="F330" s="1112"/>
      <c r="G330" s="68"/>
      <c r="H330" s="68"/>
      <c r="I330" s="68"/>
      <c r="J330" s="68"/>
      <c r="K330" s="1112"/>
      <c r="L330" s="68"/>
      <c r="M330" s="68"/>
      <c r="N330" s="68"/>
      <c r="O330" s="68"/>
      <c r="P330" s="1112"/>
      <c r="Q330" s="68"/>
      <c r="R330" s="68"/>
      <c r="S330" s="68"/>
      <c r="T330" s="68"/>
      <c r="U330" s="1112"/>
      <c r="V330" s="68"/>
      <c r="W330" s="68"/>
      <c r="X330" s="68"/>
      <c r="Y330" s="68"/>
      <c r="Z330" s="1112"/>
      <c r="AA330" s="68"/>
      <c r="AB330" s="68"/>
      <c r="AC330" s="68"/>
      <c r="AD330" s="68"/>
      <c r="AE330" s="1112"/>
      <c r="AF330" s="68"/>
      <c r="AG330" s="68"/>
      <c r="AH330" s="68"/>
      <c r="AI330" s="68"/>
      <c r="AJ330" s="1112"/>
      <c r="AK330" s="68"/>
      <c r="AL330" s="68"/>
      <c r="AM330" s="68"/>
      <c r="AN330" s="68"/>
      <c r="AO330" s="1112"/>
      <c r="AP330" s="68"/>
      <c r="AQ330" s="68"/>
      <c r="AR330" s="68"/>
      <c r="AS330" s="68"/>
      <c r="AT330" s="1112"/>
      <c r="AU330" s="1055">
        <v>1</v>
      </c>
      <c r="AV330" s="1055">
        <v>245</v>
      </c>
      <c r="AW330" s="1055">
        <v>86</v>
      </c>
      <c r="AX330" s="1055">
        <v>92</v>
      </c>
      <c r="AY330" s="1113">
        <v>425</v>
      </c>
      <c r="AZ330" s="1055">
        <v>87</v>
      </c>
      <c r="BA330" s="1055">
        <v>86</v>
      </c>
      <c r="BB330" s="1055">
        <v>86</v>
      </c>
      <c r="BC330" s="1055">
        <v>86</v>
      </c>
      <c r="BD330" s="1113">
        <v>344</v>
      </c>
      <c r="BE330" s="1055">
        <v>94</v>
      </c>
      <c r="BF330" s="1055">
        <v>121</v>
      </c>
      <c r="BG330" s="1055">
        <v>120</v>
      </c>
      <c r="BH330" s="1055">
        <v>120</v>
      </c>
      <c r="BI330" s="1113">
        <v>455</v>
      </c>
      <c r="BJ330" s="1055">
        <v>119</v>
      </c>
      <c r="BK330" s="1055">
        <v>119</v>
      </c>
      <c r="BL330" s="1055">
        <v>119</v>
      </c>
      <c r="BM330" s="1055">
        <v>119</v>
      </c>
      <c r="BN330" s="1113">
        <v>477</v>
      </c>
      <c r="BO330" s="1055">
        <v>119</v>
      </c>
      <c r="BP330" s="1055">
        <v>118</v>
      </c>
      <c r="BQ330" s="1055">
        <v>116</v>
      </c>
      <c r="BR330" s="1055">
        <v>118</v>
      </c>
      <c r="BS330" s="1113">
        <v>472</v>
      </c>
      <c r="BT330" s="1055">
        <v>123</v>
      </c>
      <c r="BU330" s="1055">
        <v>49</v>
      </c>
      <c r="BV330" s="1055">
        <v>48</v>
      </c>
      <c r="BW330" s="1055">
        <v>48</v>
      </c>
      <c r="BX330" s="1113">
        <v>267</v>
      </c>
      <c r="BY330" s="1057">
        <v>47</v>
      </c>
      <c r="BZ330" s="68"/>
      <c r="CA330" s="68"/>
      <c r="CB330" s="68"/>
      <c r="CC330" s="1112"/>
      <c r="CD330" s="68"/>
      <c r="CE330" s="68"/>
      <c r="CF330" s="68"/>
      <c r="CG330" s="68"/>
      <c r="CH330" s="1112"/>
      <c r="CI330" s="1112"/>
      <c r="CJ330" s="1112"/>
      <c r="CK330" s="1112"/>
      <c r="CL330" s="155"/>
    </row>
    <row r="331" spans="1:90" hidden="1" outlineLevel="1" x14ac:dyDescent="0.3">
      <c r="A331" s="67" t="s">
        <v>69</v>
      </c>
      <c r="B331" s="146"/>
      <c r="C331" s="1112"/>
      <c r="D331" s="1112"/>
      <c r="E331" s="1113">
        <v>8.3079999999999998</v>
      </c>
      <c r="F331" s="1113">
        <v>11.321999999999999</v>
      </c>
      <c r="G331" s="1055">
        <v>2.5259999999999998</v>
      </c>
      <c r="H331" s="1055">
        <v>2.649</v>
      </c>
      <c r="I331" s="1055">
        <v>2.4889999999999999</v>
      </c>
      <c r="J331" s="1055">
        <v>2.8260000000000001</v>
      </c>
      <c r="K331" s="1113">
        <v>10.49</v>
      </c>
      <c r="L331" s="1055">
        <v>2.653</v>
      </c>
      <c r="M331" s="1055">
        <v>2.1680000000000001</v>
      </c>
      <c r="N331" s="1055">
        <v>3.09</v>
      </c>
      <c r="O331" s="1055">
        <v>2.7770000000000001</v>
      </c>
      <c r="P331" s="1113">
        <v>10.688000000000001</v>
      </c>
      <c r="Q331" s="1055">
        <v>3</v>
      </c>
      <c r="R331" s="1055">
        <v>3</v>
      </c>
      <c r="S331" s="1055">
        <v>4</v>
      </c>
      <c r="T331" s="1055">
        <v>4</v>
      </c>
      <c r="U331" s="1113">
        <v>12</v>
      </c>
      <c r="V331" s="1055">
        <v>2</v>
      </c>
      <c r="W331" s="1055">
        <v>3</v>
      </c>
      <c r="X331" s="1055">
        <v>4</v>
      </c>
      <c r="Y331" s="1055">
        <v>5</v>
      </c>
      <c r="Z331" s="1113">
        <v>15</v>
      </c>
      <c r="AA331" s="1055">
        <v>4</v>
      </c>
      <c r="AB331" s="1055">
        <v>4</v>
      </c>
      <c r="AC331" s="1055">
        <v>3</v>
      </c>
      <c r="AD331" s="1055">
        <v>4</v>
      </c>
      <c r="AE331" s="1113">
        <v>15</v>
      </c>
      <c r="AF331" s="1055">
        <v>4</v>
      </c>
      <c r="AG331" s="1055">
        <v>4</v>
      </c>
      <c r="AH331" s="1055">
        <v>6</v>
      </c>
      <c r="AI331" s="1055">
        <v>7</v>
      </c>
      <c r="AJ331" s="1113">
        <v>21</v>
      </c>
      <c r="AK331" s="1055">
        <v>8</v>
      </c>
      <c r="AL331" s="1055">
        <v>8</v>
      </c>
      <c r="AM331" s="1055">
        <v>5</v>
      </c>
      <c r="AN331" s="1055">
        <v>6</v>
      </c>
      <c r="AO331" s="1113">
        <v>27</v>
      </c>
      <c r="AP331" s="1055">
        <v>4</v>
      </c>
      <c r="AQ331" s="1055">
        <v>8</v>
      </c>
      <c r="AR331" s="1055">
        <v>15</v>
      </c>
      <c r="AS331" s="1055">
        <v>12</v>
      </c>
      <c r="AT331" s="1113">
        <v>39</v>
      </c>
      <c r="AU331" s="1055">
        <v>21</v>
      </c>
      <c r="AV331" s="1055">
        <v>14</v>
      </c>
      <c r="AW331" s="1055">
        <v>28</v>
      </c>
      <c r="AX331" s="1055">
        <v>26</v>
      </c>
      <c r="AY331" s="1113">
        <v>88</v>
      </c>
      <c r="AZ331" s="1055">
        <v>25</v>
      </c>
      <c r="BA331" s="1055">
        <v>32</v>
      </c>
      <c r="BB331" s="1055">
        <v>44</v>
      </c>
      <c r="BC331" s="1055">
        <v>39</v>
      </c>
      <c r="BD331" s="1113">
        <v>141</v>
      </c>
      <c r="BE331" s="1055">
        <v>38</v>
      </c>
      <c r="BF331" s="1055">
        <v>38</v>
      </c>
      <c r="BG331" s="1055">
        <v>32</v>
      </c>
      <c r="BH331" s="1055">
        <v>30</v>
      </c>
      <c r="BI331" s="1113">
        <v>138</v>
      </c>
      <c r="BJ331" s="1055">
        <v>27</v>
      </c>
      <c r="BK331" s="1055">
        <v>31</v>
      </c>
      <c r="BL331" s="1055">
        <v>38</v>
      </c>
      <c r="BM331" s="1055">
        <v>45</v>
      </c>
      <c r="BN331" s="1113">
        <v>141</v>
      </c>
      <c r="BO331" s="1055">
        <v>36</v>
      </c>
      <c r="BP331" s="1055">
        <v>40</v>
      </c>
      <c r="BQ331" s="1055">
        <v>50</v>
      </c>
      <c r="BR331" s="1055">
        <v>53</v>
      </c>
      <c r="BS331" s="1113">
        <v>178</v>
      </c>
      <c r="BT331" s="1055">
        <v>64</v>
      </c>
      <c r="BU331" s="1055">
        <v>58</v>
      </c>
      <c r="BV331" s="1055">
        <v>70</v>
      </c>
      <c r="BW331" s="1055">
        <v>69</v>
      </c>
      <c r="BX331" s="1113">
        <v>261</v>
      </c>
      <c r="BY331" s="588"/>
      <c r="BZ331" s="68"/>
      <c r="CA331" s="68"/>
      <c r="CB331" s="68"/>
      <c r="CC331" s="1112"/>
      <c r="CD331" s="68"/>
      <c r="CE331" s="68"/>
      <c r="CF331" s="68"/>
      <c r="CG331" s="68"/>
      <c r="CH331" s="1112"/>
      <c r="CI331" s="1112"/>
      <c r="CJ331" s="1112"/>
      <c r="CK331" s="1112"/>
      <c r="CL331" s="155"/>
    </row>
    <row r="332" spans="1:90" hidden="1" outlineLevel="1" x14ac:dyDescent="0.3">
      <c r="A332" s="67" t="s">
        <v>70</v>
      </c>
      <c r="B332" s="146"/>
      <c r="C332" s="1112"/>
      <c r="D332" s="1112"/>
      <c r="E332" s="1112"/>
      <c r="F332" s="1113">
        <v>7.3</v>
      </c>
      <c r="G332" s="68"/>
      <c r="H332" s="68"/>
      <c r="I332" s="68"/>
      <c r="J332" s="68"/>
      <c r="K332" s="1112"/>
      <c r="L332" s="68"/>
      <c r="M332" s="1055">
        <v>2.29</v>
      </c>
      <c r="N332" s="68"/>
      <c r="O332" s="1055">
        <v>1.45</v>
      </c>
      <c r="P332" s="1113">
        <v>3.74</v>
      </c>
      <c r="Q332" s="68"/>
      <c r="R332" s="68"/>
      <c r="S332" s="68"/>
      <c r="T332" s="68"/>
      <c r="U332" s="1112"/>
      <c r="V332" s="68"/>
      <c r="W332" s="68"/>
      <c r="X332" s="68"/>
      <c r="Y332" s="68"/>
      <c r="Z332" s="1112"/>
      <c r="AA332" s="1055">
        <v>10</v>
      </c>
      <c r="AB332" s="68"/>
      <c r="AC332" s="68"/>
      <c r="AD332" s="68"/>
      <c r="AE332" s="1113">
        <v>10</v>
      </c>
      <c r="AF332" s="68"/>
      <c r="AG332" s="68"/>
      <c r="AH332" s="68"/>
      <c r="AI332" s="1055">
        <v>1</v>
      </c>
      <c r="AJ332" s="1113">
        <v>1</v>
      </c>
      <c r="AK332" s="68"/>
      <c r="AL332" s="68"/>
      <c r="AM332" s="1055">
        <v>14</v>
      </c>
      <c r="AN332" s="1055">
        <v>21</v>
      </c>
      <c r="AO332" s="1113">
        <v>35</v>
      </c>
      <c r="AP332" s="1055">
        <v>10</v>
      </c>
      <c r="AQ332" s="1055">
        <v>2</v>
      </c>
      <c r="AR332" s="1055">
        <v>0</v>
      </c>
      <c r="AS332" s="1055">
        <v>3</v>
      </c>
      <c r="AT332" s="1113">
        <v>14</v>
      </c>
      <c r="AU332" s="68"/>
      <c r="AV332" s="1055">
        <v>17</v>
      </c>
      <c r="AW332" s="1055">
        <v>21</v>
      </c>
      <c r="AX332" s="1055">
        <v>1</v>
      </c>
      <c r="AY332" s="1113">
        <v>38</v>
      </c>
      <c r="AZ332" s="1055">
        <v>5</v>
      </c>
      <c r="BA332" s="1055">
        <v>4</v>
      </c>
      <c r="BB332" s="1055">
        <v>0</v>
      </c>
      <c r="BC332" s="1055">
        <v>0</v>
      </c>
      <c r="BD332" s="1113">
        <v>9</v>
      </c>
      <c r="BE332" s="1055">
        <v>0</v>
      </c>
      <c r="BF332" s="68"/>
      <c r="BG332" s="68"/>
      <c r="BH332" s="1055">
        <v>16</v>
      </c>
      <c r="BI332" s="1113">
        <v>16</v>
      </c>
      <c r="BJ332" s="1055">
        <v>8</v>
      </c>
      <c r="BK332" s="1055">
        <v>2</v>
      </c>
      <c r="BL332" s="1055">
        <v>26</v>
      </c>
      <c r="BM332" s="1055">
        <v>4</v>
      </c>
      <c r="BN332" s="1113">
        <v>40</v>
      </c>
      <c r="BO332" s="1055">
        <v>-1</v>
      </c>
      <c r="BP332" s="1055">
        <v>-3</v>
      </c>
      <c r="BQ332" s="68"/>
      <c r="BR332" s="68"/>
      <c r="BS332" s="1112"/>
      <c r="BT332" s="68"/>
      <c r="BU332" s="68"/>
      <c r="BV332" s="68"/>
      <c r="BW332" s="68"/>
      <c r="BX332" s="1112"/>
      <c r="BY332" s="588"/>
      <c r="BZ332" s="68"/>
      <c r="CA332" s="68"/>
      <c r="CB332" s="68"/>
      <c r="CC332" s="1112"/>
      <c r="CD332" s="68"/>
      <c r="CE332" s="68"/>
      <c r="CF332" s="68"/>
      <c r="CG332" s="68"/>
      <c r="CH332" s="1112"/>
      <c r="CI332" s="1112"/>
      <c r="CJ332" s="1112"/>
      <c r="CK332" s="1112"/>
      <c r="CL332" s="155"/>
    </row>
    <row r="333" spans="1:90" hidden="1" outlineLevel="1" x14ac:dyDescent="0.3">
      <c r="A333" s="67" t="s">
        <v>1254</v>
      </c>
      <c r="B333" s="146"/>
      <c r="C333" s="1112"/>
      <c r="D333" s="1112"/>
      <c r="E333" s="1112"/>
      <c r="F333" s="1112"/>
      <c r="G333" s="68"/>
      <c r="H333" s="68"/>
      <c r="I333" s="68"/>
      <c r="J333" s="68"/>
      <c r="K333" s="1112"/>
      <c r="L333" s="68"/>
      <c r="M333" s="68"/>
      <c r="N333" s="68"/>
      <c r="O333" s="68"/>
      <c r="P333" s="1112"/>
      <c r="Q333" s="68"/>
      <c r="R333" s="68"/>
      <c r="S333" s="68"/>
      <c r="T333" s="68"/>
      <c r="U333" s="1112"/>
      <c r="V333" s="68"/>
      <c r="W333" s="68"/>
      <c r="X333" s="68"/>
      <c r="Y333" s="68"/>
      <c r="Z333" s="1112"/>
      <c r="AA333" s="68"/>
      <c r="AB333" s="68"/>
      <c r="AC333" s="68"/>
      <c r="AD333" s="68"/>
      <c r="AE333" s="1112"/>
      <c r="AF333" s="68"/>
      <c r="AG333" s="68"/>
      <c r="AH333" s="68"/>
      <c r="AI333" s="68"/>
      <c r="AJ333" s="1112"/>
      <c r="AK333" s="68"/>
      <c r="AL333" s="68"/>
      <c r="AM333" s="68"/>
      <c r="AN333" s="68"/>
      <c r="AO333" s="1112"/>
      <c r="AP333" s="68"/>
      <c r="AQ333" s="68"/>
      <c r="AR333" s="68"/>
      <c r="AS333" s="68"/>
      <c r="AT333" s="1112"/>
      <c r="AU333" s="68"/>
      <c r="AV333" s="68"/>
      <c r="AW333" s="68"/>
      <c r="AX333" s="68"/>
      <c r="AY333" s="1112"/>
      <c r="AZ333" s="68"/>
      <c r="BA333" s="68"/>
      <c r="BB333" s="68"/>
      <c r="BC333" s="68"/>
      <c r="BD333" s="1112"/>
      <c r="BE333" s="68"/>
      <c r="BF333" s="68"/>
      <c r="BG333" s="68"/>
      <c r="BH333" s="68"/>
      <c r="BI333" s="1112"/>
      <c r="BJ333" s="68"/>
      <c r="BK333" s="68"/>
      <c r="BL333" s="68"/>
      <c r="BM333" s="68"/>
      <c r="BN333" s="1112"/>
      <c r="BO333" s="68"/>
      <c r="BP333" s="68"/>
      <c r="BQ333" s="68"/>
      <c r="BR333" s="68"/>
      <c r="BS333" s="1113">
        <v>-3</v>
      </c>
      <c r="BT333" s="68"/>
      <c r="BU333" s="68"/>
      <c r="BV333" s="68"/>
      <c r="BW333" s="68"/>
      <c r="BX333" s="1112"/>
      <c r="BY333" s="588"/>
      <c r="BZ333" s="68"/>
      <c r="CA333" s="68"/>
      <c r="CB333" s="68"/>
      <c r="CC333" s="1112"/>
      <c r="CD333" s="68"/>
      <c r="CE333" s="68"/>
      <c r="CF333" s="68"/>
      <c r="CG333" s="68"/>
      <c r="CH333" s="1112"/>
      <c r="CI333" s="1112"/>
      <c r="CJ333" s="1112"/>
      <c r="CK333" s="1112"/>
      <c r="CL333" s="155"/>
    </row>
    <row r="334" spans="1:90" hidden="1" outlineLevel="1" x14ac:dyDescent="0.3">
      <c r="A334" s="67" t="s">
        <v>71</v>
      </c>
      <c r="B334" s="146"/>
      <c r="C334" s="1113">
        <v>189.28899999999999</v>
      </c>
      <c r="D334" s="1113">
        <v>95.878</v>
      </c>
      <c r="E334" s="1113">
        <v>181.19300000000001</v>
      </c>
      <c r="F334" s="1112"/>
      <c r="G334" s="68"/>
      <c r="H334" s="68"/>
      <c r="I334" s="68"/>
      <c r="J334" s="68"/>
      <c r="K334" s="1112"/>
      <c r="L334" s="68"/>
      <c r="M334" s="68"/>
      <c r="N334" s="68"/>
      <c r="O334" s="1055">
        <v>-7.782</v>
      </c>
      <c r="P334" s="1113">
        <v>-7.782</v>
      </c>
      <c r="Q334" s="68"/>
      <c r="R334" s="68"/>
      <c r="S334" s="68"/>
      <c r="T334" s="68"/>
      <c r="U334" s="1112"/>
      <c r="V334" s="68"/>
      <c r="W334" s="68"/>
      <c r="X334" s="68"/>
      <c r="Y334" s="68"/>
      <c r="Z334" s="1112"/>
      <c r="AA334" s="68"/>
      <c r="AB334" s="68"/>
      <c r="AC334" s="68"/>
      <c r="AD334" s="68"/>
      <c r="AE334" s="1112"/>
      <c r="AF334" s="68"/>
      <c r="AG334" s="68"/>
      <c r="AH334" s="68"/>
      <c r="AI334" s="68"/>
      <c r="AJ334" s="1112"/>
      <c r="AK334" s="68"/>
      <c r="AL334" s="68"/>
      <c r="AM334" s="68"/>
      <c r="AN334" s="68"/>
      <c r="AO334" s="1112"/>
      <c r="AP334" s="68"/>
      <c r="AQ334" s="68"/>
      <c r="AR334" s="68"/>
      <c r="AS334" s="68"/>
      <c r="AT334" s="1112"/>
      <c r="AU334" s="68"/>
      <c r="AV334" s="68"/>
      <c r="AW334" s="68"/>
      <c r="AX334" s="68"/>
      <c r="AY334" s="1112"/>
      <c r="AZ334" s="68"/>
      <c r="BA334" s="68"/>
      <c r="BB334" s="68"/>
      <c r="BC334" s="68"/>
      <c r="BD334" s="1112"/>
      <c r="BE334" s="68"/>
      <c r="BF334" s="68"/>
      <c r="BG334" s="68"/>
      <c r="BH334" s="68"/>
      <c r="BI334" s="1112"/>
      <c r="BJ334" s="68"/>
      <c r="BK334" s="68"/>
      <c r="BL334" s="68"/>
      <c r="BM334" s="68"/>
      <c r="BN334" s="1112"/>
      <c r="BO334" s="68"/>
      <c r="BP334" s="68"/>
      <c r="BQ334" s="68"/>
      <c r="BR334" s="68"/>
      <c r="BS334" s="1112"/>
      <c r="BT334" s="68"/>
      <c r="BU334" s="68"/>
      <c r="BV334" s="68"/>
      <c r="BW334" s="68"/>
      <c r="BX334" s="1112"/>
      <c r="BY334" s="588"/>
      <c r="BZ334" s="68"/>
      <c r="CA334" s="68"/>
      <c r="CB334" s="68"/>
      <c r="CC334" s="1112"/>
      <c r="CD334" s="68"/>
      <c r="CE334" s="68"/>
      <c r="CF334" s="68"/>
      <c r="CG334" s="68"/>
      <c r="CH334" s="1112"/>
      <c r="CI334" s="1112"/>
      <c r="CJ334" s="1112"/>
      <c r="CK334" s="1112"/>
      <c r="CL334" s="155"/>
    </row>
    <row r="335" spans="1:90" hidden="1" outlineLevel="1" x14ac:dyDescent="0.3">
      <c r="A335" s="67" t="s">
        <v>72</v>
      </c>
      <c r="B335" s="146"/>
      <c r="C335" s="1113">
        <v>4.5</v>
      </c>
      <c r="D335" s="1112"/>
      <c r="E335" s="1112"/>
      <c r="F335" s="1112"/>
      <c r="G335" s="68"/>
      <c r="H335" s="68"/>
      <c r="I335" s="68"/>
      <c r="J335" s="68"/>
      <c r="K335" s="1112"/>
      <c r="L335" s="68"/>
      <c r="M335" s="68"/>
      <c r="N335" s="68"/>
      <c r="O335" s="68"/>
      <c r="P335" s="1112"/>
      <c r="Q335" s="68"/>
      <c r="R335" s="68"/>
      <c r="S335" s="68"/>
      <c r="T335" s="68"/>
      <c r="U335" s="1112"/>
      <c r="V335" s="68"/>
      <c r="W335" s="68"/>
      <c r="X335" s="68"/>
      <c r="Y335" s="68"/>
      <c r="Z335" s="1112"/>
      <c r="AA335" s="68"/>
      <c r="AB335" s="68"/>
      <c r="AC335" s="68"/>
      <c r="AD335" s="68"/>
      <c r="AE335" s="1112"/>
      <c r="AF335" s="68"/>
      <c r="AG335" s="68"/>
      <c r="AH335" s="68"/>
      <c r="AI335" s="68"/>
      <c r="AJ335" s="1112"/>
      <c r="AK335" s="68"/>
      <c r="AL335" s="68"/>
      <c r="AM335" s="68"/>
      <c r="AN335" s="68"/>
      <c r="AO335" s="1112"/>
      <c r="AP335" s="68"/>
      <c r="AQ335" s="68"/>
      <c r="AR335" s="68"/>
      <c r="AS335" s="68"/>
      <c r="AT335" s="1112"/>
      <c r="AU335" s="68"/>
      <c r="AV335" s="68"/>
      <c r="AW335" s="68"/>
      <c r="AX335" s="68"/>
      <c r="AY335" s="1112"/>
      <c r="AZ335" s="68"/>
      <c r="BA335" s="68"/>
      <c r="BB335" s="68"/>
      <c r="BC335" s="68"/>
      <c r="BD335" s="1112"/>
      <c r="BE335" s="68"/>
      <c r="BF335" s="68"/>
      <c r="BG335" s="68"/>
      <c r="BH335" s="68"/>
      <c r="BI335" s="1112"/>
      <c r="BJ335" s="68"/>
      <c r="BK335" s="68"/>
      <c r="BL335" s="68"/>
      <c r="BM335" s="68"/>
      <c r="BN335" s="1112"/>
      <c r="BO335" s="68"/>
      <c r="BP335" s="68"/>
      <c r="BQ335" s="68"/>
      <c r="BR335" s="68"/>
      <c r="BS335" s="1112"/>
      <c r="BT335" s="68"/>
      <c r="BU335" s="68"/>
      <c r="BV335" s="68"/>
      <c r="BW335" s="68"/>
      <c r="BX335" s="1112"/>
      <c r="BY335" s="588"/>
      <c r="BZ335" s="68"/>
      <c r="CA335" s="68"/>
      <c r="CB335" s="68"/>
      <c r="CC335" s="1112"/>
      <c r="CD335" s="68"/>
      <c r="CE335" s="68"/>
      <c r="CF335" s="68"/>
      <c r="CG335" s="68"/>
      <c r="CH335" s="1112"/>
      <c r="CI335" s="1112"/>
      <c r="CJ335" s="1112"/>
      <c r="CK335" s="1112"/>
      <c r="CL335" s="155"/>
    </row>
    <row r="336" spans="1:90" hidden="1" outlineLevel="1" x14ac:dyDescent="0.3">
      <c r="A336" s="67" t="s">
        <v>73</v>
      </c>
      <c r="B336" s="146"/>
      <c r="C336" s="1112"/>
      <c r="D336" s="1113">
        <v>11.412000000000001</v>
      </c>
      <c r="E336" s="1112"/>
      <c r="F336" s="1112"/>
      <c r="G336" s="68"/>
      <c r="H336" s="68"/>
      <c r="I336" s="68"/>
      <c r="J336" s="68"/>
      <c r="K336" s="1112"/>
      <c r="L336" s="68"/>
      <c r="M336" s="68"/>
      <c r="N336" s="68"/>
      <c r="O336" s="68"/>
      <c r="P336" s="1112"/>
      <c r="Q336" s="68"/>
      <c r="R336" s="68"/>
      <c r="S336" s="68"/>
      <c r="T336" s="68"/>
      <c r="U336" s="1112"/>
      <c r="V336" s="68"/>
      <c r="W336" s="68"/>
      <c r="X336" s="68"/>
      <c r="Y336" s="68"/>
      <c r="Z336" s="1112"/>
      <c r="AA336" s="68"/>
      <c r="AB336" s="68"/>
      <c r="AC336" s="68"/>
      <c r="AD336" s="68"/>
      <c r="AE336" s="1112"/>
      <c r="AF336" s="68"/>
      <c r="AG336" s="68"/>
      <c r="AH336" s="68"/>
      <c r="AI336" s="68"/>
      <c r="AJ336" s="1112"/>
      <c r="AK336" s="68"/>
      <c r="AL336" s="68"/>
      <c r="AM336" s="68"/>
      <c r="AN336" s="68"/>
      <c r="AO336" s="1112"/>
      <c r="AP336" s="68"/>
      <c r="AQ336" s="68"/>
      <c r="AR336" s="68"/>
      <c r="AS336" s="68"/>
      <c r="AT336" s="1112"/>
      <c r="AU336" s="68"/>
      <c r="AV336" s="68"/>
      <c r="AW336" s="68"/>
      <c r="AX336" s="68"/>
      <c r="AY336" s="1112"/>
      <c r="AZ336" s="68"/>
      <c r="BA336" s="68"/>
      <c r="BB336" s="68"/>
      <c r="BC336" s="68"/>
      <c r="BD336" s="1112"/>
      <c r="BE336" s="68"/>
      <c r="BF336" s="68"/>
      <c r="BG336" s="68"/>
      <c r="BH336" s="68"/>
      <c r="BI336" s="1112"/>
      <c r="BJ336" s="68"/>
      <c r="BK336" s="68"/>
      <c r="BL336" s="68"/>
      <c r="BM336" s="68"/>
      <c r="BN336" s="1112"/>
      <c r="BO336" s="68"/>
      <c r="BP336" s="68"/>
      <c r="BQ336" s="68"/>
      <c r="BR336" s="68"/>
      <c r="BS336" s="1112"/>
      <c r="BT336" s="68"/>
      <c r="BU336" s="68"/>
      <c r="BV336" s="68"/>
      <c r="BW336" s="68"/>
      <c r="BX336" s="1112"/>
      <c r="BY336" s="588"/>
      <c r="BZ336" s="68"/>
      <c r="CA336" s="68"/>
      <c r="CB336" s="68"/>
      <c r="CC336" s="1112"/>
      <c r="CD336" s="68"/>
      <c r="CE336" s="68"/>
      <c r="CF336" s="68"/>
      <c r="CG336" s="68"/>
      <c r="CH336" s="1112"/>
      <c r="CI336" s="1112"/>
      <c r="CJ336" s="1112"/>
      <c r="CK336" s="1112"/>
      <c r="CL336" s="155"/>
    </row>
    <row r="337" spans="1:90" hidden="1" outlineLevel="1" x14ac:dyDescent="0.3">
      <c r="A337" s="67" t="s">
        <v>74</v>
      </c>
      <c r="B337" s="146"/>
      <c r="C337" s="1112"/>
      <c r="D337" s="1112"/>
      <c r="E337" s="1112"/>
      <c r="F337" s="1112"/>
      <c r="G337" s="68"/>
      <c r="H337" s="68"/>
      <c r="I337" s="68"/>
      <c r="J337" s="68"/>
      <c r="K337" s="1112"/>
      <c r="L337" s="68"/>
      <c r="M337" s="68"/>
      <c r="N337" s="68"/>
      <c r="O337" s="68"/>
      <c r="P337" s="1112"/>
      <c r="Q337" s="68"/>
      <c r="R337" s="68"/>
      <c r="S337" s="68"/>
      <c r="T337" s="68"/>
      <c r="U337" s="1112"/>
      <c r="V337" s="68"/>
      <c r="W337" s="1055">
        <v>15</v>
      </c>
      <c r="X337" s="68"/>
      <c r="Y337" s="1055">
        <v>5</v>
      </c>
      <c r="Z337" s="1113">
        <v>20</v>
      </c>
      <c r="AA337" s="68"/>
      <c r="AB337" s="68"/>
      <c r="AC337" s="68"/>
      <c r="AD337" s="68"/>
      <c r="AE337" s="1112"/>
      <c r="AF337" s="68"/>
      <c r="AG337" s="68"/>
      <c r="AH337" s="68"/>
      <c r="AI337" s="68"/>
      <c r="AJ337" s="1112"/>
      <c r="AK337" s="68"/>
      <c r="AL337" s="68"/>
      <c r="AM337" s="68"/>
      <c r="AN337" s="68"/>
      <c r="AO337" s="1112"/>
      <c r="AP337" s="68"/>
      <c r="AQ337" s="68"/>
      <c r="AR337" s="68"/>
      <c r="AS337" s="68"/>
      <c r="AT337" s="1112"/>
      <c r="AU337" s="68"/>
      <c r="AV337" s="68"/>
      <c r="AW337" s="68"/>
      <c r="AX337" s="68"/>
      <c r="AY337" s="1112"/>
      <c r="AZ337" s="68"/>
      <c r="BA337" s="68"/>
      <c r="BB337" s="68"/>
      <c r="BC337" s="68"/>
      <c r="BD337" s="1112"/>
      <c r="BE337" s="68"/>
      <c r="BF337" s="68"/>
      <c r="BG337" s="68"/>
      <c r="BH337" s="68"/>
      <c r="BI337" s="1112"/>
      <c r="BJ337" s="68"/>
      <c r="BK337" s="68"/>
      <c r="BL337" s="68"/>
      <c r="BM337" s="68"/>
      <c r="BN337" s="1112"/>
      <c r="BO337" s="68"/>
      <c r="BP337" s="68"/>
      <c r="BQ337" s="68"/>
      <c r="BR337" s="68"/>
      <c r="BS337" s="1112"/>
      <c r="BT337" s="68"/>
      <c r="BU337" s="68"/>
      <c r="BV337" s="68"/>
      <c r="BW337" s="68"/>
      <c r="BX337" s="1112"/>
      <c r="BY337" s="588"/>
      <c r="BZ337" s="68"/>
      <c r="CA337" s="68"/>
      <c r="CB337" s="68"/>
      <c r="CC337" s="1112"/>
      <c r="CD337" s="68"/>
      <c r="CE337" s="68"/>
      <c r="CF337" s="68"/>
      <c r="CG337" s="68"/>
      <c r="CH337" s="1112"/>
      <c r="CI337" s="1112"/>
      <c r="CJ337" s="1112"/>
      <c r="CK337" s="1112"/>
      <c r="CL337" s="155"/>
    </row>
    <row r="338" spans="1:90" hidden="1" outlineLevel="1" x14ac:dyDescent="0.3">
      <c r="A338" s="67" t="s">
        <v>151</v>
      </c>
      <c r="B338" s="146"/>
      <c r="C338" s="1112"/>
      <c r="D338" s="1112"/>
      <c r="E338" s="1112"/>
      <c r="F338" s="1112"/>
      <c r="G338" s="68"/>
      <c r="H338" s="68"/>
      <c r="I338" s="68"/>
      <c r="J338" s="68"/>
      <c r="K338" s="1112"/>
      <c r="L338" s="68"/>
      <c r="M338" s="68"/>
      <c r="N338" s="68"/>
      <c r="O338" s="68"/>
      <c r="P338" s="1112"/>
      <c r="Q338" s="68"/>
      <c r="R338" s="68"/>
      <c r="S338" s="68"/>
      <c r="T338" s="68"/>
      <c r="U338" s="1112"/>
      <c r="V338" s="68"/>
      <c r="W338" s="68"/>
      <c r="X338" s="68"/>
      <c r="Y338" s="68"/>
      <c r="Z338" s="1112"/>
      <c r="AA338" s="68"/>
      <c r="AB338" s="68"/>
      <c r="AC338" s="68"/>
      <c r="AD338" s="68"/>
      <c r="AE338" s="1112"/>
      <c r="AF338" s="68"/>
      <c r="AG338" s="68"/>
      <c r="AH338" s="68"/>
      <c r="AI338" s="68"/>
      <c r="AJ338" s="1112"/>
      <c r="AK338" s="68"/>
      <c r="AL338" s="68"/>
      <c r="AM338" s="68"/>
      <c r="AN338" s="68"/>
      <c r="AO338" s="1112"/>
      <c r="AP338" s="68"/>
      <c r="AQ338" s="68"/>
      <c r="AR338" s="68"/>
      <c r="AS338" s="68"/>
      <c r="AT338" s="1112"/>
      <c r="AU338" s="68"/>
      <c r="AV338" s="68"/>
      <c r="AW338" s="68"/>
      <c r="AX338" s="68"/>
      <c r="AY338" s="1112"/>
      <c r="AZ338" s="68"/>
      <c r="BA338" s="68"/>
      <c r="BB338" s="68"/>
      <c r="BC338" s="68"/>
      <c r="BD338" s="1112"/>
      <c r="BE338" s="68"/>
      <c r="BF338" s="68"/>
      <c r="BG338" s="68"/>
      <c r="BH338" s="68"/>
      <c r="BI338" s="1112"/>
      <c r="BJ338" s="68"/>
      <c r="BK338" s="68"/>
      <c r="BL338" s="68"/>
      <c r="BM338" s="68"/>
      <c r="BN338" s="1112"/>
      <c r="BO338" s="68"/>
      <c r="BP338" s="68"/>
      <c r="BQ338" s="68"/>
      <c r="BR338" s="68"/>
      <c r="BS338" s="1112"/>
      <c r="BT338" s="1055">
        <v>3</v>
      </c>
      <c r="BU338" s="68"/>
      <c r="BV338" s="68"/>
      <c r="BW338" s="1055">
        <v>-1</v>
      </c>
      <c r="BX338" s="1113">
        <v>3</v>
      </c>
      <c r="BY338" s="1057">
        <v>28</v>
      </c>
      <c r="BZ338" s="68"/>
      <c r="CA338" s="68"/>
      <c r="CB338" s="68"/>
      <c r="CC338" s="1112"/>
      <c r="CD338" s="68"/>
      <c r="CE338" s="68"/>
      <c r="CF338" s="68"/>
      <c r="CG338" s="68"/>
      <c r="CH338" s="1112"/>
      <c r="CI338" s="1112"/>
      <c r="CJ338" s="1112"/>
      <c r="CK338" s="1112"/>
      <c r="CL338" s="155"/>
    </row>
    <row r="339" spans="1:90" hidden="1" outlineLevel="1" x14ac:dyDescent="0.3">
      <c r="A339" s="59" t="s">
        <v>75</v>
      </c>
      <c r="B339" s="607"/>
      <c r="C339" s="1125">
        <f t="shared" ref="C339:BN339" si="794">SUM(C329:C338)</f>
        <v>1368.0579999999998</v>
      </c>
      <c r="D339" s="1125">
        <f t="shared" si="794"/>
        <v>1284.2130000000002</v>
      </c>
      <c r="E339" s="1125">
        <f t="shared" si="794"/>
        <v>1598.5910000000001</v>
      </c>
      <c r="F339" s="1125">
        <f t="shared" si="794"/>
        <v>2075.1390000000001</v>
      </c>
      <c r="G339" s="60">
        <f t="shared" si="794"/>
        <v>465.89</v>
      </c>
      <c r="H339" s="60">
        <f t="shared" si="794"/>
        <v>543.36800000000005</v>
      </c>
      <c r="I339" s="60">
        <f t="shared" si="794"/>
        <v>639.14699999999993</v>
      </c>
      <c r="J339" s="60">
        <f t="shared" si="794"/>
        <v>588.42799999999988</v>
      </c>
      <c r="K339" s="1125">
        <f t="shared" si="794"/>
        <v>2236.8329999999996</v>
      </c>
      <c r="L339" s="60">
        <f t="shared" si="794"/>
        <v>521.221</v>
      </c>
      <c r="M339" s="60">
        <f t="shared" si="794"/>
        <v>549.99599999999998</v>
      </c>
      <c r="N339" s="60">
        <f t="shared" si="794"/>
        <v>587.50500000000011</v>
      </c>
      <c r="O339" s="60">
        <f t="shared" si="794"/>
        <v>615.68700000000058</v>
      </c>
      <c r="P339" s="1125">
        <f t="shared" si="794"/>
        <v>2274.4090000000001</v>
      </c>
      <c r="Q339" s="60">
        <f t="shared" si="794"/>
        <v>607</v>
      </c>
      <c r="R339" s="60">
        <f t="shared" si="794"/>
        <v>622</v>
      </c>
      <c r="S339" s="60">
        <f t="shared" si="794"/>
        <v>680</v>
      </c>
      <c r="T339" s="60">
        <f t="shared" si="794"/>
        <v>704</v>
      </c>
      <c r="U339" s="1125">
        <f t="shared" si="794"/>
        <v>2611</v>
      </c>
      <c r="V339" s="60">
        <f t="shared" si="794"/>
        <v>655</v>
      </c>
      <c r="W339" s="60">
        <f t="shared" si="794"/>
        <v>652</v>
      </c>
      <c r="X339" s="60">
        <f t="shared" si="794"/>
        <v>738</v>
      </c>
      <c r="Y339" s="60">
        <f t="shared" si="794"/>
        <v>801</v>
      </c>
      <c r="Z339" s="1125">
        <f t="shared" si="794"/>
        <v>2846</v>
      </c>
      <c r="AA339" s="60">
        <f t="shared" si="794"/>
        <v>765</v>
      </c>
      <c r="AB339" s="60">
        <f t="shared" si="794"/>
        <v>830</v>
      </c>
      <c r="AC339" s="60">
        <f t="shared" si="794"/>
        <v>1186</v>
      </c>
      <c r="AD339" s="60">
        <f t="shared" si="794"/>
        <v>1307</v>
      </c>
      <c r="AE339" s="1125">
        <f t="shared" si="794"/>
        <v>4088</v>
      </c>
      <c r="AF339" s="60">
        <f t="shared" si="794"/>
        <v>1154</v>
      </c>
      <c r="AG339" s="60">
        <f t="shared" si="794"/>
        <v>1306</v>
      </c>
      <c r="AH339" s="60">
        <f t="shared" si="794"/>
        <v>1575</v>
      </c>
      <c r="AI339" s="60">
        <f t="shared" si="794"/>
        <v>1809</v>
      </c>
      <c r="AJ339" s="1125">
        <f t="shared" si="794"/>
        <v>5844</v>
      </c>
      <c r="AK339" s="60">
        <f t="shared" si="794"/>
        <v>2076</v>
      </c>
      <c r="AL339" s="60">
        <f t="shared" si="794"/>
        <v>1983</v>
      </c>
      <c r="AM339" s="60">
        <f t="shared" si="794"/>
        <v>1940</v>
      </c>
      <c r="AN339" s="60">
        <f t="shared" si="794"/>
        <v>1234</v>
      </c>
      <c r="AO339" s="1125">
        <f t="shared" si="794"/>
        <v>7233</v>
      </c>
      <c r="AP339" s="60">
        <f t="shared" si="794"/>
        <v>1310</v>
      </c>
      <c r="AQ339" s="60">
        <f t="shared" si="794"/>
        <v>1551</v>
      </c>
      <c r="AR339" s="60">
        <f t="shared" si="794"/>
        <v>1931</v>
      </c>
      <c r="AS339" s="60">
        <f t="shared" si="794"/>
        <v>2030</v>
      </c>
      <c r="AT339" s="1125">
        <f t="shared" si="794"/>
        <v>6821</v>
      </c>
      <c r="AU339" s="60">
        <f t="shared" si="794"/>
        <v>2026</v>
      </c>
      <c r="AV339" s="60">
        <f t="shared" si="794"/>
        <v>2551</v>
      </c>
      <c r="AW339" s="60">
        <f t="shared" si="794"/>
        <v>3095</v>
      </c>
      <c r="AX339" s="60">
        <f t="shared" si="794"/>
        <v>3276</v>
      </c>
      <c r="AY339" s="1125">
        <f t="shared" si="794"/>
        <v>10947</v>
      </c>
      <c r="AZ339" s="60">
        <f t="shared" si="794"/>
        <v>3746</v>
      </c>
      <c r="BA339" s="60">
        <f t="shared" si="794"/>
        <v>4337</v>
      </c>
      <c r="BB339" s="60">
        <f t="shared" si="794"/>
        <v>4761</v>
      </c>
      <c r="BC339" s="60">
        <f t="shared" si="794"/>
        <v>5124</v>
      </c>
      <c r="BD339" s="1125">
        <f t="shared" si="794"/>
        <v>17969</v>
      </c>
      <c r="BE339" s="60">
        <f t="shared" si="794"/>
        <v>5563</v>
      </c>
      <c r="BF339" s="60">
        <f t="shared" si="794"/>
        <v>3074</v>
      </c>
      <c r="BG339" s="60">
        <f t="shared" si="794"/>
        <v>3329</v>
      </c>
      <c r="BH339" s="60">
        <f t="shared" si="794"/>
        <v>3999</v>
      </c>
      <c r="BI339" s="1125">
        <f t="shared" si="794"/>
        <v>15965</v>
      </c>
      <c r="BJ339" s="60">
        <f t="shared" si="794"/>
        <v>4802</v>
      </c>
      <c r="BK339" s="60">
        <f t="shared" si="794"/>
        <v>9614</v>
      </c>
      <c r="BL339" s="60">
        <f t="shared" si="794"/>
        <v>13583</v>
      </c>
      <c r="BM339" s="60">
        <f t="shared" si="794"/>
        <v>16959</v>
      </c>
      <c r="BN339" s="1125">
        <f t="shared" si="794"/>
        <v>44959</v>
      </c>
      <c r="BO339" s="60">
        <f t="shared" ref="BO339:BS339" si="795">SUM(BO329:BO338)</f>
        <v>20560</v>
      </c>
      <c r="BP339" s="60">
        <f t="shared" si="795"/>
        <v>22729</v>
      </c>
      <c r="BQ339" s="60">
        <f t="shared" si="795"/>
        <v>26322</v>
      </c>
      <c r="BR339" s="60">
        <f t="shared" si="795"/>
        <v>28894</v>
      </c>
      <c r="BS339" s="1125">
        <f t="shared" si="795"/>
        <v>98505</v>
      </c>
      <c r="BT339" s="60">
        <f t="shared" ref="BT339:BY339" si="796">SUM(BT329:BT338)</f>
        <v>26858</v>
      </c>
      <c r="BU339" s="60">
        <f t="shared" si="796"/>
        <v>33960</v>
      </c>
      <c r="BV339" s="60">
        <f t="shared" si="796"/>
        <v>41967</v>
      </c>
      <c r="BW339" s="60">
        <f t="shared" si="796"/>
        <v>51209</v>
      </c>
      <c r="BX339" s="1125">
        <f t="shared" si="796"/>
        <v>153994</v>
      </c>
      <c r="BY339" s="895">
        <f t="shared" si="796"/>
        <v>61232</v>
      </c>
      <c r="BZ339" s="61"/>
      <c r="CA339" s="61"/>
      <c r="CB339" s="61"/>
      <c r="CC339" s="1124"/>
      <c r="CD339" s="61"/>
      <c r="CE339" s="61"/>
      <c r="CF339" s="61"/>
      <c r="CG339" s="61"/>
      <c r="CH339" s="1124"/>
      <c r="CI339" s="1124"/>
      <c r="CJ339" s="1124"/>
      <c r="CK339" s="1124"/>
      <c r="CL339" s="155"/>
    </row>
    <row r="340" spans="1:90" hidden="1" outlineLevel="1" x14ac:dyDescent="0.3">
      <c r="A340" s="600"/>
      <c r="B340" s="279"/>
      <c r="C340" s="1127"/>
      <c r="D340" s="1127"/>
      <c r="E340" s="1127"/>
      <c r="F340" s="1127"/>
      <c r="G340" s="63"/>
      <c r="H340" s="63"/>
      <c r="I340" s="63"/>
      <c r="J340" s="63"/>
      <c r="K340" s="1127"/>
      <c r="L340" s="63"/>
      <c r="M340" s="63"/>
      <c r="N340" s="63"/>
      <c r="O340" s="63"/>
      <c r="P340" s="1127"/>
      <c r="Q340" s="63"/>
      <c r="R340" s="63"/>
      <c r="S340" s="63"/>
      <c r="T340" s="63"/>
      <c r="U340" s="1127"/>
      <c r="V340" s="63"/>
      <c r="W340" s="63"/>
      <c r="X340" s="63"/>
      <c r="Y340" s="63"/>
      <c r="Z340" s="1127"/>
      <c r="AA340" s="63"/>
      <c r="AB340" s="63"/>
      <c r="AC340" s="63"/>
      <c r="AD340" s="63"/>
      <c r="AE340" s="1127"/>
      <c r="AF340" s="63"/>
      <c r="AG340" s="63"/>
      <c r="AH340" s="63"/>
      <c r="AI340" s="63"/>
      <c r="AJ340" s="1127"/>
      <c r="AK340" s="63"/>
      <c r="AL340" s="63"/>
      <c r="AM340" s="63"/>
      <c r="AN340" s="63"/>
      <c r="AO340" s="1127"/>
      <c r="AP340" s="63"/>
      <c r="AQ340" s="63"/>
      <c r="AR340" s="63"/>
      <c r="AS340" s="63"/>
      <c r="AT340" s="1127"/>
      <c r="AU340" s="63"/>
      <c r="AV340" s="63"/>
      <c r="AW340" s="63"/>
      <c r="AX340" s="63"/>
      <c r="AY340" s="1127"/>
      <c r="AZ340" s="63"/>
      <c r="BA340" s="63"/>
      <c r="BB340" s="63"/>
      <c r="BC340" s="63"/>
      <c r="BD340" s="1127"/>
      <c r="BE340" s="63"/>
      <c r="BF340" s="63"/>
      <c r="BG340" s="63"/>
      <c r="BH340" s="63"/>
      <c r="BI340" s="1127"/>
      <c r="BJ340" s="63"/>
      <c r="BK340" s="63"/>
      <c r="BL340" s="63"/>
      <c r="BM340" s="63"/>
      <c r="BN340" s="1127"/>
      <c r="BO340" s="63"/>
      <c r="BP340" s="63"/>
      <c r="BQ340" s="63"/>
      <c r="BR340" s="63"/>
      <c r="BS340" s="1127"/>
      <c r="BT340" s="63"/>
      <c r="BU340" s="63"/>
      <c r="BV340" s="63"/>
      <c r="BW340" s="63"/>
      <c r="BX340" s="1127"/>
      <c r="BY340" s="587"/>
      <c r="BZ340" s="63"/>
      <c r="CA340" s="63"/>
      <c r="CB340" s="63"/>
      <c r="CC340" s="1127"/>
      <c r="CD340" s="63"/>
      <c r="CE340" s="63"/>
      <c r="CF340" s="63"/>
      <c r="CG340" s="63"/>
      <c r="CH340" s="1127"/>
      <c r="CI340" s="1127"/>
      <c r="CJ340" s="1127"/>
      <c r="CK340" s="1127"/>
      <c r="CL340" s="155"/>
    </row>
    <row r="341" spans="1:90" hidden="1" outlineLevel="1" x14ac:dyDescent="0.3">
      <c r="A341" s="62" t="s">
        <v>76</v>
      </c>
      <c r="B341" s="279"/>
      <c r="C341" s="1127">
        <f t="shared" ref="C341:AH341" si="797">C308</f>
        <v>1244.9690000000001</v>
      </c>
      <c r="D341" s="1134">
        <f t="shared" si="797"/>
        <v>1275.8679999999999</v>
      </c>
      <c r="E341" s="1134">
        <f t="shared" si="797"/>
        <v>1153.3430000000001</v>
      </c>
      <c r="F341" s="1134">
        <f t="shared" si="797"/>
        <v>1408.2180000000001</v>
      </c>
      <c r="G341" s="28">
        <f t="shared" si="797"/>
        <v>390.53800000000001</v>
      </c>
      <c r="H341" s="28">
        <f t="shared" si="797"/>
        <v>401.096</v>
      </c>
      <c r="I341" s="28">
        <f t="shared" si="797"/>
        <v>384.44100000000003</v>
      </c>
      <c r="J341" s="28">
        <f t="shared" si="797"/>
        <v>402.02899999999988</v>
      </c>
      <c r="K341" s="1134">
        <f t="shared" si="797"/>
        <v>1578.1039999999998</v>
      </c>
      <c r="L341" s="28">
        <f t="shared" si="797"/>
        <v>435.78700000000003</v>
      </c>
      <c r="M341" s="28">
        <f t="shared" si="797"/>
        <v>440.00400000000002</v>
      </c>
      <c r="N341" s="28">
        <f t="shared" si="797"/>
        <v>443.42699999999996</v>
      </c>
      <c r="O341" s="28">
        <f t="shared" si="797"/>
        <v>452.31799999999998</v>
      </c>
      <c r="P341" s="1134">
        <f t="shared" si="797"/>
        <v>1771.5360000000001</v>
      </c>
      <c r="Q341" s="28">
        <f t="shared" si="797"/>
        <v>453</v>
      </c>
      <c r="R341" s="28">
        <f t="shared" si="797"/>
        <v>456</v>
      </c>
      <c r="S341" s="28">
        <f t="shared" si="797"/>
        <v>463</v>
      </c>
      <c r="T341" s="28">
        <f t="shared" si="797"/>
        <v>468</v>
      </c>
      <c r="U341" s="1134">
        <f t="shared" si="797"/>
        <v>1840</v>
      </c>
      <c r="V341" s="28">
        <f t="shared" si="797"/>
        <v>477</v>
      </c>
      <c r="W341" s="28">
        <f t="shared" si="797"/>
        <v>558</v>
      </c>
      <c r="X341" s="28">
        <f t="shared" si="797"/>
        <v>489</v>
      </c>
      <c r="Y341" s="28">
        <f t="shared" si="797"/>
        <v>539</v>
      </c>
      <c r="Z341" s="1134">
        <f t="shared" si="797"/>
        <v>2064</v>
      </c>
      <c r="AA341" s="28">
        <f t="shared" si="797"/>
        <v>506</v>
      </c>
      <c r="AB341" s="28">
        <f t="shared" si="797"/>
        <v>509</v>
      </c>
      <c r="AC341" s="28">
        <f t="shared" si="797"/>
        <v>544</v>
      </c>
      <c r="AD341" s="28">
        <f t="shared" si="797"/>
        <v>570</v>
      </c>
      <c r="AE341" s="1134">
        <f t="shared" si="797"/>
        <v>2129</v>
      </c>
      <c r="AF341" s="28">
        <f t="shared" si="797"/>
        <v>596</v>
      </c>
      <c r="AG341" s="28">
        <f t="shared" si="797"/>
        <v>614</v>
      </c>
      <c r="AH341" s="28">
        <f t="shared" si="797"/>
        <v>674</v>
      </c>
      <c r="AI341" s="28">
        <f t="shared" ref="AI341:BJ341" si="798">AI308</f>
        <v>728</v>
      </c>
      <c r="AJ341" s="1134">
        <f t="shared" si="798"/>
        <v>2612</v>
      </c>
      <c r="AK341" s="28">
        <f t="shared" si="798"/>
        <v>773</v>
      </c>
      <c r="AL341" s="28">
        <f t="shared" si="798"/>
        <v>818</v>
      </c>
      <c r="AM341" s="28">
        <f t="shared" si="798"/>
        <v>863</v>
      </c>
      <c r="AN341" s="28">
        <f t="shared" si="798"/>
        <v>913</v>
      </c>
      <c r="AO341" s="1134">
        <f t="shared" si="798"/>
        <v>3367</v>
      </c>
      <c r="AP341" s="28">
        <f t="shared" si="798"/>
        <v>938</v>
      </c>
      <c r="AQ341" s="28">
        <f t="shared" si="798"/>
        <v>970</v>
      </c>
      <c r="AR341" s="28">
        <f t="shared" si="798"/>
        <v>989</v>
      </c>
      <c r="AS341" s="28">
        <f t="shared" si="798"/>
        <v>1025</v>
      </c>
      <c r="AT341" s="1134">
        <f t="shared" si="798"/>
        <v>3922</v>
      </c>
      <c r="AU341" s="28">
        <f t="shared" si="798"/>
        <v>1028</v>
      </c>
      <c r="AV341" s="28">
        <f t="shared" si="798"/>
        <v>1624</v>
      </c>
      <c r="AW341" s="28">
        <f t="shared" si="798"/>
        <v>1562</v>
      </c>
      <c r="AX341" s="28">
        <f t="shared" si="798"/>
        <v>1650</v>
      </c>
      <c r="AY341" s="1134">
        <f t="shared" si="798"/>
        <v>5864</v>
      </c>
      <c r="AZ341" s="28">
        <f t="shared" si="798"/>
        <v>1673</v>
      </c>
      <c r="BA341" s="28">
        <f t="shared" si="798"/>
        <v>1771</v>
      </c>
      <c r="BB341" s="28">
        <f t="shared" si="798"/>
        <v>1960</v>
      </c>
      <c r="BC341" s="28">
        <f t="shared" si="798"/>
        <v>2029</v>
      </c>
      <c r="BD341" s="1134">
        <f t="shared" si="798"/>
        <v>7434</v>
      </c>
      <c r="BE341" s="28">
        <f t="shared" si="798"/>
        <v>3563</v>
      </c>
      <c r="BF341" s="28">
        <f t="shared" si="798"/>
        <v>2416</v>
      </c>
      <c r="BG341" s="28">
        <f t="shared" si="798"/>
        <v>2576</v>
      </c>
      <c r="BH341" s="28">
        <f t="shared" si="798"/>
        <v>2576</v>
      </c>
      <c r="BI341" s="1134">
        <f t="shared" si="798"/>
        <v>11132</v>
      </c>
      <c r="BJ341" s="28">
        <f t="shared" si="798"/>
        <v>2508</v>
      </c>
      <c r="BK341" s="28">
        <f t="shared" ref="BK341:BP341" si="799">BK308</f>
        <v>2662</v>
      </c>
      <c r="BL341" s="28">
        <f t="shared" si="799"/>
        <v>2983</v>
      </c>
      <c r="BM341" s="28">
        <f t="shared" si="799"/>
        <v>3176</v>
      </c>
      <c r="BN341" s="1134">
        <f t="shared" si="799"/>
        <v>11329</v>
      </c>
      <c r="BO341" s="28">
        <f t="shared" si="799"/>
        <v>3497</v>
      </c>
      <c r="BP341" s="28">
        <f t="shared" si="799"/>
        <v>3932</v>
      </c>
      <c r="BQ341" s="28">
        <f t="shared" ref="BQ341:BV341" si="800">BQ308</f>
        <v>4287</v>
      </c>
      <c r="BR341" s="28">
        <f t="shared" si="800"/>
        <v>4689</v>
      </c>
      <c r="BS341" s="1134">
        <f t="shared" si="800"/>
        <v>16405</v>
      </c>
      <c r="BT341" s="28">
        <f t="shared" si="800"/>
        <v>5030</v>
      </c>
      <c r="BU341" s="28">
        <f t="shared" si="800"/>
        <v>5413</v>
      </c>
      <c r="BV341" s="28">
        <f t="shared" si="800"/>
        <v>5839</v>
      </c>
      <c r="BW341" s="28">
        <f>BW308</f>
        <v>6794</v>
      </c>
      <c r="BX341" s="1134">
        <f>BX308</f>
        <v>23076</v>
      </c>
      <c r="BY341" s="505">
        <f>BY308</f>
        <v>7621</v>
      </c>
      <c r="BZ341" s="63"/>
      <c r="CA341" s="63"/>
      <c r="CB341" s="63"/>
      <c r="CC341" s="1127"/>
      <c r="CD341" s="63"/>
      <c r="CE341" s="63"/>
      <c r="CF341" s="63"/>
      <c r="CG341" s="63"/>
      <c r="CH341" s="1127"/>
      <c r="CI341" s="1127"/>
      <c r="CJ341" s="1127"/>
      <c r="CK341" s="1127"/>
      <c r="CL341" s="155"/>
    </row>
    <row r="342" spans="1:90" hidden="1" outlineLevel="1" x14ac:dyDescent="0.3">
      <c r="A342" s="67" t="s">
        <v>69</v>
      </c>
      <c r="B342" s="146"/>
      <c r="C342" s="1112"/>
      <c r="D342" s="1112"/>
      <c r="E342" s="1113">
        <v>-92.045000000000002</v>
      </c>
      <c r="F342" s="1113">
        <v>-125.032</v>
      </c>
      <c r="G342" s="1055">
        <v>-33.042999999999999</v>
      </c>
      <c r="H342" s="1055">
        <v>-29.606000000000002</v>
      </c>
      <c r="I342" s="1055">
        <v>-30.58</v>
      </c>
      <c r="J342" s="1055">
        <v>-32.942999999999998</v>
      </c>
      <c r="K342" s="1113">
        <v>-126.172</v>
      </c>
      <c r="L342" s="1055">
        <v>-30.744</v>
      </c>
      <c r="M342" s="1055">
        <v>-30.227</v>
      </c>
      <c r="N342" s="1055">
        <v>-31.209</v>
      </c>
      <c r="O342" s="1055">
        <v>-33.427</v>
      </c>
      <c r="P342" s="1113">
        <v>-125.607</v>
      </c>
      <c r="Q342" s="1055">
        <v>-33</v>
      </c>
      <c r="R342" s="1055">
        <v>-35</v>
      </c>
      <c r="S342" s="1055">
        <v>-38</v>
      </c>
      <c r="T342" s="1055">
        <v>-39</v>
      </c>
      <c r="U342" s="1113">
        <v>-146</v>
      </c>
      <c r="V342" s="1055">
        <v>-43</v>
      </c>
      <c r="W342" s="1055">
        <v>-44</v>
      </c>
      <c r="X342" s="1055">
        <v>-47</v>
      </c>
      <c r="Y342" s="1055">
        <v>-56</v>
      </c>
      <c r="Z342" s="1113">
        <v>-190</v>
      </c>
      <c r="AA342" s="1055">
        <v>-49</v>
      </c>
      <c r="AB342" s="1055">
        <v>-54</v>
      </c>
      <c r="AC342" s="1055">
        <v>-62</v>
      </c>
      <c r="AD342" s="1055">
        <v>-68</v>
      </c>
      <c r="AE342" s="1113">
        <v>-233</v>
      </c>
      <c r="AF342" s="1055">
        <v>-73</v>
      </c>
      <c r="AG342" s="1055">
        <v>-77</v>
      </c>
      <c r="AH342" s="1055">
        <v>-101</v>
      </c>
      <c r="AI342" s="1055">
        <v>-119</v>
      </c>
      <c r="AJ342" s="1113">
        <v>-370</v>
      </c>
      <c r="AK342" s="1055">
        <v>-121</v>
      </c>
      <c r="AL342" s="1055">
        <v>-124</v>
      </c>
      <c r="AM342" s="1055">
        <v>-135</v>
      </c>
      <c r="AN342" s="1055">
        <v>-150</v>
      </c>
      <c r="AO342" s="1113">
        <v>-530</v>
      </c>
      <c r="AP342" s="1055">
        <v>-174</v>
      </c>
      <c r="AQ342" s="1055">
        <v>-216</v>
      </c>
      <c r="AR342" s="1055">
        <v>-208</v>
      </c>
      <c r="AS342" s="1055">
        <v>-208</v>
      </c>
      <c r="AT342" s="1113">
        <v>-805</v>
      </c>
      <c r="AU342" s="1055">
        <v>-203</v>
      </c>
      <c r="AV342" s="1055">
        <v>-360</v>
      </c>
      <c r="AW342" s="1055">
        <v>-355</v>
      </c>
      <c r="AX342" s="1055">
        <v>-391</v>
      </c>
      <c r="AY342" s="1113">
        <v>-1309</v>
      </c>
      <c r="AZ342" s="1055">
        <v>-404</v>
      </c>
      <c r="BA342" s="1055">
        <v>-433</v>
      </c>
      <c r="BB342" s="1055">
        <v>-515</v>
      </c>
      <c r="BC342" s="1055">
        <v>-512</v>
      </c>
      <c r="BD342" s="1113">
        <v>-1863</v>
      </c>
      <c r="BE342" s="1055">
        <v>-540</v>
      </c>
      <c r="BF342" s="1055">
        <v>-611</v>
      </c>
      <c r="BG342" s="1055">
        <v>-713</v>
      </c>
      <c r="BH342" s="1055">
        <v>-709</v>
      </c>
      <c r="BI342" s="1113">
        <v>-2572</v>
      </c>
      <c r="BJ342" s="1055">
        <v>-708</v>
      </c>
      <c r="BK342" s="1055">
        <v>-811</v>
      </c>
      <c r="BL342" s="1055">
        <v>-941</v>
      </c>
      <c r="BM342" s="1055">
        <v>-948</v>
      </c>
      <c r="BN342" s="1113">
        <v>-3408</v>
      </c>
      <c r="BO342" s="1055">
        <v>-975</v>
      </c>
      <c r="BP342" s="1055">
        <v>-1114</v>
      </c>
      <c r="BQ342" s="1055">
        <v>-1202</v>
      </c>
      <c r="BR342" s="1055">
        <v>-1268</v>
      </c>
      <c r="BS342" s="1113">
        <v>-4559</v>
      </c>
      <c r="BT342" s="1055">
        <v>-1410</v>
      </c>
      <c r="BU342" s="1055">
        <v>-1566</v>
      </c>
      <c r="BV342" s="1055">
        <v>-1585</v>
      </c>
      <c r="BW342" s="1055">
        <v>-1564</v>
      </c>
      <c r="BX342" s="1113">
        <v>-6125</v>
      </c>
      <c r="BY342" s="588"/>
      <c r="BZ342" s="68"/>
      <c r="CA342" s="68"/>
      <c r="CB342" s="68"/>
      <c r="CC342" s="1112"/>
      <c r="CD342" s="68"/>
      <c r="CE342" s="68"/>
      <c r="CF342" s="68"/>
      <c r="CG342" s="68"/>
      <c r="CH342" s="1112"/>
      <c r="CI342" s="1112"/>
      <c r="CJ342" s="1112"/>
      <c r="CK342" s="1112"/>
      <c r="CL342" s="155"/>
    </row>
    <row r="343" spans="1:90" hidden="1" outlineLevel="1" x14ac:dyDescent="0.3">
      <c r="A343" s="67" t="s">
        <v>79</v>
      </c>
      <c r="B343" s="146"/>
      <c r="C343" s="1112"/>
      <c r="D343" s="1112"/>
      <c r="E343" s="1112"/>
      <c r="F343" s="1113">
        <v>-20.282</v>
      </c>
      <c r="G343" s="1055">
        <v>-5.1710000000000003</v>
      </c>
      <c r="H343" s="1055">
        <v>-4.7939999999999996</v>
      </c>
      <c r="I343" s="1055">
        <v>-4.6660000000000004</v>
      </c>
      <c r="J343" s="1055">
        <v>-8.6980000000000004</v>
      </c>
      <c r="K343" s="1113">
        <v>-36.137999999999998</v>
      </c>
      <c r="L343" s="1055">
        <v>-8.8610000000000007</v>
      </c>
      <c r="M343" s="1055">
        <v>-8.9640000000000004</v>
      </c>
      <c r="N343" s="1055">
        <v>-4.577</v>
      </c>
      <c r="O343" s="1055">
        <v>-9.25</v>
      </c>
      <c r="P343" s="1113">
        <v>-31.652000000000001</v>
      </c>
      <c r="Q343" s="1055">
        <v>-9</v>
      </c>
      <c r="R343" s="1055">
        <v>-9</v>
      </c>
      <c r="S343" s="1055">
        <v>-10</v>
      </c>
      <c r="T343" s="1055">
        <v>-9</v>
      </c>
      <c r="U343" s="1113">
        <v>-37</v>
      </c>
      <c r="V343" s="1055">
        <v>-9</v>
      </c>
      <c r="W343" s="1055">
        <v>-4</v>
      </c>
      <c r="X343" s="1055">
        <v>-4</v>
      </c>
      <c r="Y343" s="1055">
        <v>-4</v>
      </c>
      <c r="Z343" s="1113">
        <v>-22</v>
      </c>
      <c r="AA343" s="1055">
        <v>-4</v>
      </c>
      <c r="AB343" s="1055">
        <v>-4</v>
      </c>
      <c r="AC343" s="1055">
        <v>-4</v>
      </c>
      <c r="AD343" s="1055">
        <v>-4</v>
      </c>
      <c r="AE343" s="1113">
        <v>-16</v>
      </c>
      <c r="AF343" s="1055">
        <v>-4</v>
      </c>
      <c r="AG343" s="1055">
        <v>-4</v>
      </c>
      <c r="AH343" s="1055">
        <v>-3</v>
      </c>
      <c r="AI343" s="1055">
        <v>-2</v>
      </c>
      <c r="AJ343" s="1113">
        <v>-13</v>
      </c>
      <c r="AK343" s="1055">
        <v>-2</v>
      </c>
      <c r="AL343" s="1055">
        <v>-2</v>
      </c>
      <c r="AM343" s="1055">
        <v>-1</v>
      </c>
      <c r="AN343" s="1055">
        <v>-1</v>
      </c>
      <c r="AO343" s="1113">
        <v>-2</v>
      </c>
      <c r="AP343" s="1055">
        <v>-10</v>
      </c>
      <c r="AQ343" s="1055">
        <v>-5</v>
      </c>
      <c r="AR343" s="1055">
        <v>-7</v>
      </c>
      <c r="AS343" s="1055">
        <v>-7</v>
      </c>
      <c r="AT343" s="1113">
        <v>-30</v>
      </c>
      <c r="AU343" s="1055">
        <v>-4</v>
      </c>
      <c r="AV343" s="1055">
        <v>-229</v>
      </c>
      <c r="AW343" s="1055">
        <v>-106</v>
      </c>
      <c r="AX343" s="1055">
        <v>-72</v>
      </c>
      <c r="AY343" s="1113">
        <v>-411</v>
      </c>
      <c r="AZ343" s="1055">
        <v>-80</v>
      </c>
      <c r="BA343" s="1055">
        <v>-72</v>
      </c>
      <c r="BB343" s="1055">
        <v>-70</v>
      </c>
      <c r="BC343" s="1055">
        <v>-70</v>
      </c>
      <c r="BD343" s="1113">
        <v>-292</v>
      </c>
      <c r="BE343" s="1055">
        <v>-55</v>
      </c>
      <c r="BF343" s="1055">
        <v>-54</v>
      </c>
      <c r="BG343" s="1055">
        <v>-54</v>
      </c>
      <c r="BH343" s="1055">
        <v>-54</v>
      </c>
      <c r="BI343" s="1113">
        <v>-219</v>
      </c>
      <c r="BJ343" s="1055">
        <v>-54</v>
      </c>
      <c r="BK343" s="1055">
        <v>-18</v>
      </c>
      <c r="BL343" s="1055">
        <v>-16</v>
      </c>
      <c r="BM343" s="1055">
        <v>-18</v>
      </c>
      <c r="BN343" s="1113">
        <v>-106</v>
      </c>
      <c r="BO343" s="1055">
        <v>-21</v>
      </c>
      <c r="BP343" s="1055">
        <v>-26</v>
      </c>
      <c r="BQ343" s="1055">
        <v>-39</v>
      </c>
      <c r="BR343" s="1055">
        <v>-43</v>
      </c>
      <c r="BS343" s="1113">
        <v>-130</v>
      </c>
      <c r="BT343" s="1055">
        <v>-37</v>
      </c>
      <c r="BU343" s="1055">
        <v>-37</v>
      </c>
      <c r="BV343" s="1055">
        <v>-39</v>
      </c>
      <c r="BW343" s="1055">
        <v>-90</v>
      </c>
      <c r="BX343" s="1113">
        <v>-204</v>
      </c>
      <c r="BY343" s="1057">
        <v>-172</v>
      </c>
      <c r="BZ343" s="68"/>
      <c r="CA343" s="68"/>
      <c r="CB343" s="68"/>
      <c r="CC343" s="1112"/>
      <c r="CD343" s="68"/>
      <c r="CE343" s="68"/>
      <c r="CF343" s="68"/>
      <c r="CG343" s="68"/>
      <c r="CH343" s="1112"/>
      <c r="CI343" s="1112"/>
      <c r="CJ343" s="1112"/>
      <c r="CK343" s="1112"/>
      <c r="CL343" s="155"/>
    </row>
    <row r="344" spans="1:90" hidden="1" outlineLevel="1" x14ac:dyDescent="0.3">
      <c r="A344" s="67" t="s">
        <v>52</v>
      </c>
      <c r="B344" s="146"/>
      <c r="C344" s="1112">
        <f>-C305</f>
        <v>-26.867999999999999</v>
      </c>
      <c r="D344" s="1112"/>
      <c r="E344" s="1112"/>
      <c r="F344" s="1112"/>
      <c r="G344" s="68"/>
      <c r="H344" s="68"/>
      <c r="I344" s="68"/>
      <c r="J344" s="68"/>
      <c r="K344" s="1112"/>
      <c r="L344" s="68"/>
      <c r="M344" s="68"/>
      <c r="N344" s="1055">
        <v>-2.2349999999999999</v>
      </c>
      <c r="O344" s="1055">
        <v>-1.845</v>
      </c>
      <c r="P344" s="1113">
        <v>-4.08</v>
      </c>
      <c r="Q344" s="68"/>
      <c r="R344" s="68"/>
      <c r="S344" s="68"/>
      <c r="T344" s="68"/>
      <c r="U344" s="1112"/>
      <c r="V344" s="68"/>
      <c r="W344" s="1055">
        <v>-89</v>
      </c>
      <c r="X344" s="1055">
        <v>-8</v>
      </c>
      <c r="Y344" s="1055">
        <v>-34</v>
      </c>
      <c r="Z344" s="1113">
        <v>-131</v>
      </c>
      <c r="AA344" s="1055">
        <v>-1</v>
      </c>
      <c r="AB344" s="1055">
        <v>-2</v>
      </c>
      <c r="AC344" s="68"/>
      <c r="AD344" s="68"/>
      <c r="AE344" s="1113">
        <v>-3</v>
      </c>
      <c r="AF344" s="68"/>
      <c r="AG344" s="68"/>
      <c r="AH344" s="68"/>
      <c r="AI344" s="68"/>
      <c r="AJ344" s="1112"/>
      <c r="AK344" s="68"/>
      <c r="AL344" s="68"/>
      <c r="AM344" s="1055">
        <v>4</v>
      </c>
      <c r="AN344" s="68"/>
      <c r="AO344" s="1112"/>
      <c r="AP344" s="68"/>
      <c r="AQ344" s="68"/>
      <c r="AR344" s="68"/>
      <c r="AS344" s="68"/>
      <c r="AT344" s="1112"/>
      <c r="AU344" s="68"/>
      <c r="AV344" s="68"/>
      <c r="AW344" s="68"/>
      <c r="AX344" s="68"/>
      <c r="AY344" s="1112"/>
      <c r="AZ344" s="68"/>
      <c r="BA344" s="68"/>
      <c r="BB344" s="68"/>
      <c r="BC344" s="68"/>
      <c r="BD344" s="1112"/>
      <c r="BE344" s="68"/>
      <c r="BF344" s="68"/>
      <c r="BG344" s="1055">
        <v>-16</v>
      </c>
      <c r="BH344" s="1055">
        <v>-38</v>
      </c>
      <c r="BI344" s="1113">
        <v>-54</v>
      </c>
      <c r="BJ344" s="1055">
        <v>4</v>
      </c>
      <c r="BK344" s="1055">
        <v>5</v>
      </c>
      <c r="BL344" s="68"/>
      <c r="BM344" s="68"/>
      <c r="BN344" s="1113">
        <v>10</v>
      </c>
      <c r="BO344" s="68"/>
      <c r="BP344" s="68"/>
      <c r="BQ344" s="68"/>
      <c r="BR344" s="68"/>
      <c r="BS344" s="1112"/>
      <c r="BT344" s="68"/>
      <c r="BU344" s="68"/>
      <c r="BV344" s="68"/>
      <c r="BW344" s="68"/>
      <c r="BX344" s="1112"/>
      <c r="BY344" s="588"/>
      <c r="BZ344" s="68"/>
      <c r="CA344" s="68"/>
      <c r="CB344" s="68"/>
      <c r="CC344" s="1112"/>
      <c r="CD344" s="68"/>
      <c r="CE344" s="68"/>
      <c r="CF344" s="68"/>
      <c r="CG344" s="68"/>
      <c r="CH344" s="1112"/>
      <c r="CI344" s="1112"/>
      <c r="CJ344" s="1112"/>
      <c r="CK344" s="1112"/>
      <c r="CL344" s="155"/>
    </row>
    <row r="345" spans="1:90" hidden="1" outlineLevel="1" x14ac:dyDescent="0.3">
      <c r="A345" s="67" t="s">
        <v>681</v>
      </c>
      <c r="B345" s="146"/>
      <c r="C345" s="1112"/>
      <c r="D345" s="1112"/>
      <c r="E345" s="1112"/>
      <c r="F345" s="1112"/>
      <c r="G345" s="68"/>
      <c r="H345" s="68"/>
      <c r="I345" s="68"/>
      <c r="J345" s="68"/>
      <c r="K345" s="1112"/>
      <c r="L345" s="68"/>
      <c r="M345" s="68"/>
      <c r="N345" s="68"/>
      <c r="O345" s="68"/>
      <c r="P345" s="1112"/>
      <c r="Q345" s="68"/>
      <c r="R345" s="68"/>
      <c r="S345" s="68"/>
      <c r="T345" s="68"/>
      <c r="U345" s="1112"/>
      <c r="V345" s="68"/>
      <c r="W345" s="68"/>
      <c r="X345" s="68"/>
      <c r="Y345" s="68"/>
      <c r="Z345" s="1112"/>
      <c r="AA345" s="68"/>
      <c r="AB345" s="68"/>
      <c r="AC345" s="68"/>
      <c r="AD345" s="68"/>
      <c r="AE345" s="1112"/>
      <c r="AF345" s="68"/>
      <c r="AG345" s="68"/>
      <c r="AH345" s="68"/>
      <c r="AI345" s="68"/>
      <c r="AJ345" s="1112"/>
      <c r="AK345" s="68"/>
      <c r="AL345" s="68"/>
      <c r="AM345" s="68"/>
      <c r="AN345" s="68"/>
      <c r="AO345" s="1112"/>
      <c r="AP345" s="68"/>
      <c r="AQ345" s="68"/>
      <c r="AR345" s="68"/>
      <c r="AS345" s="68"/>
      <c r="AT345" s="1112"/>
      <c r="AU345" s="68"/>
      <c r="AV345" s="68"/>
      <c r="AW345" s="68"/>
      <c r="AX345" s="68"/>
      <c r="AY345" s="1112"/>
      <c r="AZ345" s="68"/>
      <c r="BA345" s="68"/>
      <c r="BB345" s="68"/>
      <c r="BC345" s="68"/>
      <c r="BD345" s="1112"/>
      <c r="BE345" s="1055">
        <v>-1353</v>
      </c>
      <c r="BF345" s="68"/>
      <c r="BG345" s="68"/>
      <c r="BH345" s="68"/>
      <c r="BI345" s="1113">
        <v>-1353</v>
      </c>
      <c r="BJ345" s="1055">
        <v>0</v>
      </c>
      <c r="BK345" s="68"/>
      <c r="BL345" s="68"/>
      <c r="BM345" s="68"/>
      <c r="BN345" s="1112"/>
      <c r="BO345" s="68"/>
      <c r="BP345" s="68"/>
      <c r="BQ345" s="68"/>
      <c r="BR345" s="68"/>
      <c r="BS345" s="1112"/>
      <c r="BT345" s="68"/>
      <c r="BU345" s="68"/>
      <c r="BV345" s="68"/>
      <c r="BW345" s="68"/>
      <c r="BX345" s="1112"/>
      <c r="BY345" s="588"/>
      <c r="BZ345" s="68"/>
      <c r="CA345" s="68"/>
      <c r="CB345" s="68"/>
      <c r="CC345" s="1112"/>
      <c r="CD345" s="68"/>
      <c r="CE345" s="68"/>
      <c r="CF345" s="68"/>
      <c r="CG345" s="68"/>
      <c r="CH345" s="1112"/>
      <c r="CI345" s="1112"/>
      <c r="CJ345" s="1112"/>
      <c r="CK345" s="1112"/>
      <c r="CL345" s="155"/>
    </row>
    <row r="346" spans="1:90" hidden="1" outlineLevel="1" x14ac:dyDescent="0.3">
      <c r="A346" s="67" t="s">
        <v>70</v>
      </c>
      <c r="B346" s="146"/>
      <c r="C346" s="1112"/>
      <c r="D346" s="1112"/>
      <c r="E346" s="1113">
        <v>57</v>
      </c>
      <c r="F346" s="1112"/>
      <c r="G346" s="68"/>
      <c r="H346" s="68"/>
      <c r="I346" s="68"/>
      <c r="J346" s="68"/>
      <c r="K346" s="1112"/>
      <c r="L346" s="68"/>
      <c r="M346" s="68"/>
      <c r="N346" s="68"/>
      <c r="O346" s="68"/>
      <c r="P346" s="1112"/>
      <c r="Q346" s="68"/>
      <c r="R346" s="68"/>
      <c r="S346" s="68"/>
      <c r="T346" s="68"/>
      <c r="U346" s="1112"/>
      <c r="V346" s="68"/>
      <c r="W346" s="68"/>
      <c r="X346" s="68"/>
      <c r="Y346" s="68"/>
      <c r="Z346" s="1112"/>
      <c r="AA346" s="1055">
        <v>-6</v>
      </c>
      <c r="AB346" s="68"/>
      <c r="AC346" s="68"/>
      <c r="AD346" s="68"/>
      <c r="AE346" s="1113">
        <v>-6</v>
      </c>
      <c r="AF346" s="68"/>
      <c r="AG346" s="68"/>
      <c r="AH346" s="68"/>
      <c r="AI346" s="68"/>
      <c r="AJ346" s="1112"/>
      <c r="AK346" s="1055">
        <v>-2</v>
      </c>
      <c r="AL346" s="68"/>
      <c r="AM346" s="1055">
        <v>-1</v>
      </c>
      <c r="AN346" s="1055">
        <v>-7</v>
      </c>
      <c r="AO346" s="1113">
        <v>-9</v>
      </c>
      <c r="AP346" s="1055">
        <v>-1</v>
      </c>
      <c r="AQ346" s="68"/>
      <c r="AR346" s="68"/>
      <c r="AS346" s="68"/>
      <c r="AT346" s="1113">
        <v>-1</v>
      </c>
      <c r="AU346" s="68"/>
      <c r="AV346" s="68"/>
      <c r="AW346" s="68"/>
      <c r="AX346" s="68"/>
      <c r="AY346" s="1112"/>
      <c r="AZ346" s="68"/>
      <c r="BA346" s="68"/>
      <c r="BB346" s="68"/>
      <c r="BC346" s="68"/>
      <c r="BD346" s="1112"/>
      <c r="BE346" s="1055">
        <v>-7</v>
      </c>
      <c r="BF346" s="68"/>
      <c r="BG346" s="68"/>
      <c r="BH346" s="68"/>
      <c r="BI346" s="1113">
        <v>-7</v>
      </c>
      <c r="BJ346" s="1055">
        <v>0</v>
      </c>
      <c r="BK346" s="68"/>
      <c r="BL346" s="68"/>
      <c r="BM346" s="68"/>
      <c r="BN346" s="1112"/>
      <c r="BO346" s="68"/>
      <c r="BP346" s="68"/>
      <c r="BQ346" s="68"/>
      <c r="BR346" s="68"/>
      <c r="BS346" s="1112"/>
      <c r="BT346" s="68"/>
      <c r="BU346" s="68"/>
      <c r="BV346" s="68"/>
      <c r="BW346" s="68"/>
      <c r="BX346" s="1112"/>
      <c r="BY346" s="588"/>
      <c r="BZ346" s="68"/>
      <c r="CA346" s="68"/>
      <c r="CB346" s="68"/>
      <c r="CC346" s="1112"/>
      <c r="CD346" s="68"/>
      <c r="CE346" s="68"/>
      <c r="CF346" s="68"/>
      <c r="CG346" s="68"/>
      <c r="CH346" s="1112"/>
      <c r="CI346" s="1112"/>
      <c r="CJ346" s="1112"/>
      <c r="CK346" s="1112"/>
      <c r="CL346" s="155"/>
    </row>
    <row r="347" spans="1:90" hidden="1" outlineLevel="1" x14ac:dyDescent="0.3">
      <c r="A347" s="67" t="s">
        <v>80</v>
      </c>
      <c r="B347" s="146"/>
      <c r="C347" s="1112"/>
      <c r="D347" s="1112"/>
      <c r="E347" s="1112"/>
      <c r="F347" s="1112"/>
      <c r="G347" s="68"/>
      <c r="H347" s="1055">
        <v>-20.126999999999999</v>
      </c>
      <c r="I347" s="68"/>
      <c r="J347" s="68"/>
      <c r="K347" s="1113">
        <v>-20.126999999999999</v>
      </c>
      <c r="L347" s="68"/>
      <c r="M347" s="68"/>
      <c r="N347" s="68"/>
      <c r="O347" s="68"/>
      <c r="P347" s="1112"/>
      <c r="Q347" s="68"/>
      <c r="R347" s="68"/>
      <c r="S347" s="68"/>
      <c r="T347" s="68"/>
      <c r="U347" s="1112"/>
      <c r="V347" s="68"/>
      <c r="W347" s="68"/>
      <c r="X347" s="68"/>
      <c r="Y347" s="68"/>
      <c r="Z347" s="1112"/>
      <c r="AA347" s="1055">
        <v>-3</v>
      </c>
      <c r="AB347" s="1055">
        <v>-1</v>
      </c>
      <c r="AC347" s="68"/>
      <c r="AD347" s="68"/>
      <c r="AE347" s="1113">
        <v>-4</v>
      </c>
      <c r="AF347" s="1055">
        <v>-2</v>
      </c>
      <c r="AG347" s="68"/>
      <c r="AH347" s="68"/>
      <c r="AI347" s="68"/>
      <c r="AJ347" s="1113">
        <v>-2</v>
      </c>
      <c r="AK347" s="68"/>
      <c r="AL347" s="68"/>
      <c r="AM347" s="68"/>
      <c r="AN347" s="68"/>
      <c r="AO347" s="1112"/>
      <c r="AP347" s="68"/>
      <c r="AQ347" s="68"/>
      <c r="AR347" s="68"/>
      <c r="AS347" s="68"/>
      <c r="AT347" s="1112"/>
      <c r="AU347" s="68"/>
      <c r="AV347" s="68"/>
      <c r="AW347" s="68"/>
      <c r="AX347" s="68"/>
      <c r="AY347" s="1112"/>
      <c r="AZ347" s="68"/>
      <c r="BA347" s="68"/>
      <c r="BB347" s="68"/>
      <c r="BC347" s="68"/>
      <c r="BD347" s="1112"/>
      <c r="BE347" s="68"/>
      <c r="BF347" s="1055">
        <v>-2</v>
      </c>
      <c r="BG347" s="68"/>
      <c r="BH347" s="68"/>
      <c r="BI347" s="1113">
        <v>-2</v>
      </c>
      <c r="BJ347" s="68"/>
      <c r="BK347" s="68"/>
      <c r="BL347" s="68"/>
      <c r="BM347" s="68"/>
      <c r="BN347" s="1112"/>
      <c r="BO347" s="68"/>
      <c r="BP347" s="68"/>
      <c r="BQ347" s="68"/>
      <c r="BR347" s="68"/>
      <c r="BS347" s="1112"/>
      <c r="BT347" s="68"/>
      <c r="BU347" s="68"/>
      <c r="BV347" s="68"/>
      <c r="BW347" s="68"/>
      <c r="BX347" s="1112"/>
      <c r="BY347" s="588"/>
      <c r="BZ347" s="68"/>
      <c r="CA347" s="68"/>
      <c r="CB347" s="68"/>
      <c r="CC347" s="1112"/>
      <c r="CD347" s="68"/>
      <c r="CE347" s="68"/>
      <c r="CF347" s="68"/>
      <c r="CG347" s="68"/>
      <c r="CH347" s="1112"/>
      <c r="CI347" s="1112"/>
      <c r="CJ347" s="1112"/>
      <c r="CK347" s="1112"/>
      <c r="CL347" s="155"/>
    </row>
    <row r="348" spans="1:90" hidden="1" outlineLevel="1" x14ac:dyDescent="0.3">
      <c r="A348" s="67" t="s">
        <v>77</v>
      </c>
      <c r="B348" s="146"/>
      <c r="C348" s="1112"/>
      <c r="D348" s="1112"/>
      <c r="E348" s="1113">
        <v>-9.1820000000000004</v>
      </c>
      <c r="F348" s="1113">
        <v>-17.190000000000001</v>
      </c>
      <c r="G348" s="1055">
        <v>-4.3419999999999996</v>
      </c>
      <c r="H348" s="1055">
        <v>-4.0650000000000004</v>
      </c>
      <c r="I348" s="1055">
        <v>-4.4020000000000001</v>
      </c>
      <c r="J348" s="68"/>
      <c r="K348" s="1112"/>
      <c r="L348" s="68"/>
      <c r="M348" s="68"/>
      <c r="N348" s="68"/>
      <c r="O348" s="68"/>
      <c r="P348" s="1112"/>
      <c r="Q348" s="68"/>
      <c r="R348" s="68"/>
      <c r="S348" s="68"/>
      <c r="T348" s="68"/>
      <c r="U348" s="1112"/>
      <c r="V348" s="68"/>
      <c r="W348" s="68"/>
      <c r="X348" s="68"/>
      <c r="Y348" s="68"/>
      <c r="Z348" s="1112"/>
      <c r="AA348" s="68"/>
      <c r="AB348" s="68"/>
      <c r="AC348" s="68"/>
      <c r="AD348" s="68"/>
      <c r="AE348" s="1112"/>
      <c r="AF348" s="68"/>
      <c r="AG348" s="68"/>
      <c r="AH348" s="68"/>
      <c r="AI348" s="68"/>
      <c r="AJ348" s="1112"/>
      <c r="AK348" s="68"/>
      <c r="AL348" s="68"/>
      <c r="AM348" s="68"/>
      <c r="AN348" s="68"/>
      <c r="AO348" s="1112"/>
      <c r="AP348" s="68"/>
      <c r="AQ348" s="68"/>
      <c r="AR348" s="68"/>
      <c r="AS348" s="68"/>
      <c r="AT348" s="1112"/>
      <c r="AU348" s="68"/>
      <c r="AV348" s="68"/>
      <c r="AW348" s="68"/>
      <c r="AX348" s="68"/>
      <c r="AY348" s="1112"/>
      <c r="AZ348" s="68"/>
      <c r="BA348" s="68"/>
      <c r="BB348" s="68"/>
      <c r="BC348" s="68"/>
      <c r="BD348" s="1112"/>
      <c r="BE348" s="68"/>
      <c r="BF348" s="68"/>
      <c r="BG348" s="68"/>
      <c r="BH348" s="68"/>
      <c r="BI348" s="1112"/>
      <c r="BJ348" s="68"/>
      <c r="BK348" s="68"/>
      <c r="BL348" s="68"/>
      <c r="BM348" s="68"/>
      <c r="BN348" s="1112"/>
      <c r="BO348" s="68"/>
      <c r="BP348" s="68"/>
      <c r="BQ348" s="68"/>
      <c r="BR348" s="68"/>
      <c r="BS348" s="1112"/>
      <c r="BT348" s="68"/>
      <c r="BU348" s="68"/>
      <c r="BV348" s="68"/>
      <c r="BW348" s="68"/>
      <c r="BX348" s="1112"/>
      <c r="BY348" s="588"/>
      <c r="BZ348" s="68"/>
      <c r="CA348" s="68"/>
      <c r="CB348" s="68"/>
      <c r="CC348" s="1112"/>
      <c r="CD348" s="68"/>
      <c r="CE348" s="68"/>
      <c r="CF348" s="68"/>
      <c r="CG348" s="68"/>
      <c r="CH348" s="1112"/>
      <c r="CI348" s="1112"/>
      <c r="CJ348" s="1112"/>
      <c r="CK348" s="1112"/>
      <c r="CL348" s="155"/>
    </row>
    <row r="349" spans="1:90" hidden="1" outlineLevel="1" x14ac:dyDescent="0.3">
      <c r="A349" s="67" t="s">
        <v>71</v>
      </c>
      <c r="B349" s="146"/>
      <c r="C349" s="1112">
        <f>-(C321-SUM(C331:C337)+SUM(C342:C348,C350:C350))</f>
        <v>1.3349999999999831</v>
      </c>
      <c r="D349" s="1113">
        <v>1.929</v>
      </c>
      <c r="E349" s="1113">
        <v>-12.705</v>
      </c>
      <c r="F349" s="1112"/>
      <c r="G349" s="68"/>
      <c r="H349" s="68"/>
      <c r="I349" s="68"/>
      <c r="J349" s="68"/>
      <c r="K349" s="1112"/>
      <c r="L349" s="68"/>
      <c r="M349" s="68"/>
      <c r="N349" s="68"/>
      <c r="O349" s="68"/>
      <c r="P349" s="1112"/>
      <c r="Q349" s="68"/>
      <c r="R349" s="68"/>
      <c r="S349" s="68"/>
      <c r="T349" s="68"/>
      <c r="U349" s="1112"/>
      <c r="V349" s="68"/>
      <c r="W349" s="68"/>
      <c r="X349" s="68"/>
      <c r="Y349" s="68"/>
      <c r="Z349" s="1112"/>
      <c r="AA349" s="68"/>
      <c r="AB349" s="68"/>
      <c r="AC349" s="68"/>
      <c r="AD349" s="68"/>
      <c r="AE349" s="1112"/>
      <c r="AF349" s="68"/>
      <c r="AG349" s="68"/>
      <c r="AH349" s="68"/>
      <c r="AI349" s="68"/>
      <c r="AJ349" s="1112"/>
      <c r="AK349" s="68"/>
      <c r="AL349" s="68"/>
      <c r="AM349" s="68"/>
      <c r="AN349" s="68"/>
      <c r="AO349" s="1112"/>
      <c r="AP349" s="68"/>
      <c r="AQ349" s="68"/>
      <c r="AR349" s="68"/>
      <c r="AS349" s="68"/>
      <c r="AT349" s="1112"/>
      <c r="AU349" s="68"/>
      <c r="AV349" s="68"/>
      <c r="AW349" s="68"/>
      <c r="AX349" s="68"/>
      <c r="AY349" s="1112"/>
      <c r="AZ349" s="68"/>
      <c r="BA349" s="68"/>
      <c r="BB349" s="68"/>
      <c r="BC349" s="68"/>
      <c r="BD349" s="1112"/>
      <c r="BE349" s="68"/>
      <c r="BF349" s="68"/>
      <c r="BG349" s="68"/>
      <c r="BH349" s="68"/>
      <c r="BI349" s="1112"/>
      <c r="BJ349" s="68"/>
      <c r="BK349" s="68"/>
      <c r="BL349" s="68"/>
      <c r="BM349" s="68"/>
      <c r="BN349" s="1112"/>
      <c r="BO349" s="68"/>
      <c r="BP349" s="68"/>
      <c r="BQ349" s="68"/>
      <c r="BR349" s="68"/>
      <c r="BS349" s="1112"/>
      <c r="BT349" s="68"/>
      <c r="BU349" s="68"/>
      <c r="BV349" s="68"/>
      <c r="BW349" s="68"/>
      <c r="BX349" s="1112"/>
      <c r="BY349" s="588"/>
      <c r="BZ349" s="68"/>
      <c r="CA349" s="68"/>
      <c r="CB349" s="68"/>
      <c r="CC349" s="1112"/>
      <c r="CD349" s="68"/>
      <c r="CE349" s="68"/>
      <c r="CF349" s="68"/>
      <c r="CG349" s="68"/>
      <c r="CH349" s="1112"/>
      <c r="CI349" s="1112"/>
      <c r="CJ349" s="1112"/>
      <c r="CK349" s="1112"/>
      <c r="CL349" s="155"/>
    </row>
    <row r="350" spans="1:90" hidden="1" outlineLevel="1" x14ac:dyDescent="0.3">
      <c r="A350" s="67" t="s">
        <v>78</v>
      </c>
      <c r="B350" s="146"/>
      <c r="C350" s="1112"/>
      <c r="D350" s="1113">
        <v>-128.82900000000001</v>
      </c>
      <c r="E350" s="1112"/>
      <c r="F350" s="1112"/>
      <c r="G350" s="68"/>
      <c r="H350" s="68"/>
      <c r="I350" s="68"/>
      <c r="J350" s="68"/>
      <c r="K350" s="1112"/>
      <c r="L350" s="68"/>
      <c r="M350" s="68"/>
      <c r="N350" s="68"/>
      <c r="O350" s="68"/>
      <c r="P350" s="1112"/>
      <c r="Q350" s="68"/>
      <c r="R350" s="68"/>
      <c r="S350" s="68"/>
      <c r="T350" s="68"/>
      <c r="U350" s="1112"/>
      <c r="V350" s="68"/>
      <c r="W350" s="68"/>
      <c r="X350" s="68"/>
      <c r="Y350" s="68"/>
      <c r="Z350" s="1112"/>
      <c r="AA350" s="68"/>
      <c r="AB350" s="68"/>
      <c r="AC350" s="68"/>
      <c r="AD350" s="68"/>
      <c r="AE350" s="1112"/>
      <c r="AF350" s="68"/>
      <c r="AG350" s="68"/>
      <c r="AH350" s="68"/>
      <c r="AI350" s="68"/>
      <c r="AJ350" s="1112"/>
      <c r="AK350" s="68"/>
      <c r="AL350" s="68"/>
      <c r="AM350" s="68"/>
      <c r="AN350" s="68"/>
      <c r="AO350" s="1112"/>
      <c r="AP350" s="68"/>
      <c r="AQ350" s="68"/>
      <c r="AR350" s="68"/>
      <c r="AS350" s="68"/>
      <c r="AT350" s="1112"/>
      <c r="AU350" s="68"/>
      <c r="AV350" s="68"/>
      <c r="AW350" s="68"/>
      <c r="AX350" s="68"/>
      <c r="AY350" s="1112"/>
      <c r="AZ350" s="68"/>
      <c r="BA350" s="68"/>
      <c r="BB350" s="68"/>
      <c r="BC350" s="68"/>
      <c r="BD350" s="1112"/>
      <c r="BE350" s="68"/>
      <c r="BF350" s="68"/>
      <c r="BG350" s="68"/>
      <c r="BH350" s="68"/>
      <c r="BI350" s="1112"/>
      <c r="BJ350" s="68"/>
      <c r="BK350" s="68"/>
      <c r="BL350" s="68"/>
      <c r="BM350" s="68"/>
      <c r="BN350" s="1112"/>
      <c r="BO350" s="68"/>
      <c r="BP350" s="68"/>
      <c r="BQ350" s="68"/>
      <c r="BR350" s="68"/>
      <c r="BS350" s="1112"/>
      <c r="BT350" s="68"/>
      <c r="BU350" s="68"/>
      <c r="BV350" s="68"/>
      <c r="BW350" s="68"/>
      <c r="BX350" s="1112"/>
      <c r="BY350" s="588"/>
      <c r="BZ350" s="68"/>
      <c r="CA350" s="68"/>
      <c r="CB350" s="68"/>
      <c r="CC350" s="1112"/>
      <c r="CD350" s="68"/>
      <c r="CE350" s="68"/>
      <c r="CF350" s="68"/>
      <c r="CG350" s="68"/>
      <c r="CH350" s="1112"/>
      <c r="CI350" s="1112"/>
      <c r="CJ350" s="1112"/>
      <c r="CK350" s="1112"/>
      <c r="CL350" s="155"/>
    </row>
    <row r="351" spans="1:90" hidden="1" outlineLevel="1" x14ac:dyDescent="0.3">
      <c r="A351" s="67" t="s">
        <v>151</v>
      </c>
      <c r="B351" s="146"/>
      <c r="C351" s="1112"/>
      <c r="D351" s="1112"/>
      <c r="E351" s="1112"/>
      <c r="F351" s="1112"/>
      <c r="G351" s="68"/>
      <c r="H351" s="68"/>
      <c r="I351" s="68"/>
      <c r="J351" s="68"/>
      <c r="K351" s="1112"/>
      <c r="L351" s="68"/>
      <c r="M351" s="68"/>
      <c r="N351" s="68"/>
      <c r="O351" s="68"/>
      <c r="P351" s="1112"/>
      <c r="Q351" s="68"/>
      <c r="R351" s="68"/>
      <c r="S351" s="68"/>
      <c r="T351" s="68"/>
      <c r="U351" s="1112"/>
      <c r="V351" s="68"/>
      <c r="W351" s="68"/>
      <c r="X351" s="68"/>
      <c r="Y351" s="68"/>
      <c r="Z351" s="1112"/>
      <c r="AA351" s="68"/>
      <c r="AB351" s="68"/>
      <c r="AC351" s="68"/>
      <c r="AD351" s="68"/>
      <c r="AE351" s="1112"/>
      <c r="AF351" s="68"/>
      <c r="AG351" s="68"/>
      <c r="AH351" s="68"/>
      <c r="AI351" s="68"/>
      <c r="AJ351" s="1112"/>
      <c r="AK351" s="68"/>
      <c r="AL351" s="68"/>
      <c r="AM351" s="68"/>
      <c r="AN351" s="68"/>
      <c r="AO351" s="1112"/>
      <c r="AP351" s="68"/>
      <c r="AQ351" s="68"/>
      <c r="AR351" s="68"/>
      <c r="AS351" s="68"/>
      <c r="AT351" s="1112"/>
      <c r="AU351" s="68"/>
      <c r="AV351" s="68"/>
      <c r="AW351" s="68"/>
      <c r="AX351" s="68"/>
      <c r="AY351" s="1112"/>
      <c r="AZ351" s="68"/>
      <c r="BA351" s="68"/>
      <c r="BB351" s="68"/>
      <c r="BC351" s="68"/>
      <c r="BD351" s="1112"/>
      <c r="BE351" s="68"/>
      <c r="BF351" s="68"/>
      <c r="BG351" s="68"/>
      <c r="BH351" s="68"/>
      <c r="BI351" s="1112"/>
      <c r="BJ351" s="68"/>
      <c r="BK351" s="68"/>
      <c r="BL351" s="68"/>
      <c r="BM351" s="68"/>
      <c r="BN351" s="1112"/>
      <c r="BO351" s="68"/>
      <c r="BP351" s="68"/>
      <c r="BQ351" s="68"/>
      <c r="BR351" s="68"/>
      <c r="BS351" s="1112"/>
      <c r="BT351" s="68"/>
      <c r="BU351" s="1055">
        <v>-15</v>
      </c>
      <c r="BV351" s="68"/>
      <c r="BW351" s="1055">
        <v>-38</v>
      </c>
      <c r="BX351" s="1113">
        <v>-53</v>
      </c>
      <c r="BY351" s="588"/>
      <c r="BZ351" s="68"/>
      <c r="CA351" s="68"/>
      <c r="CB351" s="68"/>
      <c r="CC351" s="1112"/>
      <c r="CD351" s="68"/>
      <c r="CE351" s="68"/>
      <c r="CF351" s="68"/>
      <c r="CG351" s="68"/>
      <c r="CH351" s="1112"/>
      <c r="CI351" s="1112"/>
      <c r="CJ351" s="1112"/>
      <c r="CK351" s="1112"/>
      <c r="CL351" s="155"/>
    </row>
    <row r="352" spans="1:90" hidden="1" outlineLevel="1" x14ac:dyDescent="0.3">
      <c r="A352" s="59" t="s">
        <v>81</v>
      </c>
      <c r="B352" s="607"/>
      <c r="C352" s="1124">
        <f t="shared" ref="C352:BN352" si="801">SUM(C341:C351)</f>
        <v>1219.4360000000001</v>
      </c>
      <c r="D352" s="1125">
        <f t="shared" si="801"/>
        <v>1148.9680000000001</v>
      </c>
      <c r="E352" s="1125">
        <f t="shared" si="801"/>
        <v>1096.4110000000001</v>
      </c>
      <c r="F352" s="1125">
        <f t="shared" si="801"/>
        <v>1245.7140000000002</v>
      </c>
      <c r="G352" s="60">
        <f t="shared" si="801"/>
        <v>347.98200000000003</v>
      </c>
      <c r="H352" s="60">
        <f t="shared" si="801"/>
        <v>342.50400000000002</v>
      </c>
      <c r="I352" s="60">
        <f t="shared" si="801"/>
        <v>344.79300000000006</v>
      </c>
      <c r="J352" s="60">
        <f t="shared" si="801"/>
        <v>360.38799999999992</v>
      </c>
      <c r="K352" s="1125">
        <f t="shared" si="801"/>
        <v>1395.6669999999999</v>
      </c>
      <c r="L352" s="60">
        <f t="shared" si="801"/>
        <v>396.18200000000002</v>
      </c>
      <c r="M352" s="60">
        <f t="shared" si="801"/>
        <v>400.81300000000005</v>
      </c>
      <c r="N352" s="60">
        <f t="shared" si="801"/>
        <v>405.40599999999995</v>
      </c>
      <c r="O352" s="60">
        <f t="shared" si="801"/>
        <v>407.79599999999994</v>
      </c>
      <c r="P352" s="1125">
        <f t="shared" si="801"/>
        <v>1610.1970000000001</v>
      </c>
      <c r="Q352" s="60">
        <f t="shared" si="801"/>
        <v>411</v>
      </c>
      <c r="R352" s="60">
        <f t="shared" si="801"/>
        <v>412</v>
      </c>
      <c r="S352" s="60">
        <f t="shared" si="801"/>
        <v>415</v>
      </c>
      <c r="T352" s="60">
        <f t="shared" si="801"/>
        <v>420</v>
      </c>
      <c r="U352" s="1125">
        <f t="shared" si="801"/>
        <v>1657</v>
      </c>
      <c r="V352" s="60">
        <f t="shared" si="801"/>
        <v>425</v>
      </c>
      <c r="W352" s="60">
        <f t="shared" si="801"/>
        <v>421</v>
      </c>
      <c r="X352" s="60">
        <f t="shared" si="801"/>
        <v>430</v>
      </c>
      <c r="Y352" s="60">
        <f t="shared" si="801"/>
        <v>445</v>
      </c>
      <c r="Z352" s="1125">
        <f t="shared" si="801"/>
        <v>1721</v>
      </c>
      <c r="AA352" s="60">
        <f t="shared" si="801"/>
        <v>443</v>
      </c>
      <c r="AB352" s="60">
        <f t="shared" si="801"/>
        <v>448</v>
      </c>
      <c r="AC352" s="60">
        <f t="shared" si="801"/>
        <v>478</v>
      </c>
      <c r="AD352" s="60">
        <f t="shared" si="801"/>
        <v>498</v>
      </c>
      <c r="AE352" s="1125">
        <f t="shared" si="801"/>
        <v>1867</v>
      </c>
      <c r="AF352" s="60">
        <f t="shared" si="801"/>
        <v>517</v>
      </c>
      <c r="AG352" s="60">
        <f t="shared" si="801"/>
        <v>533</v>
      </c>
      <c r="AH352" s="60">
        <f t="shared" si="801"/>
        <v>570</v>
      </c>
      <c r="AI352" s="60">
        <f t="shared" si="801"/>
        <v>607</v>
      </c>
      <c r="AJ352" s="1125">
        <f t="shared" si="801"/>
        <v>2227</v>
      </c>
      <c r="AK352" s="60">
        <f t="shared" si="801"/>
        <v>648</v>
      </c>
      <c r="AL352" s="60">
        <f t="shared" si="801"/>
        <v>692</v>
      </c>
      <c r="AM352" s="60">
        <f t="shared" si="801"/>
        <v>730</v>
      </c>
      <c r="AN352" s="60">
        <f t="shared" si="801"/>
        <v>755</v>
      </c>
      <c r="AO352" s="1125">
        <f t="shared" si="801"/>
        <v>2826</v>
      </c>
      <c r="AP352" s="60">
        <f t="shared" si="801"/>
        <v>753</v>
      </c>
      <c r="AQ352" s="60">
        <f t="shared" si="801"/>
        <v>749</v>
      </c>
      <c r="AR352" s="60">
        <f t="shared" si="801"/>
        <v>774</v>
      </c>
      <c r="AS352" s="60">
        <f t="shared" si="801"/>
        <v>810</v>
      </c>
      <c r="AT352" s="1125">
        <f t="shared" si="801"/>
        <v>3086</v>
      </c>
      <c r="AU352" s="60">
        <f t="shared" si="801"/>
        <v>821</v>
      </c>
      <c r="AV352" s="60">
        <f t="shared" si="801"/>
        <v>1035</v>
      </c>
      <c r="AW352" s="60">
        <f t="shared" si="801"/>
        <v>1101</v>
      </c>
      <c r="AX352" s="60">
        <f t="shared" si="801"/>
        <v>1187</v>
      </c>
      <c r="AY352" s="1125">
        <f t="shared" si="801"/>
        <v>4144</v>
      </c>
      <c r="AZ352" s="60">
        <f t="shared" si="801"/>
        <v>1189</v>
      </c>
      <c r="BA352" s="60">
        <f t="shared" si="801"/>
        <v>1266</v>
      </c>
      <c r="BB352" s="60">
        <f t="shared" si="801"/>
        <v>1375</v>
      </c>
      <c r="BC352" s="60">
        <f t="shared" si="801"/>
        <v>1447</v>
      </c>
      <c r="BD352" s="1125">
        <f t="shared" si="801"/>
        <v>5279</v>
      </c>
      <c r="BE352" s="60">
        <f t="shared" si="801"/>
        <v>1608</v>
      </c>
      <c r="BF352" s="60">
        <f t="shared" si="801"/>
        <v>1749</v>
      </c>
      <c r="BG352" s="60">
        <f t="shared" si="801"/>
        <v>1793</v>
      </c>
      <c r="BH352" s="60">
        <f t="shared" si="801"/>
        <v>1775</v>
      </c>
      <c r="BI352" s="1125">
        <f t="shared" si="801"/>
        <v>6925</v>
      </c>
      <c r="BJ352" s="60">
        <f t="shared" si="801"/>
        <v>1750</v>
      </c>
      <c r="BK352" s="60">
        <f t="shared" si="801"/>
        <v>1838</v>
      </c>
      <c r="BL352" s="60">
        <f t="shared" si="801"/>
        <v>2026</v>
      </c>
      <c r="BM352" s="60">
        <f t="shared" si="801"/>
        <v>2210</v>
      </c>
      <c r="BN352" s="1125">
        <f t="shared" si="801"/>
        <v>7825</v>
      </c>
      <c r="BO352" s="60">
        <f t="shared" ref="BO352:BT352" si="802">SUM(BO341:BO351)</f>
        <v>2501</v>
      </c>
      <c r="BP352" s="60">
        <f t="shared" si="802"/>
        <v>2792</v>
      </c>
      <c r="BQ352" s="60">
        <f t="shared" si="802"/>
        <v>3046</v>
      </c>
      <c r="BR352" s="60">
        <f t="shared" si="802"/>
        <v>3378</v>
      </c>
      <c r="BS352" s="1125">
        <f t="shared" si="802"/>
        <v>11716</v>
      </c>
      <c r="BT352" s="60">
        <f t="shared" si="802"/>
        <v>3583</v>
      </c>
      <c r="BU352" s="60">
        <f>SUM(BU341:BU351)</f>
        <v>3795</v>
      </c>
      <c r="BV352" s="60">
        <f>SUM(BV341:BV351)</f>
        <v>4215</v>
      </c>
      <c r="BW352" s="60">
        <f>SUM(BW341:BW351)</f>
        <v>5102</v>
      </c>
      <c r="BX352" s="1125">
        <f>SUM(BX341:BX351)</f>
        <v>16694</v>
      </c>
      <c r="BY352" s="895">
        <f>SUM(BY341:BY351)</f>
        <v>7449</v>
      </c>
      <c r="BZ352" s="61"/>
      <c r="CA352" s="61"/>
      <c r="CB352" s="61"/>
      <c r="CC352" s="1124"/>
      <c r="CD352" s="61"/>
      <c r="CE352" s="61"/>
      <c r="CF352" s="61"/>
      <c r="CG352" s="61"/>
      <c r="CH352" s="1124"/>
      <c r="CI352" s="1124"/>
      <c r="CJ352" s="1124"/>
      <c r="CK352" s="1124"/>
      <c r="CL352" s="155"/>
    </row>
    <row r="353" spans="1:90" hidden="1" outlineLevel="1" x14ac:dyDescent="0.3">
      <c r="A353" s="600"/>
      <c r="B353" s="279"/>
      <c r="C353" s="1127"/>
      <c r="D353" s="1127"/>
      <c r="E353" s="1127"/>
      <c r="F353" s="1127"/>
      <c r="G353" s="63"/>
      <c r="H353" s="63"/>
      <c r="I353" s="63"/>
      <c r="J353" s="63"/>
      <c r="K353" s="1127"/>
      <c r="L353" s="63"/>
      <c r="M353" s="63"/>
      <c r="N353" s="63"/>
      <c r="O353" s="63"/>
      <c r="P353" s="1127"/>
      <c r="Q353" s="63"/>
      <c r="R353" s="63"/>
      <c r="S353" s="63"/>
      <c r="T353" s="63"/>
      <c r="U353" s="1127"/>
      <c r="V353" s="63"/>
      <c r="W353" s="63"/>
      <c r="X353" s="63"/>
      <c r="Y353" s="63"/>
      <c r="Z353" s="1127"/>
      <c r="AA353" s="63"/>
      <c r="AB353" s="63"/>
      <c r="AC353" s="63"/>
      <c r="AD353" s="63"/>
      <c r="AE353" s="1127"/>
      <c r="AF353" s="63"/>
      <c r="AG353" s="63"/>
      <c r="AH353" s="63"/>
      <c r="AI353" s="63"/>
      <c r="AJ353" s="1127"/>
      <c r="AK353" s="63"/>
      <c r="AL353" s="63"/>
      <c r="AM353" s="63"/>
      <c r="AN353" s="63"/>
      <c r="AO353" s="1127"/>
      <c r="AP353" s="63"/>
      <c r="AQ353" s="63"/>
      <c r="AR353" s="63"/>
      <c r="AS353" s="63"/>
      <c r="AT353" s="1127"/>
      <c r="AU353" s="63"/>
      <c r="AV353" s="63"/>
      <c r="AW353" s="63"/>
      <c r="AX353" s="63"/>
      <c r="AY353" s="1127"/>
      <c r="AZ353" s="63"/>
      <c r="BA353" s="63"/>
      <c r="BB353" s="63"/>
      <c r="BC353" s="63"/>
      <c r="BD353" s="1127"/>
      <c r="BE353" s="63"/>
      <c r="BF353" s="63"/>
      <c r="BG353" s="63"/>
      <c r="BH353" s="63"/>
      <c r="BI353" s="1127"/>
      <c r="BJ353" s="63"/>
      <c r="BK353" s="63"/>
      <c r="BL353" s="63"/>
      <c r="BM353" s="63"/>
      <c r="BN353" s="1127"/>
      <c r="BO353" s="63"/>
      <c r="BP353" s="63"/>
      <c r="BQ353" s="63"/>
      <c r="BR353" s="63"/>
      <c r="BS353" s="1127"/>
      <c r="BT353" s="63"/>
      <c r="BU353" s="63"/>
      <c r="BV353" s="63"/>
      <c r="BW353" s="63"/>
      <c r="BX353" s="1127"/>
      <c r="BY353" s="587"/>
      <c r="BZ353" s="63"/>
      <c r="CA353" s="63"/>
      <c r="CB353" s="63"/>
      <c r="CC353" s="1127"/>
      <c r="CD353" s="63"/>
      <c r="CE353" s="63"/>
      <c r="CF353" s="63"/>
      <c r="CG353" s="63"/>
      <c r="CH353" s="1127"/>
      <c r="CI353" s="1127"/>
      <c r="CJ353" s="1127"/>
      <c r="CK353" s="1127"/>
      <c r="CL353" s="155"/>
    </row>
    <row r="354" spans="1:90" hidden="1" outlineLevel="1" x14ac:dyDescent="0.3">
      <c r="A354" s="600" t="s">
        <v>662</v>
      </c>
      <c r="B354" s="279"/>
      <c r="C354" s="1127"/>
      <c r="D354" s="1127"/>
      <c r="E354" s="1127"/>
      <c r="F354" s="1127"/>
      <c r="G354" s="63"/>
      <c r="H354" s="63"/>
      <c r="I354" s="63">
        <f t="shared" ref="I354:S354" si="803">SUM(I310:I312)</f>
        <v>1.4109999999999996</v>
      </c>
      <c r="J354" s="63">
        <f t="shared" si="803"/>
        <v>2.5350000000000019</v>
      </c>
      <c r="K354" s="1127">
        <f t="shared" si="803"/>
        <v>13.8</v>
      </c>
      <c r="L354" s="63">
        <f t="shared" si="803"/>
        <v>5.2809999999999997</v>
      </c>
      <c r="M354" s="63">
        <f t="shared" si="803"/>
        <v>6.2859999999999996</v>
      </c>
      <c r="N354" s="63">
        <f t="shared" si="803"/>
        <v>0.49600000000000044</v>
      </c>
      <c r="O354" s="63">
        <f t="shared" si="803"/>
        <v>1.9639999999999995</v>
      </c>
      <c r="P354" s="1127">
        <f t="shared" si="803"/>
        <v>14.027000000000001</v>
      </c>
      <c r="Q354" s="63">
        <f t="shared" si="803"/>
        <v>12</v>
      </c>
      <c r="R354" s="63">
        <f t="shared" si="803"/>
        <v>-8</v>
      </c>
      <c r="S354" s="63">
        <f t="shared" si="803"/>
        <v>-4</v>
      </c>
      <c r="T354" s="1064">
        <v>-3</v>
      </c>
      <c r="U354" s="1127">
        <f t="shared" ref="U354:BJ354" si="804">SUM(U310:U312)</f>
        <v>-4</v>
      </c>
      <c r="V354" s="63">
        <f t="shared" si="804"/>
        <v>-4</v>
      </c>
      <c r="W354" s="63">
        <f t="shared" si="804"/>
        <v>-4</v>
      </c>
      <c r="X354" s="63">
        <f t="shared" si="804"/>
        <v>0</v>
      </c>
      <c r="Y354" s="63">
        <f t="shared" si="804"/>
        <v>1</v>
      </c>
      <c r="Z354" s="1127">
        <f t="shared" si="804"/>
        <v>-4</v>
      </c>
      <c r="AA354" s="63">
        <f t="shared" si="804"/>
        <v>-4</v>
      </c>
      <c r="AB354" s="63">
        <f t="shared" si="804"/>
        <v>0</v>
      </c>
      <c r="AC354" s="63">
        <f t="shared" si="804"/>
        <v>-18</v>
      </c>
      <c r="AD354" s="63">
        <f t="shared" si="804"/>
        <v>-7</v>
      </c>
      <c r="AE354" s="1127">
        <f t="shared" si="804"/>
        <v>-29</v>
      </c>
      <c r="AF354" s="63">
        <f t="shared" si="804"/>
        <v>-18</v>
      </c>
      <c r="AG354" s="63">
        <f t="shared" si="804"/>
        <v>-4</v>
      </c>
      <c r="AH354" s="63">
        <f t="shared" si="804"/>
        <v>1</v>
      </c>
      <c r="AI354" s="63">
        <f t="shared" si="804"/>
        <v>5</v>
      </c>
      <c r="AJ354" s="1127">
        <f t="shared" si="804"/>
        <v>-14</v>
      </c>
      <c r="AK354" s="63">
        <f t="shared" si="804"/>
        <v>16</v>
      </c>
      <c r="AL354" s="63">
        <f t="shared" si="804"/>
        <v>23</v>
      </c>
      <c r="AM354" s="63">
        <f t="shared" si="804"/>
        <v>23</v>
      </c>
      <c r="AN354" s="63">
        <f t="shared" si="804"/>
        <v>30</v>
      </c>
      <c r="AO354" s="1127">
        <f t="shared" si="804"/>
        <v>92</v>
      </c>
      <c r="AP354" s="63">
        <f t="shared" si="804"/>
        <v>31</v>
      </c>
      <c r="AQ354" s="63">
        <f t="shared" si="804"/>
        <v>35</v>
      </c>
      <c r="AR354" s="63">
        <f t="shared" si="804"/>
        <v>32</v>
      </c>
      <c r="AS354" s="63">
        <f t="shared" si="804"/>
        <v>26</v>
      </c>
      <c r="AT354" s="1127">
        <f t="shared" si="804"/>
        <v>124</v>
      </c>
      <c r="AU354" s="63">
        <f t="shared" si="804"/>
        <v>5</v>
      </c>
      <c r="AV354" s="63">
        <f t="shared" si="804"/>
        <v>-42</v>
      </c>
      <c r="AW354" s="63">
        <f t="shared" si="804"/>
        <v>-50</v>
      </c>
      <c r="AX354" s="63">
        <f t="shared" si="804"/>
        <v>-37</v>
      </c>
      <c r="AY354" s="1127">
        <f t="shared" si="804"/>
        <v>-123</v>
      </c>
      <c r="AZ354" s="63">
        <f t="shared" si="804"/>
        <v>88</v>
      </c>
      <c r="BA354" s="63">
        <f t="shared" si="804"/>
        <v>-50</v>
      </c>
      <c r="BB354" s="63">
        <f t="shared" si="804"/>
        <v>-33</v>
      </c>
      <c r="BC354" s="63">
        <f t="shared" si="804"/>
        <v>-105</v>
      </c>
      <c r="BD354" s="1127">
        <f t="shared" si="804"/>
        <v>-100</v>
      </c>
      <c r="BE354" s="63">
        <f t="shared" si="804"/>
        <v>-63</v>
      </c>
      <c r="BF354" s="63">
        <f t="shared" si="804"/>
        <v>-24</v>
      </c>
      <c r="BG354" s="63">
        <f t="shared" si="804"/>
        <v>12</v>
      </c>
      <c r="BH354" s="63">
        <f t="shared" si="804"/>
        <v>32</v>
      </c>
      <c r="BI354" s="1127">
        <f t="shared" si="804"/>
        <v>-43</v>
      </c>
      <c r="BJ354" s="63">
        <f t="shared" si="804"/>
        <v>69</v>
      </c>
      <c r="BK354" s="63">
        <f t="shared" ref="BK354:BP354" si="805">SUM(BK310:BK312)</f>
        <v>181</v>
      </c>
      <c r="BL354" s="63">
        <f t="shared" si="805"/>
        <v>105</v>
      </c>
      <c r="BM354" s="63">
        <f t="shared" si="805"/>
        <v>491</v>
      </c>
      <c r="BN354" s="1127">
        <f t="shared" si="805"/>
        <v>846</v>
      </c>
      <c r="BO354" s="63">
        <f t="shared" si="805"/>
        <v>370</v>
      </c>
      <c r="BP354" s="63">
        <f t="shared" si="805"/>
        <v>572</v>
      </c>
      <c r="BQ354" s="63">
        <f t="shared" ref="BQ354:BV354" si="806">SUM(BQ310:BQ312)</f>
        <v>447</v>
      </c>
      <c r="BR354" s="63">
        <f t="shared" si="806"/>
        <v>1183</v>
      </c>
      <c r="BS354" s="1127">
        <f t="shared" si="806"/>
        <v>2573</v>
      </c>
      <c r="BT354" s="63">
        <f t="shared" si="806"/>
        <v>272</v>
      </c>
      <c r="BU354" s="63">
        <f t="shared" si="806"/>
        <v>2766</v>
      </c>
      <c r="BV354" s="63">
        <f t="shared" si="806"/>
        <v>1926</v>
      </c>
      <c r="BW354" s="63">
        <f>SUM(BW310:BW312)</f>
        <v>6098</v>
      </c>
      <c r="BX354" s="1127">
        <f>SUM(BX310:BX312)</f>
        <v>11063</v>
      </c>
      <c r="BY354" s="587">
        <f>SUM(BY310:BY312)</f>
        <v>16367</v>
      </c>
      <c r="BZ354" s="63"/>
      <c r="CA354" s="63"/>
      <c r="CB354" s="63"/>
      <c r="CC354" s="1127"/>
      <c r="CD354" s="63"/>
      <c r="CE354" s="63"/>
      <c r="CF354" s="63"/>
      <c r="CG354" s="63"/>
      <c r="CH354" s="1127"/>
      <c r="CI354" s="1127"/>
      <c r="CJ354" s="1127"/>
      <c r="CK354" s="1127"/>
      <c r="CL354" s="155"/>
    </row>
    <row r="355" spans="1:90" hidden="1" outlineLevel="1" x14ac:dyDescent="0.3">
      <c r="A355" s="99" t="s">
        <v>663</v>
      </c>
      <c r="B355" s="146"/>
      <c r="C355" s="1112"/>
      <c r="D355" s="1112"/>
      <c r="E355" s="1112"/>
      <c r="F355" s="1112"/>
      <c r="G355" s="68"/>
      <c r="H355" s="68"/>
      <c r="I355" s="68"/>
      <c r="J355" s="68"/>
      <c r="K355" s="1112"/>
      <c r="L355" s="68"/>
      <c r="M355" s="68"/>
      <c r="N355" s="68"/>
      <c r="O355" s="1055">
        <v>-3.0739999999999998</v>
      </c>
      <c r="P355" s="1113">
        <v>-3.0739999999999998</v>
      </c>
      <c r="Q355" s="1055">
        <v>-17</v>
      </c>
      <c r="R355" s="1055">
        <v>3</v>
      </c>
      <c r="S355" s="68"/>
      <c r="T355" s="68"/>
      <c r="U355" s="1113">
        <v>-15</v>
      </c>
      <c r="V355" s="68"/>
      <c r="W355" s="68"/>
      <c r="X355" s="1055">
        <v>-4</v>
      </c>
      <c r="Y355" s="68"/>
      <c r="Z355" s="1113">
        <v>-5</v>
      </c>
      <c r="AA355" s="1055">
        <v>-3</v>
      </c>
      <c r="AB355" s="68"/>
      <c r="AC355" s="68"/>
      <c r="AD355" s="1055">
        <v>-1</v>
      </c>
      <c r="AE355" s="1113">
        <v>-4</v>
      </c>
      <c r="AF355" s="68"/>
      <c r="AG355" s="68"/>
      <c r="AH355" s="68"/>
      <c r="AI355" s="1055">
        <v>-2</v>
      </c>
      <c r="AJ355" s="1113">
        <v>-2</v>
      </c>
      <c r="AK355" s="1055">
        <v>-6</v>
      </c>
      <c r="AL355" s="1055">
        <v>-2</v>
      </c>
      <c r="AM355" s="1055">
        <v>-2</v>
      </c>
      <c r="AN355" s="1055">
        <v>-1</v>
      </c>
      <c r="AO355" s="1113">
        <v>-12</v>
      </c>
      <c r="AP355" s="1055">
        <v>0</v>
      </c>
      <c r="AQ355" s="1055">
        <v>0</v>
      </c>
      <c r="AR355" s="1055">
        <v>0</v>
      </c>
      <c r="AS355" s="1055">
        <v>0</v>
      </c>
      <c r="AT355" s="1113">
        <v>1</v>
      </c>
      <c r="AU355" s="1055">
        <v>3</v>
      </c>
      <c r="AV355" s="1055">
        <v>2</v>
      </c>
      <c r="AW355" s="1055">
        <v>4</v>
      </c>
      <c r="AX355" s="1055">
        <v>-9</v>
      </c>
      <c r="AY355" s="1113">
        <v>0</v>
      </c>
      <c r="AZ355" s="1055">
        <v>-134</v>
      </c>
      <c r="BA355" s="1055">
        <v>0</v>
      </c>
      <c r="BB355" s="1055">
        <v>-20</v>
      </c>
      <c r="BC355" s="1055">
        <v>53</v>
      </c>
      <c r="BD355" s="1113">
        <v>-99</v>
      </c>
      <c r="BE355" s="1055">
        <v>17</v>
      </c>
      <c r="BF355" s="1055">
        <v>7</v>
      </c>
      <c r="BG355" s="1055">
        <v>11</v>
      </c>
      <c r="BH355" s="1055">
        <v>10</v>
      </c>
      <c r="BI355" s="1113">
        <v>45</v>
      </c>
      <c r="BJ355" s="1055">
        <v>14</v>
      </c>
      <c r="BK355" s="1055">
        <v>-62</v>
      </c>
      <c r="BL355" s="1055">
        <v>69</v>
      </c>
      <c r="BM355" s="1055">
        <v>-260</v>
      </c>
      <c r="BN355" s="1113">
        <v>-238</v>
      </c>
      <c r="BO355" s="1055">
        <v>-69</v>
      </c>
      <c r="BP355" s="1055">
        <v>-193</v>
      </c>
      <c r="BQ355" s="1055">
        <v>-37</v>
      </c>
      <c r="BR355" s="1055">
        <v>-727</v>
      </c>
      <c r="BS355" s="1113">
        <v>-1030</v>
      </c>
      <c r="BT355" s="1055">
        <v>175</v>
      </c>
      <c r="BU355" s="1055">
        <v>-2247</v>
      </c>
      <c r="BV355" s="1055">
        <v>-1354</v>
      </c>
      <c r="BW355" s="1055">
        <v>-5491</v>
      </c>
      <c r="BX355" s="1113">
        <v>-8918</v>
      </c>
      <c r="BY355" s="1057">
        <v>-15936</v>
      </c>
      <c r="BZ355" s="68"/>
      <c r="CA355" s="68"/>
      <c r="CB355" s="68"/>
      <c r="CC355" s="1112"/>
      <c r="CD355" s="68"/>
      <c r="CE355" s="68"/>
      <c r="CF355" s="68"/>
      <c r="CG355" s="68"/>
      <c r="CH355" s="1112"/>
      <c r="CI355" s="1112"/>
      <c r="CJ355" s="1112"/>
      <c r="CK355" s="1112"/>
      <c r="CL355" s="155"/>
    </row>
    <row r="356" spans="1:90" hidden="1" outlineLevel="1" x14ac:dyDescent="0.3">
      <c r="A356" s="99" t="s">
        <v>664</v>
      </c>
      <c r="B356" s="146"/>
      <c r="C356" s="1112"/>
      <c r="D356" s="1112"/>
      <c r="E356" s="1112"/>
      <c r="F356" s="1112"/>
      <c r="G356" s="68"/>
      <c r="H356" s="68"/>
      <c r="I356" s="68"/>
      <c r="J356" s="68"/>
      <c r="K356" s="1112"/>
      <c r="L356" s="68"/>
      <c r="M356" s="68"/>
      <c r="N356" s="68"/>
      <c r="O356" s="1055">
        <v>4.5999999999999996</v>
      </c>
      <c r="P356" s="1113">
        <v>4.5999999999999996</v>
      </c>
      <c r="Q356" s="1055">
        <v>7</v>
      </c>
      <c r="R356" s="1055">
        <v>7</v>
      </c>
      <c r="S356" s="1055">
        <v>7</v>
      </c>
      <c r="T356" s="1055">
        <v>7</v>
      </c>
      <c r="U356" s="1113">
        <v>28</v>
      </c>
      <c r="V356" s="1055">
        <v>7</v>
      </c>
      <c r="W356" s="1055">
        <v>7</v>
      </c>
      <c r="X356" s="1055">
        <v>7</v>
      </c>
      <c r="Y356" s="1055">
        <v>7</v>
      </c>
      <c r="Z356" s="1113">
        <v>29</v>
      </c>
      <c r="AA356" s="1055">
        <v>7</v>
      </c>
      <c r="AB356" s="1055">
        <v>7</v>
      </c>
      <c r="AC356" s="1055">
        <v>6</v>
      </c>
      <c r="AD356" s="1055">
        <v>6</v>
      </c>
      <c r="AE356" s="1113">
        <v>21</v>
      </c>
      <c r="AF356" s="1055">
        <v>2</v>
      </c>
      <c r="AG356" s="1055">
        <v>1</v>
      </c>
      <c r="AH356" s="68"/>
      <c r="AI356" s="1055">
        <v>2</v>
      </c>
      <c r="AJ356" s="1113">
        <v>20</v>
      </c>
      <c r="AK356" s="1055">
        <v>1</v>
      </c>
      <c r="AL356" s="68"/>
      <c r="AM356" s="68"/>
      <c r="AN356" s="68"/>
      <c r="AO356" s="1113">
        <v>2</v>
      </c>
      <c r="AP356" s="1055">
        <v>0</v>
      </c>
      <c r="AQ356" s="1055">
        <v>0</v>
      </c>
      <c r="AR356" s="1055">
        <v>1</v>
      </c>
      <c r="AS356" s="1055">
        <v>0</v>
      </c>
      <c r="AT356" s="1113">
        <v>2</v>
      </c>
      <c r="AU356" s="1055">
        <v>1</v>
      </c>
      <c r="AV356" s="1055">
        <v>1</v>
      </c>
      <c r="AW356" s="1055">
        <v>1</v>
      </c>
      <c r="AX356" s="1055">
        <v>1</v>
      </c>
      <c r="AY356" s="1113">
        <v>3</v>
      </c>
      <c r="AZ356" s="1055">
        <v>1</v>
      </c>
      <c r="BA356" s="1055">
        <v>1</v>
      </c>
      <c r="BB356" s="1055">
        <v>1</v>
      </c>
      <c r="BC356" s="68"/>
      <c r="BD356" s="1113">
        <v>3</v>
      </c>
      <c r="BE356" s="1055">
        <v>1</v>
      </c>
      <c r="BF356" s="1055">
        <v>1</v>
      </c>
      <c r="BG356" s="1055">
        <v>1</v>
      </c>
      <c r="BH356" s="1055">
        <v>1</v>
      </c>
      <c r="BI356" s="1113">
        <v>5</v>
      </c>
      <c r="BJ356" s="1055">
        <v>1</v>
      </c>
      <c r="BK356" s="1055">
        <v>1</v>
      </c>
      <c r="BL356" s="1055">
        <v>1</v>
      </c>
      <c r="BM356" s="1055">
        <v>1</v>
      </c>
      <c r="BN356" s="1113">
        <v>4</v>
      </c>
      <c r="BO356" s="1055">
        <v>1</v>
      </c>
      <c r="BP356" s="1055">
        <v>1</v>
      </c>
      <c r="BQ356" s="1055">
        <v>1</v>
      </c>
      <c r="BR356" s="1055">
        <v>1</v>
      </c>
      <c r="BS356" s="1113">
        <v>4</v>
      </c>
      <c r="BT356" s="1055">
        <v>1</v>
      </c>
      <c r="BU356" s="1055">
        <v>1</v>
      </c>
      <c r="BV356" s="1055">
        <v>1</v>
      </c>
      <c r="BW356" s="1055">
        <v>13</v>
      </c>
      <c r="BX356" s="1113">
        <v>16</v>
      </c>
      <c r="BY356" s="1057">
        <v>26</v>
      </c>
      <c r="BZ356" s="68"/>
      <c r="CA356" s="68"/>
      <c r="CB356" s="68"/>
      <c r="CC356" s="1112"/>
      <c r="CD356" s="68"/>
      <c r="CE356" s="68"/>
      <c r="CF356" s="68"/>
      <c r="CG356" s="68"/>
      <c r="CH356" s="1112"/>
      <c r="CI356" s="1112"/>
      <c r="CJ356" s="1112"/>
      <c r="CK356" s="1112"/>
      <c r="CL356" s="155"/>
    </row>
    <row r="357" spans="1:90" hidden="1" outlineLevel="1" x14ac:dyDescent="0.3">
      <c r="A357" s="99" t="s">
        <v>666</v>
      </c>
      <c r="B357" s="146"/>
      <c r="C357" s="1112"/>
      <c r="D357" s="1112"/>
      <c r="E357" s="1112"/>
      <c r="F357" s="1112"/>
      <c r="G357" s="68"/>
      <c r="H357" s="68"/>
      <c r="I357" s="68"/>
      <c r="J357" s="68"/>
      <c r="K357" s="1112"/>
      <c r="L357" s="68"/>
      <c r="M357" s="68"/>
      <c r="N357" s="68"/>
      <c r="O357" s="68"/>
      <c r="P357" s="1112"/>
      <c r="Q357" s="68"/>
      <c r="R357" s="68"/>
      <c r="S357" s="68"/>
      <c r="T357" s="68"/>
      <c r="U357" s="1112"/>
      <c r="V357" s="68"/>
      <c r="W357" s="68"/>
      <c r="X357" s="68"/>
      <c r="Y357" s="68"/>
      <c r="Z357" s="1112"/>
      <c r="AA357" s="68"/>
      <c r="AB357" s="68"/>
      <c r="AC357" s="1055">
        <v>15</v>
      </c>
      <c r="AD357" s="1055">
        <v>4</v>
      </c>
      <c r="AE357" s="1113">
        <v>25</v>
      </c>
      <c r="AF357" s="1055">
        <v>14</v>
      </c>
      <c r="AG357" s="1055">
        <v>3</v>
      </c>
      <c r="AH357" s="1055">
        <v>1</v>
      </c>
      <c r="AI357" s="68"/>
      <c r="AJ357" s="1113">
        <v>3</v>
      </c>
      <c r="AK357" s="68"/>
      <c r="AL357" s="68"/>
      <c r="AM357" s="68"/>
      <c r="AN357" s="68"/>
      <c r="AO357" s="1112"/>
      <c r="AP357" s="68"/>
      <c r="AQ357" s="68"/>
      <c r="AR357" s="68"/>
      <c r="AS357" s="68"/>
      <c r="AT357" s="1112"/>
      <c r="AU357" s="68"/>
      <c r="AV357" s="68"/>
      <c r="AW357" s="68"/>
      <c r="AX357" s="68"/>
      <c r="AY357" s="1112"/>
      <c r="AZ357" s="68"/>
      <c r="BA357" s="68"/>
      <c r="BB357" s="68"/>
      <c r="BC357" s="68"/>
      <c r="BD357" s="1112"/>
      <c r="BE357" s="68"/>
      <c r="BF357" s="68"/>
      <c r="BG357" s="68"/>
      <c r="BH357" s="68"/>
      <c r="BI357" s="1112"/>
      <c r="BJ357" s="68"/>
      <c r="BK357" s="68"/>
      <c r="BL357" s="68"/>
      <c r="BM357" s="68"/>
      <c r="BN357" s="1112"/>
      <c r="BO357" s="68"/>
      <c r="BP357" s="68"/>
      <c r="BQ357" s="68"/>
      <c r="BR357" s="68"/>
      <c r="BS357" s="1112"/>
      <c r="BT357" s="68"/>
      <c r="BU357" s="68"/>
      <c r="BV357" s="68"/>
      <c r="BW357" s="68"/>
      <c r="BX357" s="1112"/>
      <c r="BY357" s="588"/>
      <c r="BZ357" s="68"/>
      <c r="CA357" s="68"/>
      <c r="CB357" s="68"/>
      <c r="CC357" s="1112"/>
      <c r="CD357" s="68"/>
      <c r="CE357" s="68"/>
      <c r="CF357" s="68"/>
      <c r="CG357" s="68"/>
      <c r="CH357" s="1112"/>
      <c r="CI357" s="1112"/>
      <c r="CJ357" s="1112"/>
      <c r="CK357" s="1112"/>
      <c r="CL357" s="155"/>
    </row>
    <row r="358" spans="1:90" hidden="1" outlineLevel="1" x14ac:dyDescent="0.3">
      <c r="A358" s="631" t="s">
        <v>665</v>
      </c>
      <c r="B358" s="607"/>
      <c r="C358" s="1124"/>
      <c r="D358" s="1124"/>
      <c r="E358" s="1124"/>
      <c r="F358" s="1124"/>
      <c r="G358" s="61"/>
      <c r="H358" s="61"/>
      <c r="I358" s="61">
        <f t="shared" ref="I358:T358" si="807">SUM(I354:I357)</f>
        <v>1.4109999999999996</v>
      </c>
      <c r="J358" s="61">
        <f t="shared" si="807"/>
        <v>2.5350000000000019</v>
      </c>
      <c r="K358" s="1124">
        <f t="shared" si="807"/>
        <v>13.8</v>
      </c>
      <c r="L358" s="61">
        <f t="shared" si="807"/>
        <v>5.2809999999999997</v>
      </c>
      <c r="M358" s="61">
        <f t="shared" si="807"/>
        <v>6.2859999999999996</v>
      </c>
      <c r="N358" s="61">
        <f t="shared" si="807"/>
        <v>0.49600000000000044</v>
      </c>
      <c r="O358" s="61">
        <f t="shared" si="807"/>
        <v>3.4899999999999993</v>
      </c>
      <c r="P358" s="1124">
        <f t="shared" si="807"/>
        <v>15.553000000000001</v>
      </c>
      <c r="Q358" s="61">
        <f t="shared" si="807"/>
        <v>2</v>
      </c>
      <c r="R358" s="61">
        <f t="shared" si="807"/>
        <v>2</v>
      </c>
      <c r="S358" s="61">
        <f t="shared" si="807"/>
        <v>3</v>
      </c>
      <c r="T358" s="61">
        <f t="shared" si="807"/>
        <v>4</v>
      </c>
      <c r="U358" s="1124">
        <f t="shared" ref="U358:BB358" si="808">SUM(U354:U357)</f>
        <v>9</v>
      </c>
      <c r="V358" s="61">
        <f t="shared" si="808"/>
        <v>3</v>
      </c>
      <c r="W358" s="61">
        <f t="shared" si="808"/>
        <v>3</v>
      </c>
      <c r="X358" s="61">
        <f t="shared" si="808"/>
        <v>3</v>
      </c>
      <c r="Y358" s="61">
        <f t="shared" si="808"/>
        <v>8</v>
      </c>
      <c r="Z358" s="1124">
        <f t="shared" si="808"/>
        <v>20</v>
      </c>
      <c r="AA358" s="61">
        <f t="shared" si="808"/>
        <v>0</v>
      </c>
      <c r="AB358" s="61">
        <f t="shared" si="808"/>
        <v>7</v>
      </c>
      <c r="AC358" s="61">
        <f t="shared" si="808"/>
        <v>3</v>
      </c>
      <c r="AD358" s="61">
        <f t="shared" si="808"/>
        <v>2</v>
      </c>
      <c r="AE358" s="1124">
        <f t="shared" si="808"/>
        <v>13</v>
      </c>
      <c r="AF358" s="61">
        <f t="shared" si="808"/>
        <v>-2</v>
      </c>
      <c r="AG358" s="61">
        <f t="shared" si="808"/>
        <v>0</v>
      </c>
      <c r="AH358" s="61">
        <f t="shared" si="808"/>
        <v>2</v>
      </c>
      <c r="AI358" s="61">
        <f t="shared" si="808"/>
        <v>5</v>
      </c>
      <c r="AJ358" s="1124">
        <f t="shared" si="808"/>
        <v>7</v>
      </c>
      <c r="AK358" s="61">
        <f t="shared" si="808"/>
        <v>11</v>
      </c>
      <c r="AL358" s="61">
        <f t="shared" si="808"/>
        <v>21</v>
      </c>
      <c r="AM358" s="61">
        <f t="shared" si="808"/>
        <v>21</v>
      </c>
      <c r="AN358" s="61">
        <f t="shared" si="808"/>
        <v>29</v>
      </c>
      <c r="AO358" s="1124">
        <f t="shared" si="808"/>
        <v>82</v>
      </c>
      <c r="AP358" s="61">
        <f t="shared" si="808"/>
        <v>31</v>
      </c>
      <c r="AQ358" s="61">
        <f t="shared" si="808"/>
        <v>35</v>
      </c>
      <c r="AR358" s="61">
        <f t="shared" si="808"/>
        <v>33</v>
      </c>
      <c r="AS358" s="61">
        <f t="shared" si="808"/>
        <v>26</v>
      </c>
      <c r="AT358" s="1124">
        <f t="shared" si="808"/>
        <v>127</v>
      </c>
      <c r="AU358" s="61">
        <f t="shared" si="808"/>
        <v>9</v>
      </c>
      <c r="AV358" s="61">
        <f t="shared" si="808"/>
        <v>-39</v>
      </c>
      <c r="AW358" s="61">
        <f t="shared" si="808"/>
        <v>-45</v>
      </c>
      <c r="AX358" s="61">
        <f t="shared" si="808"/>
        <v>-45</v>
      </c>
      <c r="AY358" s="1124">
        <f t="shared" si="808"/>
        <v>-120</v>
      </c>
      <c r="AZ358" s="61">
        <f t="shared" si="808"/>
        <v>-45</v>
      </c>
      <c r="BA358" s="61">
        <f t="shared" si="808"/>
        <v>-49</v>
      </c>
      <c r="BB358" s="61">
        <f t="shared" si="808"/>
        <v>-52</v>
      </c>
      <c r="BC358" s="61">
        <f t="shared" ref="BC358:BI358" si="809">SUM(BC354:BC357)</f>
        <v>-52</v>
      </c>
      <c r="BD358" s="1124">
        <f t="shared" si="809"/>
        <v>-196</v>
      </c>
      <c r="BE358" s="61">
        <f t="shared" si="809"/>
        <v>-45</v>
      </c>
      <c r="BF358" s="61">
        <f t="shared" si="809"/>
        <v>-16</v>
      </c>
      <c r="BG358" s="61">
        <f t="shared" si="809"/>
        <v>24</v>
      </c>
      <c r="BH358" s="61">
        <f t="shared" si="809"/>
        <v>43</v>
      </c>
      <c r="BI358" s="1124">
        <f t="shared" si="809"/>
        <v>7</v>
      </c>
      <c r="BJ358" s="61">
        <f t="shared" ref="BJ358:BO358" si="810">SUM(BJ354:BJ357)</f>
        <v>84</v>
      </c>
      <c r="BK358" s="61">
        <f t="shared" si="810"/>
        <v>120</v>
      </c>
      <c r="BL358" s="61">
        <f t="shared" si="810"/>
        <v>175</v>
      </c>
      <c r="BM358" s="61">
        <f t="shared" si="810"/>
        <v>232</v>
      </c>
      <c r="BN358" s="1124">
        <f t="shared" si="810"/>
        <v>612</v>
      </c>
      <c r="BO358" s="61">
        <f t="shared" si="810"/>
        <v>302</v>
      </c>
      <c r="BP358" s="61">
        <f t="shared" ref="BP358:BU358" si="811">SUM(BP354:BP357)</f>
        <v>380</v>
      </c>
      <c r="BQ358" s="61">
        <f t="shared" si="811"/>
        <v>411</v>
      </c>
      <c r="BR358" s="61">
        <f t="shared" si="811"/>
        <v>457</v>
      </c>
      <c r="BS358" s="1124">
        <f t="shared" si="811"/>
        <v>1547</v>
      </c>
      <c r="BT358" s="61">
        <f t="shared" si="811"/>
        <v>448</v>
      </c>
      <c r="BU358" s="61">
        <f t="shared" si="811"/>
        <v>520</v>
      </c>
      <c r="BV358" s="61">
        <f>SUM(BV354:BV357)</f>
        <v>573</v>
      </c>
      <c r="BW358" s="61">
        <f>SUM(BW354:BW357)</f>
        <v>620</v>
      </c>
      <c r="BX358" s="1124">
        <f>SUM(BX354:BX357)</f>
        <v>2161</v>
      </c>
      <c r="BY358" s="896">
        <f>SUM(BY354:BY357)</f>
        <v>457</v>
      </c>
      <c r="BZ358" s="61"/>
      <c r="CA358" s="61"/>
      <c r="CB358" s="61"/>
      <c r="CC358" s="1124"/>
      <c r="CD358" s="61"/>
      <c r="CE358" s="61"/>
      <c r="CF358" s="61"/>
      <c r="CG358" s="61"/>
      <c r="CH358" s="1124"/>
      <c r="CI358" s="1124"/>
      <c r="CJ358" s="1124"/>
      <c r="CK358" s="1124"/>
      <c r="CL358" s="155"/>
    </row>
    <row r="359" spans="1:90" hidden="1" outlineLevel="1" x14ac:dyDescent="0.3">
      <c r="A359" s="600"/>
      <c r="B359" s="279"/>
      <c r="C359" s="1127"/>
      <c r="D359" s="1127"/>
      <c r="E359" s="1127"/>
      <c r="F359" s="1127"/>
      <c r="G359" s="63"/>
      <c r="H359" s="63"/>
      <c r="I359" s="63"/>
      <c r="J359" s="63"/>
      <c r="K359" s="1127"/>
      <c r="L359" s="63"/>
      <c r="M359" s="63"/>
      <c r="N359" s="63"/>
      <c r="O359" s="63"/>
      <c r="P359" s="1127"/>
      <c r="Q359" s="63"/>
      <c r="R359" s="63"/>
      <c r="S359" s="63"/>
      <c r="T359" s="63"/>
      <c r="U359" s="1127"/>
      <c r="V359" s="63"/>
      <c r="W359" s="63"/>
      <c r="X359" s="63"/>
      <c r="Y359" s="63"/>
      <c r="Z359" s="1127"/>
      <c r="AA359" s="63"/>
      <c r="AB359" s="63"/>
      <c r="AC359" s="63"/>
      <c r="AD359" s="63"/>
      <c r="AE359" s="1127"/>
      <c r="AF359" s="63"/>
      <c r="AG359" s="63"/>
      <c r="AH359" s="63"/>
      <c r="AI359" s="63"/>
      <c r="AJ359" s="1127"/>
      <c r="AK359" s="63"/>
      <c r="AL359" s="63"/>
      <c r="AM359" s="63"/>
      <c r="AN359" s="63"/>
      <c r="AO359" s="1127"/>
      <c r="AP359" s="63"/>
      <c r="AQ359" s="63"/>
      <c r="AR359" s="63"/>
      <c r="AS359" s="63"/>
      <c r="AT359" s="1127"/>
      <c r="AU359" s="63"/>
      <c r="AV359" s="63"/>
      <c r="AW359" s="63"/>
      <c r="AX359" s="63"/>
      <c r="AY359" s="1127"/>
      <c r="AZ359" s="63"/>
      <c r="BA359" s="63"/>
      <c r="BB359" s="63"/>
      <c r="BC359" s="63"/>
      <c r="BD359" s="1127"/>
      <c r="BE359" s="63"/>
      <c r="BF359" s="63"/>
      <c r="BG359" s="63"/>
      <c r="BH359" s="63"/>
      <c r="BI359" s="1127"/>
      <c r="BJ359" s="63"/>
      <c r="BK359" s="63"/>
      <c r="BL359" s="63"/>
      <c r="BM359" s="63"/>
      <c r="BN359" s="1127"/>
      <c r="BO359" s="63"/>
      <c r="BP359" s="63"/>
      <c r="BQ359" s="63"/>
      <c r="BR359" s="63"/>
      <c r="BS359" s="1127"/>
      <c r="BT359" s="63"/>
      <c r="BU359" s="63"/>
      <c r="BV359" s="63"/>
      <c r="BW359" s="63"/>
      <c r="BX359" s="1127"/>
      <c r="BY359" s="587"/>
      <c r="BZ359" s="63"/>
      <c r="CA359" s="63"/>
      <c r="CB359" s="63"/>
      <c r="CC359" s="1127"/>
      <c r="CD359" s="63"/>
      <c r="CE359" s="63"/>
      <c r="CF359" s="63"/>
      <c r="CG359" s="63"/>
      <c r="CH359" s="1127"/>
      <c r="CI359" s="1127"/>
      <c r="CJ359" s="1127"/>
      <c r="CK359" s="1127"/>
      <c r="CL359" s="155"/>
    </row>
    <row r="360" spans="1:90" hidden="1" outlineLevel="1" x14ac:dyDescent="0.3">
      <c r="A360" s="62" t="s">
        <v>82</v>
      </c>
      <c r="B360" s="279"/>
      <c r="C360" s="1127"/>
      <c r="D360" s="1127"/>
      <c r="E360" s="1127"/>
      <c r="F360" s="1127"/>
      <c r="G360" s="63"/>
      <c r="H360" s="63"/>
      <c r="I360" s="63"/>
      <c r="J360" s="63"/>
      <c r="K360" s="1127"/>
      <c r="L360" s="63"/>
      <c r="M360" s="63"/>
      <c r="N360" s="63"/>
      <c r="O360" s="63"/>
      <c r="P360" s="1127"/>
      <c r="Q360" s="63"/>
      <c r="R360" s="63"/>
      <c r="S360" s="28">
        <f t="shared" ref="S360:BJ360" si="812">S309</f>
        <v>213</v>
      </c>
      <c r="T360" s="28">
        <f t="shared" si="812"/>
        <v>232</v>
      </c>
      <c r="U360" s="1134">
        <f t="shared" si="812"/>
        <v>759</v>
      </c>
      <c r="V360" s="28">
        <f t="shared" si="812"/>
        <v>176</v>
      </c>
      <c r="W360" s="28">
        <f t="shared" si="812"/>
        <v>76</v>
      </c>
      <c r="X360" s="28">
        <f t="shared" si="812"/>
        <v>245</v>
      </c>
      <c r="Y360" s="28">
        <f t="shared" si="812"/>
        <v>252</v>
      </c>
      <c r="Z360" s="1134">
        <f t="shared" si="812"/>
        <v>747</v>
      </c>
      <c r="AA360" s="28">
        <f t="shared" si="812"/>
        <v>245</v>
      </c>
      <c r="AB360" s="28">
        <f t="shared" si="812"/>
        <v>317</v>
      </c>
      <c r="AC360" s="28">
        <f t="shared" si="812"/>
        <v>639</v>
      </c>
      <c r="AD360" s="28">
        <f t="shared" si="812"/>
        <v>733</v>
      </c>
      <c r="AE360" s="1134">
        <f t="shared" si="812"/>
        <v>1934</v>
      </c>
      <c r="AF360" s="28">
        <f t="shared" si="812"/>
        <v>554</v>
      </c>
      <c r="AG360" s="28">
        <f t="shared" si="812"/>
        <v>688</v>
      </c>
      <c r="AH360" s="28">
        <f t="shared" si="812"/>
        <v>895</v>
      </c>
      <c r="AI360" s="28">
        <f t="shared" si="812"/>
        <v>1073</v>
      </c>
      <c r="AJ360" s="1134">
        <f t="shared" si="812"/>
        <v>3210</v>
      </c>
      <c r="AK360" s="28">
        <f t="shared" si="812"/>
        <v>1295</v>
      </c>
      <c r="AL360" s="28">
        <f t="shared" si="812"/>
        <v>1157</v>
      </c>
      <c r="AM360" s="28">
        <f t="shared" si="812"/>
        <v>1058</v>
      </c>
      <c r="AN360" s="28">
        <f t="shared" si="812"/>
        <v>294</v>
      </c>
      <c r="AO360" s="1134">
        <f t="shared" si="812"/>
        <v>3804</v>
      </c>
      <c r="AP360" s="28">
        <f t="shared" si="812"/>
        <v>358</v>
      </c>
      <c r="AQ360" s="28">
        <f t="shared" si="812"/>
        <v>571</v>
      </c>
      <c r="AR360" s="28">
        <f t="shared" si="812"/>
        <v>927</v>
      </c>
      <c r="AS360" s="28">
        <f t="shared" si="812"/>
        <v>990</v>
      </c>
      <c r="AT360" s="1134">
        <f t="shared" si="812"/>
        <v>2846</v>
      </c>
      <c r="AU360" s="28">
        <f t="shared" si="812"/>
        <v>976</v>
      </c>
      <c r="AV360" s="28">
        <f t="shared" si="812"/>
        <v>651</v>
      </c>
      <c r="AW360" s="28">
        <f t="shared" si="812"/>
        <v>1398</v>
      </c>
      <c r="AX360" s="28">
        <f t="shared" si="812"/>
        <v>1507</v>
      </c>
      <c r="AY360" s="1134">
        <f t="shared" si="812"/>
        <v>4532</v>
      </c>
      <c r="AZ360" s="28">
        <f t="shared" si="812"/>
        <v>1956</v>
      </c>
      <c r="BA360" s="28">
        <f t="shared" si="812"/>
        <v>2444</v>
      </c>
      <c r="BB360" s="28">
        <f t="shared" si="812"/>
        <v>2671</v>
      </c>
      <c r="BC360" s="28">
        <f t="shared" si="812"/>
        <v>2970</v>
      </c>
      <c r="BD360" s="1134">
        <f t="shared" si="812"/>
        <v>10041</v>
      </c>
      <c r="BE360" s="28">
        <f t="shared" si="812"/>
        <v>1868</v>
      </c>
      <c r="BF360" s="28">
        <f t="shared" si="812"/>
        <v>499</v>
      </c>
      <c r="BG360" s="28">
        <f t="shared" si="812"/>
        <v>601</v>
      </c>
      <c r="BH360" s="28">
        <f t="shared" si="812"/>
        <v>1257</v>
      </c>
      <c r="BI360" s="1134">
        <f t="shared" si="812"/>
        <v>4224</v>
      </c>
      <c r="BJ360" s="28">
        <f t="shared" si="812"/>
        <v>2140</v>
      </c>
      <c r="BK360" s="28">
        <f t="shared" ref="BK360:BP360" si="813">BK309</f>
        <v>6800</v>
      </c>
      <c r="BL360" s="28">
        <f t="shared" si="813"/>
        <v>10417</v>
      </c>
      <c r="BM360" s="28">
        <f t="shared" si="813"/>
        <v>13615</v>
      </c>
      <c r="BN360" s="1134">
        <f t="shared" si="813"/>
        <v>32972</v>
      </c>
      <c r="BO360" s="28">
        <f t="shared" si="813"/>
        <v>16909</v>
      </c>
      <c r="BP360" s="28">
        <f t="shared" si="813"/>
        <v>18642</v>
      </c>
      <c r="BQ360" s="28">
        <f t="shared" ref="BQ360:BV360" si="814">BQ309</f>
        <v>21869</v>
      </c>
      <c r="BR360" s="28">
        <f t="shared" si="814"/>
        <v>24034</v>
      </c>
      <c r="BS360" s="1134">
        <f t="shared" si="814"/>
        <v>81453</v>
      </c>
      <c r="BT360" s="28">
        <f t="shared" si="814"/>
        <v>21638</v>
      </c>
      <c r="BU360" s="28">
        <f t="shared" si="814"/>
        <v>28440</v>
      </c>
      <c r="BV360" s="28">
        <f t="shared" si="814"/>
        <v>36010</v>
      </c>
      <c r="BW360" s="28">
        <f>BW309</f>
        <v>44299</v>
      </c>
      <c r="BX360" s="1134">
        <f>BX309</f>
        <v>130387</v>
      </c>
      <c r="BY360" s="505">
        <f>BY309</f>
        <v>53536</v>
      </c>
      <c r="BZ360" s="63"/>
      <c r="CA360" s="63"/>
      <c r="CB360" s="63"/>
      <c r="CC360" s="1127"/>
      <c r="CD360" s="63"/>
      <c r="CE360" s="63"/>
      <c r="CF360" s="63"/>
      <c r="CG360" s="63"/>
      <c r="CH360" s="1127"/>
      <c r="CI360" s="1127"/>
      <c r="CJ360" s="1127"/>
      <c r="CK360" s="1127"/>
      <c r="CL360" s="155"/>
    </row>
    <row r="361" spans="1:90" hidden="1" outlineLevel="1" x14ac:dyDescent="0.3">
      <c r="A361" s="67" t="s">
        <v>83</v>
      </c>
      <c r="B361" s="146"/>
      <c r="C361" s="1112"/>
      <c r="D361" s="1112"/>
      <c r="E361" s="1112"/>
      <c r="F361" s="1112"/>
      <c r="G361" s="68"/>
      <c r="H361" s="68"/>
      <c r="I361" s="68"/>
      <c r="J361" s="68"/>
      <c r="K361" s="1112"/>
      <c r="L361" s="68"/>
      <c r="M361" s="68"/>
      <c r="N361" s="68"/>
      <c r="O361" s="68"/>
      <c r="P361" s="1112"/>
      <c r="Q361" s="68"/>
      <c r="R361" s="68"/>
      <c r="S361" s="1055">
        <v>51</v>
      </c>
      <c r="T361" s="1055">
        <v>52</v>
      </c>
      <c r="U361" s="1113">
        <v>195</v>
      </c>
      <c r="V361" s="1055">
        <v>54</v>
      </c>
      <c r="W361" s="1055">
        <v>155</v>
      </c>
      <c r="X361" s="1055">
        <v>63</v>
      </c>
      <c r="Y361" s="1055">
        <v>104</v>
      </c>
      <c r="Z361" s="1113">
        <v>378</v>
      </c>
      <c r="AA361" s="1055">
        <v>77</v>
      </c>
      <c r="AB361" s="1055">
        <v>65</v>
      </c>
      <c r="AC361" s="1055">
        <v>69</v>
      </c>
      <c r="AD361" s="1055">
        <v>76</v>
      </c>
      <c r="AE361" s="1113">
        <v>287</v>
      </c>
      <c r="AF361" s="1055">
        <v>83</v>
      </c>
      <c r="AG361" s="1055">
        <v>85</v>
      </c>
      <c r="AH361" s="1055">
        <v>110</v>
      </c>
      <c r="AI361" s="1055">
        <v>129</v>
      </c>
      <c r="AJ361" s="1113">
        <v>407</v>
      </c>
      <c r="AK361" s="1055">
        <v>133</v>
      </c>
      <c r="AL361" s="1055">
        <v>133</v>
      </c>
      <c r="AM361" s="1055">
        <v>152</v>
      </c>
      <c r="AN361" s="1055">
        <v>185</v>
      </c>
      <c r="AO361" s="1113">
        <v>603</v>
      </c>
      <c r="AP361" s="1062">
        <v>199</v>
      </c>
      <c r="AQ361" s="1055">
        <v>231</v>
      </c>
      <c r="AR361" s="1055">
        <v>229</v>
      </c>
      <c r="AS361" s="1055">
        <v>230</v>
      </c>
      <c r="AT361" s="1113">
        <v>889</v>
      </c>
      <c r="AU361" s="1062">
        <v>229</v>
      </c>
      <c r="AV361" s="1055">
        <v>865</v>
      </c>
      <c r="AW361" s="1055">
        <v>595</v>
      </c>
      <c r="AX361" s="1055">
        <v>582</v>
      </c>
      <c r="AY361" s="1113">
        <v>2271</v>
      </c>
      <c r="AZ361" s="1062">
        <v>601</v>
      </c>
      <c r="BA361" s="1055">
        <v>627</v>
      </c>
      <c r="BB361" s="1055">
        <v>715</v>
      </c>
      <c r="BC361" s="1055">
        <v>707</v>
      </c>
      <c r="BD361" s="1113">
        <v>2649</v>
      </c>
      <c r="BE361" s="1062">
        <v>2087</v>
      </c>
      <c r="BF361" s="1055">
        <v>826</v>
      </c>
      <c r="BG361" s="1055">
        <v>935</v>
      </c>
      <c r="BH361" s="1055">
        <v>967</v>
      </c>
      <c r="BI361" s="1113">
        <v>4816</v>
      </c>
      <c r="BJ361" s="1062">
        <v>912</v>
      </c>
      <c r="BK361" s="1055">
        <v>976</v>
      </c>
      <c r="BL361" s="1055">
        <v>1140</v>
      </c>
      <c r="BM361" s="1062">
        <v>1134</v>
      </c>
      <c r="BN361" s="1133">
        <v>4162</v>
      </c>
      <c r="BO361" s="1062">
        <v>1150</v>
      </c>
      <c r="BP361" s="1055">
        <v>1295</v>
      </c>
      <c r="BQ361" s="1055">
        <v>1407</v>
      </c>
      <c r="BR361" s="1062">
        <v>1482</v>
      </c>
      <c r="BS361" s="1133">
        <v>5336</v>
      </c>
      <c r="BT361" s="1062">
        <v>1637</v>
      </c>
      <c r="BU361" s="1055">
        <v>1725</v>
      </c>
      <c r="BV361" s="1055">
        <v>1742</v>
      </c>
      <c r="BW361" s="1062">
        <v>1808</v>
      </c>
      <c r="BX361" s="1133">
        <v>6913</v>
      </c>
      <c r="BY361" s="1063">
        <v>247</v>
      </c>
      <c r="BZ361" s="68"/>
      <c r="CA361" s="68"/>
      <c r="CB361" s="68"/>
      <c r="CC361" s="1112"/>
      <c r="CD361" s="68"/>
      <c r="CE361" s="68"/>
      <c r="CF361" s="68"/>
      <c r="CG361" s="68"/>
      <c r="CH361" s="1112"/>
      <c r="CI361" s="1112"/>
      <c r="CJ361" s="1112"/>
      <c r="CK361" s="1112"/>
      <c r="CL361" s="155"/>
    </row>
    <row r="362" spans="1:90" hidden="1" outlineLevel="1" x14ac:dyDescent="0.3">
      <c r="A362" s="59" t="s">
        <v>84</v>
      </c>
      <c r="B362" s="607"/>
      <c r="C362" s="1124"/>
      <c r="D362" s="1124"/>
      <c r="E362" s="1124"/>
      <c r="F362" s="1124"/>
      <c r="G362" s="61"/>
      <c r="H362" s="61"/>
      <c r="I362" s="61"/>
      <c r="J362" s="61"/>
      <c r="K362" s="1124"/>
      <c r="L362" s="61"/>
      <c r="M362" s="61"/>
      <c r="N362" s="61"/>
      <c r="O362" s="61"/>
      <c r="P362" s="1124"/>
      <c r="Q362" s="61"/>
      <c r="R362" s="61"/>
      <c r="S362" s="60">
        <f t="shared" ref="S362:AV362" si="815">SUM(S360:S361)</f>
        <v>264</v>
      </c>
      <c r="T362" s="60">
        <f t="shared" si="815"/>
        <v>284</v>
      </c>
      <c r="U362" s="1125">
        <f t="shared" si="815"/>
        <v>954</v>
      </c>
      <c r="V362" s="60">
        <f t="shared" si="815"/>
        <v>230</v>
      </c>
      <c r="W362" s="60">
        <f t="shared" si="815"/>
        <v>231</v>
      </c>
      <c r="X362" s="60">
        <f t="shared" si="815"/>
        <v>308</v>
      </c>
      <c r="Y362" s="60">
        <f t="shared" si="815"/>
        <v>356</v>
      </c>
      <c r="Z362" s="1125">
        <f t="shared" si="815"/>
        <v>1125</v>
      </c>
      <c r="AA362" s="60">
        <f t="shared" si="815"/>
        <v>322</v>
      </c>
      <c r="AB362" s="60">
        <f t="shared" si="815"/>
        <v>382</v>
      </c>
      <c r="AC362" s="60">
        <f t="shared" si="815"/>
        <v>708</v>
      </c>
      <c r="AD362" s="60">
        <f t="shared" si="815"/>
        <v>809</v>
      </c>
      <c r="AE362" s="1125">
        <f t="shared" si="815"/>
        <v>2221</v>
      </c>
      <c r="AF362" s="60">
        <f t="shared" si="815"/>
        <v>637</v>
      </c>
      <c r="AG362" s="60">
        <f t="shared" si="815"/>
        <v>773</v>
      </c>
      <c r="AH362" s="60">
        <f t="shared" si="815"/>
        <v>1005</v>
      </c>
      <c r="AI362" s="60">
        <f t="shared" si="815"/>
        <v>1202</v>
      </c>
      <c r="AJ362" s="1125">
        <f t="shared" si="815"/>
        <v>3617</v>
      </c>
      <c r="AK362" s="60">
        <f t="shared" si="815"/>
        <v>1428</v>
      </c>
      <c r="AL362" s="60">
        <f t="shared" si="815"/>
        <v>1290</v>
      </c>
      <c r="AM362" s="60">
        <f t="shared" si="815"/>
        <v>1210</v>
      </c>
      <c r="AN362" s="60">
        <f t="shared" si="815"/>
        <v>479</v>
      </c>
      <c r="AO362" s="1125">
        <f t="shared" si="815"/>
        <v>4407</v>
      </c>
      <c r="AP362" s="60">
        <f t="shared" si="815"/>
        <v>557</v>
      </c>
      <c r="AQ362" s="60">
        <f t="shared" si="815"/>
        <v>802</v>
      </c>
      <c r="AR362" s="60">
        <f t="shared" si="815"/>
        <v>1156</v>
      </c>
      <c r="AS362" s="60">
        <f t="shared" si="815"/>
        <v>1220</v>
      </c>
      <c r="AT362" s="1125">
        <f t="shared" si="815"/>
        <v>3735</v>
      </c>
      <c r="AU362" s="60">
        <f t="shared" si="815"/>
        <v>1205</v>
      </c>
      <c r="AV362" s="60">
        <f t="shared" si="815"/>
        <v>1516</v>
      </c>
      <c r="AW362" s="60">
        <f t="shared" ref="AW362:BB362" si="816">SUM(AW360:AW361)</f>
        <v>1993</v>
      </c>
      <c r="AX362" s="60">
        <f t="shared" si="816"/>
        <v>2089</v>
      </c>
      <c r="AY362" s="1125">
        <f t="shared" si="816"/>
        <v>6803</v>
      </c>
      <c r="AZ362" s="60">
        <f t="shared" si="816"/>
        <v>2557</v>
      </c>
      <c r="BA362" s="60">
        <f t="shared" si="816"/>
        <v>3071</v>
      </c>
      <c r="BB362" s="60">
        <f t="shared" si="816"/>
        <v>3386</v>
      </c>
      <c r="BC362" s="60">
        <f t="shared" ref="BC362:BI362" si="817">SUM(BC360:BC361)</f>
        <v>3677</v>
      </c>
      <c r="BD362" s="1125">
        <f t="shared" si="817"/>
        <v>12690</v>
      </c>
      <c r="BE362" s="60">
        <f t="shared" si="817"/>
        <v>3955</v>
      </c>
      <c r="BF362" s="60">
        <f t="shared" si="817"/>
        <v>1325</v>
      </c>
      <c r="BG362" s="60">
        <f t="shared" si="817"/>
        <v>1536</v>
      </c>
      <c r="BH362" s="60">
        <f t="shared" si="817"/>
        <v>2224</v>
      </c>
      <c r="BI362" s="1125">
        <f t="shared" si="817"/>
        <v>9040</v>
      </c>
      <c r="BJ362" s="60">
        <f t="shared" ref="BJ362:BO362" si="818">SUM(BJ360:BJ361)</f>
        <v>3052</v>
      </c>
      <c r="BK362" s="60">
        <f t="shared" si="818"/>
        <v>7776</v>
      </c>
      <c r="BL362" s="60">
        <f t="shared" si="818"/>
        <v>11557</v>
      </c>
      <c r="BM362" s="28">
        <f t="shared" si="818"/>
        <v>14749</v>
      </c>
      <c r="BN362" s="1134">
        <f t="shared" si="818"/>
        <v>37134</v>
      </c>
      <c r="BO362" s="60">
        <f t="shared" si="818"/>
        <v>18059</v>
      </c>
      <c r="BP362" s="60">
        <f t="shared" ref="BP362:BU362" si="819">SUM(BP360:BP361)</f>
        <v>19937</v>
      </c>
      <c r="BQ362" s="60">
        <f t="shared" si="819"/>
        <v>23276</v>
      </c>
      <c r="BR362" s="28">
        <f t="shared" si="819"/>
        <v>25516</v>
      </c>
      <c r="BS362" s="1134">
        <f t="shared" si="819"/>
        <v>86789</v>
      </c>
      <c r="BT362" s="60">
        <f t="shared" si="819"/>
        <v>23275</v>
      </c>
      <c r="BU362" s="60">
        <f t="shared" si="819"/>
        <v>30165</v>
      </c>
      <c r="BV362" s="60">
        <f>SUM(BV360:BV361)</f>
        <v>37752</v>
      </c>
      <c r="BW362" s="28">
        <f>SUM(BW360:BW361)</f>
        <v>46107</v>
      </c>
      <c r="BX362" s="1134">
        <f>SUM(BX360:BX361)</f>
        <v>137300</v>
      </c>
      <c r="BY362" s="895">
        <f>SUM(BY360:BY361)</f>
        <v>53783</v>
      </c>
      <c r="BZ362" s="61"/>
      <c r="CA362" s="61"/>
      <c r="CB362" s="61"/>
      <c r="CC362" s="1124"/>
      <c r="CD362" s="61"/>
      <c r="CE362" s="61"/>
      <c r="CF362" s="61"/>
      <c r="CG362" s="61"/>
      <c r="CH362" s="1124"/>
      <c r="CI362" s="1124"/>
      <c r="CJ362" s="1124"/>
      <c r="CK362" s="1124"/>
      <c r="CL362" s="155"/>
    </row>
    <row r="363" spans="1:90" hidden="1" outlineLevel="1" x14ac:dyDescent="0.3">
      <c r="A363" s="600"/>
      <c r="B363" s="279"/>
      <c r="C363" s="1127"/>
      <c r="D363" s="1127"/>
      <c r="E363" s="1127"/>
      <c r="F363" s="1127"/>
      <c r="G363" s="63"/>
      <c r="H363" s="63"/>
      <c r="I363" s="63"/>
      <c r="J363" s="63"/>
      <c r="K363" s="1127"/>
      <c r="L363" s="63"/>
      <c r="M363" s="63"/>
      <c r="N363" s="63"/>
      <c r="O363" s="63"/>
      <c r="P363" s="1127"/>
      <c r="Q363" s="63"/>
      <c r="R363" s="63"/>
      <c r="S363" s="63"/>
      <c r="T363" s="63"/>
      <c r="U363" s="1127"/>
      <c r="V363" s="63"/>
      <c r="W363" s="63"/>
      <c r="X363" s="63"/>
      <c r="Y363" s="63"/>
      <c r="Z363" s="1127"/>
      <c r="AA363" s="63"/>
      <c r="AB363" s="63"/>
      <c r="AC363" s="63"/>
      <c r="AD363" s="63"/>
      <c r="AE363" s="1127"/>
      <c r="AF363" s="63"/>
      <c r="AG363" s="63"/>
      <c r="AH363" s="63"/>
      <c r="AI363" s="63"/>
      <c r="AJ363" s="1127"/>
      <c r="AK363" s="63"/>
      <c r="AL363" s="63"/>
      <c r="AM363" s="63"/>
      <c r="AN363" s="63"/>
      <c r="AO363" s="1127"/>
      <c r="AP363" s="63"/>
      <c r="AQ363" s="63"/>
      <c r="AR363" s="63"/>
      <c r="AS363" s="63"/>
      <c r="AT363" s="1127"/>
      <c r="AU363" s="63"/>
      <c r="AV363" s="63"/>
      <c r="AW363" s="63"/>
      <c r="AX363" s="63"/>
      <c r="AY363" s="1127"/>
      <c r="AZ363" s="63"/>
      <c r="BA363" s="63"/>
      <c r="BB363" s="63"/>
      <c r="BC363" s="63"/>
      <c r="BD363" s="1127"/>
      <c r="BE363" s="63"/>
      <c r="BF363" s="63"/>
      <c r="BG363" s="63"/>
      <c r="BH363" s="63"/>
      <c r="BI363" s="1127"/>
      <c r="BJ363" s="63"/>
      <c r="BK363" s="63"/>
      <c r="BL363" s="63"/>
      <c r="BM363" s="63"/>
      <c r="BN363" s="1127"/>
      <c r="BO363" s="63"/>
      <c r="BP363" s="63"/>
      <c r="BQ363" s="63"/>
      <c r="BR363" s="63"/>
      <c r="BS363" s="1127"/>
      <c r="BT363" s="63"/>
      <c r="BU363" s="63"/>
      <c r="BV363" s="63"/>
      <c r="BW363" s="63"/>
      <c r="BX363" s="1127"/>
      <c r="BY363" s="587"/>
      <c r="BZ363" s="63"/>
      <c r="CA363" s="63"/>
      <c r="CB363" s="63"/>
      <c r="CC363" s="1127"/>
      <c r="CD363" s="63"/>
      <c r="CE363" s="63"/>
      <c r="CF363" s="63"/>
      <c r="CG363" s="63"/>
      <c r="CH363" s="1127"/>
      <c r="CI363" s="1127"/>
      <c r="CJ363" s="1127"/>
      <c r="CK363" s="1127"/>
      <c r="CL363" s="155"/>
    </row>
    <row r="364" spans="1:90" s="227" customFormat="1" hidden="1" outlineLevel="1" x14ac:dyDescent="0.3">
      <c r="A364" s="100" t="s">
        <v>1269</v>
      </c>
      <c r="B364" s="146"/>
      <c r="C364" s="1113">
        <v>249.36</v>
      </c>
      <c r="D364" s="1113">
        <v>487.80700000000002</v>
      </c>
      <c r="E364" s="1113">
        <v>675.79700000000003</v>
      </c>
      <c r="F364" s="1113">
        <v>909.15599999999995</v>
      </c>
      <c r="G364" s="1055">
        <v>-9.2080000000000002</v>
      </c>
      <c r="H364" s="1055">
        <v>200.886</v>
      </c>
      <c r="I364" s="1055">
        <v>181.48500000000001</v>
      </c>
      <c r="J364" s="1055">
        <v>451.00900000000001</v>
      </c>
      <c r="K364" s="1113">
        <v>824.17200000000003</v>
      </c>
      <c r="L364" s="1055">
        <v>175.65</v>
      </c>
      <c r="M364" s="1055">
        <v>96.468999999999994</v>
      </c>
      <c r="N364" s="1055">
        <v>162.315</v>
      </c>
      <c r="O364" s="1055">
        <v>400.71199999999999</v>
      </c>
      <c r="P364" s="1113">
        <v>835.14599999999996</v>
      </c>
      <c r="Q364" s="1055">
        <v>151.02199999999999</v>
      </c>
      <c r="R364" s="1055">
        <v>96.281999999999996</v>
      </c>
      <c r="S364" s="1055">
        <v>216</v>
      </c>
      <c r="T364" s="1055">
        <v>443</v>
      </c>
      <c r="U364" s="1113">
        <v>906</v>
      </c>
      <c r="V364" s="1055">
        <v>246</v>
      </c>
      <c r="W364" s="1055">
        <v>163</v>
      </c>
      <c r="X364" s="1055">
        <v>255</v>
      </c>
      <c r="Y364" s="1055">
        <v>510</v>
      </c>
      <c r="Z364" s="1113">
        <v>1175</v>
      </c>
      <c r="AA364" s="1055">
        <v>318</v>
      </c>
      <c r="AB364" s="1055">
        <v>201</v>
      </c>
      <c r="AC364" s="1055">
        <v>432</v>
      </c>
      <c r="AD364" s="1055">
        <v>721</v>
      </c>
      <c r="AE364" s="1113">
        <v>1672</v>
      </c>
      <c r="AF364" s="1055">
        <v>282</v>
      </c>
      <c r="AG364" s="1055">
        <v>705</v>
      </c>
      <c r="AH364" s="1055">
        <v>1157</v>
      </c>
      <c r="AI364" s="1055">
        <v>1358</v>
      </c>
      <c r="AJ364" s="1113">
        <v>3502</v>
      </c>
      <c r="AK364" s="1055">
        <v>1445</v>
      </c>
      <c r="AL364" s="1055">
        <v>913</v>
      </c>
      <c r="AM364" s="1055">
        <v>487</v>
      </c>
      <c r="AN364" s="1055">
        <v>898</v>
      </c>
      <c r="AO364" s="1113">
        <v>3743</v>
      </c>
      <c r="AP364" s="1055">
        <v>720</v>
      </c>
      <c r="AQ364" s="1055">
        <v>936</v>
      </c>
      <c r="AR364" s="1055">
        <v>1640</v>
      </c>
      <c r="AS364" s="1055">
        <v>1465</v>
      </c>
      <c r="AT364" s="1113">
        <v>4761</v>
      </c>
      <c r="AU364" s="1055">
        <v>909</v>
      </c>
      <c r="AV364" s="1055">
        <v>1566</v>
      </c>
      <c r="AW364" s="1055">
        <v>1279</v>
      </c>
      <c r="AX364" s="1055">
        <v>2067</v>
      </c>
      <c r="AY364" s="1113">
        <v>5822</v>
      </c>
      <c r="AZ364" s="1055">
        <v>1874</v>
      </c>
      <c r="BA364" s="1055">
        <v>2682</v>
      </c>
      <c r="BB364" s="1055">
        <v>1519</v>
      </c>
      <c r="BC364" s="1055">
        <v>3033</v>
      </c>
      <c r="BD364" s="1113">
        <v>9108</v>
      </c>
      <c r="BE364" s="1055">
        <v>1731</v>
      </c>
      <c r="BF364" s="1055">
        <v>1271</v>
      </c>
      <c r="BG364" s="1055">
        <v>392</v>
      </c>
      <c r="BH364" s="1055">
        <v>2249</v>
      </c>
      <c r="BI364" s="1113">
        <v>5641</v>
      </c>
      <c r="BJ364" s="1055">
        <v>2911</v>
      </c>
      <c r="BK364" s="1055">
        <v>6348</v>
      </c>
      <c r="BL364" s="1055">
        <v>7333</v>
      </c>
      <c r="BM364" s="1055">
        <v>11499</v>
      </c>
      <c r="BN364" s="1113">
        <v>28090</v>
      </c>
      <c r="BO364" s="1055">
        <v>15345</v>
      </c>
      <c r="BP364" s="1055">
        <v>14489</v>
      </c>
      <c r="BQ364" s="1055">
        <v>17629</v>
      </c>
      <c r="BR364" s="1055">
        <v>16628</v>
      </c>
      <c r="BS364" s="1113">
        <v>64089</v>
      </c>
      <c r="BT364" s="1055">
        <v>27414</v>
      </c>
      <c r="BU364" s="1055">
        <v>15365</v>
      </c>
      <c r="BV364" s="1055">
        <v>23750</v>
      </c>
      <c r="BW364" s="1055">
        <v>36190</v>
      </c>
      <c r="BX364" s="1113">
        <v>102718</v>
      </c>
      <c r="BY364" s="1057">
        <v>50344</v>
      </c>
      <c r="BZ364" s="68"/>
      <c r="CA364" s="68"/>
      <c r="CB364" s="68"/>
      <c r="CC364" s="1112"/>
      <c r="CD364" s="68"/>
      <c r="CE364" s="68"/>
      <c r="CF364" s="68"/>
      <c r="CG364" s="68"/>
      <c r="CH364" s="1112"/>
      <c r="CI364" s="1112"/>
      <c r="CJ364" s="1112"/>
      <c r="CK364" s="1112"/>
      <c r="CL364" s="27"/>
    </row>
    <row r="365" spans="1:90" s="227" customFormat="1" hidden="1" outlineLevel="1" x14ac:dyDescent="0.3">
      <c r="A365" s="67" t="s">
        <v>1270</v>
      </c>
      <c r="B365" s="146"/>
      <c r="C365" s="1113">
        <v>-407.67</v>
      </c>
      <c r="D365" s="1113">
        <v>-77.600999999999999</v>
      </c>
      <c r="E365" s="1113">
        <v>-97.89</v>
      </c>
      <c r="F365" s="1113">
        <v>-138.73500000000001</v>
      </c>
      <c r="G365" s="1055">
        <v>-28.922999999999998</v>
      </c>
      <c r="H365" s="1055">
        <v>-61.944000000000003</v>
      </c>
      <c r="I365" s="1055">
        <v>-44.683999999999997</v>
      </c>
      <c r="J365" s="1055">
        <v>-47.758000000000003</v>
      </c>
      <c r="K365" s="1113">
        <v>-183.309</v>
      </c>
      <c r="L365" s="1055">
        <v>-65.667000000000002</v>
      </c>
      <c r="M365" s="1055">
        <v>-84.986000000000004</v>
      </c>
      <c r="N365" s="1055">
        <v>-38.158999999999999</v>
      </c>
      <c r="O365" s="1055">
        <v>-66.373999999999995</v>
      </c>
      <c r="P365" s="1113">
        <v>-255.18600000000001</v>
      </c>
      <c r="Q365" s="1055">
        <v>-29.068000000000001</v>
      </c>
      <c r="R365" s="1055">
        <v>-22.527000000000001</v>
      </c>
      <c r="S365" s="1055">
        <v>-40</v>
      </c>
      <c r="T365" s="1055">
        <v>-31</v>
      </c>
      <c r="U365" s="1113">
        <v>-123</v>
      </c>
      <c r="V365" s="1055">
        <v>-30</v>
      </c>
      <c r="W365" s="1055">
        <v>-24</v>
      </c>
      <c r="X365" s="1055">
        <v>-16</v>
      </c>
      <c r="Y365" s="1055">
        <v>-15</v>
      </c>
      <c r="Z365" s="1113">
        <v>-86</v>
      </c>
      <c r="AA365" s="1055">
        <v>-55</v>
      </c>
      <c r="AB365" s="1055">
        <v>-33</v>
      </c>
      <c r="AC365" s="1055">
        <v>-38</v>
      </c>
      <c r="AD365" s="1055">
        <v>-52</v>
      </c>
      <c r="AE365" s="1113">
        <v>-176</v>
      </c>
      <c r="AF365" s="1055">
        <v>-53</v>
      </c>
      <c r="AG365" s="1055">
        <v>-55</v>
      </c>
      <c r="AH365" s="1055">
        <v>-69</v>
      </c>
      <c r="AI365" s="1055">
        <v>-416</v>
      </c>
      <c r="AJ365" s="1113">
        <v>-593</v>
      </c>
      <c r="AK365" s="1055">
        <v>-118</v>
      </c>
      <c r="AL365" s="1055">
        <v>-128</v>
      </c>
      <c r="AM365" s="1055">
        <v>-150</v>
      </c>
      <c r="AN365" s="1055">
        <v>-203</v>
      </c>
      <c r="AO365" s="1113">
        <v>-600</v>
      </c>
      <c r="AP365" s="1055">
        <v>-128</v>
      </c>
      <c r="AQ365" s="1055">
        <v>-113</v>
      </c>
      <c r="AR365" s="1055">
        <v>-104</v>
      </c>
      <c r="AS365" s="1055">
        <v>-144</v>
      </c>
      <c r="AT365" s="1113">
        <v>-489</v>
      </c>
      <c r="AU365" s="1055">
        <v>-155</v>
      </c>
      <c r="AV365" s="1055">
        <v>-217</v>
      </c>
      <c r="AW365" s="1055">
        <v>-473</v>
      </c>
      <c r="AX365" s="1055">
        <v>-283</v>
      </c>
      <c r="AY365" s="1113">
        <v>-1128</v>
      </c>
      <c r="AZ365" s="1055">
        <v>-298</v>
      </c>
      <c r="BA365" s="1055">
        <v>-183</v>
      </c>
      <c r="BB365" s="1055">
        <v>-221</v>
      </c>
      <c r="BC365" s="1055">
        <v>-273</v>
      </c>
      <c r="BD365" s="1113">
        <v>-976</v>
      </c>
      <c r="BE365" s="1055">
        <v>-361</v>
      </c>
      <c r="BF365" s="1055">
        <v>-432</v>
      </c>
      <c r="BG365" s="1055">
        <v>-530</v>
      </c>
      <c r="BH365" s="1055">
        <v>-509</v>
      </c>
      <c r="BI365" s="1113">
        <v>-1833</v>
      </c>
      <c r="BJ365" s="1055">
        <v>-248</v>
      </c>
      <c r="BK365" s="1055">
        <v>-289</v>
      </c>
      <c r="BL365" s="1055">
        <v>-278</v>
      </c>
      <c r="BM365" s="1055">
        <v>-253</v>
      </c>
      <c r="BN365" s="1113">
        <v>-1069</v>
      </c>
      <c r="BO365" s="1055">
        <v>-369</v>
      </c>
      <c r="BP365" s="1055">
        <v>-977</v>
      </c>
      <c r="BQ365" s="1055">
        <v>-813</v>
      </c>
      <c r="BR365" s="1055">
        <v>-1077</v>
      </c>
      <c r="BS365" s="1113">
        <v>-3236</v>
      </c>
      <c r="BT365" s="1055">
        <v>-1227</v>
      </c>
      <c r="BU365" s="1055">
        <v>-1894</v>
      </c>
      <c r="BV365" s="1055">
        <v>-1637</v>
      </c>
      <c r="BW365" s="1055">
        <v>-1284</v>
      </c>
      <c r="BX365" s="1113">
        <v>-6042</v>
      </c>
      <c r="BY365" s="1057">
        <v>-1757</v>
      </c>
      <c r="BZ365" s="68"/>
      <c r="CA365" s="68"/>
      <c r="CB365" s="68"/>
      <c r="CC365" s="1112"/>
      <c r="CD365" s="68"/>
      <c r="CE365" s="68"/>
      <c r="CF365" s="68"/>
      <c r="CG365" s="68"/>
      <c r="CH365" s="1112"/>
      <c r="CI365" s="1112"/>
      <c r="CJ365" s="1112"/>
      <c r="CK365" s="1112"/>
      <c r="CL365" s="27"/>
    </row>
    <row r="366" spans="1:90" s="227" customFormat="1" hidden="1" outlineLevel="1" x14ac:dyDescent="0.3">
      <c r="A366" s="67" t="s">
        <v>1271</v>
      </c>
      <c r="B366" s="146"/>
      <c r="C366" s="1112"/>
      <c r="D366" s="1112"/>
      <c r="E366" s="1112"/>
      <c r="F366" s="1112"/>
      <c r="G366" s="68"/>
      <c r="H366" s="68"/>
      <c r="I366" s="68"/>
      <c r="J366" s="68"/>
      <c r="K366" s="1112"/>
      <c r="L366" s="68"/>
      <c r="M366" s="68"/>
      <c r="N366" s="68"/>
      <c r="O366" s="68"/>
      <c r="P366" s="1112"/>
      <c r="Q366" s="68"/>
      <c r="R366" s="68"/>
      <c r="S366" s="68"/>
      <c r="T366" s="68"/>
      <c r="U366" s="1112"/>
      <c r="V366" s="68"/>
      <c r="W366" s="68"/>
      <c r="X366" s="68"/>
      <c r="Y366" s="68"/>
      <c r="Z366" s="1112"/>
      <c r="AA366" s="68"/>
      <c r="AB366" s="68"/>
      <c r="AC366" s="68"/>
      <c r="AD366" s="68"/>
      <c r="AE366" s="1112"/>
      <c r="AF366" s="68"/>
      <c r="AG366" s="68"/>
      <c r="AH366" s="68"/>
      <c r="AI366" s="68"/>
      <c r="AJ366" s="1112"/>
      <c r="AK366" s="68"/>
      <c r="AL366" s="68"/>
      <c r="AM366" s="68"/>
      <c r="AN366" s="68"/>
      <c r="AO366" s="1112"/>
      <c r="AP366" s="68"/>
      <c r="AQ366" s="68"/>
      <c r="AR366" s="68"/>
      <c r="AS366" s="1055">
        <v>0</v>
      </c>
      <c r="AT366" s="1113">
        <v>0</v>
      </c>
      <c r="AU366" s="68"/>
      <c r="AV366" s="1055">
        <v>0</v>
      </c>
      <c r="AW366" s="1055">
        <v>0</v>
      </c>
      <c r="AX366" s="1055">
        <v>-17</v>
      </c>
      <c r="AY366" s="1113">
        <v>-17</v>
      </c>
      <c r="AZ366" s="1055">
        <v>-19</v>
      </c>
      <c r="BA366" s="1055">
        <v>-21</v>
      </c>
      <c r="BB366" s="1055">
        <v>-22</v>
      </c>
      <c r="BC366" s="1055">
        <v>-21</v>
      </c>
      <c r="BD366" s="1113">
        <v>-83</v>
      </c>
      <c r="BE366" s="1055">
        <v>-22</v>
      </c>
      <c r="BF366" s="1055">
        <v>-15</v>
      </c>
      <c r="BG366" s="1055">
        <v>-18</v>
      </c>
      <c r="BH366" s="1055">
        <v>-4</v>
      </c>
      <c r="BI366" s="1113">
        <v>-58</v>
      </c>
      <c r="BJ366" s="1055">
        <v>-20</v>
      </c>
      <c r="BK366" s="1055">
        <v>-11</v>
      </c>
      <c r="BL366" s="1055">
        <v>-13</v>
      </c>
      <c r="BM366" s="1055">
        <v>-29</v>
      </c>
      <c r="BN366" s="1113">
        <v>-74</v>
      </c>
      <c r="BO366" s="1055">
        <v>-40</v>
      </c>
      <c r="BP366" s="1055">
        <v>-29</v>
      </c>
      <c r="BQ366" s="1055">
        <v>-29</v>
      </c>
      <c r="BR366" s="1055">
        <v>-32</v>
      </c>
      <c r="BS366" s="1113">
        <v>-129</v>
      </c>
      <c r="BT366" s="1055">
        <v>-52</v>
      </c>
      <c r="BU366" s="1055">
        <v>-21</v>
      </c>
      <c r="BV366" s="1055">
        <v>-24</v>
      </c>
      <c r="BW366" s="1055">
        <v>-4</v>
      </c>
      <c r="BX366" s="1113">
        <v>-101</v>
      </c>
      <c r="BY366" s="1057">
        <v>-33</v>
      </c>
      <c r="BZ366" s="68"/>
      <c r="CA366" s="68"/>
      <c r="CB366" s="68"/>
      <c r="CC366" s="1112"/>
      <c r="CD366" s="68"/>
      <c r="CE366" s="68"/>
      <c r="CF366" s="68"/>
      <c r="CG366" s="68"/>
      <c r="CH366" s="1112"/>
      <c r="CI366" s="1112"/>
      <c r="CJ366" s="1112"/>
      <c r="CK366" s="1112"/>
      <c r="CL366" s="27"/>
    </row>
    <row r="367" spans="1:90" s="227" customFormat="1" hidden="1" outlineLevel="1" x14ac:dyDescent="0.3">
      <c r="A367" s="59" t="s">
        <v>1272</v>
      </c>
      <c r="B367" s="607"/>
      <c r="C367" s="1124">
        <f t="shared" ref="C367:BN367" si="820">SUM(C364:C366)</f>
        <v>-158.31</v>
      </c>
      <c r="D367" s="1124">
        <f t="shared" si="820"/>
        <v>410.20600000000002</v>
      </c>
      <c r="E367" s="1124">
        <f t="shared" si="820"/>
        <v>577.90700000000004</v>
      </c>
      <c r="F367" s="1124">
        <f t="shared" si="820"/>
        <v>770.42099999999994</v>
      </c>
      <c r="G367" s="61">
        <f t="shared" si="820"/>
        <v>-38.131</v>
      </c>
      <c r="H367" s="61">
        <f t="shared" si="820"/>
        <v>138.94200000000001</v>
      </c>
      <c r="I367" s="61">
        <f t="shared" si="820"/>
        <v>136.80100000000002</v>
      </c>
      <c r="J367" s="61">
        <f t="shared" si="820"/>
        <v>403.25100000000003</v>
      </c>
      <c r="K367" s="1124">
        <f t="shared" si="820"/>
        <v>640.86300000000006</v>
      </c>
      <c r="L367" s="61">
        <f t="shared" si="820"/>
        <v>109.983</v>
      </c>
      <c r="M367" s="61">
        <f t="shared" si="820"/>
        <v>11.48299999999999</v>
      </c>
      <c r="N367" s="61">
        <f t="shared" si="820"/>
        <v>124.15600000000001</v>
      </c>
      <c r="O367" s="61">
        <f t="shared" si="820"/>
        <v>334.33799999999997</v>
      </c>
      <c r="P367" s="1124">
        <f t="shared" si="820"/>
        <v>579.95999999999992</v>
      </c>
      <c r="Q367" s="61">
        <f t="shared" si="820"/>
        <v>121.95399999999999</v>
      </c>
      <c r="R367" s="61">
        <f t="shared" si="820"/>
        <v>73.754999999999995</v>
      </c>
      <c r="S367" s="60">
        <f t="shared" si="820"/>
        <v>176</v>
      </c>
      <c r="T367" s="60">
        <f t="shared" si="820"/>
        <v>412</v>
      </c>
      <c r="U367" s="1125">
        <f t="shared" si="820"/>
        <v>783</v>
      </c>
      <c r="V367" s="60">
        <f t="shared" si="820"/>
        <v>216</v>
      </c>
      <c r="W367" s="60">
        <f t="shared" si="820"/>
        <v>139</v>
      </c>
      <c r="X367" s="60">
        <f t="shared" si="820"/>
        <v>239</v>
      </c>
      <c r="Y367" s="60">
        <f t="shared" si="820"/>
        <v>495</v>
      </c>
      <c r="Z367" s="1125">
        <f t="shared" si="820"/>
        <v>1089</v>
      </c>
      <c r="AA367" s="60">
        <f t="shared" si="820"/>
        <v>263</v>
      </c>
      <c r="AB367" s="60">
        <f t="shared" si="820"/>
        <v>168</v>
      </c>
      <c r="AC367" s="60">
        <f t="shared" si="820"/>
        <v>394</v>
      </c>
      <c r="AD367" s="60">
        <f t="shared" si="820"/>
        <v>669</v>
      </c>
      <c r="AE367" s="1125">
        <f t="shared" si="820"/>
        <v>1496</v>
      </c>
      <c r="AF367" s="60">
        <f t="shared" si="820"/>
        <v>229</v>
      </c>
      <c r="AG367" s="60">
        <f t="shared" si="820"/>
        <v>650</v>
      </c>
      <c r="AH367" s="60">
        <f t="shared" si="820"/>
        <v>1088</v>
      </c>
      <c r="AI367" s="60">
        <f t="shared" si="820"/>
        <v>942</v>
      </c>
      <c r="AJ367" s="1125">
        <f t="shared" si="820"/>
        <v>2909</v>
      </c>
      <c r="AK367" s="60">
        <f t="shared" si="820"/>
        <v>1327</v>
      </c>
      <c r="AL367" s="60">
        <f t="shared" si="820"/>
        <v>785</v>
      </c>
      <c r="AM367" s="60">
        <f t="shared" si="820"/>
        <v>337</v>
      </c>
      <c r="AN367" s="60">
        <f t="shared" si="820"/>
        <v>695</v>
      </c>
      <c r="AO367" s="1125">
        <f t="shared" si="820"/>
        <v>3143</v>
      </c>
      <c r="AP367" s="60">
        <f t="shared" si="820"/>
        <v>592</v>
      </c>
      <c r="AQ367" s="60">
        <f t="shared" si="820"/>
        <v>823</v>
      </c>
      <c r="AR367" s="60">
        <f t="shared" si="820"/>
        <v>1536</v>
      </c>
      <c r="AS367" s="60">
        <f t="shared" si="820"/>
        <v>1321</v>
      </c>
      <c r="AT367" s="1125">
        <f t="shared" si="820"/>
        <v>4272</v>
      </c>
      <c r="AU367" s="60">
        <f t="shared" si="820"/>
        <v>754</v>
      </c>
      <c r="AV367" s="60">
        <f t="shared" si="820"/>
        <v>1349</v>
      </c>
      <c r="AW367" s="60">
        <f t="shared" si="820"/>
        <v>806</v>
      </c>
      <c r="AX367" s="60">
        <f t="shared" si="820"/>
        <v>1767</v>
      </c>
      <c r="AY367" s="1125">
        <f t="shared" si="820"/>
        <v>4677</v>
      </c>
      <c r="AZ367" s="60">
        <f t="shared" si="820"/>
        <v>1557</v>
      </c>
      <c r="BA367" s="60">
        <f t="shared" si="820"/>
        <v>2478</v>
      </c>
      <c r="BB367" s="60">
        <f t="shared" si="820"/>
        <v>1276</v>
      </c>
      <c r="BC367" s="60">
        <f t="shared" si="820"/>
        <v>2739</v>
      </c>
      <c r="BD367" s="1125">
        <f t="shared" si="820"/>
        <v>8049</v>
      </c>
      <c r="BE367" s="60">
        <f t="shared" si="820"/>
        <v>1348</v>
      </c>
      <c r="BF367" s="60">
        <f t="shared" si="820"/>
        <v>824</v>
      </c>
      <c r="BG367" s="60">
        <f t="shared" si="820"/>
        <v>-156</v>
      </c>
      <c r="BH367" s="60">
        <f t="shared" si="820"/>
        <v>1736</v>
      </c>
      <c r="BI367" s="1125">
        <f t="shared" si="820"/>
        <v>3750</v>
      </c>
      <c r="BJ367" s="60">
        <f t="shared" si="820"/>
        <v>2643</v>
      </c>
      <c r="BK367" s="60">
        <f t="shared" si="820"/>
        <v>6048</v>
      </c>
      <c r="BL367" s="60">
        <f t="shared" si="820"/>
        <v>7042</v>
      </c>
      <c r="BM367" s="60">
        <f t="shared" si="820"/>
        <v>11217</v>
      </c>
      <c r="BN367" s="1125">
        <f t="shared" si="820"/>
        <v>26947</v>
      </c>
      <c r="BO367" s="60">
        <f t="shared" ref="BO367:BS367" si="821">SUM(BO364:BO366)</f>
        <v>14936</v>
      </c>
      <c r="BP367" s="60">
        <f t="shared" si="821"/>
        <v>13483</v>
      </c>
      <c r="BQ367" s="60">
        <f t="shared" si="821"/>
        <v>16787</v>
      </c>
      <c r="BR367" s="60">
        <f t="shared" si="821"/>
        <v>15519</v>
      </c>
      <c r="BS367" s="1125">
        <f t="shared" si="821"/>
        <v>60724</v>
      </c>
      <c r="BT367" s="60">
        <f t="shared" ref="BT367:BY367" si="822">SUM(BT364:BT366)</f>
        <v>26135</v>
      </c>
      <c r="BU367" s="60">
        <f t="shared" si="822"/>
        <v>13450</v>
      </c>
      <c r="BV367" s="60">
        <f t="shared" si="822"/>
        <v>22089</v>
      </c>
      <c r="BW367" s="60">
        <f t="shared" si="822"/>
        <v>34902</v>
      </c>
      <c r="BX367" s="1125">
        <f t="shared" si="822"/>
        <v>96575</v>
      </c>
      <c r="BY367" s="895">
        <f t="shared" si="822"/>
        <v>48554</v>
      </c>
      <c r="BZ367" s="61"/>
      <c r="CA367" s="61"/>
      <c r="CB367" s="61"/>
      <c r="CC367" s="1124"/>
      <c r="CD367" s="61"/>
      <c r="CE367" s="61"/>
      <c r="CF367" s="61"/>
      <c r="CG367" s="61"/>
      <c r="CH367" s="1124"/>
      <c r="CI367" s="1124"/>
      <c r="CJ367" s="1124"/>
      <c r="CK367" s="1124"/>
      <c r="CL367" s="27"/>
    </row>
    <row r="368" spans="1:90" collapsed="1" x14ac:dyDescent="0.3">
      <c r="A368" s="600"/>
      <c r="B368" s="279"/>
      <c r="C368" s="1127"/>
      <c r="D368" s="1127"/>
      <c r="E368" s="1127"/>
      <c r="F368" s="1127"/>
      <c r="G368" s="63"/>
      <c r="H368" s="63"/>
      <c r="I368" s="63"/>
      <c r="J368" s="63"/>
      <c r="K368" s="1127"/>
      <c r="L368" s="63"/>
      <c r="M368" s="63"/>
      <c r="N368" s="63"/>
      <c r="O368" s="63"/>
      <c r="P368" s="1127"/>
      <c r="Q368" s="63"/>
      <c r="R368" s="63"/>
      <c r="S368" s="63"/>
      <c r="T368" s="63"/>
      <c r="U368" s="1127"/>
      <c r="V368" s="63"/>
      <c r="W368" s="63"/>
      <c r="X368" s="63"/>
      <c r="Y368" s="63"/>
      <c r="Z368" s="1127"/>
      <c r="AA368" s="63"/>
      <c r="AB368" s="63"/>
      <c r="AC368" s="63"/>
      <c r="AD368" s="63"/>
      <c r="AE368" s="1127"/>
      <c r="AF368" s="63"/>
      <c r="AG368" s="63"/>
      <c r="AH368" s="63"/>
      <c r="AI368" s="63"/>
      <c r="AJ368" s="1127"/>
      <c r="AK368" s="63"/>
      <c r="AL368" s="63"/>
      <c r="AM368" s="63"/>
      <c r="AN368" s="63"/>
      <c r="AO368" s="1127"/>
      <c r="AP368" s="63"/>
      <c r="AQ368" s="63"/>
      <c r="AR368" s="63"/>
      <c r="AS368" s="63"/>
      <c r="AT368" s="1127"/>
      <c r="AU368" s="63"/>
      <c r="AV368" s="63"/>
      <c r="AW368" s="63"/>
      <c r="AX368" s="63"/>
      <c r="AY368" s="1127"/>
      <c r="AZ368" s="63"/>
      <c r="BA368" s="63"/>
      <c r="BB368" s="63"/>
      <c r="BC368" s="63"/>
      <c r="BD368" s="1127"/>
      <c r="BE368" s="63"/>
      <c r="BF368" s="63"/>
      <c r="BG368" s="63"/>
      <c r="BH368" s="63"/>
      <c r="BI368" s="1127"/>
      <c r="BJ368" s="63"/>
      <c r="BK368" s="63"/>
      <c r="BL368" s="63"/>
      <c r="BM368" s="63"/>
      <c r="BN368" s="1127"/>
      <c r="BO368" s="63"/>
      <c r="BP368" s="63"/>
      <c r="BQ368" s="63"/>
      <c r="BR368" s="63"/>
      <c r="BS368" s="1127"/>
      <c r="BT368" s="63"/>
      <c r="BU368" s="63"/>
      <c r="BV368" s="63"/>
      <c r="BW368" s="63"/>
      <c r="BX368" s="1127"/>
      <c r="BY368" s="587"/>
      <c r="BZ368" s="63"/>
      <c r="CA368" s="63"/>
      <c r="CB368" s="63"/>
      <c r="CC368" s="1127"/>
      <c r="CD368" s="63"/>
      <c r="CE368" s="63"/>
      <c r="CF368" s="63"/>
      <c r="CG368" s="63"/>
      <c r="CH368" s="1127"/>
      <c r="CI368" s="1127"/>
      <c r="CJ368" s="1127"/>
      <c r="CK368" s="1127"/>
      <c r="CL368" s="155"/>
    </row>
    <row r="369" spans="1:90" x14ac:dyDescent="0.3">
      <c r="A369" s="45" t="s">
        <v>85</v>
      </c>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c r="AY369" s="45"/>
      <c r="AZ369" s="45"/>
      <c r="BA369" s="45"/>
      <c r="BB369" s="45"/>
      <c r="BC369" s="45"/>
      <c r="BD369" s="45"/>
      <c r="BE369" s="45"/>
      <c r="BF369" s="45"/>
      <c r="BG369" s="45"/>
      <c r="BH369" s="45"/>
      <c r="BI369" s="45"/>
      <c r="BJ369" s="45"/>
      <c r="BK369" s="45"/>
      <c r="BL369" s="45"/>
      <c r="BM369" s="45"/>
      <c r="BN369" s="45"/>
      <c r="BO369" s="45"/>
      <c r="BP369" s="45"/>
      <c r="BQ369" s="45"/>
      <c r="BR369" s="45"/>
      <c r="BS369" s="45"/>
      <c r="BT369" s="1021" t="s">
        <v>673</v>
      </c>
      <c r="BU369" s="1021" t="s">
        <v>673</v>
      </c>
      <c r="BV369" s="1021" t="s">
        <v>673</v>
      </c>
      <c r="BW369" s="1021" t="s">
        <v>673</v>
      </c>
      <c r="BX369" s="1021" t="s">
        <v>673</v>
      </c>
      <c r="BY369" s="881"/>
      <c r="BZ369" s="45"/>
      <c r="CA369" s="45"/>
      <c r="CB369" s="45"/>
      <c r="CC369" s="45"/>
      <c r="CD369" s="45"/>
      <c r="CE369" s="45"/>
      <c r="CF369" s="45"/>
      <c r="CG369" s="45"/>
      <c r="CH369" s="45"/>
      <c r="CI369" s="45"/>
      <c r="CJ369" s="45"/>
      <c r="CK369" s="45"/>
      <c r="CL369" s="155"/>
    </row>
    <row r="370" spans="1:90" x14ac:dyDescent="0.3">
      <c r="A370" s="62" t="s">
        <v>86</v>
      </c>
      <c r="B370" s="279"/>
      <c r="C370" s="1134">
        <f t="shared" ref="C370:AH370" si="823">C300</f>
        <v>3424.8589999999999</v>
      </c>
      <c r="D370" s="1134">
        <f t="shared" si="823"/>
        <v>3326.4450000000002</v>
      </c>
      <c r="E370" s="1134">
        <f t="shared" si="823"/>
        <v>3543.3090000000002</v>
      </c>
      <c r="F370" s="1134">
        <f t="shared" si="823"/>
        <v>3997.93</v>
      </c>
      <c r="G370" s="28">
        <f t="shared" si="823"/>
        <v>924.87699999999995</v>
      </c>
      <c r="H370" s="28">
        <f t="shared" si="823"/>
        <v>1044.27</v>
      </c>
      <c r="I370" s="28">
        <f t="shared" si="823"/>
        <v>1204.1099999999999</v>
      </c>
      <c r="J370" s="28">
        <f t="shared" si="823"/>
        <v>1106.9019999999998</v>
      </c>
      <c r="K370" s="1134">
        <f t="shared" si="823"/>
        <v>4280.1589999999997</v>
      </c>
      <c r="L370" s="28">
        <f t="shared" si="823"/>
        <v>954.73900000000003</v>
      </c>
      <c r="M370" s="28">
        <f t="shared" si="823"/>
        <v>977.23800000000006</v>
      </c>
      <c r="N370" s="28">
        <f t="shared" si="823"/>
        <v>1053.9670000000001</v>
      </c>
      <c r="O370" s="28">
        <f t="shared" si="823"/>
        <v>1144.2180000000003</v>
      </c>
      <c r="P370" s="1134">
        <f t="shared" si="823"/>
        <v>4130.1620000000003</v>
      </c>
      <c r="Q370" s="28">
        <f t="shared" si="823"/>
        <v>1103</v>
      </c>
      <c r="R370" s="28">
        <f t="shared" si="823"/>
        <v>1103</v>
      </c>
      <c r="S370" s="28">
        <f t="shared" si="823"/>
        <v>1225</v>
      </c>
      <c r="T370" s="28">
        <f t="shared" si="823"/>
        <v>1251</v>
      </c>
      <c r="U370" s="1134">
        <f t="shared" si="823"/>
        <v>4682</v>
      </c>
      <c r="V370" s="28">
        <f t="shared" si="823"/>
        <v>1151</v>
      </c>
      <c r="W370" s="28">
        <f t="shared" si="823"/>
        <v>1153</v>
      </c>
      <c r="X370" s="28">
        <f t="shared" si="823"/>
        <v>1305</v>
      </c>
      <c r="Y370" s="28">
        <f t="shared" si="823"/>
        <v>1401</v>
      </c>
      <c r="Z370" s="1134">
        <f t="shared" si="823"/>
        <v>5010</v>
      </c>
      <c r="AA370" s="28">
        <f t="shared" si="823"/>
        <v>1305</v>
      </c>
      <c r="AB370" s="28">
        <f t="shared" si="823"/>
        <v>1428</v>
      </c>
      <c r="AC370" s="28">
        <f t="shared" si="823"/>
        <v>2004</v>
      </c>
      <c r="AD370" s="28">
        <f t="shared" si="823"/>
        <v>2173</v>
      </c>
      <c r="AE370" s="1134">
        <f t="shared" si="823"/>
        <v>6910</v>
      </c>
      <c r="AF370" s="28">
        <f t="shared" si="823"/>
        <v>1937</v>
      </c>
      <c r="AG370" s="28">
        <f t="shared" si="823"/>
        <v>2230</v>
      </c>
      <c r="AH370" s="28">
        <f t="shared" si="823"/>
        <v>2636</v>
      </c>
      <c r="AI370" s="28">
        <f t="shared" ref="AI370:BJ370" si="824">AI300</f>
        <v>2911</v>
      </c>
      <c r="AJ370" s="1134">
        <f t="shared" si="824"/>
        <v>9714</v>
      </c>
      <c r="AK370" s="28">
        <f t="shared" si="824"/>
        <v>3207</v>
      </c>
      <c r="AL370" s="28">
        <f t="shared" si="824"/>
        <v>3123</v>
      </c>
      <c r="AM370" s="28">
        <f t="shared" si="824"/>
        <v>3181</v>
      </c>
      <c r="AN370" s="28">
        <f t="shared" si="824"/>
        <v>2205</v>
      </c>
      <c r="AO370" s="1134">
        <f t="shared" si="824"/>
        <v>11716</v>
      </c>
      <c r="AP370" s="28">
        <f t="shared" si="824"/>
        <v>2220</v>
      </c>
      <c r="AQ370" s="28">
        <f t="shared" si="824"/>
        <v>2579</v>
      </c>
      <c r="AR370" s="28">
        <f t="shared" si="824"/>
        <v>3014</v>
      </c>
      <c r="AS370" s="28">
        <f t="shared" si="824"/>
        <v>3105</v>
      </c>
      <c r="AT370" s="1134">
        <f t="shared" si="824"/>
        <v>10918</v>
      </c>
      <c r="AU370" s="28">
        <f t="shared" si="824"/>
        <v>3080</v>
      </c>
      <c r="AV370" s="28">
        <f t="shared" si="824"/>
        <v>3866</v>
      </c>
      <c r="AW370" s="28">
        <f t="shared" si="824"/>
        <v>4726</v>
      </c>
      <c r="AX370" s="28">
        <f t="shared" si="824"/>
        <v>5003</v>
      </c>
      <c r="AY370" s="1134">
        <f t="shared" si="824"/>
        <v>16675</v>
      </c>
      <c r="AZ370" s="28">
        <f t="shared" si="824"/>
        <v>5661</v>
      </c>
      <c r="BA370" s="28">
        <f t="shared" si="824"/>
        <v>6507</v>
      </c>
      <c r="BB370" s="28">
        <f t="shared" si="824"/>
        <v>7103</v>
      </c>
      <c r="BC370" s="28">
        <f t="shared" si="824"/>
        <v>7643</v>
      </c>
      <c r="BD370" s="1134">
        <f t="shared" si="824"/>
        <v>26914</v>
      </c>
      <c r="BE370" s="28">
        <f t="shared" si="824"/>
        <v>8288</v>
      </c>
      <c r="BF370" s="28">
        <f t="shared" si="824"/>
        <v>6704</v>
      </c>
      <c r="BG370" s="28">
        <f t="shared" si="824"/>
        <v>5931</v>
      </c>
      <c r="BH370" s="28">
        <f t="shared" si="824"/>
        <v>6051</v>
      </c>
      <c r="BI370" s="1134">
        <f t="shared" si="824"/>
        <v>26974</v>
      </c>
      <c r="BJ370" s="28">
        <f t="shared" si="824"/>
        <v>7192</v>
      </c>
      <c r="BK370" s="28">
        <f t="shared" ref="BK370" si="825">BK300</f>
        <v>13507</v>
      </c>
      <c r="BL370" s="28">
        <f t="shared" ref="BL370:BQ370" si="826">BL300</f>
        <v>18120</v>
      </c>
      <c r="BM370" s="28">
        <f t="shared" si="826"/>
        <v>22103</v>
      </c>
      <c r="BN370" s="1134">
        <f t="shared" si="826"/>
        <v>60922</v>
      </c>
      <c r="BO370" s="28">
        <f t="shared" si="826"/>
        <v>26044</v>
      </c>
      <c r="BP370" s="28">
        <f t="shared" si="826"/>
        <v>30040</v>
      </c>
      <c r="BQ370" s="28">
        <f t="shared" si="826"/>
        <v>35082</v>
      </c>
      <c r="BR370" s="28">
        <f t="shared" ref="BR370:BX370" si="827">BR300</f>
        <v>39331</v>
      </c>
      <c r="BS370" s="1134">
        <f t="shared" si="827"/>
        <v>130497</v>
      </c>
      <c r="BT370" s="28">
        <f t="shared" si="827"/>
        <v>44062</v>
      </c>
      <c r="BU370" s="28">
        <f t="shared" si="827"/>
        <v>46743</v>
      </c>
      <c r="BV370" s="28">
        <f t="shared" si="827"/>
        <v>57006</v>
      </c>
      <c r="BW370" s="28">
        <f t="shared" si="827"/>
        <v>68127</v>
      </c>
      <c r="BX370" s="1134">
        <f t="shared" si="827"/>
        <v>215938</v>
      </c>
      <c r="BY370" s="505">
        <f>BY300</f>
        <v>81615</v>
      </c>
      <c r="BZ370" s="63">
        <f>+BZ34</f>
        <v>90933.489999999991</v>
      </c>
      <c r="CA370" s="63">
        <f>+CA34</f>
        <v>91535.799999999988</v>
      </c>
      <c r="CB370" s="63">
        <f>+CB34</f>
        <v>94000.95</v>
      </c>
      <c r="CC370" s="1127">
        <f>SUM(BY370,BZ370,CA370,CB370)</f>
        <v>358085.24</v>
      </c>
      <c r="CD370" s="63">
        <f>+CD34</f>
        <v>105523.55</v>
      </c>
      <c r="CE370" s="63">
        <f>+CE34</f>
        <v>117668.7395</v>
      </c>
      <c r="CF370" s="63">
        <f>+CF34</f>
        <v>114195.91999999998</v>
      </c>
      <c r="CG370" s="63">
        <f>+CG34</f>
        <v>116937.35249999998</v>
      </c>
      <c r="CH370" s="1127">
        <f>SUM(CD370,CE370,CF370,CG370)</f>
        <v>454325.56199999998</v>
      </c>
      <c r="CI370" s="1127">
        <f>+CI34</f>
        <v>541906.80114999996</v>
      </c>
      <c r="CJ370" s="1127">
        <f>CJ34</f>
        <v>636560.21689699986</v>
      </c>
      <c r="CK370" s="1127">
        <f>CK34</f>
        <v>747962.26663246006</v>
      </c>
      <c r="CL370" s="155"/>
    </row>
    <row r="371" spans="1:90" x14ac:dyDescent="0.3">
      <c r="A371" s="75" t="str">
        <f>CONCATENATE("Consensus Estimates - ",IFERROR(LEFT(A370,FIND("(",A370)-1),A370))</f>
        <v>Consensus Estimates - Net Revenue</v>
      </c>
      <c r="B371" s="102"/>
      <c r="C371" s="1119"/>
      <c r="D371" s="1119"/>
      <c r="E371" s="1119"/>
      <c r="F371" s="1119"/>
      <c r="G371" s="76"/>
      <c r="H371" s="76"/>
      <c r="I371" s="76"/>
      <c r="J371" s="76"/>
      <c r="K371" s="1119"/>
      <c r="L371" s="76"/>
      <c r="M371" s="76"/>
      <c r="N371" s="76"/>
      <c r="O371" s="76"/>
      <c r="P371" s="1119"/>
      <c r="Q371" s="76"/>
      <c r="R371" s="76"/>
      <c r="S371" s="76"/>
      <c r="T371" s="76"/>
      <c r="U371" s="1119"/>
      <c r="V371" s="76"/>
      <c r="W371" s="77"/>
      <c r="X371" s="77"/>
      <c r="Y371" s="77"/>
      <c r="Z371" s="1119"/>
      <c r="AA371" s="76"/>
      <c r="AB371" s="77"/>
      <c r="AC371" s="77"/>
      <c r="AD371" s="77"/>
      <c r="AE371" s="1119"/>
      <c r="AF371" s="76"/>
      <c r="AG371" s="76"/>
      <c r="AH371" s="76"/>
      <c r="AI371" s="77"/>
      <c r="AJ371" s="1119"/>
      <c r="AK371" s="76"/>
      <c r="AL371" s="76"/>
      <c r="AM371" s="76"/>
      <c r="AN371" s="77"/>
      <c r="AO371" s="1119"/>
      <c r="AP371" s="76"/>
      <c r="AQ371" s="76"/>
      <c r="AR371" s="76"/>
      <c r="AS371" s="77"/>
      <c r="AT371" s="1119"/>
      <c r="AU371" s="76"/>
      <c r="AV371" s="76"/>
      <c r="AW371" s="76"/>
      <c r="AX371" s="77"/>
      <c r="AY371" s="1119"/>
      <c r="AZ371" s="76"/>
      <c r="BA371" s="76"/>
      <c r="BB371" s="76"/>
      <c r="BC371" s="77"/>
      <c r="BD371" s="1119"/>
      <c r="BE371" s="76"/>
      <c r="BF371" s="76"/>
      <c r="BG371" s="76"/>
      <c r="BH371" s="77"/>
      <c r="BI371" s="1119"/>
      <c r="BJ371" s="76"/>
      <c r="BK371" s="76"/>
      <c r="BL371" s="76"/>
      <c r="BM371" s="77"/>
      <c r="BN371" s="1119"/>
      <c r="BO371" s="76"/>
      <c r="BP371" s="76"/>
      <c r="BQ371" s="76"/>
      <c r="BR371" s="77"/>
      <c r="BS371" s="1119"/>
      <c r="BT371" s="76"/>
      <c r="BU371" s="76"/>
      <c r="BV371" s="76"/>
      <c r="BW371" s="77"/>
      <c r="BX371" s="1119"/>
      <c r="BY371" s="893"/>
      <c r="BZ371" s="867" t="str">
        <f t="shared" ref="BZ371:CH371" ca="1" si="828">IFERROR(VLOOKUP($A371,tb_ConsensusEstimate,MATCH(BZ$5,OFFSET(tb_ConsensusEstimate,0,0,1,COLUMNS(tb_ConsensusEstimate)),0),FALSE),"-")</f>
        <v>N/A</v>
      </c>
      <c r="CA371" s="867" t="str">
        <f t="shared" ca="1" si="828"/>
        <v>N/A</v>
      </c>
      <c r="CB371" s="867" t="str">
        <f t="shared" ca="1" si="828"/>
        <v>N/A</v>
      </c>
      <c r="CC371" s="1126" t="str">
        <f t="shared" ca="1" si="828"/>
        <v>N/A</v>
      </c>
      <c r="CD371" s="867" t="str">
        <f t="shared" ca="1" si="828"/>
        <v>N/A</v>
      </c>
      <c r="CE371" s="867" t="str">
        <f t="shared" ca="1" si="828"/>
        <v>N/A</v>
      </c>
      <c r="CF371" s="867" t="str">
        <f t="shared" ca="1" si="828"/>
        <v>N/A</v>
      </c>
      <c r="CG371" s="867" t="str">
        <f t="shared" ca="1" si="828"/>
        <v>N/A</v>
      </c>
      <c r="CH371" s="1126" t="str">
        <f t="shared" ca="1" si="828"/>
        <v>N/A</v>
      </c>
      <c r="CI371" s="1126" t="str">
        <f ca="1">IFERROR(VLOOKUP($A371,tb_ConsensusEstimate,MATCH(CI5,OFFSET(tb_ConsensusEstimate,0,0,1,COLUMNS(tb_ConsensusEstimate)),0),FALSE),"-")</f>
        <v>N/A</v>
      </c>
      <c r="CJ371" s="1126" t="str">
        <f ca="1">IFERROR(VLOOKUP($A371,tb_ConsensusEstimate,MATCH(CJ5,OFFSET(tb_ConsensusEstimate,0,0,1,COLUMNS(tb_ConsensusEstimate)),0),FALSE),"-")</f>
        <v>N/A</v>
      </c>
      <c r="CK371" s="1126" t="str">
        <f ca="1">IFERROR(VLOOKUP($A371,tb_ConsensusEstimate,MATCH(CK5,OFFSET(tb_ConsensusEstimate,0,0,1,COLUMNS(tb_ConsensusEstimate)),0),FALSE),"-")</f>
        <v>N/A</v>
      </c>
      <c r="CL371" s="155"/>
    </row>
    <row r="372" spans="1:90" x14ac:dyDescent="0.3">
      <c r="A372" s="75" t="str">
        <f>CONCATENATE("Guidance - ",IFERROR(LEFT(A370,FIND("(",A370)-1),A370))</f>
        <v>Guidance - Net Revenue</v>
      </c>
      <c r="B372" s="102"/>
      <c r="C372" s="1119"/>
      <c r="D372" s="1119"/>
      <c r="E372" s="1119"/>
      <c r="F372" s="1119"/>
      <c r="G372" s="76"/>
      <c r="H372" s="76"/>
      <c r="I372" s="76"/>
      <c r="J372" s="76"/>
      <c r="K372" s="1119"/>
      <c r="L372" s="76"/>
      <c r="M372" s="76"/>
      <c r="N372" s="76"/>
      <c r="O372" s="76"/>
      <c r="P372" s="1119"/>
      <c r="Q372" s="76"/>
      <c r="R372" s="76"/>
      <c r="S372" s="76"/>
      <c r="T372" s="76"/>
      <c r="U372" s="1119"/>
      <c r="V372" s="76"/>
      <c r="W372" s="77"/>
      <c r="X372" s="77"/>
      <c r="Y372" s="77"/>
      <c r="Z372" s="1119"/>
      <c r="AA372" s="76"/>
      <c r="AB372" s="77"/>
      <c r="AC372" s="77"/>
      <c r="AD372" s="77"/>
      <c r="AE372" s="1119"/>
      <c r="AF372" s="76"/>
      <c r="AG372" s="76"/>
      <c r="AH372" s="76" t="str">
        <f>+AH580</f>
        <v/>
      </c>
      <c r="AI372" s="77">
        <f t="shared" ref="AI372:BL372" si="829">+AI580</f>
        <v>2650</v>
      </c>
      <c r="AJ372" s="1119" t="str">
        <f t="shared" si="829"/>
        <v/>
      </c>
      <c r="AK372" s="76">
        <f t="shared" si="829"/>
        <v>2900</v>
      </c>
      <c r="AL372" s="76">
        <f t="shared" si="829"/>
        <v>3100</v>
      </c>
      <c r="AM372" s="76">
        <f t="shared" si="829"/>
        <v>3250</v>
      </c>
      <c r="AN372" s="77">
        <f t="shared" si="829"/>
        <v>2700</v>
      </c>
      <c r="AO372" s="1119" t="str">
        <f t="shared" si="829"/>
        <v/>
      </c>
      <c r="AP372" s="76">
        <f t="shared" si="829"/>
        <v>2200</v>
      </c>
      <c r="AQ372" s="76">
        <f t="shared" si="829"/>
        <v>2550</v>
      </c>
      <c r="AR372" s="76">
        <f t="shared" si="829"/>
        <v>2900</v>
      </c>
      <c r="AS372" s="77">
        <f t="shared" si="829"/>
        <v>2950</v>
      </c>
      <c r="AT372" s="1119" t="str">
        <f t="shared" si="829"/>
        <v/>
      </c>
      <c r="AU372" s="76">
        <f t="shared" si="829"/>
        <v>3000</v>
      </c>
      <c r="AV372" s="76">
        <f t="shared" si="829"/>
        <v>3650</v>
      </c>
      <c r="AW372" s="76">
        <f t="shared" si="829"/>
        <v>4400</v>
      </c>
      <c r="AX372" s="77">
        <f t="shared" si="829"/>
        <v>4800</v>
      </c>
      <c r="AY372" s="1119" t="str">
        <f t="shared" si="829"/>
        <v/>
      </c>
      <c r="AZ372" s="76">
        <f t="shared" si="829"/>
        <v>5300</v>
      </c>
      <c r="BA372" s="76">
        <f t="shared" si="829"/>
        <v>6300</v>
      </c>
      <c r="BB372" s="76">
        <f t="shared" si="829"/>
        <v>6800</v>
      </c>
      <c r="BC372" s="77">
        <f t="shared" si="829"/>
        <v>7400</v>
      </c>
      <c r="BD372" s="1119" t="str">
        <f t="shared" si="829"/>
        <v/>
      </c>
      <c r="BE372" s="76">
        <f t="shared" si="829"/>
        <v>8100</v>
      </c>
      <c r="BF372" s="76">
        <f t="shared" si="829"/>
        <v>8100</v>
      </c>
      <c r="BG372" s="76">
        <f t="shared" si="829"/>
        <v>5900</v>
      </c>
      <c r="BH372" s="77">
        <f t="shared" si="829"/>
        <v>6000</v>
      </c>
      <c r="BI372" s="1119" t="str">
        <f t="shared" si="829"/>
        <v/>
      </c>
      <c r="BJ372" s="76">
        <f t="shared" si="829"/>
        <v>6500</v>
      </c>
      <c r="BK372" s="76">
        <f t="shared" si="829"/>
        <v>11000</v>
      </c>
      <c r="BL372" s="76">
        <f t="shared" si="829"/>
        <v>16000</v>
      </c>
      <c r="BM372" s="77">
        <f t="shared" ref="BM372:BN372" si="830">+BM580</f>
        <v>20000</v>
      </c>
      <c r="BN372" s="1119" t="str">
        <f t="shared" si="830"/>
        <v/>
      </c>
      <c r="BO372" s="76">
        <f t="shared" ref="BO372:BS372" si="831">+BO580</f>
        <v>24000</v>
      </c>
      <c r="BP372" s="76">
        <f t="shared" si="831"/>
        <v>28000</v>
      </c>
      <c r="BQ372" s="76">
        <f t="shared" si="831"/>
        <v>32500</v>
      </c>
      <c r="BR372" s="77">
        <f t="shared" si="831"/>
        <v>37500</v>
      </c>
      <c r="BS372" s="1119" t="str">
        <f t="shared" si="831"/>
        <v/>
      </c>
      <c r="BT372" s="76">
        <f t="shared" ref="BT372:CK372" si="832">+BT580</f>
        <v>43000</v>
      </c>
      <c r="BU372" s="76">
        <f t="shared" si="832"/>
        <v>45000</v>
      </c>
      <c r="BV372" s="76">
        <f t="shared" si="832"/>
        <v>54000</v>
      </c>
      <c r="BW372" s="77">
        <f t="shared" si="832"/>
        <v>65000</v>
      </c>
      <c r="BX372" s="1119" t="str">
        <f t="shared" si="832"/>
        <v/>
      </c>
      <c r="BY372" s="893">
        <f>+BY580</f>
        <v>78000</v>
      </c>
      <c r="BZ372" s="76">
        <f t="shared" si="832"/>
        <v>91000</v>
      </c>
      <c r="CA372" s="76" t="str">
        <f t="shared" si="832"/>
        <v/>
      </c>
      <c r="CB372" s="76" t="str">
        <f t="shared" si="832"/>
        <v/>
      </c>
      <c r="CC372" s="1126" t="str">
        <f t="shared" si="832"/>
        <v/>
      </c>
      <c r="CD372" s="76" t="str">
        <f t="shared" si="832"/>
        <v/>
      </c>
      <c r="CE372" s="76" t="str">
        <f t="shared" si="832"/>
        <v/>
      </c>
      <c r="CF372" s="76" t="str">
        <f t="shared" si="832"/>
        <v/>
      </c>
      <c r="CG372" s="76" t="str">
        <f t="shared" si="832"/>
        <v/>
      </c>
      <c r="CH372" s="1126" t="str">
        <f t="shared" si="832"/>
        <v/>
      </c>
      <c r="CI372" s="1126">
        <f t="shared" si="832"/>
        <v>0</v>
      </c>
      <c r="CJ372" s="1126">
        <f t="shared" si="832"/>
        <v>0</v>
      </c>
      <c r="CK372" s="1126">
        <f t="shared" si="832"/>
        <v>0</v>
      </c>
      <c r="CL372" s="155"/>
    </row>
    <row r="373" spans="1:90" ht="7.5" customHeight="1" x14ac:dyDescent="0.3">
      <c r="A373" s="111"/>
      <c r="B373" s="112"/>
      <c r="C373" s="1119"/>
      <c r="D373" s="1119"/>
      <c r="E373" s="1119"/>
      <c r="F373" s="1119"/>
      <c r="G373" s="76"/>
      <c r="H373" s="76"/>
      <c r="I373" s="76"/>
      <c r="J373" s="76"/>
      <c r="K373" s="1119"/>
      <c r="L373" s="76"/>
      <c r="M373" s="76"/>
      <c r="N373" s="76"/>
      <c r="O373" s="76"/>
      <c r="P373" s="1119"/>
      <c r="Q373" s="76"/>
      <c r="R373" s="76"/>
      <c r="S373" s="76"/>
      <c r="T373" s="76"/>
      <c r="U373" s="1119"/>
      <c r="V373" s="76"/>
      <c r="W373" s="76"/>
      <c r="X373" s="77"/>
      <c r="Y373" s="77"/>
      <c r="Z373" s="1126"/>
      <c r="AA373" s="76"/>
      <c r="AB373" s="76"/>
      <c r="AC373" s="77"/>
      <c r="AD373" s="77"/>
      <c r="AE373" s="1126"/>
      <c r="AF373" s="76"/>
      <c r="AG373" s="76"/>
      <c r="AH373" s="76"/>
      <c r="AI373" s="77"/>
      <c r="AJ373" s="1126"/>
      <c r="AK373" s="76"/>
      <c r="AL373" s="76"/>
      <c r="AM373" s="76"/>
      <c r="AN373" s="77"/>
      <c r="AO373" s="1126"/>
      <c r="AP373" s="76"/>
      <c r="AQ373" s="76"/>
      <c r="AR373" s="76"/>
      <c r="AS373" s="77"/>
      <c r="AT373" s="1126"/>
      <c r="AU373" s="76"/>
      <c r="AV373" s="76"/>
      <c r="AW373" s="76"/>
      <c r="AX373" s="77"/>
      <c r="AY373" s="1126"/>
      <c r="AZ373" s="76"/>
      <c r="BA373" s="76"/>
      <c r="BB373" s="76"/>
      <c r="BC373" s="77"/>
      <c r="BD373" s="1126"/>
      <c r="BE373" s="76"/>
      <c r="BF373" s="76"/>
      <c r="BG373" s="76"/>
      <c r="BH373" s="77"/>
      <c r="BI373" s="1126"/>
      <c r="BJ373" s="76"/>
      <c r="BK373" s="76"/>
      <c r="BL373" s="76"/>
      <c r="BM373" s="77"/>
      <c r="BN373" s="1126"/>
      <c r="BO373" s="76"/>
      <c r="BP373" s="76"/>
      <c r="BQ373" s="76"/>
      <c r="BR373" s="77"/>
      <c r="BS373" s="1126"/>
      <c r="BT373" s="76"/>
      <c r="BU373" s="76"/>
      <c r="BV373" s="76"/>
      <c r="BW373" s="77"/>
      <c r="BX373" s="1126"/>
      <c r="BY373" s="893"/>
      <c r="BZ373" s="76"/>
      <c r="CA373" s="76"/>
      <c r="CB373" s="76"/>
      <c r="CC373" s="1126"/>
      <c r="CD373" s="76"/>
      <c r="CE373" s="76"/>
      <c r="CF373" s="76"/>
      <c r="CG373" s="76"/>
      <c r="CH373" s="1126"/>
      <c r="CI373" s="1126"/>
      <c r="CJ373" s="1126"/>
      <c r="CK373" s="1126"/>
      <c r="CL373" s="155"/>
    </row>
    <row r="374" spans="1:90" hidden="1" outlineLevel="1" x14ac:dyDescent="0.3">
      <c r="A374" s="67" t="s">
        <v>87</v>
      </c>
      <c r="B374" s="102"/>
      <c r="C374" s="1114">
        <f t="shared" ref="C374:AH374" si="833">C301</f>
        <v>2250.59</v>
      </c>
      <c r="D374" s="1114">
        <f t="shared" si="833"/>
        <v>2149.5219999999999</v>
      </c>
      <c r="E374" s="1114">
        <f t="shared" si="833"/>
        <v>2134.2190000000001</v>
      </c>
      <c r="F374" s="1114">
        <f t="shared" si="833"/>
        <v>1941.413</v>
      </c>
      <c r="G374" s="27">
        <f t="shared" si="833"/>
        <v>461.51299999999998</v>
      </c>
      <c r="H374" s="27">
        <f t="shared" si="833"/>
        <v>503.55099999999999</v>
      </c>
      <c r="I374" s="27">
        <f t="shared" si="833"/>
        <v>567.452</v>
      </c>
      <c r="J374" s="27">
        <f t="shared" si="833"/>
        <v>521.29999999999995</v>
      </c>
      <c r="K374" s="1114">
        <f t="shared" si="833"/>
        <v>2053.8159999999998</v>
      </c>
      <c r="L374" s="27">
        <f t="shared" si="833"/>
        <v>436.17099999999999</v>
      </c>
      <c r="M374" s="27">
        <f t="shared" si="833"/>
        <v>431.7</v>
      </c>
      <c r="N374" s="27">
        <f t="shared" si="833"/>
        <v>469.55200000000002</v>
      </c>
      <c r="O374" s="27">
        <f t="shared" si="833"/>
        <v>524.97599999999977</v>
      </c>
      <c r="P374" s="1114">
        <f t="shared" si="833"/>
        <v>1862.3989999999999</v>
      </c>
      <c r="Q374" s="27">
        <f t="shared" si="833"/>
        <v>499</v>
      </c>
      <c r="R374" s="27">
        <f t="shared" si="833"/>
        <v>484</v>
      </c>
      <c r="S374" s="27">
        <f t="shared" si="833"/>
        <v>549</v>
      </c>
      <c r="T374" s="27">
        <f t="shared" si="833"/>
        <v>551</v>
      </c>
      <c r="U374" s="1114">
        <f t="shared" si="833"/>
        <v>2083</v>
      </c>
      <c r="V374" s="27">
        <f t="shared" si="833"/>
        <v>498</v>
      </c>
      <c r="W374" s="27">
        <f t="shared" si="833"/>
        <v>519</v>
      </c>
      <c r="X374" s="27">
        <f t="shared" si="833"/>
        <v>571</v>
      </c>
      <c r="Y374" s="27">
        <f t="shared" si="833"/>
        <v>610</v>
      </c>
      <c r="Z374" s="1114">
        <f t="shared" si="833"/>
        <v>2199</v>
      </c>
      <c r="AA374" s="27">
        <f t="shared" si="833"/>
        <v>554</v>
      </c>
      <c r="AB374" s="27">
        <f t="shared" si="833"/>
        <v>602</v>
      </c>
      <c r="AC374" s="27">
        <f t="shared" si="833"/>
        <v>821</v>
      </c>
      <c r="AD374" s="27">
        <f t="shared" si="833"/>
        <v>870</v>
      </c>
      <c r="AE374" s="1114">
        <f t="shared" si="833"/>
        <v>2847</v>
      </c>
      <c r="AF374" s="27">
        <f t="shared" si="833"/>
        <v>787</v>
      </c>
      <c r="AG374" s="27">
        <f t="shared" si="833"/>
        <v>928</v>
      </c>
      <c r="AH374" s="27">
        <f t="shared" si="833"/>
        <v>1067</v>
      </c>
      <c r="AI374" s="27">
        <f t="shared" ref="AI374:BJ374" si="834">AI301</f>
        <v>1110</v>
      </c>
      <c r="AJ374" s="1114">
        <f t="shared" si="834"/>
        <v>3892</v>
      </c>
      <c r="AK374" s="27">
        <f t="shared" si="834"/>
        <v>1139</v>
      </c>
      <c r="AL374" s="27">
        <f t="shared" si="834"/>
        <v>1148</v>
      </c>
      <c r="AM374" s="27">
        <f t="shared" si="834"/>
        <v>1260</v>
      </c>
      <c r="AN374" s="27">
        <f t="shared" si="834"/>
        <v>998</v>
      </c>
      <c r="AO374" s="1114">
        <f t="shared" si="834"/>
        <v>4545</v>
      </c>
      <c r="AP374" s="27">
        <f t="shared" si="834"/>
        <v>924</v>
      </c>
      <c r="AQ374" s="27">
        <f t="shared" si="834"/>
        <v>1038</v>
      </c>
      <c r="AR374" s="27">
        <f t="shared" si="834"/>
        <v>1098</v>
      </c>
      <c r="AS374" s="27">
        <f t="shared" si="834"/>
        <v>1090</v>
      </c>
      <c r="AT374" s="1114">
        <f t="shared" si="834"/>
        <v>4150</v>
      </c>
      <c r="AU374" s="27">
        <f t="shared" si="834"/>
        <v>1076</v>
      </c>
      <c r="AV374" s="27">
        <f t="shared" si="834"/>
        <v>1591</v>
      </c>
      <c r="AW374" s="27">
        <f t="shared" si="834"/>
        <v>1766</v>
      </c>
      <c r="AX374" s="27">
        <f t="shared" si="834"/>
        <v>1846</v>
      </c>
      <c r="AY374" s="1114">
        <f t="shared" si="834"/>
        <v>6279</v>
      </c>
      <c r="AZ374" s="27">
        <f t="shared" si="834"/>
        <v>2032</v>
      </c>
      <c r="BA374" s="27">
        <f t="shared" si="834"/>
        <v>2292</v>
      </c>
      <c r="BB374" s="27">
        <f t="shared" si="834"/>
        <v>2472</v>
      </c>
      <c r="BC374" s="27">
        <f t="shared" si="834"/>
        <v>2644</v>
      </c>
      <c r="BD374" s="1114">
        <f t="shared" si="834"/>
        <v>9439</v>
      </c>
      <c r="BE374" s="27">
        <f t="shared" si="834"/>
        <v>2857</v>
      </c>
      <c r="BF374" s="27">
        <f t="shared" si="834"/>
        <v>3789</v>
      </c>
      <c r="BG374" s="27">
        <f t="shared" si="834"/>
        <v>2754</v>
      </c>
      <c r="BH374" s="27">
        <f t="shared" si="834"/>
        <v>2218</v>
      </c>
      <c r="BI374" s="1114">
        <f t="shared" si="834"/>
        <v>11618</v>
      </c>
      <c r="BJ374" s="27">
        <f t="shared" si="834"/>
        <v>2544</v>
      </c>
      <c r="BK374" s="27">
        <f t="shared" ref="BK374" si="835">BK301</f>
        <v>4045</v>
      </c>
      <c r="BL374" s="27">
        <f t="shared" ref="BL374:BQ374" si="836">BL301</f>
        <v>4720</v>
      </c>
      <c r="BM374" s="27">
        <f t="shared" si="836"/>
        <v>5312</v>
      </c>
      <c r="BN374" s="1114">
        <f t="shared" si="836"/>
        <v>16621</v>
      </c>
      <c r="BO374" s="27">
        <f t="shared" si="836"/>
        <v>5638</v>
      </c>
      <c r="BP374" s="27">
        <f t="shared" si="836"/>
        <v>7466</v>
      </c>
      <c r="BQ374" s="27">
        <f t="shared" si="836"/>
        <v>8926</v>
      </c>
      <c r="BR374" s="27">
        <f t="shared" ref="BR374:BX374" si="837">BR301</f>
        <v>10608</v>
      </c>
      <c r="BS374" s="1114">
        <f t="shared" si="837"/>
        <v>32639</v>
      </c>
      <c r="BT374" s="27">
        <f t="shared" si="837"/>
        <v>17394</v>
      </c>
      <c r="BU374" s="27">
        <f t="shared" si="837"/>
        <v>12890</v>
      </c>
      <c r="BV374" s="27">
        <f t="shared" si="837"/>
        <v>15157</v>
      </c>
      <c r="BW374" s="27">
        <f t="shared" si="837"/>
        <v>17034</v>
      </c>
      <c r="BX374" s="1114">
        <f t="shared" si="837"/>
        <v>62475</v>
      </c>
      <c r="BY374" s="508">
        <f>BY301</f>
        <v>20458</v>
      </c>
      <c r="BZ374" s="68">
        <f>BZ370-BZ378-BZ377-BZ375-BZ376</f>
        <v>22867.417837161924</v>
      </c>
      <c r="CA374" s="68">
        <f>CA370-CA378-CA377-CA375-CA376</f>
        <v>23324.63403618566</v>
      </c>
      <c r="CB374" s="68">
        <f>CB370-CB378-CB377-CB375-CB376</f>
        <v>22497.277843060016</v>
      </c>
      <c r="CC374" s="1153">
        <f>SUM(BY374,BZ374,CA374,CB374)</f>
        <v>89147.329716407592</v>
      </c>
      <c r="CD374" s="68">
        <f>CD370-CD378-CD377-CD375-CD376</f>
        <v>26459.582480956324</v>
      </c>
      <c r="CE374" s="68">
        <f>CE370-CE378-CE377-CE375-CE376</f>
        <v>29590.640725640911</v>
      </c>
      <c r="CF374" s="68">
        <f>CF370-CF378-CF377-CF375-CF376</f>
        <v>29098.757452554462</v>
      </c>
      <c r="CG374" s="68">
        <f>CG370-CG378-CG377-CG375-CG376</f>
        <v>27986.654490453006</v>
      </c>
      <c r="CH374" s="1153">
        <f>SUM(CD374,CE374,CF374,CG374)</f>
        <v>113135.6351496047</v>
      </c>
      <c r="CI374" s="1153">
        <f>CI370-CI378-CI377-CI375-CI376</f>
        <v>135486.92259578354</v>
      </c>
      <c r="CJ374" s="1153">
        <f>CJ370-CJ378-CJ377-CJ375-CJ376</f>
        <v>159152.06203585956</v>
      </c>
      <c r="CK374" s="1153">
        <f>CK370-CK378-CK377-CK375-CK376</f>
        <v>187004.67591243281</v>
      </c>
      <c r="CL374" s="155"/>
    </row>
    <row r="375" spans="1:90" hidden="1" outlineLevel="1" x14ac:dyDescent="0.3">
      <c r="A375" s="99" t="s">
        <v>88</v>
      </c>
      <c r="B375" s="102"/>
      <c r="C375" s="1112">
        <f>-C126</f>
        <v>-11.939</v>
      </c>
      <c r="D375" s="1112">
        <f>-D126</f>
        <v>-12.05</v>
      </c>
      <c r="E375" s="1112">
        <f t="shared" ref="E375:AJ375" si="838">-E331</f>
        <v>-8.3079999999999998</v>
      </c>
      <c r="F375" s="1112">
        <f t="shared" si="838"/>
        <v>-11.321999999999999</v>
      </c>
      <c r="G375" s="68">
        <f t="shared" si="838"/>
        <v>-2.5259999999999998</v>
      </c>
      <c r="H375" s="68">
        <f t="shared" si="838"/>
        <v>-2.649</v>
      </c>
      <c r="I375" s="68">
        <f t="shared" si="838"/>
        <v>-2.4889999999999999</v>
      </c>
      <c r="J375" s="68">
        <f t="shared" si="838"/>
        <v>-2.8260000000000001</v>
      </c>
      <c r="K375" s="1112">
        <f t="shared" si="838"/>
        <v>-10.49</v>
      </c>
      <c r="L375" s="68">
        <f t="shared" si="838"/>
        <v>-2.653</v>
      </c>
      <c r="M375" s="68">
        <f t="shared" si="838"/>
        <v>-2.1680000000000001</v>
      </c>
      <c r="N375" s="68">
        <f t="shared" si="838"/>
        <v>-3.09</v>
      </c>
      <c r="O375" s="68">
        <f t="shared" si="838"/>
        <v>-2.7770000000000001</v>
      </c>
      <c r="P375" s="1112">
        <f t="shared" si="838"/>
        <v>-10.688000000000001</v>
      </c>
      <c r="Q375" s="68">
        <f t="shared" si="838"/>
        <v>-3</v>
      </c>
      <c r="R375" s="68">
        <f t="shared" si="838"/>
        <v>-3</v>
      </c>
      <c r="S375" s="68">
        <f t="shared" si="838"/>
        <v>-4</v>
      </c>
      <c r="T375" s="68">
        <f t="shared" si="838"/>
        <v>-4</v>
      </c>
      <c r="U375" s="1112">
        <f t="shared" si="838"/>
        <v>-12</v>
      </c>
      <c r="V375" s="68">
        <f t="shared" si="838"/>
        <v>-2</v>
      </c>
      <c r="W375" s="68">
        <f t="shared" si="838"/>
        <v>-3</v>
      </c>
      <c r="X375" s="68">
        <f t="shared" si="838"/>
        <v>-4</v>
      </c>
      <c r="Y375" s="68">
        <f t="shared" si="838"/>
        <v>-5</v>
      </c>
      <c r="Z375" s="1112">
        <f t="shared" si="838"/>
        <v>-15</v>
      </c>
      <c r="AA375" s="68">
        <f t="shared" si="838"/>
        <v>-4</v>
      </c>
      <c r="AB375" s="68">
        <f t="shared" si="838"/>
        <v>-4</v>
      </c>
      <c r="AC375" s="68">
        <f t="shared" si="838"/>
        <v>-3</v>
      </c>
      <c r="AD375" s="68">
        <f t="shared" si="838"/>
        <v>-4</v>
      </c>
      <c r="AE375" s="1112">
        <f t="shared" si="838"/>
        <v>-15</v>
      </c>
      <c r="AF375" s="68">
        <f t="shared" si="838"/>
        <v>-4</v>
      </c>
      <c r="AG375" s="68">
        <f t="shared" si="838"/>
        <v>-4</v>
      </c>
      <c r="AH375" s="68">
        <f t="shared" si="838"/>
        <v>-6</v>
      </c>
      <c r="AI375" s="68">
        <f t="shared" si="838"/>
        <v>-7</v>
      </c>
      <c r="AJ375" s="1112">
        <f t="shared" si="838"/>
        <v>-21</v>
      </c>
      <c r="AK375" s="68">
        <f t="shared" ref="AK375:BJ375" si="839">-AK331</f>
        <v>-8</v>
      </c>
      <c r="AL375" s="68">
        <f t="shared" si="839"/>
        <v>-8</v>
      </c>
      <c r="AM375" s="68">
        <f t="shared" si="839"/>
        <v>-5</v>
      </c>
      <c r="AN375" s="68">
        <f t="shared" si="839"/>
        <v>-6</v>
      </c>
      <c r="AO375" s="1112">
        <f t="shared" si="839"/>
        <v>-27</v>
      </c>
      <c r="AP375" s="68">
        <f t="shared" si="839"/>
        <v>-4</v>
      </c>
      <c r="AQ375" s="68">
        <f t="shared" si="839"/>
        <v>-8</v>
      </c>
      <c r="AR375" s="68">
        <f t="shared" si="839"/>
        <v>-15</v>
      </c>
      <c r="AS375" s="68">
        <f t="shared" si="839"/>
        <v>-12</v>
      </c>
      <c r="AT375" s="1112">
        <f t="shared" si="839"/>
        <v>-39</v>
      </c>
      <c r="AU375" s="68">
        <f t="shared" si="839"/>
        <v>-21</v>
      </c>
      <c r="AV375" s="68">
        <f t="shared" si="839"/>
        <v>-14</v>
      </c>
      <c r="AW375" s="68">
        <f t="shared" si="839"/>
        <v>-28</v>
      </c>
      <c r="AX375" s="68">
        <f t="shared" si="839"/>
        <v>-26</v>
      </c>
      <c r="AY375" s="1112">
        <f t="shared" si="839"/>
        <v>-88</v>
      </c>
      <c r="AZ375" s="68">
        <f t="shared" si="839"/>
        <v>-25</v>
      </c>
      <c r="BA375" s="68">
        <f t="shared" si="839"/>
        <v>-32</v>
      </c>
      <c r="BB375" s="68">
        <f t="shared" si="839"/>
        <v>-44</v>
      </c>
      <c r="BC375" s="68">
        <f t="shared" si="839"/>
        <v>-39</v>
      </c>
      <c r="BD375" s="1112">
        <f t="shared" si="839"/>
        <v>-141</v>
      </c>
      <c r="BE375" s="68">
        <f t="shared" si="839"/>
        <v>-38</v>
      </c>
      <c r="BF375" s="68">
        <f t="shared" si="839"/>
        <v>-38</v>
      </c>
      <c r="BG375" s="68">
        <f t="shared" si="839"/>
        <v>-32</v>
      </c>
      <c r="BH375" s="68">
        <f t="shared" si="839"/>
        <v>-30</v>
      </c>
      <c r="BI375" s="1112">
        <f t="shared" si="839"/>
        <v>-138</v>
      </c>
      <c r="BJ375" s="68">
        <f t="shared" si="839"/>
        <v>-27</v>
      </c>
      <c r="BK375" s="68">
        <f t="shared" ref="BK375" si="840">-BK331</f>
        <v>-31</v>
      </c>
      <c r="BL375" s="68">
        <f t="shared" ref="BL375:BQ375" si="841">-BL331</f>
        <v>-38</v>
      </c>
      <c r="BM375" s="68">
        <f t="shared" si="841"/>
        <v>-45</v>
      </c>
      <c r="BN375" s="1112">
        <f t="shared" si="841"/>
        <v>-141</v>
      </c>
      <c r="BO375" s="68">
        <f t="shared" si="841"/>
        <v>-36</v>
      </c>
      <c r="BP375" s="68">
        <f t="shared" si="841"/>
        <v>-40</v>
      </c>
      <c r="BQ375" s="68">
        <f t="shared" si="841"/>
        <v>-50</v>
      </c>
      <c r="BR375" s="68">
        <f t="shared" ref="BR375:BX375" si="842">-BR331</f>
        <v>-53</v>
      </c>
      <c r="BS375" s="1112">
        <f t="shared" si="842"/>
        <v>-178</v>
      </c>
      <c r="BT375" s="68">
        <f t="shared" si="842"/>
        <v>-64</v>
      </c>
      <c r="BU375" s="68">
        <f t="shared" si="842"/>
        <v>-58</v>
      </c>
      <c r="BV375" s="68">
        <f t="shared" si="842"/>
        <v>-70</v>
      </c>
      <c r="BW375" s="68">
        <f t="shared" si="842"/>
        <v>-69</v>
      </c>
      <c r="BX375" s="1112">
        <f t="shared" si="842"/>
        <v>-261</v>
      </c>
      <c r="BY375" s="588"/>
      <c r="BZ375" s="68">
        <f>-BZ51</f>
        <v>0</v>
      </c>
      <c r="CA375" s="68">
        <f>-CA51</f>
        <v>0</v>
      </c>
      <c r="CB375" s="68">
        <f>-CB51</f>
        <v>0</v>
      </c>
      <c r="CC375" s="1153">
        <f>SUM(BY375,BZ375,CA375,CB375)</f>
        <v>0</v>
      </c>
      <c r="CD375" s="68">
        <f>-CD51</f>
        <v>0</v>
      </c>
      <c r="CE375" s="68">
        <f>-CE51</f>
        <v>0</v>
      </c>
      <c r="CF375" s="68">
        <f>-CF51</f>
        <v>0</v>
      </c>
      <c r="CG375" s="68">
        <f>-CG51</f>
        <v>0</v>
      </c>
      <c r="CH375" s="1153">
        <f>SUM(CD375,CE375,CF375,CG375)</f>
        <v>0</v>
      </c>
      <c r="CI375" s="1153">
        <f>-CI51</f>
        <v>0</v>
      </c>
      <c r="CJ375" s="1153">
        <f>-CJ51</f>
        <v>0</v>
      </c>
      <c r="CK375" s="1153">
        <f>-CK51</f>
        <v>0</v>
      </c>
      <c r="CL375" s="155"/>
    </row>
    <row r="376" spans="1:90" hidden="1" outlineLevel="1" x14ac:dyDescent="0.3">
      <c r="A376" s="99" t="s">
        <v>626</v>
      </c>
      <c r="B376" s="102"/>
      <c r="C376" s="1112">
        <f t="shared" ref="C376:AH376" si="843">-C121</f>
        <v>0</v>
      </c>
      <c r="D376" s="1112">
        <f t="shared" si="843"/>
        <v>0</v>
      </c>
      <c r="E376" s="1112">
        <f t="shared" si="843"/>
        <v>0</v>
      </c>
      <c r="F376" s="1112">
        <f t="shared" si="843"/>
        <v>0</v>
      </c>
      <c r="G376" s="68">
        <f t="shared" si="843"/>
        <v>0</v>
      </c>
      <c r="H376" s="68">
        <f t="shared" si="843"/>
        <v>0</v>
      </c>
      <c r="I376" s="68">
        <f t="shared" si="843"/>
        <v>0</v>
      </c>
      <c r="J376" s="68">
        <f t="shared" si="843"/>
        <v>0</v>
      </c>
      <c r="K376" s="1112">
        <f t="shared" si="843"/>
        <v>0</v>
      </c>
      <c r="L376" s="68">
        <f t="shared" si="843"/>
        <v>0</v>
      </c>
      <c r="M376" s="68">
        <f t="shared" si="843"/>
        <v>0</v>
      </c>
      <c r="N376" s="68">
        <f t="shared" si="843"/>
        <v>0</v>
      </c>
      <c r="O376" s="68">
        <f t="shared" si="843"/>
        <v>0</v>
      </c>
      <c r="P376" s="1112">
        <f t="shared" si="843"/>
        <v>0</v>
      </c>
      <c r="Q376" s="68">
        <f t="shared" si="843"/>
        <v>0</v>
      </c>
      <c r="R376" s="68">
        <f t="shared" si="843"/>
        <v>0</v>
      </c>
      <c r="S376" s="68">
        <f t="shared" si="843"/>
        <v>0</v>
      </c>
      <c r="T376" s="68">
        <f t="shared" si="843"/>
        <v>0</v>
      </c>
      <c r="U376" s="1112">
        <f t="shared" si="843"/>
        <v>0</v>
      </c>
      <c r="V376" s="68">
        <f t="shared" si="843"/>
        <v>0</v>
      </c>
      <c r="W376" s="68">
        <f t="shared" si="843"/>
        <v>0</v>
      </c>
      <c r="X376" s="68">
        <f t="shared" si="843"/>
        <v>0</v>
      </c>
      <c r="Y376" s="68">
        <f t="shared" si="843"/>
        <v>0</v>
      </c>
      <c r="Z376" s="1112">
        <f t="shared" si="843"/>
        <v>0</v>
      </c>
      <c r="AA376" s="68">
        <f t="shared" si="843"/>
        <v>0</v>
      </c>
      <c r="AB376" s="68">
        <f t="shared" si="843"/>
        <v>0</v>
      </c>
      <c r="AC376" s="68">
        <f t="shared" si="843"/>
        <v>0</v>
      </c>
      <c r="AD376" s="68">
        <f t="shared" si="843"/>
        <v>0</v>
      </c>
      <c r="AE376" s="1112">
        <f t="shared" si="843"/>
        <v>0</v>
      </c>
      <c r="AF376" s="68">
        <f t="shared" si="843"/>
        <v>0</v>
      </c>
      <c r="AG376" s="68">
        <f t="shared" si="843"/>
        <v>0</v>
      </c>
      <c r="AH376" s="68">
        <f t="shared" si="843"/>
        <v>0</v>
      </c>
      <c r="AI376" s="68">
        <f t="shared" ref="AI376:BN376" si="844">-AI121</f>
        <v>0</v>
      </c>
      <c r="AJ376" s="1112">
        <f t="shared" si="844"/>
        <v>0</v>
      </c>
      <c r="AK376" s="68">
        <f t="shared" si="844"/>
        <v>0</v>
      </c>
      <c r="AL376" s="68">
        <f t="shared" si="844"/>
        <v>0</v>
      </c>
      <c r="AM376" s="68">
        <f t="shared" si="844"/>
        <v>0</v>
      </c>
      <c r="AN376" s="68">
        <f t="shared" si="844"/>
        <v>0</v>
      </c>
      <c r="AO376" s="1112">
        <f t="shared" si="844"/>
        <v>0</v>
      </c>
      <c r="AP376" s="68">
        <f t="shared" si="844"/>
        <v>0</v>
      </c>
      <c r="AQ376" s="68">
        <f t="shared" si="844"/>
        <v>0</v>
      </c>
      <c r="AR376" s="68">
        <f t="shared" si="844"/>
        <v>0</v>
      </c>
      <c r="AS376" s="68">
        <f t="shared" si="844"/>
        <v>0</v>
      </c>
      <c r="AT376" s="1112">
        <f t="shared" si="844"/>
        <v>0</v>
      </c>
      <c r="AU376" s="68">
        <f t="shared" si="844"/>
        <v>-1</v>
      </c>
      <c r="AV376" s="68">
        <f t="shared" si="844"/>
        <v>-245</v>
      </c>
      <c r="AW376" s="68">
        <f t="shared" si="844"/>
        <v>-86</v>
      </c>
      <c r="AX376" s="68">
        <f t="shared" si="844"/>
        <v>-92</v>
      </c>
      <c r="AY376" s="1112">
        <f t="shared" si="844"/>
        <v>-425</v>
      </c>
      <c r="AZ376" s="68">
        <f t="shared" si="844"/>
        <v>-87</v>
      </c>
      <c r="BA376" s="68">
        <f t="shared" si="844"/>
        <v>-86</v>
      </c>
      <c r="BB376" s="68">
        <f t="shared" si="844"/>
        <v>-86</v>
      </c>
      <c r="BC376" s="68">
        <f t="shared" si="844"/>
        <v>-86</v>
      </c>
      <c r="BD376" s="1112">
        <f t="shared" si="844"/>
        <v>-344</v>
      </c>
      <c r="BE376" s="68">
        <f t="shared" si="844"/>
        <v>-94</v>
      </c>
      <c r="BF376" s="68">
        <f t="shared" si="844"/>
        <v>-121</v>
      </c>
      <c r="BG376" s="68">
        <f t="shared" si="844"/>
        <v>-120</v>
      </c>
      <c r="BH376" s="68">
        <f t="shared" si="844"/>
        <v>-120</v>
      </c>
      <c r="BI376" s="1112">
        <f t="shared" si="844"/>
        <v>-455</v>
      </c>
      <c r="BJ376" s="68">
        <f t="shared" si="844"/>
        <v>-119</v>
      </c>
      <c r="BK376" s="68">
        <f t="shared" si="844"/>
        <v>-119</v>
      </c>
      <c r="BL376" s="68">
        <f t="shared" si="844"/>
        <v>-119</v>
      </c>
      <c r="BM376" s="68">
        <f t="shared" si="844"/>
        <v>-119</v>
      </c>
      <c r="BN376" s="1112">
        <f t="shared" si="844"/>
        <v>-477</v>
      </c>
      <c r="BO376" s="68">
        <f t="shared" ref="BO376:BX376" si="845">-BO121</f>
        <v>-119</v>
      </c>
      <c r="BP376" s="68">
        <f t="shared" si="845"/>
        <v>-118</v>
      </c>
      <c r="BQ376" s="68">
        <f t="shared" si="845"/>
        <v>-116</v>
      </c>
      <c r="BR376" s="68">
        <f t="shared" si="845"/>
        <v>-118</v>
      </c>
      <c r="BS376" s="1112">
        <f t="shared" si="845"/>
        <v>-472</v>
      </c>
      <c r="BT376" s="68">
        <f t="shared" si="845"/>
        <v>-123</v>
      </c>
      <c r="BU376" s="68">
        <f t="shared" si="845"/>
        <v>-49</v>
      </c>
      <c r="BV376" s="68">
        <f t="shared" si="845"/>
        <v>-48</v>
      </c>
      <c r="BW376" s="68">
        <f t="shared" si="845"/>
        <v>-48</v>
      </c>
      <c r="BX376" s="1112">
        <f t="shared" si="845"/>
        <v>-267</v>
      </c>
      <c r="BY376" s="588">
        <f>-BY121</f>
        <v>-47</v>
      </c>
      <c r="BZ376" s="68">
        <f>-BZ53</f>
        <v>-90.933489999999992</v>
      </c>
      <c r="CA376" s="68">
        <f>-CA53</f>
        <v>-91.535799999999995</v>
      </c>
      <c r="CB376" s="68">
        <f>-CB53</f>
        <v>-94.000950000000003</v>
      </c>
      <c r="CC376" s="1153">
        <f>SUM(BY376,BZ376,CA376,CB376)</f>
        <v>-323.47023999999999</v>
      </c>
      <c r="CD376" s="68">
        <f>-CD53</f>
        <v>-105.52355</v>
      </c>
      <c r="CE376" s="68">
        <f>-CE53</f>
        <v>-117.6687395</v>
      </c>
      <c r="CF376" s="68">
        <f>-CF53</f>
        <v>-114.19591999999999</v>
      </c>
      <c r="CG376" s="68">
        <f>-CG53</f>
        <v>-116.93735249999997</v>
      </c>
      <c r="CH376" s="1153">
        <f>SUM(CD376,CE376,CF376,CG376)</f>
        <v>-454.32556199999999</v>
      </c>
      <c r="CI376" s="1153">
        <f>-CI53</f>
        <v>-1083.8136023</v>
      </c>
      <c r="CJ376" s="1153">
        <f>-CJ53</f>
        <v>-1273.1204337939998</v>
      </c>
      <c r="CK376" s="1153">
        <f>-CK53</f>
        <v>-1495.9245332649202</v>
      </c>
      <c r="CL376" s="155"/>
    </row>
    <row r="377" spans="1:90" hidden="1" outlineLevel="1" x14ac:dyDescent="0.3">
      <c r="A377" s="282" t="s">
        <v>89</v>
      </c>
      <c r="B377" s="144"/>
      <c r="C377" s="1123">
        <f t="shared" ref="C377:BN377" si="846">-SUM(C330:C338)-C376-C375</f>
        <v>-181.85</v>
      </c>
      <c r="D377" s="1123">
        <f t="shared" si="846"/>
        <v>-95.240000000000009</v>
      </c>
      <c r="E377" s="1123">
        <f t="shared" si="846"/>
        <v>-181.19300000000001</v>
      </c>
      <c r="F377" s="1123">
        <f t="shared" si="846"/>
        <v>-7.3000000000000007</v>
      </c>
      <c r="G377" s="109">
        <f t="shared" si="846"/>
        <v>0</v>
      </c>
      <c r="H377" s="109">
        <f t="shared" si="846"/>
        <v>0</v>
      </c>
      <c r="I377" s="109">
        <f t="shared" si="846"/>
        <v>0</v>
      </c>
      <c r="J377" s="109">
        <f t="shared" si="846"/>
        <v>0</v>
      </c>
      <c r="K377" s="1123">
        <f t="shared" si="846"/>
        <v>0</v>
      </c>
      <c r="L377" s="109">
        <f t="shared" si="846"/>
        <v>0</v>
      </c>
      <c r="M377" s="109">
        <f t="shared" si="846"/>
        <v>-2.29</v>
      </c>
      <c r="N377" s="109">
        <f t="shared" si="846"/>
        <v>0</v>
      </c>
      <c r="O377" s="109">
        <f t="shared" si="846"/>
        <v>6.3319999999999999</v>
      </c>
      <c r="P377" s="1123">
        <f t="shared" si="846"/>
        <v>4.0419999999999998</v>
      </c>
      <c r="Q377" s="109">
        <f t="shared" si="846"/>
        <v>0</v>
      </c>
      <c r="R377" s="109">
        <f t="shared" si="846"/>
        <v>0</v>
      </c>
      <c r="S377" s="109">
        <f t="shared" si="846"/>
        <v>0</v>
      </c>
      <c r="T377" s="109">
        <f t="shared" si="846"/>
        <v>0</v>
      </c>
      <c r="U377" s="1123">
        <f t="shared" si="846"/>
        <v>0</v>
      </c>
      <c r="V377" s="109">
        <f t="shared" si="846"/>
        <v>0</v>
      </c>
      <c r="W377" s="109">
        <f t="shared" si="846"/>
        <v>-15</v>
      </c>
      <c r="X377" s="109">
        <f t="shared" si="846"/>
        <v>0</v>
      </c>
      <c r="Y377" s="109">
        <f t="shared" si="846"/>
        <v>-5</v>
      </c>
      <c r="Z377" s="1123">
        <f t="shared" si="846"/>
        <v>-20</v>
      </c>
      <c r="AA377" s="109">
        <f t="shared" si="846"/>
        <v>-10</v>
      </c>
      <c r="AB377" s="109">
        <f t="shared" si="846"/>
        <v>0</v>
      </c>
      <c r="AC377" s="109">
        <f t="shared" si="846"/>
        <v>0</v>
      </c>
      <c r="AD377" s="109">
        <f t="shared" si="846"/>
        <v>0</v>
      </c>
      <c r="AE377" s="1123">
        <f t="shared" si="846"/>
        <v>-10</v>
      </c>
      <c r="AF377" s="109">
        <f t="shared" si="846"/>
        <v>0</v>
      </c>
      <c r="AG377" s="109">
        <f t="shared" si="846"/>
        <v>0</v>
      </c>
      <c r="AH377" s="109">
        <f t="shared" si="846"/>
        <v>0</v>
      </c>
      <c r="AI377" s="109">
        <f t="shared" si="846"/>
        <v>-1</v>
      </c>
      <c r="AJ377" s="1123">
        <f t="shared" si="846"/>
        <v>-1</v>
      </c>
      <c r="AK377" s="109">
        <f t="shared" si="846"/>
        <v>0</v>
      </c>
      <c r="AL377" s="109">
        <f t="shared" si="846"/>
        <v>0</v>
      </c>
      <c r="AM377" s="109">
        <f t="shared" si="846"/>
        <v>-14</v>
      </c>
      <c r="AN377" s="109">
        <f t="shared" si="846"/>
        <v>-21</v>
      </c>
      <c r="AO377" s="1123">
        <f t="shared" si="846"/>
        <v>-35</v>
      </c>
      <c r="AP377" s="109">
        <f t="shared" si="846"/>
        <v>-10</v>
      </c>
      <c r="AQ377" s="109">
        <f t="shared" si="846"/>
        <v>-2</v>
      </c>
      <c r="AR377" s="109">
        <f t="shared" si="846"/>
        <v>0</v>
      </c>
      <c r="AS377" s="109">
        <f t="shared" si="846"/>
        <v>-3</v>
      </c>
      <c r="AT377" s="1123">
        <f t="shared" si="846"/>
        <v>-14</v>
      </c>
      <c r="AU377" s="109">
        <f t="shared" si="846"/>
        <v>0</v>
      </c>
      <c r="AV377" s="109">
        <f t="shared" si="846"/>
        <v>-17</v>
      </c>
      <c r="AW377" s="109">
        <f t="shared" si="846"/>
        <v>-21</v>
      </c>
      <c r="AX377" s="109">
        <f t="shared" si="846"/>
        <v>-1</v>
      </c>
      <c r="AY377" s="1123">
        <f t="shared" si="846"/>
        <v>-38</v>
      </c>
      <c r="AZ377" s="109">
        <f t="shared" si="846"/>
        <v>-5</v>
      </c>
      <c r="BA377" s="109">
        <f t="shared" si="846"/>
        <v>-4</v>
      </c>
      <c r="BB377" s="109">
        <f t="shared" si="846"/>
        <v>0</v>
      </c>
      <c r="BC377" s="109">
        <f t="shared" si="846"/>
        <v>0</v>
      </c>
      <c r="BD377" s="1123">
        <f t="shared" si="846"/>
        <v>-9</v>
      </c>
      <c r="BE377" s="109">
        <f t="shared" si="846"/>
        <v>0</v>
      </c>
      <c r="BF377" s="109">
        <f t="shared" si="846"/>
        <v>0</v>
      </c>
      <c r="BG377" s="109">
        <f t="shared" si="846"/>
        <v>0</v>
      </c>
      <c r="BH377" s="109">
        <f t="shared" si="846"/>
        <v>-16</v>
      </c>
      <c r="BI377" s="1123">
        <f t="shared" si="846"/>
        <v>-16</v>
      </c>
      <c r="BJ377" s="109">
        <f t="shared" si="846"/>
        <v>-8</v>
      </c>
      <c r="BK377" s="109">
        <f t="shared" si="846"/>
        <v>-2</v>
      </c>
      <c r="BL377" s="109">
        <f t="shared" si="846"/>
        <v>-26</v>
      </c>
      <c r="BM377" s="109">
        <f t="shared" si="846"/>
        <v>-4</v>
      </c>
      <c r="BN377" s="1123">
        <f t="shared" si="846"/>
        <v>-40</v>
      </c>
      <c r="BO377" s="109">
        <f t="shared" ref="BO377:BS377" si="847">-SUM(BO330:BO338)-BO376-BO375</f>
        <v>1</v>
      </c>
      <c r="BP377" s="109">
        <f t="shared" si="847"/>
        <v>3</v>
      </c>
      <c r="BQ377" s="109">
        <f t="shared" si="847"/>
        <v>0</v>
      </c>
      <c r="BR377" s="109">
        <f t="shared" si="847"/>
        <v>0</v>
      </c>
      <c r="BS377" s="1123">
        <f t="shared" si="847"/>
        <v>3</v>
      </c>
      <c r="BT377" s="109">
        <f t="shared" ref="BT377:BY377" si="848">-SUM(BT330:BT338)-BT376-BT375</f>
        <v>-3</v>
      </c>
      <c r="BU377" s="109">
        <f t="shared" si="848"/>
        <v>0</v>
      </c>
      <c r="BV377" s="109">
        <f t="shared" si="848"/>
        <v>0</v>
      </c>
      <c r="BW377" s="109">
        <f t="shared" si="848"/>
        <v>1</v>
      </c>
      <c r="BX377" s="1123">
        <f t="shared" si="848"/>
        <v>-3</v>
      </c>
      <c r="BY377" s="730">
        <f t="shared" si="848"/>
        <v>-28</v>
      </c>
      <c r="BZ377" s="109">
        <f>-BZ55</f>
        <v>0</v>
      </c>
      <c r="CA377" s="109">
        <f>-CA55</f>
        <v>0</v>
      </c>
      <c r="CB377" s="109">
        <f>-CB55</f>
        <v>0</v>
      </c>
      <c r="CC377" s="1154">
        <f>SUM(BY377,BZ377,CA377,CB377)</f>
        <v>-28</v>
      </c>
      <c r="CD377" s="109">
        <f>-CD55</f>
        <v>0</v>
      </c>
      <c r="CE377" s="109">
        <f>-CE55</f>
        <v>0</v>
      </c>
      <c r="CF377" s="109">
        <f>-CF55</f>
        <v>0</v>
      </c>
      <c r="CG377" s="109">
        <f>-CG55</f>
        <v>0</v>
      </c>
      <c r="CH377" s="1154">
        <f>SUM(CD377,CE377,CF377,CG377)</f>
        <v>0</v>
      </c>
      <c r="CI377" s="1154">
        <f>-CI55</f>
        <v>0</v>
      </c>
      <c r="CJ377" s="1154">
        <f>-CJ55</f>
        <v>0</v>
      </c>
      <c r="CK377" s="1154">
        <f>-CK55</f>
        <v>0</v>
      </c>
      <c r="CL377" s="155"/>
    </row>
    <row r="378" spans="1:90" collapsed="1" x14ac:dyDescent="0.3">
      <c r="A378" s="62" t="s">
        <v>90</v>
      </c>
      <c r="B378" s="123"/>
      <c r="C378" s="1134">
        <f t="shared" ref="C378:AY378" si="849">C370-C374-C375-C377-C376</f>
        <v>1368.0579999999998</v>
      </c>
      <c r="D378" s="1134">
        <f t="shared" si="849"/>
        <v>1284.2130000000002</v>
      </c>
      <c r="E378" s="1134">
        <f t="shared" si="849"/>
        <v>1598.5910000000001</v>
      </c>
      <c r="F378" s="1134">
        <f t="shared" si="849"/>
        <v>2075.1390000000001</v>
      </c>
      <c r="G378" s="28">
        <f t="shared" si="849"/>
        <v>465.89</v>
      </c>
      <c r="H378" s="28">
        <f t="shared" si="849"/>
        <v>543.36800000000005</v>
      </c>
      <c r="I378" s="28">
        <f t="shared" si="849"/>
        <v>639.14699999999993</v>
      </c>
      <c r="J378" s="28">
        <f t="shared" si="849"/>
        <v>588.42799999999988</v>
      </c>
      <c r="K378" s="1134">
        <f t="shared" si="849"/>
        <v>2236.8329999999996</v>
      </c>
      <c r="L378" s="28">
        <f t="shared" si="849"/>
        <v>521.221</v>
      </c>
      <c r="M378" s="28">
        <f t="shared" si="849"/>
        <v>549.99599999999998</v>
      </c>
      <c r="N378" s="28">
        <f t="shared" si="849"/>
        <v>587.50500000000011</v>
      </c>
      <c r="O378" s="28">
        <f t="shared" si="849"/>
        <v>615.68700000000058</v>
      </c>
      <c r="P378" s="1134">
        <f t="shared" si="849"/>
        <v>2274.4090000000006</v>
      </c>
      <c r="Q378" s="28">
        <f t="shared" si="849"/>
        <v>607</v>
      </c>
      <c r="R378" s="28">
        <f t="shared" si="849"/>
        <v>622</v>
      </c>
      <c r="S378" s="28">
        <f t="shared" si="849"/>
        <v>680</v>
      </c>
      <c r="T378" s="28">
        <f t="shared" si="849"/>
        <v>704</v>
      </c>
      <c r="U378" s="1134">
        <f t="shared" si="849"/>
        <v>2611</v>
      </c>
      <c r="V378" s="28">
        <f t="shared" si="849"/>
        <v>655</v>
      </c>
      <c r="W378" s="28">
        <f t="shared" si="849"/>
        <v>652</v>
      </c>
      <c r="X378" s="28">
        <f t="shared" si="849"/>
        <v>738</v>
      </c>
      <c r="Y378" s="28">
        <f t="shared" si="849"/>
        <v>801</v>
      </c>
      <c r="Z378" s="1134">
        <f t="shared" si="849"/>
        <v>2846</v>
      </c>
      <c r="AA378" s="28">
        <f t="shared" si="849"/>
        <v>765</v>
      </c>
      <c r="AB378" s="28">
        <f t="shared" si="849"/>
        <v>830</v>
      </c>
      <c r="AC378" s="28">
        <f t="shared" si="849"/>
        <v>1186</v>
      </c>
      <c r="AD378" s="28">
        <f t="shared" si="849"/>
        <v>1307</v>
      </c>
      <c r="AE378" s="1134">
        <f t="shared" si="849"/>
        <v>4088</v>
      </c>
      <c r="AF378" s="28">
        <f t="shared" si="849"/>
        <v>1154</v>
      </c>
      <c r="AG378" s="28">
        <f t="shared" si="849"/>
        <v>1306</v>
      </c>
      <c r="AH378" s="1022">
        <f t="shared" si="849"/>
        <v>1575</v>
      </c>
      <c r="AI378" s="28">
        <f t="shared" si="849"/>
        <v>1809</v>
      </c>
      <c r="AJ378" s="1134">
        <f t="shared" si="849"/>
        <v>5844</v>
      </c>
      <c r="AK378" s="1022">
        <f t="shared" si="849"/>
        <v>2076</v>
      </c>
      <c r="AL378" s="28">
        <f t="shared" si="849"/>
        <v>1983</v>
      </c>
      <c r="AM378" s="1022">
        <f t="shared" si="849"/>
        <v>1940</v>
      </c>
      <c r="AN378" s="28">
        <f t="shared" si="849"/>
        <v>1234</v>
      </c>
      <c r="AO378" s="1134">
        <f t="shared" si="849"/>
        <v>7233</v>
      </c>
      <c r="AP378" s="1022">
        <f t="shared" si="849"/>
        <v>1310</v>
      </c>
      <c r="AQ378" s="28">
        <f t="shared" si="849"/>
        <v>1551</v>
      </c>
      <c r="AR378" s="1022">
        <f t="shared" si="849"/>
        <v>1931</v>
      </c>
      <c r="AS378" s="28">
        <f t="shared" si="849"/>
        <v>2030</v>
      </c>
      <c r="AT378" s="1134">
        <f t="shared" si="849"/>
        <v>6821</v>
      </c>
      <c r="AU378" s="1022">
        <f t="shared" si="849"/>
        <v>2026</v>
      </c>
      <c r="AV378" s="28">
        <f t="shared" si="849"/>
        <v>2551</v>
      </c>
      <c r="AW378" s="1022">
        <f t="shared" si="849"/>
        <v>3095</v>
      </c>
      <c r="AX378" s="28">
        <f t="shared" si="849"/>
        <v>3276</v>
      </c>
      <c r="AY378" s="1134">
        <f t="shared" si="849"/>
        <v>10947</v>
      </c>
      <c r="AZ378" s="1022">
        <f t="shared" ref="AZ378:BE378" si="850">AZ370-AZ374-AZ375-AZ377-AZ376</f>
        <v>3746</v>
      </c>
      <c r="BA378" s="28">
        <f t="shared" si="850"/>
        <v>4337</v>
      </c>
      <c r="BB378" s="1022">
        <f t="shared" si="850"/>
        <v>4761</v>
      </c>
      <c r="BC378" s="28">
        <f t="shared" si="850"/>
        <v>5124</v>
      </c>
      <c r="BD378" s="1134">
        <f t="shared" si="850"/>
        <v>17969</v>
      </c>
      <c r="BE378" s="1022">
        <f t="shared" si="850"/>
        <v>5563</v>
      </c>
      <c r="BF378" s="28">
        <f t="shared" ref="BF378" si="851">BF370-BF374-BF375-BF377-BF376</f>
        <v>3074</v>
      </c>
      <c r="BG378" s="1022">
        <f>BG370-BG374-BG375-BG377-BG376</f>
        <v>3329</v>
      </c>
      <c r="BH378" s="28">
        <f>BH370-BH374-BH375-BH377-BH376</f>
        <v>3999</v>
      </c>
      <c r="BI378" s="1134">
        <f>BI370-BI374-BI375-BI377-BI376</f>
        <v>15965</v>
      </c>
      <c r="BJ378" s="1022">
        <f>BJ370-BJ374-BJ375-BJ377-BJ376</f>
        <v>4802</v>
      </c>
      <c r="BK378" s="28">
        <f t="shared" ref="BK378" si="852">BK370-BK374-BK375-BK377-BK376</f>
        <v>9614</v>
      </c>
      <c r="BL378" s="1022">
        <f t="shared" ref="BL378:BQ378" si="853">BL370-BL374-BL375-BL377-BL376</f>
        <v>13583</v>
      </c>
      <c r="BM378" s="28">
        <f t="shared" si="853"/>
        <v>16959</v>
      </c>
      <c r="BN378" s="1134">
        <f t="shared" si="853"/>
        <v>44959</v>
      </c>
      <c r="BO378" s="1022">
        <f t="shared" si="853"/>
        <v>20560</v>
      </c>
      <c r="BP378" s="28">
        <f t="shared" si="853"/>
        <v>22729</v>
      </c>
      <c r="BQ378" s="1022">
        <f t="shared" si="853"/>
        <v>26322</v>
      </c>
      <c r="BR378" s="28">
        <f t="shared" ref="BR378:BX378" si="854">BR370-BR374-BR375-BR377-BR376</f>
        <v>28894</v>
      </c>
      <c r="BS378" s="1134">
        <f t="shared" si="854"/>
        <v>98505</v>
      </c>
      <c r="BT378" s="1022">
        <f t="shared" si="854"/>
        <v>26858</v>
      </c>
      <c r="BU378" s="28">
        <f t="shared" si="854"/>
        <v>33960</v>
      </c>
      <c r="BV378" s="1022">
        <f t="shared" si="854"/>
        <v>41967</v>
      </c>
      <c r="BW378" s="28">
        <f t="shared" si="854"/>
        <v>51209</v>
      </c>
      <c r="BX378" s="1134">
        <f t="shared" si="854"/>
        <v>153994</v>
      </c>
      <c r="BY378" s="907">
        <f>BY370-BY374-BY375-BY377-BY376</f>
        <v>61232</v>
      </c>
      <c r="BZ378" s="118">
        <f>BZ57</f>
        <v>68157.005652838066</v>
      </c>
      <c r="CA378" s="118">
        <f>CA57</f>
        <v>68302.70176381433</v>
      </c>
      <c r="CB378" s="118">
        <f>CB57</f>
        <v>71597.673106939983</v>
      </c>
      <c r="CC378" s="1155">
        <f>CC370-CC374-CC375-CC377-CC376</f>
        <v>269289.38052359241</v>
      </c>
      <c r="CD378" s="118">
        <f>CD57</f>
        <v>79169.491069043681</v>
      </c>
      <c r="CE378" s="118">
        <f>CE57</f>
        <v>88195.767513859086</v>
      </c>
      <c r="CF378" s="118">
        <f>CF57</f>
        <v>85211.35846744552</v>
      </c>
      <c r="CG378" s="118">
        <f>CG57</f>
        <v>89067.635362046974</v>
      </c>
      <c r="CH378" s="1155">
        <f>CH370-CH374-CH375-CH377-CH376</f>
        <v>341644.25241239526</v>
      </c>
      <c r="CI378" s="1155">
        <f>CI57</f>
        <v>407503.69215651642</v>
      </c>
      <c r="CJ378" s="1155">
        <f>CJ57</f>
        <v>478681.27529493428</v>
      </c>
      <c r="CK378" s="1155">
        <f>CK57</f>
        <v>562453.51525329216</v>
      </c>
      <c r="CL378" s="155"/>
    </row>
    <row r="379" spans="1:90" x14ac:dyDescent="0.3">
      <c r="A379" s="75" t="str">
        <f>CONCATENATE("Guidance - ",IFERROR(LEFT(A378,FIND("(",A378)-1),A378))</f>
        <v>Guidance - Non-GAAP Gross Profit</v>
      </c>
      <c r="B379" s="102"/>
      <c r="C379" s="1119"/>
      <c r="D379" s="1119"/>
      <c r="E379" s="1119"/>
      <c r="F379" s="1119"/>
      <c r="G379" s="76"/>
      <c r="H379" s="76"/>
      <c r="I379" s="76"/>
      <c r="J379" s="76"/>
      <c r="K379" s="1119"/>
      <c r="L379" s="76"/>
      <c r="M379" s="76"/>
      <c r="N379" s="76"/>
      <c r="O379" s="76"/>
      <c r="P379" s="1119"/>
      <c r="Q379" s="76"/>
      <c r="R379" s="76"/>
      <c r="S379" s="76"/>
      <c r="T379" s="76"/>
      <c r="U379" s="1119"/>
      <c r="V379" s="76"/>
      <c r="W379" s="76"/>
      <c r="X379" s="76"/>
      <c r="Y379" s="76"/>
      <c r="Z379" s="1119"/>
      <c r="AA379" s="76"/>
      <c r="AB379" s="76"/>
      <c r="AC379" s="76"/>
      <c r="AD379" s="76"/>
      <c r="AE379" s="1119"/>
      <c r="AF379" s="76"/>
      <c r="AG379" s="76"/>
      <c r="AH379" s="77"/>
      <c r="AI379" s="1023">
        <f t="shared" ref="AI379:BL379" si="855">+AI634</f>
        <v>1590</v>
      </c>
      <c r="AJ379" s="1156" t="str">
        <f t="shared" si="855"/>
        <v/>
      </c>
      <c r="AK379" s="1024">
        <f t="shared" si="855"/>
        <v>1827.29</v>
      </c>
      <c r="AL379" s="1023">
        <f t="shared" si="855"/>
        <v>1968.81</v>
      </c>
      <c r="AM379" s="1024">
        <f t="shared" si="855"/>
        <v>2041.3249999999998</v>
      </c>
      <c r="AN379" s="1023">
        <f t="shared" si="855"/>
        <v>1687.77</v>
      </c>
      <c r="AO379" s="1156" t="str">
        <f t="shared" si="855"/>
        <v/>
      </c>
      <c r="AP379" s="1024">
        <f t="shared" si="855"/>
        <v>1298.2199999999998</v>
      </c>
      <c r="AQ379" s="1023">
        <f t="shared" si="855"/>
        <v>1517.5049999999999</v>
      </c>
      <c r="AR379" s="1024">
        <f t="shared" si="855"/>
        <v>1812.79</v>
      </c>
      <c r="AS379" s="1023">
        <f t="shared" si="855"/>
        <v>1903.0450000000001</v>
      </c>
      <c r="AT379" s="1156" t="str">
        <f t="shared" si="855"/>
        <v/>
      </c>
      <c r="AU379" s="1024">
        <f t="shared" si="855"/>
        <v>1962.3000000000002</v>
      </c>
      <c r="AV379" s="1023">
        <f t="shared" si="855"/>
        <v>2409.3649999999998</v>
      </c>
      <c r="AW379" s="1024">
        <f t="shared" si="855"/>
        <v>2882.44</v>
      </c>
      <c r="AX379" s="1023">
        <f t="shared" si="855"/>
        <v>3144.48</v>
      </c>
      <c r="AY379" s="1156" t="str">
        <f t="shared" si="855"/>
        <v/>
      </c>
      <c r="AZ379" s="1024">
        <f t="shared" si="855"/>
        <v>3498.53</v>
      </c>
      <c r="BA379" s="1023">
        <f t="shared" si="855"/>
        <v>4190.13</v>
      </c>
      <c r="BB379" s="1024">
        <f t="shared" si="855"/>
        <v>4556.68</v>
      </c>
      <c r="BC379" s="1023">
        <f t="shared" si="855"/>
        <v>4958.74</v>
      </c>
      <c r="BD379" s="1156" t="str">
        <f t="shared" si="855"/>
        <v/>
      </c>
      <c r="BE379" s="1024">
        <f t="shared" si="855"/>
        <v>5427.81</v>
      </c>
      <c r="BF379" s="1023">
        <f t="shared" si="855"/>
        <v>5435.91</v>
      </c>
      <c r="BG379" s="1024">
        <f t="shared" si="855"/>
        <v>3835</v>
      </c>
      <c r="BH379" s="1023">
        <f t="shared" si="855"/>
        <v>3960.6000000000004</v>
      </c>
      <c r="BI379" s="1156" t="str">
        <f t="shared" si="855"/>
        <v/>
      </c>
      <c r="BJ379" s="1024">
        <f t="shared" si="855"/>
        <v>4323.1499999999996</v>
      </c>
      <c r="BK379" s="1023">
        <f t="shared" si="855"/>
        <v>7701.0999999999995</v>
      </c>
      <c r="BL379" s="1024">
        <f t="shared" si="855"/>
        <v>11601.6</v>
      </c>
      <c r="BM379" s="1023">
        <f t="shared" ref="BM379:BN379" si="856">+BM634</f>
        <v>15102</v>
      </c>
      <c r="BN379" s="1156" t="str">
        <f t="shared" si="856"/>
        <v/>
      </c>
      <c r="BO379" s="1024">
        <f t="shared" ref="BO379:BS379" si="857">+BO634</f>
        <v>18482.400000000001</v>
      </c>
      <c r="BP379" s="1023">
        <f t="shared" si="857"/>
        <v>21142.799999999999</v>
      </c>
      <c r="BQ379" s="1024">
        <f t="shared" si="857"/>
        <v>24378.25</v>
      </c>
      <c r="BR379" s="1023">
        <f t="shared" si="857"/>
        <v>27566.25</v>
      </c>
      <c r="BS379" s="1156" t="str">
        <f t="shared" si="857"/>
        <v/>
      </c>
      <c r="BT379" s="1024">
        <f t="shared" ref="BT379:CK379" si="858">+BT634</f>
        <v>30534.299999999996</v>
      </c>
      <c r="BU379" s="1023">
        <f t="shared" si="858"/>
        <v>32404.5</v>
      </c>
      <c r="BV379" s="1024">
        <f t="shared" si="858"/>
        <v>39695.399999999994</v>
      </c>
      <c r="BW379" s="1023">
        <f t="shared" si="858"/>
        <v>48756.5</v>
      </c>
      <c r="BX379" s="1156" t="str">
        <f t="shared" si="858"/>
        <v/>
      </c>
      <c r="BY379" s="908">
        <f>+BY634</f>
        <v>58500</v>
      </c>
      <c r="BZ379" s="77">
        <f t="shared" si="858"/>
        <v>68259.100000000006</v>
      </c>
      <c r="CA379" s="77" t="str">
        <f t="shared" si="858"/>
        <v/>
      </c>
      <c r="CB379" s="77" t="str">
        <f t="shared" si="858"/>
        <v/>
      </c>
      <c r="CC379" s="1126" t="str">
        <f t="shared" si="858"/>
        <v/>
      </c>
      <c r="CD379" s="77" t="str">
        <f t="shared" si="858"/>
        <v/>
      </c>
      <c r="CE379" s="77" t="str">
        <f t="shared" si="858"/>
        <v/>
      </c>
      <c r="CF379" s="77" t="str">
        <f t="shared" si="858"/>
        <v/>
      </c>
      <c r="CG379" s="77" t="str">
        <f t="shared" si="858"/>
        <v/>
      </c>
      <c r="CH379" s="1126" t="str">
        <f t="shared" si="858"/>
        <v/>
      </c>
      <c r="CI379" s="1126">
        <f t="shared" si="858"/>
        <v>0</v>
      </c>
      <c r="CJ379" s="1126">
        <f t="shared" si="858"/>
        <v>0</v>
      </c>
      <c r="CK379" s="1126">
        <f t="shared" si="858"/>
        <v>0</v>
      </c>
      <c r="CL379" s="155"/>
    </row>
    <row r="380" spans="1:90" ht="7.5" customHeight="1" x14ac:dyDescent="0.3">
      <c r="A380" s="122"/>
      <c r="B380" s="123"/>
      <c r="C380" s="1127"/>
      <c r="D380" s="1127"/>
      <c r="E380" s="1127"/>
      <c r="F380" s="1127"/>
      <c r="G380" s="63"/>
      <c r="H380" s="63"/>
      <c r="I380" s="63"/>
      <c r="J380" s="63"/>
      <c r="K380" s="1127"/>
      <c r="L380" s="63"/>
      <c r="M380" s="63"/>
      <c r="N380" s="63"/>
      <c r="O380" s="63"/>
      <c r="P380" s="1127"/>
      <c r="Q380" s="63"/>
      <c r="R380" s="63"/>
      <c r="S380" s="63"/>
      <c r="T380" s="63"/>
      <c r="U380" s="1127"/>
      <c r="V380" s="63"/>
      <c r="W380" s="63"/>
      <c r="X380" s="63"/>
      <c r="Y380" s="63"/>
      <c r="Z380" s="1127"/>
      <c r="AA380" s="63"/>
      <c r="AB380" s="63"/>
      <c r="AC380" s="63"/>
      <c r="AD380" s="63"/>
      <c r="AE380" s="1127"/>
      <c r="AF380" s="63"/>
      <c r="AG380" s="63"/>
      <c r="AH380" s="124"/>
      <c r="AI380" s="63"/>
      <c r="AJ380" s="1127"/>
      <c r="AK380" s="124"/>
      <c r="AL380" s="63"/>
      <c r="AM380" s="124"/>
      <c r="AN380" s="63"/>
      <c r="AO380" s="1127"/>
      <c r="AP380" s="124"/>
      <c r="AQ380" s="63"/>
      <c r="AR380" s="124"/>
      <c r="AS380" s="63"/>
      <c r="AT380" s="1127"/>
      <c r="AU380" s="124"/>
      <c r="AV380" s="63"/>
      <c r="AW380" s="124"/>
      <c r="AX380" s="63"/>
      <c r="AY380" s="1127"/>
      <c r="AZ380" s="124"/>
      <c r="BA380" s="63"/>
      <c r="BB380" s="124"/>
      <c r="BC380" s="63"/>
      <c r="BD380" s="1127"/>
      <c r="BE380" s="124"/>
      <c r="BF380" s="63"/>
      <c r="BG380" s="124"/>
      <c r="BH380" s="63"/>
      <c r="BI380" s="1127"/>
      <c r="BJ380" s="124"/>
      <c r="BK380" s="63"/>
      <c r="BL380" s="124"/>
      <c r="BM380" s="63"/>
      <c r="BN380" s="1127"/>
      <c r="BO380" s="124"/>
      <c r="BP380" s="63"/>
      <c r="BQ380" s="124"/>
      <c r="BR380" s="63"/>
      <c r="BS380" s="1127"/>
      <c r="BT380" s="124"/>
      <c r="BU380" s="63"/>
      <c r="BV380" s="124"/>
      <c r="BW380" s="63"/>
      <c r="BX380" s="1127"/>
      <c r="BY380" s="909"/>
      <c r="BZ380" s="124"/>
      <c r="CA380" s="125"/>
      <c r="CB380" s="125"/>
      <c r="CC380" s="1157"/>
      <c r="CD380" s="124"/>
      <c r="CE380" s="124"/>
      <c r="CF380" s="125"/>
      <c r="CG380" s="125"/>
      <c r="CH380" s="1157"/>
      <c r="CI380" s="1157"/>
      <c r="CJ380" s="1157"/>
      <c r="CK380" s="1157"/>
      <c r="CL380" s="155"/>
    </row>
    <row r="381" spans="1:90" hidden="1" outlineLevel="2" x14ac:dyDescent="0.3">
      <c r="A381" s="145" t="s">
        <v>91</v>
      </c>
      <c r="B381" s="146"/>
      <c r="C381" s="1114">
        <f t="shared" ref="C381:AH381" si="859">+C303</f>
        <v>855.87900000000002</v>
      </c>
      <c r="D381" s="1114">
        <f t="shared" si="859"/>
        <v>908.851</v>
      </c>
      <c r="E381" s="1114">
        <f t="shared" si="859"/>
        <v>848.83</v>
      </c>
      <c r="F381" s="1114">
        <f t="shared" si="859"/>
        <v>1002.605</v>
      </c>
      <c r="G381" s="27">
        <f t="shared" si="859"/>
        <v>283.90199999999999</v>
      </c>
      <c r="H381" s="27">
        <f t="shared" si="859"/>
        <v>281.19299999999998</v>
      </c>
      <c r="I381" s="27">
        <f t="shared" si="859"/>
        <v>284.18</v>
      </c>
      <c r="J381" s="27">
        <f t="shared" si="859"/>
        <v>298.00699999999989</v>
      </c>
      <c r="K381" s="1114">
        <f t="shared" si="859"/>
        <v>1147.2819999999999</v>
      </c>
      <c r="L381" s="27">
        <f t="shared" si="859"/>
        <v>327.161</v>
      </c>
      <c r="M381" s="27">
        <f t="shared" si="859"/>
        <v>331.738</v>
      </c>
      <c r="N381" s="27">
        <f t="shared" si="859"/>
        <v>340.29399999999998</v>
      </c>
      <c r="O381" s="27">
        <f t="shared" si="859"/>
        <v>336.64099999999996</v>
      </c>
      <c r="P381" s="1114">
        <f t="shared" si="859"/>
        <v>1335.8340000000001</v>
      </c>
      <c r="Q381" s="27">
        <f t="shared" si="859"/>
        <v>334</v>
      </c>
      <c r="R381" s="27">
        <f t="shared" si="859"/>
        <v>337</v>
      </c>
      <c r="S381" s="27">
        <f t="shared" si="859"/>
        <v>340</v>
      </c>
      <c r="T381" s="27">
        <f t="shared" si="859"/>
        <v>349</v>
      </c>
      <c r="U381" s="1114">
        <f t="shared" si="859"/>
        <v>1360</v>
      </c>
      <c r="V381" s="27">
        <f t="shared" si="859"/>
        <v>339</v>
      </c>
      <c r="W381" s="27">
        <f t="shared" si="859"/>
        <v>320</v>
      </c>
      <c r="X381" s="27">
        <f t="shared" si="859"/>
        <v>329</v>
      </c>
      <c r="Y381" s="27">
        <f t="shared" si="859"/>
        <v>344</v>
      </c>
      <c r="Z381" s="1114">
        <f t="shared" si="859"/>
        <v>1331</v>
      </c>
      <c r="AA381" s="27">
        <f t="shared" si="859"/>
        <v>346</v>
      </c>
      <c r="AB381" s="27">
        <f t="shared" si="859"/>
        <v>350</v>
      </c>
      <c r="AC381" s="27">
        <f t="shared" si="859"/>
        <v>373</v>
      </c>
      <c r="AD381" s="27">
        <f t="shared" si="859"/>
        <v>394</v>
      </c>
      <c r="AE381" s="1114">
        <f t="shared" si="859"/>
        <v>1463</v>
      </c>
      <c r="AF381" s="27">
        <f t="shared" si="859"/>
        <v>411</v>
      </c>
      <c r="AG381" s="27">
        <f t="shared" si="859"/>
        <v>416</v>
      </c>
      <c r="AH381" s="27">
        <f t="shared" si="859"/>
        <v>462</v>
      </c>
      <c r="AI381" s="27">
        <f t="shared" ref="AI381:BJ381" si="860">+AI303</f>
        <v>508</v>
      </c>
      <c r="AJ381" s="1114">
        <f t="shared" si="860"/>
        <v>1797</v>
      </c>
      <c r="AK381" s="27">
        <f t="shared" si="860"/>
        <v>542</v>
      </c>
      <c r="AL381" s="27">
        <f t="shared" si="860"/>
        <v>581</v>
      </c>
      <c r="AM381" s="27">
        <f t="shared" si="860"/>
        <v>605</v>
      </c>
      <c r="AN381" s="27">
        <f t="shared" si="860"/>
        <v>647</v>
      </c>
      <c r="AO381" s="1114">
        <f t="shared" si="860"/>
        <v>2376</v>
      </c>
      <c r="AP381" s="27">
        <f t="shared" si="860"/>
        <v>674</v>
      </c>
      <c r="AQ381" s="27">
        <f t="shared" si="860"/>
        <v>704</v>
      </c>
      <c r="AR381" s="27">
        <f t="shared" si="860"/>
        <v>712</v>
      </c>
      <c r="AS381" s="27">
        <f t="shared" si="860"/>
        <v>738</v>
      </c>
      <c r="AT381" s="1114">
        <f t="shared" si="860"/>
        <v>2829</v>
      </c>
      <c r="AU381" s="27">
        <f t="shared" si="860"/>
        <v>735</v>
      </c>
      <c r="AV381" s="27">
        <f t="shared" si="860"/>
        <v>997</v>
      </c>
      <c r="AW381" s="27">
        <f t="shared" si="860"/>
        <v>1047</v>
      </c>
      <c r="AX381" s="27">
        <f t="shared" si="860"/>
        <v>1147</v>
      </c>
      <c r="AY381" s="1114">
        <f t="shared" si="860"/>
        <v>3924</v>
      </c>
      <c r="AZ381" s="27">
        <f t="shared" si="860"/>
        <v>1153</v>
      </c>
      <c r="BA381" s="27">
        <f t="shared" si="860"/>
        <v>1245</v>
      </c>
      <c r="BB381" s="27">
        <f t="shared" si="860"/>
        <v>1403</v>
      </c>
      <c r="BC381" s="27">
        <f t="shared" si="860"/>
        <v>1466</v>
      </c>
      <c r="BD381" s="1114">
        <f t="shared" si="860"/>
        <v>5268</v>
      </c>
      <c r="BE381" s="27">
        <f t="shared" si="860"/>
        <v>1618</v>
      </c>
      <c r="BF381" s="27">
        <f t="shared" si="860"/>
        <v>1824</v>
      </c>
      <c r="BG381" s="27">
        <f t="shared" si="860"/>
        <v>1945</v>
      </c>
      <c r="BH381" s="27">
        <f t="shared" si="860"/>
        <v>1951</v>
      </c>
      <c r="BI381" s="1114">
        <f t="shared" si="860"/>
        <v>7339</v>
      </c>
      <c r="BJ381" s="27">
        <f t="shared" si="860"/>
        <v>1875</v>
      </c>
      <c r="BK381" s="27">
        <f t="shared" ref="BK381" si="861">+BK303</f>
        <v>2040</v>
      </c>
      <c r="BL381" s="27">
        <f t="shared" ref="BL381:BQ381" si="862">+BL303</f>
        <v>2294</v>
      </c>
      <c r="BM381" s="27">
        <f t="shared" si="862"/>
        <v>2465</v>
      </c>
      <c r="BN381" s="1114">
        <f t="shared" si="862"/>
        <v>8675</v>
      </c>
      <c r="BO381" s="27">
        <f t="shared" si="862"/>
        <v>2720</v>
      </c>
      <c r="BP381" s="27">
        <f t="shared" si="862"/>
        <v>3090</v>
      </c>
      <c r="BQ381" s="27">
        <f t="shared" si="862"/>
        <v>3390</v>
      </c>
      <c r="BR381" s="27">
        <f t="shared" ref="BR381:BX381" si="863">+BR303</f>
        <v>3714</v>
      </c>
      <c r="BS381" s="1114">
        <f t="shared" si="863"/>
        <v>12914</v>
      </c>
      <c r="BT381" s="27">
        <f t="shared" si="863"/>
        <v>3989</v>
      </c>
      <c r="BU381" s="27">
        <f t="shared" si="863"/>
        <v>4291</v>
      </c>
      <c r="BV381" s="27">
        <f t="shared" si="863"/>
        <v>4705</v>
      </c>
      <c r="BW381" s="27">
        <f t="shared" si="863"/>
        <v>5512</v>
      </c>
      <c r="BX381" s="1114">
        <f t="shared" si="863"/>
        <v>18497</v>
      </c>
      <c r="BY381" s="508">
        <f>+BY303</f>
        <v>6321</v>
      </c>
      <c r="BZ381" s="68">
        <f>+BZ385+BZ382+BZ383+BZ384</f>
        <v>6610.8353475705444</v>
      </c>
      <c r="CA381" s="147">
        <f>+CA385+CA382+CA383+CA384</f>
        <v>5653.7575170122436</v>
      </c>
      <c r="CB381" s="147">
        <f>+CB385+CB382+CB383+CB384</f>
        <v>5905.6762241203924</v>
      </c>
      <c r="CC381" s="1153">
        <f>SUM(BY381,BZ381,CA381,CB381)</f>
        <v>24491.269088703179</v>
      </c>
      <c r="CD381" s="68">
        <f>+CD385+CD382+CD383+CD384</f>
        <v>8062.2953039667955</v>
      </c>
      <c r="CE381" s="68">
        <f>+CE385+CE382+CE383+CE384</f>
        <v>8436.8106100847399</v>
      </c>
      <c r="CF381" s="147">
        <f>+CF385+CF382+CF383+CF384</f>
        <v>7053.3719169126043</v>
      </c>
      <c r="CG381" s="147">
        <f>+CG385+CG382+CG383+CG384</f>
        <v>7346.671947154101</v>
      </c>
      <c r="CH381" s="1153">
        <f>SUM(CD381,CE381,CF381,CG381)</f>
        <v>30899.149778118241</v>
      </c>
      <c r="CI381" s="1153">
        <f>+CI385+CI382+CI383+CI384</f>
        <v>36855.640129081679</v>
      </c>
      <c r="CJ381" s="1153">
        <f>+CJ385+CJ382+CJ383+CJ384</f>
        <v>43293.116500215401</v>
      </c>
      <c r="CK381" s="1153">
        <f>+CK385+CK382+CK383+CK384</f>
        <v>50869.684732943104</v>
      </c>
      <c r="CL381" s="155"/>
    </row>
    <row r="382" spans="1:90" hidden="1" outlineLevel="2" x14ac:dyDescent="0.3">
      <c r="A382" s="632" t="s">
        <v>92</v>
      </c>
      <c r="B382" s="146"/>
      <c r="C382" s="1112">
        <f t="shared" ref="C382:AH382" si="864">+C127</f>
        <v>98.007000000000005</v>
      </c>
      <c r="D382" s="1112">
        <f t="shared" si="864"/>
        <v>61.337000000000003</v>
      </c>
      <c r="E382" s="1112">
        <f t="shared" si="864"/>
        <v>57.973999999999997</v>
      </c>
      <c r="F382" s="1112">
        <f t="shared" si="864"/>
        <v>80.501999999999995</v>
      </c>
      <c r="G382" s="68">
        <f t="shared" si="864"/>
        <v>21.207000000000001</v>
      </c>
      <c r="H382" s="68">
        <f t="shared" si="864"/>
        <v>18.885000000000002</v>
      </c>
      <c r="I382" s="68">
        <f t="shared" si="864"/>
        <v>20.056000000000001</v>
      </c>
      <c r="J382" s="68">
        <f t="shared" si="864"/>
        <v>22.009</v>
      </c>
      <c r="K382" s="1112">
        <f t="shared" si="864"/>
        <v>82.156999999999996</v>
      </c>
      <c r="L382" s="68">
        <f t="shared" si="864"/>
        <v>21.934999999999999</v>
      </c>
      <c r="M382" s="68">
        <f t="shared" si="864"/>
        <v>18.555</v>
      </c>
      <c r="N382" s="68">
        <f t="shared" si="864"/>
        <v>20.902000000000001</v>
      </c>
      <c r="O382" s="68">
        <f t="shared" si="864"/>
        <v>21.547999999999998</v>
      </c>
      <c r="P382" s="1112">
        <f t="shared" si="864"/>
        <v>82.94</v>
      </c>
      <c r="Q382" s="68">
        <f t="shared" si="864"/>
        <v>20.955999999999996</v>
      </c>
      <c r="R382" s="68">
        <f t="shared" si="864"/>
        <v>21</v>
      </c>
      <c r="S382" s="68">
        <f t="shared" si="864"/>
        <v>22.68</v>
      </c>
      <c r="T382" s="68">
        <f t="shared" si="864"/>
        <v>23</v>
      </c>
      <c r="U382" s="1112">
        <f t="shared" si="864"/>
        <v>87.635999999999996</v>
      </c>
      <c r="V382" s="68">
        <f t="shared" si="864"/>
        <v>27</v>
      </c>
      <c r="W382" s="68">
        <f t="shared" si="864"/>
        <v>27</v>
      </c>
      <c r="X382" s="68">
        <f t="shared" si="864"/>
        <v>28</v>
      </c>
      <c r="Y382" s="68">
        <f t="shared" si="864"/>
        <v>33</v>
      </c>
      <c r="Z382" s="1112">
        <f t="shared" si="864"/>
        <v>115</v>
      </c>
      <c r="AA382" s="68">
        <f t="shared" si="864"/>
        <v>29</v>
      </c>
      <c r="AB382" s="68">
        <f t="shared" si="864"/>
        <v>30</v>
      </c>
      <c r="AC382" s="68">
        <f t="shared" si="864"/>
        <v>35</v>
      </c>
      <c r="AD382" s="68">
        <f t="shared" si="864"/>
        <v>40</v>
      </c>
      <c r="AE382" s="1112">
        <f t="shared" si="864"/>
        <v>134</v>
      </c>
      <c r="AF382" s="68">
        <f t="shared" si="864"/>
        <v>41</v>
      </c>
      <c r="AG382" s="68">
        <f t="shared" si="864"/>
        <v>44</v>
      </c>
      <c r="AH382" s="68">
        <f t="shared" si="864"/>
        <v>61</v>
      </c>
      <c r="AI382" s="68">
        <f t="shared" ref="AI382:BN382" si="865">+AI127</f>
        <v>73</v>
      </c>
      <c r="AJ382" s="1112">
        <f t="shared" si="865"/>
        <v>219</v>
      </c>
      <c r="AK382" s="68">
        <f t="shared" si="865"/>
        <v>74</v>
      </c>
      <c r="AL382" s="68">
        <f t="shared" si="865"/>
        <v>76</v>
      </c>
      <c r="AM382" s="68">
        <f t="shared" si="865"/>
        <v>88</v>
      </c>
      <c r="AN382" s="68">
        <f t="shared" si="865"/>
        <v>99</v>
      </c>
      <c r="AO382" s="1112">
        <f t="shared" si="865"/>
        <v>336</v>
      </c>
      <c r="AP382" s="68">
        <f t="shared" si="865"/>
        <v>114</v>
      </c>
      <c r="AQ382" s="68">
        <f t="shared" si="865"/>
        <v>145</v>
      </c>
      <c r="AR382" s="68">
        <f t="shared" si="865"/>
        <v>141</v>
      </c>
      <c r="AS382" s="68">
        <f t="shared" si="865"/>
        <v>140</v>
      </c>
      <c r="AT382" s="1112">
        <f t="shared" si="865"/>
        <v>540</v>
      </c>
      <c r="AU382" s="68">
        <f t="shared" si="865"/>
        <v>134</v>
      </c>
      <c r="AV382" s="68">
        <f t="shared" si="865"/>
        <v>228</v>
      </c>
      <c r="AW382" s="68">
        <f t="shared" si="865"/>
        <v>232</v>
      </c>
      <c r="AX382" s="68">
        <f t="shared" si="865"/>
        <v>266</v>
      </c>
      <c r="AY382" s="1112">
        <f t="shared" si="865"/>
        <v>860</v>
      </c>
      <c r="AZ382" s="68">
        <f t="shared" si="865"/>
        <v>276</v>
      </c>
      <c r="BA382" s="68">
        <f t="shared" si="865"/>
        <v>297</v>
      </c>
      <c r="BB382" s="68">
        <f t="shared" si="865"/>
        <v>363</v>
      </c>
      <c r="BC382" s="68">
        <f t="shared" si="865"/>
        <v>362</v>
      </c>
      <c r="BD382" s="1112">
        <f t="shared" si="865"/>
        <v>1298</v>
      </c>
      <c r="BE382" s="68">
        <f t="shared" si="865"/>
        <v>384</v>
      </c>
      <c r="BF382" s="68">
        <f t="shared" si="865"/>
        <v>452</v>
      </c>
      <c r="BG382" s="68">
        <f t="shared" si="865"/>
        <v>530</v>
      </c>
      <c r="BH382" s="68">
        <f t="shared" si="865"/>
        <v>527</v>
      </c>
      <c r="BI382" s="1112">
        <f t="shared" si="865"/>
        <v>1892</v>
      </c>
      <c r="BJ382" s="68">
        <f t="shared" si="865"/>
        <v>524</v>
      </c>
      <c r="BK382" s="68">
        <f t="shared" si="865"/>
        <v>600</v>
      </c>
      <c r="BL382" s="68">
        <f t="shared" si="865"/>
        <v>701</v>
      </c>
      <c r="BM382" s="68">
        <f t="shared" si="865"/>
        <v>706</v>
      </c>
      <c r="BN382" s="1112">
        <f t="shared" si="865"/>
        <v>2532</v>
      </c>
      <c r="BO382" s="68">
        <f t="shared" ref="BO382:BX382" si="866">+BO127</f>
        <v>727</v>
      </c>
      <c r="BP382" s="68">
        <f t="shared" si="866"/>
        <v>832</v>
      </c>
      <c r="BQ382" s="68">
        <f t="shared" si="866"/>
        <v>910</v>
      </c>
      <c r="BR382" s="68">
        <f t="shared" si="866"/>
        <v>955</v>
      </c>
      <c r="BS382" s="1112">
        <f t="shared" si="866"/>
        <v>3423</v>
      </c>
      <c r="BT382" s="68">
        <f t="shared" si="866"/>
        <v>1063</v>
      </c>
      <c r="BU382" s="68">
        <f t="shared" si="866"/>
        <v>1191</v>
      </c>
      <c r="BV382" s="68">
        <f t="shared" si="866"/>
        <v>1206</v>
      </c>
      <c r="BW382" s="68">
        <f t="shared" si="866"/>
        <v>1217</v>
      </c>
      <c r="BX382" s="1112">
        <f t="shared" si="866"/>
        <v>4676</v>
      </c>
      <c r="BY382" s="588"/>
      <c r="BZ382" s="68">
        <f>BZ69</f>
        <v>0</v>
      </c>
      <c r="CA382" s="147">
        <f>CA69</f>
        <v>0</v>
      </c>
      <c r="CB382" s="147">
        <f>CB69</f>
        <v>0</v>
      </c>
      <c r="CC382" s="1153">
        <f>SUM(BY382,BZ382,CA382,CB382)</f>
        <v>0</v>
      </c>
      <c r="CD382" s="68">
        <f>CD69</f>
        <v>0</v>
      </c>
      <c r="CE382" s="68">
        <f>CE69</f>
        <v>0</v>
      </c>
      <c r="CF382" s="147">
        <f>CF69</f>
        <v>0</v>
      </c>
      <c r="CG382" s="147">
        <f>CG69</f>
        <v>0</v>
      </c>
      <c r="CH382" s="1153">
        <f>SUM(CD382,CE382,CF382,CG382)</f>
        <v>0</v>
      </c>
      <c r="CI382" s="1153">
        <f>CI69</f>
        <v>0</v>
      </c>
      <c r="CJ382" s="1153">
        <f>CJ69</f>
        <v>0</v>
      </c>
      <c r="CK382" s="1153">
        <f>CK69</f>
        <v>0</v>
      </c>
      <c r="CL382" s="155"/>
    </row>
    <row r="383" spans="1:90" hidden="1" outlineLevel="2" x14ac:dyDescent="0.3">
      <c r="A383" s="632" t="s">
        <v>627</v>
      </c>
      <c r="B383" s="146"/>
      <c r="C383" s="1112">
        <f t="shared" ref="C383:AH383" si="867">C122</f>
        <v>0</v>
      </c>
      <c r="D383" s="1112">
        <f t="shared" si="867"/>
        <v>0</v>
      </c>
      <c r="E383" s="1112">
        <f t="shared" si="867"/>
        <v>0</v>
      </c>
      <c r="F383" s="1112">
        <f t="shared" si="867"/>
        <v>10.282</v>
      </c>
      <c r="G383" s="68">
        <f t="shared" si="867"/>
        <v>3.1710000000000003</v>
      </c>
      <c r="H383" s="68">
        <f t="shared" si="867"/>
        <v>2.7939999999999996</v>
      </c>
      <c r="I383" s="68">
        <f t="shared" si="867"/>
        <v>2.6660000000000004</v>
      </c>
      <c r="J383" s="68">
        <f t="shared" si="867"/>
        <v>3.6980000000000004</v>
      </c>
      <c r="K383" s="1112">
        <f t="shared" si="867"/>
        <v>25.137999999999998</v>
      </c>
      <c r="L383" s="68">
        <f t="shared" si="867"/>
        <v>3.8610000000000007</v>
      </c>
      <c r="M383" s="68">
        <f t="shared" si="867"/>
        <v>3.9640000000000004</v>
      </c>
      <c r="N383" s="68">
        <f t="shared" si="867"/>
        <v>1.577</v>
      </c>
      <c r="O383" s="68">
        <f t="shared" si="867"/>
        <v>4.25</v>
      </c>
      <c r="P383" s="1112">
        <f t="shared" si="867"/>
        <v>13.652000000000001</v>
      </c>
      <c r="Q383" s="68">
        <f t="shared" si="867"/>
        <v>4</v>
      </c>
      <c r="R383" s="68">
        <f t="shared" si="867"/>
        <v>4</v>
      </c>
      <c r="S383" s="68">
        <f t="shared" si="867"/>
        <v>5</v>
      </c>
      <c r="T383" s="68">
        <f t="shared" si="867"/>
        <v>4</v>
      </c>
      <c r="U383" s="1112">
        <f t="shared" si="867"/>
        <v>17</v>
      </c>
      <c r="V383" s="68">
        <f t="shared" si="867"/>
        <v>5</v>
      </c>
      <c r="W383" s="68">
        <f t="shared" si="867"/>
        <v>2</v>
      </c>
      <c r="X383" s="68">
        <f t="shared" si="867"/>
        <v>2</v>
      </c>
      <c r="Y383" s="68">
        <f t="shared" si="867"/>
        <v>2</v>
      </c>
      <c r="Z383" s="1112">
        <f t="shared" si="867"/>
        <v>12</v>
      </c>
      <c r="AA383" s="68">
        <f t="shared" si="867"/>
        <v>2</v>
      </c>
      <c r="AB383" s="68">
        <f t="shared" si="867"/>
        <v>2</v>
      </c>
      <c r="AC383" s="68">
        <f t="shared" si="867"/>
        <v>2</v>
      </c>
      <c r="AD383" s="68">
        <f t="shared" si="867"/>
        <v>2</v>
      </c>
      <c r="AE383" s="1112">
        <f t="shared" si="867"/>
        <v>8</v>
      </c>
      <c r="AF383" s="68">
        <f t="shared" si="867"/>
        <v>2</v>
      </c>
      <c r="AG383" s="68">
        <f t="shared" si="867"/>
        <v>2</v>
      </c>
      <c r="AH383" s="68">
        <f t="shared" si="867"/>
        <v>1</v>
      </c>
      <c r="AI383" s="68">
        <f t="shared" ref="AI383:BN383" si="868">AI122</f>
        <v>0</v>
      </c>
      <c r="AJ383" s="1112">
        <f t="shared" si="868"/>
        <v>5</v>
      </c>
      <c r="AK383" s="68">
        <f t="shared" si="868"/>
        <v>1</v>
      </c>
      <c r="AL383" s="68">
        <f t="shared" si="868"/>
        <v>1</v>
      </c>
      <c r="AM383" s="68">
        <f t="shared" si="868"/>
        <v>0</v>
      </c>
      <c r="AN383" s="68">
        <f t="shared" si="868"/>
        <v>0</v>
      </c>
      <c r="AO383" s="1112">
        <f t="shared" si="868"/>
        <v>1</v>
      </c>
      <c r="AP383" s="68">
        <f t="shared" si="868"/>
        <v>4</v>
      </c>
      <c r="AQ383" s="68">
        <f t="shared" si="868"/>
        <v>1</v>
      </c>
      <c r="AR383" s="68">
        <f t="shared" si="868"/>
        <v>1</v>
      </c>
      <c r="AS383" s="68">
        <f t="shared" si="868"/>
        <v>1</v>
      </c>
      <c r="AT383" s="1112">
        <f t="shared" si="868"/>
        <v>6</v>
      </c>
      <c r="AU383" s="68">
        <f t="shared" si="868"/>
        <v>2</v>
      </c>
      <c r="AV383" s="68">
        <f t="shared" si="868"/>
        <v>3</v>
      </c>
      <c r="AW383" s="68">
        <f t="shared" si="868"/>
        <v>2</v>
      </c>
      <c r="AX383" s="68">
        <f t="shared" si="868"/>
        <v>2</v>
      </c>
      <c r="AY383" s="1112">
        <f t="shared" si="868"/>
        <v>9</v>
      </c>
      <c r="AZ383" s="68">
        <f t="shared" si="868"/>
        <v>1</v>
      </c>
      <c r="BA383" s="68">
        <f t="shared" si="868"/>
        <v>1</v>
      </c>
      <c r="BB383" s="68">
        <f t="shared" si="868"/>
        <v>7</v>
      </c>
      <c r="BC383" s="68">
        <f t="shared" si="868"/>
        <v>9</v>
      </c>
      <c r="BD383" s="1112">
        <f t="shared" si="868"/>
        <v>19</v>
      </c>
      <c r="BE383" s="68">
        <f t="shared" si="868"/>
        <v>9</v>
      </c>
      <c r="BF383" s="68">
        <f t="shared" si="868"/>
        <v>10</v>
      </c>
      <c r="BG383" s="68">
        <f t="shared" si="868"/>
        <v>10</v>
      </c>
      <c r="BH383" s="68">
        <f t="shared" si="868"/>
        <v>10</v>
      </c>
      <c r="BI383" s="1112">
        <f t="shared" si="868"/>
        <v>39</v>
      </c>
      <c r="BJ383" s="68">
        <f t="shared" si="868"/>
        <v>12</v>
      </c>
      <c r="BK383" s="68">
        <f t="shared" si="868"/>
        <v>12</v>
      </c>
      <c r="BL383" s="68">
        <f t="shared" si="868"/>
        <v>12</v>
      </c>
      <c r="BM383" s="68">
        <f t="shared" si="868"/>
        <v>12</v>
      </c>
      <c r="BN383" s="1112">
        <f t="shared" si="868"/>
        <v>49</v>
      </c>
      <c r="BO383" s="68">
        <f t="shared" ref="BO383:BX383" si="869">BO122</f>
        <v>12</v>
      </c>
      <c r="BP383" s="68">
        <f t="shared" si="869"/>
        <v>17</v>
      </c>
      <c r="BQ383" s="68">
        <f t="shared" si="869"/>
        <v>23</v>
      </c>
      <c r="BR383" s="68">
        <f t="shared" si="869"/>
        <v>27</v>
      </c>
      <c r="BS383" s="1112">
        <f t="shared" si="869"/>
        <v>79</v>
      </c>
      <c r="BT383" s="68">
        <f t="shared" si="869"/>
        <v>28</v>
      </c>
      <c r="BU383" s="68">
        <f t="shared" si="869"/>
        <v>29</v>
      </c>
      <c r="BV383" s="68">
        <f t="shared" si="869"/>
        <v>35</v>
      </c>
      <c r="BW383" s="68">
        <f t="shared" si="869"/>
        <v>83</v>
      </c>
      <c r="BX383" s="1112">
        <f t="shared" si="869"/>
        <v>176</v>
      </c>
      <c r="BY383" s="588">
        <f>BY122</f>
        <v>167</v>
      </c>
      <c r="BZ383" s="68">
        <f>BZ71</f>
        <v>181.86697999999998</v>
      </c>
      <c r="CA383" s="147">
        <f>CA71</f>
        <v>91.535799999999995</v>
      </c>
      <c r="CB383" s="147">
        <f>CB71</f>
        <v>94.000950000000003</v>
      </c>
      <c r="CC383" s="1153">
        <f>SUM(BY383,BZ383,CA383,CB383)</f>
        <v>534.40373</v>
      </c>
      <c r="CD383" s="68">
        <f>CD71</f>
        <v>105.52355</v>
      </c>
      <c r="CE383" s="68">
        <f>CE71</f>
        <v>117.6687395</v>
      </c>
      <c r="CF383" s="147">
        <f>CF71</f>
        <v>114.19591999999999</v>
      </c>
      <c r="CG383" s="147">
        <f>CG71</f>
        <v>116.93735249999997</v>
      </c>
      <c r="CH383" s="1153">
        <f>SUM(CD383,CE383,CF383,CG383)</f>
        <v>454.32556199999999</v>
      </c>
      <c r="CI383" s="1153">
        <f>CI71</f>
        <v>541.90680114999998</v>
      </c>
      <c r="CJ383" s="1153">
        <f>CJ71</f>
        <v>636.56021689699992</v>
      </c>
      <c r="CK383" s="1153">
        <f>CK71</f>
        <v>747.96226663246011</v>
      </c>
      <c r="CL383" s="155"/>
    </row>
    <row r="384" spans="1:90" hidden="1" outlineLevel="2" x14ac:dyDescent="0.3">
      <c r="A384" s="148" t="s">
        <v>798</v>
      </c>
      <c r="B384" s="149"/>
      <c r="C384" s="1154"/>
      <c r="D384" s="1154"/>
      <c r="E384" s="1154"/>
      <c r="F384" s="1154"/>
      <c r="G384" s="659"/>
      <c r="H384" s="659"/>
      <c r="I384" s="659"/>
      <c r="J384" s="659"/>
      <c r="K384" s="1154"/>
      <c r="L384" s="659"/>
      <c r="M384" s="659"/>
      <c r="N384" s="659"/>
      <c r="O384" s="659"/>
      <c r="P384" s="1154"/>
      <c r="Q384" s="659"/>
      <c r="R384" s="659"/>
      <c r="S384" s="659"/>
      <c r="T384" s="659"/>
      <c r="U384" s="1154"/>
      <c r="V384" s="659"/>
      <c r="W384" s="659"/>
      <c r="X384" s="659"/>
      <c r="Y384" s="659"/>
      <c r="Z384" s="1154"/>
      <c r="AA384" s="659"/>
      <c r="AB384" s="659"/>
      <c r="AC384" s="659"/>
      <c r="AD384" s="659"/>
      <c r="AE384" s="1154"/>
      <c r="AF384" s="659"/>
      <c r="AG384" s="659"/>
      <c r="AH384" s="659"/>
      <c r="AI384" s="659"/>
      <c r="AJ384" s="1154"/>
      <c r="AK384" s="659"/>
      <c r="AL384" s="659"/>
      <c r="AM384" s="659"/>
      <c r="AN384" s="659"/>
      <c r="AO384" s="1154"/>
      <c r="AP384" s="659"/>
      <c r="AQ384" s="659"/>
      <c r="AR384" s="659"/>
      <c r="AS384" s="659"/>
      <c r="AT384" s="1154"/>
      <c r="AU384" s="659"/>
      <c r="AV384" s="659"/>
      <c r="AW384" s="659"/>
      <c r="AX384" s="659"/>
      <c r="AY384" s="1154"/>
      <c r="AZ384" s="659"/>
      <c r="BA384" s="659"/>
      <c r="BB384" s="659"/>
      <c r="BC384" s="659"/>
      <c r="BD384" s="1154"/>
      <c r="BE384" s="659"/>
      <c r="BF384" s="659"/>
      <c r="BG384" s="659"/>
      <c r="BH384" s="659"/>
      <c r="BI384" s="1154"/>
      <c r="BJ384" s="659"/>
      <c r="BK384" s="659"/>
      <c r="BL384" s="659"/>
      <c r="BM384" s="659"/>
      <c r="BN384" s="1154"/>
      <c r="BO384" s="659"/>
      <c r="BP384" s="659"/>
      <c r="BQ384" s="659"/>
      <c r="BR384" s="659"/>
      <c r="BS384" s="1154"/>
      <c r="BT384" s="659"/>
      <c r="BU384" s="659"/>
      <c r="BV384" s="659"/>
      <c r="BW384" s="659"/>
      <c r="BX384" s="1154"/>
      <c r="BY384" s="910"/>
      <c r="BZ384" s="659">
        <f t="shared" ref="BZ384:CB385" si="870">BZ73</f>
        <v>0</v>
      </c>
      <c r="CA384" s="660">
        <f t="shared" si="870"/>
        <v>0</v>
      </c>
      <c r="CB384" s="660">
        <f t="shared" si="870"/>
        <v>0</v>
      </c>
      <c r="CC384" s="1154">
        <f>SUM(BY384,BZ384,CA384,CB384)</f>
        <v>0</v>
      </c>
      <c r="CD384" s="659">
        <f t="shared" ref="CD384:CG385" si="871">CD73</f>
        <v>0</v>
      </c>
      <c r="CE384" s="659">
        <f t="shared" si="871"/>
        <v>0</v>
      </c>
      <c r="CF384" s="660">
        <f t="shared" si="871"/>
        <v>0</v>
      </c>
      <c r="CG384" s="660">
        <f t="shared" si="871"/>
        <v>0</v>
      </c>
      <c r="CH384" s="1154">
        <f>SUM(CD384,CE384,CF384,CG384)</f>
        <v>0</v>
      </c>
      <c r="CI384" s="1154">
        <f t="shared" ref="CI384:CK385" si="872">CI73</f>
        <v>0</v>
      </c>
      <c r="CJ384" s="1154">
        <f t="shared" si="872"/>
        <v>0</v>
      </c>
      <c r="CK384" s="1154">
        <f t="shared" si="872"/>
        <v>0</v>
      </c>
      <c r="CL384" s="155"/>
    </row>
    <row r="385" spans="1:90" collapsed="1" x14ac:dyDescent="0.3">
      <c r="A385" s="99" t="s">
        <v>93</v>
      </c>
      <c r="B385" s="102"/>
      <c r="C385" s="1112">
        <f t="shared" ref="C385:AH385" si="873">C381-SUM(C382:C384)</f>
        <v>757.87200000000007</v>
      </c>
      <c r="D385" s="1112">
        <f t="shared" si="873"/>
        <v>847.51400000000001</v>
      </c>
      <c r="E385" s="1112">
        <f t="shared" si="873"/>
        <v>790.85599999999999</v>
      </c>
      <c r="F385" s="1112">
        <f t="shared" si="873"/>
        <v>911.82100000000003</v>
      </c>
      <c r="G385" s="68">
        <f t="shared" si="873"/>
        <v>259.524</v>
      </c>
      <c r="H385" s="68">
        <f t="shared" si="873"/>
        <v>259.51400000000001</v>
      </c>
      <c r="I385" s="68">
        <f t="shared" si="873"/>
        <v>261.45800000000003</v>
      </c>
      <c r="J385" s="68">
        <f t="shared" si="873"/>
        <v>272.2999999999999</v>
      </c>
      <c r="K385" s="1112">
        <f t="shared" si="873"/>
        <v>1039.9869999999999</v>
      </c>
      <c r="L385" s="68">
        <f t="shared" si="873"/>
        <v>301.36500000000001</v>
      </c>
      <c r="M385" s="68">
        <f t="shared" si="873"/>
        <v>309.21899999999999</v>
      </c>
      <c r="N385" s="68">
        <f t="shared" si="873"/>
        <v>317.815</v>
      </c>
      <c r="O385" s="68">
        <f t="shared" si="873"/>
        <v>310.84299999999996</v>
      </c>
      <c r="P385" s="1112">
        <f t="shared" si="873"/>
        <v>1239.242</v>
      </c>
      <c r="Q385" s="68">
        <f t="shared" si="873"/>
        <v>309.04399999999998</v>
      </c>
      <c r="R385" s="68">
        <f t="shared" si="873"/>
        <v>312</v>
      </c>
      <c r="S385" s="68">
        <f t="shared" si="873"/>
        <v>312.32</v>
      </c>
      <c r="T385" s="68">
        <f t="shared" si="873"/>
        <v>322</v>
      </c>
      <c r="U385" s="1112">
        <f t="shared" si="873"/>
        <v>1255.364</v>
      </c>
      <c r="V385" s="68">
        <f t="shared" si="873"/>
        <v>307</v>
      </c>
      <c r="W385" s="68">
        <f t="shared" si="873"/>
        <v>291</v>
      </c>
      <c r="X385" s="68">
        <f t="shared" si="873"/>
        <v>299</v>
      </c>
      <c r="Y385" s="68">
        <f t="shared" si="873"/>
        <v>309</v>
      </c>
      <c r="Z385" s="1112">
        <f t="shared" si="873"/>
        <v>1204</v>
      </c>
      <c r="AA385" s="68">
        <f t="shared" si="873"/>
        <v>315</v>
      </c>
      <c r="AB385" s="68">
        <f t="shared" si="873"/>
        <v>318</v>
      </c>
      <c r="AC385" s="68">
        <f t="shared" si="873"/>
        <v>336</v>
      </c>
      <c r="AD385" s="68">
        <f t="shared" si="873"/>
        <v>352</v>
      </c>
      <c r="AE385" s="1112">
        <f t="shared" si="873"/>
        <v>1321</v>
      </c>
      <c r="AF385" s="68">
        <f t="shared" si="873"/>
        <v>368</v>
      </c>
      <c r="AG385" s="68">
        <f t="shared" si="873"/>
        <v>370</v>
      </c>
      <c r="AH385" s="68">
        <f t="shared" si="873"/>
        <v>400</v>
      </c>
      <c r="AI385" s="68">
        <f t="shared" ref="AI385:BE385" si="874">AI381-SUM(AI382:AI384)</f>
        <v>435</v>
      </c>
      <c r="AJ385" s="1112">
        <f t="shared" si="874"/>
        <v>1573</v>
      </c>
      <c r="AK385" s="68">
        <f t="shared" si="874"/>
        <v>467</v>
      </c>
      <c r="AL385" s="68">
        <f t="shared" si="874"/>
        <v>504</v>
      </c>
      <c r="AM385" s="68">
        <f t="shared" si="874"/>
        <v>517</v>
      </c>
      <c r="AN385" s="68">
        <f t="shared" si="874"/>
        <v>548</v>
      </c>
      <c r="AO385" s="1112">
        <f t="shared" si="874"/>
        <v>2039</v>
      </c>
      <c r="AP385" s="68">
        <f t="shared" si="874"/>
        <v>556</v>
      </c>
      <c r="AQ385" s="68">
        <f t="shared" si="874"/>
        <v>558</v>
      </c>
      <c r="AR385" s="68">
        <f t="shared" si="874"/>
        <v>570</v>
      </c>
      <c r="AS385" s="68">
        <f t="shared" si="874"/>
        <v>597</v>
      </c>
      <c r="AT385" s="1112">
        <f t="shared" si="874"/>
        <v>2283</v>
      </c>
      <c r="AU385" s="68">
        <f t="shared" si="874"/>
        <v>599</v>
      </c>
      <c r="AV385" s="68">
        <f t="shared" si="874"/>
        <v>766</v>
      </c>
      <c r="AW385" s="68">
        <f t="shared" si="874"/>
        <v>813</v>
      </c>
      <c r="AX385" s="68">
        <f t="shared" si="874"/>
        <v>879</v>
      </c>
      <c r="AY385" s="1112">
        <f t="shared" si="874"/>
        <v>3055</v>
      </c>
      <c r="AZ385" s="68">
        <f t="shared" si="874"/>
        <v>876</v>
      </c>
      <c r="BA385" s="68">
        <f t="shared" si="874"/>
        <v>947</v>
      </c>
      <c r="BB385" s="68">
        <f t="shared" si="874"/>
        <v>1033</v>
      </c>
      <c r="BC385" s="68">
        <f t="shared" si="874"/>
        <v>1095</v>
      </c>
      <c r="BD385" s="1112">
        <f t="shared" si="874"/>
        <v>3951</v>
      </c>
      <c r="BE385" s="68">
        <f t="shared" si="874"/>
        <v>1225</v>
      </c>
      <c r="BF385" s="68">
        <f t="shared" ref="BF385" si="875">BF381-SUM(BF382:BF384)</f>
        <v>1362</v>
      </c>
      <c r="BG385" s="68">
        <f>BG381-SUM(BG382:BG384)</f>
        <v>1405</v>
      </c>
      <c r="BH385" s="68">
        <f>BH381-SUM(BH382:BH384)</f>
        <v>1414</v>
      </c>
      <c r="BI385" s="1112">
        <f>BI381-SUM(BI382:BI384)</f>
        <v>5408</v>
      </c>
      <c r="BJ385" s="68">
        <f>BJ381-SUM(BJ382:BJ384)</f>
        <v>1339</v>
      </c>
      <c r="BK385" s="68">
        <f t="shared" ref="BK385" si="876">BK381-SUM(BK382:BK384)</f>
        <v>1428</v>
      </c>
      <c r="BL385" s="68">
        <f t="shared" ref="BL385:BQ385" si="877">BL381-SUM(BL382:BL384)</f>
        <v>1581</v>
      </c>
      <c r="BM385" s="68">
        <f t="shared" si="877"/>
        <v>1747</v>
      </c>
      <c r="BN385" s="1112">
        <f t="shared" si="877"/>
        <v>6094</v>
      </c>
      <c r="BO385" s="68">
        <f t="shared" si="877"/>
        <v>1981</v>
      </c>
      <c r="BP385" s="68">
        <f t="shared" si="877"/>
        <v>2241</v>
      </c>
      <c r="BQ385" s="68">
        <f t="shared" si="877"/>
        <v>2457</v>
      </c>
      <c r="BR385" s="68">
        <f t="shared" ref="BR385:BX385" si="878">BR381-SUM(BR382:BR384)</f>
        <v>2732</v>
      </c>
      <c r="BS385" s="1112">
        <f t="shared" si="878"/>
        <v>9412</v>
      </c>
      <c r="BT385" s="68">
        <f t="shared" si="878"/>
        <v>2898</v>
      </c>
      <c r="BU385" s="68">
        <f t="shared" si="878"/>
        <v>3071</v>
      </c>
      <c r="BV385" s="68">
        <f t="shared" si="878"/>
        <v>3464</v>
      </c>
      <c r="BW385" s="68">
        <f t="shared" si="878"/>
        <v>4212</v>
      </c>
      <c r="BX385" s="1112">
        <f t="shared" si="878"/>
        <v>13645</v>
      </c>
      <c r="BY385" s="588">
        <f>BY381-SUM(BY382:BY384)</f>
        <v>6154</v>
      </c>
      <c r="BZ385" s="68">
        <f t="shared" si="870"/>
        <v>6428.9683675705446</v>
      </c>
      <c r="CA385" s="68">
        <f t="shared" si="870"/>
        <v>5562.221717012244</v>
      </c>
      <c r="CB385" s="68">
        <f t="shared" si="870"/>
        <v>5811.6752741203927</v>
      </c>
      <c r="CC385" s="1153">
        <f>CC381-SUM(CC382:CC384)</f>
        <v>23956.86535870318</v>
      </c>
      <c r="CD385" s="68">
        <f t="shared" si="871"/>
        <v>7956.7717539667956</v>
      </c>
      <c r="CE385" s="68">
        <f t="shared" si="871"/>
        <v>8319.1418705847391</v>
      </c>
      <c r="CF385" s="68">
        <f t="shared" si="871"/>
        <v>6939.1759969126042</v>
      </c>
      <c r="CG385" s="68">
        <f t="shared" si="871"/>
        <v>7229.7345946541009</v>
      </c>
      <c r="CH385" s="1153">
        <f>CH381-SUM(CH382:CH384)</f>
        <v>30444.824216118242</v>
      </c>
      <c r="CI385" s="1153">
        <f t="shared" si="872"/>
        <v>36313.733327931681</v>
      </c>
      <c r="CJ385" s="1153">
        <f t="shared" si="872"/>
        <v>42656.556283318401</v>
      </c>
      <c r="CK385" s="1153">
        <f t="shared" si="872"/>
        <v>50121.722466310646</v>
      </c>
      <c r="CL385" s="155"/>
    </row>
    <row r="386" spans="1:90" hidden="1" outlineLevel="2" x14ac:dyDescent="0.3">
      <c r="A386" s="67" t="s">
        <v>94</v>
      </c>
      <c r="B386" s="102"/>
      <c r="C386" s="1114">
        <f t="shared" ref="C386:AH386" si="879">+C304</f>
        <v>362.22199999999998</v>
      </c>
      <c r="D386" s="1114">
        <f t="shared" si="879"/>
        <v>367.017</v>
      </c>
      <c r="E386" s="1114">
        <f t="shared" si="879"/>
        <v>361.51299999999998</v>
      </c>
      <c r="F386" s="1114">
        <f t="shared" si="879"/>
        <v>405.613</v>
      </c>
      <c r="G386" s="27">
        <f t="shared" si="879"/>
        <v>106.636</v>
      </c>
      <c r="H386" s="27">
        <f t="shared" si="879"/>
        <v>119.90300000000001</v>
      </c>
      <c r="I386" s="27">
        <f t="shared" si="879"/>
        <v>100.261</v>
      </c>
      <c r="J386" s="27">
        <f t="shared" si="879"/>
        <v>104.02200000000002</v>
      </c>
      <c r="K386" s="1114">
        <f t="shared" si="879"/>
        <v>430.822</v>
      </c>
      <c r="L386" s="27">
        <f t="shared" si="879"/>
        <v>108.626</v>
      </c>
      <c r="M386" s="27">
        <f t="shared" si="879"/>
        <v>108.26600000000001</v>
      </c>
      <c r="N386" s="27">
        <f t="shared" si="879"/>
        <v>103.133</v>
      </c>
      <c r="O386" s="27">
        <f t="shared" si="879"/>
        <v>115.67700000000001</v>
      </c>
      <c r="P386" s="1114">
        <f t="shared" si="879"/>
        <v>435.702</v>
      </c>
      <c r="Q386" s="27">
        <f t="shared" si="879"/>
        <v>119</v>
      </c>
      <c r="R386" s="27">
        <f t="shared" si="879"/>
        <v>119</v>
      </c>
      <c r="S386" s="27">
        <f t="shared" si="879"/>
        <v>123</v>
      </c>
      <c r="T386" s="27">
        <f t="shared" si="879"/>
        <v>119</v>
      </c>
      <c r="U386" s="1114">
        <f t="shared" si="879"/>
        <v>480</v>
      </c>
      <c r="V386" s="27">
        <f t="shared" si="879"/>
        <v>138</v>
      </c>
      <c r="W386" s="27">
        <f t="shared" si="879"/>
        <v>149</v>
      </c>
      <c r="X386" s="27">
        <f t="shared" si="879"/>
        <v>152</v>
      </c>
      <c r="Y386" s="27">
        <f t="shared" si="879"/>
        <v>161</v>
      </c>
      <c r="Z386" s="1114">
        <f t="shared" si="879"/>
        <v>602</v>
      </c>
      <c r="AA386" s="27">
        <f t="shared" si="879"/>
        <v>159</v>
      </c>
      <c r="AB386" s="27">
        <f t="shared" si="879"/>
        <v>157</v>
      </c>
      <c r="AC386" s="27">
        <f t="shared" si="879"/>
        <v>171</v>
      </c>
      <c r="AD386" s="27">
        <f t="shared" si="879"/>
        <v>176</v>
      </c>
      <c r="AE386" s="1114">
        <f t="shared" si="879"/>
        <v>663</v>
      </c>
      <c r="AF386" s="27">
        <f t="shared" si="879"/>
        <v>185</v>
      </c>
      <c r="AG386" s="27">
        <f t="shared" si="879"/>
        <v>198</v>
      </c>
      <c r="AH386" s="27">
        <f t="shared" si="879"/>
        <v>212</v>
      </c>
      <c r="AI386" s="27">
        <f t="shared" ref="AI386:BJ386" si="880">+AI304</f>
        <v>220</v>
      </c>
      <c r="AJ386" s="1114">
        <f t="shared" si="880"/>
        <v>815</v>
      </c>
      <c r="AK386" s="27">
        <f t="shared" si="880"/>
        <v>231</v>
      </c>
      <c r="AL386" s="27">
        <f t="shared" si="880"/>
        <v>237</v>
      </c>
      <c r="AM386" s="27">
        <f t="shared" si="880"/>
        <v>258</v>
      </c>
      <c r="AN386" s="27">
        <f t="shared" si="880"/>
        <v>266</v>
      </c>
      <c r="AO386" s="1114">
        <f t="shared" si="880"/>
        <v>991</v>
      </c>
      <c r="AP386" s="27">
        <f t="shared" si="880"/>
        <v>264</v>
      </c>
      <c r="AQ386" s="27">
        <f t="shared" si="880"/>
        <v>266</v>
      </c>
      <c r="AR386" s="27">
        <f t="shared" si="880"/>
        <v>277</v>
      </c>
      <c r="AS386" s="27">
        <f t="shared" si="880"/>
        <v>287</v>
      </c>
      <c r="AT386" s="1114">
        <f t="shared" si="880"/>
        <v>1093</v>
      </c>
      <c r="AU386" s="27">
        <f t="shared" si="880"/>
        <v>293</v>
      </c>
      <c r="AV386" s="27">
        <f t="shared" si="880"/>
        <v>627</v>
      </c>
      <c r="AW386" s="27">
        <f t="shared" si="880"/>
        <v>515</v>
      </c>
      <c r="AX386" s="27">
        <f t="shared" si="880"/>
        <v>503</v>
      </c>
      <c r="AY386" s="1114">
        <f t="shared" si="880"/>
        <v>1940</v>
      </c>
      <c r="AZ386" s="27">
        <f t="shared" si="880"/>
        <v>520</v>
      </c>
      <c r="BA386" s="27">
        <f t="shared" si="880"/>
        <v>526</v>
      </c>
      <c r="BB386" s="27">
        <f t="shared" si="880"/>
        <v>557</v>
      </c>
      <c r="BC386" s="27">
        <f t="shared" si="880"/>
        <v>563</v>
      </c>
      <c r="BD386" s="1114">
        <f t="shared" si="880"/>
        <v>2166</v>
      </c>
      <c r="BE386" s="27">
        <f t="shared" si="880"/>
        <v>592</v>
      </c>
      <c r="BF386" s="27">
        <f t="shared" si="880"/>
        <v>592</v>
      </c>
      <c r="BG386" s="27">
        <f t="shared" si="880"/>
        <v>631</v>
      </c>
      <c r="BH386" s="27">
        <f t="shared" si="880"/>
        <v>625</v>
      </c>
      <c r="BI386" s="1114">
        <f t="shared" si="880"/>
        <v>2440</v>
      </c>
      <c r="BJ386" s="27">
        <f t="shared" si="880"/>
        <v>633</v>
      </c>
      <c r="BK386" s="27">
        <f t="shared" ref="BK386" si="881">+BK304</f>
        <v>622</v>
      </c>
      <c r="BL386" s="27">
        <f t="shared" ref="BL386:BQ386" si="882">+BL304</f>
        <v>689</v>
      </c>
      <c r="BM386" s="27">
        <f t="shared" si="882"/>
        <v>711</v>
      </c>
      <c r="BN386" s="1114">
        <f t="shared" si="882"/>
        <v>2654</v>
      </c>
      <c r="BO386" s="27">
        <f t="shared" si="882"/>
        <v>777</v>
      </c>
      <c r="BP386" s="27">
        <f t="shared" si="882"/>
        <v>842</v>
      </c>
      <c r="BQ386" s="27">
        <f t="shared" si="882"/>
        <v>897</v>
      </c>
      <c r="BR386" s="27">
        <f t="shared" ref="BR386:BX386" si="883">+BR304</f>
        <v>975</v>
      </c>
      <c r="BS386" s="1114">
        <f t="shared" si="883"/>
        <v>3491</v>
      </c>
      <c r="BT386" s="27">
        <f t="shared" si="883"/>
        <v>1041</v>
      </c>
      <c r="BU386" s="27">
        <f t="shared" si="883"/>
        <v>1122</v>
      </c>
      <c r="BV386" s="27">
        <f t="shared" si="883"/>
        <v>1134</v>
      </c>
      <c r="BW386" s="27">
        <f t="shared" si="883"/>
        <v>1282</v>
      </c>
      <c r="BX386" s="1114">
        <f t="shared" si="883"/>
        <v>4579</v>
      </c>
      <c r="BY386" s="508">
        <f>+BY304</f>
        <v>1300</v>
      </c>
      <c r="BZ386" s="68">
        <f>BZ390+BZ387+BZ388+BZ389</f>
        <v>1910.4993378680015</v>
      </c>
      <c r="CA386" s="68">
        <f>CA390+CA387+CA388+CA389</f>
        <v>1224.204535714837</v>
      </c>
      <c r="CB386" s="68">
        <f>CB390+CB387+CB388+CB389</f>
        <v>1299.2452646400104</v>
      </c>
      <c r="CC386" s="1153">
        <f>SUM(BY386,BZ386,CA386,CB386)</f>
        <v>5733.9491382228489</v>
      </c>
      <c r="CD386" s="68">
        <f>CD390+CD387+CD388+CD389</f>
        <v>1695.466006942964</v>
      </c>
      <c r="CE386" s="68">
        <f>CE390+CE387+CE388+CE389</f>
        <v>2472.2030233581968</v>
      </c>
      <c r="CF386" s="68">
        <f>CF390+CF387+CF388+CF389</f>
        <v>1527.2621556170225</v>
      </c>
      <c r="CG386" s="68">
        <f>CG390+CG387+CG388+CG389</f>
        <v>1616.2634685624421</v>
      </c>
      <c r="CH386" s="1153">
        <f>SUM(CD386,CE386,CF386,CG386)</f>
        <v>7311.1946544806251</v>
      </c>
      <c r="CI386" s="1153">
        <f>CI390+CI387+CI388+CI389</f>
        <v>8449.6347396859128</v>
      </c>
      <c r="CJ386" s="1153">
        <f>CJ390+CJ387+CJ388+CJ389</f>
        <v>9607.2297969089414</v>
      </c>
      <c r="CK386" s="1153">
        <f>CK390+CK387+CK388+CK389</f>
        <v>10914.574425470195</v>
      </c>
      <c r="CL386" s="155"/>
    </row>
    <row r="387" spans="1:90" hidden="1" outlineLevel="2" x14ac:dyDescent="0.3">
      <c r="A387" s="572" t="s">
        <v>92</v>
      </c>
      <c r="B387" s="102"/>
      <c r="C387" s="1112">
        <f t="shared" ref="C387:AH387" si="884">+C128</f>
        <v>52.76</v>
      </c>
      <c r="D387" s="1112">
        <f t="shared" si="884"/>
        <v>33.704000000000001</v>
      </c>
      <c r="E387" s="1112">
        <f t="shared" si="884"/>
        <v>34.070999999999998</v>
      </c>
      <c r="F387" s="1112">
        <f t="shared" si="884"/>
        <v>44.53</v>
      </c>
      <c r="G387" s="68">
        <f t="shared" si="884"/>
        <v>11.836</v>
      </c>
      <c r="H387" s="68">
        <f t="shared" si="884"/>
        <v>10.721</v>
      </c>
      <c r="I387" s="68">
        <f t="shared" si="884"/>
        <v>10.523999999999999</v>
      </c>
      <c r="J387" s="68">
        <f t="shared" si="884"/>
        <v>10.933999999999999</v>
      </c>
      <c r="K387" s="1112">
        <f t="shared" si="884"/>
        <v>44.015000000000001</v>
      </c>
      <c r="L387" s="68">
        <f t="shared" si="884"/>
        <v>8.8089999999999993</v>
      </c>
      <c r="M387" s="68">
        <f t="shared" si="884"/>
        <v>11.672000000000001</v>
      </c>
      <c r="N387" s="68">
        <f t="shared" si="884"/>
        <v>10.307</v>
      </c>
      <c r="O387" s="68">
        <f t="shared" si="884"/>
        <v>11.879</v>
      </c>
      <c r="P387" s="1112">
        <f t="shared" si="884"/>
        <v>42.667000000000002</v>
      </c>
      <c r="Q387" s="68">
        <f t="shared" si="884"/>
        <v>12.405000000000003</v>
      </c>
      <c r="R387" s="68">
        <f t="shared" si="884"/>
        <v>14</v>
      </c>
      <c r="S387" s="68">
        <f t="shared" si="884"/>
        <v>15.734</v>
      </c>
      <c r="T387" s="68">
        <f t="shared" si="884"/>
        <v>15</v>
      </c>
      <c r="U387" s="1112">
        <f t="shared" si="884"/>
        <v>57.139000000000003</v>
      </c>
      <c r="V387" s="68">
        <f t="shared" si="884"/>
        <v>17</v>
      </c>
      <c r="W387" s="68">
        <f t="shared" si="884"/>
        <v>17</v>
      </c>
      <c r="X387" s="68">
        <f t="shared" si="884"/>
        <v>19</v>
      </c>
      <c r="Y387" s="68">
        <f t="shared" si="884"/>
        <v>22</v>
      </c>
      <c r="Z387" s="1112">
        <f t="shared" si="884"/>
        <v>75</v>
      </c>
      <c r="AA387" s="68">
        <f t="shared" si="884"/>
        <v>20</v>
      </c>
      <c r="AB387" s="68">
        <f t="shared" si="884"/>
        <v>24</v>
      </c>
      <c r="AC387" s="68">
        <f t="shared" si="884"/>
        <v>27</v>
      </c>
      <c r="AD387" s="68">
        <f t="shared" si="884"/>
        <v>27</v>
      </c>
      <c r="AE387" s="1112">
        <f t="shared" si="884"/>
        <v>98</v>
      </c>
      <c r="AF387" s="68">
        <f t="shared" si="884"/>
        <v>31</v>
      </c>
      <c r="AG387" s="68">
        <f t="shared" si="884"/>
        <v>33</v>
      </c>
      <c r="AH387" s="68">
        <f t="shared" si="884"/>
        <v>40</v>
      </c>
      <c r="AI387" s="68">
        <f t="shared" ref="AI387:BN387" si="885">+AI128</f>
        <v>46</v>
      </c>
      <c r="AJ387" s="1112">
        <f t="shared" si="885"/>
        <v>151</v>
      </c>
      <c r="AK387" s="68">
        <f t="shared" si="885"/>
        <v>47</v>
      </c>
      <c r="AL387" s="68">
        <f t="shared" si="885"/>
        <v>48</v>
      </c>
      <c r="AM387" s="68">
        <f t="shared" si="885"/>
        <v>47</v>
      </c>
      <c r="AN387" s="68">
        <f t="shared" si="885"/>
        <v>51</v>
      </c>
      <c r="AO387" s="1112">
        <f t="shared" si="885"/>
        <v>194</v>
      </c>
      <c r="AP387" s="68">
        <f t="shared" si="885"/>
        <v>60</v>
      </c>
      <c r="AQ387" s="68">
        <f t="shared" si="885"/>
        <v>71</v>
      </c>
      <c r="AR387" s="68">
        <f t="shared" si="885"/>
        <v>67</v>
      </c>
      <c r="AS387" s="68">
        <f t="shared" si="885"/>
        <v>68</v>
      </c>
      <c r="AT387" s="1112">
        <f t="shared" si="885"/>
        <v>265</v>
      </c>
      <c r="AU387" s="68">
        <f t="shared" si="885"/>
        <v>69</v>
      </c>
      <c r="AV387" s="68">
        <f t="shared" si="885"/>
        <v>132</v>
      </c>
      <c r="AW387" s="68">
        <f t="shared" si="885"/>
        <v>123</v>
      </c>
      <c r="AX387" s="68">
        <f t="shared" si="885"/>
        <v>125</v>
      </c>
      <c r="AY387" s="1112">
        <f t="shared" si="885"/>
        <v>449</v>
      </c>
      <c r="AZ387" s="68">
        <f t="shared" si="885"/>
        <v>128</v>
      </c>
      <c r="BA387" s="68">
        <f t="shared" si="885"/>
        <v>136</v>
      </c>
      <c r="BB387" s="68">
        <f t="shared" si="885"/>
        <v>152</v>
      </c>
      <c r="BC387" s="68">
        <f t="shared" si="885"/>
        <v>150</v>
      </c>
      <c r="BD387" s="1112">
        <f t="shared" si="885"/>
        <v>565</v>
      </c>
      <c r="BE387" s="68">
        <f t="shared" si="885"/>
        <v>156</v>
      </c>
      <c r="BF387" s="68">
        <f t="shared" si="885"/>
        <v>159</v>
      </c>
      <c r="BG387" s="68">
        <f t="shared" si="885"/>
        <v>183</v>
      </c>
      <c r="BH387" s="68">
        <f t="shared" si="885"/>
        <v>182</v>
      </c>
      <c r="BI387" s="1112">
        <f t="shared" si="885"/>
        <v>680</v>
      </c>
      <c r="BJ387" s="68">
        <f t="shared" si="885"/>
        <v>184</v>
      </c>
      <c r="BK387" s="68">
        <f t="shared" si="885"/>
        <v>211</v>
      </c>
      <c r="BL387" s="68">
        <f t="shared" si="885"/>
        <v>240</v>
      </c>
      <c r="BM387" s="68">
        <f t="shared" si="885"/>
        <v>242</v>
      </c>
      <c r="BN387" s="1112">
        <f t="shared" si="885"/>
        <v>876</v>
      </c>
      <c r="BO387" s="68">
        <f t="shared" ref="BO387:BX387" si="886">+BO128</f>
        <v>248</v>
      </c>
      <c r="BP387" s="68">
        <f t="shared" si="886"/>
        <v>282</v>
      </c>
      <c r="BQ387" s="68">
        <f t="shared" si="886"/>
        <v>292</v>
      </c>
      <c r="BR387" s="68">
        <f t="shared" si="886"/>
        <v>313</v>
      </c>
      <c r="BS387" s="1112">
        <f t="shared" si="886"/>
        <v>1136</v>
      </c>
      <c r="BT387" s="68">
        <f t="shared" si="886"/>
        <v>347</v>
      </c>
      <c r="BU387" s="68">
        <f t="shared" si="886"/>
        <v>375</v>
      </c>
      <c r="BV387" s="68">
        <f t="shared" si="886"/>
        <v>379</v>
      </c>
      <c r="BW387" s="68">
        <f t="shared" si="886"/>
        <v>347</v>
      </c>
      <c r="BX387" s="1112">
        <f t="shared" si="886"/>
        <v>1449</v>
      </c>
      <c r="BY387" s="588"/>
      <c r="BZ387" s="68">
        <f>BZ84</f>
        <v>0</v>
      </c>
      <c r="CA387" s="68">
        <f>CA84</f>
        <v>0</v>
      </c>
      <c r="CB387" s="68">
        <f>CB84</f>
        <v>0</v>
      </c>
      <c r="CC387" s="1153">
        <f>SUM(BY387,BZ387,CA387,CB387)</f>
        <v>0</v>
      </c>
      <c r="CD387" s="68">
        <f>CD84</f>
        <v>0</v>
      </c>
      <c r="CE387" s="68">
        <f>CE84</f>
        <v>0</v>
      </c>
      <c r="CF387" s="68">
        <f>CF84</f>
        <v>0</v>
      </c>
      <c r="CG387" s="68">
        <f>CG84</f>
        <v>0</v>
      </c>
      <c r="CH387" s="1153">
        <f>SUM(CD387,CE387,CF387,CG387)</f>
        <v>0</v>
      </c>
      <c r="CI387" s="1153">
        <f>CI84</f>
        <v>0</v>
      </c>
      <c r="CJ387" s="1153">
        <f>CJ84</f>
        <v>0</v>
      </c>
      <c r="CK387" s="1153">
        <f>CK84</f>
        <v>0</v>
      </c>
      <c r="CL387" s="155"/>
    </row>
    <row r="388" spans="1:90" hidden="1" outlineLevel="2" x14ac:dyDescent="0.3">
      <c r="A388" s="572" t="s">
        <v>628</v>
      </c>
      <c r="B388" s="102"/>
      <c r="C388" s="1112">
        <f t="shared" ref="C388:AH388" si="887">C123</f>
        <v>0</v>
      </c>
      <c r="D388" s="1112">
        <f t="shared" si="887"/>
        <v>0</v>
      </c>
      <c r="E388" s="1112">
        <f t="shared" si="887"/>
        <v>0</v>
      </c>
      <c r="F388" s="1112">
        <f t="shared" si="887"/>
        <v>10</v>
      </c>
      <c r="G388" s="68">
        <f t="shared" si="887"/>
        <v>2</v>
      </c>
      <c r="H388" s="68">
        <f t="shared" si="887"/>
        <v>2</v>
      </c>
      <c r="I388" s="68">
        <f t="shared" si="887"/>
        <v>2</v>
      </c>
      <c r="J388" s="68">
        <f t="shared" si="887"/>
        <v>5</v>
      </c>
      <c r="K388" s="1112">
        <f t="shared" si="887"/>
        <v>11</v>
      </c>
      <c r="L388" s="68">
        <f t="shared" si="887"/>
        <v>5</v>
      </c>
      <c r="M388" s="68">
        <f t="shared" si="887"/>
        <v>5</v>
      </c>
      <c r="N388" s="68">
        <f t="shared" si="887"/>
        <v>3</v>
      </c>
      <c r="O388" s="68">
        <f t="shared" si="887"/>
        <v>5</v>
      </c>
      <c r="P388" s="1112">
        <f t="shared" si="887"/>
        <v>18</v>
      </c>
      <c r="Q388" s="68">
        <f t="shared" si="887"/>
        <v>5</v>
      </c>
      <c r="R388" s="68">
        <f t="shared" si="887"/>
        <v>5</v>
      </c>
      <c r="S388" s="68">
        <f t="shared" si="887"/>
        <v>5</v>
      </c>
      <c r="T388" s="68">
        <f t="shared" si="887"/>
        <v>5</v>
      </c>
      <c r="U388" s="1112">
        <f t="shared" si="887"/>
        <v>20</v>
      </c>
      <c r="V388" s="68">
        <f t="shared" si="887"/>
        <v>4</v>
      </c>
      <c r="W388" s="68">
        <f t="shared" si="887"/>
        <v>2</v>
      </c>
      <c r="X388" s="68">
        <f t="shared" si="887"/>
        <v>2</v>
      </c>
      <c r="Y388" s="68">
        <f t="shared" si="887"/>
        <v>2</v>
      </c>
      <c r="Z388" s="1112">
        <f t="shared" si="887"/>
        <v>10</v>
      </c>
      <c r="AA388" s="68">
        <f t="shared" si="887"/>
        <v>2</v>
      </c>
      <c r="AB388" s="68">
        <f t="shared" si="887"/>
        <v>2</v>
      </c>
      <c r="AC388" s="68">
        <f t="shared" si="887"/>
        <v>2</v>
      </c>
      <c r="AD388" s="68">
        <f t="shared" si="887"/>
        <v>2</v>
      </c>
      <c r="AE388" s="1112">
        <f t="shared" si="887"/>
        <v>8</v>
      </c>
      <c r="AF388" s="68">
        <f t="shared" si="887"/>
        <v>2</v>
      </c>
      <c r="AG388" s="68">
        <f t="shared" si="887"/>
        <v>2</v>
      </c>
      <c r="AH388" s="68">
        <f t="shared" si="887"/>
        <v>2</v>
      </c>
      <c r="AI388" s="68">
        <f t="shared" ref="AI388:BN388" si="888">AI123</f>
        <v>2</v>
      </c>
      <c r="AJ388" s="1112">
        <f t="shared" si="888"/>
        <v>8</v>
      </c>
      <c r="AK388" s="68">
        <f t="shared" si="888"/>
        <v>1</v>
      </c>
      <c r="AL388" s="68">
        <f t="shared" si="888"/>
        <v>1</v>
      </c>
      <c r="AM388" s="68">
        <f t="shared" si="888"/>
        <v>1</v>
      </c>
      <c r="AN388" s="68">
        <f t="shared" si="888"/>
        <v>1</v>
      </c>
      <c r="AO388" s="1112">
        <f t="shared" si="888"/>
        <v>1</v>
      </c>
      <c r="AP388" s="68">
        <f t="shared" si="888"/>
        <v>6</v>
      </c>
      <c r="AQ388" s="68">
        <f t="shared" si="888"/>
        <v>4</v>
      </c>
      <c r="AR388" s="68">
        <f t="shared" si="888"/>
        <v>6</v>
      </c>
      <c r="AS388" s="68">
        <f t="shared" si="888"/>
        <v>6</v>
      </c>
      <c r="AT388" s="1112">
        <f t="shared" si="888"/>
        <v>25</v>
      </c>
      <c r="AU388" s="68">
        <f t="shared" si="888"/>
        <v>2</v>
      </c>
      <c r="AV388" s="68">
        <f t="shared" si="888"/>
        <v>226</v>
      </c>
      <c r="AW388" s="68">
        <f t="shared" si="888"/>
        <v>104</v>
      </c>
      <c r="AX388" s="68">
        <f t="shared" si="888"/>
        <v>70</v>
      </c>
      <c r="AY388" s="1112">
        <f t="shared" si="888"/>
        <v>402</v>
      </c>
      <c r="AZ388" s="68">
        <f t="shared" si="888"/>
        <v>79</v>
      </c>
      <c r="BA388" s="68">
        <f t="shared" si="888"/>
        <v>71</v>
      </c>
      <c r="BB388" s="68">
        <f t="shared" si="888"/>
        <v>63</v>
      </c>
      <c r="BC388" s="68">
        <f t="shared" si="888"/>
        <v>61</v>
      </c>
      <c r="BD388" s="1112">
        <f t="shared" si="888"/>
        <v>273</v>
      </c>
      <c r="BE388" s="68">
        <f t="shared" si="888"/>
        <v>46</v>
      </c>
      <c r="BF388" s="68">
        <f t="shared" si="888"/>
        <v>44</v>
      </c>
      <c r="BG388" s="68">
        <f t="shared" si="888"/>
        <v>44</v>
      </c>
      <c r="BH388" s="68">
        <f t="shared" si="888"/>
        <v>44</v>
      </c>
      <c r="BI388" s="1112">
        <f t="shared" si="888"/>
        <v>180</v>
      </c>
      <c r="BJ388" s="68">
        <f t="shared" si="888"/>
        <v>42</v>
      </c>
      <c r="BK388" s="68">
        <f t="shared" si="888"/>
        <v>6</v>
      </c>
      <c r="BL388" s="68">
        <f t="shared" si="888"/>
        <v>4</v>
      </c>
      <c r="BM388" s="68">
        <f t="shared" si="888"/>
        <v>6</v>
      </c>
      <c r="BN388" s="1112">
        <f t="shared" si="888"/>
        <v>57</v>
      </c>
      <c r="BO388" s="68">
        <f t="shared" ref="BO388:BX388" si="889">BO123</f>
        <v>8</v>
      </c>
      <c r="BP388" s="68">
        <f t="shared" si="889"/>
        <v>9</v>
      </c>
      <c r="BQ388" s="68">
        <f t="shared" si="889"/>
        <v>16</v>
      </c>
      <c r="BR388" s="68">
        <f t="shared" si="889"/>
        <v>16</v>
      </c>
      <c r="BS388" s="1112">
        <f t="shared" si="889"/>
        <v>51</v>
      </c>
      <c r="BT388" s="68">
        <f t="shared" si="889"/>
        <v>9</v>
      </c>
      <c r="BU388" s="68">
        <f t="shared" si="889"/>
        <v>8</v>
      </c>
      <c r="BV388" s="68">
        <f t="shared" si="889"/>
        <v>4</v>
      </c>
      <c r="BW388" s="68">
        <f t="shared" si="889"/>
        <v>7</v>
      </c>
      <c r="BX388" s="1112">
        <f t="shared" si="889"/>
        <v>28</v>
      </c>
      <c r="BY388" s="588">
        <f>BY123</f>
        <v>5</v>
      </c>
      <c r="BZ388" s="68">
        <f>BZ86</f>
        <v>18.186698</v>
      </c>
      <c r="CA388" s="68">
        <f>CA86</f>
        <v>18.30716</v>
      </c>
      <c r="CB388" s="68">
        <f>CB86</f>
        <v>18.800190000000001</v>
      </c>
      <c r="CC388" s="1153">
        <f>SUM(BY388,BZ388,CA388,CB388)</f>
        <v>60.294048000000004</v>
      </c>
      <c r="CD388" s="68">
        <f>CD86</f>
        <v>21.104710000000001</v>
      </c>
      <c r="CE388" s="68">
        <f>CE86</f>
        <v>23.533747900000002</v>
      </c>
      <c r="CF388" s="68">
        <f>CF86</f>
        <v>22.839183999999999</v>
      </c>
      <c r="CG388" s="68">
        <f>CG86</f>
        <v>23.387470499999996</v>
      </c>
      <c r="CH388" s="1153">
        <f>SUM(CD388,CE388,CF388,CG388)</f>
        <v>90.865112400000001</v>
      </c>
      <c r="CI388" s="1153">
        <f>CI86</f>
        <v>108.38136023</v>
      </c>
      <c r="CJ388" s="1153">
        <f>CJ86</f>
        <v>127.31204337939998</v>
      </c>
      <c r="CK388" s="1153">
        <f>CK86</f>
        <v>149.59245332649201</v>
      </c>
      <c r="CL388" s="155"/>
    </row>
    <row r="389" spans="1:90" hidden="1" outlineLevel="2" x14ac:dyDescent="0.3">
      <c r="A389" s="649" t="s">
        <v>797</v>
      </c>
      <c r="B389" s="149"/>
      <c r="C389" s="1154">
        <f t="shared" ref="C389:AH389" si="890">-C347</f>
        <v>0</v>
      </c>
      <c r="D389" s="1154">
        <f t="shared" si="890"/>
        <v>0</v>
      </c>
      <c r="E389" s="1154">
        <f t="shared" si="890"/>
        <v>0</v>
      </c>
      <c r="F389" s="1154">
        <f t="shared" si="890"/>
        <v>0</v>
      </c>
      <c r="G389" s="659">
        <f t="shared" si="890"/>
        <v>0</v>
      </c>
      <c r="H389" s="659">
        <f t="shared" si="890"/>
        <v>20.126999999999999</v>
      </c>
      <c r="I389" s="659">
        <f t="shared" si="890"/>
        <v>0</v>
      </c>
      <c r="J389" s="659">
        <f t="shared" si="890"/>
        <v>0</v>
      </c>
      <c r="K389" s="1154">
        <f t="shared" si="890"/>
        <v>20.126999999999999</v>
      </c>
      <c r="L389" s="659">
        <f t="shared" si="890"/>
        <v>0</v>
      </c>
      <c r="M389" s="659">
        <f t="shared" si="890"/>
        <v>0</v>
      </c>
      <c r="N389" s="659">
        <f t="shared" si="890"/>
        <v>0</v>
      </c>
      <c r="O389" s="659">
        <f t="shared" si="890"/>
        <v>0</v>
      </c>
      <c r="P389" s="1154">
        <f t="shared" si="890"/>
        <v>0</v>
      </c>
      <c r="Q389" s="659">
        <f t="shared" si="890"/>
        <v>0</v>
      </c>
      <c r="R389" s="659">
        <f t="shared" si="890"/>
        <v>0</v>
      </c>
      <c r="S389" s="659">
        <f t="shared" si="890"/>
        <v>0</v>
      </c>
      <c r="T389" s="659">
        <f t="shared" si="890"/>
        <v>0</v>
      </c>
      <c r="U389" s="1154">
        <f t="shared" si="890"/>
        <v>0</v>
      </c>
      <c r="V389" s="659">
        <f t="shared" si="890"/>
        <v>0</v>
      </c>
      <c r="W389" s="659">
        <f t="shared" si="890"/>
        <v>0</v>
      </c>
      <c r="X389" s="659">
        <f t="shared" si="890"/>
        <v>0</v>
      </c>
      <c r="Y389" s="659">
        <f t="shared" si="890"/>
        <v>0</v>
      </c>
      <c r="Z389" s="1154">
        <f t="shared" si="890"/>
        <v>0</v>
      </c>
      <c r="AA389" s="659">
        <f t="shared" si="890"/>
        <v>3</v>
      </c>
      <c r="AB389" s="659">
        <f t="shared" si="890"/>
        <v>1</v>
      </c>
      <c r="AC389" s="659">
        <f t="shared" si="890"/>
        <v>0</v>
      </c>
      <c r="AD389" s="659">
        <f t="shared" si="890"/>
        <v>0</v>
      </c>
      <c r="AE389" s="1154">
        <f t="shared" si="890"/>
        <v>4</v>
      </c>
      <c r="AF389" s="659">
        <f t="shared" si="890"/>
        <v>2</v>
      </c>
      <c r="AG389" s="659">
        <f t="shared" si="890"/>
        <v>0</v>
      </c>
      <c r="AH389" s="659">
        <f t="shared" si="890"/>
        <v>0</v>
      </c>
      <c r="AI389" s="659">
        <f t="shared" ref="AI389:AY389" si="891">-AI347</f>
        <v>0</v>
      </c>
      <c r="AJ389" s="1154">
        <f t="shared" si="891"/>
        <v>2</v>
      </c>
      <c r="AK389" s="659">
        <f t="shared" si="891"/>
        <v>0</v>
      </c>
      <c r="AL389" s="659">
        <f t="shared" si="891"/>
        <v>0</v>
      </c>
      <c r="AM389" s="659">
        <f t="shared" si="891"/>
        <v>0</v>
      </c>
      <c r="AN389" s="659">
        <f t="shared" si="891"/>
        <v>0</v>
      </c>
      <c r="AO389" s="1154">
        <f t="shared" si="891"/>
        <v>0</v>
      </c>
      <c r="AP389" s="659">
        <f t="shared" si="891"/>
        <v>0</v>
      </c>
      <c r="AQ389" s="659">
        <f t="shared" si="891"/>
        <v>0</v>
      </c>
      <c r="AR389" s="659">
        <f t="shared" si="891"/>
        <v>0</v>
      </c>
      <c r="AS389" s="659">
        <f t="shared" si="891"/>
        <v>0</v>
      </c>
      <c r="AT389" s="1154">
        <f t="shared" si="891"/>
        <v>0</v>
      </c>
      <c r="AU389" s="659">
        <f t="shared" si="891"/>
        <v>0</v>
      </c>
      <c r="AV389" s="659">
        <f t="shared" si="891"/>
        <v>0</v>
      </c>
      <c r="AW389" s="659">
        <f t="shared" si="891"/>
        <v>0</v>
      </c>
      <c r="AX389" s="659">
        <f t="shared" si="891"/>
        <v>0</v>
      </c>
      <c r="AY389" s="1154">
        <f t="shared" si="891"/>
        <v>0</v>
      </c>
      <c r="AZ389" s="659">
        <f t="shared" ref="AZ389:BH389" si="892">-AZ347-AZ344</f>
        <v>0</v>
      </c>
      <c r="BA389" s="659">
        <f t="shared" si="892"/>
        <v>0</v>
      </c>
      <c r="BB389" s="659">
        <f t="shared" si="892"/>
        <v>0</v>
      </c>
      <c r="BC389" s="659">
        <f t="shared" si="892"/>
        <v>0</v>
      </c>
      <c r="BD389" s="1154">
        <f t="shared" si="892"/>
        <v>0</v>
      </c>
      <c r="BE389" s="659">
        <f t="shared" si="892"/>
        <v>0</v>
      </c>
      <c r="BF389" s="659">
        <f t="shared" si="892"/>
        <v>2</v>
      </c>
      <c r="BG389" s="659">
        <f t="shared" si="892"/>
        <v>16</v>
      </c>
      <c r="BH389" s="659">
        <f t="shared" si="892"/>
        <v>38</v>
      </c>
      <c r="BI389" s="1154">
        <f>-BI347-BI344</f>
        <v>56</v>
      </c>
      <c r="BJ389" s="659">
        <f>-BJ347-BJ344</f>
        <v>-4</v>
      </c>
      <c r="BK389" s="659">
        <f t="shared" ref="BK389" si="893">-BK347-BK344</f>
        <v>-5</v>
      </c>
      <c r="BL389" s="659">
        <f t="shared" ref="BL389:BQ389" si="894">-BL347-BL344</f>
        <v>0</v>
      </c>
      <c r="BM389" s="659">
        <f t="shared" si="894"/>
        <v>0</v>
      </c>
      <c r="BN389" s="1154">
        <f t="shared" si="894"/>
        <v>-10</v>
      </c>
      <c r="BO389" s="659">
        <f t="shared" si="894"/>
        <v>0</v>
      </c>
      <c r="BP389" s="659">
        <f t="shared" si="894"/>
        <v>0</v>
      </c>
      <c r="BQ389" s="659">
        <f t="shared" si="894"/>
        <v>0</v>
      </c>
      <c r="BR389" s="659">
        <f t="shared" ref="BR389:BX389" si="895">-BR347-BR344</f>
        <v>0</v>
      </c>
      <c r="BS389" s="1154">
        <f t="shared" si="895"/>
        <v>0</v>
      </c>
      <c r="BT389" s="659">
        <f t="shared" si="895"/>
        <v>0</v>
      </c>
      <c r="BU389" s="659">
        <f t="shared" si="895"/>
        <v>0</v>
      </c>
      <c r="BV389" s="659">
        <f t="shared" si="895"/>
        <v>0</v>
      </c>
      <c r="BW389" s="659">
        <f t="shared" si="895"/>
        <v>0</v>
      </c>
      <c r="BX389" s="1154">
        <f t="shared" si="895"/>
        <v>0</v>
      </c>
      <c r="BY389" s="910">
        <f>-BY347-BY344</f>
        <v>0</v>
      </c>
      <c r="BZ389" s="659">
        <f t="shared" ref="BZ389:CB390" si="896">BZ88</f>
        <v>0</v>
      </c>
      <c r="CA389" s="659">
        <f t="shared" si="896"/>
        <v>0</v>
      </c>
      <c r="CB389" s="659">
        <f t="shared" si="896"/>
        <v>0</v>
      </c>
      <c r="CC389" s="1154">
        <f>SUM(BY389,BZ389,CA389,CB389)</f>
        <v>0</v>
      </c>
      <c r="CD389" s="659">
        <f t="shared" ref="CD389:CG390" si="897">CD88</f>
        <v>0</v>
      </c>
      <c r="CE389" s="659">
        <f t="shared" si="897"/>
        <v>0</v>
      </c>
      <c r="CF389" s="659">
        <f t="shared" si="897"/>
        <v>0</v>
      </c>
      <c r="CG389" s="659">
        <f t="shared" si="897"/>
        <v>0</v>
      </c>
      <c r="CH389" s="1154">
        <f>SUM(CD389,CE389,CF389,CG389)</f>
        <v>0</v>
      </c>
      <c r="CI389" s="1154">
        <f t="shared" ref="CI389:CK390" si="898">CI88</f>
        <v>0</v>
      </c>
      <c r="CJ389" s="1154">
        <f t="shared" si="898"/>
        <v>0</v>
      </c>
      <c r="CK389" s="1154">
        <f t="shared" si="898"/>
        <v>0</v>
      </c>
      <c r="CL389" s="155"/>
    </row>
    <row r="390" spans="1:90" collapsed="1" x14ac:dyDescent="0.3">
      <c r="A390" s="99" t="s">
        <v>95</v>
      </c>
      <c r="B390" s="102"/>
      <c r="C390" s="1112">
        <f t="shared" ref="C390:AH390" si="899">C386-SUM(C387:C389)</f>
        <v>309.46199999999999</v>
      </c>
      <c r="D390" s="1112">
        <f t="shared" si="899"/>
        <v>333.31299999999999</v>
      </c>
      <c r="E390" s="1112">
        <f t="shared" si="899"/>
        <v>327.44200000000001</v>
      </c>
      <c r="F390" s="1112">
        <f t="shared" si="899"/>
        <v>351.08299999999997</v>
      </c>
      <c r="G390" s="68">
        <f t="shared" si="899"/>
        <v>92.8</v>
      </c>
      <c r="H390" s="68">
        <f t="shared" si="899"/>
        <v>87.055000000000007</v>
      </c>
      <c r="I390" s="68">
        <f t="shared" si="899"/>
        <v>87.736999999999995</v>
      </c>
      <c r="J390" s="68">
        <f t="shared" si="899"/>
        <v>88.088000000000022</v>
      </c>
      <c r="K390" s="1112">
        <f t="shared" si="899"/>
        <v>355.68</v>
      </c>
      <c r="L390" s="68">
        <f t="shared" si="899"/>
        <v>94.817000000000007</v>
      </c>
      <c r="M390" s="68">
        <f t="shared" si="899"/>
        <v>91.594000000000008</v>
      </c>
      <c r="N390" s="68">
        <f t="shared" si="899"/>
        <v>89.825999999999993</v>
      </c>
      <c r="O390" s="68">
        <f t="shared" si="899"/>
        <v>98.798000000000002</v>
      </c>
      <c r="P390" s="1112">
        <f t="shared" si="899"/>
        <v>375.03499999999997</v>
      </c>
      <c r="Q390" s="68">
        <f t="shared" si="899"/>
        <v>101.595</v>
      </c>
      <c r="R390" s="68">
        <f t="shared" si="899"/>
        <v>100</v>
      </c>
      <c r="S390" s="68">
        <f t="shared" si="899"/>
        <v>102.26599999999999</v>
      </c>
      <c r="T390" s="68">
        <f t="shared" si="899"/>
        <v>99</v>
      </c>
      <c r="U390" s="1112">
        <f t="shared" si="899"/>
        <v>402.86099999999999</v>
      </c>
      <c r="V390" s="68">
        <f t="shared" si="899"/>
        <v>117</v>
      </c>
      <c r="W390" s="68">
        <f t="shared" si="899"/>
        <v>130</v>
      </c>
      <c r="X390" s="68">
        <f t="shared" si="899"/>
        <v>131</v>
      </c>
      <c r="Y390" s="68">
        <f t="shared" si="899"/>
        <v>137</v>
      </c>
      <c r="Z390" s="1112">
        <f t="shared" si="899"/>
        <v>517</v>
      </c>
      <c r="AA390" s="68">
        <f t="shared" si="899"/>
        <v>134</v>
      </c>
      <c r="AB390" s="68">
        <f t="shared" si="899"/>
        <v>130</v>
      </c>
      <c r="AC390" s="68">
        <f t="shared" si="899"/>
        <v>142</v>
      </c>
      <c r="AD390" s="68">
        <f t="shared" si="899"/>
        <v>147</v>
      </c>
      <c r="AE390" s="1112">
        <f t="shared" si="899"/>
        <v>553</v>
      </c>
      <c r="AF390" s="68">
        <f t="shared" si="899"/>
        <v>150</v>
      </c>
      <c r="AG390" s="68">
        <f t="shared" si="899"/>
        <v>163</v>
      </c>
      <c r="AH390" s="68">
        <f t="shared" si="899"/>
        <v>170</v>
      </c>
      <c r="AI390" s="68">
        <f t="shared" ref="AI390:BE390" si="900">AI386-SUM(AI387:AI389)</f>
        <v>172</v>
      </c>
      <c r="AJ390" s="1112">
        <f t="shared" si="900"/>
        <v>654</v>
      </c>
      <c r="AK390" s="68">
        <f t="shared" si="900"/>
        <v>183</v>
      </c>
      <c r="AL390" s="68">
        <f t="shared" si="900"/>
        <v>188</v>
      </c>
      <c r="AM390" s="68">
        <f t="shared" si="900"/>
        <v>210</v>
      </c>
      <c r="AN390" s="68">
        <f t="shared" si="900"/>
        <v>214</v>
      </c>
      <c r="AO390" s="1112">
        <f t="shared" si="900"/>
        <v>796</v>
      </c>
      <c r="AP390" s="68">
        <f t="shared" si="900"/>
        <v>198</v>
      </c>
      <c r="AQ390" s="68">
        <f t="shared" si="900"/>
        <v>191</v>
      </c>
      <c r="AR390" s="68">
        <f t="shared" si="900"/>
        <v>204</v>
      </c>
      <c r="AS390" s="68">
        <f t="shared" si="900"/>
        <v>213</v>
      </c>
      <c r="AT390" s="1112">
        <f t="shared" si="900"/>
        <v>803</v>
      </c>
      <c r="AU390" s="68">
        <f t="shared" si="900"/>
        <v>222</v>
      </c>
      <c r="AV390" s="68">
        <f t="shared" si="900"/>
        <v>269</v>
      </c>
      <c r="AW390" s="68">
        <f t="shared" si="900"/>
        <v>288</v>
      </c>
      <c r="AX390" s="68">
        <f t="shared" si="900"/>
        <v>308</v>
      </c>
      <c r="AY390" s="1112">
        <f t="shared" si="900"/>
        <v>1089</v>
      </c>
      <c r="AZ390" s="68">
        <f t="shared" si="900"/>
        <v>313</v>
      </c>
      <c r="BA390" s="68">
        <f t="shared" si="900"/>
        <v>319</v>
      </c>
      <c r="BB390" s="68">
        <f t="shared" si="900"/>
        <v>342</v>
      </c>
      <c r="BC390" s="68">
        <f t="shared" si="900"/>
        <v>352</v>
      </c>
      <c r="BD390" s="1112">
        <f t="shared" si="900"/>
        <v>1328</v>
      </c>
      <c r="BE390" s="68">
        <f t="shared" si="900"/>
        <v>390</v>
      </c>
      <c r="BF390" s="68">
        <f t="shared" ref="BF390" si="901">BF386-SUM(BF387:BF389)</f>
        <v>387</v>
      </c>
      <c r="BG390" s="68">
        <f>BG386-SUM(BG387:BG389)</f>
        <v>388</v>
      </c>
      <c r="BH390" s="68">
        <f>BH386-SUM(BH387:BH389)</f>
        <v>361</v>
      </c>
      <c r="BI390" s="1112">
        <f>BI386-SUM(BI387:BI389)</f>
        <v>1524</v>
      </c>
      <c r="BJ390" s="68">
        <f>BJ386-SUM(BJ387:BJ389)</f>
        <v>411</v>
      </c>
      <c r="BK390" s="68">
        <f t="shared" ref="BK390" si="902">BK386-SUM(BK387:BK389)</f>
        <v>410</v>
      </c>
      <c r="BL390" s="68">
        <f t="shared" ref="BL390:BQ390" si="903">BL386-SUM(BL387:BL389)</f>
        <v>445</v>
      </c>
      <c r="BM390" s="68">
        <f t="shared" si="903"/>
        <v>463</v>
      </c>
      <c r="BN390" s="1112">
        <f t="shared" si="903"/>
        <v>1731</v>
      </c>
      <c r="BO390" s="68">
        <f t="shared" si="903"/>
        <v>521</v>
      </c>
      <c r="BP390" s="68">
        <f t="shared" si="903"/>
        <v>551</v>
      </c>
      <c r="BQ390" s="68">
        <f t="shared" si="903"/>
        <v>589</v>
      </c>
      <c r="BR390" s="68">
        <f t="shared" ref="BR390:BX390" si="904">BR386-SUM(BR387:BR389)</f>
        <v>646</v>
      </c>
      <c r="BS390" s="1112">
        <f t="shared" si="904"/>
        <v>2304</v>
      </c>
      <c r="BT390" s="68">
        <f t="shared" si="904"/>
        <v>685</v>
      </c>
      <c r="BU390" s="68">
        <f t="shared" si="904"/>
        <v>739</v>
      </c>
      <c r="BV390" s="68">
        <f t="shared" si="904"/>
        <v>751</v>
      </c>
      <c r="BW390" s="68">
        <f t="shared" si="904"/>
        <v>928</v>
      </c>
      <c r="BX390" s="1112">
        <f t="shared" si="904"/>
        <v>3102</v>
      </c>
      <c r="BY390" s="588">
        <f>BY386-SUM(BY387:BY389)</f>
        <v>1295</v>
      </c>
      <c r="BZ390" s="68">
        <f t="shared" si="896"/>
        <v>1892.3126398680015</v>
      </c>
      <c r="CA390" s="68">
        <f t="shared" si="896"/>
        <v>1205.8973757148369</v>
      </c>
      <c r="CB390" s="68">
        <f t="shared" si="896"/>
        <v>1280.4450746400105</v>
      </c>
      <c r="CC390" s="1153">
        <f>CC386-SUM(CC387:CC389)</f>
        <v>5673.6550902228491</v>
      </c>
      <c r="CD390" s="68">
        <f t="shared" si="897"/>
        <v>1674.3612969429639</v>
      </c>
      <c r="CE390" s="68">
        <f t="shared" si="897"/>
        <v>2448.6692754581968</v>
      </c>
      <c r="CF390" s="68">
        <f t="shared" si="897"/>
        <v>1504.4229716170225</v>
      </c>
      <c r="CG390" s="68">
        <f t="shared" si="897"/>
        <v>1592.875998062442</v>
      </c>
      <c r="CH390" s="1153">
        <f>CH386-SUM(CH387:CH389)</f>
        <v>7220.3295420806253</v>
      </c>
      <c r="CI390" s="1153">
        <f t="shared" si="898"/>
        <v>8341.2533794559131</v>
      </c>
      <c r="CJ390" s="1153">
        <f t="shared" si="898"/>
        <v>9479.9177535295421</v>
      </c>
      <c r="CK390" s="1153">
        <f t="shared" si="898"/>
        <v>10764.981972143703</v>
      </c>
      <c r="CL390" s="155"/>
    </row>
    <row r="391" spans="1:90" hidden="1" outlineLevel="1" x14ac:dyDescent="0.3">
      <c r="A391" s="99" t="s">
        <v>808</v>
      </c>
      <c r="B391" s="102"/>
      <c r="C391" s="1112">
        <f t="shared" ref="C391:AH391" si="905">SUM(C305:C307)</f>
        <v>26.867999999999999</v>
      </c>
      <c r="D391" s="1112">
        <f t="shared" si="905"/>
        <v>0</v>
      </c>
      <c r="E391" s="1112">
        <f t="shared" si="905"/>
        <v>-57</v>
      </c>
      <c r="F391" s="1112">
        <f t="shared" si="905"/>
        <v>0</v>
      </c>
      <c r="G391" s="68">
        <f t="shared" si="905"/>
        <v>0</v>
      </c>
      <c r="H391" s="68">
        <f t="shared" si="905"/>
        <v>0</v>
      </c>
      <c r="I391" s="68">
        <f t="shared" si="905"/>
        <v>0</v>
      </c>
      <c r="J391" s="68">
        <f t="shared" si="905"/>
        <v>0</v>
      </c>
      <c r="K391" s="1112">
        <f t="shared" si="905"/>
        <v>0</v>
      </c>
      <c r="L391" s="68">
        <f t="shared" si="905"/>
        <v>0</v>
      </c>
      <c r="M391" s="68">
        <f t="shared" si="905"/>
        <v>0</v>
      </c>
      <c r="N391" s="68">
        <f t="shared" si="905"/>
        <v>0</v>
      </c>
      <c r="O391" s="68">
        <f t="shared" si="905"/>
        <v>0</v>
      </c>
      <c r="P391" s="1112">
        <f t="shared" si="905"/>
        <v>0</v>
      </c>
      <c r="Q391" s="68">
        <f t="shared" si="905"/>
        <v>0</v>
      </c>
      <c r="R391" s="68">
        <f t="shared" si="905"/>
        <v>0</v>
      </c>
      <c r="S391" s="68">
        <f t="shared" si="905"/>
        <v>0</v>
      </c>
      <c r="T391" s="68">
        <f t="shared" si="905"/>
        <v>0</v>
      </c>
      <c r="U391" s="1112">
        <f t="shared" si="905"/>
        <v>0</v>
      </c>
      <c r="V391" s="68">
        <f t="shared" si="905"/>
        <v>0</v>
      </c>
      <c r="W391" s="68">
        <f t="shared" si="905"/>
        <v>89</v>
      </c>
      <c r="X391" s="68">
        <f t="shared" si="905"/>
        <v>8</v>
      </c>
      <c r="Y391" s="68">
        <f t="shared" si="905"/>
        <v>34</v>
      </c>
      <c r="Z391" s="1112">
        <f t="shared" si="905"/>
        <v>131</v>
      </c>
      <c r="AA391" s="68">
        <f t="shared" si="905"/>
        <v>1</v>
      </c>
      <c r="AB391" s="68">
        <f t="shared" si="905"/>
        <v>2</v>
      </c>
      <c r="AC391" s="68">
        <f t="shared" si="905"/>
        <v>0</v>
      </c>
      <c r="AD391" s="68">
        <f t="shared" si="905"/>
        <v>0</v>
      </c>
      <c r="AE391" s="1112">
        <f t="shared" si="905"/>
        <v>3</v>
      </c>
      <c r="AF391" s="68">
        <f t="shared" si="905"/>
        <v>0</v>
      </c>
      <c r="AG391" s="68">
        <f t="shared" si="905"/>
        <v>0</v>
      </c>
      <c r="AH391" s="68">
        <f t="shared" si="905"/>
        <v>0</v>
      </c>
      <c r="AI391" s="68">
        <f t="shared" ref="AI391:BJ391" si="906">SUM(AI305:AI307)</f>
        <v>0</v>
      </c>
      <c r="AJ391" s="1112">
        <f t="shared" si="906"/>
        <v>0</v>
      </c>
      <c r="AK391" s="68">
        <f t="shared" si="906"/>
        <v>0</v>
      </c>
      <c r="AL391" s="68">
        <f t="shared" si="906"/>
        <v>0</v>
      </c>
      <c r="AM391" s="68">
        <f t="shared" si="906"/>
        <v>0</v>
      </c>
      <c r="AN391" s="68">
        <f t="shared" si="906"/>
        <v>0</v>
      </c>
      <c r="AO391" s="1112">
        <f t="shared" si="906"/>
        <v>0</v>
      </c>
      <c r="AP391" s="68">
        <f t="shared" si="906"/>
        <v>0</v>
      </c>
      <c r="AQ391" s="68">
        <f t="shared" si="906"/>
        <v>0</v>
      </c>
      <c r="AR391" s="68">
        <f t="shared" si="906"/>
        <v>0</v>
      </c>
      <c r="AS391" s="68">
        <f t="shared" si="906"/>
        <v>0</v>
      </c>
      <c r="AT391" s="1112">
        <f t="shared" si="906"/>
        <v>0</v>
      </c>
      <c r="AU391" s="68">
        <f t="shared" si="906"/>
        <v>0</v>
      </c>
      <c r="AV391" s="68">
        <f t="shared" si="906"/>
        <v>0</v>
      </c>
      <c r="AW391" s="68">
        <f t="shared" si="906"/>
        <v>0</v>
      </c>
      <c r="AX391" s="68">
        <f t="shared" si="906"/>
        <v>0</v>
      </c>
      <c r="AY391" s="1112">
        <f t="shared" si="906"/>
        <v>0</v>
      </c>
      <c r="AZ391" s="68">
        <f t="shared" si="906"/>
        <v>0</v>
      </c>
      <c r="BA391" s="68">
        <f t="shared" si="906"/>
        <v>0</v>
      </c>
      <c r="BB391" s="68">
        <f t="shared" si="906"/>
        <v>0</v>
      </c>
      <c r="BC391" s="68">
        <f t="shared" si="906"/>
        <v>0</v>
      </c>
      <c r="BD391" s="1112">
        <f t="shared" si="906"/>
        <v>0</v>
      </c>
      <c r="BE391" s="68">
        <f t="shared" si="906"/>
        <v>1353</v>
      </c>
      <c r="BF391" s="68">
        <f t="shared" si="906"/>
        <v>0</v>
      </c>
      <c r="BG391" s="68">
        <f t="shared" si="906"/>
        <v>0</v>
      </c>
      <c r="BH391" s="68">
        <f t="shared" si="906"/>
        <v>0</v>
      </c>
      <c r="BI391" s="1112">
        <f t="shared" si="906"/>
        <v>1353</v>
      </c>
      <c r="BJ391" s="68">
        <f t="shared" si="906"/>
        <v>0</v>
      </c>
      <c r="BK391" s="68">
        <f t="shared" ref="BK391" si="907">SUM(BK305:BK307)</f>
        <v>0</v>
      </c>
      <c r="BL391" s="68">
        <f t="shared" ref="BL391:BQ391" si="908">SUM(BL305:BL307)</f>
        <v>0</v>
      </c>
      <c r="BM391" s="68">
        <f t="shared" si="908"/>
        <v>0</v>
      </c>
      <c r="BN391" s="1112">
        <f t="shared" si="908"/>
        <v>0</v>
      </c>
      <c r="BO391" s="68">
        <f t="shared" si="908"/>
        <v>0</v>
      </c>
      <c r="BP391" s="68">
        <f t="shared" si="908"/>
        <v>0</v>
      </c>
      <c r="BQ391" s="68">
        <f t="shared" si="908"/>
        <v>0</v>
      </c>
      <c r="BR391" s="68">
        <f t="shared" ref="BR391:BX391" si="909">SUM(BR305:BR307)</f>
        <v>0</v>
      </c>
      <c r="BS391" s="1112">
        <f t="shared" si="909"/>
        <v>0</v>
      </c>
      <c r="BT391" s="68">
        <f t="shared" si="909"/>
        <v>0</v>
      </c>
      <c r="BU391" s="68">
        <f t="shared" si="909"/>
        <v>0</v>
      </c>
      <c r="BV391" s="68">
        <f t="shared" si="909"/>
        <v>0</v>
      </c>
      <c r="BW391" s="68">
        <f t="shared" si="909"/>
        <v>0</v>
      </c>
      <c r="BX391" s="1112">
        <f t="shared" si="909"/>
        <v>0</v>
      </c>
      <c r="BY391" s="588">
        <f>SUM(BY305:BY307)</f>
        <v>0</v>
      </c>
      <c r="BZ391" s="68">
        <f>BZ393+BZ392</f>
        <v>0</v>
      </c>
      <c r="CA391" s="68">
        <f>CA393+CA392</f>
        <v>0</v>
      </c>
      <c r="CB391" s="68">
        <f>CB393+CB392</f>
        <v>0</v>
      </c>
      <c r="CC391" s="1153">
        <f>SUM(BY391,BZ391,CA391,CB391)</f>
        <v>0</v>
      </c>
      <c r="CD391" s="68">
        <f>CD393+CD392</f>
        <v>0</v>
      </c>
      <c r="CE391" s="68">
        <f>CE393+CE392</f>
        <v>0</v>
      </c>
      <c r="CF391" s="68">
        <f>CF393+CF392</f>
        <v>0</v>
      </c>
      <c r="CG391" s="68">
        <f>CG393+CG392</f>
        <v>0</v>
      </c>
      <c r="CH391" s="1153">
        <f>SUM(CD391,CE391,CF391,CG391)</f>
        <v>0</v>
      </c>
      <c r="CI391" s="1153">
        <f>CI393+CI392</f>
        <v>0</v>
      </c>
      <c r="CJ391" s="1153">
        <f>CJ393+CJ392</f>
        <v>0</v>
      </c>
      <c r="CK391" s="1153">
        <f>CK393+CK392</f>
        <v>0</v>
      </c>
      <c r="CL391" s="155"/>
    </row>
    <row r="392" spans="1:90" hidden="1" outlineLevel="1" x14ac:dyDescent="0.3">
      <c r="A392" s="649" t="s">
        <v>809</v>
      </c>
      <c r="B392" s="144"/>
      <c r="C392" s="1123">
        <f t="shared" ref="C392:AH392" si="910">-C345-C346-C344</f>
        <v>26.867999999999999</v>
      </c>
      <c r="D392" s="1123">
        <f t="shared" si="910"/>
        <v>0</v>
      </c>
      <c r="E392" s="1123">
        <f t="shared" si="910"/>
        <v>-57</v>
      </c>
      <c r="F392" s="1123">
        <f t="shared" si="910"/>
        <v>0</v>
      </c>
      <c r="G392" s="109">
        <f t="shared" si="910"/>
        <v>0</v>
      </c>
      <c r="H392" s="109">
        <f t="shared" si="910"/>
        <v>0</v>
      </c>
      <c r="I392" s="109">
        <f t="shared" si="910"/>
        <v>0</v>
      </c>
      <c r="J392" s="109">
        <f t="shared" si="910"/>
        <v>0</v>
      </c>
      <c r="K392" s="1123">
        <f t="shared" si="910"/>
        <v>0</v>
      </c>
      <c r="L392" s="109">
        <f t="shared" si="910"/>
        <v>0</v>
      </c>
      <c r="M392" s="109">
        <f t="shared" si="910"/>
        <v>0</v>
      </c>
      <c r="N392" s="109">
        <f t="shared" si="910"/>
        <v>2.2349999999999999</v>
      </c>
      <c r="O392" s="109">
        <f t="shared" si="910"/>
        <v>1.845</v>
      </c>
      <c r="P392" s="1123">
        <f t="shared" si="910"/>
        <v>4.08</v>
      </c>
      <c r="Q392" s="109">
        <f t="shared" si="910"/>
        <v>0</v>
      </c>
      <c r="R392" s="109">
        <f t="shared" si="910"/>
        <v>0</v>
      </c>
      <c r="S392" s="109">
        <f t="shared" si="910"/>
        <v>0</v>
      </c>
      <c r="T392" s="109">
        <f t="shared" si="910"/>
        <v>0</v>
      </c>
      <c r="U392" s="1123">
        <f t="shared" si="910"/>
        <v>0</v>
      </c>
      <c r="V392" s="109">
        <f t="shared" si="910"/>
        <v>0</v>
      </c>
      <c r="W392" s="109">
        <f t="shared" si="910"/>
        <v>89</v>
      </c>
      <c r="X392" s="109">
        <f t="shared" si="910"/>
        <v>8</v>
      </c>
      <c r="Y392" s="109">
        <f t="shared" si="910"/>
        <v>34</v>
      </c>
      <c r="Z392" s="1123">
        <f t="shared" si="910"/>
        <v>131</v>
      </c>
      <c r="AA392" s="109">
        <f t="shared" si="910"/>
        <v>7</v>
      </c>
      <c r="AB392" s="109">
        <f t="shared" si="910"/>
        <v>2</v>
      </c>
      <c r="AC392" s="109">
        <f t="shared" si="910"/>
        <v>0</v>
      </c>
      <c r="AD392" s="109">
        <f t="shared" si="910"/>
        <v>0</v>
      </c>
      <c r="AE392" s="1123">
        <f t="shared" si="910"/>
        <v>9</v>
      </c>
      <c r="AF392" s="109">
        <f t="shared" si="910"/>
        <v>0</v>
      </c>
      <c r="AG392" s="109">
        <f t="shared" si="910"/>
        <v>0</v>
      </c>
      <c r="AH392" s="109">
        <f t="shared" si="910"/>
        <v>0</v>
      </c>
      <c r="AI392" s="109">
        <f t="shared" ref="AI392:AY392" si="911">-AI345-AI346-AI344</f>
        <v>0</v>
      </c>
      <c r="AJ392" s="1123">
        <f t="shared" si="911"/>
        <v>0</v>
      </c>
      <c r="AK392" s="109">
        <f t="shared" si="911"/>
        <v>2</v>
      </c>
      <c r="AL392" s="109">
        <f t="shared" si="911"/>
        <v>0</v>
      </c>
      <c r="AM392" s="109">
        <f t="shared" si="911"/>
        <v>-3</v>
      </c>
      <c r="AN392" s="109">
        <f t="shared" si="911"/>
        <v>7</v>
      </c>
      <c r="AO392" s="1123">
        <f t="shared" si="911"/>
        <v>9</v>
      </c>
      <c r="AP392" s="109">
        <f t="shared" si="911"/>
        <v>1</v>
      </c>
      <c r="AQ392" s="109">
        <f t="shared" si="911"/>
        <v>0</v>
      </c>
      <c r="AR392" s="109">
        <f t="shared" si="911"/>
        <v>0</v>
      </c>
      <c r="AS392" s="109">
        <f t="shared" si="911"/>
        <v>0</v>
      </c>
      <c r="AT392" s="1123">
        <f t="shared" si="911"/>
        <v>1</v>
      </c>
      <c r="AU392" s="109">
        <f t="shared" si="911"/>
        <v>0</v>
      </c>
      <c r="AV392" s="109">
        <f t="shared" si="911"/>
        <v>0</v>
      </c>
      <c r="AW392" s="109">
        <f t="shared" si="911"/>
        <v>0</v>
      </c>
      <c r="AX392" s="109">
        <f t="shared" si="911"/>
        <v>0</v>
      </c>
      <c r="AY392" s="1123">
        <f t="shared" si="911"/>
        <v>0</v>
      </c>
      <c r="AZ392" s="109">
        <f t="shared" ref="AZ392:BH392" si="912">-AZ345-AZ346</f>
        <v>0</v>
      </c>
      <c r="BA392" s="109">
        <f t="shared" si="912"/>
        <v>0</v>
      </c>
      <c r="BB392" s="109">
        <f t="shared" si="912"/>
        <v>0</v>
      </c>
      <c r="BC392" s="109">
        <f t="shared" si="912"/>
        <v>0</v>
      </c>
      <c r="BD392" s="1123">
        <f t="shared" si="912"/>
        <v>0</v>
      </c>
      <c r="BE392" s="109">
        <f t="shared" si="912"/>
        <v>1360</v>
      </c>
      <c r="BF392" s="109">
        <f t="shared" si="912"/>
        <v>0</v>
      </c>
      <c r="BG392" s="109">
        <f t="shared" si="912"/>
        <v>0</v>
      </c>
      <c r="BH392" s="109">
        <f t="shared" si="912"/>
        <v>0</v>
      </c>
      <c r="BI392" s="1123">
        <f>-BI345-BI346</f>
        <v>1360</v>
      </c>
      <c r="BJ392" s="109">
        <f>-BJ345-BJ346</f>
        <v>0</v>
      </c>
      <c r="BK392" s="109">
        <f t="shared" ref="BK392" si="913">-BK345-BK346</f>
        <v>0</v>
      </c>
      <c r="BL392" s="109">
        <f t="shared" ref="BL392:BN392" si="914">-BL345-BL346</f>
        <v>0</v>
      </c>
      <c r="BM392" s="109">
        <f t="shared" si="914"/>
        <v>0</v>
      </c>
      <c r="BN392" s="1123">
        <f t="shared" si="914"/>
        <v>0</v>
      </c>
      <c r="BO392" s="109">
        <f t="shared" ref="BO392:BT392" si="915">-BO345-BO346-BO351</f>
        <v>0</v>
      </c>
      <c r="BP392" s="109">
        <f t="shared" si="915"/>
        <v>0</v>
      </c>
      <c r="BQ392" s="109">
        <f t="shared" si="915"/>
        <v>0</v>
      </c>
      <c r="BR392" s="109">
        <f t="shared" si="915"/>
        <v>0</v>
      </c>
      <c r="BS392" s="1123">
        <f t="shared" si="915"/>
        <v>0</v>
      </c>
      <c r="BT392" s="109">
        <f t="shared" si="915"/>
        <v>0</v>
      </c>
      <c r="BU392" s="109">
        <f>-BU345-BU346-BU351</f>
        <v>15</v>
      </c>
      <c r="BV392" s="109">
        <f>-BV345-BV346-BV351</f>
        <v>0</v>
      </c>
      <c r="BW392" s="109">
        <f>-BW345-BW346-BW351</f>
        <v>38</v>
      </c>
      <c r="BX392" s="1123">
        <f>-BX345-BX346-BX351</f>
        <v>53</v>
      </c>
      <c r="BY392" s="730">
        <f>-BY345-BY346-BY351</f>
        <v>0</v>
      </c>
      <c r="BZ392" s="109">
        <f t="shared" ref="BZ392:CK392" si="916">BZ99</f>
        <v>0</v>
      </c>
      <c r="CA392" s="109">
        <f t="shared" si="916"/>
        <v>0</v>
      </c>
      <c r="CB392" s="109">
        <f t="shared" si="916"/>
        <v>0</v>
      </c>
      <c r="CC392" s="1154">
        <f t="shared" si="916"/>
        <v>0</v>
      </c>
      <c r="CD392" s="109">
        <f t="shared" si="916"/>
        <v>0</v>
      </c>
      <c r="CE392" s="109">
        <f t="shared" si="916"/>
        <v>0</v>
      </c>
      <c r="CF392" s="109">
        <f t="shared" si="916"/>
        <v>0</v>
      </c>
      <c r="CG392" s="109">
        <f t="shared" si="916"/>
        <v>0</v>
      </c>
      <c r="CH392" s="1154">
        <f t="shared" si="916"/>
        <v>0</v>
      </c>
      <c r="CI392" s="1154">
        <f t="shared" si="916"/>
        <v>0</v>
      </c>
      <c r="CJ392" s="1154">
        <f t="shared" si="916"/>
        <v>0</v>
      </c>
      <c r="CK392" s="1154">
        <f t="shared" si="916"/>
        <v>0</v>
      </c>
      <c r="CL392" s="155"/>
    </row>
    <row r="393" spans="1:90" collapsed="1" x14ac:dyDescent="0.3">
      <c r="A393" s="99" t="s">
        <v>810</v>
      </c>
      <c r="B393" s="102"/>
      <c r="C393" s="1112">
        <f t="shared" ref="C393:BD393" si="917">C391-C392</f>
        <v>0</v>
      </c>
      <c r="D393" s="1112">
        <f t="shared" si="917"/>
        <v>0</v>
      </c>
      <c r="E393" s="1112">
        <f t="shared" si="917"/>
        <v>0</v>
      </c>
      <c r="F393" s="1112">
        <f t="shared" si="917"/>
        <v>0</v>
      </c>
      <c r="G393" s="68">
        <f t="shared" si="917"/>
        <v>0</v>
      </c>
      <c r="H393" s="68">
        <f t="shared" si="917"/>
        <v>0</v>
      </c>
      <c r="I393" s="68">
        <f t="shared" si="917"/>
        <v>0</v>
      </c>
      <c r="J393" s="68">
        <f t="shared" si="917"/>
        <v>0</v>
      </c>
      <c r="K393" s="1112">
        <f t="shared" si="917"/>
        <v>0</v>
      </c>
      <c r="L393" s="68">
        <f t="shared" si="917"/>
        <v>0</v>
      </c>
      <c r="M393" s="68">
        <f t="shared" si="917"/>
        <v>0</v>
      </c>
      <c r="N393" s="68">
        <f t="shared" si="917"/>
        <v>-2.2349999999999999</v>
      </c>
      <c r="O393" s="68">
        <f t="shared" si="917"/>
        <v>-1.845</v>
      </c>
      <c r="P393" s="1112">
        <f t="shared" si="917"/>
        <v>-4.08</v>
      </c>
      <c r="Q393" s="68">
        <f t="shared" si="917"/>
        <v>0</v>
      </c>
      <c r="R393" s="68">
        <f t="shared" si="917"/>
        <v>0</v>
      </c>
      <c r="S393" s="68">
        <f t="shared" si="917"/>
        <v>0</v>
      </c>
      <c r="T393" s="68">
        <f t="shared" si="917"/>
        <v>0</v>
      </c>
      <c r="U393" s="1112">
        <f t="shared" si="917"/>
        <v>0</v>
      </c>
      <c r="V393" s="68">
        <f t="shared" si="917"/>
        <v>0</v>
      </c>
      <c r="W393" s="68">
        <f t="shared" si="917"/>
        <v>0</v>
      </c>
      <c r="X393" s="68">
        <f t="shared" si="917"/>
        <v>0</v>
      </c>
      <c r="Y393" s="68">
        <f t="shared" si="917"/>
        <v>0</v>
      </c>
      <c r="Z393" s="1112">
        <f t="shared" si="917"/>
        <v>0</v>
      </c>
      <c r="AA393" s="68">
        <f t="shared" si="917"/>
        <v>-6</v>
      </c>
      <c r="AB393" s="68">
        <f t="shared" si="917"/>
        <v>0</v>
      </c>
      <c r="AC393" s="68">
        <f t="shared" si="917"/>
        <v>0</v>
      </c>
      <c r="AD393" s="68">
        <f t="shared" si="917"/>
        <v>0</v>
      </c>
      <c r="AE393" s="1112">
        <f t="shared" si="917"/>
        <v>-6</v>
      </c>
      <c r="AF393" s="68">
        <f t="shared" si="917"/>
        <v>0</v>
      </c>
      <c r="AG393" s="68">
        <f t="shared" si="917"/>
        <v>0</v>
      </c>
      <c r="AH393" s="68">
        <f t="shared" si="917"/>
        <v>0</v>
      </c>
      <c r="AI393" s="68">
        <f t="shared" si="917"/>
        <v>0</v>
      </c>
      <c r="AJ393" s="1112">
        <f t="shared" si="917"/>
        <v>0</v>
      </c>
      <c r="AK393" s="68">
        <f t="shared" si="917"/>
        <v>-2</v>
      </c>
      <c r="AL393" s="68">
        <f t="shared" si="917"/>
        <v>0</v>
      </c>
      <c r="AM393" s="68">
        <f t="shared" si="917"/>
        <v>3</v>
      </c>
      <c r="AN393" s="68">
        <f t="shared" si="917"/>
        <v>-7</v>
      </c>
      <c r="AO393" s="1112">
        <f t="shared" si="917"/>
        <v>-9</v>
      </c>
      <c r="AP393" s="68">
        <f t="shared" si="917"/>
        <v>-1</v>
      </c>
      <c r="AQ393" s="68">
        <f t="shared" si="917"/>
        <v>0</v>
      </c>
      <c r="AR393" s="68">
        <f t="shared" si="917"/>
        <v>0</v>
      </c>
      <c r="AS393" s="68">
        <f t="shared" si="917"/>
        <v>0</v>
      </c>
      <c r="AT393" s="1112">
        <f t="shared" si="917"/>
        <v>-1</v>
      </c>
      <c r="AU393" s="68">
        <f t="shared" si="917"/>
        <v>0</v>
      </c>
      <c r="AV393" s="68">
        <f t="shared" si="917"/>
        <v>0</v>
      </c>
      <c r="AW393" s="68">
        <f t="shared" si="917"/>
        <v>0</v>
      </c>
      <c r="AX393" s="68">
        <f t="shared" si="917"/>
        <v>0</v>
      </c>
      <c r="AY393" s="1112">
        <f t="shared" si="917"/>
        <v>0</v>
      </c>
      <c r="AZ393" s="68">
        <f t="shared" si="917"/>
        <v>0</v>
      </c>
      <c r="BA393" s="68">
        <f t="shared" si="917"/>
        <v>0</v>
      </c>
      <c r="BB393" s="68">
        <f t="shared" si="917"/>
        <v>0</v>
      </c>
      <c r="BC393" s="68">
        <f t="shared" si="917"/>
        <v>0</v>
      </c>
      <c r="BD393" s="1112">
        <f t="shared" si="917"/>
        <v>0</v>
      </c>
      <c r="BE393" s="68">
        <f>BE391-BE392</f>
        <v>-7</v>
      </c>
      <c r="BF393" s="68">
        <f t="shared" ref="BF393" si="918">BF391-BF392</f>
        <v>0</v>
      </c>
      <c r="BG393" s="68">
        <f>BG391-BG392</f>
        <v>0</v>
      </c>
      <c r="BH393" s="68">
        <f>BH391-BH392</f>
        <v>0</v>
      </c>
      <c r="BI393" s="1112">
        <f>BI391-BI392</f>
        <v>-7</v>
      </c>
      <c r="BJ393" s="68">
        <f>BJ391-BJ392</f>
        <v>0</v>
      </c>
      <c r="BK393" s="68">
        <f t="shared" ref="BK393" si="919">BK391-BK392</f>
        <v>0</v>
      </c>
      <c r="BL393" s="68">
        <f t="shared" ref="BL393:BQ393" si="920">BL391-BL392</f>
        <v>0</v>
      </c>
      <c r="BM393" s="68">
        <f t="shared" si="920"/>
        <v>0</v>
      </c>
      <c r="BN393" s="1112">
        <f t="shared" si="920"/>
        <v>0</v>
      </c>
      <c r="BO393" s="68">
        <f t="shared" si="920"/>
        <v>0</v>
      </c>
      <c r="BP393" s="68">
        <f t="shared" si="920"/>
        <v>0</v>
      </c>
      <c r="BQ393" s="68">
        <f t="shared" si="920"/>
        <v>0</v>
      </c>
      <c r="BR393" s="68">
        <f t="shared" ref="BR393:BX393" si="921">BR391-BR392</f>
        <v>0</v>
      </c>
      <c r="BS393" s="1112">
        <f t="shared" si="921"/>
        <v>0</v>
      </c>
      <c r="BT393" s="68">
        <f t="shared" si="921"/>
        <v>0</v>
      </c>
      <c r="BU393" s="68">
        <f t="shared" si="921"/>
        <v>-15</v>
      </c>
      <c r="BV393" s="68">
        <f t="shared" si="921"/>
        <v>0</v>
      </c>
      <c r="BW393" s="68">
        <f t="shared" si="921"/>
        <v>-38</v>
      </c>
      <c r="BX393" s="1112">
        <f t="shared" si="921"/>
        <v>-53</v>
      </c>
      <c r="BY393" s="588">
        <f>BY391-BY392</f>
        <v>0</v>
      </c>
      <c r="BZ393" s="68">
        <f>BZ100</f>
        <v>0</v>
      </c>
      <c r="CA393" s="68">
        <f>CA100</f>
        <v>0</v>
      </c>
      <c r="CB393" s="68">
        <f>CB100</f>
        <v>0</v>
      </c>
      <c r="CC393" s="1153">
        <f>CC391-CC392</f>
        <v>0</v>
      </c>
      <c r="CD393" s="68">
        <f>CD100</f>
        <v>0</v>
      </c>
      <c r="CE393" s="68">
        <f>CE100</f>
        <v>0</v>
      </c>
      <c r="CF393" s="68">
        <f>CF100</f>
        <v>0</v>
      </c>
      <c r="CG393" s="68">
        <f>CG100</f>
        <v>0</v>
      </c>
      <c r="CH393" s="1153">
        <f>CH391-CH392</f>
        <v>0</v>
      </c>
      <c r="CI393" s="1153">
        <f>CI100</f>
        <v>0</v>
      </c>
      <c r="CJ393" s="1153">
        <f>CJ100</f>
        <v>0</v>
      </c>
      <c r="CK393" s="1153">
        <f>CK100</f>
        <v>0</v>
      </c>
      <c r="CL393" s="155"/>
    </row>
    <row r="394" spans="1:90" x14ac:dyDescent="0.3">
      <c r="A394" s="59" t="s">
        <v>96</v>
      </c>
      <c r="B394" s="668"/>
      <c r="C394" s="1125">
        <f t="shared" ref="C394:BD394" si="922">C378-C385-C390-C393</f>
        <v>300.72399999999971</v>
      </c>
      <c r="D394" s="1125">
        <f t="shared" si="922"/>
        <v>103.38600000000019</v>
      </c>
      <c r="E394" s="1125">
        <f t="shared" si="922"/>
        <v>480.29300000000012</v>
      </c>
      <c r="F394" s="1125">
        <f t="shared" si="922"/>
        <v>812.23500000000024</v>
      </c>
      <c r="G394" s="60">
        <f t="shared" si="922"/>
        <v>113.56599999999999</v>
      </c>
      <c r="H394" s="60">
        <f t="shared" si="922"/>
        <v>196.79900000000004</v>
      </c>
      <c r="I394" s="60">
        <f t="shared" si="922"/>
        <v>289.95199999999988</v>
      </c>
      <c r="J394" s="60">
        <f t="shared" si="922"/>
        <v>228.03999999999996</v>
      </c>
      <c r="K394" s="1125">
        <f t="shared" si="922"/>
        <v>841.16599999999971</v>
      </c>
      <c r="L394" s="60">
        <f t="shared" si="922"/>
        <v>125.03899999999999</v>
      </c>
      <c r="M394" s="60">
        <f t="shared" si="922"/>
        <v>149.18299999999999</v>
      </c>
      <c r="N394" s="60">
        <f t="shared" si="922"/>
        <v>182.09900000000013</v>
      </c>
      <c r="O394" s="60">
        <f t="shared" si="922"/>
        <v>207.89100000000062</v>
      </c>
      <c r="P394" s="1125">
        <f t="shared" si="922"/>
        <v>664.21200000000067</v>
      </c>
      <c r="Q394" s="60">
        <f t="shared" si="922"/>
        <v>196.36100000000002</v>
      </c>
      <c r="R394" s="60">
        <f t="shared" si="922"/>
        <v>210</v>
      </c>
      <c r="S394" s="60">
        <f t="shared" si="922"/>
        <v>265.41399999999999</v>
      </c>
      <c r="T394" s="60">
        <f t="shared" si="922"/>
        <v>283</v>
      </c>
      <c r="U394" s="1125">
        <f t="shared" si="922"/>
        <v>952.77499999999998</v>
      </c>
      <c r="V394" s="60">
        <f t="shared" si="922"/>
        <v>231</v>
      </c>
      <c r="W394" s="60">
        <f t="shared" si="922"/>
        <v>231</v>
      </c>
      <c r="X394" s="60">
        <f t="shared" si="922"/>
        <v>308</v>
      </c>
      <c r="Y394" s="60">
        <f t="shared" si="922"/>
        <v>355</v>
      </c>
      <c r="Z394" s="1125">
        <f t="shared" si="922"/>
        <v>1125</v>
      </c>
      <c r="AA394" s="60">
        <f t="shared" si="922"/>
        <v>322</v>
      </c>
      <c r="AB394" s="60">
        <f t="shared" si="922"/>
        <v>382</v>
      </c>
      <c r="AC394" s="60">
        <f t="shared" si="922"/>
        <v>708</v>
      </c>
      <c r="AD394" s="60">
        <f t="shared" si="922"/>
        <v>808</v>
      </c>
      <c r="AE394" s="1125">
        <f t="shared" si="922"/>
        <v>2220</v>
      </c>
      <c r="AF394" s="60">
        <f t="shared" si="922"/>
        <v>636</v>
      </c>
      <c r="AG394" s="60">
        <f t="shared" si="922"/>
        <v>773</v>
      </c>
      <c r="AH394" s="568">
        <f t="shared" si="922"/>
        <v>1005</v>
      </c>
      <c r="AI394" s="60">
        <f t="shared" si="922"/>
        <v>1202</v>
      </c>
      <c r="AJ394" s="1125">
        <f t="shared" si="922"/>
        <v>3617</v>
      </c>
      <c r="AK394" s="568">
        <f t="shared" si="922"/>
        <v>1428</v>
      </c>
      <c r="AL394" s="60">
        <f t="shared" si="922"/>
        <v>1291</v>
      </c>
      <c r="AM394" s="568">
        <f t="shared" si="922"/>
        <v>1210</v>
      </c>
      <c r="AN394" s="60">
        <f t="shared" si="922"/>
        <v>479</v>
      </c>
      <c r="AO394" s="1125">
        <f t="shared" si="922"/>
        <v>4407</v>
      </c>
      <c r="AP394" s="568">
        <f t="shared" si="922"/>
        <v>557</v>
      </c>
      <c r="AQ394" s="60">
        <f t="shared" si="922"/>
        <v>802</v>
      </c>
      <c r="AR394" s="568">
        <f t="shared" si="922"/>
        <v>1157</v>
      </c>
      <c r="AS394" s="60">
        <f t="shared" si="922"/>
        <v>1220</v>
      </c>
      <c r="AT394" s="1125">
        <f t="shared" si="922"/>
        <v>3736</v>
      </c>
      <c r="AU394" s="568">
        <f t="shared" si="922"/>
        <v>1205</v>
      </c>
      <c r="AV394" s="60">
        <f t="shared" si="922"/>
        <v>1516</v>
      </c>
      <c r="AW394" s="568">
        <f t="shared" si="922"/>
        <v>1994</v>
      </c>
      <c r="AX394" s="60">
        <f t="shared" si="922"/>
        <v>2089</v>
      </c>
      <c r="AY394" s="1125">
        <f t="shared" si="922"/>
        <v>6803</v>
      </c>
      <c r="AZ394" s="568">
        <f t="shared" si="922"/>
        <v>2557</v>
      </c>
      <c r="BA394" s="60">
        <f t="shared" si="922"/>
        <v>3071</v>
      </c>
      <c r="BB394" s="568">
        <f t="shared" si="922"/>
        <v>3386</v>
      </c>
      <c r="BC394" s="60">
        <f t="shared" si="922"/>
        <v>3677</v>
      </c>
      <c r="BD394" s="1125">
        <f t="shared" si="922"/>
        <v>12690</v>
      </c>
      <c r="BE394" s="568">
        <f>BE378-BE385-BE390-BE393</f>
        <v>3955</v>
      </c>
      <c r="BF394" s="60">
        <f t="shared" ref="BF394" si="923">BF378-BF385-BF390-BF393</f>
        <v>1325</v>
      </c>
      <c r="BG394" s="568">
        <f t="shared" ref="BG394:BI394" si="924">BG378-BG385-BG390-BG393</f>
        <v>1536</v>
      </c>
      <c r="BH394" s="60">
        <f t="shared" si="924"/>
        <v>2224</v>
      </c>
      <c r="BI394" s="1125">
        <f t="shared" si="924"/>
        <v>9040</v>
      </c>
      <c r="BJ394" s="568">
        <f>BJ378-BJ385-BJ390-BJ393</f>
        <v>3052</v>
      </c>
      <c r="BK394" s="60">
        <f t="shared" ref="BK394" si="925">BK378-BK385-BK390-BK393</f>
        <v>7776</v>
      </c>
      <c r="BL394" s="568">
        <f t="shared" ref="BL394:BN394" si="926">BL378-BL385-BL390-BL393</f>
        <v>11557</v>
      </c>
      <c r="BM394" s="60">
        <f t="shared" si="926"/>
        <v>14749</v>
      </c>
      <c r="BN394" s="1125">
        <f t="shared" si="926"/>
        <v>37134</v>
      </c>
      <c r="BO394" s="568">
        <f t="shared" ref="BO394:BS394" si="927">BO378-BO385-BO390-BO393</f>
        <v>18058</v>
      </c>
      <c r="BP394" s="60">
        <f t="shared" si="927"/>
        <v>19937</v>
      </c>
      <c r="BQ394" s="568">
        <f t="shared" si="927"/>
        <v>23276</v>
      </c>
      <c r="BR394" s="60">
        <f t="shared" si="927"/>
        <v>25516</v>
      </c>
      <c r="BS394" s="1125">
        <f t="shared" si="927"/>
        <v>86789</v>
      </c>
      <c r="BT394" s="568">
        <f t="shared" ref="BT394:CK394" si="928">BT378-BT385-BT390-BT393</f>
        <v>23275</v>
      </c>
      <c r="BU394" s="60">
        <f t="shared" si="928"/>
        <v>30165</v>
      </c>
      <c r="BV394" s="568">
        <f t="shared" si="928"/>
        <v>37752</v>
      </c>
      <c r="BW394" s="60">
        <f t="shared" si="928"/>
        <v>46107</v>
      </c>
      <c r="BX394" s="1125">
        <f t="shared" si="928"/>
        <v>137300</v>
      </c>
      <c r="BY394" s="911">
        <f>BY378-BY385-BY390-BY393</f>
        <v>53783</v>
      </c>
      <c r="BZ394" s="569">
        <f t="shared" si="928"/>
        <v>59835.724645399518</v>
      </c>
      <c r="CA394" s="569">
        <f t="shared" si="928"/>
        <v>61534.58267108725</v>
      </c>
      <c r="CB394" s="569">
        <f t="shared" si="928"/>
        <v>64505.552758179576</v>
      </c>
      <c r="CC394" s="1158">
        <f t="shared" si="928"/>
        <v>239658.86007466636</v>
      </c>
      <c r="CD394" s="569">
        <f t="shared" si="928"/>
        <v>69538.35801813392</v>
      </c>
      <c r="CE394" s="569">
        <f t="shared" si="928"/>
        <v>77427.956367816136</v>
      </c>
      <c r="CF394" s="569">
        <f t="shared" si="928"/>
        <v>76767.759498915897</v>
      </c>
      <c r="CG394" s="569">
        <f t="shared" si="928"/>
        <v>80245.024769330426</v>
      </c>
      <c r="CH394" s="1158">
        <f t="shared" si="928"/>
        <v>303979.09865419636</v>
      </c>
      <c r="CI394" s="1158">
        <f t="shared" si="928"/>
        <v>362848.70544912887</v>
      </c>
      <c r="CJ394" s="1158">
        <f t="shared" si="928"/>
        <v>426544.80125808634</v>
      </c>
      <c r="CK394" s="1158">
        <f t="shared" si="928"/>
        <v>501566.81081483781</v>
      </c>
      <c r="CL394" s="155"/>
    </row>
    <row r="395" spans="1:90" x14ac:dyDescent="0.3">
      <c r="A395" s="282" t="s">
        <v>97</v>
      </c>
      <c r="B395" s="144"/>
      <c r="C395" s="1112">
        <f t="shared" ref="C395:AV395" si="929">C394-C396</f>
        <v>152.10200000000009</v>
      </c>
      <c r="D395" s="1112">
        <f>D394-D396</f>
        <v>-31.858999999999924</v>
      </c>
      <c r="E395" s="1112">
        <f t="shared" si="929"/>
        <v>-21.886999999999944</v>
      </c>
      <c r="F395" s="1112">
        <f>F394-F396</f>
        <v>-17.189999999999714</v>
      </c>
      <c r="G395" s="109">
        <f t="shared" si="929"/>
        <v>-4.3419999999999703</v>
      </c>
      <c r="H395" s="109">
        <f t="shared" si="929"/>
        <v>-4.0649999999999977</v>
      </c>
      <c r="I395" s="109">
        <f t="shared" si="929"/>
        <v>-4.4019999999999868</v>
      </c>
      <c r="J395" s="109">
        <f t="shared" si="929"/>
        <v>0</v>
      </c>
      <c r="K395" s="1112">
        <f t="shared" si="929"/>
        <v>0</v>
      </c>
      <c r="L395" s="109">
        <f t="shared" si="929"/>
        <v>0</v>
      </c>
      <c r="M395" s="109">
        <f t="shared" si="929"/>
        <v>0</v>
      </c>
      <c r="N395" s="109">
        <f t="shared" si="929"/>
        <v>0</v>
      </c>
      <c r="O395" s="109">
        <f t="shared" si="929"/>
        <v>0</v>
      </c>
      <c r="P395" s="1112">
        <f t="shared" si="929"/>
        <v>0</v>
      </c>
      <c r="Q395" s="109">
        <f t="shared" si="929"/>
        <v>0.36100000000001842</v>
      </c>
      <c r="R395" s="109">
        <f t="shared" si="929"/>
        <v>0</v>
      </c>
      <c r="S395" s="109">
        <f t="shared" si="929"/>
        <v>1.4139999999999873</v>
      </c>
      <c r="T395" s="109">
        <f t="shared" si="929"/>
        <v>-1</v>
      </c>
      <c r="U395" s="1112">
        <f t="shared" si="929"/>
        <v>-1.2250000000000227</v>
      </c>
      <c r="V395" s="109">
        <f t="shared" si="929"/>
        <v>1</v>
      </c>
      <c r="W395" s="109">
        <f t="shared" si="929"/>
        <v>0</v>
      </c>
      <c r="X395" s="109">
        <f t="shared" si="929"/>
        <v>0</v>
      </c>
      <c r="Y395" s="109">
        <f t="shared" si="929"/>
        <v>-1</v>
      </c>
      <c r="Z395" s="1112">
        <f t="shared" si="929"/>
        <v>0</v>
      </c>
      <c r="AA395" s="109">
        <f t="shared" si="929"/>
        <v>0</v>
      </c>
      <c r="AB395" s="109">
        <f t="shared" si="929"/>
        <v>0</v>
      </c>
      <c r="AC395" s="109">
        <f t="shared" si="929"/>
        <v>0</v>
      </c>
      <c r="AD395" s="109">
        <f t="shared" si="929"/>
        <v>-1</v>
      </c>
      <c r="AE395" s="1112">
        <f t="shared" si="929"/>
        <v>-1</v>
      </c>
      <c r="AF395" s="109">
        <f t="shared" si="929"/>
        <v>-1</v>
      </c>
      <c r="AG395" s="109">
        <f t="shared" si="929"/>
        <v>0</v>
      </c>
      <c r="AH395" s="109">
        <f t="shared" si="929"/>
        <v>0</v>
      </c>
      <c r="AI395" s="109">
        <f t="shared" si="929"/>
        <v>0</v>
      </c>
      <c r="AJ395" s="1112">
        <f t="shared" si="929"/>
        <v>0</v>
      </c>
      <c r="AK395" s="109">
        <f t="shared" si="929"/>
        <v>0</v>
      </c>
      <c r="AL395" s="109">
        <f t="shared" si="929"/>
        <v>1</v>
      </c>
      <c r="AM395" s="109">
        <f t="shared" si="929"/>
        <v>0</v>
      </c>
      <c r="AN395" s="109">
        <f t="shared" si="929"/>
        <v>0</v>
      </c>
      <c r="AO395" s="1112">
        <f t="shared" si="929"/>
        <v>0</v>
      </c>
      <c r="AP395" s="109">
        <f t="shared" si="929"/>
        <v>0</v>
      </c>
      <c r="AQ395" s="109">
        <f t="shared" si="929"/>
        <v>0</v>
      </c>
      <c r="AR395" s="109">
        <f t="shared" si="929"/>
        <v>1</v>
      </c>
      <c r="AS395" s="109">
        <f t="shared" si="929"/>
        <v>0</v>
      </c>
      <c r="AT395" s="1112">
        <f t="shared" si="929"/>
        <v>1</v>
      </c>
      <c r="AU395" s="109">
        <f t="shared" si="929"/>
        <v>0</v>
      </c>
      <c r="AV395" s="109">
        <f t="shared" si="929"/>
        <v>0</v>
      </c>
      <c r="AW395" s="109">
        <f t="shared" ref="AW395:BB395" si="930">AW394-AW396</f>
        <v>1</v>
      </c>
      <c r="AX395" s="109">
        <f t="shared" si="930"/>
        <v>0</v>
      </c>
      <c r="AY395" s="1112">
        <f t="shared" si="930"/>
        <v>0</v>
      </c>
      <c r="AZ395" s="109">
        <f t="shared" si="930"/>
        <v>0</v>
      </c>
      <c r="BA395" s="109">
        <f t="shared" si="930"/>
        <v>0</v>
      </c>
      <c r="BB395" s="109">
        <f t="shared" si="930"/>
        <v>0</v>
      </c>
      <c r="BC395" s="109">
        <f t="shared" ref="BC395:BI395" si="931">BC394-BC396</f>
        <v>0</v>
      </c>
      <c r="BD395" s="1112">
        <f t="shared" si="931"/>
        <v>0</v>
      </c>
      <c r="BE395" s="109">
        <f t="shared" si="931"/>
        <v>0</v>
      </c>
      <c r="BF395" s="109">
        <f t="shared" si="931"/>
        <v>0</v>
      </c>
      <c r="BG395" s="109">
        <f t="shared" si="931"/>
        <v>0</v>
      </c>
      <c r="BH395" s="109">
        <f t="shared" si="931"/>
        <v>0</v>
      </c>
      <c r="BI395" s="1112">
        <f t="shared" si="931"/>
        <v>0</v>
      </c>
      <c r="BJ395" s="109">
        <f>BJ394-BJ396</f>
        <v>0</v>
      </c>
      <c r="BK395" s="109">
        <f t="shared" ref="BK395" si="932">BK394-BK396</f>
        <v>0</v>
      </c>
      <c r="BL395" s="109">
        <f t="shared" ref="BL395:BQ395" si="933">BL394-BL396</f>
        <v>0</v>
      </c>
      <c r="BM395" s="109">
        <f t="shared" si="933"/>
        <v>0</v>
      </c>
      <c r="BN395" s="1112">
        <f t="shared" si="933"/>
        <v>0</v>
      </c>
      <c r="BO395" s="109">
        <f t="shared" si="933"/>
        <v>-1</v>
      </c>
      <c r="BP395" s="109">
        <f t="shared" si="933"/>
        <v>0</v>
      </c>
      <c r="BQ395" s="109">
        <f t="shared" si="933"/>
        <v>0</v>
      </c>
      <c r="BR395" s="109">
        <f t="shared" ref="BR395:BX395" si="934">BR394-BR396</f>
        <v>0</v>
      </c>
      <c r="BS395" s="1112">
        <f t="shared" si="934"/>
        <v>0</v>
      </c>
      <c r="BT395" s="109">
        <f t="shared" si="934"/>
        <v>0</v>
      </c>
      <c r="BU395" s="109">
        <f t="shared" si="934"/>
        <v>0</v>
      </c>
      <c r="BV395" s="109">
        <f t="shared" si="934"/>
        <v>0</v>
      </c>
      <c r="BW395" s="109">
        <f t="shared" si="934"/>
        <v>0</v>
      </c>
      <c r="BX395" s="1112">
        <f t="shared" si="934"/>
        <v>0</v>
      </c>
      <c r="BY395" s="730">
        <f>BY394-BY396</f>
        <v>0</v>
      </c>
      <c r="BZ395" s="109">
        <f>BZ105</f>
        <v>0</v>
      </c>
      <c r="CA395" s="109">
        <f>CA105</f>
        <v>0</v>
      </c>
      <c r="CB395" s="109">
        <f>CB105</f>
        <v>0</v>
      </c>
      <c r="CC395" s="1154">
        <f>SUM(BY395,BZ395,CA395,CB395)</f>
        <v>0</v>
      </c>
      <c r="CD395" s="109">
        <f>CD105</f>
        <v>0</v>
      </c>
      <c r="CE395" s="109">
        <f>CE105</f>
        <v>0</v>
      </c>
      <c r="CF395" s="109">
        <f>CF105</f>
        <v>0</v>
      </c>
      <c r="CG395" s="109">
        <f>CG105</f>
        <v>0</v>
      </c>
      <c r="CH395" s="1154">
        <f>SUM(CD395,CE395,CF395,CG395)</f>
        <v>0</v>
      </c>
      <c r="CI395" s="1154">
        <f>CI105</f>
        <v>0</v>
      </c>
      <c r="CJ395" s="1154">
        <f>CJ105</f>
        <v>0</v>
      </c>
      <c r="CK395" s="1154">
        <f>CK105</f>
        <v>0</v>
      </c>
      <c r="CL395" s="155"/>
    </row>
    <row r="396" spans="1:90" x14ac:dyDescent="0.3">
      <c r="A396" s="62" t="s">
        <v>98</v>
      </c>
      <c r="B396" s="123"/>
      <c r="C396" s="1125">
        <f t="shared" ref="C396:R396" si="935">C339-C352</f>
        <v>148.62199999999962</v>
      </c>
      <c r="D396" s="1125">
        <f t="shared" si="935"/>
        <v>135.24500000000012</v>
      </c>
      <c r="E396" s="1125">
        <f t="shared" si="935"/>
        <v>502.18000000000006</v>
      </c>
      <c r="F396" s="1125">
        <f t="shared" si="935"/>
        <v>829.42499999999995</v>
      </c>
      <c r="G396" s="60">
        <f t="shared" si="935"/>
        <v>117.90799999999996</v>
      </c>
      <c r="H396" s="60">
        <f t="shared" si="935"/>
        <v>200.86400000000003</v>
      </c>
      <c r="I396" s="60">
        <f t="shared" si="935"/>
        <v>294.35399999999987</v>
      </c>
      <c r="J396" s="60">
        <f t="shared" si="935"/>
        <v>228.03999999999996</v>
      </c>
      <c r="K396" s="1125">
        <f t="shared" si="935"/>
        <v>841.16599999999971</v>
      </c>
      <c r="L396" s="60">
        <f t="shared" si="935"/>
        <v>125.03899999999999</v>
      </c>
      <c r="M396" s="60">
        <f t="shared" si="935"/>
        <v>149.18299999999994</v>
      </c>
      <c r="N396" s="60">
        <f t="shared" si="935"/>
        <v>182.09900000000016</v>
      </c>
      <c r="O396" s="60">
        <f t="shared" si="935"/>
        <v>207.89100000000064</v>
      </c>
      <c r="P396" s="1125">
        <f t="shared" si="935"/>
        <v>664.21199999999999</v>
      </c>
      <c r="Q396" s="60">
        <f t="shared" si="935"/>
        <v>196</v>
      </c>
      <c r="R396" s="60">
        <f t="shared" si="935"/>
        <v>210</v>
      </c>
      <c r="S396" s="60">
        <f t="shared" ref="S396:BD396" si="936">S362</f>
        <v>264</v>
      </c>
      <c r="T396" s="60">
        <f t="shared" si="936"/>
        <v>284</v>
      </c>
      <c r="U396" s="1125">
        <f t="shared" si="936"/>
        <v>954</v>
      </c>
      <c r="V396" s="60">
        <f t="shared" si="936"/>
        <v>230</v>
      </c>
      <c r="W396" s="60">
        <f t="shared" si="936"/>
        <v>231</v>
      </c>
      <c r="X396" s="60">
        <f t="shared" si="936"/>
        <v>308</v>
      </c>
      <c r="Y396" s="60">
        <f t="shared" si="936"/>
        <v>356</v>
      </c>
      <c r="Z396" s="1125">
        <f t="shared" si="936"/>
        <v>1125</v>
      </c>
      <c r="AA396" s="60">
        <f t="shared" si="936"/>
        <v>322</v>
      </c>
      <c r="AB396" s="60">
        <f t="shared" si="936"/>
        <v>382</v>
      </c>
      <c r="AC396" s="60">
        <f t="shared" si="936"/>
        <v>708</v>
      </c>
      <c r="AD396" s="60">
        <f t="shared" si="936"/>
        <v>809</v>
      </c>
      <c r="AE396" s="1125">
        <f t="shared" si="936"/>
        <v>2221</v>
      </c>
      <c r="AF396" s="60">
        <f t="shared" si="936"/>
        <v>637</v>
      </c>
      <c r="AG396" s="60">
        <f t="shared" si="936"/>
        <v>773</v>
      </c>
      <c r="AH396" s="28">
        <f t="shared" si="936"/>
        <v>1005</v>
      </c>
      <c r="AI396" s="60">
        <f t="shared" si="936"/>
        <v>1202</v>
      </c>
      <c r="AJ396" s="1125">
        <f t="shared" si="936"/>
        <v>3617</v>
      </c>
      <c r="AK396" s="1022">
        <f t="shared" si="936"/>
        <v>1428</v>
      </c>
      <c r="AL396" s="60">
        <f t="shared" si="936"/>
        <v>1290</v>
      </c>
      <c r="AM396" s="28">
        <f t="shared" si="936"/>
        <v>1210</v>
      </c>
      <c r="AN396" s="60">
        <f t="shared" si="936"/>
        <v>479</v>
      </c>
      <c r="AO396" s="1125">
        <f t="shared" si="936"/>
        <v>4407</v>
      </c>
      <c r="AP396" s="1022">
        <f t="shared" si="936"/>
        <v>557</v>
      </c>
      <c r="AQ396" s="60">
        <f t="shared" si="936"/>
        <v>802</v>
      </c>
      <c r="AR396" s="28">
        <f t="shared" si="936"/>
        <v>1156</v>
      </c>
      <c r="AS396" s="60">
        <f t="shared" si="936"/>
        <v>1220</v>
      </c>
      <c r="AT396" s="1125">
        <f t="shared" si="936"/>
        <v>3735</v>
      </c>
      <c r="AU396" s="1022">
        <f t="shared" si="936"/>
        <v>1205</v>
      </c>
      <c r="AV396" s="60">
        <f t="shared" si="936"/>
        <v>1516</v>
      </c>
      <c r="AW396" s="28">
        <f t="shared" si="936"/>
        <v>1993</v>
      </c>
      <c r="AX396" s="60">
        <f t="shared" si="936"/>
        <v>2089</v>
      </c>
      <c r="AY396" s="1125">
        <f t="shared" si="936"/>
        <v>6803</v>
      </c>
      <c r="AZ396" s="1022">
        <f t="shared" si="936"/>
        <v>2557</v>
      </c>
      <c r="BA396" s="60">
        <f t="shared" si="936"/>
        <v>3071</v>
      </c>
      <c r="BB396" s="28">
        <f t="shared" si="936"/>
        <v>3386</v>
      </c>
      <c r="BC396" s="60">
        <f t="shared" si="936"/>
        <v>3677</v>
      </c>
      <c r="BD396" s="1125">
        <f t="shared" si="936"/>
        <v>12690</v>
      </c>
      <c r="BE396" s="1022">
        <f t="shared" ref="BE396:BJ396" si="937">BE362</f>
        <v>3955</v>
      </c>
      <c r="BF396" s="60">
        <f t="shared" si="937"/>
        <v>1325</v>
      </c>
      <c r="BG396" s="28">
        <f t="shared" si="937"/>
        <v>1536</v>
      </c>
      <c r="BH396" s="60">
        <f t="shared" si="937"/>
        <v>2224</v>
      </c>
      <c r="BI396" s="1125">
        <f t="shared" si="937"/>
        <v>9040</v>
      </c>
      <c r="BJ396" s="1022">
        <f t="shared" si="937"/>
        <v>3052</v>
      </c>
      <c r="BK396" s="60">
        <f t="shared" ref="BK396:BP396" si="938">BK362</f>
        <v>7776</v>
      </c>
      <c r="BL396" s="28">
        <f t="shared" si="938"/>
        <v>11557</v>
      </c>
      <c r="BM396" s="60">
        <f t="shared" si="938"/>
        <v>14749</v>
      </c>
      <c r="BN396" s="1125">
        <f t="shared" si="938"/>
        <v>37134</v>
      </c>
      <c r="BO396" s="1022">
        <f t="shared" si="938"/>
        <v>18059</v>
      </c>
      <c r="BP396" s="60">
        <f t="shared" si="938"/>
        <v>19937</v>
      </c>
      <c r="BQ396" s="28">
        <f t="shared" ref="BQ396:BV396" si="939">BQ362</f>
        <v>23276</v>
      </c>
      <c r="BR396" s="60">
        <f t="shared" si="939"/>
        <v>25516</v>
      </c>
      <c r="BS396" s="1125">
        <f t="shared" si="939"/>
        <v>86789</v>
      </c>
      <c r="BT396" s="1022">
        <f t="shared" si="939"/>
        <v>23275</v>
      </c>
      <c r="BU396" s="60">
        <f t="shared" si="939"/>
        <v>30165</v>
      </c>
      <c r="BV396" s="28">
        <f t="shared" si="939"/>
        <v>37752</v>
      </c>
      <c r="BW396" s="60">
        <f>BW362</f>
        <v>46107</v>
      </c>
      <c r="BX396" s="1125">
        <f>BX362</f>
        <v>137300</v>
      </c>
      <c r="BY396" s="907">
        <f>BY362</f>
        <v>53783</v>
      </c>
      <c r="BZ396" s="118">
        <f t="shared" ref="BZ396:CK396" si="940">BZ394-BZ395</f>
        <v>59835.724645399518</v>
      </c>
      <c r="CA396" s="118">
        <f t="shared" si="940"/>
        <v>61534.58267108725</v>
      </c>
      <c r="CB396" s="118">
        <f t="shared" si="940"/>
        <v>64505.552758179576</v>
      </c>
      <c r="CC396" s="1155">
        <f t="shared" si="940"/>
        <v>239658.86007466636</v>
      </c>
      <c r="CD396" s="118">
        <f t="shared" si="940"/>
        <v>69538.35801813392</v>
      </c>
      <c r="CE396" s="118">
        <f t="shared" si="940"/>
        <v>77427.956367816136</v>
      </c>
      <c r="CF396" s="118">
        <f t="shared" si="940"/>
        <v>76767.759498915897</v>
      </c>
      <c r="CG396" s="118">
        <f t="shared" si="940"/>
        <v>80245.024769330426</v>
      </c>
      <c r="CH396" s="1155">
        <f t="shared" si="940"/>
        <v>303979.09865419636</v>
      </c>
      <c r="CI396" s="1155">
        <f t="shared" si="940"/>
        <v>362848.70544912887</v>
      </c>
      <c r="CJ396" s="1155">
        <f t="shared" si="940"/>
        <v>426544.80125808634</v>
      </c>
      <c r="CK396" s="1155">
        <f t="shared" si="940"/>
        <v>501566.81081483781</v>
      </c>
      <c r="CL396" s="155"/>
    </row>
    <row r="397" spans="1:90" x14ac:dyDescent="0.3">
      <c r="A397" s="75" t="str">
        <f>CONCATENATE("Consensus Estimates - ",IFERROR(LEFT(A396,FIND("(",A396)-1),A396))</f>
        <v>Consensus Estimates - Company Reported Non-GAAP Operating Income</v>
      </c>
      <c r="B397" s="102"/>
      <c r="C397" s="1119"/>
      <c r="D397" s="1119"/>
      <c r="E397" s="1119"/>
      <c r="F397" s="1119"/>
      <c r="G397" s="76"/>
      <c r="H397" s="76"/>
      <c r="I397" s="76"/>
      <c r="J397" s="76"/>
      <c r="K397" s="1119"/>
      <c r="L397" s="76"/>
      <c r="M397" s="76"/>
      <c r="N397" s="76"/>
      <c r="O397" s="76"/>
      <c r="P397" s="1119"/>
      <c r="Q397" s="76"/>
      <c r="R397" s="76"/>
      <c r="S397" s="76"/>
      <c r="T397" s="76"/>
      <c r="U397" s="1119"/>
      <c r="V397" s="76"/>
      <c r="W397" s="76"/>
      <c r="X397" s="77"/>
      <c r="Y397" s="77"/>
      <c r="Z397" s="1126"/>
      <c r="AA397" s="76"/>
      <c r="AB397" s="76"/>
      <c r="AC397" s="77"/>
      <c r="AD397" s="77"/>
      <c r="AE397" s="1126"/>
      <c r="AF397" s="76"/>
      <c r="AG397" s="76"/>
      <c r="AH397" s="76"/>
      <c r="AI397" s="77"/>
      <c r="AJ397" s="1126"/>
      <c r="AK397" s="76"/>
      <c r="AL397" s="76"/>
      <c r="AM397" s="76"/>
      <c r="AN397" s="77"/>
      <c r="AO397" s="1126"/>
      <c r="AP397" s="76"/>
      <c r="AQ397" s="76"/>
      <c r="AR397" s="76"/>
      <c r="AS397" s="77"/>
      <c r="AT397" s="1126"/>
      <c r="AU397" s="76"/>
      <c r="AV397" s="76"/>
      <c r="AW397" s="76"/>
      <c r="AX397" s="77"/>
      <c r="AY397" s="1126"/>
      <c r="AZ397" s="76"/>
      <c r="BA397" s="76"/>
      <c r="BB397" s="76"/>
      <c r="BC397" s="77"/>
      <c r="BD397" s="1126"/>
      <c r="BE397" s="76"/>
      <c r="BF397" s="76"/>
      <c r="BG397" s="76"/>
      <c r="BH397" s="77"/>
      <c r="BI397" s="1126"/>
      <c r="BJ397" s="76"/>
      <c r="BK397" s="76"/>
      <c r="BL397" s="76"/>
      <c r="BM397" s="77"/>
      <c r="BN397" s="1126"/>
      <c r="BO397" s="76"/>
      <c r="BP397" s="76"/>
      <c r="BQ397" s="76"/>
      <c r="BR397" s="77"/>
      <c r="BS397" s="1126"/>
      <c r="BT397" s="76"/>
      <c r="BU397" s="76"/>
      <c r="BV397" s="76"/>
      <c r="BW397" s="77"/>
      <c r="BX397" s="1126"/>
      <c r="BY397" s="893"/>
      <c r="BZ397" s="867" t="str">
        <f t="shared" ref="BZ397:CH397" ca="1" si="941">IFERROR(VLOOKUP($A397,tb_ConsensusEstimate,MATCH(BZ$5,OFFSET(tb_ConsensusEstimate,0,0,1,COLUMNS(tb_ConsensusEstimate)),0),FALSE),"-")</f>
        <v>N/A</v>
      </c>
      <c r="CA397" s="867" t="str">
        <f t="shared" ca="1" si="941"/>
        <v>N/A</v>
      </c>
      <c r="CB397" s="867" t="str">
        <f t="shared" ca="1" si="941"/>
        <v>N/A</v>
      </c>
      <c r="CC397" s="1126" t="str">
        <f t="shared" ca="1" si="941"/>
        <v>N/A</v>
      </c>
      <c r="CD397" s="867" t="str">
        <f t="shared" ca="1" si="941"/>
        <v>N/A</v>
      </c>
      <c r="CE397" s="867" t="str">
        <f t="shared" ca="1" si="941"/>
        <v>N/A</v>
      </c>
      <c r="CF397" s="867" t="str">
        <f t="shared" ca="1" si="941"/>
        <v>N/A</v>
      </c>
      <c r="CG397" s="867" t="str">
        <f t="shared" ca="1" si="941"/>
        <v>N/A</v>
      </c>
      <c r="CH397" s="1126" t="str">
        <f t="shared" ca="1" si="941"/>
        <v>N/A</v>
      </c>
      <c r="CI397" s="1126" t="str">
        <f ca="1">IFERROR(VLOOKUP($A397,tb_ConsensusEstimate,MATCH(CI5,OFFSET(tb_ConsensusEstimate,0,0,1,COLUMNS(tb_ConsensusEstimate)),0),FALSE),"-")</f>
        <v>N/A</v>
      </c>
      <c r="CJ397" s="1126" t="str">
        <f ca="1">IFERROR(VLOOKUP($A397,tb_ConsensusEstimate,MATCH(CJ5,OFFSET(tb_ConsensusEstimate,0,0,1,COLUMNS(tb_ConsensusEstimate)),0),FALSE),"-")</f>
        <v>N/A</v>
      </c>
      <c r="CK397" s="1126" t="str">
        <f ca="1">IFERROR(VLOOKUP($A397,tb_ConsensusEstimate,MATCH(CK5,OFFSET(tb_ConsensusEstimate,0,0,1,COLUMNS(tb_ConsensusEstimate)),0),FALSE),"-")</f>
        <v>N/A</v>
      </c>
      <c r="CL397" s="155"/>
    </row>
    <row r="398" spans="1:90" ht="7.5" customHeight="1" x14ac:dyDescent="0.3">
      <c r="A398" s="111"/>
      <c r="B398" s="112"/>
      <c r="C398" s="1159"/>
      <c r="D398" s="1159"/>
      <c r="E398" s="1159"/>
      <c r="F398" s="1159"/>
      <c r="G398" s="113"/>
      <c r="H398" s="113"/>
      <c r="I398" s="113"/>
      <c r="J398" s="113"/>
      <c r="K398" s="1159"/>
      <c r="L398" s="113"/>
      <c r="M398" s="113"/>
      <c r="N398" s="113"/>
      <c r="O398" s="113"/>
      <c r="P398" s="1159"/>
      <c r="Q398" s="113"/>
      <c r="R398" s="113"/>
      <c r="S398" s="113"/>
      <c r="T398" s="113"/>
      <c r="U398" s="1159"/>
      <c r="V398" s="113"/>
      <c r="W398" s="113"/>
      <c r="X398" s="114"/>
      <c r="Y398" s="114"/>
      <c r="Z398" s="1160"/>
      <c r="AA398" s="113"/>
      <c r="AB398" s="113"/>
      <c r="AC398" s="114"/>
      <c r="AD398" s="114"/>
      <c r="AE398" s="1160"/>
      <c r="AF398" s="113"/>
      <c r="AG398" s="113"/>
      <c r="AH398" s="113"/>
      <c r="AI398" s="114"/>
      <c r="AJ398" s="1160"/>
      <c r="AK398" s="113"/>
      <c r="AL398" s="113"/>
      <c r="AM398" s="113"/>
      <c r="AN398" s="114"/>
      <c r="AO398" s="1160"/>
      <c r="AP398" s="113"/>
      <c r="AQ398" s="113"/>
      <c r="AR398" s="113"/>
      <c r="AS398" s="114"/>
      <c r="AT398" s="1160"/>
      <c r="AU398" s="113"/>
      <c r="AV398" s="113"/>
      <c r="AW398" s="113"/>
      <c r="AX398" s="114"/>
      <c r="AY398" s="1160"/>
      <c r="AZ398" s="113"/>
      <c r="BA398" s="113"/>
      <c r="BB398" s="113"/>
      <c r="BC398" s="114"/>
      <c r="BD398" s="1160"/>
      <c r="BE398" s="113"/>
      <c r="BF398" s="113"/>
      <c r="BG398" s="113"/>
      <c r="BH398" s="114"/>
      <c r="BI398" s="1160"/>
      <c r="BJ398" s="113"/>
      <c r="BK398" s="113"/>
      <c r="BL398" s="113"/>
      <c r="BM398" s="114"/>
      <c r="BN398" s="1160"/>
      <c r="BO398" s="113"/>
      <c r="BP398" s="113"/>
      <c r="BQ398" s="113"/>
      <c r="BR398" s="114"/>
      <c r="BS398" s="1160"/>
      <c r="BT398" s="113"/>
      <c r="BU398" s="113"/>
      <c r="BV398" s="113"/>
      <c r="BW398" s="114"/>
      <c r="BX398" s="1160"/>
      <c r="BY398" s="1005"/>
      <c r="BZ398" s="113"/>
      <c r="CA398" s="114"/>
      <c r="CB398" s="114"/>
      <c r="CC398" s="1160"/>
      <c r="CD398" s="113"/>
      <c r="CE398" s="113"/>
      <c r="CF398" s="114"/>
      <c r="CG398" s="114"/>
      <c r="CH398" s="1160"/>
      <c r="CI398" s="1160"/>
      <c r="CJ398" s="1160"/>
      <c r="CK398" s="1160"/>
      <c r="CL398" s="155"/>
    </row>
    <row r="399" spans="1:90" hidden="1" outlineLevel="1" x14ac:dyDescent="0.3">
      <c r="A399" s="282" t="s">
        <v>99</v>
      </c>
      <c r="B399" s="144"/>
      <c r="C399" s="1112">
        <f t="shared" ref="C399:AH399" si="942">C117</f>
        <v>152.423</v>
      </c>
      <c r="D399" s="1112">
        <f t="shared" si="942"/>
        <v>164.76399999999998</v>
      </c>
      <c r="E399" s="1112">
        <f t="shared" si="942"/>
        <v>156.989</v>
      </c>
      <c r="F399" s="1112">
        <f t="shared" si="942"/>
        <v>145.20500000000001</v>
      </c>
      <c r="G399" s="109">
        <f t="shared" si="942"/>
        <v>37.890999999999998</v>
      </c>
      <c r="H399" s="109">
        <f t="shared" si="942"/>
        <v>38.995000000000005</v>
      </c>
      <c r="I399" s="109">
        <f t="shared" si="942"/>
        <v>39.847999999999999</v>
      </c>
      <c r="J399" s="109">
        <f t="shared" si="942"/>
        <v>41.100999999999999</v>
      </c>
      <c r="K399" s="1112">
        <f t="shared" si="942"/>
        <v>157.83500000000001</v>
      </c>
      <c r="L399" s="109">
        <f t="shared" si="942"/>
        <v>42.344000000000001</v>
      </c>
      <c r="M399" s="109">
        <f t="shared" si="942"/>
        <v>43.24</v>
      </c>
      <c r="N399" s="109">
        <f t="shared" si="942"/>
        <v>43.125999999999998</v>
      </c>
      <c r="O399" s="109">
        <f t="shared" si="942"/>
        <v>37.737999999999992</v>
      </c>
      <c r="P399" s="1112">
        <f t="shared" si="942"/>
        <v>166.44799999999998</v>
      </c>
      <c r="Q399" s="109">
        <f t="shared" si="942"/>
        <v>36</v>
      </c>
      <c r="R399" s="109">
        <f t="shared" si="942"/>
        <v>37</v>
      </c>
      <c r="S399" s="109">
        <f t="shared" si="942"/>
        <v>36</v>
      </c>
      <c r="T399" s="109">
        <f t="shared" si="942"/>
        <v>34</v>
      </c>
      <c r="U399" s="1112">
        <f t="shared" si="942"/>
        <v>143</v>
      </c>
      <c r="V399" s="109">
        <f t="shared" si="942"/>
        <v>35</v>
      </c>
      <c r="W399" s="109">
        <f t="shared" si="942"/>
        <v>30</v>
      </c>
      <c r="X399" s="109">
        <f t="shared" si="942"/>
        <v>30</v>
      </c>
      <c r="Y399" s="109">
        <f t="shared" si="942"/>
        <v>29</v>
      </c>
      <c r="Z399" s="1112">
        <f t="shared" si="942"/>
        <v>124</v>
      </c>
      <c r="AA399" s="109">
        <f t="shared" si="942"/>
        <v>28</v>
      </c>
      <c r="AB399" s="109">
        <f t="shared" si="942"/>
        <v>29</v>
      </c>
      <c r="AC399" s="109">
        <f t="shared" si="942"/>
        <v>30</v>
      </c>
      <c r="AD399" s="109">
        <f t="shared" si="942"/>
        <v>32</v>
      </c>
      <c r="AE399" s="1112">
        <f t="shared" si="942"/>
        <v>119</v>
      </c>
      <c r="AF399" s="109">
        <f t="shared" si="942"/>
        <v>32</v>
      </c>
      <c r="AG399" s="109">
        <f t="shared" si="942"/>
        <v>35</v>
      </c>
      <c r="AH399" s="109">
        <f t="shared" si="942"/>
        <v>36</v>
      </c>
      <c r="AI399" s="109">
        <f t="shared" ref="AI399:BN399" si="943">AI117</f>
        <v>41</v>
      </c>
      <c r="AJ399" s="1112">
        <f t="shared" si="943"/>
        <v>144</v>
      </c>
      <c r="AK399" s="109">
        <f t="shared" si="943"/>
        <v>46</v>
      </c>
      <c r="AL399" s="109">
        <f t="shared" si="943"/>
        <v>53</v>
      </c>
      <c r="AM399" s="109">
        <f t="shared" si="943"/>
        <v>61</v>
      </c>
      <c r="AN399" s="109">
        <f t="shared" si="943"/>
        <v>73</v>
      </c>
      <c r="AO399" s="1112">
        <f t="shared" si="943"/>
        <v>233</v>
      </c>
      <c r="AP399" s="109">
        <f t="shared" si="943"/>
        <v>84</v>
      </c>
      <c r="AQ399" s="109">
        <f t="shared" si="943"/>
        <v>86</v>
      </c>
      <c r="AR399" s="109">
        <f t="shared" si="943"/>
        <v>86</v>
      </c>
      <c r="AS399" s="109">
        <f t="shared" si="943"/>
        <v>100</v>
      </c>
      <c r="AT399" s="1112">
        <f t="shared" si="943"/>
        <v>356</v>
      </c>
      <c r="AU399" s="109">
        <f t="shared" si="943"/>
        <v>100</v>
      </c>
      <c r="AV399" s="109">
        <f t="shared" si="943"/>
        <v>120</v>
      </c>
      <c r="AW399" s="109">
        <f t="shared" si="943"/>
        <v>125</v>
      </c>
      <c r="AX399" s="109">
        <f t="shared" si="943"/>
        <v>141</v>
      </c>
      <c r="AY399" s="1112">
        <f t="shared" si="943"/>
        <v>486</v>
      </c>
      <c r="AZ399" s="109">
        <f t="shared" si="943"/>
        <v>144</v>
      </c>
      <c r="BA399" s="109">
        <f t="shared" si="943"/>
        <v>148</v>
      </c>
      <c r="BB399" s="109">
        <f t="shared" si="943"/>
        <v>155</v>
      </c>
      <c r="BC399" s="109">
        <f t="shared" si="943"/>
        <v>164</v>
      </c>
      <c r="BD399" s="1112">
        <f t="shared" si="943"/>
        <v>611</v>
      </c>
      <c r="BE399" s="109">
        <f t="shared" si="943"/>
        <v>179</v>
      </c>
      <c r="BF399" s="109">
        <f t="shared" si="943"/>
        <v>196</v>
      </c>
      <c r="BG399" s="109">
        <f t="shared" si="943"/>
        <v>225</v>
      </c>
      <c r="BH399" s="109">
        <f t="shared" si="943"/>
        <v>244</v>
      </c>
      <c r="BI399" s="1112">
        <f t="shared" si="943"/>
        <v>844</v>
      </c>
      <c r="BJ399" s="109">
        <f t="shared" si="943"/>
        <v>203</v>
      </c>
      <c r="BK399" s="109">
        <f t="shared" si="943"/>
        <v>219</v>
      </c>
      <c r="BL399" s="109">
        <f t="shared" si="943"/>
        <v>228</v>
      </c>
      <c r="BM399" s="109">
        <f t="shared" si="943"/>
        <v>244</v>
      </c>
      <c r="BN399" s="1112">
        <f t="shared" si="943"/>
        <v>894</v>
      </c>
      <c r="BO399" s="109">
        <f t="shared" ref="BO399:BX399" si="944">BO117</f>
        <v>267</v>
      </c>
      <c r="BP399" s="109">
        <f t="shared" si="944"/>
        <v>287</v>
      </c>
      <c r="BQ399" s="109">
        <f t="shared" si="944"/>
        <v>329</v>
      </c>
      <c r="BR399" s="109">
        <f t="shared" si="944"/>
        <v>388</v>
      </c>
      <c r="BS399" s="1112">
        <f t="shared" si="944"/>
        <v>1271</v>
      </c>
      <c r="BT399" s="109">
        <f t="shared" si="944"/>
        <v>452</v>
      </c>
      <c r="BU399" s="109">
        <f t="shared" si="944"/>
        <v>583</v>
      </c>
      <c r="BV399" s="109">
        <f t="shared" si="944"/>
        <v>655</v>
      </c>
      <c r="BW399" s="109">
        <f t="shared" si="944"/>
        <v>665</v>
      </c>
      <c r="BX399" s="1112">
        <f t="shared" si="944"/>
        <v>2355</v>
      </c>
      <c r="BY399" s="730">
        <f>BY117</f>
        <v>765</v>
      </c>
      <c r="BZ399" s="109">
        <f>-BZ925</f>
        <v>790.98377358490575</v>
      </c>
      <c r="CA399" s="109">
        <f>-CA925</f>
        <v>767.53646397802993</v>
      </c>
      <c r="CB399" s="109">
        <f>-CB925</f>
        <v>776.95816606108576</v>
      </c>
      <c r="CC399" s="1154">
        <f>SUM(BY399,BZ399,CA399,CB399)</f>
        <v>3100.4784036240212</v>
      </c>
      <c r="CD399" s="109">
        <f>-CD925</f>
        <v>693.88438284969925</v>
      </c>
      <c r="CE399" s="109">
        <f>-CE925</f>
        <v>683.45878485488163</v>
      </c>
      <c r="CF399" s="109">
        <f>-CF925</f>
        <v>665.34813154471203</v>
      </c>
      <c r="CG399" s="109">
        <f>-CG925</f>
        <v>647.88026461513232</v>
      </c>
      <c r="CH399" s="1154">
        <f>SUM(CD399,CE399,CF399,CG399)</f>
        <v>2690.5715638644251</v>
      </c>
      <c r="CI399" s="1154">
        <f>-CI925</f>
        <v>2450.3570084530043</v>
      </c>
      <c r="CJ399" s="1154">
        <f>-CJ925</f>
        <v>2117.4641862552235</v>
      </c>
      <c r="CK399" s="1154">
        <f>-CK925</f>
        <v>1871.1234978288653</v>
      </c>
      <c r="CL399" s="155"/>
    </row>
    <row r="400" spans="1:90" hidden="1" outlineLevel="1" x14ac:dyDescent="0.3">
      <c r="A400" s="62" t="s">
        <v>100</v>
      </c>
      <c r="B400" s="123"/>
      <c r="C400" s="1125">
        <f t="shared" ref="C400:AI400" si="945">C396+C399</f>
        <v>301.04499999999962</v>
      </c>
      <c r="D400" s="1125">
        <f t="shared" si="945"/>
        <v>300.00900000000013</v>
      </c>
      <c r="E400" s="1125">
        <f t="shared" si="945"/>
        <v>659.1690000000001</v>
      </c>
      <c r="F400" s="1125">
        <f>F396+F399</f>
        <v>974.63</v>
      </c>
      <c r="G400" s="60">
        <f t="shared" si="945"/>
        <v>155.79899999999995</v>
      </c>
      <c r="H400" s="60">
        <f t="shared" si="945"/>
        <v>239.85900000000004</v>
      </c>
      <c r="I400" s="60">
        <f t="shared" si="945"/>
        <v>334.20199999999988</v>
      </c>
      <c r="J400" s="60">
        <f t="shared" si="945"/>
        <v>269.14099999999996</v>
      </c>
      <c r="K400" s="1125">
        <f t="shared" si="945"/>
        <v>999.00099999999975</v>
      </c>
      <c r="L400" s="60">
        <f t="shared" si="945"/>
        <v>167.38299999999998</v>
      </c>
      <c r="M400" s="60">
        <f t="shared" si="945"/>
        <v>192.42299999999994</v>
      </c>
      <c r="N400" s="60">
        <f t="shared" si="945"/>
        <v>225.22500000000016</v>
      </c>
      <c r="O400" s="60">
        <f t="shared" si="945"/>
        <v>245.62900000000064</v>
      </c>
      <c r="P400" s="1125">
        <f t="shared" si="945"/>
        <v>830.66</v>
      </c>
      <c r="Q400" s="60">
        <f t="shared" si="945"/>
        <v>232</v>
      </c>
      <c r="R400" s="60">
        <f t="shared" si="945"/>
        <v>247</v>
      </c>
      <c r="S400" s="60">
        <f t="shared" si="945"/>
        <v>300</v>
      </c>
      <c r="T400" s="60">
        <f t="shared" si="945"/>
        <v>318</v>
      </c>
      <c r="U400" s="1125">
        <f t="shared" si="945"/>
        <v>1097</v>
      </c>
      <c r="V400" s="60">
        <f t="shared" si="945"/>
        <v>265</v>
      </c>
      <c r="W400" s="60">
        <f t="shared" si="945"/>
        <v>261</v>
      </c>
      <c r="X400" s="60">
        <f t="shared" si="945"/>
        <v>338</v>
      </c>
      <c r="Y400" s="60">
        <f t="shared" si="945"/>
        <v>385</v>
      </c>
      <c r="Z400" s="1125">
        <f t="shared" si="945"/>
        <v>1249</v>
      </c>
      <c r="AA400" s="60">
        <f t="shared" si="945"/>
        <v>350</v>
      </c>
      <c r="AB400" s="60">
        <f t="shared" si="945"/>
        <v>411</v>
      </c>
      <c r="AC400" s="60">
        <f t="shared" si="945"/>
        <v>738</v>
      </c>
      <c r="AD400" s="60">
        <f t="shared" si="945"/>
        <v>841</v>
      </c>
      <c r="AE400" s="1125">
        <f t="shared" si="945"/>
        <v>2340</v>
      </c>
      <c r="AF400" s="60">
        <f t="shared" si="945"/>
        <v>669</v>
      </c>
      <c r="AG400" s="60">
        <f t="shared" si="945"/>
        <v>808</v>
      </c>
      <c r="AH400" s="28">
        <f t="shared" si="945"/>
        <v>1041</v>
      </c>
      <c r="AI400" s="60">
        <f t="shared" si="945"/>
        <v>1243</v>
      </c>
      <c r="AJ400" s="1125">
        <f t="shared" ref="AJ400:AV400" si="946">AJ396+AJ399</f>
        <v>3761</v>
      </c>
      <c r="AK400" s="1022">
        <f t="shared" si="946"/>
        <v>1474</v>
      </c>
      <c r="AL400" s="60">
        <f t="shared" si="946"/>
        <v>1343</v>
      </c>
      <c r="AM400" s="28">
        <f t="shared" si="946"/>
        <v>1271</v>
      </c>
      <c r="AN400" s="60">
        <f t="shared" si="946"/>
        <v>552</v>
      </c>
      <c r="AO400" s="1125">
        <f t="shared" si="946"/>
        <v>4640</v>
      </c>
      <c r="AP400" s="1022">
        <f t="shared" si="946"/>
        <v>641</v>
      </c>
      <c r="AQ400" s="60">
        <f t="shared" si="946"/>
        <v>888</v>
      </c>
      <c r="AR400" s="28">
        <f t="shared" si="946"/>
        <v>1242</v>
      </c>
      <c r="AS400" s="60">
        <f t="shared" si="946"/>
        <v>1320</v>
      </c>
      <c r="AT400" s="1125">
        <f t="shared" si="946"/>
        <v>4091</v>
      </c>
      <c r="AU400" s="1022">
        <f t="shared" si="946"/>
        <v>1305</v>
      </c>
      <c r="AV400" s="60">
        <f t="shared" si="946"/>
        <v>1636</v>
      </c>
      <c r="AW400" s="28">
        <f t="shared" ref="AW400:BB400" si="947">AW396+AW399</f>
        <v>2118</v>
      </c>
      <c r="AX400" s="60">
        <f t="shared" si="947"/>
        <v>2230</v>
      </c>
      <c r="AY400" s="1125">
        <f t="shared" si="947"/>
        <v>7289</v>
      </c>
      <c r="AZ400" s="1022">
        <f t="shared" si="947"/>
        <v>2701</v>
      </c>
      <c r="BA400" s="60">
        <f t="shared" si="947"/>
        <v>3219</v>
      </c>
      <c r="BB400" s="28">
        <f t="shared" si="947"/>
        <v>3541</v>
      </c>
      <c r="BC400" s="60">
        <f t="shared" ref="BC400:BD400" si="948">BC396+BC399</f>
        <v>3841</v>
      </c>
      <c r="BD400" s="1125">
        <f t="shared" si="948"/>
        <v>13301</v>
      </c>
      <c r="BE400" s="1022">
        <f>BE396+BE399</f>
        <v>4134</v>
      </c>
      <c r="BF400" s="60">
        <f t="shared" ref="BF400" si="949">BF396+BF399</f>
        <v>1521</v>
      </c>
      <c r="BG400" s="28">
        <f t="shared" ref="BG400:BI400" si="950">BG396+BG399</f>
        <v>1761</v>
      </c>
      <c r="BH400" s="60">
        <f t="shared" si="950"/>
        <v>2468</v>
      </c>
      <c r="BI400" s="1125">
        <f t="shared" si="950"/>
        <v>9884</v>
      </c>
      <c r="BJ400" s="1022">
        <f>BJ396+BJ399</f>
        <v>3255</v>
      </c>
      <c r="BK400" s="60">
        <f t="shared" ref="BK400" si="951">BK396+BK399</f>
        <v>7995</v>
      </c>
      <c r="BL400" s="28">
        <f t="shared" ref="BL400:BN400" si="952">BL396+BL399</f>
        <v>11785</v>
      </c>
      <c r="BM400" s="60">
        <f t="shared" si="952"/>
        <v>14993</v>
      </c>
      <c r="BN400" s="1125">
        <f t="shared" si="952"/>
        <v>38028</v>
      </c>
      <c r="BO400" s="1022">
        <f t="shared" ref="BO400:BS400" si="953">BO396+BO399</f>
        <v>18326</v>
      </c>
      <c r="BP400" s="60">
        <f t="shared" si="953"/>
        <v>20224</v>
      </c>
      <c r="BQ400" s="28">
        <f t="shared" si="953"/>
        <v>23605</v>
      </c>
      <c r="BR400" s="60">
        <f t="shared" si="953"/>
        <v>25904</v>
      </c>
      <c r="BS400" s="1125">
        <f t="shared" si="953"/>
        <v>88060</v>
      </c>
      <c r="BT400" s="1022">
        <f t="shared" ref="BT400:CK400" si="954">BT396+BT399</f>
        <v>23727</v>
      </c>
      <c r="BU400" s="60">
        <f t="shared" si="954"/>
        <v>30748</v>
      </c>
      <c r="BV400" s="28">
        <f t="shared" si="954"/>
        <v>38407</v>
      </c>
      <c r="BW400" s="60">
        <f t="shared" si="954"/>
        <v>46772</v>
      </c>
      <c r="BX400" s="1125">
        <f t="shared" si="954"/>
        <v>139655</v>
      </c>
      <c r="BY400" s="907">
        <f>BY396+BY399</f>
        <v>54548</v>
      </c>
      <c r="BZ400" s="118">
        <f t="shared" si="954"/>
        <v>60626.708418984424</v>
      </c>
      <c r="CA400" s="118">
        <f t="shared" si="954"/>
        <v>62302.119135065281</v>
      </c>
      <c r="CB400" s="118">
        <f t="shared" si="954"/>
        <v>65282.510924240662</v>
      </c>
      <c r="CC400" s="1155">
        <f t="shared" si="954"/>
        <v>242759.33847829039</v>
      </c>
      <c r="CD400" s="118">
        <f t="shared" si="954"/>
        <v>70232.242400983625</v>
      </c>
      <c r="CE400" s="118">
        <f t="shared" si="954"/>
        <v>78111.415152671019</v>
      </c>
      <c r="CF400" s="118">
        <f t="shared" si="954"/>
        <v>77433.10763046061</v>
      </c>
      <c r="CG400" s="118">
        <f t="shared" si="954"/>
        <v>80892.905033945557</v>
      </c>
      <c r="CH400" s="1155">
        <f t="shared" si="954"/>
        <v>306669.67021806078</v>
      </c>
      <c r="CI400" s="1155">
        <f t="shared" si="954"/>
        <v>365299.06245758187</v>
      </c>
      <c r="CJ400" s="1155">
        <f t="shared" si="954"/>
        <v>428662.26544434158</v>
      </c>
      <c r="CK400" s="1155">
        <f t="shared" si="954"/>
        <v>503437.93431266665</v>
      </c>
      <c r="CL400" s="155"/>
    </row>
    <row r="401" spans="1:90" hidden="1" outlineLevel="1" x14ac:dyDescent="0.3">
      <c r="A401" s="75" t="str">
        <f>CONCATENATE("Consensus Estimates - ",IFERROR(LEFT(A400,FIND("(",A400)-1),A400))</f>
        <v>Consensus Estimates - Non-GAAP EBITDA</v>
      </c>
      <c r="B401" s="102"/>
      <c r="C401" s="1119"/>
      <c r="D401" s="1119"/>
      <c r="E401" s="1119"/>
      <c r="F401" s="1119"/>
      <c r="G401" s="76"/>
      <c r="H401" s="76"/>
      <c r="I401" s="76"/>
      <c r="J401" s="76"/>
      <c r="K401" s="1119"/>
      <c r="L401" s="76"/>
      <c r="M401" s="76"/>
      <c r="N401" s="76"/>
      <c r="O401" s="76"/>
      <c r="P401" s="1119"/>
      <c r="Q401" s="76"/>
      <c r="R401" s="76"/>
      <c r="S401" s="76"/>
      <c r="T401" s="76"/>
      <c r="U401" s="1119"/>
      <c r="V401" s="76"/>
      <c r="W401" s="76"/>
      <c r="X401" s="77"/>
      <c r="Y401" s="77"/>
      <c r="Z401" s="1126"/>
      <c r="AA401" s="76"/>
      <c r="AB401" s="76"/>
      <c r="AC401" s="77"/>
      <c r="AD401" s="77"/>
      <c r="AE401" s="1126"/>
      <c r="AF401" s="76"/>
      <c r="AG401" s="76"/>
      <c r="AH401" s="76"/>
      <c r="AI401" s="77"/>
      <c r="AJ401" s="1126"/>
      <c r="AK401" s="76"/>
      <c r="AL401" s="76"/>
      <c r="AM401" s="76"/>
      <c r="AN401" s="77"/>
      <c r="AO401" s="1126"/>
      <c r="AP401" s="76"/>
      <c r="AQ401" s="76"/>
      <c r="AR401" s="76"/>
      <c r="AS401" s="77"/>
      <c r="AT401" s="1126"/>
      <c r="AU401" s="76"/>
      <c r="AV401" s="76"/>
      <c r="AW401" s="76"/>
      <c r="AX401" s="77"/>
      <c r="AY401" s="1126"/>
      <c r="AZ401" s="76"/>
      <c r="BA401" s="76"/>
      <c r="BB401" s="76"/>
      <c r="BC401" s="77"/>
      <c r="BD401" s="1126"/>
      <c r="BE401" s="76"/>
      <c r="BF401" s="76"/>
      <c r="BG401" s="76"/>
      <c r="BH401" s="77"/>
      <c r="BI401" s="1126"/>
      <c r="BJ401" s="76"/>
      <c r="BK401" s="76"/>
      <c r="BL401" s="76"/>
      <c r="BM401" s="77"/>
      <c r="BN401" s="1126"/>
      <c r="BO401" s="76"/>
      <c r="BP401" s="76"/>
      <c r="BQ401" s="76"/>
      <c r="BR401" s="77"/>
      <c r="BS401" s="1126"/>
      <c r="BT401" s="76"/>
      <c r="BU401" s="76"/>
      <c r="BV401" s="76"/>
      <c r="BW401" s="77"/>
      <c r="BX401" s="1126"/>
      <c r="BY401" s="893"/>
      <c r="BZ401" s="867" t="str">
        <f t="shared" ref="BZ401:CH401" ca="1" si="955">IFERROR(VLOOKUP($A401,tb_ConsensusEstimate,MATCH(BZ$5,OFFSET(tb_ConsensusEstimate,0,0,1,COLUMNS(tb_ConsensusEstimate)),0),FALSE),"-")</f>
        <v>N/A</v>
      </c>
      <c r="CA401" s="867" t="str">
        <f t="shared" ca="1" si="955"/>
        <v>N/A</v>
      </c>
      <c r="CB401" s="867" t="str">
        <f t="shared" ca="1" si="955"/>
        <v>N/A</v>
      </c>
      <c r="CC401" s="1126" t="str">
        <f t="shared" ca="1" si="955"/>
        <v>N/A</v>
      </c>
      <c r="CD401" s="867" t="str">
        <f t="shared" ca="1" si="955"/>
        <v>N/A</v>
      </c>
      <c r="CE401" s="867" t="str">
        <f t="shared" ca="1" si="955"/>
        <v>N/A</v>
      </c>
      <c r="CF401" s="867" t="str">
        <f t="shared" ca="1" si="955"/>
        <v>N/A</v>
      </c>
      <c r="CG401" s="867" t="str">
        <f t="shared" ca="1" si="955"/>
        <v>N/A</v>
      </c>
      <c r="CH401" s="1126" t="str">
        <f t="shared" ca="1" si="955"/>
        <v>N/A</v>
      </c>
      <c r="CI401" s="1126" t="str">
        <f ca="1">IFERROR(VLOOKUP($A401,tb_ConsensusEstimate,MATCH(CI5,OFFSET(tb_ConsensusEstimate,0,0,1,COLUMNS(tb_ConsensusEstimate)),0),FALSE),"-")</f>
        <v>N/A</v>
      </c>
      <c r="CJ401" s="1126" t="str">
        <f ca="1">IFERROR(VLOOKUP($A401,tb_ConsensusEstimate,MATCH(CJ5,OFFSET(tb_ConsensusEstimate,0,0,1,COLUMNS(tb_ConsensusEstimate)),0),FALSE),"-")</f>
        <v>N/A</v>
      </c>
      <c r="CK401" s="1126" t="str">
        <f ca="1">IFERROR(VLOOKUP($A401,tb_ConsensusEstimate,MATCH(CK5,OFFSET(tb_ConsensusEstimate,0,0,1,COLUMNS(tb_ConsensusEstimate)),0),FALSE),"-")</f>
        <v>N/A</v>
      </c>
      <c r="CL401" s="155"/>
    </row>
    <row r="402" spans="1:90" hidden="1" outlineLevel="1" x14ac:dyDescent="0.3">
      <c r="A402" s="609"/>
      <c r="B402" s="610"/>
      <c r="C402" s="1136"/>
      <c r="D402" s="1136"/>
      <c r="E402" s="1136"/>
      <c r="F402" s="1136"/>
      <c r="G402" s="93"/>
      <c r="H402" s="93"/>
      <c r="I402" s="93"/>
      <c r="J402" s="93"/>
      <c r="K402" s="1136"/>
      <c r="L402" s="93"/>
      <c r="M402" s="93"/>
      <c r="N402" s="93"/>
      <c r="O402" s="93"/>
      <c r="P402" s="1136"/>
      <c r="Q402" s="93"/>
      <c r="R402" s="93"/>
      <c r="S402" s="93"/>
      <c r="T402" s="93"/>
      <c r="U402" s="1136"/>
      <c r="V402" s="93"/>
      <c r="W402" s="93"/>
      <c r="X402" s="93"/>
      <c r="Y402" s="93"/>
      <c r="Z402" s="1136"/>
      <c r="AA402" s="93"/>
      <c r="AB402" s="93"/>
      <c r="AC402" s="93"/>
      <c r="AD402" s="93"/>
      <c r="AE402" s="1136"/>
      <c r="AF402" s="93"/>
      <c r="AG402" s="93"/>
      <c r="AH402" s="93"/>
      <c r="AI402" s="93"/>
      <c r="AJ402" s="1136"/>
      <c r="AK402" s="93"/>
      <c r="AL402" s="93"/>
      <c r="AM402" s="93"/>
      <c r="AN402" s="93"/>
      <c r="AO402" s="1136"/>
      <c r="AP402" s="93"/>
      <c r="AQ402" s="93"/>
      <c r="AR402" s="93"/>
      <c r="AS402" s="93"/>
      <c r="AT402" s="1136"/>
      <c r="AU402" s="93"/>
      <c r="AV402" s="93"/>
      <c r="AW402" s="93"/>
      <c r="AX402" s="93"/>
      <c r="AY402" s="1136"/>
      <c r="AZ402" s="93"/>
      <c r="BA402" s="93"/>
      <c r="BB402" s="93"/>
      <c r="BC402" s="93"/>
      <c r="BD402" s="1136"/>
      <c r="BE402" s="93"/>
      <c r="BF402" s="93"/>
      <c r="BG402" s="93"/>
      <c r="BH402" s="93"/>
      <c r="BI402" s="1136"/>
      <c r="BJ402" s="93"/>
      <c r="BK402" s="93"/>
      <c r="BL402" s="93"/>
      <c r="BM402" s="93"/>
      <c r="BN402" s="1136"/>
      <c r="BO402" s="93"/>
      <c r="BP402" s="93"/>
      <c r="BQ402" s="93"/>
      <c r="BR402" s="93"/>
      <c r="BS402" s="1136"/>
      <c r="BT402" s="93"/>
      <c r="BU402" s="93"/>
      <c r="BV402" s="93"/>
      <c r="BW402" s="93"/>
      <c r="BX402" s="1136"/>
      <c r="BY402" s="522"/>
      <c r="BZ402" s="378"/>
      <c r="CA402" s="378"/>
      <c r="CB402" s="378"/>
      <c r="CC402" s="1161"/>
      <c r="CD402" s="378"/>
      <c r="CE402" s="378"/>
      <c r="CF402" s="378"/>
      <c r="CG402" s="378"/>
      <c r="CH402" s="1161"/>
      <c r="CI402" s="1161"/>
      <c r="CJ402" s="1161"/>
      <c r="CK402" s="1161"/>
      <c r="CL402" s="155"/>
    </row>
    <row r="403" spans="1:90" hidden="1" outlineLevel="1" x14ac:dyDescent="0.3">
      <c r="A403" s="572" t="s">
        <v>605</v>
      </c>
      <c r="B403" s="146"/>
      <c r="C403" s="1114">
        <f t="shared" ref="C403:AH403" si="956">-C311</f>
        <v>0.40600000000000003</v>
      </c>
      <c r="D403" s="1114">
        <f t="shared" si="956"/>
        <v>3.32</v>
      </c>
      <c r="E403" s="1114">
        <f t="shared" si="956"/>
        <v>3.1269999999999998</v>
      </c>
      <c r="F403" s="1114">
        <f t="shared" si="956"/>
        <v>3.089</v>
      </c>
      <c r="G403" s="27">
        <f t="shared" si="956"/>
        <v>0.92900000000000005</v>
      </c>
      <c r="H403" s="27">
        <f t="shared" si="956"/>
        <v>-0.26900000000000002</v>
      </c>
      <c r="I403" s="27">
        <f t="shared" si="956"/>
        <v>3.29</v>
      </c>
      <c r="J403" s="27">
        <f t="shared" si="956"/>
        <v>-0.65599999999999969</v>
      </c>
      <c r="K403" s="1114">
        <f t="shared" si="956"/>
        <v>3.294</v>
      </c>
      <c r="L403" s="27">
        <f t="shared" si="956"/>
        <v>-0.20499999999999999</v>
      </c>
      <c r="M403" s="27">
        <f t="shared" si="956"/>
        <v>-2.4209999999999998</v>
      </c>
      <c r="N403" s="27">
        <f t="shared" si="956"/>
        <v>3.5259999999999998</v>
      </c>
      <c r="O403" s="27">
        <f t="shared" si="956"/>
        <v>9.5429999999999993</v>
      </c>
      <c r="P403" s="1114">
        <f t="shared" si="956"/>
        <v>10.443</v>
      </c>
      <c r="Q403" s="27">
        <f t="shared" si="956"/>
        <v>11</v>
      </c>
      <c r="R403" s="27">
        <f t="shared" si="956"/>
        <v>12</v>
      </c>
      <c r="S403" s="27">
        <f t="shared" si="956"/>
        <v>11</v>
      </c>
      <c r="T403" s="27">
        <f t="shared" si="956"/>
        <v>12</v>
      </c>
      <c r="U403" s="1114">
        <f t="shared" si="956"/>
        <v>46</v>
      </c>
      <c r="V403" s="27">
        <f t="shared" si="956"/>
        <v>12</v>
      </c>
      <c r="W403" s="27">
        <f t="shared" si="956"/>
        <v>12</v>
      </c>
      <c r="X403" s="27">
        <f t="shared" si="956"/>
        <v>12</v>
      </c>
      <c r="Y403" s="27">
        <f t="shared" si="956"/>
        <v>12</v>
      </c>
      <c r="Z403" s="1114">
        <f t="shared" si="956"/>
        <v>47</v>
      </c>
      <c r="AA403" s="27">
        <f t="shared" si="956"/>
        <v>12</v>
      </c>
      <c r="AB403" s="27">
        <f t="shared" si="956"/>
        <v>12</v>
      </c>
      <c r="AC403" s="27">
        <f t="shared" si="956"/>
        <v>16</v>
      </c>
      <c r="AD403" s="27">
        <f t="shared" si="956"/>
        <v>18</v>
      </c>
      <c r="AE403" s="1114">
        <f t="shared" si="956"/>
        <v>58</v>
      </c>
      <c r="AF403" s="27">
        <f t="shared" si="956"/>
        <v>16</v>
      </c>
      <c r="AG403" s="27">
        <f t="shared" si="956"/>
        <v>15</v>
      </c>
      <c r="AH403" s="27">
        <f t="shared" si="956"/>
        <v>15</v>
      </c>
      <c r="AI403" s="27">
        <f t="shared" ref="AI403:BJ403" si="957">-AI311</f>
        <v>15</v>
      </c>
      <c r="AJ403" s="1114">
        <f t="shared" si="957"/>
        <v>61</v>
      </c>
      <c r="AK403" s="27">
        <f t="shared" si="957"/>
        <v>15</v>
      </c>
      <c r="AL403" s="27">
        <f t="shared" si="957"/>
        <v>14</v>
      </c>
      <c r="AM403" s="27">
        <f t="shared" si="957"/>
        <v>15</v>
      </c>
      <c r="AN403" s="27">
        <f t="shared" si="957"/>
        <v>14</v>
      </c>
      <c r="AO403" s="1114">
        <f t="shared" si="957"/>
        <v>58</v>
      </c>
      <c r="AP403" s="27">
        <f t="shared" si="957"/>
        <v>13</v>
      </c>
      <c r="AQ403" s="27">
        <f t="shared" si="957"/>
        <v>13</v>
      </c>
      <c r="AR403" s="27">
        <f t="shared" si="957"/>
        <v>13</v>
      </c>
      <c r="AS403" s="27">
        <f t="shared" si="957"/>
        <v>12</v>
      </c>
      <c r="AT403" s="1114">
        <f t="shared" si="957"/>
        <v>52</v>
      </c>
      <c r="AU403" s="27">
        <f t="shared" si="957"/>
        <v>25</v>
      </c>
      <c r="AV403" s="27">
        <f t="shared" si="957"/>
        <v>54</v>
      </c>
      <c r="AW403" s="27">
        <f t="shared" si="957"/>
        <v>53</v>
      </c>
      <c r="AX403" s="27">
        <f t="shared" si="957"/>
        <v>53</v>
      </c>
      <c r="AY403" s="1114">
        <f t="shared" si="957"/>
        <v>184</v>
      </c>
      <c r="AZ403" s="27">
        <f t="shared" si="957"/>
        <v>53</v>
      </c>
      <c r="BA403" s="27">
        <f t="shared" si="957"/>
        <v>60</v>
      </c>
      <c r="BB403" s="27">
        <f t="shared" si="957"/>
        <v>62</v>
      </c>
      <c r="BC403" s="27">
        <f t="shared" si="957"/>
        <v>61</v>
      </c>
      <c r="BD403" s="1114">
        <f t="shared" si="957"/>
        <v>236</v>
      </c>
      <c r="BE403" s="27">
        <f t="shared" si="957"/>
        <v>68</v>
      </c>
      <c r="BF403" s="27">
        <f t="shared" si="957"/>
        <v>65</v>
      </c>
      <c r="BG403" s="27">
        <f t="shared" si="957"/>
        <v>65</v>
      </c>
      <c r="BH403" s="27">
        <f t="shared" si="957"/>
        <v>65</v>
      </c>
      <c r="BI403" s="1114">
        <f t="shared" si="957"/>
        <v>262</v>
      </c>
      <c r="BJ403" s="27">
        <f t="shared" si="957"/>
        <v>66</v>
      </c>
      <c r="BK403" s="27">
        <f t="shared" ref="BK403" si="958">-BK311</f>
        <v>65</v>
      </c>
      <c r="BL403" s="27">
        <f>-BL311</f>
        <v>63</v>
      </c>
      <c r="BM403" s="27">
        <f>-BM311</f>
        <v>63</v>
      </c>
      <c r="BN403" s="1114">
        <f t="shared" ref="BN403" si="959">-BN311</f>
        <v>257</v>
      </c>
      <c r="BO403" s="27">
        <f t="shared" ref="BO403:BT403" si="960">-BO311</f>
        <v>64</v>
      </c>
      <c r="BP403" s="27">
        <f t="shared" si="960"/>
        <v>61</v>
      </c>
      <c r="BQ403" s="27">
        <f t="shared" si="960"/>
        <v>61</v>
      </c>
      <c r="BR403" s="27">
        <f t="shared" si="960"/>
        <v>61</v>
      </c>
      <c r="BS403" s="1114">
        <f t="shared" si="960"/>
        <v>247</v>
      </c>
      <c r="BT403" s="27">
        <f t="shared" si="960"/>
        <v>63</v>
      </c>
      <c r="BU403" s="27">
        <f>-BU311</f>
        <v>62</v>
      </c>
      <c r="BV403" s="27">
        <f>-BV311</f>
        <v>61</v>
      </c>
      <c r="BW403" s="27">
        <f>-BW311</f>
        <v>74</v>
      </c>
      <c r="BX403" s="1114">
        <f>-BX311</f>
        <v>259</v>
      </c>
      <c r="BY403" s="508">
        <f>-BY311</f>
        <v>102</v>
      </c>
      <c r="BZ403" s="68">
        <f>BZ741</f>
        <v>51.938679245283019</v>
      </c>
      <c r="CA403" s="68">
        <f>CA741</f>
        <v>52.509433962264154</v>
      </c>
      <c r="CB403" s="68">
        <f>CB741</f>
        <v>55.363207547169814</v>
      </c>
      <c r="CC403" s="1153">
        <f>SUM(BY403,BZ403,CA403,CB403)</f>
        <v>261.81132075471697</v>
      </c>
      <c r="CD403" s="68">
        <f>CD741</f>
        <v>51.63219178082192</v>
      </c>
      <c r="CE403" s="68">
        <f>CE741</f>
        <v>52.792465753424658</v>
      </c>
      <c r="CF403" s="68">
        <f>CF741</f>
        <v>53.372602739726027</v>
      </c>
      <c r="CG403" s="68">
        <f>CG741</f>
        <v>53.952739726027396</v>
      </c>
      <c r="CH403" s="1153">
        <f>SUM(CD403,CE403,CF403,CG403)</f>
        <v>211.75</v>
      </c>
      <c r="CI403" s="1153">
        <f>CI741</f>
        <v>169.4</v>
      </c>
      <c r="CJ403" s="1153">
        <f>CJ741</f>
        <v>169.4</v>
      </c>
      <c r="CK403" s="1153">
        <f>CK741</f>
        <v>169.4</v>
      </c>
      <c r="CL403" s="155"/>
    </row>
    <row r="404" spans="1:90" hidden="1" outlineLevel="1" x14ac:dyDescent="0.3">
      <c r="A404" s="572" t="s">
        <v>606</v>
      </c>
      <c r="B404" s="146"/>
      <c r="C404" s="1114">
        <f t="shared" ref="C404:AH404" si="961">-C310</f>
        <v>-42.859000000000002</v>
      </c>
      <c r="D404" s="1114">
        <f t="shared" si="961"/>
        <v>-23.114999999999998</v>
      </c>
      <c r="E404" s="1114">
        <f t="shared" si="961"/>
        <v>-19.056999999999999</v>
      </c>
      <c r="F404" s="1114">
        <f t="shared" si="961"/>
        <v>-19.149000000000001</v>
      </c>
      <c r="G404" s="27">
        <f t="shared" si="961"/>
        <v>-5.1980000000000004</v>
      </c>
      <c r="H404" s="27">
        <f t="shared" si="961"/>
        <v>-5.3159999999999998</v>
      </c>
      <c r="I404" s="27">
        <f t="shared" si="961"/>
        <v>-4.7009999999999996</v>
      </c>
      <c r="J404" s="27">
        <f t="shared" si="961"/>
        <v>-4.6930000000000023</v>
      </c>
      <c r="K404" s="1114">
        <f t="shared" si="961"/>
        <v>-19.908000000000001</v>
      </c>
      <c r="L404" s="27">
        <f t="shared" si="961"/>
        <v>-5.0759999999999996</v>
      </c>
      <c r="M404" s="27">
        <f t="shared" si="961"/>
        <v>-3.8650000000000002</v>
      </c>
      <c r="N404" s="27">
        <f t="shared" si="961"/>
        <v>-4.0220000000000002</v>
      </c>
      <c r="O404" s="27">
        <f t="shared" si="961"/>
        <v>-4.1559999999999988</v>
      </c>
      <c r="P404" s="1114">
        <f t="shared" si="961"/>
        <v>-17.119</v>
      </c>
      <c r="Q404" s="27">
        <f t="shared" si="961"/>
        <v>-6</v>
      </c>
      <c r="R404" s="27">
        <f t="shared" si="961"/>
        <v>-7</v>
      </c>
      <c r="S404" s="27">
        <f t="shared" si="961"/>
        <v>-7</v>
      </c>
      <c r="T404" s="27">
        <f t="shared" si="961"/>
        <v>-8</v>
      </c>
      <c r="U404" s="1114">
        <f t="shared" si="961"/>
        <v>-28</v>
      </c>
      <c r="V404" s="27">
        <f t="shared" si="961"/>
        <v>-9</v>
      </c>
      <c r="W404" s="27">
        <f t="shared" si="961"/>
        <v>-9</v>
      </c>
      <c r="X404" s="27">
        <f t="shared" si="961"/>
        <v>-9</v>
      </c>
      <c r="Y404" s="27">
        <f t="shared" si="961"/>
        <v>-11</v>
      </c>
      <c r="Z404" s="1114">
        <f t="shared" si="961"/>
        <v>-39</v>
      </c>
      <c r="AA404" s="27">
        <f t="shared" si="961"/>
        <v>-12</v>
      </c>
      <c r="AB404" s="27">
        <f t="shared" si="961"/>
        <v>-12</v>
      </c>
      <c r="AC404" s="27">
        <f t="shared" si="961"/>
        <v>-14</v>
      </c>
      <c r="AD404" s="27">
        <f t="shared" si="961"/>
        <v>-17</v>
      </c>
      <c r="AE404" s="1114">
        <f t="shared" si="961"/>
        <v>-54</v>
      </c>
      <c r="AF404" s="27">
        <f t="shared" si="961"/>
        <v>-16</v>
      </c>
      <c r="AG404" s="27">
        <f t="shared" si="961"/>
        <v>-15</v>
      </c>
      <c r="AH404" s="27">
        <f t="shared" si="961"/>
        <v>-17</v>
      </c>
      <c r="AI404" s="27">
        <f t="shared" ref="AI404:BJ404" si="962">-AI310</f>
        <v>-20</v>
      </c>
      <c r="AJ404" s="1114">
        <f t="shared" si="962"/>
        <v>-69</v>
      </c>
      <c r="AK404" s="27">
        <f t="shared" si="962"/>
        <v>-25</v>
      </c>
      <c r="AL404" s="27">
        <f t="shared" si="962"/>
        <v>-32</v>
      </c>
      <c r="AM404" s="27">
        <f t="shared" si="962"/>
        <v>-37</v>
      </c>
      <c r="AN404" s="27">
        <f t="shared" si="962"/>
        <v>-42</v>
      </c>
      <c r="AO404" s="1114">
        <f t="shared" si="962"/>
        <v>-136</v>
      </c>
      <c r="AP404" s="27">
        <f t="shared" si="962"/>
        <v>-44</v>
      </c>
      <c r="AQ404" s="27">
        <f t="shared" si="962"/>
        <v>-47</v>
      </c>
      <c r="AR404" s="27">
        <f t="shared" si="962"/>
        <v>-45</v>
      </c>
      <c r="AS404" s="27">
        <f t="shared" si="962"/>
        <v>-41</v>
      </c>
      <c r="AT404" s="1114">
        <f t="shared" si="962"/>
        <v>-178</v>
      </c>
      <c r="AU404" s="27">
        <f t="shared" si="962"/>
        <v>-31</v>
      </c>
      <c r="AV404" s="27">
        <f t="shared" si="962"/>
        <v>-13</v>
      </c>
      <c r="AW404" s="27">
        <f t="shared" si="962"/>
        <v>-7</v>
      </c>
      <c r="AX404" s="27">
        <f t="shared" si="962"/>
        <v>-6</v>
      </c>
      <c r="AY404" s="1114">
        <f t="shared" si="962"/>
        <v>-57</v>
      </c>
      <c r="AZ404" s="27">
        <f t="shared" si="962"/>
        <v>-6</v>
      </c>
      <c r="BA404" s="27">
        <f t="shared" si="962"/>
        <v>-6</v>
      </c>
      <c r="BB404" s="27">
        <f t="shared" si="962"/>
        <v>-7</v>
      </c>
      <c r="BC404" s="27">
        <f t="shared" si="962"/>
        <v>-9</v>
      </c>
      <c r="BD404" s="1114">
        <f t="shared" si="962"/>
        <v>-29</v>
      </c>
      <c r="BE404" s="27">
        <f t="shared" si="962"/>
        <v>-18</v>
      </c>
      <c r="BF404" s="27">
        <f t="shared" si="962"/>
        <v>-46</v>
      </c>
      <c r="BG404" s="27">
        <f t="shared" si="962"/>
        <v>-88</v>
      </c>
      <c r="BH404" s="27">
        <f t="shared" si="962"/>
        <v>-115</v>
      </c>
      <c r="BI404" s="1114">
        <f t="shared" si="962"/>
        <v>-267</v>
      </c>
      <c r="BJ404" s="27">
        <f t="shared" si="962"/>
        <v>-150</v>
      </c>
      <c r="BK404" s="27">
        <f t="shared" ref="BK404" si="963">-BK310</f>
        <v>-187</v>
      </c>
      <c r="BL404" s="27">
        <f>-BL310</f>
        <v>-234</v>
      </c>
      <c r="BM404" s="27">
        <f>-BM310</f>
        <v>-294</v>
      </c>
      <c r="BN404" s="1114">
        <f t="shared" ref="BN404" si="964">-BN310</f>
        <v>-866</v>
      </c>
      <c r="BO404" s="27">
        <f t="shared" ref="BO404:BT404" si="965">-BO310</f>
        <v>-359</v>
      </c>
      <c r="BP404" s="27">
        <f t="shared" si="965"/>
        <v>-444</v>
      </c>
      <c r="BQ404" s="27">
        <f t="shared" si="965"/>
        <v>-472</v>
      </c>
      <c r="BR404" s="27">
        <f t="shared" si="965"/>
        <v>-511</v>
      </c>
      <c r="BS404" s="1114">
        <f t="shared" si="965"/>
        <v>-1786</v>
      </c>
      <c r="BT404" s="27">
        <f t="shared" si="965"/>
        <v>-515</v>
      </c>
      <c r="BU404" s="27">
        <f>-BU310</f>
        <v>-592</v>
      </c>
      <c r="BV404" s="27">
        <f>-BV310</f>
        <v>-624</v>
      </c>
      <c r="BW404" s="27">
        <f>-BW310</f>
        <v>-568</v>
      </c>
      <c r="BX404" s="1114">
        <f>-BX310</f>
        <v>-2300</v>
      </c>
      <c r="BY404" s="508">
        <f>-BY310</f>
        <v>-540</v>
      </c>
      <c r="BZ404" s="68">
        <f>-BZ743</f>
        <v>-928.85833962264155</v>
      </c>
      <c r="CA404" s="68">
        <f>-CA743</f>
        <v>-1356.5858239526053</v>
      </c>
      <c r="CB404" s="68">
        <f>-CB743</f>
        <v>-1820.1251702272593</v>
      </c>
      <c r="CC404" s="1153">
        <f>SUM(BY404,BZ404,CA404,CB404)</f>
        <v>-4645.5693338025067</v>
      </c>
      <c r="CD404" s="68">
        <f>-CD743</f>
        <v>-2270.671339578184</v>
      </c>
      <c r="CE404" s="68">
        <f>-CE743</f>
        <v>-3078.1176023236681</v>
      </c>
      <c r="CF404" s="68">
        <f>-CF743</f>
        <v>-3744.2708234393913</v>
      </c>
      <c r="CG404" s="68">
        <f>-CG743</f>
        <v>-4316.4346599865812</v>
      </c>
      <c r="CH404" s="1153">
        <f>SUM(CD404,CE404,CF404,CG404)</f>
        <v>-13409.494425327826</v>
      </c>
      <c r="CI404" s="1153">
        <f>-CI743</f>
        <v>-17096.885365667567</v>
      </c>
      <c r="CJ404" s="1153">
        <f>-CJ743</f>
        <v>-28601.370030248883</v>
      </c>
      <c r="CK404" s="1153">
        <f>-CK743</f>
        <v>-42600.809713467097</v>
      </c>
      <c r="CL404" s="155"/>
    </row>
    <row r="405" spans="1:90" hidden="1" outlineLevel="1" x14ac:dyDescent="0.3">
      <c r="A405" s="570" t="s">
        <v>603</v>
      </c>
      <c r="B405" s="571"/>
      <c r="C405" s="1122">
        <f t="shared" ref="C405:BD405" si="966">C403+C404</f>
        <v>-42.453000000000003</v>
      </c>
      <c r="D405" s="1122">
        <f t="shared" si="966"/>
        <v>-19.794999999999998</v>
      </c>
      <c r="E405" s="1122">
        <f t="shared" si="966"/>
        <v>-15.93</v>
      </c>
      <c r="F405" s="1122">
        <f t="shared" si="966"/>
        <v>-16.060000000000002</v>
      </c>
      <c r="G405" s="560">
        <f t="shared" si="966"/>
        <v>-4.2690000000000001</v>
      </c>
      <c r="H405" s="560">
        <f t="shared" si="966"/>
        <v>-5.585</v>
      </c>
      <c r="I405" s="560">
        <f t="shared" si="966"/>
        <v>-1.4109999999999996</v>
      </c>
      <c r="J405" s="560">
        <f t="shared" si="966"/>
        <v>-5.349000000000002</v>
      </c>
      <c r="K405" s="1122">
        <f t="shared" si="966"/>
        <v>-16.614000000000001</v>
      </c>
      <c r="L405" s="560">
        <f t="shared" si="966"/>
        <v>-5.2809999999999997</v>
      </c>
      <c r="M405" s="560">
        <f t="shared" si="966"/>
        <v>-6.2859999999999996</v>
      </c>
      <c r="N405" s="560">
        <f t="shared" si="966"/>
        <v>-0.49600000000000044</v>
      </c>
      <c r="O405" s="560">
        <f t="shared" si="966"/>
        <v>5.3870000000000005</v>
      </c>
      <c r="P405" s="1122">
        <f t="shared" si="966"/>
        <v>-6.6760000000000002</v>
      </c>
      <c r="Q405" s="560">
        <f t="shared" si="966"/>
        <v>5</v>
      </c>
      <c r="R405" s="560">
        <f t="shared" si="966"/>
        <v>5</v>
      </c>
      <c r="S405" s="560">
        <f t="shared" si="966"/>
        <v>4</v>
      </c>
      <c r="T405" s="560">
        <f t="shared" si="966"/>
        <v>4</v>
      </c>
      <c r="U405" s="1122">
        <f t="shared" si="966"/>
        <v>18</v>
      </c>
      <c r="V405" s="560">
        <f t="shared" si="966"/>
        <v>3</v>
      </c>
      <c r="W405" s="560">
        <f t="shared" si="966"/>
        <v>3</v>
      </c>
      <c r="X405" s="560">
        <f t="shared" si="966"/>
        <v>3</v>
      </c>
      <c r="Y405" s="560">
        <f t="shared" si="966"/>
        <v>1</v>
      </c>
      <c r="Z405" s="1122">
        <f t="shared" si="966"/>
        <v>8</v>
      </c>
      <c r="AA405" s="560">
        <f t="shared" si="966"/>
        <v>0</v>
      </c>
      <c r="AB405" s="560">
        <f t="shared" si="966"/>
        <v>0</v>
      </c>
      <c r="AC405" s="560">
        <f t="shared" si="966"/>
        <v>2</v>
      </c>
      <c r="AD405" s="560">
        <f t="shared" si="966"/>
        <v>1</v>
      </c>
      <c r="AE405" s="1122">
        <f t="shared" si="966"/>
        <v>4</v>
      </c>
      <c r="AF405" s="560">
        <f t="shared" si="966"/>
        <v>0</v>
      </c>
      <c r="AG405" s="560">
        <f t="shared" si="966"/>
        <v>0</v>
      </c>
      <c r="AH405" s="560">
        <f t="shared" si="966"/>
        <v>-2</v>
      </c>
      <c r="AI405" s="560">
        <f t="shared" si="966"/>
        <v>-5</v>
      </c>
      <c r="AJ405" s="1122">
        <f t="shared" si="966"/>
        <v>-8</v>
      </c>
      <c r="AK405" s="560">
        <f t="shared" si="966"/>
        <v>-10</v>
      </c>
      <c r="AL405" s="560">
        <f t="shared" si="966"/>
        <v>-18</v>
      </c>
      <c r="AM405" s="560">
        <f t="shared" si="966"/>
        <v>-22</v>
      </c>
      <c r="AN405" s="560">
        <f t="shared" si="966"/>
        <v>-28</v>
      </c>
      <c r="AO405" s="1122">
        <f t="shared" si="966"/>
        <v>-78</v>
      </c>
      <c r="AP405" s="560">
        <f t="shared" si="966"/>
        <v>-31</v>
      </c>
      <c r="AQ405" s="560">
        <f t="shared" si="966"/>
        <v>-34</v>
      </c>
      <c r="AR405" s="560">
        <f t="shared" si="966"/>
        <v>-32</v>
      </c>
      <c r="AS405" s="560">
        <f t="shared" si="966"/>
        <v>-29</v>
      </c>
      <c r="AT405" s="1122">
        <f t="shared" si="966"/>
        <v>-126</v>
      </c>
      <c r="AU405" s="560">
        <f t="shared" si="966"/>
        <v>-6</v>
      </c>
      <c r="AV405" s="560">
        <f t="shared" si="966"/>
        <v>41</v>
      </c>
      <c r="AW405" s="560">
        <f t="shared" si="966"/>
        <v>46</v>
      </c>
      <c r="AX405" s="560">
        <f t="shared" si="966"/>
        <v>47</v>
      </c>
      <c r="AY405" s="1122">
        <f t="shared" si="966"/>
        <v>127</v>
      </c>
      <c r="AZ405" s="560">
        <f t="shared" si="966"/>
        <v>47</v>
      </c>
      <c r="BA405" s="560">
        <f t="shared" si="966"/>
        <v>54</v>
      </c>
      <c r="BB405" s="560">
        <f t="shared" si="966"/>
        <v>55</v>
      </c>
      <c r="BC405" s="560">
        <f t="shared" si="966"/>
        <v>52</v>
      </c>
      <c r="BD405" s="1122">
        <f t="shared" si="966"/>
        <v>207</v>
      </c>
      <c r="BE405" s="560">
        <f>BE403+BE404</f>
        <v>50</v>
      </c>
      <c r="BF405" s="560">
        <f t="shared" ref="BF405" si="967">BF403+BF404</f>
        <v>19</v>
      </c>
      <c r="BG405" s="560">
        <f t="shared" ref="BG405:BI405" si="968">BG403+BG404</f>
        <v>-23</v>
      </c>
      <c r="BH405" s="560">
        <f t="shared" si="968"/>
        <v>-50</v>
      </c>
      <c r="BI405" s="1122">
        <f t="shared" si="968"/>
        <v>-5</v>
      </c>
      <c r="BJ405" s="560">
        <f>BJ403+BJ404</f>
        <v>-84</v>
      </c>
      <c r="BK405" s="560">
        <f t="shared" ref="BK405" si="969">BK403+BK404</f>
        <v>-122</v>
      </c>
      <c r="BL405" s="560">
        <f t="shared" ref="BL405:BM405" si="970">BL403+BL404</f>
        <v>-171</v>
      </c>
      <c r="BM405" s="560">
        <f t="shared" si="970"/>
        <v>-231</v>
      </c>
      <c r="BN405" s="1122">
        <f t="shared" ref="BN405" si="971">BN403+BN404</f>
        <v>-609</v>
      </c>
      <c r="BO405" s="560">
        <f t="shared" ref="BO405:BS405" si="972">BO403+BO404</f>
        <v>-295</v>
      </c>
      <c r="BP405" s="560">
        <f t="shared" si="972"/>
        <v>-383</v>
      </c>
      <c r="BQ405" s="560">
        <f t="shared" si="972"/>
        <v>-411</v>
      </c>
      <c r="BR405" s="560">
        <f t="shared" si="972"/>
        <v>-450</v>
      </c>
      <c r="BS405" s="1122">
        <f t="shared" si="972"/>
        <v>-1539</v>
      </c>
      <c r="BT405" s="560">
        <f t="shared" ref="BT405:CK405" si="973">BT403+BT404</f>
        <v>-452</v>
      </c>
      <c r="BU405" s="560">
        <f t="shared" si="973"/>
        <v>-530</v>
      </c>
      <c r="BV405" s="560">
        <f t="shared" si="973"/>
        <v>-563</v>
      </c>
      <c r="BW405" s="560">
        <f t="shared" si="973"/>
        <v>-494</v>
      </c>
      <c r="BX405" s="1122">
        <f t="shared" si="973"/>
        <v>-2041</v>
      </c>
      <c r="BY405" s="894">
        <f>BY403+BY404</f>
        <v>-438</v>
      </c>
      <c r="BZ405" s="561">
        <f t="shared" si="973"/>
        <v>-876.91966037735858</v>
      </c>
      <c r="CA405" s="561">
        <f t="shared" si="973"/>
        <v>-1304.0763899903411</v>
      </c>
      <c r="CB405" s="561">
        <f t="shared" si="973"/>
        <v>-1764.7619626800895</v>
      </c>
      <c r="CC405" s="1162">
        <f t="shared" si="973"/>
        <v>-4383.75801304779</v>
      </c>
      <c r="CD405" s="561">
        <f t="shared" si="973"/>
        <v>-2219.0391477973621</v>
      </c>
      <c r="CE405" s="561">
        <f t="shared" si="973"/>
        <v>-3025.3251365702436</v>
      </c>
      <c r="CF405" s="561">
        <f t="shared" si="973"/>
        <v>-3690.8982206996652</v>
      </c>
      <c r="CG405" s="561">
        <f t="shared" si="973"/>
        <v>-4262.481920260554</v>
      </c>
      <c r="CH405" s="1162">
        <f t="shared" si="973"/>
        <v>-13197.744425327826</v>
      </c>
      <c r="CI405" s="1162">
        <f t="shared" si="973"/>
        <v>-16927.485365667566</v>
      </c>
      <c r="CJ405" s="1162">
        <f t="shared" si="973"/>
        <v>-28431.970030248882</v>
      </c>
      <c r="CK405" s="1162">
        <f t="shared" si="973"/>
        <v>-42431.409713467096</v>
      </c>
      <c r="CL405" s="155"/>
    </row>
    <row r="406" spans="1:90" hidden="1" outlineLevel="1" x14ac:dyDescent="0.3">
      <c r="A406" s="148" t="s">
        <v>604</v>
      </c>
      <c r="B406" s="149"/>
      <c r="C406" s="1123">
        <f t="shared" ref="C406:AH406" si="974">C356+C357</f>
        <v>0</v>
      </c>
      <c r="D406" s="1123">
        <f t="shared" si="974"/>
        <v>0</v>
      </c>
      <c r="E406" s="1123">
        <f t="shared" si="974"/>
        <v>0</v>
      </c>
      <c r="F406" s="1123">
        <f t="shared" si="974"/>
        <v>0</v>
      </c>
      <c r="G406" s="109">
        <f t="shared" si="974"/>
        <v>0</v>
      </c>
      <c r="H406" s="109">
        <f t="shared" si="974"/>
        <v>0</v>
      </c>
      <c r="I406" s="109">
        <f t="shared" si="974"/>
        <v>0</v>
      </c>
      <c r="J406" s="109">
        <f t="shared" si="974"/>
        <v>0</v>
      </c>
      <c r="K406" s="1123">
        <f t="shared" si="974"/>
        <v>0</v>
      </c>
      <c r="L406" s="109">
        <f t="shared" si="974"/>
        <v>0</v>
      </c>
      <c r="M406" s="109">
        <f t="shared" si="974"/>
        <v>0</v>
      </c>
      <c r="N406" s="109">
        <f t="shared" si="974"/>
        <v>0</v>
      </c>
      <c r="O406" s="109">
        <f t="shared" si="974"/>
        <v>4.5999999999999996</v>
      </c>
      <c r="P406" s="1123">
        <f t="shared" si="974"/>
        <v>4.5999999999999996</v>
      </c>
      <c r="Q406" s="109">
        <f t="shared" si="974"/>
        <v>7</v>
      </c>
      <c r="R406" s="109">
        <f t="shared" si="974"/>
        <v>7</v>
      </c>
      <c r="S406" s="109">
        <f t="shared" si="974"/>
        <v>7</v>
      </c>
      <c r="T406" s="109">
        <f t="shared" si="974"/>
        <v>7</v>
      </c>
      <c r="U406" s="1123">
        <f t="shared" si="974"/>
        <v>28</v>
      </c>
      <c r="V406" s="109">
        <f t="shared" si="974"/>
        <v>7</v>
      </c>
      <c r="W406" s="109">
        <f t="shared" si="974"/>
        <v>7</v>
      </c>
      <c r="X406" s="109">
        <f t="shared" si="974"/>
        <v>7</v>
      </c>
      <c r="Y406" s="109">
        <f t="shared" si="974"/>
        <v>7</v>
      </c>
      <c r="Z406" s="1123">
        <f t="shared" si="974"/>
        <v>29</v>
      </c>
      <c r="AA406" s="109">
        <f t="shared" si="974"/>
        <v>7</v>
      </c>
      <c r="AB406" s="109">
        <f t="shared" si="974"/>
        <v>7</v>
      </c>
      <c r="AC406" s="109">
        <f t="shared" si="974"/>
        <v>21</v>
      </c>
      <c r="AD406" s="109">
        <f t="shared" si="974"/>
        <v>10</v>
      </c>
      <c r="AE406" s="1123">
        <f t="shared" si="974"/>
        <v>46</v>
      </c>
      <c r="AF406" s="109">
        <f t="shared" si="974"/>
        <v>16</v>
      </c>
      <c r="AG406" s="109">
        <f t="shared" si="974"/>
        <v>4</v>
      </c>
      <c r="AH406" s="109">
        <f t="shared" si="974"/>
        <v>1</v>
      </c>
      <c r="AI406" s="109">
        <f t="shared" ref="AI406:BG406" si="975">AI356+AI357</f>
        <v>2</v>
      </c>
      <c r="AJ406" s="1123">
        <f t="shared" si="975"/>
        <v>23</v>
      </c>
      <c r="AK406" s="109">
        <f t="shared" si="975"/>
        <v>1</v>
      </c>
      <c r="AL406" s="109">
        <f t="shared" si="975"/>
        <v>0</v>
      </c>
      <c r="AM406" s="109">
        <f t="shared" si="975"/>
        <v>0</v>
      </c>
      <c r="AN406" s="109">
        <f t="shared" si="975"/>
        <v>0</v>
      </c>
      <c r="AO406" s="1123">
        <f t="shared" si="975"/>
        <v>2</v>
      </c>
      <c r="AP406" s="109">
        <f t="shared" si="975"/>
        <v>0</v>
      </c>
      <c r="AQ406" s="109">
        <f t="shared" si="975"/>
        <v>0</v>
      </c>
      <c r="AR406" s="109">
        <f t="shared" si="975"/>
        <v>1</v>
      </c>
      <c r="AS406" s="109">
        <f t="shared" si="975"/>
        <v>0</v>
      </c>
      <c r="AT406" s="1123">
        <f t="shared" si="975"/>
        <v>2</v>
      </c>
      <c r="AU406" s="109">
        <f t="shared" si="975"/>
        <v>1</v>
      </c>
      <c r="AV406" s="109">
        <f t="shared" si="975"/>
        <v>1</v>
      </c>
      <c r="AW406" s="109">
        <f t="shared" si="975"/>
        <v>1</v>
      </c>
      <c r="AX406" s="109">
        <f t="shared" si="975"/>
        <v>1</v>
      </c>
      <c r="AY406" s="1123">
        <f t="shared" si="975"/>
        <v>3</v>
      </c>
      <c r="AZ406" s="109">
        <f t="shared" si="975"/>
        <v>1</v>
      </c>
      <c r="BA406" s="109">
        <f t="shared" si="975"/>
        <v>1</v>
      </c>
      <c r="BB406" s="109">
        <f t="shared" si="975"/>
        <v>1</v>
      </c>
      <c r="BC406" s="109">
        <f t="shared" si="975"/>
        <v>0</v>
      </c>
      <c r="BD406" s="1123">
        <f t="shared" si="975"/>
        <v>3</v>
      </c>
      <c r="BE406" s="109">
        <f t="shared" si="975"/>
        <v>1</v>
      </c>
      <c r="BF406" s="109">
        <f t="shared" si="975"/>
        <v>1</v>
      </c>
      <c r="BG406" s="109">
        <f t="shared" si="975"/>
        <v>1</v>
      </c>
      <c r="BH406" s="109">
        <f>BH356+BH357</f>
        <v>1</v>
      </c>
      <c r="BI406" s="1123">
        <f>BI356+BI357</f>
        <v>5</v>
      </c>
      <c r="BJ406" s="109">
        <f>BJ356+BJ357</f>
        <v>1</v>
      </c>
      <c r="BK406" s="109">
        <f t="shared" ref="BK406" si="976">BK356+BK357</f>
        <v>1</v>
      </c>
      <c r="BL406" s="109">
        <f>BL356+BL357</f>
        <v>1</v>
      </c>
      <c r="BM406" s="109">
        <f>BM356+BM357</f>
        <v>1</v>
      </c>
      <c r="BN406" s="1123">
        <f t="shared" ref="BN406" si="977">BN356+BN357</f>
        <v>4</v>
      </c>
      <c r="BO406" s="109">
        <f t="shared" ref="BO406:BT406" si="978">BO356+BO357</f>
        <v>1</v>
      </c>
      <c r="BP406" s="109">
        <f t="shared" si="978"/>
        <v>1</v>
      </c>
      <c r="BQ406" s="109">
        <f t="shared" si="978"/>
        <v>1</v>
      </c>
      <c r="BR406" s="109">
        <f t="shared" si="978"/>
        <v>1</v>
      </c>
      <c r="BS406" s="1123">
        <f t="shared" si="978"/>
        <v>4</v>
      </c>
      <c r="BT406" s="109">
        <f t="shared" si="978"/>
        <v>1</v>
      </c>
      <c r="BU406" s="109">
        <f>BU356+BU357</f>
        <v>1</v>
      </c>
      <c r="BV406" s="109">
        <f>BV356+BV357</f>
        <v>1</v>
      </c>
      <c r="BW406" s="109">
        <f>BW356+BW357</f>
        <v>13</v>
      </c>
      <c r="BX406" s="1123">
        <f>BX356+BX357</f>
        <v>16</v>
      </c>
      <c r="BY406" s="730">
        <f>BY356+BY357</f>
        <v>26</v>
      </c>
      <c r="BZ406" s="1062">
        <v>0</v>
      </c>
      <c r="CA406" s="1062">
        <v>0</v>
      </c>
      <c r="CB406" s="1062">
        <v>0</v>
      </c>
      <c r="CC406" s="1154">
        <f>SUM(BY406,BZ406,CA406,CB406)</f>
        <v>26</v>
      </c>
      <c r="CD406" s="1062">
        <v>0</v>
      </c>
      <c r="CE406" s="1062">
        <v>0</v>
      </c>
      <c r="CF406" s="1062">
        <v>0</v>
      </c>
      <c r="CG406" s="1062">
        <v>0</v>
      </c>
      <c r="CH406" s="1154">
        <f>SUM(CD406,CE406,CF406,CG406)</f>
        <v>0</v>
      </c>
      <c r="CI406" s="1163">
        <v>0</v>
      </c>
      <c r="CJ406" s="1163">
        <v>0</v>
      </c>
      <c r="CK406" s="1163">
        <v>0</v>
      </c>
      <c r="CL406" s="155"/>
    </row>
    <row r="407" spans="1:90" collapsed="1" x14ac:dyDescent="0.3">
      <c r="A407" s="462" t="s">
        <v>610</v>
      </c>
      <c r="B407" s="146"/>
      <c r="C407" s="1114">
        <f t="shared" ref="C407:BD407" si="979">C405-C406</f>
        <v>-42.453000000000003</v>
      </c>
      <c r="D407" s="1114">
        <f t="shared" si="979"/>
        <v>-19.794999999999998</v>
      </c>
      <c r="E407" s="1114">
        <f t="shared" si="979"/>
        <v>-15.93</v>
      </c>
      <c r="F407" s="1114">
        <f t="shared" si="979"/>
        <v>-16.060000000000002</v>
      </c>
      <c r="G407" s="27">
        <f t="shared" si="979"/>
        <v>-4.2690000000000001</v>
      </c>
      <c r="H407" s="27">
        <f t="shared" si="979"/>
        <v>-5.585</v>
      </c>
      <c r="I407" s="27">
        <f t="shared" si="979"/>
        <v>-1.4109999999999996</v>
      </c>
      <c r="J407" s="27">
        <f t="shared" si="979"/>
        <v>-5.349000000000002</v>
      </c>
      <c r="K407" s="1114">
        <f t="shared" si="979"/>
        <v>-16.614000000000001</v>
      </c>
      <c r="L407" s="27">
        <f t="shared" si="979"/>
        <v>-5.2809999999999997</v>
      </c>
      <c r="M407" s="27">
        <f t="shared" si="979"/>
        <v>-6.2859999999999996</v>
      </c>
      <c r="N407" s="27">
        <f t="shared" si="979"/>
        <v>-0.49600000000000044</v>
      </c>
      <c r="O407" s="27">
        <f t="shared" si="979"/>
        <v>0.78700000000000081</v>
      </c>
      <c r="P407" s="1114">
        <f t="shared" si="979"/>
        <v>-11.276</v>
      </c>
      <c r="Q407" s="27">
        <f t="shared" si="979"/>
        <v>-2</v>
      </c>
      <c r="R407" s="27">
        <f t="shared" si="979"/>
        <v>-2</v>
      </c>
      <c r="S407" s="27">
        <f t="shared" si="979"/>
        <v>-3</v>
      </c>
      <c r="T407" s="27">
        <f t="shared" si="979"/>
        <v>-3</v>
      </c>
      <c r="U407" s="1114">
        <f t="shared" si="979"/>
        <v>-10</v>
      </c>
      <c r="V407" s="27">
        <f t="shared" si="979"/>
        <v>-4</v>
      </c>
      <c r="W407" s="27">
        <f t="shared" si="979"/>
        <v>-4</v>
      </c>
      <c r="X407" s="27">
        <f t="shared" si="979"/>
        <v>-4</v>
      </c>
      <c r="Y407" s="27">
        <f t="shared" si="979"/>
        <v>-6</v>
      </c>
      <c r="Z407" s="1114">
        <f t="shared" si="979"/>
        <v>-21</v>
      </c>
      <c r="AA407" s="27">
        <f t="shared" si="979"/>
        <v>-7</v>
      </c>
      <c r="AB407" s="27">
        <f t="shared" si="979"/>
        <v>-7</v>
      </c>
      <c r="AC407" s="27">
        <f t="shared" si="979"/>
        <v>-19</v>
      </c>
      <c r="AD407" s="27">
        <f t="shared" si="979"/>
        <v>-9</v>
      </c>
      <c r="AE407" s="1114">
        <f t="shared" si="979"/>
        <v>-42</v>
      </c>
      <c r="AF407" s="27">
        <f t="shared" si="979"/>
        <v>-16</v>
      </c>
      <c r="AG407" s="27">
        <f t="shared" si="979"/>
        <v>-4</v>
      </c>
      <c r="AH407" s="27">
        <f t="shared" si="979"/>
        <v>-3</v>
      </c>
      <c r="AI407" s="27">
        <f t="shared" si="979"/>
        <v>-7</v>
      </c>
      <c r="AJ407" s="1114">
        <f t="shared" si="979"/>
        <v>-31</v>
      </c>
      <c r="AK407" s="27">
        <f t="shared" si="979"/>
        <v>-11</v>
      </c>
      <c r="AL407" s="27">
        <f t="shared" si="979"/>
        <v>-18</v>
      </c>
      <c r="AM407" s="27">
        <f t="shared" si="979"/>
        <v>-22</v>
      </c>
      <c r="AN407" s="27">
        <f t="shared" si="979"/>
        <v>-28</v>
      </c>
      <c r="AO407" s="1114">
        <f t="shared" si="979"/>
        <v>-80</v>
      </c>
      <c r="AP407" s="27">
        <f t="shared" si="979"/>
        <v>-31</v>
      </c>
      <c r="AQ407" s="27">
        <f t="shared" si="979"/>
        <v>-34</v>
      </c>
      <c r="AR407" s="27">
        <f t="shared" si="979"/>
        <v>-33</v>
      </c>
      <c r="AS407" s="27">
        <f t="shared" si="979"/>
        <v>-29</v>
      </c>
      <c r="AT407" s="1114">
        <f t="shared" si="979"/>
        <v>-128</v>
      </c>
      <c r="AU407" s="27">
        <f t="shared" si="979"/>
        <v>-7</v>
      </c>
      <c r="AV407" s="27">
        <f t="shared" si="979"/>
        <v>40</v>
      </c>
      <c r="AW407" s="27">
        <f t="shared" si="979"/>
        <v>45</v>
      </c>
      <c r="AX407" s="27">
        <f t="shared" si="979"/>
        <v>46</v>
      </c>
      <c r="AY407" s="1114">
        <f t="shared" si="979"/>
        <v>124</v>
      </c>
      <c r="AZ407" s="27">
        <f t="shared" si="979"/>
        <v>46</v>
      </c>
      <c r="BA407" s="27">
        <f t="shared" si="979"/>
        <v>53</v>
      </c>
      <c r="BB407" s="27">
        <f t="shared" si="979"/>
        <v>54</v>
      </c>
      <c r="BC407" s="27">
        <f t="shared" si="979"/>
        <v>52</v>
      </c>
      <c r="BD407" s="1114">
        <f t="shared" si="979"/>
        <v>204</v>
      </c>
      <c r="BE407" s="27">
        <f>BE405-BE406</f>
        <v>49</v>
      </c>
      <c r="BF407" s="27">
        <f t="shared" ref="BF407" si="980">BF405-BF406</f>
        <v>18</v>
      </c>
      <c r="BG407" s="27">
        <f t="shared" ref="BG407:BI407" si="981">BG405-BG406</f>
        <v>-24</v>
      </c>
      <c r="BH407" s="27">
        <f t="shared" si="981"/>
        <v>-51</v>
      </c>
      <c r="BI407" s="1114">
        <f t="shared" si="981"/>
        <v>-10</v>
      </c>
      <c r="BJ407" s="27">
        <f>BJ405-BJ406</f>
        <v>-85</v>
      </c>
      <c r="BK407" s="27">
        <f t="shared" ref="BK407" si="982">BK405-BK406</f>
        <v>-123</v>
      </c>
      <c r="BL407" s="27">
        <f t="shared" ref="BL407:BM407" si="983">BL405-BL406</f>
        <v>-172</v>
      </c>
      <c r="BM407" s="27">
        <f t="shared" si="983"/>
        <v>-232</v>
      </c>
      <c r="BN407" s="1114">
        <f t="shared" ref="BN407" si="984">BN405-BN406</f>
        <v>-613</v>
      </c>
      <c r="BO407" s="27">
        <f t="shared" ref="BO407:BS407" si="985">BO405-BO406</f>
        <v>-296</v>
      </c>
      <c r="BP407" s="27">
        <f t="shared" si="985"/>
        <v>-384</v>
      </c>
      <c r="BQ407" s="27">
        <f t="shared" si="985"/>
        <v>-412</v>
      </c>
      <c r="BR407" s="27">
        <f t="shared" si="985"/>
        <v>-451</v>
      </c>
      <c r="BS407" s="1114">
        <f t="shared" si="985"/>
        <v>-1543</v>
      </c>
      <c r="BT407" s="27">
        <f t="shared" ref="BT407:CK407" si="986">BT405-BT406</f>
        <v>-453</v>
      </c>
      <c r="BU407" s="27">
        <f t="shared" si="986"/>
        <v>-531</v>
      </c>
      <c r="BV407" s="27">
        <f t="shared" si="986"/>
        <v>-564</v>
      </c>
      <c r="BW407" s="27">
        <f t="shared" si="986"/>
        <v>-507</v>
      </c>
      <c r="BX407" s="1114">
        <f t="shared" si="986"/>
        <v>-2057</v>
      </c>
      <c r="BY407" s="508">
        <f>BY405-BY406</f>
        <v>-464</v>
      </c>
      <c r="BZ407" s="68">
        <f t="shared" si="986"/>
        <v>-876.91966037735858</v>
      </c>
      <c r="CA407" s="68">
        <f t="shared" si="986"/>
        <v>-1304.0763899903411</v>
      </c>
      <c r="CB407" s="68">
        <f t="shared" si="986"/>
        <v>-1764.7619626800895</v>
      </c>
      <c r="CC407" s="1153">
        <f t="shared" si="986"/>
        <v>-4409.75801304779</v>
      </c>
      <c r="CD407" s="68">
        <f t="shared" si="986"/>
        <v>-2219.0391477973621</v>
      </c>
      <c r="CE407" s="68">
        <f t="shared" si="986"/>
        <v>-3025.3251365702436</v>
      </c>
      <c r="CF407" s="68">
        <f t="shared" si="986"/>
        <v>-3690.8982206996652</v>
      </c>
      <c r="CG407" s="68">
        <f t="shared" si="986"/>
        <v>-4262.481920260554</v>
      </c>
      <c r="CH407" s="1153">
        <f t="shared" si="986"/>
        <v>-13197.744425327826</v>
      </c>
      <c r="CI407" s="1153">
        <f t="shared" si="986"/>
        <v>-16927.485365667566</v>
      </c>
      <c r="CJ407" s="1153">
        <f t="shared" si="986"/>
        <v>-28431.970030248882</v>
      </c>
      <c r="CK407" s="1153">
        <f t="shared" si="986"/>
        <v>-42431.409713467096</v>
      </c>
      <c r="CL407" s="155"/>
    </row>
    <row r="408" spans="1:90" x14ac:dyDescent="0.3">
      <c r="A408" s="145" t="s">
        <v>800</v>
      </c>
      <c r="B408" s="146"/>
      <c r="C408" s="1153">
        <f t="shared" ref="C408:AH408" si="987">-C312</f>
        <v>14.707000000000001</v>
      </c>
      <c r="D408" s="1153">
        <f t="shared" si="987"/>
        <v>3.1440000000000001</v>
      </c>
      <c r="E408" s="1153">
        <f t="shared" si="987"/>
        <v>0.50800000000000001</v>
      </c>
      <c r="F408" s="1153">
        <f t="shared" si="987"/>
        <v>0.96299999999999997</v>
      </c>
      <c r="G408" s="563">
        <f t="shared" si="987"/>
        <v>0</v>
      </c>
      <c r="H408" s="563">
        <f t="shared" si="987"/>
        <v>0</v>
      </c>
      <c r="I408" s="563">
        <f t="shared" si="987"/>
        <v>0</v>
      </c>
      <c r="J408" s="563">
        <f t="shared" si="987"/>
        <v>2.8140000000000001</v>
      </c>
      <c r="K408" s="1153">
        <f t="shared" si="987"/>
        <v>2.8140000000000001</v>
      </c>
      <c r="L408" s="563">
        <f t="shared" si="987"/>
        <v>0</v>
      </c>
      <c r="M408" s="563">
        <f t="shared" si="987"/>
        <v>0</v>
      </c>
      <c r="N408" s="563">
        <f t="shared" si="987"/>
        <v>0</v>
      </c>
      <c r="O408" s="563">
        <f t="shared" si="987"/>
        <v>-7.351</v>
      </c>
      <c r="P408" s="1153">
        <f t="shared" si="987"/>
        <v>-7.351</v>
      </c>
      <c r="Q408" s="563">
        <f t="shared" si="987"/>
        <v>-17</v>
      </c>
      <c r="R408" s="563">
        <f t="shared" si="987"/>
        <v>3</v>
      </c>
      <c r="S408" s="563">
        <f t="shared" si="987"/>
        <v>0</v>
      </c>
      <c r="T408" s="563">
        <f t="shared" si="987"/>
        <v>0</v>
      </c>
      <c r="U408" s="1153">
        <f t="shared" si="987"/>
        <v>-14</v>
      </c>
      <c r="V408" s="563">
        <f t="shared" si="987"/>
        <v>1</v>
      </c>
      <c r="W408" s="563">
        <f t="shared" si="987"/>
        <v>1</v>
      </c>
      <c r="X408" s="563">
        <f t="shared" si="987"/>
        <v>-3</v>
      </c>
      <c r="Y408" s="563">
        <f t="shared" si="987"/>
        <v>-2</v>
      </c>
      <c r="Z408" s="1153">
        <f t="shared" si="987"/>
        <v>-4</v>
      </c>
      <c r="AA408" s="563">
        <f t="shared" si="987"/>
        <v>4</v>
      </c>
      <c r="AB408" s="563">
        <f t="shared" si="987"/>
        <v>0</v>
      </c>
      <c r="AC408" s="563">
        <f t="shared" si="987"/>
        <v>16</v>
      </c>
      <c r="AD408" s="563">
        <f t="shared" si="987"/>
        <v>6</v>
      </c>
      <c r="AE408" s="1153">
        <f t="shared" si="987"/>
        <v>25</v>
      </c>
      <c r="AF408" s="563">
        <f t="shared" si="987"/>
        <v>18</v>
      </c>
      <c r="AG408" s="563">
        <f t="shared" si="987"/>
        <v>4</v>
      </c>
      <c r="AH408" s="563">
        <f t="shared" si="987"/>
        <v>1</v>
      </c>
      <c r="AI408" s="563">
        <f t="shared" ref="AI408:BJ408" si="988">-AI312</f>
        <v>0</v>
      </c>
      <c r="AJ408" s="1153">
        <f t="shared" si="988"/>
        <v>22</v>
      </c>
      <c r="AK408" s="563">
        <f t="shared" si="988"/>
        <v>-6</v>
      </c>
      <c r="AL408" s="563">
        <f t="shared" si="988"/>
        <v>-5</v>
      </c>
      <c r="AM408" s="563">
        <f t="shared" si="988"/>
        <v>-1</v>
      </c>
      <c r="AN408" s="563">
        <f t="shared" si="988"/>
        <v>-2</v>
      </c>
      <c r="AO408" s="1153">
        <f t="shared" si="988"/>
        <v>-14</v>
      </c>
      <c r="AP408" s="563">
        <f t="shared" si="988"/>
        <v>0</v>
      </c>
      <c r="AQ408" s="563">
        <f t="shared" si="988"/>
        <v>-1</v>
      </c>
      <c r="AR408" s="563">
        <f t="shared" si="988"/>
        <v>0</v>
      </c>
      <c r="AS408" s="563">
        <f t="shared" si="988"/>
        <v>3</v>
      </c>
      <c r="AT408" s="1153">
        <f t="shared" si="988"/>
        <v>2</v>
      </c>
      <c r="AU408" s="563">
        <f t="shared" si="988"/>
        <v>1</v>
      </c>
      <c r="AV408" s="563">
        <f t="shared" si="988"/>
        <v>1</v>
      </c>
      <c r="AW408" s="563">
        <f t="shared" si="988"/>
        <v>4</v>
      </c>
      <c r="AX408" s="563">
        <f t="shared" si="988"/>
        <v>-10</v>
      </c>
      <c r="AY408" s="1153">
        <f t="shared" si="988"/>
        <v>-4</v>
      </c>
      <c r="AZ408" s="563">
        <f t="shared" si="988"/>
        <v>-135</v>
      </c>
      <c r="BA408" s="563">
        <f t="shared" si="988"/>
        <v>-4</v>
      </c>
      <c r="BB408" s="563">
        <f t="shared" si="988"/>
        <v>-22</v>
      </c>
      <c r="BC408" s="563">
        <f t="shared" si="988"/>
        <v>53</v>
      </c>
      <c r="BD408" s="1153">
        <f t="shared" si="988"/>
        <v>-107</v>
      </c>
      <c r="BE408" s="563">
        <f t="shared" si="988"/>
        <v>13</v>
      </c>
      <c r="BF408" s="563">
        <f t="shared" si="988"/>
        <v>5</v>
      </c>
      <c r="BG408" s="563">
        <f t="shared" si="988"/>
        <v>11</v>
      </c>
      <c r="BH408" s="563">
        <f t="shared" si="988"/>
        <v>18</v>
      </c>
      <c r="BI408" s="1153">
        <f t="shared" si="988"/>
        <v>48</v>
      </c>
      <c r="BJ408" s="563">
        <f t="shared" si="988"/>
        <v>15</v>
      </c>
      <c r="BK408" s="563">
        <f t="shared" ref="BK408" si="989">-BK312</f>
        <v>-59</v>
      </c>
      <c r="BL408" s="563">
        <f>-BL312</f>
        <v>66</v>
      </c>
      <c r="BM408" s="563">
        <f>-BM312</f>
        <v>-260</v>
      </c>
      <c r="BN408" s="1153">
        <f t="shared" ref="BN408" si="990">-BN312</f>
        <v>-237</v>
      </c>
      <c r="BO408" s="563">
        <f t="shared" ref="BO408:BT408" si="991">-BO312</f>
        <v>-75</v>
      </c>
      <c r="BP408" s="563">
        <f t="shared" si="991"/>
        <v>-189</v>
      </c>
      <c r="BQ408" s="563">
        <f t="shared" si="991"/>
        <v>-36</v>
      </c>
      <c r="BR408" s="563">
        <f t="shared" si="991"/>
        <v>-733</v>
      </c>
      <c r="BS408" s="1153">
        <f t="shared" si="991"/>
        <v>-1034</v>
      </c>
      <c r="BT408" s="563">
        <f t="shared" si="991"/>
        <v>180</v>
      </c>
      <c r="BU408" s="563">
        <f>-BU312</f>
        <v>-2236</v>
      </c>
      <c r="BV408" s="563">
        <f>-BV312</f>
        <v>-1363</v>
      </c>
      <c r="BW408" s="563">
        <f>-BW312</f>
        <v>-5604</v>
      </c>
      <c r="BX408" s="1153">
        <f>-BX312</f>
        <v>-9022</v>
      </c>
      <c r="BY408" s="731">
        <f>-BY312</f>
        <v>-15929</v>
      </c>
      <c r="BZ408" s="563">
        <f>BZ409+BZ410</f>
        <v>1010</v>
      </c>
      <c r="CA408" s="563">
        <f>CA409+CA410</f>
        <v>1175</v>
      </c>
      <c r="CB408" s="563">
        <f>CB409+CB410</f>
        <v>3000</v>
      </c>
      <c r="CC408" s="1153">
        <f>SUM(BY408,BZ408,CA408,CB408)</f>
        <v>-10744</v>
      </c>
      <c r="CD408" s="563">
        <f>CD409+CD410</f>
        <v>800</v>
      </c>
      <c r="CE408" s="563">
        <f>CE409+CE410</f>
        <v>1010</v>
      </c>
      <c r="CF408" s="563">
        <f>CF409+CF410</f>
        <v>1175</v>
      </c>
      <c r="CG408" s="563">
        <f>CG409+CG410</f>
        <v>3000</v>
      </c>
      <c r="CH408" s="1153">
        <f>SUM(CD408,CE408,CF408,CG408)</f>
        <v>5985</v>
      </c>
      <c r="CI408" s="1153">
        <f>CI409+CI410</f>
        <v>12</v>
      </c>
      <c r="CJ408" s="1153">
        <f>CJ409+CJ410</f>
        <v>12</v>
      </c>
      <c r="CK408" s="1153">
        <f>CK409+CK410</f>
        <v>12</v>
      </c>
      <c r="CL408" s="155"/>
    </row>
    <row r="409" spans="1:90" x14ac:dyDescent="0.3">
      <c r="A409" s="148" t="s">
        <v>801</v>
      </c>
      <c r="B409" s="149"/>
      <c r="C409" s="1154">
        <f>ROUND(C408-C410,6)</f>
        <v>0</v>
      </c>
      <c r="D409" s="1154">
        <f t="shared" ref="D409:BE409" si="992">ROUND(D408-D410,6)</f>
        <v>0</v>
      </c>
      <c r="E409" s="1154">
        <f t="shared" si="992"/>
        <v>0</v>
      </c>
      <c r="F409" s="1154">
        <f t="shared" si="992"/>
        <v>0</v>
      </c>
      <c r="G409" s="659">
        <f t="shared" si="992"/>
        <v>0</v>
      </c>
      <c r="H409" s="659">
        <f t="shared" si="992"/>
        <v>0</v>
      </c>
      <c r="I409" s="659">
        <f t="shared" si="992"/>
        <v>0</v>
      </c>
      <c r="J409" s="659">
        <f t="shared" si="992"/>
        <v>0</v>
      </c>
      <c r="K409" s="1154">
        <f t="shared" si="992"/>
        <v>0</v>
      </c>
      <c r="L409" s="659">
        <f t="shared" si="992"/>
        <v>0</v>
      </c>
      <c r="M409" s="659">
        <f t="shared" si="992"/>
        <v>0</v>
      </c>
      <c r="N409" s="659">
        <f t="shared" si="992"/>
        <v>0</v>
      </c>
      <c r="O409" s="659">
        <f t="shared" si="992"/>
        <v>-3.0739999999999998</v>
      </c>
      <c r="P409" s="1154">
        <f t="shared" si="992"/>
        <v>-3.0739999999999998</v>
      </c>
      <c r="Q409" s="659">
        <f t="shared" si="992"/>
        <v>-17</v>
      </c>
      <c r="R409" s="659">
        <f t="shared" si="992"/>
        <v>3</v>
      </c>
      <c r="S409" s="659">
        <f t="shared" si="992"/>
        <v>0</v>
      </c>
      <c r="T409" s="659">
        <f t="shared" si="992"/>
        <v>0</v>
      </c>
      <c r="U409" s="1154">
        <f t="shared" si="992"/>
        <v>-15</v>
      </c>
      <c r="V409" s="659">
        <f t="shared" si="992"/>
        <v>2</v>
      </c>
      <c r="W409" s="659">
        <f t="shared" si="992"/>
        <v>0</v>
      </c>
      <c r="X409" s="659">
        <f t="shared" si="992"/>
        <v>-4</v>
      </c>
      <c r="Y409" s="659">
        <f t="shared" si="992"/>
        <v>0</v>
      </c>
      <c r="Z409" s="1154">
        <f t="shared" si="992"/>
        <v>-5</v>
      </c>
      <c r="AA409" s="659">
        <f t="shared" si="992"/>
        <v>-3</v>
      </c>
      <c r="AB409" s="659">
        <f t="shared" si="992"/>
        <v>0</v>
      </c>
      <c r="AC409" s="659">
        <f t="shared" si="992"/>
        <v>0</v>
      </c>
      <c r="AD409" s="659">
        <f t="shared" si="992"/>
        <v>-1</v>
      </c>
      <c r="AE409" s="1154">
        <f t="shared" si="992"/>
        <v>-4</v>
      </c>
      <c r="AF409" s="659">
        <f t="shared" si="992"/>
        <v>0</v>
      </c>
      <c r="AG409" s="659">
        <f t="shared" si="992"/>
        <v>0</v>
      </c>
      <c r="AH409" s="659">
        <f t="shared" si="992"/>
        <v>0</v>
      </c>
      <c r="AI409" s="659">
        <f t="shared" si="992"/>
        <v>-2</v>
      </c>
      <c r="AJ409" s="1154">
        <f t="shared" si="992"/>
        <v>-2</v>
      </c>
      <c r="AK409" s="659">
        <f t="shared" si="992"/>
        <v>-6</v>
      </c>
      <c r="AL409" s="659">
        <f t="shared" si="992"/>
        <v>-2</v>
      </c>
      <c r="AM409" s="659">
        <f t="shared" si="992"/>
        <v>-2</v>
      </c>
      <c r="AN409" s="659">
        <f t="shared" si="992"/>
        <v>-1</v>
      </c>
      <c r="AO409" s="1154">
        <f t="shared" si="992"/>
        <v>-12</v>
      </c>
      <c r="AP409" s="659">
        <f t="shared" si="992"/>
        <v>0</v>
      </c>
      <c r="AQ409" s="659">
        <f t="shared" si="992"/>
        <v>0</v>
      </c>
      <c r="AR409" s="659">
        <f t="shared" si="992"/>
        <v>0</v>
      </c>
      <c r="AS409" s="659">
        <f t="shared" si="992"/>
        <v>0</v>
      </c>
      <c r="AT409" s="1154">
        <f t="shared" si="992"/>
        <v>-1</v>
      </c>
      <c r="AU409" s="659">
        <f t="shared" si="992"/>
        <v>2</v>
      </c>
      <c r="AV409" s="659">
        <f t="shared" si="992"/>
        <v>2</v>
      </c>
      <c r="AW409" s="659">
        <f t="shared" si="992"/>
        <v>4</v>
      </c>
      <c r="AX409" s="659">
        <f t="shared" si="992"/>
        <v>-9</v>
      </c>
      <c r="AY409" s="1154">
        <f t="shared" si="992"/>
        <v>0</v>
      </c>
      <c r="AZ409" s="659">
        <f t="shared" si="992"/>
        <v>-134</v>
      </c>
      <c r="BA409" s="659">
        <f t="shared" si="992"/>
        <v>0</v>
      </c>
      <c r="BB409" s="659">
        <f t="shared" si="992"/>
        <v>-20</v>
      </c>
      <c r="BC409" s="659">
        <f t="shared" si="992"/>
        <v>53</v>
      </c>
      <c r="BD409" s="1154">
        <f t="shared" si="992"/>
        <v>-99</v>
      </c>
      <c r="BE409" s="659">
        <f t="shared" si="992"/>
        <v>17</v>
      </c>
      <c r="BF409" s="659">
        <f t="shared" ref="BF409" si="993">ROUND(BF408-BF410,6)</f>
        <v>6</v>
      </c>
      <c r="BG409" s="659">
        <f>ROUND(BG408-BG410,6)</f>
        <v>11</v>
      </c>
      <c r="BH409" s="659">
        <f>ROUND(BH408-BH410,6)</f>
        <v>10</v>
      </c>
      <c r="BI409" s="1154">
        <f>ROUND(BI408-BI410,6)</f>
        <v>44</v>
      </c>
      <c r="BJ409" s="659">
        <f>ROUND(BJ408-BJ410,6)</f>
        <v>14</v>
      </c>
      <c r="BK409" s="659">
        <f t="shared" ref="BK409" si="994">ROUND(BK408-BK410,6)</f>
        <v>-62</v>
      </c>
      <c r="BL409" s="659">
        <f>ROUND(BL408-BL410,6)</f>
        <v>69</v>
      </c>
      <c r="BM409" s="659">
        <f>ROUND(BM408-BM410,6)</f>
        <v>-260</v>
      </c>
      <c r="BN409" s="1154">
        <f t="shared" ref="BN409" si="995">ROUND(BN408-BN410,6)</f>
        <v>-238</v>
      </c>
      <c r="BO409" s="659">
        <f t="shared" ref="BO409:BT409" si="996">ROUND(BO408-BO410,6)</f>
        <v>-69</v>
      </c>
      <c r="BP409" s="659">
        <f t="shared" si="996"/>
        <v>-193</v>
      </c>
      <c r="BQ409" s="659">
        <f t="shared" si="996"/>
        <v>-37</v>
      </c>
      <c r="BR409" s="659">
        <f t="shared" si="996"/>
        <v>-727</v>
      </c>
      <c r="BS409" s="1154">
        <f t="shared" si="996"/>
        <v>-1030</v>
      </c>
      <c r="BT409" s="659">
        <f t="shared" si="996"/>
        <v>175</v>
      </c>
      <c r="BU409" s="659">
        <f>ROUND(BU408-BU410,6)</f>
        <v>-2247</v>
      </c>
      <c r="BV409" s="659">
        <f>ROUND(BV408-BV410,6)</f>
        <v>-1354</v>
      </c>
      <c r="BW409" s="659">
        <f>ROUND(BW408-BW410,6)</f>
        <v>-5491</v>
      </c>
      <c r="BX409" s="1154">
        <f>ROUND(BX408-BX410,6)</f>
        <v>-8918</v>
      </c>
      <c r="BY409" s="910">
        <f>ROUND(BY408-BY410,6)</f>
        <v>-15936</v>
      </c>
      <c r="BZ409" s="1072">
        <v>0</v>
      </c>
      <c r="CA409" s="1072">
        <v>0</v>
      </c>
      <c r="CB409" s="1072">
        <v>0</v>
      </c>
      <c r="CC409" s="1154">
        <f>SUM(BY409,BZ409,CA409,CB409)</f>
        <v>-15936</v>
      </c>
      <c r="CD409" s="1072">
        <v>0</v>
      </c>
      <c r="CE409" s="1072">
        <v>0</v>
      </c>
      <c r="CF409" s="1072">
        <v>0</v>
      </c>
      <c r="CG409" s="1072">
        <v>0</v>
      </c>
      <c r="CH409" s="1154">
        <f>SUM(CD409,CE409,CF409,CG409)</f>
        <v>0</v>
      </c>
      <c r="CI409" s="1163">
        <v>0</v>
      </c>
      <c r="CJ409" s="1163">
        <v>0</v>
      </c>
      <c r="CK409" s="1163">
        <v>0</v>
      </c>
      <c r="CL409" s="155"/>
    </row>
    <row r="410" spans="1:90" x14ac:dyDescent="0.3">
      <c r="A410" s="67" t="s">
        <v>102</v>
      </c>
      <c r="B410" s="146"/>
      <c r="C410" s="1114">
        <f>C396-C411-C407</f>
        <v>14.706999999999908</v>
      </c>
      <c r="D410" s="1114">
        <f t="shared" ref="D410:BD410" si="997">D396-D411-D407</f>
        <v>3.1439999999998172</v>
      </c>
      <c r="E410" s="1114">
        <f t="shared" si="997"/>
        <v>0.50799999999997425</v>
      </c>
      <c r="F410" s="1114">
        <f t="shared" si="997"/>
        <v>0.96300000000024966</v>
      </c>
      <c r="G410" s="27">
        <f t="shared" si="997"/>
        <v>-1.9539925233402755E-14</v>
      </c>
      <c r="H410" s="27">
        <f t="shared" si="997"/>
        <v>-7.9936057773011271E-15</v>
      </c>
      <c r="I410" s="27">
        <f t="shared" si="997"/>
        <v>-1.7763568394002505E-15</v>
      </c>
      <c r="J410" s="27">
        <f t="shared" si="997"/>
        <v>2.813999999999977</v>
      </c>
      <c r="K410" s="1114">
        <f t="shared" si="997"/>
        <v>2.8139999999998189</v>
      </c>
      <c r="L410" s="27">
        <f t="shared" si="997"/>
        <v>2.2204460492503131E-14</v>
      </c>
      <c r="M410" s="27">
        <f t="shared" si="997"/>
        <v>-5.8619775700208265E-14</v>
      </c>
      <c r="N410" s="27">
        <f t="shared" si="997"/>
        <v>4.7961634663806763E-14</v>
      </c>
      <c r="O410" s="27">
        <f t="shared" si="997"/>
        <v>-4.2769999999998962</v>
      </c>
      <c r="P410" s="1114">
        <f t="shared" si="997"/>
        <v>-4.2770000000003385</v>
      </c>
      <c r="Q410" s="27">
        <f t="shared" si="997"/>
        <v>0</v>
      </c>
      <c r="R410" s="27">
        <f t="shared" si="997"/>
        <v>0</v>
      </c>
      <c r="S410" s="27">
        <f t="shared" si="997"/>
        <v>0</v>
      </c>
      <c r="T410" s="27">
        <f t="shared" si="997"/>
        <v>0</v>
      </c>
      <c r="U410" s="1114">
        <f t="shared" si="997"/>
        <v>1</v>
      </c>
      <c r="V410" s="27">
        <f t="shared" si="997"/>
        <v>-1</v>
      </c>
      <c r="W410" s="27">
        <f t="shared" si="997"/>
        <v>1</v>
      </c>
      <c r="X410" s="27">
        <f t="shared" si="997"/>
        <v>1</v>
      </c>
      <c r="Y410" s="27">
        <f t="shared" si="997"/>
        <v>-2</v>
      </c>
      <c r="Z410" s="1114">
        <f t="shared" si="997"/>
        <v>1</v>
      </c>
      <c r="AA410" s="27">
        <f t="shared" si="997"/>
        <v>7</v>
      </c>
      <c r="AB410" s="27">
        <f t="shared" si="997"/>
        <v>0</v>
      </c>
      <c r="AC410" s="27">
        <f t="shared" si="997"/>
        <v>16</v>
      </c>
      <c r="AD410" s="27">
        <f t="shared" si="997"/>
        <v>7</v>
      </c>
      <c r="AE410" s="1114">
        <f t="shared" si="997"/>
        <v>29</v>
      </c>
      <c r="AF410" s="27">
        <f t="shared" si="997"/>
        <v>18</v>
      </c>
      <c r="AG410" s="27">
        <f t="shared" si="997"/>
        <v>4</v>
      </c>
      <c r="AH410" s="27">
        <f t="shared" si="997"/>
        <v>1</v>
      </c>
      <c r="AI410" s="27">
        <f t="shared" si="997"/>
        <v>2</v>
      </c>
      <c r="AJ410" s="1114">
        <f t="shared" si="997"/>
        <v>24</v>
      </c>
      <c r="AK410" s="27">
        <f t="shared" si="997"/>
        <v>0</v>
      </c>
      <c r="AL410" s="27">
        <f t="shared" si="997"/>
        <v>-3</v>
      </c>
      <c r="AM410" s="27">
        <f t="shared" si="997"/>
        <v>1</v>
      </c>
      <c r="AN410" s="27">
        <f t="shared" si="997"/>
        <v>-1</v>
      </c>
      <c r="AO410" s="1114">
        <f t="shared" si="997"/>
        <v>-2</v>
      </c>
      <c r="AP410" s="27">
        <f t="shared" si="997"/>
        <v>0</v>
      </c>
      <c r="AQ410" s="27">
        <f t="shared" si="997"/>
        <v>-1</v>
      </c>
      <c r="AR410" s="27">
        <f t="shared" si="997"/>
        <v>0</v>
      </c>
      <c r="AS410" s="27">
        <f t="shared" si="997"/>
        <v>3</v>
      </c>
      <c r="AT410" s="1114">
        <f t="shared" si="997"/>
        <v>3</v>
      </c>
      <c r="AU410" s="27">
        <f t="shared" si="997"/>
        <v>-1</v>
      </c>
      <c r="AV410" s="27">
        <f t="shared" si="997"/>
        <v>-1</v>
      </c>
      <c r="AW410" s="27">
        <f t="shared" si="997"/>
        <v>0</v>
      </c>
      <c r="AX410" s="27">
        <f t="shared" si="997"/>
        <v>-1</v>
      </c>
      <c r="AY410" s="1114">
        <f t="shared" si="997"/>
        <v>-4</v>
      </c>
      <c r="AZ410" s="27">
        <f t="shared" si="997"/>
        <v>-1</v>
      </c>
      <c r="BA410" s="27">
        <f t="shared" si="997"/>
        <v>-4</v>
      </c>
      <c r="BB410" s="27">
        <f t="shared" si="997"/>
        <v>-2</v>
      </c>
      <c r="BC410" s="27">
        <f t="shared" si="997"/>
        <v>0</v>
      </c>
      <c r="BD410" s="1114">
        <f t="shared" si="997"/>
        <v>-8</v>
      </c>
      <c r="BE410" s="27">
        <f>BE396-BE411-BE407</f>
        <v>-4</v>
      </c>
      <c r="BF410" s="27">
        <f t="shared" ref="BF410" si="998">BF396-BF411-BF407</f>
        <v>-1</v>
      </c>
      <c r="BG410" s="27">
        <f>BG396-BG411-BG407</f>
        <v>0</v>
      </c>
      <c r="BH410" s="27">
        <f>BH396-BH411-BH407</f>
        <v>8</v>
      </c>
      <c r="BI410" s="1114">
        <f>BI396-BI411-BI407</f>
        <v>4</v>
      </c>
      <c r="BJ410" s="27">
        <f>BJ396-BJ411-BJ407</f>
        <v>1</v>
      </c>
      <c r="BK410" s="27">
        <f t="shared" ref="BK410" si="999">BK396-BK411-BK407</f>
        <v>3</v>
      </c>
      <c r="BL410" s="27">
        <f>BL396-BL411-BL407</f>
        <v>-3</v>
      </c>
      <c r="BM410" s="27">
        <f>BM396-BM411-BM407</f>
        <v>0</v>
      </c>
      <c r="BN410" s="1114">
        <f t="shared" ref="BN410" si="1000">BN396-BN411-BN407</f>
        <v>1</v>
      </c>
      <c r="BO410" s="27">
        <f t="shared" ref="BO410:BT410" si="1001">BO396-BO411-BO407</f>
        <v>-6</v>
      </c>
      <c r="BP410" s="27">
        <f t="shared" si="1001"/>
        <v>4</v>
      </c>
      <c r="BQ410" s="27">
        <f t="shared" si="1001"/>
        <v>1</v>
      </c>
      <c r="BR410" s="27">
        <f t="shared" si="1001"/>
        <v>-6</v>
      </c>
      <c r="BS410" s="1114">
        <f t="shared" si="1001"/>
        <v>-4</v>
      </c>
      <c r="BT410" s="27">
        <f t="shared" si="1001"/>
        <v>5</v>
      </c>
      <c r="BU410" s="27">
        <f>BU396-BU411-BU407</f>
        <v>11</v>
      </c>
      <c r="BV410" s="27">
        <f>BV396-BV411-BV407</f>
        <v>-9</v>
      </c>
      <c r="BW410" s="27">
        <f>BW396-BW411-BW407</f>
        <v>-113</v>
      </c>
      <c r="BX410" s="1114">
        <f>BX396-BX411-BX407</f>
        <v>-104</v>
      </c>
      <c r="BY410" s="508">
        <f>BY396-BY411-BY407</f>
        <v>7</v>
      </c>
      <c r="BZ410" s="1055">
        <v>1010</v>
      </c>
      <c r="CA410" s="1055">
        <v>1175</v>
      </c>
      <c r="CB410" s="1055">
        <v>3000</v>
      </c>
      <c r="CC410" s="1153">
        <f>SUM(BY410,BZ410,CA410,CB410)</f>
        <v>5192</v>
      </c>
      <c r="CD410" s="1055">
        <v>800</v>
      </c>
      <c r="CE410" s="1055">
        <v>1010</v>
      </c>
      <c r="CF410" s="1055">
        <v>1175</v>
      </c>
      <c r="CG410" s="1055">
        <v>3000</v>
      </c>
      <c r="CH410" s="1153">
        <f>SUM(CD410,CE410,CF410,CG410)</f>
        <v>5985</v>
      </c>
      <c r="CI410" s="1164">
        <v>12</v>
      </c>
      <c r="CJ410" s="1164">
        <v>12</v>
      </c>
      <c r="CK410" s="1164">
        <v>12</v>
      </c>
      <c r="CL410" s="155"/>
    </row>
    <row r="411" spans="1:90" x14ac:dyDescent="0.3">
      <c r="A411" s="59" t="s">
        <v>103</v>
      </c>
      <c r="B411" s="607"/>
      <c r="C411" s="1125">
        <f t="shared" ref="C411:BD411" si="1002">C415+C414</f>
        <v>176.36799999999971</v>
      </c>
      <c r="D411" s="1125">
        <f t="shared" si="1002"/>
        <v>151.8960000000003</v>
      </c>
      <c r="E411" s="1125">
        <f t="shared" si="1002"/>
        <v>517.60200000000009</v>
      </c>
      <c r="F411" s="1125">
        <f t="shared" si="1002"/>
        <v>844.52199999999971</v>
      </c>
      <c r="G411" s="60">
        <f t="shared" si="1002"/>
        <v>122.17699999999998</v>
      </c>
      <c r="H411" s="60">
        <f t="shared" si="1002"/>
        <v>206.44900000000004</v>
      </c>
      <c r="I411" s="60">
        <f t="shared" si="1002"/>
        <v>295.76499999999987</v>
      </c>
      <c r="J411" s="60">
        <f t="shared" si="1002"/>
        <v>230.57499999999999</v>
      </c>
      <c r="K411" s="1125">
        <f t="shared" si="1002"/>
        <v>854.96599999999989</v>
      </c>
      <c r="L411" s="60">
        <f t="shared" si="1002"/>
        <v>130.31999999999996</v>
      </c>
      <c r="M411" s="60">
        <f t="shared" si="1002"/>
        <v>155.46899999999999</v>
      </c>
      <c r="N411" s="60">
        <f t="shared" si="1002"/>
        <v>182.59500000000011</v>
      </c>
      <c r="O411" s="60">
        <f t="shared" si="1002"/>
        <v>211.38100000000054</v>
      </c>
      <c r="P411" s="1125">
        <f t="shared" si="1002"/>
        <v>679.76500000000033</v>
      </c>
      <c r="Q411" s="60">
        <f t="shared" si="1002"/>
        <v>198</v>
      </c>
      <c r="R411" s="60">
        <f t="shared" si="1002"/>
        <v>212</v>
      </c>
      <c r="S411" s="60">
        <f t="shared" si="1002"/>
        <v>267</v>
      </c>
      <c r="T411" s="60">
        <f t="shared" si="1002"/>
        <v>287</v>
      </c>
      <c r="U411" s="1125">
        <f t="shared" si="1002"/>
        <v>963</v>
      </c>
      <c r="V411" s="60">
        <f t="shared" si="1002"/>
        <v>235</v>
      </c>
      <c r="W411" s="60">
        <f t="shared" si="1002"/>
        <v>234</v>
      </c>
      <c r="X411" s="60">
        <f t="shared" si="1002"/>
        <v>311</v>
      </c>
      <c r="Y411" s="60">
        <f t="shared" si="1002"/>
        <v>364</v>
      </c>
      <c r="Z411" s="1125">
        <f t="shared" si="1002"/>
        <v>1145</v>
      </c>
      <c r="AA411" s="60">
        <f t="shared" si="1002"/>
        <v>322</v>
      </c>
      <c r="AB411" s="60">
        <f t="shared" si="1002"/>
        <v>389</v>
      </c>
      <c r="AC411" s="60">
        <f t="shared" si="1002"/>
        <v>711</v>
      </c>
      <c r="AD411" s="60">
        <f t="shared" si="1002"/>
        <v>811</v>
      </c>
      <c r="AE411" s="1125">
        <f t="shared" si="1002"/>
        <v>2234</v>
      </c>
      <c r="AF411" s="60">
        <f t="shared" si="1002"/>
        <v>635</v>
      </c>
      <c r="AG411" s="60">
        <f t="shared" si="1002"/>
        <v>773</v>
      </c>
      <c r="AH411" s="568">
        <f t="shared" si="1002"/>
        <v>1007</v>
      </c>
      <c r="AI411" s="60">
        <f t="shared" si="1002"/>
        <v>1207</v>
      </c>
      <c r="AJ411" s="1125">
        <f t="shared" si="1002"/>
        <v>3624</v>
      </c>
      <c r="AK411" s="568">
        <f t="shared" si="1002"/>
        <v>1439</v>
      </c>
      <c r="AL411" s="60">
        <f t="shared" si="1002"/>
        <v>1311</v>
      </c>
      <c r="AM411" s="568">
        <f t="shared" si="1002"/>
        <v>1231</v>
      </c>
      <c r="AN411" s="60">
        <f t="shared" si="1002"/>
        <v>508</v>
      </c>
      <c r="AO411" s="1125">
        <f t="shared" si="1002"/>
        <v>4489</v>
      </c>
      <c r="AP411" s="568">
        <f t="shared" si="1002"/>
        <v>588</v>
      </c>
      <c r="AQ411" s="60">
        <f t="shared" si="1002"/>
        <v>837</v>
      </c>
      <c r="AR411" s="568">
        <f t="shared" si="1002"/>
        <v>1189</v>
      </c>
      <c r="AS411" s="60">
        <f t="shared" si="1002"/>
        <v>1246</v>
      </c>
      <c r="AT411" s="1125">
        <f t="shared" si="1002"/>
        <v>3860</v>
      </c>
      <c r="AU411" s="568">
        <f t="shared" si="1002"/>
        <v>1213</v>
      </c>
      <c r="AV411" s="60">
        <f t="shared" si="1002"/>
        <v>1477</v>
      </c>
      <c r="AW411" s="568">
        <f t="shared" si="1002"/>
        <v>1948</v>
      </c>
      <c r="AX411" s="60">
        <f t="shared" si="1002"/>
        <v>2044</v>
      </c>
      <c r="AY411" s="1125">
        <f t="shared" si="1002"/>
        <v>6683</v>
      </c>
      <c r="AZ411" s="568">
        <f t="shared" si="1002"/>
        <v>2512</v>
      </c>
      <c r="BA411" s="60">
        <f t="shared" si="1002"/>
        <v>3022</v>
      </c>
      <c r="BB411" s="568">
        <f t="shared" si="1002"/>
        <v>3334</v>
      </c>
      <c r="BC411" s="60">
        <f t="shared" si="1002"/>
        <v>3625</v>
      </c>
      <c r="BD411" s="1125">
        <f t="shared" si="1002"/>
        <v>12494</v>
      </c>
      <c r="BE411" s="568">
        <f>BE415+BE414</f>
        <v>3910</v>
      </c>
      <c r="BF411" s="60">
        <f t="shared" ref="BF411" si="1003">BF415+BF414</f>
        <v>1308</v>
      </c>
      <c r="BG411" s="568">
        <f>BG415+BG414</f>
        <v>1560</v>
      </c>
      <c r="BH411" s="60">
        <f>BH415+BH414</f>
        <v>2267</v>
      </c>
      <c r="BI411" s="1125">
        <f>BI415+BI414</f>
        <v>9046</v>
      </c>
      <c r="BJ411" s="568">
        <f>BJ415+BJ414</f>
        <v>3136</v>
      </c>
      <c r="BK411" s="60">
        <f t="shared" ref="BK411" si="1004">BK415+BK414</f>
        <v>7896</v>
      </c>
      <c r="BL411" s="568">
        <f>BL415+BL414</f>
        <v>11732</v>
      </c>
      <c r="BM411" s="60">
        <f>BM415+BM414</f>
        <v>14981</v>
      </c>
      <c r="BN411" s="1125">
        <f t="shared" ref="BN411" si="1005">BN415+BN414</f>
        <v>37746</v>
      </c>
      <c r="BO411" s="568">
        <f t="shared" ref="BO411:BT411" si="1006">BO415+BO414</f>
        <v>18361</v>
      </c>
      <c r="BP411" s="60">
        <f t="shared" si="1006"/>
        <v>20317</v>
      </c>
      <c r="BQ411" s="568">
        <f t="shared" si="1006"/>
        <v>23687</v>
      </c>
      <c r="BR411" s="60">
        <f t="shared" si="1006"/>
        <v>25973</v>
      </c>
      <c r="BS411" s="1125">
        <f t="shared" si="1006"/>
        <v>88336</v>
      </c>
      <c r="BT411" s="568">
        <f t="shared" si="1006"/>
        <v>23723</v>
      </c>
      <c r="BU411" s="60">
        <f>BU415+BU414</f>
        <v>30685</v>
      </c>
      <c r="BV411" s="568">
        <f>BV415+BV414</f>
        <v>38325</v>
      </c>
      <c r="BW411" s="60">
        <f>BW415+BW414</f>
        <v>46727</v>
      </c>
      <c r="BX411" s="1125">
        <f>BX415+BX414</f>
        <v>139461</v>
      </c>
      <c r="BY411" s="911">
        <f>BY415+BY414</f>
        <v>54240</v>
      </c>
      <c r="BZ411" s="569">
        <f t="shared" ref="BZ411:CK411" si="1007">BZ396-BZ407-BZ410</f>
        <v>59702.644305776877</v>
      </c>
      <c r="CA411" s="569">
        <f t="shared" si="1007"/>
        <v>61663.659061077589</v>
      </c>
      <c r="CB411" s="569">
        <f t="shared" si="1007"/>
        <v>63270.314720859664</v>
      </c>
      <c r="CC411" s="1165">
        <f t="shared" si="1007"/>
        <v>238876.61808771416</v>
      </c>
      <c r="CD411" s="569">
        <f t="shared" si="1007"/>
        <v>70957.397165931281</v>
      </c>
      <c r="CE411" s="569">
        <f t="shared" si="1007"/>
        <v>79443.281504386381</v>
      </c>
      <c r="CF411" s="569">
        <f t="shared" si="1007"/>
        <v>79283.657719615556</v>
      </c>
      <c r="CG411" s="569">
        <f t="shared" si="1007"/>
        <v>81507.506689590984</v>
      </c>
      <c r="CH411" s="1165">
        <f t="shared" si="1007"/>
        <v>311191.84307952417</v>
      </c>
      <c r="CI411" s="1165">
        <f t="shared" si="1007"/>
        <v>379764.19081479643</v>
      </c>
      <c r="CJ411" s="1165">
        <f t="shared" si="1007"/>
        <v>454964.77128833521</v>
      </c>
      <c r="CK411" s="1165">
        <f t="shared" si="1007"/>
        <v>543986.22052830493</v>
      </c>
      <c r="CL411" s="155"/>
    </row>
    <row r="412" spans="1:90" hidden="1" outlineLevel="1" x14ac:dyDescent="0.3">
      <c r="A412" s="661" t="s">
        <v>802</v>
      </c>
      <c r="B412" s="571"/>
      <c r="C412" s="1162">
        <f t="shared" ref="C412:AH412" si="1008">C314</f>
        <v>-12.913</v>
      </c>
      <c r="D412" s="1162">
        <f t="shared" si="1008"/>
        <v>-14.307</v>
      </c>
      <c r="E412" s="1162">
        <f t="shared" si="1008"/>
        <v>18.023</v>
      </c>
      <c r="F412" s="1162">
        <f t="shared" si="1008"/>
        <v>82.305999999999997</v>
      </c>
      <c r="G412" s="662">
        <f t="shared" si="1008"/>
        <v>16.658000000000001</v>
      </c>
      <c r="H412" s="662">
        <f t="shared" si="1008"/>
        <v>26.161999999999999</v>
      </c>
      <c r="I412" s="662">
        <f t="shared" si="1008"/>
        <v>44.548000000000002</v>
      </c>
      <c r="J412" s="662">
        <f t="shared" si="1008"/>
        <v>12.134999999999998</v>
      </c>
      <c r="K412" s="1162">
        <f t="shared" si="1008"/>
        <v>99.503</v>
      </c>
      <c r="L412" s="662">
        <f t="shared" si="1008"/>
        <v>10.170999999999999</v>
      </c>
      <c r="M412" s="662">
        <f t="shared" si="1008"/>
        <v>15.372</v>
      </c>
      <c r="N412" s="662">
        <f t="shared" si="1008"/>
        <v>22.75</v>
      </c>
      <c r="O412" s="662">
        <f t="shared" si="1008"/>
        <v>21.970999999999997</v>
      </c>
      <c r="P412" s="1162">
        <f t="shared" si="1008"/>
        <v>70.263999999999996</v>
      </c>
      <c r="Q412" s="662">
        <f t="shared" si="1008"/>
        <v>26</v>
      </c>
      <c r="R412" s="662">
        <f t="shared" si="1008"/>
        <v>27</v>
      </c>
      <c r="S412" s="662">
        <f t="shared" si="1008"/>
        <v>36</v>
      </c>
      <c r="T412" s="662">
        <f t="shared" si="1008"/>
        <v>35</v>
      </c>
      <c r="U412" s="1162">
        <f t="shared" si="1008"/>
        <v>124</v>
      </c>
      <c r="V412" s="662">
        <f t="shared" si="1008"/>
        <v>38</v>
      </c>
      <c r="W412" s="662">
        <f t="shared" si="1008"/>
        <v>46</v>
      </c>
      <c r="X412" s="662">
        <f t="shared" si="1008"/>
        <v>-1</v>
      </c>
      <c r="Y412" s="662">
        <f t="shared" si="1008"/>
        <v>46</v>
      </c>
      <c r="Z412" s="1162">
        <f t="shared" si="1008"/>
        <v>129</v>
      </c>
      <c r="AA412" s="662">
        <f t="shared" si="1008"/>
        <v>33</v>
      </c>
      <c r="AB412" s="662">
        <f t="shared" si="1008"/>
        <v>56</v>
      </c>
      <c r="AC412" s="662">
        <f t="shared" si="1008"/>
        <v>79</v>
      </c>
      <c r="AD412" s="662">
        <f t="shared" si="1008"/>
        <v>71</v>
      </c>
      <c r="AE412" s="1162">
        <f t="shared" si="1008"/>
        <v>239</v>
      </c>
      <c r="AF412" s="662">
        <f t="shared" si="1008"/>
        <v>29</v>
      </c>
      <c r="AG412" s="662">
        <f t="shared" si="1008"/>
        <v>101</v>
      </c>
      <c r="AH412" s="663">
        <f t="shared" si="1008"/>
        <v>58</v>
      </c>
      <c r="AI412" s="662">
        <f t="shared" ref="AI412:BJ412" si="1009">AI314</f>
        <v>-40</v>
      </c>
      <c r="AJ412" s="1162">
        <f t="shared" si="1009"/>
        <v>149</v>
      </c>
      <c r="AK412" s="663">
        <f t="shared" si="1009"/>
        <v>67</v>
      </c>
      <c r="AL412" s="662">
        <f t="shared" si="1009"/>
        <v>79</v>
      </c>
      <c r="AM412" s="663">
        <f t="shared" si="1009"/>
        <v>-149</v>
      </c>
      <c r="AN412" s="662">
        <f t="shared" si="1009"/>
        <v>-243</v>
      </c>
      <c r="AO412" s="1162">
        <f t="shared" si="1009"/>
        <v>-245</v>
      </c>
      <c r="AP412" s="663">
        <f t="shared" si="1009"/>
        <v>-5</v>
      </c>
      <c r="AQ412" s="662">
        <f t="shared" si="1009"/>
        <v>54</v>
      </c>
      <c r="AR412" s="663">
        <f t="shared" si="1009"/>
        <v>60</v>
      </c>
      <c r="AS412" s="662">
        <f t="shared" si="1009"/>
        <v>66</v>
      </c>
      <c r="AT412" s="1162">
        <f t="shared" si="1009"/>
        <v>174</v>
      </c>
      <c r="AU412" s="663">
        <f t="shared" si="1009"/>
        <v>64</v>
      </c>
      <c r="AV412" s="662">
        <f t="shared" si="1009"/>
        <v>-13</v>
      </c>
      <c r="AW412" s="663">
        <f t="shared" si="1009"/>
        <v>12</v>
      </c>
      <c r="AX412" s="662">
        <f t="shared" si="1009"/>
        <v>13</v>
      </c>
      <c r="AY412" s="1162">
        <f t="shared" si="1009"/>
        <v>77</v>
      </c>
      <c r="AZ412" s="663">
        <f t="shared" si="1009"/>
        <v>132</v>
      </c>
      <c r="BA412" s="662">
        <f t="shared" si="1009"/>
        <v>20</v>
      </c>
      <c r="BB412" s="663">
        <f t="shared" si="1009"/>
        <v>174</v>
      </c>
      <c r="BC412" s="662">
        <f t="shared" si="1009"/>
        <v>-138</v>
      </c>
      <c r="BD412" s="1162">
        <f t="shared" si="1009"/>
        <v>189</v>
      </c>
      <c r="BE412" s="663">
        <f t="shared" si="1009"/>
        <v>187</v>
      </c>
      <c r="BF412" s="662">
        <f t="shared" si="1009"/>
        <v>-181</v>
      </c>
      <c r="BG412" s="663">
        <f t="shared" si="1009"/>
        <v>-67</v>
      </c>
      <c r="BH412" s="662">
        <f t="shared" si="1009"/>
        <v>-125</v>
      </c>
      <c r="BI412" s="1162">
        <f t="shared" si="1009"/>
        <v>-187</v>
      </c>
      <c r="BJ412" s="663">
        <f t="shared" si="1009"/>
        <v>166</v>
      </c>
      <c r="BK412" s="662">
        <f t="shared" ref="BK412" si="1010">BK314</f>
        <v>793</v>
      </c>
      <c r="BL412" s="663">
        <f>BL314</f>
        <v>1279</v>
      </c>
      <c r="BM412" s="662">
        <f>BM314</f>
        <v>1821</v>
      </c>
      <c r="BN412" s="1162">
        <f t="shared" ref="BN412" si="1011">BN314</f>
        <v>4058</v>
      </c>
      <c r="BO412" s="663">
        <f t="shared" ref="BO412:BT412" si="1012">BO314</f>
        <v>2398</v>
      </c>
      <c r="BP412" s="662">
        <f t="shared" si="1012"/>
        <v>2615</v>
      </c>
      <c r="BQ412" s="663">
        <f t="shared" si="1012"/>
        <v>3007</v>
      </c>
      <c r="BR412" s="662">
        <f t="shared" si="1012"/>
        <v>3126</v>
      </c>
      <c r="BS412" s="1162">
        <f t="shared" si="1012"/>
        <v>11146</v>
      </c>
      <c r="BT412" s="663">
        <f t="shared" si="1012"/>
        <v>3135</v>
      </c>
      <c r="BU412" s="662">
        <f>BU314</f>
        <v>4784</v>
      </c>
      <c r="BV412" s="663">
        <f>BV314</f>
        <v>6026</v>
      </c>
      <c r="BW412" s="662">
        <f>BW314</f>
        <v>7437</v>
      </c>
      <c r="BX412" s="1162">
        <f>BX314</f>
        <v>21383</v>
      </c>
      <c r="BY412" s="912">
        <f>BY314</f>
        <v>11582</v>
      </c>
      <c r="BZ412" s="663">
        <f>BZ414+BZ413</f>
        <v>10105.80145678207</v>
      </c>
      <c r="CA412" s="663">
        <f>CA414+CA413</f>
        <v>9219.3420451616385</v>
      </c>
      <c r="CB412" s="663">
        <f>CB414+CB413</f>
        <v>9459.5268946289507</v>
      </c>
      <c r="CC412" s="1166">
        <f>SUM(BY412,BZ412,CA412,CB412)</f>
        <v>40366.670396572663</v>
      </c>
      <c r="CD412" s="663">
        <f>CD414+CD413</f>
        <v>10608.786803389692</v>
      </c>
      <c r="CE412" s="663">
        <f>CE414+CE413</f>
        <v>11877.661541622958</v>
      </c>
      <c r="CF412" s="663">
        <f>CF414+CF413</f>
        <v>11854.864004342333</v>
      </c>
      <c r="CG412" s="663">
        <f>CG414+CG413</f>
        <v>12187.536677113647</v>
      </c>
      <c r="CH412" s="1166">
        <f>SUM(CD412,CE412,CF412,CG412)</f>
        <v>46528.849026468626</v>
      </c>
      <c r="CI412" s="1166">
        <f>CI414+CI413</f>
        <v>56704.513357667463</v>
      </c>
      <c r="CJ412" s="1166">
        <f>CJ414+CJ413</f>
        <v>67939.166789139723</v>
      </c>
      <c r="CK412" s="1166">
        <f>CK414+CK413</f>
        <v>81238.911191262159</v>
      </c>
      <c r="CL412" s="155"/>
    </row>
    <row r="413" spans="1:90" hidden="1" outlineLevel="1" x14ac:dyDescent="0.3">
      <c r="A413" s="649" t="s">
        <v>803</v>
      </c>
      <c r="B413" s="149"/>
      <c r="C413" s="1154">
        <f t="shared" ref="C413:BN413" si="1013">C322+C324+C325+C326+C323</f>
        <v>-28.997</v>
      </c>
      <c r="D413" s="1154">
        <f t="shared" si="1013"/>
        <v>-24.82</v>
      </c>
      <c r="E413" s="1154">
        <f t="shared" si="1013"/>
        <v>-23.164999999999999</v>
      </c>
      <c r="F413" s="1154">
        <f t="shared" si="1013"/>
        <v>-27.81</v>
      </c>
      <c r="G413" s="659">
        <f t="shared" si="1013"/>
        <v>-7.9889999999999999</v>
      </c>
      <c r="H413" s="659">
        <f t="shared" si="1013"/>
        <v>-9.8390000000000004</v>
      </c>
      <c r="I413" s="659">
        <f t="shared" si="1013"/>
        <v>-5.7549999999999999</v>
      </c>
      <c r="J413" s="659">
        <f t="shared" si="1013"/>
        <v>-3.5070000000000001</v>
      </c>
      <c r="K413" s="1154">
        <f t="shared" si="1013"/>
        <v>-27.09</v>
      </c>
      <c r="L413" s="659">
        <f t="shared" si="1013"/>
        <v>-6.3479999999999999</v>
      </c>
      <c r="M413" s="659">
        <f t="shared" si="1013"/>
        <v>-6.7670000000000003</v>
      </c>
      <c r="N413" s="659">
        <f t="shared" si="1013"/>
        <v>-6.0549999999999997</v>
      </c>
      <c r="O413" s="659">
        <f t="shared" si="1013"/>
        <v>-1.9239999999999999</v>
      </c>
      <c r="P413" s="1154">
        <f t="shared" si="1013"/>
        <v>-21.094000000000001</v>
      </c>
      <c r="Q413" s="659">
        <f t="shared" si="1013"/>
        <v>-6</v>
      </c>
      <c r="R413" s="659">
        <f t="shared" si="1013"/>
        <v>-12</v>
      </c>
      <c r="S413" s="659">
        <f t="shared" si="1013"/>
        <v>-11</v>
      </c>
      <c r="T413" s="659">
        <f t="shared" si="1013"/>
        <v>-11</v>
      </c>
      <c r="U413" s="1154">
        <f t="shared" si="1013"/>
        <v>-38</v>
      </c>
      <c r="V413" s="659">
        <f t="shared" si="1013"/>
        <v>-10</v>
      </c>
      <c r="W413" s="659">
        <f t="shared" si="1013"/>
        <v>2</v>
      </c>
      <c r="X413" s="659">
        <f t="shared" si="1013"/>
        <v>-57</v>
      </c>
      <c r="Y413" s="659">
        <f t="shared" si="1013"/>
        <v>-21</v>
      </c>
      <c r="Z413" s="1154">
        <f t="shared" si="1013"/>
        <v>-87</v>
      </c>
      <c r="AA413" s="659">
        <f t="shared" si="1013"/>
        <v>-26</v>
      </c>
      <c r="AB413" s="659">
        <f t="shared" si="1013"/>
        <v>-20</v>
      </c>
      <c r="AC413" s="659">
        <f t="shared" si="1013"/>
        <v>-62</v>
      </c>
      <c r="AD413" s="659">
        <f t="shared" si="1013"/>
        <v>-36</v>
      </c>
      <c r="AE413" s="1154">
        <f t="shared" si="1013"/>
        <v>-144</v>
      </c>
      <c r="AF413" s="659">
        <f t="shared" si="1013"/>
        <v>-73</v>
      </c>
      <c r="AG413" s="659">
        <f t="shared" si="1013"/>
        <v>-34</v>
      </c>
      <c r="AH413" s="660">
        <f t="shared" si="1013"/>
        <v>-116</v>
      </c>
      <c r="AI413" s="659">
        <f t="shared" si="1013"/>
        <v>-166</v>
      </c>
      <c r="AJ413" s="1154">
        <f t="shared" si="1013"/>
        <v>-390</v>
      </c>
      <c r="AK413" s="660">
        <f t="shared" si="1013"/>
        <v>-87</v>
      </c>
      <c r="AL413" s="659">
        <f t="shared" si="1013"/>
        <v>-22</v>
      </c>
      <c r="AM413" s="660">
        <f t="shared" si="1013"/>
        <v>-229</v>
      </c>
      <c r="AN413" s="659">
        <f t="shared" si="1013"/>
        <v>-255</v>
      </c>
      <c r="AO413" s="1154">
        <f t="shared" si="1013"/>
        <v>-591</v>
      </c>
      <c r="AP413" s="660">
        <f t="shared" si="1013"/>
        <v>-50</v>
      </c>
      <c r="AQ413" s="659">
        <f t="shared" si="1013"/>
        <v>-21</v>
      </c>
      <c r="AR413" s="660">
        <f t="shared" si="1013"/>
        <v>-26</v>
      </c>
      <c r="AS413" s="659">
        <f t="shared" si="1013"/>
        <v>-8</v>
      </c>
      <c r="AT413" s="1154">
        <f t="shared" si="1013"/>
        <v>-106</v>
      </c>
      <c r="AU413" s="660">
        <f t="shared" si="1013"/>
        <v>-29</v>
      </c>
      <c r="AV413" s="659">
        <f t="shared" si="1013"/>
        <v>-124</v>
      </c>
      <c r="AW413" s="660">
        <f t="shared" si="1013"/>
        <v>-102</v>
      </c>
      <c r="AX413" s="659">
        <f t="shared" si="1013"/>
        <v>-74</v>
      </c>
      <c r="AY413" s="1154">
        <f t="shared" si="1013"/>
        <v>-329</v>
      </c>
      <c r="AZ413" s="660">
        <f t="shared" si="1013"/>
        <v>-67</v>
      </c>
      <c r="BA413" s="659">
        <f t="shared" si="1013"/>
        <v>-379</v>
      </c>
      <c r="BB413" s="660">
        <f t="shared" si="1013"/>
        <v>-187</v>
      </c>
      <c r="BC413" s="659">
        <f t="shared" si="1013"/>
        <v>-413</v>
      </c>
      <c r="BD413" s="1154">
        <f t="shared" si="1013"/>
        <v>-1046</v>
      </c>
      <c r="BE413" s="660">
        <f t="shared" si="1013"/>
        <v>-280</v>
      </c>
      <c r="BF413" s="659">
        <f t="shared" si="1013"/>
        <v>-197</v>
      </c>
      <c r="BG413" s="660">
        <f t="shared" si="1013"/>
        <v>-171</v>
      </c>
      <c r="BH413" s="659">
        <f t="shared" si="1013"/>
        <v>-218</v>
      </c>
      <c r="BI413" s="1154">
        <f t="shared" si="1013"/>
        <v>-867</v>
      </c>
      <c r="BJ413" s="660">
        <f t="shared" si="1013"/>
        <v>-257</v>
      </c>
      <c r="BK413" s="659">
        <f t="shared" si="1013"/>
        <v>-363</v>
      </c>
      <c r="BL413" s="660">
        <f t="shared" si="1013"/>
        <v>-433</v>
      </c>
      <c r="BM413" s="659">
        <f t="shared" si="1013"/>
        <v>-321</v>
      </c>
      <c r="BN413" s="1154">
        <f t="shared" si="1013"/>
        <v>-1376</v>
      </c>
      <c r="BO413" s="660">
        <f t="shared" ref="BO413:BT413" si="1014">BO322+BO324+BO325+BO326+BO323</f>
        <v>-725</v>
      </c>
      <c r="BP413" s="659">
        <f t="shared" si="1014"/>
        <v>-750</v>
      </c>
      <c r="BQ413" s="660">
        <f t="shared" si="1014"/>
        <v>-670</v>
      </c>
      <c r="BR413" s="659">
        <f t="shared" si="1014"/>
        <v>-781</v>
      </c>
      <c r="BS413" s="1154">
        <f t="shared" si="1014"/>
        <v>-2925</v>
      </c>
      <c r="BT413" s="660">
        <f t="shared" si="1014"/>
        <v>-694</v>
      </c>
      <c r="BU413" s="659">
        <f>BU322+BU324+BU325+BU326+BU323</f>
        <v>-118</v>
      </c>
      <c r="BV413" s="660">
        <f>BV322+BV324+BV325+BV326+BV323</f>
        <v>-532</v>
      </c>
      <c r="BW413" s="659">
        <f>BW322+BW324+BW325+BW326+BW323</f>
        <v>262</v>
      </c>
      <c r="BX413" s="1154">
        <f>BX322+BX324+BX325+BX326+BX323</f>
        <v>-1081</v>
      </c>
      <c r="BY413" s="913">
        <f>BY322+BY324+BY325+BY326+BY323</f>
        <v>2890</v>
      </c>
      <c r="BZ413" s="660">
        <f>-SUM(BZ416:BZ420)*BZ427</f>
        <v>-43.648075199999987</v>
      </c>
      <c r="CA413" s="660">
        <f>-SUM(CA416:CA420)*CA427</f>
        <v>-30.206813999999998</v>
      </c>
      <c r="CB413" s="660">
        <f>-SUM(CB416:CB420)*CB427</f>
        <v>-31.0203135</v>
      </c>
      <c r="CC413" s="1167">
        <f>SUM(BY413,BZ413,CA413,CB413)</f>
        <v>2785.1247973</v>
      </c>
      <c r="CD413" s="660">
        <f>-SUM(CD416:CD420)*CD427</f>
        <v>-34.822771500000002</v>
      </c>
      <c r="CE413" s="660">
        <f>-SUM(CE416:CE420)*CE427</f>
        <v>-38.830684034999997</v>
      </c>
      <c r="CF413" s="660">
        <f>-SUM(CF416:CF420)*CF427</f>
        <v>-37.68465359999999</v>
      </c>
      <c r="CG413" s="660">
        <f>-SUM(CG416:CG420)*CG427</f>
        <v>-38.589326324999995</v>
      </c>
      <c r="CH413" s="1167">
        <f>SUM(CD413,CE413,CF413,CG413)</f>
        <v>-149.92743546</v>
      </c>
      <c r="CI413" s="1167">
        <f>-SUM(CI416:CI420)*CI427</f>
        <v>-260.11526455199999</v>
      </c>
      <c r="CJ413" s="1167">
        <f>-SUM(CJ416:CJ420)*CJ427</f>
        <v>-305.54890411055993</v>
      </c>
      <c r="CK413" s="1167">
        <f>-SUM(CK416:CK420)*CK427</f>
        <v>-359.02188798358083</v>
      </c>
      <c r="CL413" s="155"/>
    </row>
    <row r="414" spans="1:90" collapsed="1" x14ac:dyDescent="0.3">
      <c r="A414" s="121" t="s">
        <v>104</v>
      </c>
      <c r="B414" s="149"/>
      <c r="C414" s="1114">
        <f t="shared" ref="C414" si="1015">C412-C413</f>
        <v>16.084</v>
      </c>
      <c r="D414" s="1114">
        <f t="shared" ref="D414" si="1016">D412-D413</f>
        <v>10.513</v>
      </c>
      <c r="E414" s="1114">
        <f t="shared" ref="E414" si="1017">E412-E413</f>
        <v>41.188000000000002</v>
      </c>
      <c r="F414" s="1114">
        <f t="shared" ref="F414" si="1018">F412-F413</f>
        <v>110.116</v>
      </c>
      <c r="G414" s="110">
        <f t="shared" ref="G414" si="1019">G412-G413</f>
        <v>24.647000000000002</v>
      </c>
      <c r="H414" s="110">
        <f t="shared" ref="H414" si="1020">H412-H413</f>
        <v>36.000999999999998</v>
      </c>
      <c r="I414" s="110">
        <f t="shared" ref="I414" si="1021">I412-I413</f>
        <v>50.303000000000004</v>
      </c>
      <c r="J414" s="110">
        <f t="shared" ref="J414" si="1022">J412-J413</f>
        <v>15.641999999999998</v>
      </c>
      <c r="K414" s="1114">
        <f t="shared" ref="K414" si="1023">K412-K413</f>
        <v>126.593</v>
      </c>
      <c r="L414" s="110">
        <f t="shared" ref="L414" si="1024">L412-L413</f>
        <v>16.518999999999998</v>
      </c>
      <c r="M414" s="110">
        <f t="shared" ref="M414" si="1025">M412-M413</f>
        <v>22.138999999999999</v>
      </c>
      <c r="N414" s="110">
        <f t="shared" ref="N414" si="1026">N412-N413</f>
        <v>28.805</v>
      </c>
      <c r="O414" s="110">
        <f t="shared" ref="O414" si="1027">O412-O413</f>
        <v>23.894999999999996</v>
      </c>
      <c r="P414" s="1114">
        <f t="shared" ref="P414" si="1028">P412-P413</f>
        <v>91.358000000000004</v>
      </c>
      <c r="Q414" s="110">
        <f t="shared" ref="Q414" si="1029">Q412-Q413</f>
        <v>32</v>
      </c>
      <c r="R414" s="110">
        <f t="shared" ref="R414" si="1030">R412-R413</f>
        <v>39</v>
      </c>
      <c r="S414" s="110">
        <f t="shared" ref="S414" si="1031">S412-S413</f>
        <v>47</v>
      </c>
      <c r="T414" s="110">
        <f t="shared" ref="T414" si="1032">T412-T413</f>
        <v>46</v>
      </c>
      <c r="U414" s="1114">
        <f t="shared" ref="U414" si="1033">U412-U413</f>
        <v>162</v>
      </c>
      <c r="V414" s="110">
        <f t="shared" ref="V414" si="1034">V412-V413</f>
        <v>48</v>
      </c>
      <c r="W414" s="110">
        <f t="shared" ref="W414" si="1035">W412-W413</f>
        <v>44</v>
      </c>
      <c r="X414" s="110">
        <f t="shared" ref="X414" si="1036">X412-X413</f>
        <v>56</v>
      </c>
      <c r="Y414" s="110">
        <f t="shared" ref="Y414" si="1037">Y412-Y413</f>
        <v>67</v>
      </c>
      <c r="Z414" s="1114">
        <f t="shared" ref="Z414" si="1038">Z412-Z413</f>
        <v>216</v>
      </c>
      <c r="AA414" s="110">
        <f t="shared" ref="AA414" si="1039">AA412-AA413</f>
        <v>59</v>
      </c>
      <c r="AB414" s="110">
        <f t="shared" ref="AB414" si="1040">AB412-AB413</f>
        <v>76</v>
      </c>
      <c r="AC414" s="110">
        <f t="shared" ref="AC414" si="1041">AC412-AC413</f>
        <v>141</v>
      </c>
      <c r="AD414" s="110">
        <f t="shared" ref="AD414" si="1042">AD412-AD413</f>
        <v>107</v>
      </c>
      <c r="AE414" s="1114">
        <f t="shared" ref="AE414" si="1043">AE412-AE413</f>
        <v>383</v>
      </c>
      <c r="AF414" s="110">
        <f t="shared" ref="AF414" si="1044">AF412-AF413</f>
        <v>102</v>
      </c>
      <c r="AG414" s="110">
        <f t="shared" ref="AG414" si="1045">AG412-AG413</f>
        <v>135</v>
      </c>
      <c r="AH414" s="110">
        <f t="shared" ref="AH414" si="1046">AH412-AH413</f>
        <v>174</v>
      </c>
      <c r="AI414" s="110">
        <f t="shared" ref="AI414" si="1047">AI412-AI413</f>
        <v>126</v>
      </c>
      <c r="AJ414" s="1114">
        <f t="shared" ref="AJ414" si="1048">AJ412-AJ413</f>
        <v>539</v>
      </c>
      <c r="AK414" s="110">
        <f t="shared" ref="AK414" si="1049">AK412-AK413</f>
        <v>154</v>
      </c>
      <c r="AL414" s="110">
        <f t="shared" ref="AL414" si="1050">AL412-AL413</f>
        <v>101</v>
      </c>
      <c r="AM414" s="110">
        <f t="shared" ref="AM414" si="1051">AM412-AM413</f>
        <v>80</v>
      </c>
      <c r="AN414" s="110">
        <f t="shared" ref="AN414" si="1052">AN412-AN413</f>
        <v>12</v>
      </c>
      <c r="AO414" s="1114">
        <f t="shared" ref="AO414" si="1053">AO412-AO413</f>
        <v>346</v>
      </c>
      <c r="AP414" s="110">
        <f t="shared" ref="AP414" si="1054">AP412-AP413</f>
        <v>45</v>
      </c>
      <c r="AQ414" s="110">
        <f t="shared" ref="AQ414" si="1055">AQ412-AQ413</f>
        <v>75</v>
      </c>
      <c r="AR414" s="110">
        <f t="shared" ref="AR414" si="1056">AR412-AR413</f>
        <v>86</v>
      </c>
      <c r="AS414" s="110">
        <f t="shared" ref="AS414" si="1057">AS412-AS413</f>
        <v>74</v>
      </c>
      <c r="AT414" s="1114">
        <f t="shared" ref="AT414" si="1058">AT412-AT413</f>
        <v>280</v>
      </c>
      <c r="AU414" s="110">
        <f t="shared" ref="AU414" si="1059">AU412-AU413</f>
        <v>93</v>
      </c>
      <c r="AV414" s="110">
        <f t="shared" ref="AV414" si="1060">AV412-AV413</f>
        <v>111</v>
      </c>
      <c r="AW414" s="110">
        <f t="shared" ref="AW414" si="1061">AW412-AW413</f>
        <v>114</v>
      </c>
      <c r="AX414" s="110">
        <f t="shared" ref="AX414" si="1062">AX412-AX413</f>
        <v>87</v>
      </c>
      <c r="AY414" s="1114">
        <f t="shared" ref="AY414" si="1063">AY412-AY413</f>
        <v>406</v>
      </c>
      <c r="AZ414" s="110">
        <f t="shared" ref="AZ414" si="1064">AZ412-AZ413</f>
        <v>199</v>
      </c>
      <c r="BA414" s="110">
        <f t="shared" ref="BA414" si="1065">BA412-BA413</f>
        <v>399</v>
      </c>
      <c r="BB414" s="110">
        <f t="shared" ref="BB414" si="1066">BB412-BB413</f>
        <v>361</v>
      </c>
      <c r="BC414" s="110">
        <f t="shared" ref="BC414" si="1067">BC412-BC413</f>
        <v>275</v>
      </c>
      <c r="BD414" s="1114">
        <f t="shared" ref="BD414" si="1068">BD412-BD413</f>
        <v>1235</v>
      </c>
      <c r="BE414" s="110">
        <f t="shared" ref="BE414:BF414" si="1069">BE412-BE413</f>
        <v>467</v>
      </c>
      <c r="BF414" s="110">
        <f t="shared" si="1069"/>
        <v>16</v>
      </c>
      <c r="BG414" s="110">
        <f>BG412-BG413</f>
        <v>104</v>
      </c>
      <c r="BH414" s="110">
        <f>BH412-BH413</f>
        <v>93</v>
      </c>
      <c r="BI414" s="1114">
        <f>BI412-BI413</f>
        <v>680</v>
      </c>
      <c r="BJ414" s="110">
        <f>BJ412-BJ413</f>
        <v>423</v>
      </c>
      <c r="BK414" s="110">
        <f t="shared" ref="BK414" si="1070">BK412-BK413</f>
        <v>1156</v>
      </c>
      <c r="BL414" s="110">
        <f>BL412-BL413</f>
        <v>1712</v>
      </c>
      <c r="BM414" s="110">
        <f>BM412-BM413</f>
        <v>2142</v>
      </c>
      <c r="BN414" s="1114">
        <f t="shared" ref="BN414" si="1071">BN412-BN413</f>
        <v>5434</v>
      </c>
      <c r="BO414" s="110">
        <f t="shared" ref="BO414:BT414" si="1072">BO412-BO413</f>
        <v>3123</v>
      </c>
      <c r="BP414" s="110">
        <f t="shared" si="1072"/>
        <v>3365</v>
      </c>
      <c r="BQ414" s="110">
        <f t="shared" si="1072"/>
        <v>3677</v>
      </c>
      <c r="BR414" s="110">
        <f t="shared" si="1072"/>
        <v>3907</v>
      </c>
      <c r="BS414" s="1114">
        <f t="shared" si="1072"/>
        <v>14071</v>
      </c>
      <c r="BT414" s="110">
        <f t="shared" si="1072"/>
        <v>3829</v>
      </c>
      <c r="BU414" s="110">
        <f>BU412-BU413</f>
        <v>4902</v>
      </c>
      <c r="BV414" s="110">
        <f>BV412-BV413</f>
        <v>6558</v>
      </c>
      <c r="BW414" s="110">
        <f>BW412-BW413</f>
        <v>7175</v>
      </c>
      <c r="BX414" s="1114">
        <f>BX412-BX413</f>
        <v>22464</v>
      </c>
      <c r="BY414" s="899">
        <f>BY412-BY413</f>
        <v>8692</v>
      </c>
      <c r="BZ414" s="109">
        <f>BZ411*BZ426</f>
        <v>10149.449531982071</v>
      </c>
      <c r="CA414" s="109">
        <f>CA411*CA426</f>
        <v>9249.5488591616377</v>
      </c>
      <c r="CB414" s="109">
        <f>CB411*CB426</f>
        <v>9490.5472081289499</v>
      </c>
      <c r="CC414" s="1154">
        <f>SUM(BY414,BZ414,CA414,CB414)</f>
        <v>37581.545599272657</v>
      </c>
      <c r="CD414" s="109">
        <f>CD411*CD426</f>
        <v>10643.609574889691</v>
      </c>
      <c r="CE414" s="109">
        <f>CE411*CE426</f>
        <v>11916.492225657958</v>
      </c>
      <c r="CF414" s="109">
        <f>CF411*CF426</f>
        <v>11892.548657942332</v>
      </c>
      <c r="CG414" s="109">
        <f>CG411*CG426</f>
        <v>12226.126003438647</v>
      </c>
      <c r="CH414" s="1154">
        <f>SUM(CD414,CE414,CF414,CG414)</f>
        <v>46678.776461928632</v>
      </c>
      <c r="CI414" s="1154">
        <f>CI411*CI426</f>
        <v>56964.628622219461</v>
      </c>
      <c r="CJ414" s="1154">
        <f>CJ411*CJ426</f>
        <v>68244.715693250284</v>
      </c>
      <c r="CK414" s="1154">
        <f>CK411*CK426</f>
        <v>81597.933079245733</v>
      </c>
      <c r="CL414" s="155"/>
    </row>
    <row r="415" spans="1:90" x14ac:dyDescent="0.3">
      <c r="A415" s="64" t="s">
        <v>573</v>
      </c>
      <c r="B415" s="608"/>
      <c r="C415" s="1151">
        <f t="shared" ref="C415:AH415" si="1073">C327</f>
        <v>160.28399999999971</v>
      </c>
      <c r="D415" s="1151">
        <f t="shared" si="1073"/>
        <v>141.38300000000029</v>
      </c>
      <c r="E415" s="1151">
        <f t="shared" si="1073"/>
        <v>476.41400000000004</v>
      </c>
      <c r="F415" s="1151">
        <f t="shared" si="1073"/>
        <v>734.40599999999972</v>
      </c>
      <c r="G415" s="65">
        <f t="shared" si="1073"/>
        <v>97.529999999999973</v>
      </c>
      <c r="H415" s="65">
        <f t="shared" si="1073"/>
        <v>170.44800000000004</v>
      </c>
      <c r="I415" s="65">
        <f t="shared" si="1073"/>
        <v>245.46199999999988</v>
      </c>
      <c r="J415" s="65">
        <f t="shared" si="1073"/>
        <v>214.93299999999999</v>
      </c>
      <c r="K415" s="1151">
        <f t="shared" si="1073"/>
        <v>728.37299999999993</v>
      </c>
      <c r="L415" s="65">
        <f t="shared" si="1073"/>
        <v>113.80099999999997</v>
      </c>
      <c r="M415" s="65">
        <f t="shared" si="1073"/>
        <v>133.32999999999998</v>
      </c>
      <c r="N415" s="65">
        <f t="shared" si="1073"/>
        <v>153.79000000000011</v>
      </c>
      <c r="O415" s="65">
        <f t="shared" si="1073"/>
        <v>187.48600000000053</v>
      </c>
      <c r="P415" s="1151">
        <f t="shared" si="1073"/>
        <v>588.40700000000027</v>
      </c>
      <c r="Q415" s="65">
        <f t="shared" si="1073"/>
        <v>166</v>
      </c>
      <c r="R415" s="65">
        <f t="shared" si="1073"/>
        <v>173</v>
      </c>
      <c r="S415" s="65">
        <f t="shared" si="1073"/>
        <v>220</v>
      </c>
      <c r="T415" s="65">
        <f t="shared" si="1073"/>
        <v>241</v>
      </c>
      <c r="U415" s="1151">
        <f t="shared" si="1073"/>
        <v>801</v>
      </c>
      <c r="V415" s="65">
        <f t="shared" si="1073"/>
        <v>187</v>
      </c>
      <c r="W415" s="65">
        <f t="shared" si="1073"/>
        <v>190</v>
      </c>
      <c r="X415" s="65">
        <f t="shared" si="1073"/>
        <v>255</v>
      </c>
      <c r="Y415" s="65">
        <f t="shared" si="1073"/>
        <v>297</v>
      </c>
      <c r="Z415" s="1151">
        <f t="shared" si="1073"/>
        <v>929</v>
      </c>
      <c r="AA415" s="65">
        <f t="shared" si="1073"/>
        <v>263</v>
      </c>
      <c r="AB415" s="65">
        <f t="shared" si="1073"/>
        <v>313</v>
      </c>
      <c r="AC415" s="65">
        <f t="shared" si="1073"/>
        <v>570</v>
      </c>
      <c r="AD415" s="65">
        <f t="shared" si="1073"/>
        <v>704</v>
      </c>
      <c r="AE415" s="1151">
        <f t="shared" si="1073"/>
        <v>1851</v>
      </c>
      <c r="AF415" s="65">
        <f t="shared" si="1073"/>
        <v>533</v>
      </c>
      <c r="AG415" s="65">
        <f t="shared" si="1073"/>
        <v>638</v>
      </c>
      <c r="AH415" s="637">
        <f t="shared" si="1073"/>
        <v>833</v>
      </c>
      <c r="AI415" s="65">
        <f t="shared" ref="AI415:BJ415" si="1074">AI327</f>
        <v>1081</v>
      </c>
      <c r="AJ415" s="1151">
        <f t="shared" si="1074"/>
        <v>3085</v>
      </c>
      <c r="AK415" s="637">
        <f t="shared" si="1074"/>
        <v>1285</v>
      </c>
      <c r="AL415" s="65">
        <f t="shared" si="1074"/>
        <v>1210</v>
      </c>
      <c r="AM415" s="637">
        <f t="shared" si="1074"/>
        <v>1151</v>
      </c>
      <c r="AN415" s="65">
        <f t="shared" si="1074"/>
        <v>496</v>
      </c>
      <c r="AO415" s="1151">
        <f t="shared" si="1074"/>
        <v>4143</v>
      </c>
      <c r="AP415" s="637">
        <f t="shared" si="1074"/>
        <v>543</v>
      </c>
      <c r="AQ415" s="65">
        <f t="shared" si="1074"/>
        <v>762</v>
      </c>
      <c r="AR415" s="637">
        <f t="shared" si="1074"/>
        <v>1103</v>
      </c>
      <c r="AS415" s="65">
        <f t="shared" si="1074"/>
        <v>1172</v>
      </c>
      <c r="AT415" s="1151">
        <f t="shared" si="1074"/>
        <v>3580</v>
      </c>
      <c r="AU415" s="637">
        <f t="shared" si="1074"/>
        <v>1120</v>
      </c>
      <c r="AV415" s="65">
        <f t="shared" si="1074"/>
        <v>1366</v>
      </c>
      <c r="AW415" s="637">
        <f t="shared" si="1074"/>
        <v>1834</v>
      </c>
      <c r="AX415" s="65">
        <f t="shared" si="1074"/>
        <v>1957</v>
      </c>
      <c r="AY415" s="1151">
        <f t="shared" si="1074"/>
        <v>6277</v>
      </c>
      <c r="AZ415" s="637">
        <f t="shared" si="1074"/>
        <v>2313</v>
      </c>
      <c r="BA415" s="65">
        <f t="shared" si="1074"/>
        <v>2623</v>
      </c>
      <c r="BB415" s="637">
        <f t="shared" si="1074"/>
        <v>2973</v>
      </c>
      <c r="BC415" s="65">
        <f t="shared" si="1074"/>
        <v>3350</v>
      </c>
      <c r="BD415" s="1151">
        <f t="shared" si="1074"/>
        <v>11259</v>
      </c>
      <c r="BE415" s="637">
        <f t="shared" si="1074"/>
        <v>3443</v>
      </c>
      <c r="BF415" s="65">
        <f t="shared" si="1074"/>
        <v>1292</v>
      </c>
      <c r="BG415" s="637">
        <f t="shared" si="1074"/>
        <v>1456</v>
      </c>
      <c r="BH415" s="65">
        <f t="shared" si="1074"/>
        <v>2174</v>
      </c>
      <c r="BI415" s="1151">
        <f t="shared" si="1074"/>
        <v>8366</v>
      </c>
      <c r="BJ415" s="637">
        <f t="shared" si="1074"/>
        <v>2713</v>
      </c>
      <c r="BK415" s="65">
        <f t="shared" ref="BK415" si="1075">BK327</f>
        <v>6740</v>
      </c>
      <c r="BL415" s="637">
        <f>BL327</f>
        <v>10020</v>
      </c>
      <c r="BM415" s="65">
        <f>BM327</f>
        <v>12839</v>
      </c>
      <c r="BN415" s="1151">
        <f t="shared" ref="BN415" si="1076">BN327</f>
        <v>32312</v>
      </c>
      <c r="BO415" s="637">
        <f t="shared" ref="BO415:BT415" si="1077">BO327</f>
        <v>15238</v>
      </c>
      <c r="BP415" s="65">
        <f t="shared" si="1077"/>
        <v>16952</v>
      </c>
      <c r="BQ415" s="637">
        <f t="shared" si="1077"/>
        <v>20010</v>
      </c>
      <c r="BR415" s="65">
        <f t="shared" si="1077"/>
        <v>22066</v>
      </c>
      <c r="BS415" s="1151">
        <f t="shared" si="1077"/>
        <v>74265</v>
      </c>
      <c r="BT415" s="637">
        <f t="shared" si="1077"/>
        <v>19894</v>
      </c>
      <c r="BU415" s="65">
        <f>BU327</f>
        <v>25783</v>
      </c>
      <c r="BV415" s="637">
        <f>BV327</f>
        <v>31767</v>
      </c>
      <c r="BW415" s="65">
        <f>BW327</f>
        <v>39552</v>
      </c>
      <c r="BX415" s="1151">
        <f>BX327</f>
        <v>116997</v>
      </c>
      <c r="BY415" s="1001">
        <f>BY327</f>
        <v>45548</v>
      </c>
      <c r="BZ415" s="119">
        <f t="shared" ref="BZ415:CK415" si="1078">BZ411-BZ414</f>
        <v>49553.194773794807</v>
      </c>
      <c r="CA415" s="119">
        <f t="shared" si="1078"/>
        <v>52414.110201915952</v>
      </c>
      <c r="CB415" s="119">
        <f t="shared" si="1078"/>
        <v>53779.767512730716</v>
      </c>
      <c r="CC415" s="1168">
        <f t="shared" si="1078"/>
        <v>201295.07248844151</v>
      </c>
      <c r="CD415" s="119">
        <f t="shared" si="1078"/>
        <v>60313.78759104159</v>
      </c>
      <c r="CE415" s="119">
        <f t="shared" si="1078"/>
        <v>67526.789278728422</v>
      </c>
      <c r="CF415" s="119">
        <f t="shared" si="1078"/>
        <v>67391.109061673225</v>
      </c>
      <c r="CG415" s="119">
        <f t="shared" si="1078"/>
        <v>69281.380686152334</v>
      </c>
      <c r="CH415" s="1168">
        <f t="shared" si="1078"/>
        <v>264513.06661759556</v>
      </c>
      <c r="CI415" s="1168">
        <f t="shared" si="1078"/>
        <v>322799.56219257694</v>
      </c>
      <c r="CJ415" s="1168">
        <f t="shared" si="1078"/>
        <v>386720.05559508491</v>
      </c>
      <c r="CK415" s="1168">
        <f t="shared" si="1078"/>
        <v>462388.28744905919</v>
      </c>
      <c r="CL415" s="155"/>
    </row>
    <row r="416" spans="1:90" hidden="1" outlineLevel="1" x14ac:dyDescent="0.3">
      <c r="A416" s="67" t="s">
        <v>92</v>
      </c>
      <c r="B416" s="146"/>
      <c r="C416" s="1114">
        <f t="shared" ref="C416:AX416" si="1079">C129</f>
        <v>162.70599999999999</v>
      </c>
      <c r="D416" s="1114">
        <f t="shared" si="1079"/>
        <v>107.09100000000001</v>
      </c>
      <c r="E416" s="1114">
        <f t="shared" si="1079"/>
        <v>100.35299999999999</v>
      </c>
      <c r="F416" s="1114">
        <f t="shared" si="1079"/>
        <v>136.35399999999998</v>
      </c>
      <c r="G416" s="27">
        <f t="shared" si="1079"/>
        <v>35.569000000000003</v>
      </c>
      <c r="H416" s="27">
        <f t="shared" si="1079"/>
        <v>32.255000000000003</v>
      </c>
      <c r="I416" s="27">
        <f t="shared" si="1079"/>
        <v>33.069000000000003</v>
      </c>
      <c r="J416" s="27">
        <f t="shared" si="1079"/>
        <v>35.768999999999998</v>
      </c>
      <c r="K416" s="1114">
        <f t="shared" si="1079"/>
        <v>136.66199999999998</v>
      </c>
      <c r="L416" s="27">
        <f t="shared" si="1079"/>
        <v>33.396999999999998</v>
      </c>
      <c r="M416" s="27">
        <f t="shared" si="1079"/>
        <v>32.394999999999996</v>
      </c>
      <c r="N416" s="27">
        <f t="shared" si="1079"/>
        <v>34.298999999999999</v>
      </c>
      <c r="O416" s="27">
        <f t="shared" si="1079"/>
        <v>36.204000000000001</v>
      </c>
      <c r="P416" s="1114">
        <f t="shared" si="1079"/>
        <v>136.29500000000002</v>
      </c>
      <c r="Q416" s="27">
        <f t="shared" si="1079"/>
        <v>35.936</v>
      </c>
      <c r="R416" s="27">
        <f t="shared" si="1079"/>
        <v>38</v>
      </c>
      <c r="S416" s="27">
        <f t="shared" si="1079"/>
        <v>41.435000000000002</v>
      </c>
      <c r="T416" s="27">
        <f t="shared" si="1079"/>
        <v>42</v>
      </c>
      <c r="U416" s="1114">
        <f t="shared" si="1079"/>
        <v>157.37100000000001</v>
      </c>
      <c r="V416" s="27">
        <f t="shared" si="1079"/>
        <v>46</v>
      </c>
      <c r="W416" s="27">
        <f t="shared" si="1079"/>
        <v>47</v>
      </c>
      <c r="X416" s="27">
        <f t="shared" si="1079"/>
        <v>51</v>
      </c>
      <c r="Y416" s="27">
        <f t="shared" si="1079"/>
        <v>60</v>
      </c>
      <c r="Z416" s="1114">
        <f t="shared" si="1079"/>
        <v>204</v>
      </c>
      <c r="AA416" s="27">
        <f t="shared" si="1079"/>
        <v>53</v>
      </c>
      <c r="AB416" s="27">
        <f t="shared" si="1079"/>
        <v>58</v>
      </c>
      <c r="AC416" s="27">
        <f t="shared" si="1079"/>
        <v>65</v>
      </c>
      <c r="AD416" s="27">
        <f t="shared" si="1079"/>
        <v>71</v>
      </c>
      <c r="AE416" s="1114">
        <f t="shared" si="1079"/>
        <v>247</v>
      </c>
      <c r="AF416" s="27">
        <f t="shared" si="1079"/>
        <v>76</v>
      </c>
      <c r="AG416" s="27">
        <f t="shared" si="1079"/>
        <v>81</v>
      </c>
      <c r="AH416" s="27">
        <f t="shared" si="1079"/>
        <v>107</v>
      </c>
      <c r="AI416" s="27">
        <f t="shared" si="1079"/>
        <v>126</v>
      </c>
      <c r="AJ416" s="1114">
        <f t="shared" si="1079"/>
        <v>391</v>
      </c>
      <c r="AK416" s="27">
        <f t="shared" si="1079"/>
        <v>129</v>
      </c>
      <c r="AL416" s="27">
        <f t="shared" si="1079"/>
        <v>132</v>
      </c>
      <c r="AM416" s="27">
        <f t="shared" si="1079"/>
        <v>140</v>
      </c>
      <c r="AN416" s="27">
        <f t="shared" si="1079"/>
        <v>156</v>
      </c>
      <c r="AO416" s="1114">
        <f t="shared" si="1079"/>
        <v>557</v>
      </c>
      <c r="AP416" s="27">
        <f t="shared" si="1079"/>
        <v>178</v>
      </c>
      <c r="AQ416" s="27">
        <f t="shared" si="1079"/>
        <v>224</v>
      </c>
      <c r="AR416" s="27">
        <f t="shared" si="1079"/>
        <v>223</v>
      </c>
      <c r="AS416" s="27">
        <f t="shared" si="1079"/>
        <v>220</v>
      </c>
      <c r="AT416" s="1114">
        <f t="shared" si="1079"/>
        <v>844</v>
      </c>
      <c r="AU416" s="27">
        <f t="shared" si="1079"/>
        <v>224</v>
      </c>
      <c r="AV416" s="27">
        <f t="shared" si="1079"/>
        <v>374</v>
      </c>
      <c r="AW416" s="27">
        <f t="shared" si="1079"/>
        <v>383</v>
      </c>
      <c r="AX416" s="27">
        <f t="shared" si="1079"/>
        <v>417</v>
      </c>
      <c r="AY416" s="1114">
        <f t="shared" ref="AY416:AY421" si="1080">SUM(AU416,AV416,AW416,AX416)</f>
        <v>1398</v>
      </c>
      <c r="AZ416" s="27">
        <f t="shared" ref="AZ416:BX416" si="1081">AZ129</f>
        <v>429</v>
      </c>
      <c r="BA416" s="27">
        <f t="shared" si="1081"/>
        <v>465</v>
      </c>
      <c r="BB416" s="27">
        <f t="shared" si="1081"/>
        <v>559</v>
      </c>
      <c r="BC416" s="27">
        <f t="shared" si="1081"/>
        <v>551</v>
      </c>
      <c r="BD416" s="1114">
        <f t="shared" si="1081"/>
        <v>2004</v>
      </c>
      <c r="BE416" s="27">
        <f t="shared" si="1081"/>
        <v>578</v>
      </c>
      <c r="BF416" s="27">
        <f t="shared" si="1081"/>
        <v>649</v>
      </c>
      <c r="BG416" s="27">
        <f t="shared" si="1081"/>
        <v>745</v>
      </c>
      <c r="BH416" s="27">
        <f t="shared" si="1081"/>
        <v>739</v>
      </c>
      <c r="BI416" s="1114">
        <f t="shared" si="1081"/>
        <v>2710</v>
      </c>
      <c r="BJ416" s="27">
        <f t="shared" si="1081"/>
        <v>735</v>
      </c>
      <c r="BK416" s="27">
        <f t="shared" si="1081"/>
        <v>842</v>
      </c>
      <c r="BL416" s="27">
        <f t="shared" si="1081"/>
        <v>979</v>
      </c>
      <c r="BM416" s="27">
        <f t="shared" si="1081"/>
        <v>993</v>
      </c>
      <c r="BN416" s="1114">
        <f t="shared" si="1081"/>
        <v>3549</v>
      </c>
      <c r="BO416" s="27">
        <f t="shared" si="1081"/>
        <v>1011</v>
      </c>
      <c r="BP416" s="27">
        <f t="shared" si="1081"/>
        <v>1154</v>
      </c>
      <c r="BQ416" s="27">
        <f t="shared" si="1081"/>
        <v>1252</v>
      </c>
      <c r="BR416" s="27">
        <f t="shared" si="1081"/>
        <v>1321</v>
      </c>
      <c r="BS416" s="1114">
        <f t="shared" si="1081"/>
        <v>4737</v>
      </c>
      <c r="BT416" s="27">
        <f t="shared" si="1081"/>
        <v>1474</v>
      </c>
      <c r="BU416" s="27">
        <f t="shared" si="1081"/>
        <v>1624</v>
      </c>
      <c r="BV416" s="27">
        <f t="shared" si="1081"/>
        <v>1655</v>
      </c>
      <c r="BW416" s="27">
        <f t="shared" si="1081"/>
        <v>1633</v>
      </c>
      <c r="BX416" s="1114">
        <f t="shared" si="1081"/>
        <v>6386</v>
      </c>
      <c r="BY416" s="588"/>
      <c r="BZ416" s="68">
        <f t="shared" ref="BZ416:CB417" si="1082">-BZ375+BZ382+BZ387</f>
        <v>0</v>
      </c>
      <c r="CA416" s="68">
        <f t="shared" si="1082"/>
        <v>0</v>
      </c>
      <c r="CB416" s="68">
        <f t="shared" si="1082"/>
        <v>0</v>
      </c>
      <c r="CC416" s="1112">
        <f t="shared" ref="CC416:CC421" si="1083">SUM(BY416,BZ416,CA416,CB416)</f>
        <v>0</v>
      </c>
      <c r="CD416" s="68">
        <f t="shared" ref="CD416:CG417" si="1084">-CD375+CD382+CD387</f>
        <v>0</v>
      </c>
      <c r="CE416" s="68">
        <f t="shared" si="1084"/>
        <v>0</v>
      </c>
      <c r="CF416" s="68">
        <f t="shared" si="1084"/>
        <v>0</v>
      </c>
      <c r="CG416" s="68">
        <f t="shared" si="1084"/>
        <v>0</v>
      </c>
      <c r="CH416" s="1112">
        <f t="shared" ref="CH416:CH421" si="1085">SUM(CD416,CE416,CF416,CG416)</f>
        <v>0</v>
      </c>
      <c r="CI416" s="1112">
        <f t="shared" ref="CI416:CK417" si="1086">-CI375+CI382+CI387</f>
        <v>0</v>
      </c>
      <c r="CJ416" s="1112">
        <f t="shared" si="1086"/>
        <v>0</v>
      </c>
      <c r="CK416" s="1112">
        <f t="shared" si="1086"/>
        <v>0</v>
      </c>
      <c r="CL416" s="155"/>
    </row>
    <row r="417" spans="1:90" hidden="1" outlineLevel="1" x14ac:dyDescent="0.3">
      <c r="A417" s="99" t="s">
        <v>105</v>
      </c>
      <c r="B417" s="146"/>
      <c r="C417" s="1112">
        <f t="shared" ref="C417:AX417" si="1087">C124</f>
        <v>0</v>
      </c>
      <c r="D417" s="1112">
        <f t="shared" si="1087"/>
        <v>0</v>
      </c>
      <c r="E417" s="1112">
        <f t="shared" si="1087"/>
        <v>0</v>
      </c>
      <c r="F417" s="1112">
        <f t="shared" si="1087"/>
        <v>20.282</v>
      </c>
      <c r="G417" s="68">
        <f t="shared" si="1087"/>
        <v>5.1710000000000003</v>
      </c>
      <c r="H417" s="68">
        <f t="shared" si="1087"/>
        <v>4.7939999999999996</v>
      </c>
      <c r="I417" s="68">
        <f t="shared" si="1087"/>
        <v>4.6660000000000004</v>
      </c>
      <c r="J417" s="68">
        <f t="shared" si="1087"/>
        <v>8.6980000000000004</v>
      </c>
      <c r="K417" s="1112">
        <f t="shared" si="1087"/>
        <v>36.137999999999998</v>
      </c>
      <c r="L417" s="68">
        <f t="shared" si="1087"/>
        <v>8.8610000000000007</v>
      </c>
      <c r="M417" s="68">
        <f t="shared" si="1087"/>
        <v>8.9640000000000004</v>
      </c>
      <c r="N417" s="68">
        <f t="shared" si="1087"/>
        <v>4.577</v>
      </c>
      <c r="O417" s="68">
        <f t="shared" si="1087"/>
        <v>9.25</v>
      </c>
      <c r="P417" s="1112">
        <f t="shared" si="1087"/>
        <v>31.652000000000001</v>
      </c>
      <c r="Q417" s="68">
        <f t="shared" si="1087"/>
        <v>9</v>
      </c>
      <c r="R417" s="68">
        <f t="shared" si="1087"/>
        <v>9</v>
      </c>
      <c r="S417" s="68">
        <f t="shared" si="1087"/>
        <v>10</v>
      </c>
      <c r="T417" s="68">
        <f t="shared" si="1087"/>
        <v>9</v>
      </c>
      <c r="U417" s="1112">
        <f t="shared" si="1087"/>
        <v>37</v>
      </c>
      <c r="V417" s="68">
        <f t="shared" si="1087"/>
        <v>9</v>
      </c>
      <c r="W417" s="68">
        <f t="shared" si="1087"/>
        <v>4</v>
      </c>
      <c r="X417" s="68">
        <f t="shared" si="1087"/>
        <v>4</v>
      </c>
      <c r="Y417" s="68">
        <f t="shared" si="1087"/>
        <v>4</v>
      </c>
      <c r="Z417" s="1112">
        <f t="shared" si="1087"/>
        <v>22</v>
      </c>
      <c r="AA417" s="68">
        <f t="shared" si="1087"/>
        <v>4</v>
      </c>
      <c r="AB417" s="68">
        <f t="shared" si="1087"/>
        <v>4</v>
      </c>
      <c r="AC417" s="68">
        <f t="shared" si="1087"/>
        <v>4</v>
      </c>
      <c r="AD417" s="68">
        <f t="shared" si="1087"/>
        <v>4</v>
      </c>
      <c r="AE417" s="1112">
        <f t="shared" si="1087"/>
        <v>16</v>
      </c>
      <c r="AF417" s="68">
        <f t="shared" si="1087"/>
        <v>4</v>
      </c>
      <c r="AG417" s="68">
        <f t="shared" si="1087"/>
        <v>4</v>
      </c>
      <c r="AH417" s="68">
        <f t="shared" si="1087"/>
        <v>3</v>
      </c>
      <c r="AI417" s="68">
        <f t="shared" si="1087"/>
        <v>2</v>
      </c>
      <c r="AJ417" s="1112">
        <f t="shared" si="1087"/>
        <v>13</v>
      </c>
      <c r="AK417" s="68">
        <f t="shared" si="1087"/>
        <v>2</v>
      </c>
      <c r="AL417" s="68">
        <f t="shared" si="1087"/>
        <v>2</v>
      </c>
      <c r="AM417" s="68">
        <f t="shared" si="1087"/>
        <v>1</v>
      </c>
      <c r="AN417" s="68">
        <f t="shared" si="1087"/>
        <v>1</v>
      </c>
      <c r="AO417" s="1112">
        <f t="shared" si="1087"/>
        <v>2</v>
      </c>
      <c r="AP417" s="68">
        <f t="shared" si="1087"/>
        <v>10</v>
      </c>
      <c r="AQ417" s="68">
        <f t="shared" si="1087"/>
        <v>5</v>
      </c>
      <c r="AR417" s="68">
        <f t="shared" si="1087"/>
        <v>7</v>
      </c>
      <c r="AS417" s="68">
        <f t="shared" si="1087"/>
        <v>7</v>
      </c>
      <c r="AT417" s="1112">
        <f t="shared" si="1087"/>
        <v>31</v>
      </c>
      <c r="AU417" s="68">
        <f t="shared" si="1087"/>
        <v>5</v>
      </c>
      <c r="AV417" s="68">
        <f t="shared" si="1087"/>
        <v>474</v>
      </c>
      <c r="AW417" s="68">
        <f t="shared" si="1087"/>
        <v>192</v>
      </c>
      <c r="AX417" s="68">
        <f t="shared" si="1087"/>
        <v>164</v>
      </c>
      <c r="AY417" s="1112">
        <f t="shared" si="1080"/>
        <v>835</v>
      </c>
      <c r="AZ417" s="68">
        <f t="shared" ref="AZ417:BX417" si="1088">AZ124</f>
        <v>167</v>
      </c>
      <c r="BA417" s="68">
        <f t="shared" si="1088"/>
        <v>158</v>
      </c>
      <c r="BB417" s="68">
        <f t="shared" si="1088"/>
        <v>156</v>
      </c>
      <c r="BC417" s="68">
        <f t="shared" si="1088"/>
        <v>156</v>
      </c>
      <c r="BD417" s="1112">
        <f t="shared" si="1088"/>
        <v>636</v>
      </c>
      <c r="BE417" s="68">
        <f t="shared" si="1088"/>
        <v>149</v>
      </c>
      <c r="BF417" s="68">
        <f t="shared" si="1088"/>
        <v>175</v>
      </c>
      <c r="BG417" s="68">
        <f t="shared" si="1088"/>
        <v>174</v>
      </c>
      <c r="BH417" s="68">
        <f t="shared" si="1088"/>
        <v>174</v>
      </c>
      <c r="BI417" s="1112">
        <f t="shared" si="1088"/>
        <v>674</v>
      </c>
      <c r="BJ417" s="68">
        <f t="shared" si="1088"/>
        <v>173</v>
      </c>
      <c r="BK417" s="68">
        <f t="shared" si="1088"/>
        <v>137</v>
      </c>
      <c r="BL417" s="68">
        <f t="shared" si="1088"/>
        <v>135</v>
      </c>
      <c r="BM417" s="68">
        <f t="shared" si="1088"/>
        <v>137</v>
      </c>
      <c r="BN417" s="1112">
        <f t="shared" si="1088"/>
        <v>583</v>
      </c>
      <c r="BO417" s="68">
        <f t="shared" si="1088"/>
        <v>139</v>
      </c>
      <c r="BP417" s="68">
        <f t="shared" si="1088"/>
        <v>144</v>
      </c>
      <c r="BQ417" s="68">
        <f t="shared" si="1088"/>
        <v>155</v>
      </c>
      <c r="BR417" s="68">
        <f t="shared" si="1088"/>
        <v>161</v>
      </c>
      <c r="BS417" s="1112">
        <f t="shared" si="1088"/>
        <v>602</v>
      </c>
      <c r="BT417" s="68">
        <f t="shared" si="1088"/>
        <v>160</v>
      </c>
      <c r="BU417" s="68">
        <f t="shared" si="1088"/>
        <v>86</v>
      </c>
      <c r="BV417" s="68">
        <f t="shared" si="1088"/>
        <v>87</v>
      </c>
      <c r="BW417" s="68">
        <f t="shared" si="1088"/>
        <v>138</v>
      </c>
      <c r="BX417" s="1112">
        <f t="shared" si="1088"/>
        <v>471</v>
      </c>
      <c r="BY417" s="588">
        <f>BY124</f>
        <v>219</v>
      </c>
      <c r="BZ417" s="68">
        <f t="shared" si="1082"/>
        <v>290.98716799999994</v>
      </c>
      <c r="CA417" s="68">
        <f t="shared" si="1082"/>
        <v>201.37876</v>
      </c>
      <c r="CB417" s="68">
        <f t="shared" si="1082"/>
        <v>206.80209000000002</v>
      </c>
      <c r="CC417" s="1112">
        <f t="shared" si="1083"/>
        <v>918.16801799999996</v>
      </c>
      <c r="CD417" s="68">
        <f t="shared" si="1084"/>
        <v>232.15181000000001</v>
      </c>
      <c r="CE417" s="68">
        <f t="shared" si="1084"/>
        <v>258.87122690000001</v>
      </c>
      <c r="CF417" s="68">
        <f t="shared" si="1084"/>
        <v>251.23102399999996</v>
      </c>
      <c r="CG417" s="68">
        <f t="shared" si="1084"/>
        <v>257.26217549999996</v>
      </c>
      <c r="CH417" s="1112">
        <f t="shared" si="1085"/>
        <v>999.51623640000003</v>
      </c>
      <c r="CI417" s="1112">
        <f t="shared" si="1086"/>
        <v>1734.10176368</v>
      </c>
      <c r="CJ417" s="1112">
        <f t="shared" si="1086"/>
        <v>2036.9926940703997</v>
      </c>
      <c r="CK417" s="1112">
        <f t="shared" si="1086"/>
        <v>2393.4792532238721</v>
      </c>
      <c r="CL417" s="155"/>
    </row>
    <row r="418" spans="1:90" hidden="1" outlineLevel="1" x14ac:dyDescent="0.3">
      <c r="A418" s="99" t="s">
        <v>799</v>
      </c>
      <c r="B418" s="146"/>
      <c r="C418" s="1153">
        <f>-C377+C389+C384+C392-C395</f>
        <v>56.6159999999999</v>
      </c>
      <c r="D418" s="1153">
        <f t="shared" ref="D418:BE418" si="1089">-D377+D389+D384+D392-D395</f>
        <v>127.09899999999993</v>
      </c>
      <c r="E418" s="1153">
        <f t="shared" si="1089"/>
        <v>146.07999999999996</v>
      </c>
      <c r="F418" s="1153">
        <f t="shared" si="1089"/>
        <v>24.489999999999714</v>
      </c>
      <c r="G418" s="563">
        <f t="shared" si="1089"/>
        <v>4.3419999999999703</v>
      </c>
      <c r="H418" s="563">
        <f t="shared" si="1089"/>
        <v>24.191999999999997</v>
      </c>
      <c r="I418" s="563">
        <f t="shared" si="1089"/>
        <v>4.4019999999999868</v>
      </c>
      <c r="J418" s="563">
        <f t="shared" si="1089"/>
        <v>0</v>
      </c>
      <c r="K418" s="1153">
        <f t="shared" si="1089"/>
        <v>20.126999999999999</v>
      </c>
      <c r="L418" s="563">
        <f t="shared" si="1089"/>
        <v>0</v>
      </c>
      <c r="M418" s="563">
        <f t="shared" si="1089"/>
        <v>2.29</v>
      </c>
      <c r="N418" s="563">
        <f t="shared" si="1089"/>
        <v>2.2349999999999999</v>
      </c>
      <c r="O418" s="563">
        <f t="shared" si="1089"/>
        <v>-4.4870000000000001</v>
      </c>
      <c r="P418" s="1153">
        <f t="shared" si="1089"/>
        <v>3.8000000000000256E-2</v>
      </c>
      <c r="Q418" s="563">
        <f>-Q377+Q389+Q384+Q392-Q395</f>
        <v>-0.36100000000001842</v>
      </c>
      <c r="R418" s="563">
        <f t="shared" si="1089"/>
        <v>0</v>
      </c>
      <c r="S418" s="563">
        <f t="shared" si="1089"/>
        <v>-1.4139999999999873</v>
      </c>
      <c r="T418" s="563">
        <f t="shared" si="1089"/>
        <v>1</v>
      </c>
      <c r="U418" s="1153">
        <f t="shared" si="1089"/>
        <v>1.2250000000000227</v>
      </c>
      <c r="V418" s="563">
        <f t="shared" ref="V418:Z418" si="1090">-V377+V389+V384+V392-V395</f>
        <v>-1</v>
      </c>
      <c r="W418" s="563">
        <f t="shared" si="1090"/>
        <v>104</v>
      </c>
      <c r="X418" s="563">
        <f t="shared" si="1090"/>
        <v>8</v>
      </c>
      <c r="Y418" s="563">
        <f t="shared" si="1090"/>
        <v>40</v>
      </c>
      <c r="Z418" s="1153">
        <f t="shared" si="1090"/>
        <v>151</v>
      </c>
      <c r="AA418" s="563">
        <f t="shared" si="1089"/>
        <v>20</v>
      </c>
      <c r="AB418" s="563">
        <f t="shared" si="1089"/>
        <v>3</v>
      </c>
      <c r="AC418" s="563">
        <f t="shared" si="1089"/>
        <v>0</v>
      </c>
      <c r="AD418" s="563">
        <f t="shared" si="1089"/>
        <v>1</v>
      </c>
      <c r="AE418" s="1153">
        <f t="shared" si="1089"/>
        <v>24</v>
      </c>
      <c r="AF418" s="563">
        <f t="shared" si="1089"/>
        <v>3</v>
      </c>
      <c r="AG418" s="563">
        <f t="shared" si="1089"/>
        <v>0</v>
      </c>
      <c r="AH418" s="563">
        <f t="shared" si="1089"/>
        <v>0</v>
      </c>
      <c r="AI418" s="563">
        <f t="shared" si="1089"/>
        <v>1</v>
      </c>
      <c r="AJ418" s="1153">
        <f t="shared" si="1089"/>
        <v>3</v>
      </c>
      <c r="AK418" s="563">
        <f t="shared" si="1089"/>
        <v>2</v>
      </c>
      <c r="AL418" s="563">
        <f t="shared" si="1089"/>
        <v>-1</v>
      </c>
      <c r="AM418" s="563">
        <f t="shared" si="1089"/>
        <v>11</v>
      </c>
      <c r="AN418" s="563">
        <f t="shared" si="1089"/>
        <v>28</v>
      </c>
      <c r="AO418" s="1153">
        <f t="shared" si="1089"/>
        <v>44</v>
      </c>
      <c r="AP418" s="563">
        <f t="shared" si="1089"/>
        <v>11</v>
      </c>
      <c r="AQ418" s="563">
        <f t="shared" si="1089"/>
        <v>2</v>
      </c>
      <c r="AR418" s="563">
        <f t="shared" si="1089"/>
        <v>-1</v>
      </c>
      <c r="AS418" s="563">
        <f t="shared" si="1089"/>
        <v>3</v>
      </c>
      <c r="AT418" s="1153">
        <f t="shared" ref="AT418" si="1091">-AT377+AT389+AT384+AT392-AT395</f>
        <v>14</v>
      </c>
      <c r="AU418" s="563">
        <f t="shared" si="1089"/>
        <v>0</v>
      </c>
      <c r="AV418" s="563">
        <f t="shared" si="1089"/>
        <v>17</v>
      </c>
      <c r="AW418" s="563">
        <f t="shared" si="1089"/>
        <v>20</v>
      </c>
      <c r="AX418" s="563">
        <f t="shared" si="1089"/>
        <v>1</v>
      </c>
      <c r="AY418" s="1153">
        <f t="shared" si="1080"/>
        <v>38</v>
      </c>
      <c r="AZ418" s="563">
        <f t="shared" si="1089"/>
        <v>5</v>
      </c>
      <c r="BA418" s="563">
        <f t="shared" si="1089"/>
        <v>4</v>
      </c>
      <c r="BB418" s="563">
        <f t="shared" si="1089"/>
        <v>0</v>
      </c>
      <c r="BC418" s="563">
        <f t="shared" si="1089"/>
        <v>0</v>
      </c>
      <c r="BD418" s="1153">
        <f t="shared" ref="BD418" si="1092">-BD377+BD389+BD384+BD392-BD395</f>
        <v>9</v>
      </c>
      <c r="BE418" s="563">
        <f t="shared" si="1089"/>
        <v>1360</v>
      </c>
      <c r="BF418" s="563">
        <f t="shared" ref="BF418" si="1093">-BF377+BF389+BF384+BF392-BF395</f>
        <v>2</v>
      </c>
      <c r="BG418" s="563">
        <f t="shared" ref="BG418:BI418" si="1094">-BG377+BG389+BG384+BG392-BG395</f>
        <v>16</v>
      </c>
      <c r="BH418" s="563">
        <f t="shared" si="1094"/>
        <v>54</v>
      </c>
      <c r="BI418" s="1153">
        <f t="shared" si="1094"/>
        <v>1432</v>
      </c>
      <c r="BJ418" s="563">
        <f>-BJ377+BJ389+BJ384+BJ392-BJ395</f>
        <v>4</v>
      </c>
      <c r="BK418" s="563">
        <f t="shared" ref="BK418" si="1095">-BK377+BK389+BK384+BK392-BK395</f>
        <v>-3</v>
      </c>
      <c r="BL418" s="563">
        <f t="shared" ref="BL418:BM418" si="1096">-BL377+BL389+BL384+BL392-BL395</f>
        <v>26</v>
      </c>
      <c r="BM418" s="563">
        <f t="shared" si="1096"/>
        <v>4</v>
      </c>
      <c r="BN418" s="1153">
        <f t="shared" ref="BN418" si="1097">-BN377+BN389+BN384+BN392-BN395</f>
        <v>30</v>
      </c>
      <c r="BO418" s="563">
        <f t="shared" ref="BO418:BS418" si="1098">-BO377+BO389+BO384+BO392-BO395</f>
        <v>0</v>
      </c>
      <c r="BP418" s="563">
        <f t="shared" si="1098"/>
        <v>-3</v>
      </c>
      <c r="BQ418" s="563">
        <f t="shared" si="1098"/>
        <v>0</v>
      </c>
      <c r="BR418" s="563">
        <f t="shared" si="1098"/>
        <v>0</v>
      </c>
      <c r="BS418" s="1153">
        <f t="shared" si="1098"/>
        <v>-3</v>
      </c>
      <c r="BT418" s="563">
        <f t="shared" ref="BT418:CB418" si="1099">-BT377+BT389+BT384+BT392-BT395</f>
        <v>3</v>
      </c>
      <c r="BU418" s="563">
        <f t="shared" si="1099"/>
        <v>15</v>
      </c>
      <c r="BV418" s="563">
        <f t="shared" si="1099"/>
        <v>0</v>
      </c>
      <c r="BW418" s="563">
        <f t="shared" si="1099"/>
        <v>37</v>
      </c>
      <c r="BX418" s="1153">
        <f t="shared" si="1099"/>
        <v>56</v>
      </c>
      <c r="BY418" s="731">
        <f>-BY377+BY389+BY384+BY392-BY395</f>
        <v>28</v>
      </c>
      <c r="BZ418" s="563">
        <f t="shared" si="1099"/>
        <v>0</v>
      </c>
      <c r="CA418" s="563">
        <f t="shared" si="1099"/>
        <v>0</v>
      </c>
      <c r="CB418" s="563">
        <f t="shared" si="1099"/>
        <v>0</v>
      </c>
      <c r="CC418" s="1153">
        <f t="shared" si="1083"/>
        <v>28</v>
      </c>
      <c r="CD418" s="563">
        <f>-CD377+CD389+CD384+CD392-CD395</f>
        <v>0</v>
      </c>
      <c r="CE418" s="563">
        <f>-CE377+CE389+CE384+CE392-CE395</f>
        <v>0</v>
      </c>
      <c r="CF418" s="563">
        <f>-CF377+CF389+CF384+CF392-CF395</f>
        <v>0</v>
      </c>
      <c r="CG418" s="563">
        <f>-CG377+CG389+CG384+CG392-CG395</f>
        <v>0</v>
      </c>
      <c r="CH418" s="1153">
        <f t="shared" si="1085"/>
        <v>0</v>
      </c>
      <c r="CI418" s="1153">
        <f>-CI377+CI389+CI384+CI392-CI395</f>
        <v>0</v>
      </c>
      <c r="CJ418" s="1153">
        <f>-CJ377+CJ389+CJ384+CJ392-CJ395</f>
        <v>0</v>
      </c>
      <c r="CK418" s="1153">
        <f>-CK377+CK389+CK384+CK392-CK395</f>
        <v>0</v>
      </c>
      <c r="CL418" s="155"/>
    </row>
    <row r="419" spans="1:90" hidden="1" outlineLevel="1" x14ac:dyDescent="0.3">
      <c r="A419" s="99" t="s">
        <v>806</v>
      </c>
      <c r="B419" s="146"/>
      <c r="C419" s="1153">
        <f t="shared" ref="C419:F419" si="1100">C406</f>
        <v>0</v>
      </c>
      <c r="D419" s="1153">
        <f t="shared" si="1100"/>
        <v>0</v>
      </c>
      <c r="E419" s="1153">
        <f t="shared" si="1100"/>
        <v>0</v>
      </c>
      <c r="F419" s="1153">
        <f t="shared" si="1100"/>
        <v>0</v>
      </c>
      <c r="G419" s="563">
        <f t="shared" ref="G419:BC419" si="1101">G406</f>
        <v>0</v>
      </c>
      <c r="H419" s="563">
        <f t="shared" si="1101"/>
        <v>0</v>
      </c>
      <c r="I419" s="563">
        <f t="shared" si="1101"/>
        <v>0</v>
      </c>
      <c r="J419" s="563">
        <f t="shared" si="1101"/>
        <v>0</v>
      </c>
      <c r="K419" s="1153">
        <f t="shared" si="1101"/>
        <v>0</v>
      </c>
      <c r="L419" s="563">
        <f t="shared" si="1101"/>
        <v>0</v>
      </c>
      <c r="M419" s="563">
        <f t="shared" si="1101"/>
        <v>0</v>
      </c>
      <c r="N419" s="563">
        <f t="shared" si="1101"/>
        <v>0</v>
      </c>
      <c r="O419" s="563">
        <f t="shared" si="1101"/>
        <v>4.5999999999999996</v>
      </c>
      <c r="P419" s="1153">
        <f t="shared" si="1101"/>
        <v>4.5999999999999996</v>
      </c>
      <c r="Q419" s="563">
        <f t="shared" si="1101"/>
        <v>7</v>
      </c>
      <c r="R419" s="563">
        <f t="shared" si="1101"/>
        <v>7</v>
      </c>
      <c r="S419" s="563">
        <f t="shared" si="1101"/>
        <v>7</v>
      </c>
      <c r="T419" s="563">
        <f t="shared" si="1101"/>
        <v>7</v>
      </c>
      <c r="U419" s="1153">
        <f t="shared" si="1101"/>
        <v>28</v>
      </c>
      <c r="V419" s="563">
        <f t="shared" ref="V419:Z419" si="1102">V406</f>
        <v>7</v>
      </c>
      <c r="W419" s="563">
        <f t="shared" si="1102"/>
        <v>7</v>
      </c>
      <c r="X419" s="563">
        <f t="shared" si="1102"/>
        <v>7</v>
      </c>
      <c r="Y419" s="563">
        <f t="shared" si="1102"/>
        <v>7</v>
      </c>
      <c r="Z419" s="1153">
        <f t="shared" si="1102"/>
        <v>29</v>
      </c>
      <c r="AA419" s="563">
        <f t="shared" si="1101"/>
        <v>7</v>
      </c>
      <c r="AB419" s="563">
        <f t="shared" si="1101"/>
        <v>7</v>
      </c>
      <c r="AC419" s="563">
        <f t="shared" si="1101"/>
        <v>21</v>
      </c>
      <c r="AD419" s="563">
        <f t="shared" si="1101"/>
        <v>10</v>
      </c>
      <c r="AE419" s="1153">
        <f t="shared" si="1101"/>
        <v>46</v>
      </c>
      <c r="AF419" s="563">
        <f t="shared" si="1101"/>
        <v>16</v>
      </c>
      <c r="AG419" s="563">
        <f t="shared" si="1101"/>
        <v>4</v>
      </c>
      <c r="AH419" s="563">
        <f t="shared" si="1101"/>
        <v>1</v>
      </c>
      <c r="AI419" s="563">
        <f t="shared" si="1101"/>
        <v>2</v>
      </c>
      <c r="AJ419" s="1153">
        <f t="shared" si="1101"/>
        <v>23</v>
      </c>
      <c r="AK419" s="563">
        <f t="shared" si="1101"/>
        <v>1</v>
      </c>
      <c r="AL419" s="563">
        <f t="shared" si="1101"/>
        <v>0</v>
      </c>
      <c r="AM419" s="563">
        <f t="shared" si="1101"/>
        <v>0</v>
      </c>
      <c r="AN419" s="563">
        <f t="shared" si="1101"/>
        <v>0</v>
      </c>
      <c r="AO419" s="1153">
        <f t="shared" si="1101"/>
        <v>2</v>
      </c>
      <c r="AP419" s="563">
        <f t="shared" si="1101"/>
        <v>0</v>
      </c>
      <c r="AQ419" s="563">
        <f t="shared" si="1101"/>
        <v>0</v>
      </c>
      <c r="AR419" s="563">
        <f t="shared" si="1101"/>
        <v>1</v>
      </c>
      <c r="AS419" s="563">
        <f t="shared" si="1101"/>
        <v>0</v>
      </c>
      <c r="AT419" s="1153">
        <f t="shared" ref="AT419" si="1103">AT406</f>
        <v>2</v>
      </c>
      <c r="AU419" s="563">
        <f t="shared" si="1101"/>
        <v>1</v>
      </c>
      <c r="AV419" s="563">
        <f t="shared" si="1101"/>
        <v>1</v>
      </c>
      <c r="AW419" s="563">
        <f t="shared" si="1101"/>
        <v>1</v>
      </c>
      <c r="AX419" s="563">
        <f t="shared" si="1101"/>
        <v>1</v>
      </c>
      <c r="AY419" s="1153">
        <f t="shared" si="1080"/>
        <v>4</v>
      </c>
      <c r="AZ419" s="563">
        <f t="shared" si="1101"/>
        <v>1</v>
      </c>
      <c r="BA419" s="563">
        <f t="shared" si="1101"/>
        <v>1</v>
      </c>
      <c r="BB419" s="563">
        <f t="shared" si="1101"/>
        <v>1</v>
      </c>
      <c r="BC419" s="563">
        <f t="shared" si="1101"/>
        <v>0</v>
      </c>
      <c r="BD419" s="1153">
        <f t="shared" ref="BD419" si="1104">BD406</f>
        <v>3</v>
      </c>
      <c r="BE419" s="563">
        <f>BE406</f>
        <v>1</v>
      </c>
      <c r="BF419" s="563">
        <f t="shared" ref="BF419" si="1105">BF406</f>
        <v>1</v>
      </c>
      <c r="BG419" s="563">
        <f t="shared" ref="BG419:BI419" si="1106">BG406</f>
        <v>1</v>
      </c>
      <c r="BH419" s="563">
        <f t="shared" si="1106"/>
        <v>1</v>
      </c>
      <c r="BI419" s="1153">
        <f t="shared" si="1106"/>
        <v>5</v>
      </c>
      <c r="BJ419" s="563">
        <f>BJ406</f>
        <v>1</v>
      </c>
      <c r="BK419" s="563">
        <f t="shared" ref="BK419" si="1107">BK406</f>
        <v>1</v>
      </c>
      <c r="BL419" s="563">
        <f t="shared" ref="BL419:BM419" si="1108">BL406</f>
        <v>1</v>
      </c>
      <c r="BM419" s="563">
        <f t="shared" si="1108"/>
        <v>1</v>
      </c>
      <c r="BN419" s="1153">
        <f t="shared" ref="BN419" si="1109">BN406</f>
        <v>4</v>
      </c>
      <c r="BO419" s="563">
        <f t="shared" ref="BO419:BS419" si="1110">BO406</f>
        <v>1</v>
      </c>
      <c r="BP419" s="563">
        <f t="shared" si="1110"/>
        <v>1</v>
      </c>
      <c r="BQ419" s="563">
        <f t="shared" si="1110"/>
        <v>1</v>
      </c>
      <c r="BR419" s="563">
        <f t="shared" si="1110"/>
        <v>1</v>
      </c>
      <c r="BS419" s="1153">
        <f t="shared" si="1110"/>
        <v>4</v>
      </c>
      <c r="BT419" s="563">
        <f t="shared" ref="BT419:CB419" si="1111">BT406</f>
        <v>1</v>
      </c>
      <c r="BU419" s="563">
        <f t="shared" si="1111"/>
        <v>1</v>
      </c>
      <c r="BV419" s="563">
        <f t="shared" si="1111"/>
        <v>1</v>
      </c>
      <c r="BW419" s="563">
        <f t="shared" si="1111"/>
        <v>13</v>
      </c>
      <c r="BX419" s="1153">
        <f t="shared" si="1111"/>
        <v>16</v>
      </c>
      <c r="BY419" s="731">
        <f>BY406</f>
        <v>26</v>
      </c>
      <c r="BZ419" s="563">
        <f t="shared" si="1111"/>
        <v>0</v>
      </c>
      <c r="CA419" s="563">
        <f t="shared" si="1111"/>
        <v>0</v>
      </c>
      <c r="CB419" s="563">
        <f t="shared" si="1111"/>
        <v>0</v>
      </c>
      <c r="CC419" s="1153">
        <f t="shared" si="1083"/>
        <v>26</v>
      </c>
      <c r="CD419" s="563">
        <f>CD406</f>
        <v>0</v>
      </c>
      <c r="CE419" s="563">
        <f>CE406</f>
        <v>0</v>
      </c>
      <c r="CF419" s="563">
        <f>CF406</f>
        <v>0</v>
      </c>
      <c r="CG419" s="563">
        <f>CG406</f>
        <v>0</v>
      </c>
      <c r="CH419" s="1153">
        <f t="shared" si="1085"/>
        <v>0</v>
      </c>
      <c r="CI419" s="1153">
        <f>CI406</f>
        <v>0</v>
      </c>
      <c r="CJ419" s="1153">
        <f>CJ406</f>
        <v>0</v>
      </c>
      <c r="CK419" s="1153">
        <f>CK406</f>
        <v>0</v>
      </c>
      <c r="CL419" s="155"/>
    </row>
    <row r="420" spans="1:90" hidden="1" outlineLevel="1" x14ac:dyDescent="0.3">
      <c r="A420" s="99" t="s">
        <v>106</v>
      </c>
      <c r="B420" s="146"/>
      <c r="C420" s="1112">
        <f t="shared" ref="C420:F420" si="1112">C409</f>
        <v>0</v>
      </c>
      <c r="D420" s="1112">
        <f t="shared" si="1112"/>
        <v>0</v>
      </c>
      <c r="E420" s="1112">
        <f t="shared" si="1112"/>
        <v>0</v>
      </c>
      <c r="F420" s="1112">
        <f t="shared" si="1112"/>
        <v>0</v>
      </c>
      <c r="G420" s="68">
        <f t="shared" ref="G420:BC420" si="1113">G409</f>
        <v>0</v>
      </c>
      <c r="H420" s="68">
        <f t="shared" si="1113"/>
        <v>0</v>
      </c>
      <c r="I420" s="68">
        <f t="shared" si="1113"/>
        <v>0</v>
      </c>
      <c r="J420" s="68">
        <f t="shared" si="1113"/>
        <v>0</v>
      </c>
      <c r="K420" s="1112">
        <f t="shared" si="1113"/>
        <v>0</v>
      </c>
      <c r="L420" s="68">
        <f t="shared" si="1113"/>
        <v>0</v>
      </c>
      <c r="M420" s="68">
        <f t="shared" si="1113"/>
        <v>0</v>
      </c>
      <c r="N420" s="68">
        <f t="shared" si="1113"/>
        <v>0</v>
      </c>
      <c r="O420" s="68">
        <f t="shared" si="1113"/>
        <v>-3.0739999999999998</v>
      </c>
      <c r="P420" s="1112">
        <f t="shared" si="1113"/>
        <v>-3.0739999999999998</v>
      </c>
      <c r="Q420" s="68">
        <f t="shared" si="1113"/>
        <v>-17</v>
      </c>
      <c r="R420" s="68">
        <f t="shared" si="1113"/>
        <v>3</v>
      </c>
      <c r="S420" s="68">
        <f t="shared" si="1113"/>
        <v>0</v>
      </c>
      <c r="T420" s="68">
        <f t="shared" si="1113"/>
        <v>0</v>
      </c>
      <c r="U420" s="1112">
        <f t="shared" si="1113"/>
        <v>-15</v>
      </c>
      <c r="V420" s="68">
        <f t="shared" ref="V420:Z420" si="1114">V409</f>
        <v>2</v>
      </c>
      <c r="W420" s="68">
        <f t="shared" si="1114"/>
        <v>0</v>
      </c>
      <c r="X420" s="68">
        <f t="shared" si="1114"/>
        <v>-4</v>
      </c>
      <c r="Y420" s="68">
        <f t="shared" si="1114"/>
        <v>0</v>
      </c>
      <c r="Z420" s="1112">
        <f t="shared" si="1114"/>
        <v>-5</v>
      </c>
      <c r="AA420" s="68">
        <f t="shared" si="1113"/>
        <v>-3</v>
      </c>
      <c r="AB420" s="68">
        <f t="shared" si="1113"/>
        <v>0</v>
      </c>
      <c r="AC420" s="68">
        <f t="shared" si="1113"/>
        <v>0</v>
      </c>
      <c r="AD420" s="68">
        <f t="shared" si="1113"/>
        <v>-1</v>
      </c>
      <c r="AE420" s="1112">
        <f t="shared" si="1113"/>
        <v>-4</v>
      </c>
      <c r="AF420" s="68">
        <f t="shared" si="1113"/>
        <v>0</v>
      </c>
      <c r="AG420" s="68">
        <f t="shared" si="1113"/>
        <v>0</v>
      </c>
      <c r="AH420" s="68">
        <f t="shared" si="1113"/>
        <v>0</v>
      </c>
      <c r="AI420" s="68">
        <f t="shared" si="1113"/>
        <v>-2</v>
      </c>
      <c r="AJ420" s="1112">
        <f t="shared" si="1113"/>
        <v>-2</v>
      </c>
      <c r="AK420" s="68">
        <f t="shared" si="1113"/>
        <v>-6</v>
      </c>
      <c r="AL420" s="68">
        <f t="shared" si="1113"/>
        <v>-2</v>
      </c>
      <c r="AM420" s="68">
        <f t="shared" si="1113"/>
        <v>-2</v>
      </c>
      <c r="AN420" s="68">
        <f t="shared" si="1113"/>
        <v>-1</v>
      </c>
      <c r="AO420" s="1112">
        <f t="shared" si="1113"/>
        <v>-12</v>
      </c>
      <c r="AP420" s="68">
        <f t="shared" si="1113"/>
        <v>0</v>
      </c>
      <c r="AQ420" s="68">
        <f t="shared" si="1113"/>
        <v>0</v>
      </c>
      <c r="AR420" s="68">
        <f t="shared" si="1113"/>
        <v>0</v>
      </c>
      <c r="AS420" s="68">
        <f t="shared" si="1113"/>
        <v>0</v>
      </c>
      <c r="AT420" s="1112">
        <f t="shared" ref="AT420" si="1115">AT409</f>
        <v>-1</v>
      </c>
      <c r="AU420" s="68">
        <f t="shared" si="1113"/>
        <v>2</v>
      </c>
      <c r="AV420" s="68">
        <f t="shared" si="1113"/>
        <v>2</v>
      </c>
      <c r="AW420" s="68">
        <f t="shared" si="1113"/>
        <v>4</v>
      </c>
      <c r="AX420" s="68">
        <f t="shared" si="1113"/>
        <v>-9</v>
      </c>
      <c r="AY420" s="1112">
        <f t="shared" si="1080"/>
        <v>-1</v>
      </c>
      <c r="AZ420" s="68">
        <f t="shared" si="1113"/>
        <v>-134</v>
      </c>
      <c r="BA420" s="68">
        <f t="shared" si="1113"/>
        <v>0</v>
      </c>
      <c r="BB420" s="68">
        <f t="shared" si="1113"/>
        <v>-20</v>
      </c>
      <c r="BC420" s="68">
        <f t="shared" si="1113"/>
        <v>53</v>
      </c>
      <c r="BD420" s="1112">
        <f t="shared" ref="BD420" si="1116">BD409</f>
        <v>-99</v>
      </c>
      <c r="BE420" s="68">
        <f t="shared" ref="BE420" si="1117">BE409</f>
        <v>17</v>
      </c>
      <c r="BF420" s="68">
        <f t="shared" ref="BF420" si="1118">BF409</f>
        <v>6</v>
      </c>
      <c r="BG420" s="68">
        <f t="shared" ref="BG420:BI420" si="1119">BG409</f>
        <v>11</v>
      </c>
      <c r="BH420" s="68">
        <f t="shared" si="1119"/>
        <v>10</v>
      </c>
      <c r="BI420" s="1112">
        <f t="shared" si="1119"/>
        <v>44</v>
      </c>
      <c r="BJ420" s="68">
        <f>BJ409</f>
        <v>14</v>
      </c>
      <c r="BK420" s="68">
        <f t="shared" ref="BK420" si="1120">BK409</f>
        <v>-62</v>
      </c>
      <c r="BL420" s="68">
        <f t="shared" ref="BL420:BM420" si="1121">BL409</f>
        <v>69</v>
      </c>
      <c r="BM420" s="68">
        <f t="shared" si="1121"/>
        <v>-260</v>
      </c>
      <c r="BN420" s="1112">
        <f t="shared" ref="BN420" si="1122">BN409</f>
        <v>-238</v>
      </c>
      <c r="BO420" s="68">
        <f t="shared" ref="BO420:BS420" si="1123">BO409</f>
        <v>-69</v>
      </c>
      <c r="BP420" s="68">
        <f t="shared" si="1123"/>
        <v>-193</v>
      </c>
      <c r="BQ420" s="68">
        <f t="shared" si="1123"/>
        <v>-37</v>
      </c>
      <c r="BR420" s="68">
        <f t="shared" si="1123"/>
        <v>-727</v>
      </c>
      <c r="BS420" s="1112">
        <f t="shared" si="1123"/>
        <v>-1030</v>
      </c>
      <c r="BT420" s="68">
        <f t="shared" ref="BT420:CB420" si="1124">BT409</f>
        <v>175</v>
      </c>
      <c r="BU420" s="68">
        <f t="shared" si="1124"/>
        <v>-2247</v>
      </c>
      <c r="BV420" s="68">
        <f t="shared" si="1124"/>
        <v>-1354</v>
      </c>
      <c r="BW420" s="68">
        <f t="shared" si="1124"/>
        <v>-5491</v>
      </c>
      <c r="BX420" s="1112">
        <f t="shared" si="1124"/>
        <v>-8918</v>
      </c>
      <c r="BY420" s="588">
        <f>BY409</f>
        <v>-15936</v>
      </c>
      <c r="BZ420" s="68">
        <f t="shared" si="1124"/>
        <v>0</v>
      </c>
      <c r="CA420" s="68">
        <f t="shared" si="1124"/>
        <v>0</v>
      </c>
      <c r="CB420" s="68">
        <f t="shared" si="1124"/>
        <v>0</v>
      </c>
      <c r="CC420" s="1112">
        <f t="shared" si="1083"/>
        <v>-15936</v>
      </c>
      <c r="CD420" s="68">
        <f>CD409</f>
        <v>0</v>
      </c>
      <c r="CE420" s="68">
        <f>CE409</f>
        <v>0</v>
      </c>
      <c r="CF420" s="68">
        <f>CF409</f>
        <v>0</v>
      </c>
      <c r="CG420" s="68">
        <f>CG409</f>
        <v>0</v>
      </c>
      <c r="CH420" s="1112">
        <f t="shared" si="1085"/>
        <v>0</v>
      </c>
      <c r="CI420" s="1112">
        <f>CI409</f>
        <v>0</v>
      </c>
      <c r="CJ420" s="1112">
        <f>CJ409</f>
        <v>0</v>
      </c>
      <c r="CK420" s="1112">
        <f>CK409</f>
        <v>0</v>
      </c>
      <c r="CL420" s="155"/>
    </row>
    <row r="421" spans="1:90" hidden="1" outlineLevel="1" x14ac:dyDescent="0.3">
      <c r="A421" s="282" t="s">
        <v>807</v>
      </c>
      <c r="B421" s="149"/>
      <c r="C421" s="1154">
        <f t="shared" ref="C421:F421" si="1125">C413</f>
        <v>-28.997</v>
      </c>
      <c r="D421" s="1154">
        <f t="shared" si="1125"/>
        <v>-24.82</v>
      </c>
      <c r="E421" s="1154">
        <f t="shared" si="1125"/>
        <v>-23.164999999999999</v>
      </c>
      <c r="F421" s="1154">
        <f t="shared" si="1125"/>
        <v>-27.81</v>
      </c>
      <c r="G421" s="659">
        <f t="shared" ref="G421:BC421" si="1126">G413</f>
        <v>-7.9889999999999999</v>
      </c>
      <c r="H421" s="659">
        <f t="shared" si="1126"/>
        <v>-9.8390000000000004</v>
      </c>
      <c r="I421" s="659">
        <f t="shared" si="1126"/>
        <v>-5.7549999999999999</v>
      </c>
      <c r="J421" s="659">
        <f t="shared" si="1126"/>
        <v>-3.5070000000000001</v>
      </c>
      <c r="K421" s="1154">
        <f t="shared" si="1126"/>
        <v>-27.09</v>
      </c>
      <c r="L421" s="659">
        <f t="shared" si="1126"/>
        <v>-6.3479999999999999</v>
      </c>
      <c r="M421" s="659">
        <f t="shared" si="1126"/>
        <v>-6.7670000000000003</v>
      </c>
      <c r="N421" s="659">
        <f t="shared" si="1126"/>
        <v>-6.0549999999999997</v>
      </c>
      <c r="O421" s="659">
        <f t="shared" si="1126"/>
        <v>-1.9239999999999999</v>
      </c>
      <c r="P421" s="1154">
        <f t="shared" si="1126"/>
        <v>-21.094000000000001</v>
      </c>
      <c r="Q421" s="659">
        <f t="shared" si="1126"/>
        <v>-6</v>
      </c>
      <c r="R421" s="659">
        <f t="shared" si="1126"/>
        <v>-12</v>
      </c>
      <c r="S421" s="659">
        <f t="shared" si="1126"/>
        <v>-11</v>
      </c>
      <c r="T421" s="659">
        <f t="shared" si="1126"/>
        <v>-11</v>
      </c>
      <c r="U421" s="1154">
        <f t="shared" si="1126"/>
        <v>-38</v>
      </c>
      <c r="V421" s="659">
        <f t="shared" ref="V421:Z421" si="1127">V413</f>
        <v>-10</v>
      </c>
      <c r="W421" s="659">
        <f t="shared" si="1127"/>
        <v>2</v>
      </c>
      <c r="X421" s="659">
        <f t="shared" si="1127"/>
        <v>-57</v>
      </c>
      <c r="Y421" s="659">
        <f t="shared" si="1127"/>
        <v>-21</v>
      </c>
      <c r="Z421" s="1154">
        <f t="shared" si="1127"/>
        <v>-87</v>
      </c>
      <c r="AA421" s="659">
        <f t="shared" si="1126"/>
        <v>-26</v>
      </c>
      <c r="AB421" s="659">
        <f t="shared" si="1126"/>
        <v>-20</v>
      </c>
      <c r="AC421" s="659">
        <f t="shared" si="1126"/>
        <v>-62</v>
      </c>
      <c r="AD421" s="659">
        <f t="shared" si="1126"/>
        <v>-36</v>
      </c>
      <c r="AE421" s="1154">
        <f t="shared" si="1126"/>
        <v>-144</v>
      </c>
      <c r="AF421" s="659">
        <f t="shared" si="1126"/>
        <v>-73</v>
      </c>
      <c r="AG421" s="659">
        <f t="shared" si="1126"/>
        <v>-34</v>
      </c>
      <c r="AH421" s="659">
        <f t="shared" si="1126"/>
        <v>-116</v>
      </c>
      <c r="AI421" s="659">
        <f t="shared" si="1126"/>
        <v>-166</v>
      </c>
      <c r="AJ421" s="1154">
        <f t="shared" si="1126"/>
        <v>-390</v>
      </c>
      <c r="AK421" s="659">
        <f t="shared" si="1126"/>
        <v>-87</v>
      </c>
      <c r="AL421" s="659">
        <f t="shared" si="1126"/>
        <v>-22</v>
      </c>
      <c r="AM421" s="659">
        <f t="shared" si="1126"/>
        <v>-229</v>
      </c>
      <c r="AN421" s="659">
        <f t="shared" si="1126"/>
        <v>-255</v>
      </c>
      <c r="AO421" s="1154">
        <f t="shared" si="1126"/>
        <v>-591</v>
      </c>
      <c r="AP421" s="659">
        <f t="shared" si="1126"/>
        <v>-50</v>
      </c>
      <c r="AQ421" s="659">
        <f t="shared" si="1126"/>
        <v>-21</v>
      </c>
      <c r="AR421" s="659">
        <f t="shared" si="1126"/>
        <v>-26</v>
      </c>
      <c r="AS421" s="659">
        <f t="shared" si="1126"/>
        <v>-8</v>
      </c>
      <c r="AT421" s="1154">
        <f t="shared" ref="AT421" si="1128">AT413</f>
        <v>-106</v>
      </c>
      <c r="AU421" s="659">
        <f t="shared" si="1126"/>
        <v>-29</v>
      </c>
      <c r="AV421" s="659">
        <f t="shared" si="1126"/>
        <v>-124</v>
      </c>
      <c r="AW421" s="659">
        <f t="shared" si="1126"/>
        <v>-102</v>
      </c>
      <c r="AX421" s="659">
        <f t="shared" si="1126"/>
        <v>-74</v>
      </c>
      <c r="AY421" s="1154">
        <f t="shared" si="1080"/>
        <v>-329</v>
      </c>
      <c r="AZ421" s="659">
        <f t="shared" si="1126"/>
        <v>-67</v>
      </c>
      <c r="BA421" s="659">
        <f t="shared" si="1126"/>
        <v>-379</v>
      </c>
      <c r="BB421" s="659">
        <f t="shared" si="1126"/>
        <v>-187</v>
      </c>
      <c r="BC421" s="659">
        <f t="shared" si="1126"/>
        <v>-413</v>
      </c>
      <c r="BD421" s="1154">
        <f t="shared" ref="BD421" si="1129">BD413</f>
        <v>-1046</v>
      </c>
      <c r="BE421" s="659">
        <f>BE413</f>
        <v>-280</v>
      </c>
      <c r="BF421" s="659">
        <f t="shared" ref="BF421" si="1130">BF413</f>
        <v>-197</v>
      </c>
      <c r="BG421" s="659">
        <f t="shared" ref="BG421:BI421" si="1131">BG413</f>
        <v>-171</v>
      </c>
      <c r="BH421" s="659">
        <f t="shared" si="1131"/>
        <v>-218</v>
      </c>
      <c r="BI421" s="1154">
        <f t="shared" si="1131"/>
        <v>-867</v>
      </c>
      <c r="BJ421" s="659">
        <f>BJ413</f>
        <v>-257</v>
      </c>
      <c r="BK421" s="659">
        <f t="shared" ref="BK421" si="1132">BK413</f>
        <v>-363</v>
      </c>
      <c r="BL421" s="659">
        <f t="shared" ref="BL421:BM421" si="1133">BL413</f>
        <v>-433</v>
      </c>
      <c r="BM421" s="659">
        <f t="shared" si="1133"/>
        <v>-321</v>
      </c>
      <c r="BN421" s="1154">
        <f t="shared" ref="BN421" si="1134">BN413</f>
        <v>-1376</v>
      </c>
      <c r="BO421" s="659">
        <f t="shared" ref="BO421:BS421" si="1135">BO413</f>
        <v>-725</v>
      </c>
      <c r="BP421" s="659">
        <f t="shared" si="1135"/>
        <v>-750</v>
      </c>
      <c r="BQ421" s="659">
        <f t="shared" si="1135"/>
        <v>-670</v>
      </c>
      <c r="BR421" s="659">
        <f t="shared" si="1135"/>
        <v>-781</v>
      </c>
      <c r="BS421" s="1154">
        <f t="shared" si="1135"/>
        <v>-2925</v>
      </c>
      <c r="BT421" s="659">
        <f t="shared" ref="BT421:CB421" si="1136">BT413</f>
        <v>-694</v>
      </c>
      <c r="BU421" s="659">
        <f t="shared" si="1136"/>
        <v>-118</v>
      </c>
      <c r="BV421" s="659">
        <f t="shared" si="1136"/>
        <v>-532</v>
      </c>
      <c r="BW421" s="659">
        <f t="shared" si="1136"/>
        <v>262</v>
      </c>
      <c r="BX421" s="1154">
        <f t="shared" si="1136"/>
        <v>-1081</v>
      </c>
      <c r="BY421" s="910">
        <f>BY413</f>
        <v>2890</v>
      </c>
      <c r="BZ421" s="659">
        <f t="shared" si="1136"/>
        <v>-43.648075199999987</v>
      </c>
      <c r="CA421" s="659">
        <f t="shared" si="1136"/>
        <v>-30.206813999999998</v>
      </c>
      <c r="CB421" s="659">
        <f t="shared" si="1136"/>
        <v>-31.0203135</v>
      </c>
      <c r="CC421" s="1154">
        <f t="shared" si="1083"/>
        <v>2785.1247973</v>
      </c>
      <c r="CD421" s="659">
        <f>CD413</f>
        <v>-34.822771500000002</v>
      </c>
      <c r="CE421" s="659">
        <f>CE413</f>
        <v>-38.830684034999997</v>
      </c>
      <c r="CF421" s="659">
        <f>CF413</f>
        <v>-37.68465359999999</v>
      </c>
      <c r="CG421" s="659">
        <f>CG413</f>
        <v>-38.589326324999995</v>
      </c>
      <c r="CH421" s="1154">
        <f t="shared" si="1085"/>
        <v>-149.92743546</v>
      </c>
      <c r="CI421" s="1154">
        <f>CI413</f>
        <v>-260.11526455199999</v>
      </c>
      <c r="CJ421" s="1154">
        <f>CJ413</f>
        <v>-305.54890411055993</v>
      </c>
      <c r="CK421" s="1154">
        <f>CK413</f>
        <v>-359.02188798358083</v>
      </c>
      <c r="CL421" s="155"/>
    </row>
    <row r="422" spans="1:90" hidden="1" outlineLevel="1" x14ac:dyDescent="0.3">
      <c r="A422" s="658" t="s">
        <v>795</v>
      </c>
      <c r="B422" s="608"/>
      <c r="C422" s="1152">
        <f t="shared" ref="C422:AH422" si="1137">C415-SUM(C416:C421)</f>
        <v>-30.041000000000167</v>
      </c>
      <c r="D422" s="1152">
        <f t="shared" si="1137"/>
        <v>-67.986999999999654</v>
      </c>
      <c r="E422" s="1152">
        <f t="shared" si="1137"/>
        <v>253.1460000000001</v>
      </c>
      <c r="F422" s="1152">
        <f t="shared" si="1137"/>
        <v>581.09</v>
      </c>
      <c r="G422" s="66">
        <f t="shared" si="1137"/>
        <v>60.436999999999998</v>
      </c>
      <c r="H422" s="66">
        <f t="shared" si="1137"/>
        <v>119.04600000000003</v>
      </c>
      <c r="I422" s="66">
        <f t="shared" si="1137"/>
        <v>209.0799999999999</v>
      </c>
      <c r="J422" s="66">
        <f t="shared" si="1137"/>
        <v>173.97299999999998</v>
      </c>
      <c r="K422" s="1152">
        <f t="shared" si="1137"/>
        <v>562.53599999999994</v>
      </c>
      <c r="L422" s="66">
        <f t="shared" si="1137"/>
        <v>77.890999999999977</v>
      </c>
      <c r="M422" s="66">
        <f t="shared" si="1137"/>
        <v>96.447999999999993</v>
      </c>
      <c r="N422" s="66">
        <f t="shared" si="1137"/>
        <v>118.73400000000011</v>
      </c>
      <c r="O422" s="66">
        <f t="shared" si="1137"/>
        <v>146.91700000000054</v>
      </c>
      <c r="P422" s="1152">
        <f t="shared" si="1137"/>
        <v>439.99000000000024</v>
      </c>
      <c r="Q422" s="66">
        <f t="shared" si="1137"/>
        <v>137.42500000000001</v>
      </c>
      <c r="R422" s="66">
        <f t="shared" si="1137"/>
        <v>128</v>
      </c>
      <c r="S422" s="66">
        <f t="shared" si="1137"/>
        <v>173.97899999999998</v>
      </c>
      <c r="T422" s="66">
        <f t="shared" si="1137"/>
        <v>193</v>
      </c>
      <c r="U422" s="1152">
        <f t="shared" si="1137"/>
        <v>630.404</v>
      </c>
      <c r="V422" s="66">
        <f t="shared" si="1137"/>
        <v>134</v>
      </c>
      <c r="W422" s="66">
        <f t="shared" si="1137"/>
        <v>26</v>
      </c>
      <c r="X422" s="66">
        <f t="shared" si="1137"/>
        <v>246</v>
      </c>
      <c r="Y422" s="66">
        <f t="shared" si="1137"/>
        <v>207</v>
      </c>
      <c r="Z422" s="1152">
        <f t="shared" si="1137"/>
        <v>615</v>
      </c>
      <c r="AA422" s="66">
        <f t="shared" si="1137"/>
        <v>208</v>
      </c>
      <c r="AB422" s="66">
        <f t="shared" si="1137"/>
        <v>261</v>
      </c>
      <c r="AC422" s="66">
        <f t="shared" si="1137"/>
        <v>542</v>
      </c>
      <c r="AD422" s="66">
        <f t="shared" si="1137"/>
        <v>655</v>
      </c>
      <c r="AE422" s="1152">
        <f t="shared" si="1137"/>
        <v>1666</v>
      </c>
      <c r="AF422" s="66">
        <f t="shared" si="1137"/>
        <v>507</v>
      </c>
      <c r="AG422" s="66">
        <f t="shared" si="1137"/>
        <v>583</v>
      </c>
      <c r="AH422" s="66">
        <f t="shared" si="1137"/>
        <v>838</v>
      </c>
      <c r="AI422" s="66">
        <f t="shared" ref="AI422:BE422" si="1138">AI415-SUM(AI416:AI421)</f>
        <v>1118</v>
      </c>
      <c r="AJ422" s="1152">
        <f t="shared" si="1138"/>
        <v>3047</v>
      </c>
      <c r="AK422" s="66">
        <f t="shared" si="1138"/>
        <v>1244</v>
      </c>
      <c r="AL422" s="66">
        <f t="shared" si="1138"/>
        <v>1101</v>
      </c>
      <c r="AM422" s="66">
        <f t="shared" si="1138"/>
        <v>1230</v>
      </c>
      <c r="AN422" s="66">
        <f t="shared" si="1138"/>
        <v>567</v>
      </c>
      <c r="AO422" s="1152">
        <f t="shared" si="1138"/>
        <v>4141</v>
      </c>
      <c r="AP422" s="66">
        <f t="shared" si="1138"/>
        <v>394</v>
      </c>
      <c r="AQ422" s="66">
        <f t="shared" si="1138"/>
        <v>552</v>
      </c>
      <c r="AR422" s="66">
        <f t="shared" si="1138"/>
        <v>899</v>
      </c>
      <c r="AS422" s="66">
        <f t="shared" si="1138"/>
        <v>950</v>
      </c>
      <c r="AT422" s="1152">
        <f t="shared" si="1138"/>
        <v>2796</v>
      </c>
      <c r="AU422" s="66">
        <f t="shared" si="1138"/>
        <v>917</v>
      </c>
      <c r="AV422" s="66">
        <f t="shared" si="1138"/>
        <v>622</v>
      </c>
      <c r="AW422" s="66">
        <f t="shared" si="1138"/>
        <v>1336</v>
      </c>
      <c r="AX422" s="66">
        <f t="shared" si="1138"/>
        <v>1457</v>
      </c>
      <c r="AY422" s="1152">
        <f t="shared" si="1138"/>
        <v>4332</v>
      </c>
      <c r="AZ422" s="66">
        <f t="shared" si="1138"/>
        <v>1912</v>
      </c>
      <c r="BA422" s="66">
        <f t="shared" si="1138"/>
        <v>2374</v>
      </c>
      <c r="BB422" s="66">
        <f t="shared" si="1138"/>
        <v>2464</v>
      </c>
      <c r="BC422" s="66">
        <f t="shared" si="1138"/>
        <v>3003</v>
      </c>
      <c r="BD422" s="1152">
        <f t="shared" si="1138"/>
        <v>9752</v>
      </c>
      <c r="BE422" s="66">
        <f t="shared" si="1138"/>
        <v>1618</v>
      </c>
      <c r="BF422" s="66">
        <f t="shared" ref="BF422" si="1139">BF415-SUM(BF416:BF421)</f>
        <v>656</v>
      </c>
      <c r="BG422" s="66">
        <f t="shared" ref="BG422:BI422" si="1140">BG415-SUM(BG416:BG421)</f>
        <v>680</v>
      </c>
      <c r="BH422" s="66">
        <f t="shared" si="1140"/>
        <v>1414</v>
      </c>
      <c r="BI422" s="1152">
        <f t="shared" si="1140"/>
        <v>4368</v>
      </c>
      <c r="BJ422" s="66">
        <f>BJ415-SUM(BJ416:BJ421)</f>
        <v>2043</v>
      </c>
      <c r="BK422" s="66">
        <f t="shared" ref="BK422" si="1141">BK415-SUM(BK416:BK421)</f>
        <v>6188</v>
      </c>
      <c r="BL422" s="66">
        <f t="shared" ref="BL422:BM422" si="1142">BL415-SUM(BL416:BL421)</f>
        <v>9243</v>
      </c>
      <c r="BM422" s="66">
        <f t="shared" si="1142"/>
        <v>12285</v>
      </c>
      <c r="BN422" s="1152">
        <f t="shared" ref="BN422" si="1143">BN415-SUM(BN416:BN421)</f>
        <v>29760</v>
      </c>
      <c r="BO422" s="66">
        <f t="shared" ref="BO422:BS422" si="1144">BO415-SUM(BO416:BO421)</f>
        <v>14881</v>
      </c>
      <c r="BP422" s="66">
        <f t="shared" si="1144"/>
        <v>16599</v>
      </c>
      <c r="BQ422" s="66">
        <f t="shared" si="1144"/>
        <v>19309</v>
      </c>
      <c r="BR422" s="66">
        <f t="shared" si="1144"/>
        <v>22091</v>
      </c>
      <c r="BS422" s="1152">
        <f t="shared" si="1144"/>
        <v>72880</v>
      </c>
      <c r="BT422" s="66">
        <f t="shared" ref="BT422:CK422" si="1145">BT415-SUM(BT416:BT421)</f>
        <v>18775</v>
      </c>
      <c r="BU422" s="66">
        <f t="shared" si="1145"/>
        <v>26422</v>
      </c>
      <c r="BV422" s="66">
        <f t="shared" si="1145"/>
        <v>31910</v>
      </c>
      <c r="BW422" s="66">
        <f t="shared" si="1145"/>
        <v>42960</v>
      </c>
      <c r="BX422" s="1152">
        <f t="shared" si="1145"/>
        <v>120067</v>
      </c>
      <c r="BY422" s="1002">
        <f>BY415-SUM(BY416:BY421)</f>
        <v>58321</v>
      </c>
      <c r="BZ422" s="66">
        <f t="shared" si="1145"/>
        <v>49305.855680994806</v>
      </c>
      <c r="CA422" s="66">
        <f t="shared" si="1145"/>
        <v>52242.938255915949</v>
      </c>
      <c r="CB422" s="66">
        <f t="shared" si="1145"/>
        <v>53603.985736230716</v>
      </c>
      <c r="CC422" s="1152">
        <f t="shared" si="1145"/>
        <v>213473.77967314151</v>
      </c>
      <c r="CD422" s="66">
        <f t="shared" si="1145"/>
        <v>60116.45855254159</v>
      </c>
      <c r="CE422" s="66">
        <f t="shared" si="1145"/>
        <v>67306.748735863424</v>
      </c>
      <c r="CF422" s="66">
        <f t="shared" si="1145"/>
        <v>67177.562691273226</v>
      </c>
      <c r="CG422" s="66">
        <f t="shared" si="1145"/>
        <v>69062.707836977337</v>
      </c>
      <c r="CH422" s="1152">
        <f t="shared" si="1145"/>
        <v>263663.47781665553</v>
      </c>
      <c r="CI422" s="1152">
        <f t="shared" si="1145"/>
        <v>321325.57569344895</v>
      </c>
      <c r="CJ422" s="1152">
        <f t="shared" si="1145"/>
        <v>384988.61180512508</v>
      </c>
      <c r="CK422" s="1152">
        <f t="shared" si="1145"/>
        <v>460353.83008381887</v>
      </c>
      <c r="CL422" s="155"/>
    </row>
    <row r="423" spans="1:90" hidden="1" outlineLevel="1" x14ac:dyDescent="0.3">
      <c r="A423" s="121" t="s">
        <v>505</v>
      </c>
      <c r="B423" s="149"/>
      <c r="C423" s="1123"/>
      <c r="D423" s="1123"/>
      <c r="E423" s="1123"/>
      <c r="F423" s="1123"/>
      <c r="G423" s="109"/>
      <c r="H423" s="109"/>
      <c r="I423" s="109"/>
      <c r="J423" s="109"/>
      <c r="K423" s="1112"/>
      <c r="L423" s="109"/>
      <c r="M423" s="109"/>
      <c r="N423" s="109"/>
      <c r="O423" s="109"/>
      <c r="P423" s="1112"/>
      <c r="Q423" s="109"/>
      <c r="R423" s="109"/>
      <c r="S423" s="109"/>
      <c r="T423" s="109"/>
      <c r="U423" s="1112"/>
      <c r="V423" s="109"/>
      <c r="W423" s="109"/>
      <c r="X423" s="109"/>
      <c r="Y423" s="109"/>
      <c r="Z423" s="1112"/>
      <c r="AA423" s="109"/>
      <c r="AB423" s="109"/>
      <c r="AC423" s="109"/>
      <c r="AD423" s="109"/>
      <c r="AE423" s="1112"/>
      <c r="AF423" s="109"/>
      <c r="AG423" s="109"/>
      <c r="AH423" s="109"/>
      <c r="AI423" s="109"/>
      <c r="AJ423" s="1112"/>
      <c r="AK423" s="109"/>
      <c r="AL423" s="109"/>
      <c r="AM423" s="109"/>
      <c r="AN423" s="109"/>
      <c r="AO423" s="1112"/>
      <c r="AP423" s="109"/>
      <c r="AQ423" s="109"/>
      <c r="AR423" s="109"/>
      <c r="AS423" s="109"/>
      <c r="AT423" s="1112"/>
      <c r="AU423" s="109"/>
      <c r="AV423" s="109"/>
      <c r="AW423" s="109"/>
      <c r="AX423" s="109"/>
      <c r="AY423" s="1112"/>
      <c r="AZ423" s="109"/>
      <c r="BA423" s="109"/>
      <c r="BB423" s="109"/>
      <c r="BC423" s="109"/>
      <c r="BD423" s="1112"/>
      <c r="BE423" s="109"/>
      <c r="BF423" s="109"/>
      <c r="BG423" s="109"/>
      <c r="BH423" s="109"/>
      <c r="BI423" s="1112"/>
      <c r="BJ423" s="109"/>
      <c r="BK423" s="109"/>
      <c r="BL423" s="109"/>
      <c r="BM423" s="109"/>
      <c r="BN423" s="1112"/>
      <c r="BO423" s="109"/>
      <c r="BP423" s="109"/>
      <c r="BQ423" s="109"/>
      <c r="BR423" s="109"/>
      <c r="BS423" s="1112"/>
      <c r="BT423" s="109"/>
      <c r="BU423" s="109"/>
      <c r="BV423" s="109"/>
      <c r="BW423" s="109"/>
      <c r="BX423" s="1112"/>
      <c r="BY423" s="730"/>
      <c r="BZ423" s="109"/>
      <c r="CA423" s="109"/>
      <c r="CB423" s="109"/>
      <c r="CC423" s="1123"/>
      <c r="CD423" s="109"/>
      <c r="CE423" s="109"/>
      <c r="CF423" s="109"/>
      <c r="CG423" s="109"/>
      <c r="CH423" s="1123"/>
      <c r="CI423" s="1123"/>
      <c r="CJ423" s="1123"/>
      <c r="CK423" s="1123"/>
      <c r="CL423" s="155"/>
    </row>
    <row r="424" spans="1:90" hidden="1" outlineLevel="1" x14ac:dyDescent="0.3">
      <c r="A424" s="64" t="s">
        <v>796</v>
      </c>
      <c r="B424" s="608"/>
      <c r="C424" s="1151">
        <f t="shared" ref="C424:BD424" si="1146">C422-C423</f>
        <v>-30.041000000000167</v>
      </c>
      <c r="D424" s="1151">
        <f t="shared" si="1146"/>
        <v>-67.986999999999654</v>
      </c>
      <c r="E424" s="1151">
        <f t="shared" si="1146"/>
        <v>253.1460000000001</v>
      </c>
      <c r="F424" s="1151">
        <f t="shared" si="1146"/>
        <v>581.09</v>
      </c>
      <c r="G424" s="65">
        <f t="shared" si="1146"/>
        <v>60.436999999999998</v>
      </c>
      <c r="H424" s="65">
        <f t="shared" si="1146"/>
        <v>119.04600000000003</v>
      </c>
      <c r="I424" s="65">
        <f t="shared" si="1146"/>
        <v>209.0799999999999</v>
      </c>
      <c r="J424" s="65">
        <f t="shared" si="1146"/>
        <v>173.97299999999998</v>
      </c>
      <c r="K424" s="1151">
        <f t="shared" si="1146"/>
        <v>562.53599999999994</v>
      </c>
      <c r="L424" s="65">
        <f t="shared" si="1146"/>
        <v>77.890999999999977</v>
      </c>
      <c r="M424" s="65">
        <f t="shared" si="1146"/>
        <v>96.447999999999993</v>
      </c>
      <c r="N424" s="65">
        <f t="shared" si="1146"/>
        <v>118.73400000000011</v>
      </c>
      <c r="O424" s="65">
        <f t="shared" si="1146"/>
        <v>146.91700000000054</v>
      </c>
      <c r="P424" s="1151">
        <f t="shared" si="1146"/>
        <v>439.99000000000024</v>
      </c>
      <c r="Q424" s="65">
        <f t="shared" si="1146"/>
        <v>137.42500000000001</v>
      </c>
      <c r="R424" s="65">
        <f t="shared" si="1146"/>
        <v>128</v>
      </c>
      <c r="S424" s="65">
        <f t="shared" si="1146"/>
        <v>173.97899999999998</v>
      </c>
      <c r="T424" s="65">
        <f t="shared" si="1146"/>
        <v>193</v>
      </c>
      <c r="U424" s="1151">
        <f t="shared" si="1146"/>
        <v>630.404</v>
      </c>
      <c r="V424" s="65">
        <f t="shared" si="1146"/>
        <v>134</v>
      </c>
      <c r="W424" s="65">
        <f t="shared" si="1146"/>
        <v>26</v>
      </c>
      <c r="X424" s="65">
        <f t="shared" si="1146"/>
        <v>246</v>
      </c>
      <c r="Y424" s="65">
        <f t="shared" si="1146"/>
        <v>207</v>
      </c>
      <c r="Z424" s="1151">
        <f t="shared" si="1146"/>
        <v>615</v>
      </c>
      <c r="AA424" s="65">
        <f t="shared" si="1146"/>
        <v>208</v>
      </c>
      <c r="AB424" s="65">
        <f t="shared" si="1146"/>
        <v>261</v>
      </c>
      <c r="AC424" s="65">
        <f t="shared" si="1146"/>
        <v>542</v>
      </c>
      <c r="AD424" s="65">
        <f t="shared" si="1146"/>
        <v>655</v>
      </c>
      <c r="AE424" s="1151">
        <f t="shared" si="1146"/>
        <v>1666</v>
      </c>
      <c r="AF424" s="65">
        <f t="shared" si="1146"/>
        <v>507</v>
      </c>
      <c r="AG424" s="65">
        <f t="shared" si="1146"/>
        <v>583</v>
      </c>
      <c r="AH424" s="65">
        <f t="shared" si="1146"/>
        <v>838</v>
      </c>
      <c r="AI424" s="65">
        <f t="shared" si="1146"/>
        <v>1118</v>
      </c>
      <c r="AJ424" s="1151">
        <f t="shared" si="1146"/>
        <v>3047</v>
      </c>
      <c r="AK424" s="65">
        <f t="shared" si="1146"/>
        <v>1244</v>
      </c>
      <c r="AL424" s="65">
        <f t="shared" si="1146"/>
        <v>1101</v>
      </c>
      <c r="AM424" s="65">
        <f t="shared" si="1146"/>
        <v>1230</v>
      </c>
      <c r="AN424" s="65">
        <f t="shared" si="1146"/>
        <v>567</v>
      </c>
      <c r="AO424" s="1151">
        <f t="shared" si="1146"/>
        <v>4141</v>
      </c>
      <c r="AP424" s="65">
        <f t="shared" si="1146"/>
        <v>394</v>
      </c>
      <c r="AQ424" s="65">
        <f t="shared" si="1146"/>
        <v>552</v>
      </c>
      <c r="AR424" s="65">
        <f t="shared" si="1146"/>
        <v>899</v>
      </c>
      <c r="AS424" s="65">
        <f t="shared" si="1146"/>
        <v>950</v>
      </c>
      <c r="AT424" s="1151">
        <f t="shared" si="1146"/>
        <v>2796</v>
      </c>
      <c r="AU424" s="65">
        <f t="shared" si="1146"/>
        <v>917</v>
      </c>
      <c r="AV424" s="65">
        <f t="shared" si="1146"/>
        <v>622</v>
      </c>
      <c r="AW424" s="65">
        <f t="shared" si="1146"/>
        <v>1336</v>
      </c>
      <c r="AX424" s="65">
        <f t="shared" si="1146"/>
        <v>1457</v>
      </c>
      <c r="AY424" s="1151">
        <f t="shared" si="1146"/>
        <v>4332</v>
      </c>
      <c r="AZ424" s="65">
        <f t="shared" si="1146"/>
        <v>1912</v>
      </c>
      <c r="BA424" s="65">
        <f t="shared" si="1146"/>
        <v>2374</v>
      </c>
      <c r="BB424" s="65">
        <f t="shared" si="1146"/>
        <v>2464</v>
      </c>
      <c r="BC424" s="65">
        <f t="shared" si="1146"/>
        <v>3003</v>
      </c>
      <c r="BD424" s="1151">
        <f t="shared" si="1146"/>
        <v>9752</v>
      </c>
      <c r="BE424" s="65">
        <f>BE422-BE423</f>
        <v>1618</v>
      </c>
      <c r="BF424" s="65">
        <f t="shared" ref="BF424" si="1147">BF422-BF423</f>
        <v>656</v>
      </c>
      <c r="BG424" s="65">
        <f t="shared" ref="BG424:BI424" si="1148">BG422-BG423</f>
        <v>680</v>
      </c>
      <c r="BH424" s="65">
        <f t="shared" si="1148"/>
        <v>1414</v>
      </c>
      <c r="BI424" s="1151">
        <f t="shared" si="1148"/>
        <v>4368</v>
      </c>
      <c r="BJ424" s="65">
        <f>BJ422-BJ423</f>
        <v>2043</v>
      </c>
      <c r="BK424" s="65">
        <f t="shared" ref="BK424" si="1149">BK422-BK423</f>
        <v>6188</v>
      </c>
      <c r="BL424" s="65">
        <f t="shared" ref="BL424:BM424" si="1150">BL422-BL423</f>
        <v>9243</v>
      </c>
      <c r="BM424" s="65">
        <f t="shared" si="1150"/>
        <v>12285</v>
      </c>
      <c r="BN424" s="1151">
        <f t="shared" ref="BN424" si="1151">BN422-BN423</f>
        <v>29760</v>
      </c>
      <c r="BO424" s="65">
        <f t="shared" ref="BO424:BS424" si="1152">BO422-BO423</f>
        <v>14881</v>
      </c>
      <c r="BP424" s="65">
        <f t="shared" si="1152"/>
        <v>16599</v>
      </c>
      <c r="BQ424" s="65">
        <f t="shared" si="1152"/>
        <v>19309</v>
      </c>
      <c r="BR424" s="65">
        <f t="shared" si="1152"/>
        <v>22091</v>
      </c>
      <c r="BS424" s="1151">
        <f t="shared" si="1152"/>
        <v>72880</v>
      </c>
      <c r="BT424" s="65">
        <f t="shared" ref="BT424:CK424" si="1153">BT422-BT423</f>
        <v>18775</v>
      </c>
      <c r="BU424" s="65">
        <f t="shared" si="1153"/>
        <v>26422</v>
      </c>
      <c r="BV424" s="65">
        <f t="shared" si="1153"/>
        <v>31910</v>
      </c>
      <c r="BW424" s="65">
        <f t="shared" si="1153"/>
        <v>42960</v>
      </c>
      <c r="BX424" s="1151">
        <f t="shared" si="1153"/>
        <v>120067</v>
      </c>
      <c r="BY424" s="906">
        <f>BY422-BY423</f>
        <v>58321</v>
      </c>
      <c r="BZ424" s="66">
        <f t="shared" si="1153"/>
        <v>49305.855680994806</v>
      </c>
      <c r="CA424" s="66">
        <f t="shared" si="1153"/>
        <v>52242.938255915949</v>
      </c>
      <c r="CB424" s="66">
        <f t="shared" si="1153"/>
        <v>53603.985736230716</v>
      </c>
      <c r="CC424" s="1152">
        <f t="shared" si="1153"/>
        <v>213473.77967314151</v>
      </c>
      <c r="CD424" s="66">
        <f t="shared" si="1153"/>
        <v>60116.45855254159</v>
      </c>
      <c r="CE424" s="66">
        <f t="shared" si="1153"/>
        <v>67306.748735863424</v>
      </c>
      <c r="CF424" s="66">
        <f t="shared" si="1153"/>
        <v>67177.562691273226</v>
      </c>
      <c r="CG424" s="66">
        <f t="shared" si="1153"/>
        <v>69062.707836977337</v>
      </c>
      <c r="CH424" s="1152">
        <f t="shared" si="1153"/>
        <v>263663.47781665553</v>
      </c>
      <c r="CI424" s="1152">
        <f t="shared" si="1153"/>
        <v>321325.57569344895</v>
      </c>
      <c r="CJ424" s="1152">
        <f t="shared" si="1153"/>
        <v>384988.61180512508</v>
      </c>
      <c r="CK424" s="1152">
        <f t="shared" si="1153"/>
        <v>460353.83008381887</v>
      </c>
      <c r="CL424" s="155"/>
    </row>
    <row r="425" spans="1:90" collapsed="1" x14ac:dyDescent="0.3">
      <c r="A425" s="609"/>
      <c r="B425" s="610"/>
      <c r="C425" s="1161"/>
      <c r="D425" s="1161"/>
      <c r="E425" s="1161"/>
      <c r="F425" s="1161"/>
      <c r="G425" s="378"/>
      <c r="H425" s="378"/>
      <c r="I425" s="378"/>
      <c r="J425" s="378"/>
      <c r="K425" s="1161"/>
      <c r="L425" s="378"/>
      <c r="M425" s="378"/>
      <c r="N425" s="378"/>
      <c r="O425" s="378"/>
      <c r="P425" s="1161"/>
      <c r="Q425" s="378"/>
      <c r="R425" s="378"/>
      <c r="S425" s="378"/>
      <c r="T425" s="378"/>
      <c r="U425" s="1161"/>
      <c r="V425" s="378"/>
      <c r="W425" s="378"/>
      <c r="X425" s="378"/>
      <c r="Y425" s="378"/>
      <c r="Z425" s="1161"/>
      <c r="AA425" s="378"/>
      <c r="AB425" s="378"/>
      <c r="AC425" s="378"/>
      <c r="AD425" s="378"/>
      <c r="AE425" s="1161"/>
      <c r="AF425" s="378"/>
      <c r="AG425" s="378"/>
      <c r="AH425" s="378"/>
      <c r="AI425" s="378"/>
      <c r="AJ425" s="1161"/>
      <c r="AK425" s="378"/>
      <c r="AL425" s="378"/>
      <c r="AM425" s="378"/>
      <c r="AN425" s="378"/>
      <c r="AO425" s="1161"/>
      <c r="AP425" s="378"/>
      <c r="AQ425" s="378"/>
      <c r="AR425" s="378"/>
      <c r="AS425" s="378"/>
      <c r="AT425" s="1161"/>
      <c r="AU425" s="378"/>
      <c r="AV425" s="378"/>
      <c r="AW425" s="378"/>
      <c r="AX425" s="378"/>
      <c r="AY425" s="1161"/>
      <c r="AZ425" s="378"/>
      <c r="BA425" s="378"/>
      <c r="BB425" s="378"/>
      <c r="BC425" s="378"/>
      <c r="BD425" s="1161"/>
      <c r="BE425" s="378"/>
      <c r="BF425" s="378"/>
      <c r="BG425" s="378"/>
      <c r="BH425" s="378"/>
      <c r="BI425" s="1161"/>
      <c r="BJ425" s="378"/>
      <c r="BK425" s="378"/>
      <c r="BL425" s="378"/>
      <c r="BM425" s="378"/>
      <c r="BN425" s="1161"/>
      <c r="BO425" s="378"/>
      <c r="BP425" s="378"/>
      <c r="BQ425" s="378"/>
      <c r="BR425" s="378"/>
      <c r="BS425" s="1161"/>
      <c r="BT425" s="378"/>
      <c r="BU425" s="378"/>
      <c r="BV425" s="378"/>
      <c r="BW425" s="378"/>
      <c r="BX425" s="1161"/>
      <c r="BY425" s="1006"/>
      <c r="BZ425" s="378"/>
      <c r="CA425" s="378"/>
      <c r="CB425" s="378"/>
      <c r="CC425" s="1161"/>
      <c r="CD425" s="378"/>
      <c r="CE425" s="378"/>
      <c r="CF425" s="378"/>
      <c r="CG425" s="378"/>
      <c r="CH425" s="1161"/>
      <c r="CI425" s="1161"/>
      <c r="CJ425" s="1161"/>
      <c r="CK425" s="1161"/>
      <c r="CL425" s="155"/>
    </row>
    <row r="426" spans="1:90" x14ac:dyDescent="0.3">
      <c r="A426" s="141" t="s">
        <v>107</v>
      </c>
      <c r="B426" s="283"/>
      <c r="C426" s="1169">
        <f t="shared" ref="C426:J426" si="1154">C414/C411</f>
        <v>9.119568175632782E-2</v>
      </c>
      <c r="D426" s="1169">
        <f t="shared" si="1154"/>
        <v>6.9211829146257828E-2</v>
      </c>
      <c r="E426" s="1169">
        <f t="shared" si="1154"/>
        <v>7.957465388464495E-2</v>
      </c>
      <c r="F426" s="1169">
        <f t="shared" si="1154"/>
        <v>0.13038855115674908</v>
      </c>
      <c r="G426" s="287">
        <f t="shared" si="1154"/>
        <v>0.20173191353528083</v>
      </c>
      <c r="H426" s="287">
        <f t="shared" si="1154"/>
        <v>0.17438205077283006</v>
      </c>
      <c r="I426" s="287">
        <f t="shared" si="1154"/>
        <v>0.17007759538823061</v>
      </c>
      <c r="J426" s="287">
        <f t="shared" si="1154"/>
        <v>6.7839097907405388E-2</v>
      </c>
      <c r="K426" s="1169">
        <f t="shared" ref="K426:AV426" si="1155">K414/K411</f>
        <v>0.14806787638338836</v>
      </c>
      <c r="L426" s="287">
        <f t="shared" si="1155"/>
        <v>0.1267572130141191</v>
      </c>
      <c r="M426" s="287">
        <f t="shared" si="1155"/>
        <v>0.1424013790530588</v>
      </c>
      <c r="N426" s="287">
        <f t="shared" si="1155"/>
        <v>0.15775349817903001</v>
      </c>
      <c r="O426" s="287">
        <f t="shared" si="1155"/>
        <v>0.11304232641533503</v>
      </c>
      <c r="P426" s="1169">
        <f t="shared" si="1155"/>
        <v>0.13439644583054433</v>
      </c>
      <c r="Q426" s="287">
        <f t="shared" si="1155"/>
        <v>0.16161616161616163</v>
      </c>
      <c r="R426" s="287">
        <f t="shared" si="1155"/>
        <v>0.18396226415094338</v>
      </c>
      <c r="S426" s="287">
        <f t="shared" si="1155"/>
        <v>0.17602996254681649</v>
      </c>
      <c r="T426" s="287">
        <f t="shared" si="1155"/>
        <v>0.16027874564459929</v>
      </c>
      <c r="U426" s="1169">
        <f t="shared" si="1155"/>
        <v>0.16822429906542055</v>
      </c>
      <c r="V426" s="287">
        <f t="shared" si="1155"/>
        <v>0.20425531914893616</v>
      </c>
      <c r="W426" s="287">
        <f t="shared" si="1155"/>
        <v>0.18803418803418803</v>
      </c>
      <c r="X426" s="287">
        <f t="shared" si="1155"/>
        <v>0.18006430868167203</v>
      </c>
      <c r="Y426" s="287">
        <f t="shared" si="1155"/>
        <v>0.18406593406593408</v>
      </c>
      <c r="Z426" s="1169">
        <f t="shared" si="1155"/>
        <v>0.18864628820960699</v>
      </c>
      <c r="AA426" s="287">
        <f t="shared" si="1155"/>
        <v>0.18322981366459629</v>
      </c>
      <c r="AB426" s="287">
        <f t="shared" si="1155"/>
        <v>0.19537275064267351</v>
      </c>
      <c r="AC426" s="287">
        <f t="shared" si="1155"/>
        <v>0.19831223628691982</v>
      </c>
      <c r="AD426" s="287">
        <f t="shared" si="1155"/>
        <v>0.13193588162762021</v>
      </c>
      <c r="AE426" s="1169">
        <f t="shared" si="1155"/>
        <v>0.17144136078782454</v>
      </c>
      <c r="AF426" s="287">
        <f t="shared" si="1155"/>
        <v>0.16062992125984252</v>
      </c>
      <c r="AG426" s="287">
        <f t="shared" si="1155"/>
        <v>0.17464424320827943</v>
      </c>
      <c r="AH426" s="287">
        <f t="shared" si="1155"/>
        <v>0.17279046673286991</v>
      </c>
      <c r="AI426" s="287">
        <f t="shared" si="1155"/>
        <v>0.10439105219552609</v>
      </c>
      <c r="AJ426" s="1169">
        <f t="shared" si="1155"/>
        <v>0.14873068432671083</v>
      </c>
      <c r="AK426" s="287">
        <f t="shared" si="1155"/>
        <v>0.10701876302988186</v>
      </c>
      <c r="AL426" s="287">
        <f t="shared" si="1155"/>
        <v>7.7040427154843633E-2</v>
      </c>
      <c r="AM426" s="287">
        <f t="shared" si="1155"/>
        <v>6.4987814784727857E-2</v>
      </c>
      <c r="AN426" s="287">
        <f t="shared" si="1155"/>
        <v>2.3622047244094488E-2</v>
      </c>
      <c r="AO426" s="1169">
        <f t="shared" si="1155"/>
        <v>7.7077300066830029E-2</v>
      </c>
      <c r="AP426" s="287">
        <f t="shared" si="1155"/>
        <v>7.6530612244897961E-2</v>
      </c>
      <c r="AQ426" s="287">
        <f t="shared" si="1155"/>
        <v>8.9605734767025089E-2</v>
      </c>
      <c r="AR426" s="287">
        <f t="shared" si="1155"/>
        <v>7.2329688814129517E-2</v>
      </c>
      <c r="AS426" s="287">
        <f t="shared" si="1155"/>
        <v>5.93900481540931E-2</v>
      </c>
      <c r="AT426" s="1169">
        <f t="shared" si="1155"/>
        <v>7.2538860103626937E-2</v>
      </c>
      <c r="AU426" s="287">
        <f t="shared" si="1155"/>
        <v>7.6669414674361086E-2</v>
      </c>
      <c r="AV426" s="287">
        <f t="shared" si="1155"/>
        <v>7.5152335815842922E-2</v>
      </c>
      <c r="AW426" s="287">
        <f t="shared" ref="AW426:BB426" si="1156">AW414/AW411</f>
        <v>5.8521560574948665E-2</v>
      </c>
      <c r="AX426" s="287">
        <f t="shared" si="1156"/>
        <v>4.2563600782778863E-2</v>
      </c>
      <c r="AY426" s="1169">
        <f t="shared" si="1156"/>
        <v>6.0751159658835853E-2</v>
      </c>
      <c r="AZ426" s="287">
        <f t="shared" si="1156"/>
        <v>7.9219745222929933E-2</v>
      </c>
      <c r="BA426" s="287">
        <f t="shared" si="1156"/>
        <v>0.13203176704169425</v>
      </c>
      <c r="BB426" s="287">
        <f t="shared" si="1156"/>
        <v>0.10827834433113377</v>
      </c>
      <c r="BC426" s="287">
        <f t="shared" ref="BC426:BI426" si="1157">BC414/BC411</f>
        <v>7.586206896551724E-2</v>
      </c>
      <c r="BD426" s="1169">
        <f t="shared" si="1157"/>
        <v>9.884744677445173E-2</v>
      </c>
      <c r="BE426" s="287">
        <f t="shared" si="1157"/>
        <v>0.11943734015345268</v>
      </c>
      <c r="BF426" s="287">
        <f t="shared" si="1157"/>
        <v>1.2232415902140673E-2</v>
      </c>
      <c r="BG426" s="287">
        <f t="shared" si="1157"/>
        <v>6.6666666666666666E-2</v>
      </c>
      <c r="BH426" s="287">
        <f t="shared" si="1157"/>
        <v>4.102337891486546E-2</v>
      </c>
      <c r="BI426" s="1169">
        <f t="shared" si="1157"/>
        <v>7.5171346451470264E-2</v>
      </c>
      <c r="BJ426" s="287">
        <f t="shared" ref="BJ426:BO426" si="1158">BJ414/BJ411</f>
        <v>0.13488520408163265</v>
      </c>
      <c r="BK426" s="287">
        <f t="shared" si="1158"/>
        <v>0.146403242147923</v>
      </c>
      <c r="BL426" s="287">
        <f t="shared" si="1158"/>
        <v>0.1459256733719741</v>
      </c>
      <c r="BM426" s="287">
        <f t="shared" si="1158"/>
        <v>0.14298110940524664</v>
      </c>
      <c r="BN426" s="1169">
        <f t="shared" si="1158"/>
        <v>0.14396227414825413</v>
      </c>
      <c r="BO426" s="287">
        <f t="shared" si="1158"/>
        <v>0.17008877512118076</v>
      </c>
      <c r="BP426" s="287">
        <f t="shared" ref="BP426:BU426" si="1159">BP414/BP411</f>
        <v>0.16562484618792145</v>
      </c>
      <c r="BQ426" s="287">
        <f t="shared" si="1159"/>
        <v>0.15523282813357539</v>
      </c>
      <c r="BR426" s="287">
        <f t="shared" si="1159"/>
        <v>0.15042544180495129</v>
      </c>
      <c r="BS426" s="1169">
        <f t="shared" si="1159"/>
        <v>0.15928953088208658</v>
      </c>
      <c r="BT426" s="287">
        <f t="shared" si="1159"/>
        <v>0.16140454411330776</v>
      </c>
      <c r="BU426" s="287">
        <f t="shared" si="1159"/>
        <v>0.15975232198142414</v>
      </c>
      <c r="BV426" s="287">
        <f>BV414/BV411</f>
        <v>0.17111545988258317</v>
      </c>
      <c r="BW426" s="287">
        <f>BW414/BW411</f>
        <v>0.15355147987245063</v>
      </c>
      <c r="BX426" s="1169">
        <f>BX414/BX411</f>
        <v>0.16107729042528018</v>
      </c>
      <c r="BY426" s="914">
        <f>BY414/BY411</f>
        <v>0.16025073746312685</v>
      </c>
      <c r="BZ426" s="1073">
        <v>0.17</v>
      </c>
      <c r="CA426" s="1073">
        <v>0.15</v>
      </c>
      <c r="CB426" s="1073">
        <v>0.15</v>
      </c>
      <c r="CC426" s="1170">
        <f>CC414/CC411</f>
        <v>0.15732617909666205</v>
      </c>
      <c r="CD426" s="1073">
        <v>0.15</v>
      </c>
      <c r="CE426" s="1073">
        <v>0.15</v>
      </c>
      <c r="CF426" s="1073">
        <v>0.15</v>
      </c>
      <c r="CG426" s="1073">
        <v>0.15</v>
      </c>
      <c r="CH426" s="1170">
        <f>CH414/CH411</f>
        <v>0.15000000000000002</v>
      </c>
      <c r="CI426" s="1171">
        <v>0.15</v>
      </c>
      <c r="CJ426" s="1171">
        <v>0.15</v>
      </c>
      <c r="CK426" s="1171">
        <v>0.15</v>
      </c>
      <c r="CL426" s="155"/>
    </row>
    <row r="427" spans="1:90" x14ac:dyDescent="0.3">
      <c r="A427" s="665" t="s">
        <v>804</v>
      </c>
      <c r="B427" s="283"/>
      <c r="C427" s="1172">
        <f t="shared" ref="C427:BD427" si="1160">-C421/SUM(C416:C420)</f>
        <v>0.13221199879629045</v>
      </c>
      <c r="D427" s="1172">
        <f t="shared" si="1160"/>
        <v>0.10598232204620182</v>
      </c>
      <c r="E427" s="1172">
        <f t="shared" si="1160"/>
        <v>9.4001209253630827E-2</v>
      </c>
      <c r="F427" s="1172">
        <f t="shared" si="1160"/>
        <v>0.15353952497156698</v>
      </c>
      <c r="G427" s="664">
        <f t="shared" si="1160"/>
        <v>0.17721041657424261</v>
      </c>
      <c r="H427" s="664">
        <f t="shared" si="1160"/>
        <v>0.16066034192779349</v>
      </c>
      <c r="I427" s="664">
        <f t="shared" si="1160"/>
        <v>0.1365783041032822</v>
      </c>
      <c r="J427" s="664">
        <f t="shared" si="1160"/>
        <v>7.8867474756561057E-2</v>
      </c>
      <c r="K427" s="1172">
        <f t="shared" si="1160"/>
        <v>0.14041580494176553</v>
      </c>
      <c r="L427" s="664">
        <f t="shared" si="1160"/>
        <v>0.15022007667187279</v>
      </c>
      <c r="M427" s="664">
        <f t="shared" si="1160"/>
        <v>0.15503218859538595</v>
      </c>
      <c r="N427" s="664">
        <f t="shared" si="1160"/>
        <v>0.14728418184914013</v>
      </c>
      <c r="O427" s="664">
        <f t="shared" si="1160"/>
        <v>4.5278045795778127E-2</v>
      </c>
      <c r="P427" s="1172">
        <f t="shared" si="1160"/>
        <v>0.12444030180932211</v>
      </c>
      <c r="Q427" s="664">
        <f t="shared" si="1160"/>
        <v>0.17353579175704997</v>
      </c>
      <c r="R427" s="664">
        <f t="shared" si="1160"/>
        <v>0.21052631578947367</v>
      </c>
      <c r="S427" s="664">
        <f t="shared" si="1160"/>
        <v>0.1929113835253678</v>
      </c>
      <c r="T427" s="664">
        <f t="shared" si="1160"/>
        <v>0.1864406779661017</v>
      </c>
      <c r="U427" s="1172">
        <f t="shared" si="1160"/>
        <v>0.18217031966097141</v>
      </c>
      <c r="V427" s="664">
        <f t="shared" si="1160"/>
        <v>0.15873015873015872</v>
      </c>
      <c r="W427" s="664">
        <f t="shared" si="1160"/>
        <v>-1.2345679012345678E-2</v>
      </c>
      <c r="X427" s="664">
        <f t="shared" si="1160"/>
        <v>0.86363636363636365</v>
      </c>
      <c r="Y427" s="664">
        <f t="shared" si="1160"/>
        <v>0.1891891891891892</v>
      </c>
      <c r="Z427" s="1172">
        <f t="shared" si="1160"/>
        <v>0.21695760598503741</v>
      </c>
      <c r="AA427" s="664">
        <f t="shared" si="1160"/>
        <v>0.32098765432098764</v>
      </c>
      <c r="AB427" s="664">
        <f t="shared" si="1160"/>
        <v>0.27777777777777779</v>
      </c>
      <c r="AC427" s="664">
        <f t="shared" si="1160"/>
        <v>0.68888888888888888</v>
      </c>
      <c r="AD427" s="664">
        <f t="shared" si="1160"/>
        <v>0.42352941176470588</v>
      </c>
      <c r="AE427" s="1172">
        <f t="shared" si="1160"/>
        <v>0.43768996960486323</v>
      </c>
      <c r="AF427" s="664">
        <f t="shared" si="1160"/>
        <v>0.73737373737373735</v>
      </c>
      <c r="AG427" s="664">
        <f t="shared" si="1160"/>
        <v>0.38202247191011235</v>
      </c>
      <c r="AH427" s="664">
        <f t="shared" si="1160"/>
        <v>1.045045045045045</v>
      </c>
      <c r="AI427" s="664">
        <f t="shared" si="1160"/>
        <v>1.2868217054263567</v>
      </c>
      <c r="AJ427" s="1172">
        <f t="shared" si="1160"/>
        <v>0.91121495327102808</v>
      </c>
      <c r="AK427" s="664">
        <f t="shared" si="1160"/>
        <v>0.6796875</v>
      </c>
      <c r="AL427" s="664">
        <f t="shared" si="1160"/>
        <v>0.16793893129770993</v>
      </c>
      <c r="AM427" s="664">
        <f t="shared" si="1160"/>
        <v>1.5266666666666666</v>
      </c>
      <c r="AN427" s="664">
        <f t="shared" si="1160"/>
        <v>1.3858695652173914</v>
      </c>
      <c r="AO427" s="1172">
        <f t="shared" si="1160"/>
        <v>0.99662731871838106</v>
      </c>
      <c r="AP427" s="664">
        <f t="shared" si="1160"/>
        <v>0.25125628140703515</v>
      </c>
      <c r="AQ427" s="664">
        <f t="shared" si="1160"/>
        <v>9.0909090909090912E-2</v>
      </c>
      <c r="AR427" s="664">
        <f t="shared" si="1160"/>
        <v>0.11304347826086956</v>
      </c>
      <c r="AS427" s="664">
        <f t="shared" si="1160"/>
        <v>3.4782608695652174E-2</v>
      </c>
      <c r="AT427" s="1172">
        <f t="shared" si="1160"/>
        <v>0.11910112359550562</v>
      </c>
      <c r="AU427" s="664">
        <f t="shared" si="1160"/>
        <v>0.125</v>
      </c>
      <c r="AV427" s="664">
        <f t="shared" si="1160"/>
        <v>0.14285714285714285</v>
      </c>
      <c r="AW427" s="664">
        <f t="shared" si="1160"/>
        <v>0.17</v>
      </c>
      <c r="AX427" s="664">
        <f t="shared" si="1160"/>
        <v>0.1289198606271777</v>
      </c>
      <c r="AY427" s="1172">
        <f t="shared" si="1160"/>
        <v>0.14467897977132807</v>
      </c>
      <c r="AZ427" s="664">
        <f t="shared" si="1160"/>
        <v>0.14316239316239315</v>
      </c>
      <c r="BA427" s="664">
        <f t="shared" si="1160"/>
        <v>0.60350318471337583</v>
      </c>
      <c r="BB427" s="664">
        <f t="shared" si="1160"/>
        <v>0.26867816091954022</v>
      </c>
      <c r="BC427" s="664">
        <f t="shared" si="1160"/>
        <v>0.54342105263157892</v>
      </c>
      <c r="BD427" s="1172">
        <f t="shared" si="1160"/>
        <v>0.40971406188797493</v>
      </c>
      <c r="BE427" s="664">
        <f t="shared" ref="BE427:BJ427" si="1161">-BE421/SUM(BE416:BE420)</f>
        <v>0.1330166270783848</v>
      </c>
      <c r="BF427" s="664">
        <f t="shared" si="1161"/>
        <v>0.23649459783913565</v>
      </c>
      <c r="BG427" s="664">
        <f t="shared" si="1161"/>
        <v>0.18057022175290391</v>
      </c>
      <c r="BH427" s="664">
        <f t="shared" si="1161"/>
        <v>0.22290388548057261</v>
      </c>
      <c r="BI427" s="1172">
        <f t="shared" si="1161"/>
        <v>0.17821171634121274</v>
      </c>
      <c r="BJ427" s="664">
        <f t="shared" si="1161"/>
        <v>0.27723840345199569</v>
      </c>
      <c r="BK427" s="664">
        <f t="shared" ref="BK427:BP427" si="1162">-BK421/SUM(BK416:BK420)</f>
        <v>0.39672131147540984</v>
      </c>
      <c r="BL427" s="664">
        <f t="shared" si="1162"/>
        <v>0.35785123966942151</v>
      </c>
      <c r="BM427" s="664">
        <f t="shared" si="1162"/>
        <v>0.36685714285714288</v>
      </c>
      <c r="BN427" s="1172">
        <f t="shared" si="1162"/>
        <v>0.35030549898167007</v>
      </c>
      <c r="BO427" s="664">
        <f t="shared" si="1162"/>
        <v>0.67005545286506474</v>
      </c>
      <c r="BP427" s="664">
        <f t="shared" si="1162"/>
        <v>0.67996373526745235</v>
      </c>
      <c r="BQ427" s="664">
        <f t="shared" ref="BQ427:BV427" si="1163">-BQ421/SUM(BQ416:BQ420)</f>
        <v>0.48869438366156093</v>
      </c>
      <c r="BR427" s="664">
        <f t="shared" si="1163"/>
        <v>1.033068783068783</v>
      </c>
      <c r="BS427" s="1172">
        <f t="shared" si="1163"/>
        <v>0.67865429234338748</v>
      </c>
      <c r="BT427" s="664">
        <f t="shared" si="1163"/>
        <v>0.38279095421952564</v>
      </c>
      <c r="BU427" s="664">
        <f t="shared" si="1163"/>
        <v>-0.22648752399232247</v>
      </c>
      <c r="BV427" s="664">
        <f t="shared" si="1163"/>
        <v>1.3676092544987146</v>
      </c>
      <c r="BW427" s="664">
        <f>-BW421/SUM(BW416:BW420)</f>
        <v>7.1389645776566757E-2</v>
      </c>
      <c r="BX427" s="1172">
        <f>-BX421/SUM(BX416:BX420)</f>
        <v>-0.54348919054801403</v>
      </c>
      <c r="BY427" s="915">
        <f>-BY421/SUM(BY416:BY420)</f>
        <v>0.18451126859477751</v>
      </c>
      <c r="BZ427" s="1074">
        <v>0.15</v>
      </c>
      <c r="CA427" s="1074">
        <v>0.15</v>
      </c>
      <c r="CB427" s="1074">
        <v>0.15</v>
      </c>
      <c r="CC427" s="1172">
        <f>-CC421/SUM(CC416:CC420)</f>
        <v>0.18612376834023717</v>
      </c>
      <c r="CD427" s="1074">
        <v>0.15</v>
      </c>
      <c r="CE427" s="1074">
        <v>0.15</v>
      </c>
      <c r="CF427" s="1074">
        <v>0.15</v>
      </c>
      <c r="CG427" s="1074">
        <v>0.15</v>
      </c>
      <c r="CH427" s="1172">
        <f>-CH421/SUM(CH416:CH420)</f>
        <v>0.15</v>
      </c>
      <c r="CI427" s="1173">
        <v>0.15</v>
      </c>
      <c r="CJ427" s="1173">
        <v>0.15</v>
      </c>
      <c r="CK427" s="1173">
        <v>0.15</v>
      </c>
      <c r="CL427" s="155"/>
    </row>
    <row r="428" spans="1:90" x14ac:dyDescent="0.3">
      <c r="A428" s="665" t="s">
        <v>805</v>
      </c>
      <c r="B428" s="283"/>
      <c r="C428" s="1172">
        <f t="shared" ref="C428:AH428" si="1164">C412/(C422+C412)</f>
        <v>0.30062392326674936</v>
      </c>
      <c r="D428" s="1172">
        <f t="shared" si="1164"/>
        <v>0.17385228570734271</v>
      </c>
      <c r="E428" s="1172">
        <f t="shared" si="1164"/>
        <v>6.6464086971593339E-2</v>
      </c>
      <c r="F428" s="1172">
        <f t="shared" si="1164"/>
        <v>0.12406767601854697</v>
      </c>
      <c r="G428" s="664">
        <f t="shared" si="1164"/>
        <v>0.21607108113366627</v>
      </c>
      <c r="H428" s="664">
        <f t="shared" si="1164"/>
        <v>0.18016913668668388</v>
      </c>
      <c r="I428" s="664">
        <f t="shared" si="1164"/>
        <v>0.17564306780008523</v>
      </c>
      <c r="J428" s="664">
        <f t="shared" si="1164"/>
        <v>6.5204075053194921E-2</v>
      </c>
      <c r="K428" s="1172">
        <f t="shared" si="1164"/>
        <v>0.15029779212402894</v>
      </c>
      <c r="L428" s="664">
        <f t="shared" si="1164"/>
        <v>0.11549817174263588</v>
      </c>
      <c r="M428" s="664">
        <f t="shared" si="1164"/>
        <v>0.13747093543194419</v>
      </c>
      <c r="N428" s="664">
        <f t="shared" si="1164"/>
        <v>0.16079556698990688</v>
      </c>
      <c r="O428" s="664">
        <f t="shared" si="1164"/>
        <v>0.13009213206385253</v>
      </c>
      <c r="P428" s="1172">
        <f t="shared" si="1164"/>
        <v>0.13770396704386437</v>
      </c>
      <c r="Q428" s="664">
        <f t="shared" si="1164"/>
        <v>0.15909438580388557</v>
      </c>
      <c r="R428" s="664">
        <f t="shared" si="1164"/>
        <v>0.17419354838709677</v>
      </c>
      <c r="S428" s="664">
        <f t="shared" si="1164"/>
        <v>0.17144571600017144</v>
      </c>
      <c r="T428" s="664">
        <f t="shared" si="1164"/>
        <v>0.15350877192982457</v>
      </c>
      <c r="U428" s="1172">
        <f t="shared" si="1164"/>
        <v>0.16436816347739408</v>
      </c>
      <c r="V428" s="664">
        <f t="shared" si="1164"/>
        <v>0.22093023255813954</v>
      </c>
      <c r="W428" s="664">
        <f t="shared" si="1164"/>
        <v>0.63888888888888884</v>
      </c>
      <c r="X428" s="664">
        <f t="shared" si="1164"/>
        <v>-4.0816326530612249E-3</v>
      </c>
      <c r="Y428" s="664">
        <f t="shared" si="1164"/>
        <v>0.18181818181818182</v>
      </c>
      <c r="Z428" s="1172">
        <f t="shared" si="1164"/>
        <v>0.17338709677419356</v>
      </c>
      <c r="AA428" s="664">
        <f t="shared" si="1164"/>
        <v>0.13692946058091288</v>
      </c>
      <c r="AB428" s="664">
        <f t="shared" si="1164"/>
        <v>0.17665615141955837</v>
      </c>
      <c r="AC428" s="664">
        <f t="shared" si="1164"/>
        <v>0.12721417069243157</v>
      </c>
      <c r="AD428" s="664">
        <f t="shared" si="1164"/>
        <v>9.7796143250688708E-2</v>
      </c>
      <c r="AE428" s="1172">
        <f t="shared" si="1164"/>
        <v>0.12545931758530185</v>
      </c>
      <c r="AF428" s="664">
        <f t="shared" si="1164"/>
        <v>5.4104477611940295E-2</v>
      </c>
      <c r="AG428" s="664">
        <f t="shared" si="1164"/>
        <v>0.1476608187134503</v>
      </c>
      <c r="AH428" s="664">
        <f t="shared" si="1164"/>
        <v>6.4732142857142863E-2</v>
      </c>
      <c r="AI428" s="664">
        <f t="shared" ref="AI428:BE428" si="1165">AI412/(AI422+AI412)</f>
        <v>-3.7105751391465679E-2</v>
      </c>
      <c r="AJ428" s="1172">
        <f t="shared" si="1165"/>
        <v>4.6620775969962454E-2</v>
      </c>
      <c r="AK428" s="664">
        <f t="shared" si="1165"/>
        <v>5.1106025934401222E-2</v>
      </c>
      <c r="AL428" s="664">
        <f t="shared" si="1165"/>
        <v>6.6949152542372881E-2</v>
      </c>
      <c r="AM428" s="664">
        <f t="shared" si="1165"/>
        <v>-0.13783533765032377</v>
      </c>
      <c r="AN428" s="664">
        <f t="shared" si="1165"/>
        <v>-0.75</v>
      </c>
      <c r="AO428" s="1172">
        <f t="shared" si="1165"/>
        <v>-6.2885010266940447E-2</v>
      </c>
      <c r="AP428" s="664">
        <f t="shared" si="1165"/>
        <v>-1.2853470437017995E-2</v>
      </c>
      <c r="AQ428" s="664">
        <f t="shared" si="1165"/>
        <v>8.9108910891089105E-2</v>
      </c>
      <c r="AR428" s="664">
        <f t="shared" si="1165"/>
        <v>6.2565172054223156E-2</v>
      </c>
      <c r="AS428" s="664">
        <f t="shared" si="1165"/>
        <v>6.4960629921259838E-2</v>
      </c>
      <c r="AT428" s="1172">
        <f t="shared" si="1165"/>
        <v>5.8585858585858588E-2</v>
      </c>
      <c r="AU428" s="664">
        <f t="shared" si="1165"/>
        <v>6.5239551478083593E-2</v>
      </c>
      <c r="AV428" s="664">
        <f t="shared" si="1165"/>
        <v>-2.1346469622331693E-2</v>
      </c>
      <c r="AW428" s="664">
        <f t="shared" si="1165"/>
        <v>8.9020771513353119E-3</v>
      </c>
      <c r="AX428" s="664">
        <f t="shared" si="1165"/>
        <v>8.8435374149659872E-3</v>
      </c>
      <c r="AY428" s="1172">
        <f t="shared" si="1165"/>
        <v>1.7464277613971423E-2</v>
      </c>
      <c r="AZ428" s="664">
        <f t="shared" si="1165"/>
        <v>6.4579256360078274E-2</v>
      </c>
      <c r="BA428" s="664">
        <f t="shared" si="1165"/>
        <v>8.3542188805346695E-3</v>
      </c>
      <c r="BB428" s="664">
        <f t="shared" si="1165"/>
        <v>6.5959059893858987E-2</v>
      </c>
      <c r="BC428" s="664">
        <f t="shared" si="1165"/>
        <v>-4.8167539267015703E-2</v>
      </c>
      <c r="BD428" s="1172">
        <f t="shared" si="1165"/>
        <v>1.9012171813700834E-2</v>
      </c>
      <c r="BE428" s="664">
        <f t="shared" si="1165"/>
        <v>0.10360110803324099</v>
      </c>
      <c r="BF428" s="664">
        <f t="shared" ref="BF428:BI428" si="1166">BF412/(BF422+BF412)</f>
        <v>-0.38105263157894737</v>
      </c>
      <c r="BG428" s="664">
        <f t="shared" si="1166"/>
        <v>-0.10929853181076672</v>
      </c>
      <c r="BH428" s="664">
        <f t="shared" si="1166"/>
        <v>-9.6974398758727695E-2</v>
      </c>
      <c r="BI428" s="1172">
        <f t="shared" si="1166"/>
        <v>-4.4726142071274816E-2</v>
      </c>
      <c r="BJ428" s="664">
        <f t="shared" ref="BJ428:BN428" si="1167">BJ412/(BJ422+BJ412)</f>
        <v>7.5147125396106837E-2</v>
      </c>
      <c r="BK428" s="664">
        <f t="shared" si="1167"/>
        <v>0.11359404096834265</v>
      </c>
      <c r="BL428" s="664">
        <f t="shared" si="1167"/>
        <v>0.12155483748336818</v>
      </c>
      <c r="BM428" s="664">
        <f t="shared" si="1167"/>
        <v>0.12909400255210549</v>
      </c>
      <c r="BN428" s="1172">
        <f t="shared" si="1167"/>
        <v>0.1199952687917677</v>
      </c>
      <c r="BO428" s="664">
        <f t="shared" ref="BO428:BS428" si="1168">BO412/(BO422+BO412)</f>
        <v>0.13878117946640431</v>
      </c>
      <c r="BP428" s="664">
        <f t="shared" si="1168"/>
        <v>0.1360986780472572</v>
      </c>
      <c r="BQ428" s="664">
        <f t="shared" si="1168"/>
        <v>0.13474637031726117</v>
      </c>
      <c r="BR428" s="664">
        <f t="shared" si="1168"/>
        <v>0.1239639925447119</v>
      </c>
      <c r="BS428" s="1172">
        <f t="shared" si="1168"/>
        <v>0.13264941803727417</v>
      </c>
      <c r="BT428" s="664">
        <f t="shared" ref="BT428:CK428" si="1169">BT412/(BT422+BT412)</f>
        <v>0.1430853491556367</v>
      </c>
      <c r="BU428" s="664">
        <f t="shared" si="1169"/>
        <v>0.15330385182336731</v>
      </c>
      <c r="BV428" s="664">
        <f t="shared" si="1169"/>
        <v>0.15884647827920709</v>
      </c>
      <c r="BW428" s="664">
        <f t="shared" si="1169"/>
        <v>0.14756830763735937</v>
      </c>
      <c r="BX428" s="1172">
        <f t="shared" si="1169"/>
        <v>0.15117002474372571</v>
      </c>
      <c r="BY428" s="915">
        <f>BY412/(BY422+BY412)</f>
        <v>0.16568673733602277</v>
      </c>
      <c r="BZ428" s="664">
        <f t="shared" si="1169"/>
        <v>0.17009795625371138</v>
      </c>
      <c r="CA428" s="664">
        <f t="shared" si="1169"/>
        <v>0.15</v>
      </c>
      <c r="CB428" s="664">
        <f t="shared" si="1169"/>
        <v>0.15000000000000002</v>
      </c>
      <c r="CC428" s="1172">
        <f t="shared" si="1169"/>
        <v>0.15902378988646787</v>
      </c>
      <c r="CD428" s="664">
        <f t="shared" si="1169"/>
        <v>0.15</v>
      </c>
      <c r="CE428" s="664">
        <f t="shared" si="1169"/>
        <v>0.15</v>
      </c>
      <c r="CF428" s="664">
        <f t="shared" si="1169"/>
        <v>0.15</v>
      </c>
      <c r="CG428" s="664">
        <f t="shared" si="1169"/>
        <v>0.15</v>
      </c>
      <c r="CH428" s="1172">
        <f t="shared" si="1169"/>
        <v>0.15</v>
      </c>
      <c r="CI428" s="1172">
        <f t="shared" si="1169"/>
        <v>0.15</v>
      </c>
      <c r="CJ428" s="1172">
        <f t="shared" si="1169"/>
        <v>0.15</v>
      </c>
      <c r="CK428" s="1172">
        <f t="shared" si="1169"/>
        <v>0.15</v>
      </c>
      <c r="CL428" s="155"/>
    </row>
    <row r="429" spans="1:90" x14ac:dyDescent="0.3">
      <c r="A429" s="85" t="s">
        <v>108</v>
      </c>
      <c r="B429" s="283"/>
      <c r="C429" s="1170">
        <f t="shared" ref="C429:AH429" si="1170">C860/C414</f>
        <v>-1.4472146232280527</v>
      </c>
      <c r="D429" s="1170">
        <f t="shared" si="1170"/>
        <v>-2.0115095595928847</v>
      </c>
      <c r="E429" s="1170">
        <f t="shared" si="1170"/>
        <v>-6.4242012236573748E-2</v>
      </c>
      <c r="F429" s="1170">
        <f t="shared" si="1170"/>
        <v>0.17305387046387447</v>
      </c>
      <c r="G429" s="288">
        <f t="shared" si="1170"/>
        <v>0.14727958777944575</v>
      </c>
      <c r="H429" s="288">
        <f t="shared" si="1170"/>
        <v>0.28224215994000174</v>
      </c>
      <c r="I429" s="288">
        <f t="shared" si="1170"/>
        <v>0.5743792616742539</v>
      </c>
      <c r="J429" s="288">
        <f t="shared" si="1170"/>
        <v>-0.69198312236286919</v>
      </c>
      <c r="K429" s="1170">
        <f t="shared" si="1170"/>
        <v>0.25167268332372245</v>
      </c>
      <c r="L429" s="288">
        <f t="shared" si="1170"/>
        <v>-0.18542284641927481</v>
      </c>
      <c r="M429" s="288">
        <f t="shared" si="1170"/>
        <v>0.11075477663851123</v>
      </c>
      <c r="N429" s="288">
        <f t="shared" si="1170"/>
        <v>0.29595556327026562</v>
      </c>
      <c r="O429" s="288">
        <f t="shared" si="1170"/>
        <v>0.31454279137894964</v>
      </c>
      <c r="P429" s="1170">
        <f t="shared" si="1170"/>
        <v>0.16889599159351124</v>
      </c>
      <c r="Q429" s="288">
        <f t="shared" si="1170"/>
        <v>0.6875</v>
      </c>
      <c r="R429" s="288">
        <f t="shared" si="1170"/>
        <v>0.41025641025641024</v>
      </c>
      <c r="S429" s="288">
        <f t="shared" si="1170"/>
        <v>0.51063829787234039</v>
      </c>
      <c r="T429" s="288">
        <f t="shared" si="1170"/>
        <v>0.45652173913043476</v>
      </c>
      <c r="U429" s="1170">
        <f t="shared" si="1170"/>
        <v>0.51234567901234573</v>
      </c>
      <c r="V429" s="288">
        <f t="shared" si="1170"/>
        <v>0.58333333333333337</v>
      </c>
      <c r="W429" s="288">
        <f t="shared" si="1170"/>
        <v>0.84090909090909094</v>
      </c>
      <c r="X429" s="288">
        <f t="shared" si="1170"/>
        <v>0.75</v>
      </c>
      <c r="Y429" s="288">
        <f t="shared" si="1170"/>
        <v>0.40298507462686567</v>
      </c>
      <c r="Z429" s="1170">
        <f t="shared" si="1170"/>
        <v>0.62037037037037035</v>
      </c>
      <c r="AA429" s="288">
        <f t="shared" si="1170"/>
        <v>0.50847457627118642</v>
      </c>
      <c r="AB429" s="288">
        <f t="shared" si="1170"/>
        <v>0.61842105263157898</v>
      </c>
      <c r="AC429" s="288">
        <f t="shared" si="1170"/>
        <v>0.48936170212765956</v>
      </c>
      <c r="AD429" s="288">
        <f t="shared" si="1170"/>
        <v>0.47663551401869159</v>
      </c>
      <c r="AE429" s="1170">
        <f t="shared" si="1170"/>
        <v>0.51436031331592691</v>
      </c>
      <c r="AF429" s="288">
        <f t="shared" si="1170"/>
        <v>0.21568627450980393</v>
      </c>
      <c r="AG429" s="288">
        <f t="shared" si="1170"/>
        <v>0.68888888888888888</v>
      </c>
      <c r="AH429" s="288">
        <f t="shared" si="1170"/>
        <v>0.2471264367816092</v>
      </c>
      <c r="AI429" s="288">
        <f t="shared" ref="AI429:BI429" si="1171">AI860/AI414</f>
        <v>-4.1031746031746028</v>
      </c>
      <c r="AJ429" s="1170">
        <f t="shared" si="1171"/>
        <v>-0.66604823747680886</v>
      </c>
      <c r="AK429" s="288">
        <f t="shared" si="1171"/>
        <v>0.33116883116883117</v>
      </c>
      <c r="AL429" s="288">
        <f t="shared" si="1171"/>
        <v>0.61386138613861385</v>
      </c>
      <c r="AM429" s="288">
        <f t="shared" si="1171"/>
        <v>-1.0375000000000001</v>
      </c>
      <c r="AN429" s="288">
        <f t="shared" si="1171"/>
        <v>-28.75</v>
      </c>
      <c r="AO429" s="1170">
        <f t="shared" si="1171"/>
        <v>-0.91040462427745661</v>
      </c>
      <c r="AP429" s="287">
        <f t="shared" si="1171"/>
        <v>-0.93333333333333335</v>
      </c>
      <c r="AQ429" s="287">
        <f t="shared" si="1171"/>
        <v>0.2</v>
      </c>
      <c r="AR429" s="288">
        <f t="shared" si="1171"/>
        <v>0.2558139534883721</v>
      </c>
      <c r="AS429" s="288">
        <f t="shared" si="1171"/>
        <v>0.3108108108108108</v>
      </c>
      <c r="AT429" s="1170">
        <f t="shared" si="1171"/>
        <v>6.4285714285714279E-2</v>
      </c>
      <c r="AU429" s="287">
        <f t="shared" si="1171"/>
        <v>0.17204301075268819</v>
      </c>
      <c r="AV429" s="287">
        <f t="shared" si="1171"/>
        <v>-0.72072072072072069</v>
      </c>
      <c r="AW429" s="288">
        <f t="shared" si="1171"/>
        <v>-0.46491228070175439</v>
      </c>
      <c r="AX429" s="288">
        <f t="shared" si="1171"/>
        <v>-1.896551724137931</v>
      </c>
      <c r="AY429" s="1170">
        <f t="shared" si="1171"/>
        <v>-0.69458128078817738</v>
      </c>
      <c r="AZ429" s="287">
        <f t="shared" si="1171"/>
        <v>0.12060301507537688</v>
      </c>
      <c r="BA429" s="287">
        <f t="shared" si="1171"/>
        <v>-0.46365914786967416</v>
      </c>
      <c r="BB429" s="288">
        <f t="shared" si="1171"/>
        <v>-5.817174515235457E-2</v>
      </c>
      <c r="BC429" s="288">
        <f t="shared" si="1171"/>
        <v>-0.81454545454545457</v>
      </c>
      <c r="BD429" s="1170">
        <f t="shared" si="1171"/>
        <v>-0.32874493927125509</v>
      </c>
      <c r="BE429" s="287">
        <f t="shared" si="1171"/>
        <v>-1.1605995717344755</v>
      </c>
      <c r="BF429" s="287">
        <f t="shared" si="1171"/>
        <v>-27.6875</v>
      </c>
      <c r="BG429" s="288">
        <f t="shared" si="1171"/>
        <v>-5.115384615384615</v>
      </c>
      <c r="BH429" s="288">
        <f t="shared" si="1171"/>
        <v>-6.956989247311828</v>
      </c>
      <c r="BI429" s="1170">
        <f t="shared" si="1171"/>
        <v>-3.1823529411764704</v>
      </c>
      <c r="BJ429" s="287">
        <f t="shared" ref="BJ429:BO429" si="1172">BJ860/BJ414</f>
        <v>-2.6832151300236409</v>
      </c>
      <c r="BK429" s="287">
        <f t="shared" si="1172"/>
        <v>-0.6453287197231834</v>
      </c>
      <c r="BL429" s="288">
        <f t="shared" si="1172"/>
        <v>-0.30957943925233644</v>
      </c>
      <c r="BM429" s="288">
        <f t="shared" si="1172"/>
        <v>-3.6414565826330535E-2</v>
      </c>
      <c r="BN429" s="1170">
        <f t="shared" si="1172"/>
        <v>-0.45804195804195802</v>
      </c>
      <c r="BO429" s="287">
        <f t="shared" si="1172"/>
        <v>-0.5049631764329171</v>
      </c>
      <c r="BP429" s="287">
        <f t="shared" ref="BP429:BU429" si="1173">BP860/BP414</f>
        <v>-0.50490341753343237</v>
      </c>
      <c r="BQ429" s="288">
        <f t="shared" si="1173"/>
        <v>-0.16399238509654609</v>
      </c>
      <c r="BR429" s="288">
        <f t="shared" si="1173"/>
        <v>-0.15305861274635271</v>
      </c>
      <c r="BS429" s="1170">
        <f t="shared" si="1173"/>
        <v>-0.31817212706985998</v>
      </c>
      <c r="BT429" s="287">
        <f t="shared" si="1173"/>
        <v>-0.56855575868372943</v>
      </c>
      <c r="BU429" s="287">
        <f t="shared" si="1173"/>
        <v>3.4679722562219501E-3</v>
      </c>
      <c r="BV429" s="288">
        <f>BV860/BV414</f>
        <v>1.9060689234522719E-2</v>
      </c>
      <c r="BW429" s="288">
        <f>BW860/BW414</f>
        <v>8.5156794425087112E-2</v>
      </c>
      <c r="BX429" s="1170">
        <f>BX860/BX414</f>
        <v>-6.3390313390313396E-2</v>
      </c>
      <c r="BY429" s="914">
        <f>BY860/BY414</f>
        <v>0.18223653934652553</v>
      </c>
      <c r="BZ429" s="1073">
        <v>0</v>
      </c>
      <c r="CA429" s="1073">
        <v>0</v>
      </c>
      <c r="CB429" s="1073">
        <v>0</v>
      </c>
      <c r="CC429" s="1170">
        <f>CC860/CC414</f>
        <v>4.2148346342377581E-2</v>
      </c>
      <c r="CD429" s="1073">
        <v>0</v>
      </c>
      <c r="CE429" s="1073">
        <v>0</v>
      </c>
      <c r="CF429" s="1073">
        <v>0</v>
      </c>
      <c r="CG429" s="1073">
        <v>0</v>
      </c>
      <c r="CH429" s="1170">
        <f>CH860/CH414</f>
        <v>0</v>
      </c>
      <c r="CI429" s="1171">
        <v>0</v>
      </c>
      <c r="CJ429" s="1171">
        <v>0</v>
      </c>
      <c r="CK429" s="1171">
        <v>0</v>
      </c>
      <c r="CL429" s="155"/>
    </row>
    <row r="430" spans="1:90" ht="7.5" customHeight="1" x14ac:dyDescent="0.3">
      <c r="A430" s="611"/>
      <c r="B430" s="612"/>
      <c r="C430" s="1174"/>
      <c r="D430" s="1174"/>
      <c r="E430" s="1174"/>
      <c r="F430" s="1174"/>
      <c r="G430" s="593"/>
      <c r="H430" s="593"/>
      <c r="I430" s="593"/>
      <c r="J430" s="593"/>
      <c r="K430" s="1174"/>
      <c r="L430" s="593"/>
      <c r="M430" s="593"/>
      <c r="N430" s="593"/>
      <c r="O430" s="593"/>
      <c r="P430" s="1174"/>
      <c r="Q430" s="593"/>
      <c r="R430" s="593"/>
      <c r="S430" s="593"/>
      <c r="T430" s="593"/>
      <c r="U430" s="1174"/>
      <c r="V430" s="593"/>
      <c r="W430" s="593"/>
      <c r="X430" s="593"/>
      <c r="Y430" s="593"/>
      <c r="Z430" s="1174"/>
      <c r="AA430" s="593"/>
      <c r="AB430" s="593"/>
      <c r="AC430" s="593"/>
      <c r="AD430" s="593"/>
      <c r="AE430" s="1174"/>
      <c r="AF430" s="593"/>
      <c r="AG430" s="593"/>
      <c r="AH430" s="593"/>
      <c r="AI430" s="593"/>
      <c r="AJ430" s="1174"/>
      <c r="AK430" s="593"/>
      <c r="AL430" s="593"/>
      <c r="AM430" s="593"/>
      <c r="AN430" s="593"/>
      <c r="AO430" s="1174"/>
      <c r="AP430" s="593"/>
      <c r="AQ430" s="593"/>
      <c r="AR430" s="593"/>
      <c r="AS430" s="593"/>
      <c r="AT430" s="1174"/>
      <c r="AU430" s="593"/>
      <c r="AV430" s="593"/>
      <c r="AW430" s="593"/>
      <c r="AX430" s="593"/>
      <c r="AY430" s="1174"/>
      <c r="AZ430" s="593"/>
      <c r="BA430" s="593"/>
      <c r="BB430" s="593"/>
      <c r="BC430" s="593"/>
      <c r="BD430" s="1174"/>
      <c r="BE430" s="593"/>
      <c r="BF430" s="593"/>
      <c r="BG430" s="593"/>
      <c r="BH430" s="593"/>
      <c r="BI430" s="1174"/>
      <c r="BJ430" s="593"/>
      <c r="BK430" s="593"/>
      <c r="BL430" s="593"/>
      <c r="BM430" s="593"/>
      <c r="BN430" s="1174"/>
      <c r="BO430" s="593"/>
      <c r="BP430" s="593"/>
      <c r="BQ430" s="593"/>
      <c r="BR430" s="593"/>
      <c r="BS430" s="1174"/>
      <c r="BT430" s="593"/>
      <c r="BU430" s="593"/>
      <c r="BV430" s="593"/>
      <c r="BW430" s="593"/>
      <c r="BX430" s="1174"/>
      <c r="BY430" s="916"/>
      <c r="BZ430" s="593"/>
      <c r="CA430" s="593"/>
      <c r="CB430" s="593"/>
      <c r="CC430" s="1174"/>
      <c r="CD430" s="593"/>
      <c r="CE430" s="593"/>
      <c r="CF430" s="593"/>
      <c r="CG430" s="593"/>
      <c r="CH430" s="1174"/>
      <c r="CI430" s="1174"/>
      <c r="CJ430" s="1174"/>
      <c r="CK430" s="1174"/>
      <c r="CL430" s="155"/>
    </row>
    <row r="431" spans="1:90" hidden="1" outlineLevel="1" x14ac:dyDescent="0.3">
      <c r="A431" s="38" t="s">
        <v>109</v>
      </c>
      <c r="B431" s="613"/>
      <c r="C431" s="1175">
        <f t="shared" ref="C431:BD431" si="1174">C422/C436</f>
        <v>-1.3701685378909305E-3</v>
      </c>
      <c r="D431" s="1175">
        <f t="shared" si="1174"/>
        <v>-3.092713629101798E-3</v>
      </c>
      <c r="E431" s="1175">
        <f t="shared" si="1174"/>
        <v>1.1002960827710431E-2</v>
      </c>
      <c r="F431" s="1175">
        <f t="shared" si="1174"/>
        <v>2.4065843225996697E-2</v>
      </c>
      <c r="G431" s="120">
        <f t="shared" si="1174"/>
        <v>2.4536766377602393E-3</v>
      </c>
      <c r="H431" s="120">
        <f t="shared" si="1174"/>
        <v>4.8080278386290068E-3</v>
      </c>
      <c r="I431" s="120">
        <f t="shared" si="1174"/>
        <v>8.39878396791526E-3</v>
      </c>
      <c r="J431" s="120">
        <f t="shared" si="1174"/>
        <v>7.013128679440604E-3</v>
      </c>
      <c r="K431" s="1175">
        <f t="shared" si="1174"/>
        <v>2.270766190233222E-2</v>
      </c>
      <c r="L431" s="120">
        <f t="shared" si="1174"/>
        <v>3.1566921500732724E-3</v>
      </c>
      <c r="M431" s="120">
        <f t="shared" si="1174"/>
        <v>4.1192800826862783E-3</v>
      </c>
      <c r="N431" s="120">
        <f t="shared" si="1174"/>
        <v>5.1101795582488381E-3</v>
      </c>
      <c r="O431" s="120">
        <f t="shared" si="1174"/>
        <v>6.4609231938334366E-3</v>
      </c>
      <c r="P431" s="1175">
        <f t="shared" si="1174"/>
        <v>1.8710462618197539E-2</v>
      </c>
      <c r="Q431" s="120">
        <f t="shared" si="1174"/>
        <v>6.1460196779964229E-3</v>
      </c>
      <c r="R431" s="120">
        <f t="shared" si="1174"/>
        <v>5.7347670250896057E-3</v>
      </c>
      <c r="S431" s="120">
        <f t="shared" si="1174"/>
        <v>7.9369981751824803E-3</v>
      </c>
      <c r="T431" s="120">
        <f t="shared" si="1174"/>
        <v>8.8694852941176468E-3</v>
      </c>
      <c r="U431" s="1175">
        <f t="shared" si="1174"/>
        <v>2.8550905797101449E-2</v>
      </c>
      <c r="V431" s="120">
        <f t="shared" si="1174"/>
        <v>6.1020036429872493E-3</v>
      </c>
      <c r="W431" s="120">
        <f t="shared" si="1174"/>
        <v>1.2014787430683919E-3</v>
      </c>
      <c r="X431" s="120">
        <f t="shared" si="1174"/>
        <v>1.1346863468634687E-2</v>
      </c>
      <c r="Y431" s="120">
        <f t="shared" si="1174"/>
        <v>9.6011131725417444E-3</v>
      </c>
      <c r="Z431" s="1175">
        <f t="shared" si="1174"/>
        <v>2.8314917127071824E-2</v>
      </c>
      <c r="AA431" s="120">
        <f t="shared" si="1174"/>
        <v>9.6834264432029797E-3</v>
      </c>
      <c r="AB431" s="120">
        <f t="shared" si="1174"/>
        <v>1.2219101123595505E-2</v>
      </c>
      <c r="AC431" s="120">
        <f t="shared" si="1174"/>
        <v>2.5185873605947956E-2</v>
      </c>
      <c r="AD431" s="120">
        <f t="shared" si="1174"/>
        <v>2.961121157323689E-2</v>
      </c>
      <c r="AE431" s="1175">
        <f t="shared" si="1174"/>
        <v>7.6987060998151571E-2</v>
      </c>
      <c r="AF431" s="120">
        <f t="shared" si="1174"/>
        <v>2.1410472972972973E-2</v>
      </c>
      <c r="AG431" s="120">
        <f t="shared" si="1174"/>
        <v>2.4413735343383584E-2</v>
      </c>
      <c r="AH431" s="120">
        <f t="shared" si="1174"/>
        <v>3.474295190713101E-2</v>
      </c>
      <c r="AI431" s="120">
        <f t="shared" si="1174"/>
        <v>4.6122112211221124E-2</v>
      </c>
      <c r="AJ431" s="1175">
        <f t="shared" si="1174"/>
        <v>0.1271702838063439</v>
      </c>
      <c r="AK431" s="120">
        <f t="shared" si="1174"/>
        <v>5.1320132013201319E-2</v>
      </c>
      <c r="AL431" s="120">
        <f t="shared" si="1174"/>
        <v>4.5345963756177922E-2</v>
      </c>
      <c r="AM431" s="120">
        <f t="shared" si="1174"/>
        <v>5.0492610837438424E-2</v>
      </c>
      <c r="AN431" s="120">
        <f t="shared" si="1174"/>
        <v>2.3275862068965519E-2</v>
      </c>
      <c r="AO431" s="1175">
        <f t="shared" si="1174"/>
        <v>0.17027138157894736</v>
      </c>
      <c r="AP431" s="120">
        <f t="shared" si="1174"/>
        <v>1.6227347611202637E-2</v>
      </c>
      <c r="AQ431" s="120">
        <f t="shared" si="1174"/>
        <v>2.2660098522167486E-2</v>
      </c>
      <c r="AR431" s="120">
        <f t="shared" si="1174"/>
        <v>3.6844262295081968E-2</v>
      </c>
      <c r="AS431" s="120">
        <f t="shared" si="1174"/>
        <v>3.8807189542483661E-2</v>
      </c>
      <c r="AT431" s="1175">
        <f t="shared" si="1174"/>
        <v>0.11477832512315271</v>
      </c>
      <c r="AU431" s="120">
        <f t="shared" si="1174"/>
        <v>3.7337133550488601E-2</v>
      </c>
      <c r="AV431" s="120">
        <f t="shared" si="1174"/>
        <v>2.5243506493506495E-2</v>
      </c>
      <c r="AW431" s="120">
        <f t="shared" si="1174"/>
        <v>5.4045307443365699E-2</v>
      </c>
      <c r="AX431" s="120">
        <f t="shared" si="1174"/>
        <v>5.8844911147011306E-2</v>
      </c>
      <c r="AY431" s="1175">
        <f t="shared" si="1174"/>
        <v>0.17552674230145868</v>
      </c>
      <c r="AZ431" s="120">
        <f t="shared" si="1174"/>
        <v>7.6972624798711753E-2</v>
      </c>
      <c r="BA431" s="120">
        <f t="shared" si="1174"/>
        <v>9.5226634576815086E-2</v>
      </c>
      <c r="BB431" s="120">
        <f t="shared" si="1174"/>
        <v>9.8599439775910361E-2</v>
      </c>
      <c r="BC431" s="120">
        <f t="shared" si="1174"/>
        <v>0.11992811501597445</v>
      </c>
      <c r="BD431" s="1175">
        <f t="shared" si="1174"/>
        <v>0.3907051282051282</v>
      </c>
      <c r="BE431" s="120">
        <f t="shared" ref="BE431:BI431" si="1175">BE422/BE436</f>
        <v>6.4565043894652827E-2</v>
      </c>
      <c r="BF431" s="120">
        <f t="shared" si="1175"/>
        <v>2.6292585170340683E-2</v>
      </c>
      <c r="BG431" s="120">
        <f t="shared" si="1175"/>
        <v>2.738622633910592E-2</v>
      </c>
      <c r="BH431" s="120">
        <f t="shared" si="1175"/>
        <v>5.7386363636363638E-2</v>
      </c>
      <c r="BI431" s="1175">
        <f t="shared" si="1175"/>
        <v>0.17563329312424608</v>
      </c>
      <c r="BJ431" s="120">
        <f t="shared" ref="BJ431:BN431" si="1176">BJ422/BJ436</f>
        <v>8.2712550607287452E-2</v>
      </c>
      <c r="BK431" s="120">
        <f t="shared" si="1176"/>
        <v>0.2502224019409624</v>
      </c>
      <c r="BL431" s="120">
        <f t="shared" si="1176"/>
        <v>0.37451377633711508</v>
      </c>
      <c r="BM431" s="120">
        <f t="shared" si="1176"/>
        <v>0.4981751824817518</v>
      </c>
      <c r="BN431" s="1175">
        <f t="shared" si="1176"/>
        <v>1.2053462940461726</v>
      </c>
      <c r="BO431" s="120">
        <f t="shared" ref="BO431:BS431" si="1177">BO422/BO436</f>
        <v>0.60442729488220959</v>
      </c>
      <c r="BP431" s="120">
        <f t="shared" si="1177"/>
        <v>0.67536007811864274</v>
      </c>
      <c r="BQ431" s="120">
        <f t="shared" si="1177"/>
        <v>0.78706232421636169</v>
      </c>
      <c r="BR431" s="120">
        <f t="shared" si="1177"/>
        <v>0.90207848421740378</v>
      </c>
      <c r="BS431" s="1175">
        <f t="shared" si="1177"/>
        <v>2.9680309509264915</v>
      </c>
      <c r="BT431" s="120">
        <f t="shared" ref="BT431:CK431" si="1178">BT422/BT436</f>
        <v>0.76817642485986659</v>
      </c>
      <c r="BU431" s="120">
        <f t="shared" si="1178"/>
        <v>1.0843798735943528</v>
      </c>
      <c r="BV431" s="120">
        <f t="shared" si="1178"/>
        <v>1.3117112673161508</v>
      </c>
      <c r="BW431" s="120">
        <f t="shared" si="1178"/>
        <v>1.7676102699144174</v>
      </c>
      <c r="BX431" s="1175">
        <f t="shared" si="1178"/>
        <v>4.9290611273040765</v>
      </c>
      <c r="BY431" s="1003">
        <f>BY422/BY436</f>
        <v>2.4014246891213045</v>
      </c>
      <c r="BZ431" s="721">
        <f t="shared" si="1178"/>
        <v>2.0356655662852403</v>
      </c>
      <c r="CA431" s="721">
        <f t="shared" si="1178"/>
        <v>2.1569273876353559</v>
      </c>
      <c r="CB431" s="721">
        <f t="shared" si="1178"/>
        <v>2.2131202566463282</v>
      </c>
      <c r="CC431" s="1176">
        <f t="shared" si="1178"/>
        <v>8.8077847186942897</v>
      </c>
      <c r="CD431" s="721">
        <f t="shared" si="1178"/>
        <v>2.4819973804773374</v>
      </c>
      <c r="CE431" s="721">
        <f t="shared" si="1178"/>
        <v>2.7788592021742877</v>
      </c>
      <c r="CF431" s="721">
        <f t="shared" si="1178"/>
        <v>2.7735255642324108</v>
      </c>
      <c r="CG431" s="721">
        <f t="shared" si="1178"/>
        <v>2.8513565846570059</v>
      </c>
      <c r="CH431" s="1176">
        <f t="shared" si="1178"/>
        <v>10.885738731541041</v>
      </c>
      <c r="CI431" s="1176">
        <f t="shared" si="1178"/>
        <v>13.266404182050657</v>
      </c>
      <c r="CJ431" s="1176">
        <f t="shared" si="1178"/>
        <v>15.894827290579459</v>
      </c>
      <c r="CK431" s="1176">
        <f t="shared" si="1178"/>
        <v>19.006392390232396</v>
      </c>
      <c r="CL431" s="155"/>
    </row>
    <row r="432" spans="1:90" hidden="1" outlineLevel="1" x14ac:dyDescent="0.3">
      <c r="A432" s="38" t="s">
        <v>110</v>
      </c>
      <c r="B432" s="613"/>
      <c r="C432" s="1175">
        <f t="shared" ref="C432:AH432" si="1179">C424/C437</f>
        <v>-1.3701685378909305E-3</v>
      </c>
      <c r="D432" s="1175">
        <f t="shared" si="1179"/>
        <v>-3.092713629101798E-3</v>
      </c>
      <c r="E432" s="1175">
        <f t="shared" si="1179"/>
        <v>1.0750504515155843E-2</v>
      </c>
      <c r="F432" s="1175">
        <f t="shared" si="1179"/>
        <v>2.3569003084181445E-2</v>
      </c>
      <c r="G432" s="120">
        <f t="shared" si="1179"/>
        <v>2.4221848518562457E-3</v>
      </c>
      <c r="H432" s="120">
        <f t="shared" si="1179"/>
        <v>4.7760305419462315E-3</v>
      </c>
      <c r="I432" s="120">
        <f t="shared" si="1179"/>
        <v>8.3120641811575136E-3</v>
      </c>
      <c r="J432" s="120">
        <f t="shared" si="1179"/>
        <v>6.9922815738451289E-3</v>
      </c>
      <c r="K432" s="1175">
        <f t="shared" si="1179"/>
        <v>2.2502988205588544E-2</v>
      </c>
      <c r="L432" s="120">
        <f t="shared" si="1179"/>
        <v>3.1443060090230604E-3</v>
      </c>
      <c r="M432" s="120">
        <f t="shared" si="1179"/>
        <v>4.0729316932598654E-3</v>
      </c>
      <c r="N432" s="120">
        <f t="shared" si="1179"/>
        <v>5.0417663124711302E-3</v>
      </c>
      <c r="O432" s="120">
        <f t="shared" si="1179"/>
        <v>6.3616295665066512E-3</v>
      </c>
      <c r="P432" s="1175">
        <f t="shared" si="1179"/>
        <v>1.850199405567882E-2</v>
      </c>
      <c r="Q432" s="120">
        <f t="shared" si="1179"/>
        <v>6.0274122807017546E-3</v>
      </c>
      <c r="R432" s="120">
        <f t="shared" si="1179"/>
        <v>5.6042031523642734E-3</v>
      </c>
      <c r="S432" s="120">
        <f t="shared" si="1179"/>
        <v>7.7947580645161283E-3</v>
      </c>
      <c r="T432" s="120">
        <f t="shared" si="1179"/>
        <v>8.6624775583482947E-3</v>
      </c>
      <c r="U432" s="1175">
        <f t="shared" si="1179"/>
        <v>2.7993072824156306E-2</v>
      </c>
      <c r="V432" s="120">
        <f t="shared" si="1179"/>
        <v>5.8978873239436619E-3</v>
      </c>
      <c r="W432" s="120">
        <f t="shared" si="1179"/>
        <v>1.1690647482014388E-3</v>
      </c>
      <c r="X432" s="120">
        <f t="shared" si="1179"/>
        <v>1.088495575221239E-2</v>
      </c>
      <c r="Y432" s="120">
        <f t="shared" si="1179"/>
        <v>8.7268128161888704E-3</v>
      </c>
      <c r="Z432" s="1175">
        <f t="shared" si="1179"/>
        <v>2.7021089630931458E-2</v>
      </c>
      <c r="AA432" s="120">
        <f t="shared" si="1179"/>
        <v>8.7102177554438855E-3</v>
      </c>
      <c r="AB432" s="120">
        <f t="shared" si="1179"/>
        <v>1.0340729001584786E-2</v>
      </c>
      <c r="AC432" s="120">
        <f t="shared" si="1179"/>
        <v>2.0750382848392038E-2</v>
      </c>
      <c r="AD432" s="120">
        <f t="shared" si="1179"/>
        <v>2.4810606060606061E-2</v>
      </c>
      <c r="AE432" s="1175">
        <f t="shared" si="1179"/>
        <v>6.417565485362095E-2</v>
      </c>
      <c r="AF432" s="120">
        <f t="shared" si="1179"/>
        <v>1.9773790951638066E-2</v>
      </c>
      <c r="AG432" s="120">
        <f t="shared" si="1179"/>
        <v>2.3025276461295419E-2</v>
      </c>
      <c r="AH432" s="120">
        <f t="shared" si="1179"/>
        <v>3.3359872611464968E-2</v>
      </c>
      <c r="AI432" s="120">
        <f t="shared" ref="AI432:AV432" si="1180">AI424/AI437</f>
        <v>4.4506369426751589E-2</v>
      </c>
      <c r="AJ432" s="1175">
        <f t="shared" si="1180"/>
        <v>0.12053006329113924</v>
      </c>
      <c r="AK432" s="120">
        <f t="shared" si="1180"/>
        <v>4.9601275917065389E-2</v>
      </c>
      <c r="AL432" s="120">
        <f t="shared" si="1180"/>
        <v>4.3969648562300317E-2</v>
      </c>
      <c r="AM432" s="120">
        <f t="shared" si="1180"/>
        <v>4.9200000000000001E-2</v>
      </c>
      <c r="AN432" s="120">
        <f t="shared" si="1180"/>
        <v>2.2899838449111469E-2</v>
      </c>
      <c r="AO432" s="1175">
        <f t="shared" si="1180"/>
        <v>0.16564000000000001</v>
      </c>
      <c r="AP432" s="120">
        <f t="shared" si="1180"/>
        <v>1.5990259740259739E-2</v>
      </c>
      <c r="AQ432" s="120">
        <f t="shared" si="1180"/>
        <v>2.2402597402597403E-2</v>
      </c>
      <c r="AR432" s="120">
        <f t="shared" si="1180"/>
        <v>3.6367313915857603E-2</v>
      </c>
      <c r="AS432" s="120">
        <f t="shared" si="1180"/>
        <v>3.8244766505636074E-2</v>
      </c>
      <c r="AT432" s="1175">
        <f t="shared" si="1180"/>
        <v>0.11310679611650486</v>
      </c>
      <c r="AU432" s="120">
        <f t="shared" si="1180"/>
        <v>3.6856913183279744E-2</v>
      </c>
      <c r="AV432" s="120">
        <f t="shared" si="1180"/>
        <v>2.4840255591054312E-2</v>
      </c>
      <c r="AW432" s="120">
        <f t="shared" ref="AW432:BB432" si="1181">AW424/AW437</f>
        <v>5.3015873015873016E-2</v>
      </c>
      <c r="AX432" s="120">
        <f t="shared" si="1181"/>
        <v>5.7725832012678287E-2</v>
      </c>
      <c r="AY432" s="1175">
        <f t="shared" si="1181"/>
        <v>0.17245222929936305</v>
      </c>
      <c r="AZ432" s="120">
        <f t="shared" si="1181"/>
        <v>7.5632911392405064E-2</v>
      </c>
      <c r="BA432" s="120">
        <f t="shared" si="1181"/>
        <v>9.3759873617693529E-2</v>
      </c>
      <c r="BB432" s="120">
        <f t="shared" si="1181"/>
        <v>9.7084318360914107E-2</v>
      </c>
      <c r="BC432" s="120">
        <f t="shared" ref="BC432:BD432" si="1182">BC424/BC437</f>
        <v>0.11799607072691552</v>
      </c>
      <c r="BD432" s="1175">
        <f t="shared" si="1182"/>
        <v>0.38469428007889545</v>
      </c>
      <c r="BE432" s="120">
        <f t="shared" ref="BE432:BI432" si="1183">BE424/BE437</f>
        <v>6.3776113519905406E-2</v>
      </c>
      <c r="BF432" s="120">
        <f t="shared" si="1183"/>
        <v>2.6073131955484895E-2</v>
      </c>
      <c r="BG432" s="120">
        <f t="shared" si="1183"/>
        <v>2.7210884353741496E-2</v>
      </c>
      <c r="BH432" s="120">
        <f t="shared" si="1183"/>
        <v>5.708518368994752E-2</v>
      </c>
      <c r="BI432" s="1175">
        <f t="shared" si="1183"/>
        <v>0.17423214998005584</v>
      </c>
      <c r="BJ432" s="120">
        <f t="shared" ref="BJ432:BN432" si="1184">BJ424/BJ437</f>
        <v>8.2048192771084341E-2</v>
      </c>
      <c r="BK432" s="120">
        <f t="shared" si="1184"/>
        <v>0.24761904761904763</v>
      </c>
      <c r="BL432" s="120">
        <f t="shared" si="1184"/>
        <v>0.37060946271050521</v>
      </c>
      <c r="BM432" s="120">
        <f t="shared" si="1184"/>
        <v>0.49337349397590363</v>
      </c>
      <c r="BN432" s="1175">
        <f t="shared" si="1184"/>
        <v>1.1932638331996792</v>
      </c>
      <c r="BO432" s="120">
        <f t="shared" ref="BO432:BS432" si="1185">BO424/BO437</f>
        <v>0.5978706307754118</v>
      </c>
      <c r="BP432" s="120">
        <f t="shared" si="1185"/>
        <v>0.66802157115260785</v>
      </c>
      <c r="BQ432" s="120">
        <f t="shared" si="1185"/>
        <v>0.77940582869136998</v>
      </c>
      <c r="BR432" s="120">
        <f t="shared" si="1185"/>
        <v>0.8941552659273051</v>
      </c>
      <c r="BS432" s="1175">
        <f t="shared" si="1185"/>
        <v>2.9382357684244478</v>
      </c>
      <c r="BT432" s="120">
        <f t="shared" ref="BT432:CK432" si="1186">BT424/BT437</f>
        <v>0.7628702612652879</v>
      </c>
      <c r="BU432" s="120">
        <f t="shared" si="1186"/>
        <v>1.0770422305560086</v>
      </c>
      <c r="BV432" s="120">
        <f t="shared" si="1186"/>
        <v>1.3033533472205203</v>
      </c>
      <c r="BW432" s="120">
        <f t="shared" si="1186"/>
        <v>1.7583497053045187</v>
      </c>
      <c r="BX432" s="1175">
        <f t="shared" si="1186"/>
        <v>4.8978950803622423</v>
      </c>
      <c r="BY432" s="1003">
        <f>BY424/BY437</f>
        <v>2.3910868763068347</v>
      </c>
      <c r="BZ432" s="721">
        <f t="shared" si="1186"/>
        <v>2.0213457417198444</v>
      </c>
      <c r="CA432" s="721">
        <f t="shared" si="1186"/>
        <v>2.1359237309049734</v>
      </c>
      <c r="CB432" s="721">
        <f t="shared" si="1186"/>
        <v>2.1915694068401996</v>
      </c>
      <c r="CC432" s="1176">
        <f t="shared" si="1186"/>
        <v>8.7406223757303625</v>
      </c>
      <c r="CD432" s="721">
        <f t="shared" si="1186"/>
        <v>2.4578282678386381</v>
      </c>
      <c r="CE432" s="721">
        <f t="shared" si="1186"/>
        <v>2.7517993182305265</v>
      </c>
      <c r="CF432" s="721">
        <f t="shared" si="1186"/>
        <v>2.7465176180131636</v>
      </c>
      <c r="CG432" s="721">
        <f t="shared" si="1186"/>
        <v>2.8235907380812861</v>
      </c>
      <c r="CH432" s="1176">
        <f t="shared" si="1186"/>
        <v>10.779735942163612</v>
      </c>
      <c r="CI432" s="1176">
        <f t="shared" si="1186"/>
        <v>13.137219026776711</v>
      </c>
      <c r="CJ432" s="1176">
        <f t="shared" si="1186"/>
        <v>15.740047163017518</v>
      </c>
      <c r="CK432" s="1176">
        <f t="shared" si="1186"/>
        <v>18.821312566156799</v>
      </c>
      <c r="CL432" s="155"/>
    </row>
    <row r="433" spans="1:90" collapsed="1" x14ac:dyDescent="0.3">
      <c r="A433" s="38" t="s">
        <v>111</v>
      </c>
      <c r="B433" s="613"/>
      <c r="C433" s="1175">
        <f t="shared" ref="C433:AH433" si="1187">C415/C438</f>
        <v>7.3105453855500241E-3</v>
      </c>
      <c r="D433" s="1175">
        <f t="shared" si="1187"/>
        <v>6.4314814747422682E-3</v>
      </c>
      <c r="E433" s="1175">
        <f t="shared" si="1187"/>
        <v>2.023216190689742E-2</v>
      </c>
      <c r="F433" s="1175">
        <f t="shared" si="1187"/>
        <v>2.9787498113960573E-2</v>
      </c>
      <c r="G433" s="120">
        <f t="shared" si="1187"/>
        <v>3.9087924384324105E-3</v>
      </c>
      <c r="H433" s="120">
        <f t="shared" si="1187"/>
        <v>6.8382377720683707E-3</v>
      </c>
      <c r="I433" s="120">
        <f t="shared" si="1187"/>
        <v>9.7584460399621469E-3</v>
      </c>
      <c r="J433" s="120">
        <f t="shared" si="1187"/>
        <v>8.6385361838403375E-3</v>
      </c>
      <c r="K433" s="1175">
        <f t="shared" si="1187"/>
        <v>2.9136924620413882E-2</v>
      </c>
      <c r="L433" s="120">
        <f t="shared" si="1187"/>
        <v>4.593921866875933E-3</v>
      </c>
      <c r="M433" s="120">
        <f t="shared" si="1187"/>
        <v>5.6304327996675703E-3</v>
      </c>
      <c r="N433" s="120">
        <f t="shared" si="1187"/>
        <v>6.5303387504416169E-3</v>
      </c>
      <c r="O433" s="120">
        <f t="shared" si="1187"/>
        <v>8.1183013599928182E-3</v>
      </c>
      <c r="P433" s="1175">
        <f t="shared" si="1187"/>
        <v>2.474306874319827E-2</v>
      </c>
      <c r="Q433" s="120">
        <f t="shared" si="1187"/>
        <v>7.2807017543859648E-3</v>
      </c>
      <c r="R433" s="120">
        <f t="shared" si="1187"/>
        <v>7.5744308231173382E-3</v>
      </c>
      <c r="S433" s="120">
        <f t="shared" si="1187"/>
        <v>9.8566308243727592E-3</v>
      </c>
      <c r="T433" s="120">
        <f t="shared" si="1187"/>
        <v>1.0816876122082585E-2</v>
      </c>
      <c r="U433" s="1175">
        <f t="shared" si="1187"/>
        <v>3.5568383658969804E-2</v>
      </c>
      <c r="V433" s="120">
        <f t="shared" si="1187"/>
        <v>8.3185053380782914E-3</v>
      </c>
      <c r="W433" s="120">
        <f t="shared" si="1187"/>
        <v>8.605072463768116E-3</v>
      </c>
      <c r="X433" s="120">
        <f t="shared" si="1187"/>
        <v>1.1486486486486487E-2</v>
      </c>
      <c r="Y433" s="120">
        <f t="shared" si="1187"/>
        <v>1.3095238095238096E-2</v>
      </c>
      <c r="Z433" s="1175">
        <f t="shared" si="1187"/>
        <v>4.1771582733812949E-2</v>
      </c>
      <c r="AA433" s="120">
        <f t="shared" si="1187"/>
        <v>1.1575704225352113E-2</v>
      </c>
      <c r="AB433" s="120">
        <f t="shared" si="1187"/>
        <v>1.3307823129251701E-2</v>
      </c>
      <c r="AC433" s="120">
        <f t="shared" si="1187"/>
        <v>2.34375E-2</v>
      </c>
      <c r="AD433" s="120">
        <f t="shared" si="1187"/>
        <v>2.8205128205128206E-2</v>
      </c>
      <c r="AE433" s="1175">
        <f t="shared" si="1187"/>
        <v>7.6487603305785121E-2</v>
      </c>
      <c r="AF433" s="120">
        <f t="shared" si="1187"/>
        <v>2.1251993620414675E-2</v>
      </c>
      <c r="AG433" s="120">
        <f t="shared" si="1187"/>
        <v>2.5357710651828298E-2</v>
      </c>
      <c r="AH433" s="120">
        <f t="shared" si="1187"/>
        <v>3.32667731629393E-2</v>
      </c>
      <c r="AI433" s="120">
        <f t="shared" ref="AI433:AV433" si="1188">AI415/AI438</f>
        <v>4.310207336523126E-2</v>
      </c>
      <c r="AJ433" s="1175">
        <f t="shared" si="1188"/>
        <v>0.12300637958532695</v>
      </c>
      <c r="AK433" s="120">
        <f t="shared" si="1188"/>
        <v>5.1317891373801917E-2</v>
      </c>
      <c r="AL433" s="120">
        <f t="shared" si="1188"/>
        <v>4.8399999999999999E-2</v>
      </c>
      <c r="AM433" s="120">
        <f t="shared" si="1188"/>
        <v>4.6039999999999998E-2</v>
      </c>
      <c r="AN433" s="120">
        <f t="shared" si="1188"/>
        <v>2.0032310177705976E-2</v>
      </c>
      <c r="AO433" s="1175">
        <f t="shared" si="1188"/>
        <v>0.16598557692307692</v>
      </c>
      <c r="AP433" s="120">
        <f t="shared" si="1188"/>
        <v>2.2037337662337661E-2</v>
      </c>
      <c r="AQ433" s="120">
        <f t="shared" si="1188"/>
        <v>3.0925324675324675E-2</v>
      </c>
      <c r="AR433" s="120">
        <f t="shared" si="1188"/>
        <v>4.4619741100323622E-2</v>
      </c>
      <c r="AS433" s="120">
        <f t="shared" si="1188"/>
        <v>4.7181964573268918E-2</v>
      </c>
      <c r="AT433" s="1175">
        <f t="shared" si="1188"/>
        <v>0.14482200647249191</v>
      </c>
      <c r="AU433" s="120">
        <f t="shared" si="1188"/>
        <v>4.5016077170418008E-2</v>
      </c>
      <c r="AV433" s="120">
        <f t="shared" si="1188"/>
        <v>5.4552715654952073E-2</v>
      </c>
      <c r="AW433" s="120">
        <f t="shared" ref="AW433:BB433" si="1189">AW415/AW438</f>
        <v>7.2777777777777775E-2</v>
      </c>
      <c r="AX433" s="120">
        <f t="shared" si="1189"/>
        <v>7.7535657686212359E-2</v>
      </c>
      <c r="AY433" s="1175">
        <f t="shared" si="1189"/>
        <v>0.24988057324840765</v>
      </c>
      <c r="AZ433" s="120">
        <f t="shared" si="1189"/>
        <v>9.1495253164556964E-2</v>
      </c>
      <c r="BA433" s="120">
        <f t="shared" si="1189"/>
        <v>0.10359399684044233</v>
      </c>
      <c r="BB433" s="120">
        <f t="shared" si="1189"/>
        <v>0.11713947990543735</v>
      </c>
      <c r="BC433" s="120">
        <f t="shared" ref="BC433:BD433" si="1190">BC415/BC438</f>
        <v>0.13163064833005894</v>
      </c>
      <c r="BD433" s="1175">
        <f t="shared" si="1190"/>
        <v>0.44414201183431951</v>
      </c>
      <c r="BE433" s="120">
        <f t="shared" ref="BE433:BI433" si="1191">BE415/BE438</f>
        <v>0.13571147024044147</v>
      </c>
      <c r="BF433" s="120">
        <f t="shared" si="1191"/>
        <v>5.1351351351351354E-2</v>
      </c>
      <c r="BG433" s="120">
        <f t="shared" si="1191"/>
        <v>5.8263305322128853E-2</v>
      </c>
      <c r="BH433" s="120">
        <f t="shared" si="1191"/>
        <v>8.7767460637868389E-2</v>
      </c>
      <c r="BI433" s="1175">
        <f t="shared" si="1191"/>
        <v>0.33370562425209416</v>
      </c>
      <c r="BJ433" s="120">
        <f t="shared" ref="BJ433:BN433" si="1192">BJ415/BJ438</f>
        <v>0.10895582329317269</v>
      </c>
      <c r="BK433" s="120">
        <f t="shared" si="1192"/>
        <v>0.26970788315326133</v>
      </c>
      <c r="BL433" s="120">
        <f t="shared" si="1192"/>
        <v>0.40176423416198875</v>
      </c>
      <c r="BM433" s="120">
        <f t="shared" si="1192"/>
        <v>0.51562248995983939</v>
      </c>
      <c r="BN433" s="1175">
        <f t="shared" si="1192"/>
        <v>1.295589414595028</v>
      </c>
      <c r="BO433" s="120">
        <f t="shared" ref="BO433:BS433" si="1193">BO415/BO438</f>
        <v>0.61221374045801524</v>
      </c>
      <c r="BP433" s="120">
        <f t="shared" si="1193"/>
        <v>0.68222794591113978</v>
      </c>
      <c r="BQ433" s="120">
        <f t="shared" si="1193"/>
        <v>0.80770162266892709</v>
      </c>
      <c r="BR433" s="120">
        <f t="shared" si="1193"/>
        <v>0.89314336598397148</v>
      </c>
      <c r="BS433" s="1175">
        <f t="shared" si="1193"/>
        <v>2.9940735365263667</v>
      </c>
      <c r="BT433" s="120">
        <f t="shared" ref="BT433:CK433" si="1194">BT415/BT438</f>
        <v>0.80833773515907525</v>
      </c>
      <c r="BU433" s="120">
        <f t="shared" si="1194"/>
        <v>1.0509946192727866</v>
      </c>
      <c r="BV433" s="120">
        <f t="shared" si="1194"/>
        <v>1.2975125597353265</v>
      </c>
      <c r="BW433" s="120">
        <f t="shared" si="1194"/>
        <v>1.618860510805501</v>
      </c>
      <c r="BX433" s="1175">
        <f t="shared" si="1194"/>
        <v>4.7726605205188868</v>
      </c>
      <c r="BY433" s="1003">
        <f>BY415/BY438</f>
        <v>1.8674101102865812</v>
      </c>
      <c r="BZ433" s="721">
        <f t="shared" si="1194"/>
        <v>2.0314856696267203</v>
      </c>
      <c r="CA433" s="721">
        <f t="shared" si="1194"/>
        <v>2.1429220015561303</v>
      </c>
      <c r="CB433" s="721">
        <f t="shared" si="1194"/>
        <v>2.1987561478701121</v>
      </c>
      <c r="CC433" s="1176">
        <f t="shared" si="1194"/>
        <v>8.2419687205177823</v>
      </c>
      <c r="CD433" s="721">
        <f t="shared" si="1194"/>
        <v>2.4658959567971759</v>
      </c>
      <c r="CE433" s="721">
        <f t="shared" si="1194"/>
        <v>2.760795554524976</v>
      </c>
      <c r="CF433" s="721">
        <f t="shared" si="1194"/>
        <v>2.7552483436463899</v>
      </c>
      <c r="CG433" s="721">
        <f t="shared" si="1194"/>
        <v>2.8325310569731812</v>
      </c>
      <c r="CH433" s="1176">
        <f t="shared" si="1194"/>
        <v>10.814470911941722</v>
      </c>
      <c r="CI433" s="1176">
        <f t="shared" si="1194"/>
        <v>13.19748215223682</v>
      </c>
      <c r="CJ433" s="1176">
        <f t="shared" si="1194"/>
        <v>15.810836287886168</v>
      </c>
      <c r="CK433" s="1176">
        <f t="shared" si="1194"/>
        <v>18.904490234010101</v>
      </c>
      <c r="CL433" s="155"/>
    </row>
    <row r="434" spans="1:90" x14ac:dyDescent="0.3">
      <c r="A434" s="78" t="str">
        <f>CONCATENATE("Consensus Estimates - ",IFERROR(LEFT(A433,FIND("(",A433)-1),A433))</f>
        <v>Consensus Estimates - Non-GAAP Adjusted Earnings Per Share - WAD</v>
      </c>
      <c r="B434" s="106"/>
      <c r="C434" s="1177"/>
      <c r="D434" s="1177"/>
      <c r="E434" s="1177"/>
      <c r="F434" s="1177"/>
      <c r="G434" s="79"/>
      <c r="H434" s="79"/>
      <c r="I434" s="79"/>
      <c r="J434" s="79"/>
      <c r="K434" s="1177"/>
      <c r="L434" s="79"/>
      <c r="M434" s="79"/>
      <c r="N434" s="79"/>
      <c r="O434" s="79"/>
      <c r="P434" s="1177"/>
      <c r="Q434" s="79"/>
      <c r="R434" s="79"/>
      <c r="S434" s="79"/>
      <c r="T434" s="79"/>
      <c r="U434" s="1177"/>
      <c r="V434" s="79"/>
      <c r="W434" s="1025"/>
      <c r="X434" s="1025"/>
      <c r="Y434" s="1025"/>
      <c r="Z434" s="1177"/>
      <c r="AA434" s="79"/>
      <c r="AB434" s="79"/>
      <c r="AC434" s="79"/>
      <c r="AD434" s="79"/>
      <c r="AE434" s="1178"/>
      <c r="AF434" s="79"/>
      <c r="AG434" s="79"/>
      <c r="AH434" s="79"/>
      <c r="AI434" s="79"/>
      <c r="AJ434" s="1178"/>
      <c r="AK434" s="79"/>
      <c r="AL434" s="79"/>
      <c r="AM434" s="79"/>
      <c r="AN434" s="79"/>
      <c r="AO434" s="1178"/>
      <c r="AP434" s="79"/>
      <c r="AQ434" s="79"/>
      <c r="AR434" s="79"/>
      <c r="AS434" s="79"/>
      <c r="AT434" s="1178"/>
      <c r="AU434" s="79"/>
      <c r="AV434" s="79"/>
      <c r="AW434" s="79"/>
      <c r="AX434" s="79"/>
      <c r="AY434" s="1178"/>
      <c r="AZ434" s="79"/>
      <c r="BA434" s="79"/>
      <c r="BB434" s="79"/>
      <c r="BC434" s="79"/>
      <c r="BD434" s="1178"/>
      <c r="BE434" s="79"/>
      <c r="BF434" s="79"/>
      <c r="BG434" s="79"/>
      <c r="BH434" s="79"/>
      <c r="BI434" s="1178"/>
      <c r="BJ434" s="79"/>
      <c r="BK434" s="79"/>
      <c r="BL434" s="79"/>
      <c r="BM434" s="79"/>
      <c r="BN434" s="1178"/>
      <c r="BO434" s="79"/>
      <c r="BP434" s="79"/>
      <c r="BQ434" s="79"/>
      <c r="BR434" s="79"/>
      <c r="BS434" s="1178"/>
      <c r="BT434" s="79"/>
      <c r="BU434" s="79"/>
      <c r="BV434" s="79"/>
      <c r="BW434" s="79"/>
      <c r="BX434" s="1178"/>
      <c r="BY434" s="917"/>
      <c r="BZ434" s="868" t="str">
        <f t="shared" ref="BZ434:CH434" ca="1" si="1195">IFERROR(VLOOKUP($A434,tb_ConsensusEstimate,MATCH(BZ$5,OFFSET(tb_ConsensusEstimate,0,0,1,COLUMNS(tb_ConsensusEstimate)),0),FALSE),"-")</f>
        <v>N/A</v>
      </c>
      <c r="CA434" s="868" t="str">
        <f t="shared" ca="1" si="1195"/>
        <v>N/A</v>
      </c>
      <c r="CB434" s="868" t="str">
        <f t="shared" ca="1" si="1195"/>
        <v>N/A</v>
      </c>
      <c r="CC434" s="1178" t="str">
        <f t="shared" ca="1" si="1195"/>
        <v>N/A</v>
      </c>
      <c r="CD434" s="868" t="str">
        <f t="shared" ca="1" si="1195"/>
        <v>N/A</v>
      </c>
      <c r="CE434" s="868" t="str">
        <f t="shared" ca="1" si="1195"/>
        <v>N/A</v>
      </c>
      <c r="CF434" s="868" t="str">
        <f t="shared" ca="1" si="1195"/>
        <v>N/A</v>
      </c>
      <c r="CG434" s="868" t="str">
        <f t="shared" ca="1" si="1195"/>
        <v>N/A</v>
      </c>
      <c r="CH434" s="1178" t="str">
        <f t="shared" ca="1" si="1195"/>
        <v>N/A</v>
      </c>
      <c r="CI434" s="1178" t="str">
        <f ca="1">IFERROR(VLOOKUP($A434,tb_ConsensusEstimate,MATCH(CI5,OFFSET(tb_ConsensusEstimate,0,0,1,COLUMNS(tb_ConsensusEstimate)),0),FALSE),"-")</f>
        <v>N/A</v>
      </c>
      <c r="CJ434" s="1178" t="str">
        <f ca="1">IFERROR(VLOOKUP($A434,tb_ConsensusEstimate,MATCH(CJ5,OFFSET(tb_ConsensusEstimate,0,0,1,COLUMNS(tb_ConsensusEstimate)),0),FALSE),"-")</f>
        <v>N/A</v>
      </c>
      <c r="CK434" s="1178" t="str">
        <f ca="1">IFERROR(VLOOKUP($A434,tb_ConsensusEstimate,MATCH(CK5,OFFSET(tb_ConsensusEstimate,0,0,1,COLUMNS(tb_ConsensusEstimate)),0),FALSE),"-")</f>
        <v>N/A</v>
      </c>
      <c r="CL434" s="155"/>
    </row>
    <row r="435" spans="1:90" x14ac:dyDescent="0.3">
      <c r="A435" s="75"/>
      <c r="B435" s="102"/>
      <c r="C435" s="1119"/>
      <c r="D435" s="1119"/>
      <c r="E435" s="1119"/>
      <c r="F435" s="1119"/>
      <c r="G435" s="76"/>
      <c r="H435" s="76"/>
      <c r="I435" s="76"/>
      <c r="J435" s="76"/>
      <c r="K435" s="1119"/>
      <c r="L435" s="76"/>
      <c r="M435" s="76"/>
      <c r="N435" s="76"/>
      <c r="O435" s="76"/>
      <c r="P435" s="1119"/>
      <c r="Q435" s="76"/>
      <c r="R435" s="76"/>
      <c r="S435" s="76"/>
      <c r="T435" s="76"/>
      <c r="U435" s="1119"/>
      <c r="V435" s="76"/>
      <c r="W435" s="77"/>
      <c r="X435" s="77"/>
      <c r="Y435" s="77"/>
      <c r="Z435" s="1119"/>
      <c r="AA435" s="76"/>
      <c r="AB435" s="77"/>
      <c r="AC435" s="77"/>
      <c r="AD435" s="77"/>
      <c r="AE435" s="1119"/>
      <c r="AF435" s="76"/>
      <c r="AG435" s="76"/>
      <c r="AH435" s="76"/>
      <c r="AI435" s="77"/>
      <c r="AJ435" s="1119"/>
      <c r="AK435" s="76"/>
      <c r="AL435" s="76"/>
      <c r="AM435" s="76"/>
      <c r="AN435" s="77"/>
      <c r="AO435" s="1119"/>
      <c r="AP435" s="76"/>
      <c r="AQ435" s="76"/>
      <c r="AR435" s="76"/>
      <c r="AS435" s="77"/>
      <c r="AT435" s="1119"/>
      <c r="AU435" s="76"/>
      <c r="AV435" s="76"/>
      <c r="AW435" s="76"/>
      <c r="AX435" s="77"/>
      <c r="AY435" s="1119"/>
      <c r="AZ435" s="76"/>
      <c r="BA435" s="76"/>
      <c r="BB435" s="76"/>
      <c r="BC435" s="77"/>
      <c r="BD435" s="1119"/>
      <c r="BE435" s="76"/>
      <c r="BF435" s="76"/>
      <c r="BG435" s="76"/>
      <c r="BH435" s="77"/>
      <c r="BI435" s="1119"/>
      <c r="BJ435" s="76"/>
      <c r="BK435" s="76"/>
      <c r="BL435" s="76"/>
      <c r="BM435" s="77"/>
      <c r="BN435" s="1119"/>
      <c r="BO435" s="76"/>
      <c r="BP435" s="76"/>
      <c r="BQ435" s="76"/>
      <c r="BR435" s="77"/>
      <c r="BS435" s="1119"/>
      <c r="BT435" s="76"/>
      <c r="BU435" s="76"/>
      <c r="BV435" s="76"/>
      <c r="BW435" s="77"/>
      <c r="BX435" s="1119"/>
      <c r="BY435" s="893"/>
      <c r="BZ435" s="77"/>
      <c r="CA435" s="77"/>
      <c r="CB435" s="77"/>
      <c r="CC435" s="1119"/>
      <c r="CD435" s="76"/>
      <c r="CE435" s="77"/>
      <c r="CF435" s="77"/>
      <c r="CG435" s="77"/>
      <c r="CH435" s="1119"/>
      <c r="CI435" s="1119"/>
      <c r="CJ435" s="1119"/>
      <c r="CK435" s="1119"/>
      <c r="CL435" s="155"/>
    </row>
    <row r="436" spans="1:90" x14ac:dyDescent="0.3">
      <c r="A436" s="68" t="s">
        <v>112</v>
      </c>
      <c r="B436" s="146"/>
      <c r="C436" s="1113">
        <f>(548.126*(4))*(10)</f>
        <v>21925.040000000001</v>
      </c>
      <c r="D436" s="1113">
        <f>(549.574*(4))*(10)</f>
        <v>21982.959999999999</v>
      </c>
      <c r="E436" s="1113">
        <f>(575.177*(4))*(10)</f>
        <v>23007.08</v>
      </c>
      <c r="F436" s="1113">
        <f>(603.646*(4))*(10)</f>
        <v>24145.839999999997</v>
      </c>
      <c r="G436" s="1055">
        <f>(615.78*(4))*(10)</f>
        <v>24631.199999999997</v>
      </c>
      <c r="H436" s="1055">
        <f>(618.996*(4))*(10)</f>
        <v>24759.84</v>
      </c>
      <c r="I436" s="1055">
        <f>(622.352*(4))*(10)</f>
        <v>24894.079999999998</v>
      </c>
      <c r="J436" s="1055">
        <f>(620.169*(4))*(10)</f>
        <v>24806.76</v>
      </c>
      <c r="K436" s="1113">
        <f>(619.324*(4))*(10)</f>
        <v>24772.959999999999</v>
      </c>
      <c r="L436" s="1055">
        <f>(616.872*(4))*(10)</f>
        <v>24674.879999999997</v>
      </c>
      <c r="M436" s="1055">
        <f>(585.345*(4))*(10)</f>
        <v>23413.800000000003</v>
      </c>
      <c r="N436" s="1055">
        <f>(580.87*(4))*(10)</f>
        <v>23234.799999999999</v>
      </c>
      <c r="O436" s="1055">
        <f>(568.483*(4))*(10)</f>
        <v>22739.32</v>
      </c>
      <c r="P436" s="1113">
        <f>(587.893*(4))*(10)</f>
        <v>23515.72</v>
      </c>
      <c r="Q436" s="1055">
        <f>(559*(4))*(10)</f>
        <v>22360</v>
      </c>
      <c r="R436" s="1055">
        <f>(558*(4))*(10)</f>
        <v>22320</v>
      </c>
      <c r="S436" s="1055">
        <f>(548*(4))*(10)</f>
        <v>21920</v>
      </c>
      <c r="T436" s="1055">
        <f>(544*(4))*(10)</f>
        <v>21760</v>
      </c>
      <c r="U436" s="1113">
        <f>(552*(4))*(10)</f>
        <v>22080</v>
      </c>
      <c r="V436" s="1055">
        <f>(549*(4))*(10)</f>
        <v>21960</v>
      </c>
      <c r="W436" s="1055">
        <f>(541*(4))*(10)</f>
        <v>21640</v>
      </c>
      <c r="X436" s="1055">
        <f>(542*(4))*(10)</f>
        <v>21680</v>
      </c>
      <c r="Y436" s="1055">
        <f>(539*(4))*(10)</f>
        <v>21560</v>
      </c>
      <c r="Z436" s="1113">
        <f>(543*(4))*(10)</f>
        <v>21720</v>
      </c>
      <c r="AA436" s="1055">
        <f>(537*(4))*(10)</f>
        <v>21480</v>
      </c>
      <c r="AB436" s="1055">
        <f>(534*(4))*(10)</f>
        <v>21360</v>
      </c>
      <c r="AC436" s="1055">
        <f>(538*(4))*(10)</f>
        <v>21520</v>
      </c>
      <c r="AD436" s="1055">
        <f>(553*(4))*(10)</f>
        <v>22120</v>
      </c>
      <c r="AE436" s="1113">
        <f>(541*(4))*(10)</f>
        <v>21640</v>
      </c>
      <c r="AF436" s="1055">
        <f>(592*(4))*(10)</f>
        <v>23680</v>
      </c>
      <c r="AG436" s="1055">
        <f>(597*(4))*(10)</f>
        <v>23880</v>
      </c>
      <c r="AH436" s="1055">
        <f>(603*(4))*(10)</f>
        <v>24120</v>
      </c>
      <c r="AI436" s="1055">
        <f>(606*(4))*(10)</f>
        <v>24240</v>
      </c>
      <c r="AJ436" s="1113">
        <f>(599*(4))*(10)</f>
        <v>23960</v>
      </c>
      <c r="AK436" s="1055">
        <f>(606*(4))*(10)</f>
        <v>24240</v>
      </c>
      <c r="AL436" s="1055">
        <f>(607*(4))*(10)</f>
        <v>24280</v>
      </c>
      <c r="AM436" s="1055">
        <f>(609*(4))*(10)</f>
        <v>24360</v>
      </c>
      <c r="AN436" s="1055">
        <f>(609*(4))*(10)</f>
        <v>24360</v>
      </c>
      <c r="AO436" s="1113">
        <f>(608*(4))*(10)</f>
        <v>24320</v>
      </c>
      <c r="AP436" s="1055">
        <f>(607*(4))*(10)</f>
        <v>24280</v>
      </c>
      <c r="AQ436" s="1055">
        <f>(609*(4))*(10)</f>
        <v>24360</v>
      </c>
      <c r="AR436" s="1055">
        <f>(610*(4))*(10)</f>
        <v>24400</v>
      </c>
      <c r="AS436" s="1055">
        <f>(612*(4))*(10)</f>
        <v>24480</v>
      </c>
      <c r="AT436" s="1113">
        <f>(609*(4))*(10)</f>
        <v>24360</v>
      </c>
      <c r="AU436" s="1055">
        <f>(614*(4))*(10)</f>
        <v>24560</v>
      </c>
      <c r="AV436" s="1055">
        <f>(616*(4))*(10)</f>
        <v>24640</v>
      </c>
      <c r="AW436" s="1055">
        <f>(618*(4))*(10)</f>
        <v>24720</v>
      </c>
      <c r="AX436" s="1055">
        <f>(619*(4))*(10)</f>
        <v>24760</v>
      </c>
      <c r="AY436" s="1113">
        <f>(617*(4))*(10)</f>
        <v>24680</v>
      </c>
      <c r="AZ436" s="1055">
        <f>(621*(4))*(10)</f>
        <v>24840</v>
      </c>
      <c r="BA436" s="1055">
        <f>2493*(10)</f>
        <v>24930</v>
      </c>
      <c r="BB436" s="1055">
        <f>2499*(10)</f>
        <v>24990</v>
      </c>
      <c r="BC436" s="1055">
        <f>2504*(10)</f>
        <v>25040</v>
      </c>
      <c r="BD436" s="1113">
        <f>2496*(10)</f>
        <v>24960</v>
      </c>
      <c r="BE436" s="1055">
        <f>2506*(10)</f>
        <v>25060</v>
      </c>
      <c r="BF436" s="1055">
        <f>2495*(10)</f>
        <v>24950</v>
      </c>
      <c r="BG436" s="1055">
        <f>2483*(10)</f>
        <v>24830</v>
      </c>
      <c r="BH436" s="1055">
        <f>2464*(10)</f>
        <v>24640</v>
      </c>
      <c r="BI436" s="1113">
        <f>2487*(10)</f>
        <v>24870</v>
      </c>
      <c r="BJ436" s="1055">
        <f>2470*(10)</f>
        <v>24700</v>
      </c>
      <c r="BK436" s="1055">
        <f>2473*(10)</f>
        <v>24730</v>
      </c>
      <c r="BL436" s="1055">
        <f>2468*(10)</f>
        <v>24680</v>
      </c>
      <c r="BM436" s="1055">
        <f>2466*(10)</f>
        <v>24660</v>
      </c>
      <c r="BN436" s="1113">
        <f>2469*(10)</f>
        <v>24690</v>
      </c>
      <c r="BO436" s="1055">
        <f>2462*(10)</f>
        <v>24620</v>
      </c>
      <c r="BP436" s="1055">
        <v>24578</v>
      </c>
      <c r="BQ436" s="1055">
        <v>24533</v>
      </c>
      <c r="BR436" s="1055">
        <v>24489</v>
      </c>
      <c r="BS436" s="1113">
        <v>24555</v>
      </c>
      <c r="BT436" s="1055">
        <v>24441</v>
      </c>
      <c r="BU436" s="1055">
        <v>24366</v>
      </c>
      <c r="BV436" s="1055">
        <v>24327</v>
      </c>
      <c r="BW436" s="1055">
        <v>24304</v>
      </c>
      <c r="BX436" s="1113">
        <v>24359</v>
      </c>
      <c r="BY436" s="1057">
        <v>24286</v>
      </c>
      <c r="BZ436" s="68">
        <f>AVERAGE(BY444,BZ444)</f>
        <v>24221</v>
      </c>
      <c r="CA436" s="68">
        <f>AVERAGE(BZ444,CA444)</f>
        <v>24221</v>
      </c>
      <c r="CB436" s="68">
        <f>AVERAGE(CA444,CB444)</f>
        <v>24221</v>
      </c>
      <c r="CC436" s="1112">
        <f>SUM(BY436*BY3,BZ436*BZ3,CA436*CA3,CB436*CB3)/CC3</f>
        <v>24236.943396226416</v>
      </c>
      <c r="CD436" s="68">
        <f>AVERAGE(CC444,CD444)</f>
        <v>24221</v>
      </c>
      <c r="CE436" s="68">
        <f>AVERAGE(CD444,CE444)</f>
        <v>24221</v>
      </c>
      <c r="CF436" s="68">
        <f>AVERAGE(CE444,CF444)</f>
        <v>24221</v>
      </c>
      <c r="CG436" s="68">
        <f>AVERAGE(CF444,CG444)</f>
        <v>24221</v>
      </c>
      <c r="CH436" s="1112">
        <f>SUM(CD436*CD3,CE436*CE3,CF436*CF3,CG436*CG3)/CH3</f>
        <v>24221</v>
      </c>
      <c r="CI436" s="1112">
        <f>AVERAGE(CH444,CI444)</f>
        <v>24221</v>
      </c>
      <c r="CJ436" s="1112">
        <f>AVERAGE(CI444,CJ444)</f>
        <v>24221</v>
      </c>
      <c r="CK436" s="1112">
        <f>AVERAGE(CJ444,CK444)</f>
        <v>24221</v>
      </c>
      <c r="CL436" s="155"/>
    </row>
    <row r="437" spans="1:90" x14ac:dyDescent="0.3">
      <c r="A437" s="68" t="s">
        <v>113</v>
      </c>
      <c r="B437" s="146"/>
      <c r="C437" s="1113">
        <f>(548.126*(4))*(10)</f>
        <v>21925.040000000001</v>
      </c>
      <c r="D437" s="1113">
        <f>(549.574*(4))*(10)</f>
        <v>21982.959999999999</v>
      </c>
      <c r="E437" s="1113">
        <f>(588.684*(4))*(10)</f>
        <v>23547.360000000001</v>
      </c>
      <c r="F437" s="1113">
        <f>(616.371*(4))*(10)</f>
        <v>24654.84</v>
      </c>
      <c r="G437" s="1055">
        <f>(623.786*(4))*(10)</f>
        <v>24951.439999999999</v>
      </c>
      <c r="H437" s="1055">
        <f>(623.143*(4))*(10)</f>
        <v>24925.72</v>
      </c>
      <c r="I437" s="1055">
        <f>(628.845*(4))*(10)</f>
        <v>25153.800000000003</v>
      </c>
      <c r="J437" s="1055">
        <f>(622.018*(4))*(10)</f>
        <v>24880.720000000001</v>
      </c>
      <c r="K437" s="1113">
        <f>(624.957*(4))*(10)</f>
        <v>24998.28</v>
      </c>
      <c r="L437" s="1055">
        <f>(619.302*(4))*(10)</f>
        <v>24772.080000000002</v>
      </c>
      <c r="M437" s="1055">
        <f>(592.006*(4))*(10)</f>
        <v>23680.239999999998</v>
      </c>
      <c r="N437" s="1055">
        <f>(588.752*(4))*(10)</f>
        <v>23550.079999999998</v>
      </c>
      <c r="O437" s="1055">
        <f>(577.356*(4))*(10)</f>
        <v>23094.239999999998</v>
      </c>
      <c r="P437" s="1113">
        <f>(594.517*(4))*(10)</f>
        <v>23780.68</v>
      </c>
      <c r="Q437" s="1055">
        <f>(570*(4))*(10)</f>
        <v>22800</v>
      </c>
      <c r="R437" s="1055">
        <f>(571*(4))*(10)</f>
        <v>22840</v>
      </c>
      <c r="S437" s="1055">
        <f>(558*(4))*(10)</f>
        <v>22320</v>
      </c>
      <c r="T437" s="1055">
        <f>(557*(4))*(10)</f>
        <v>22280</v>
      </c>
      <c r="U437" s="1113">
        <f>(563*(4))*(10)</f>
        <v>22520</v>
      </c>
      <c r="V437" s="1055">
        <f>(568*(4))*(10)</f>
        <v>22720</v>
      </c>
      <c r="W437" s="1055">
        <f>(556*(4))*(10)</f>
        <v>22240</v>
      </c>
      <c r="X437" s="1055">
        <f>(565*(4))*(10)</f>
        <v>22600</v>
      </c>
      <c r="Y437" s="1055">
        <f>(593*(4))*(10)</f>
        <v>23720</v>
      </c>
      <c r="Z437" s="1113">
        <f>(569*(4))*(10)</f>
        <v>22760</v>
      </c>
      <c r="AA437" s="1055">
        <f>(597*(4))*(10)</f>
        <v>23880</v>
      </c>
      <c r="AB437" s="1055">
        <f>(631*(4))*(10)</f>
        <v>25240</v>
      </c>
      <c r="AC437" s="1055">
        <f>(653*(4))*(10)</f>
        <v>26120</v>
      </c>
      <c r="AD437" s="1055">
        <f>(660*(4))*(10)</f>
        <v>26400</v>
      </c>
      <c r="AE437" s="1113">
        <f>(649*(4))*(10)</f>
        <v>25960</v>
      </c>
      <c r="AF437" s="1055">
        <f>(641*(4))*(10)</f>
        <v>25640</v>
      </c>
      <c r="AG437" s="1055">
        <f>(633*(4))*(10)</f>
        <v>25320</v>
      </c>
      <c r="AH437" s="1055">
        <f>(628*(4))*(10)</f>
        <v>25120</v>
      </c>
      <c r="AI437" s="1055">
        <f>(628*(4))*(10)</f>
        <v>25120</v>
      </c>
      <c r="AJ437" s="1113">
        <f>(632*(4))*(10)</f>
        <v>25280</v>
      </c>
      <c r="AK437" s="1055">
        <f>(627*(4))*(10)</f>
        <v>25080</v>
      </c>
      <c r="AL437" s="1055">
        <f>(626*(4))*(10)</f>
        <v>25040</v>
      </c>
      <c r="AM437" s="1055">
        <f>(625*(4))*(10)</f>
        <v>25000</v>
      </c>
      <c r="AN437" s="1055">
        <f>(619*(4))*(10)</f>
        <v>24760</v>
      </c>
      <c r="AO437" s="1113">
        <f>(625*(4))*(10)</f>
        <v>25000</v>
      </c>
      <c r="AP437" s="1055">
        <f>(616*(4))*(10)</f>
        <v>24640</v>
      </c>
      <c r="AQ437" s="1055">
        <f>(616*(4))*(10)</f>
        <v>24640</v>
      </c>
      <c r="AR437" s="1055">
        <f>(618*(4))*(10)</f>
        <v>24720</v>
      </c>
      <c r="AS437" s="1055">
        <f>(621*(4))*(10)</f>
        <v>24840</v>
      </c>
      <c r="AT437" s="1113">
        <f>(618*(4))*(10)</f>
        <v>24720</v>
      </c>
      <c r="AU437" s="1055">
        <f>(622*(4))*(10)</f>
        <v>24880</v>
      </c>
      <c r="AV437" s="1055">
        <f>(626*(4))*(10)</f>
        <v>25040</v>
      </c>
      <c r="AW437" s="1055">
        <f>(630*(4))*(10)</f>
        <v>25200</v>
      </c>
      <c r="AX437" s="1055">
        <f>(631*(4))*(10)</f>
        <v>25240</v>
      </c>
      <c r="AY437" s="1113">
        <f>(628*(4))*(10)</f>
        <v>25120</v>
      </c>
      <c r="AZ437" s="1055">
        <f>(632*(4))*(10)</f>
        <v>25280</v>
      </c>
      <c r="BA437" s="1055">
        <f>2532*(10)</f>
        <v>25320</v>
      </c>
      <c r="BB437" s="1055">
        <f>2538*(10)</f>
        <v>25380</v>
      </c>
      <c r="BC437" s="1055">
        <f>2545*(10)</f>
        <v>25450</v>
      </c>
      <c r="BD437" s="1113">
        <f>2535*(10)</f>
        <v>25350</v>
      </c>
      <c r="BE437" s="1055">
        <f>2537*(10)</f>
        <v>25370</v>
      </c>
      <c r="BF437" s="1055">
        <f>2516*(10)</f>
        <v>25160</v>
      </c>
      <c r="BG437" s="1055">
        <f>2499*(10)</f>
        <v>24990</v>
      </c>
      <c r="BH437" s="1055">
        <f>2477*(10)</f>
        <v>24770</v>
      </c>
      <c r="BI437" s="1113">
        <f>2507*(10)</f>
        <v>25070</v>
      </c>
      <c r="BJ437" s="1055">
        <f>2490*(10)</f>
        <v>24900</v>
      </c>
      <c r="BK437" s="1055">
        <f>2499*(10)</f>
        <v>24990</v>
      </c>
      <c r="BL437" s="1055">
        <f>2494*(10)</f>
        <v>24940</v>
      </c>
      <c r="BM437" s="1055">
        <f>2490*(10)</f>
        <v>24900</v>
      </c>
      <c r="BN437" s="1113">
        <f>2494*(10)</f>
        <v>24940</v>
      </c>
      <c r="BO437" s="1055">
        <f>2489*(10)</f>
        <v>24890</v>
      </c>
      <c r="BP437" s="1055">
        <v>24848</v>
      </c>
      <c r="BQ437" s="1055">
        <v>24774</v>
      </c>
      <c r="BR437" s="1055">
        <v>24706</v>
      </c>
      <c r="BS437" s="1113">
        <v>24804</v>
      </c>
      <c r="BT437" s="1055">
        <v>24611</v>
      </c>
      <c r="BU437" s="1055">
        <v>24532</v>
      </c>
      <c r="BV437" s="1055">
        <v>24483</v>
      </c>
      <c r="BW437" s="1055">
        <v>24432</v>
      </c>
      <c r="BX437" s="1113">
        <v>24514</v>
      </c>
      <c r="BY437" s="1057">
        <v>24391</v>
      </c>
      <c r="BZ437" s="68">
        <f>IF(BZ424&lt;0,BZ436,AVERAGE(BY455,BZ455))</f>
        <v>24392.588889342282</v>
      </c>
      <c r="CA437" s="68">
        <f>IF(CA424&lt;0,CA436,AVERAGE(BZ455,CA455))</f>
        <v>24459.177778684563</v>
      </c>
      <c r="CB437" s="68">
        <f>IF(CB424&lt;0,CB436,AVERAGE(CA455,CB455))</f>
        <v>24459.177778684563</v>
      </c>
      <c r="CC437" s="1112">
        <f>IF(CC424&lt;0,CC436,SUM(AVERAGE(BX455,BY455)*BY3,AVERAGE(BY455,BZ455)*BZ3,AVERAGE(BZ455,CA455)*CA3,AVERAGE(CA455,CB455)*CB3)/CC3)</f>
        <v>24423.178407281754</v>
      </c>
      <c r="CD437" s="68">
        <f>IF(CD424&lt;0,CD436,AVERAGE(CC455,CD455))</f>
        <v>24459.177778684563</v>
      </c>
      <c r="CE437" s="68">
        <f>IF(CE424&lt;0,CE436,AVERAGE(CD455,CE455))</f>
        <v>24459.177778684563</v>
      </c>
      <c r="CF437" s="68">
        <f>IF(CF424&lt;0,CF436,AVERAGE(CE455,CF455))</f>
        <v>24459.177778684563</v>
      </c>
      <c r="CG437" s="68">
        <f>IF(CG424&lt;0,CG436,AVERAGE(CF455,CG455))</f>
        <v>24459.177778684563</v>
      </c>
      <c r="CH437" s="1112">
        <f>IF(CH424&lt;0,CH436,SUM(AVERAGE(CC455,CD455)*CD3,AVERAGE(CD455,CE455)*CE3,AVERAGE(CE455,CF455)*CF3,AVERAGE(CF455,CG455)*CG3)/CH3)</f>
        <v>24459.177778684563</v>
      </c>
      <c r="CI437" s="1112">
        <f>IF(CI424&lt;0,CI436,AVERAGE(CH455,CI455))</f>
        <v>24459.177778684563</v>
      </c>
      <c r="CJ437" s="1112">
        <f>IF(CJ424&lt;0,CJ436,AVERAGE(CI455,CJ455))</f>
        <v>24459.177778684563</v>
      </c>
      <c r="CK437" s="1112">
        <f>IF(CK424&lt;0,CK436,AVERAGE(CJ455,CK455))</f>
        <v>24459.177778684563</v>
      </c>
      <c r="CL437" s="155"/>
    </row>
    <row r="438" spans="1:90" x14ac:dyDescent="0.3">
      <c r="A438" s="68" t="s">
        <v>114</v>
      </c>
      <c r="B438" s="146"/>
      <c r="C438" s="1112">
        <f t="shared" ref="C438:P438" si="1196">C437</f>
        <v>21925.040000000001</v>
      </c>
      <c r="D438" s="1112">
        <f t="shared" si="1196"/>
        <v>21982.959999999999</v>
      </c>
      <c r="E438" s="1112">
        <f t="shared" si="1196"/>
        <v>23547.360000000001</v>
      </c>
      <c r="F438" s="1112">
        <f t="shared" si="1196"/>
        <v>24654.84</v>
      </c>
      <c r="G438" s="68">
        <f t="shared" si="1196"/>
        <v>24951.439999999999</v>
      </c>
      <c r="H438" s="68">
        <f t="shared" si="1196"/>
        <v>24925.72</v>
      </c>
      <c r="I438" s="68">
        <f t="shared" si="1196"/>
        <v>25153.800000000003</v>
      </c>
      <c r="J438" s="68">
        <f t="shared" si="1196"/>
        <v>24880.720000000001</v>
      </c>
      <c r="K438" s="1112">
        <f t="shared" si="1196"/>
        <v>24998.28</v>
      </c>
      <c r="L438" s="68">
        <f t="shared" si="1196"/>
        <v>24772.080000000002</v>
      </c>
      <c r="M438" s="68">
        <f t="shared" si="1196"/>
        <v>23680.239999999998</v>
      </c>
      <c r="N438" s="68">
        <f t="shared" si="1196"/>
        <v>23550.079999999998</v>
      </c>
      <c r="O438" s="68">
        <f t="shared" si="1196"/>
        <v>23094.239999999998</v>
      </c>
      <c r="P438" s="1112">
        <f t="shared" si="1196"/>
        <v>23780.68</v>
      </c>
      <c r="Q438" s="1055">
        <f>(570*(4))*(10)</f>
        <v>22800</v>
      </c>
      <c r="R438" s="1055">
        <f>(571*(4))*(10)</f>
        <v>22840</v>
      </c>
      <c r="S438" s="1055">
        <f>(558*(4))*(10)</f>
        <v>22320</v>
      </c>
      <c r="T438" s="1055">
        <f>(557*(4))*(10)</f>
        <v>22280</v>
      </c>
      <c r="U438" s="1113">
        <f>(563*(4))*(10)</f>
        <v>22520</v>
      </c>
      <c r="V438" s="1055">
        <f>(562*(4))*(10)</f>
        <v>22480</v>
      </c>
      <c r="W438" s="1055">
        <f>(552*(4))*(10)</f>
        <v>22080</v>
      </c>
      <c r="X438" s="1055">
        <f>(555*(4))*(10)</f>
        <v>22200</v>
      </c>
      <c r="Y438" s="1055">
        <f>(567*(4))*(10)</f>
        <v>22680</v>
      </c>
      <c r="Z438" s="1113">
        <f>(556*(4))*(10)</f>
        <v>22240</v>
      </c>
      <c r="AA438" s="1055">
        <f>(568*(4))*(10)</f>
        <v>22720</v>
      </c>
      <c r="AB438" s="1055">
        <f>(588*(4))*(10)</f>
        <v>23520</v>
      </c>
      <c r="AC438" s="1055">
        <f>(608*(4))*(10)</f>
        <v>24320</v>
      </c>
      <c r="AD438" s="1055">
        <f>(624*(4))*(10)</f>
        <v>24960</v>
      </c>
      <c r="AE438" s="1113">
        <f>(605*(4))*(10)</f>
        <v>24200</v>
      </c>
      <c r="AF438" s="1055">
        <f>(627*(4))*(10)</f>
        <v>25080</v>
      </c>
      <c r="AG438" s="1055">
        <f>(629*(4))*(10)</f>
        <v>25160</v>
      </c>
      <c r="AH438" s="1055">
        <f>(626*(4))*(10)</f>
        <v>25040</v>
      </c>
      <c r="AI438" s="1055">
        <f>(627*(4))*(10)</f>
        <v>25080</v>
      </c>
      <c r="AJ438" s="1113">
        <f>(627*(4))*(10)</f>
        <v>25080</v>
      </c>
      <c r="AK438" s="1055">
        <f>(626*(4))*(10)</f>
        <v>25040</v>
      </c>
      <c r="AL438" s="1055">
        <f>(625*(4))*(10)</f>
        <v>25000</v>
      </c>
      <c r="AM438" s="1055">
        <f>(625*(4))*(10)</f>
        <v>25000</v>
      </c>
      <c r="AN438" s="1055">
        <f>(619*(4))*(10)</f>
        <v>24760</v>
      </c>
      <c r="AO438" s="1113">
        <f>(624*(4))*(10)</f>
        <v>24960</v>
      </c>
      <c r="AP438" s="1055">
        <f>(616*(4))*(10)</f>
        <v>24640</v>
      </c>
      <c r="AQ438" s="1055">
        <f>(616*(4))*(10)</f>
        <v>24640</v>
      </c>
      <c r="AR438" s="1055">
        <f>(618*(4))*(10)</f>
        <v>24720</v>
      </c>
      <c r="AS438" s="1055">
        <f>(621*(4))*(10)</f>
        <v>24840</v>
      </c>
      <c r="AT438" s="1113">
        <f>(618*(4))*(10)</f>
        <v>24720</v>
      </c>
      <c r="AU438" s="1055">
        <f>(622*(4))*(10)</f>
        <v>24880</v>
      </c>
      <c r="AV438" s="1055">
        <f>(626*(4))*(10)</f>
        <v>25040</v>
      </c>
      <c r="AW438" s="1055">
        <f>(630*(4))*(10)</f>
        <v>25200</v>
      </c>
      <c r="AX438" s="1055">
        <f>(631*(4))*(10)</f>
        <v>25240</v>
      </c>
      <c r="AY438" s="1113">
        <f>(628*(4))*(10)</f>
        <v>25120</v>
      </c>
      <c r="AZ438" s="1055">
        <f>(632*(4))*(10)</f>
        <v>25280</v>
      </c>
      <c r="BA438" s="68">
        <f>BA437</f>
        <v>25320</v>
      </c>
      <c r="BB438" s="1055">
        <f>2538*(10)</f>
        <v>25380</v>
      </c>
      <c r="BC438" s="1055">
        <f>2545*(10)</f>
        <v>25450</v>
      </c>
      <c r="BD438" s="1113">
        <f>2535*(10)</f>
        <v>25350</v>
      </c>
      <c r="BE438" s="1055">
        <f>2537*(10)</f>
        <v>25370</v>
      </c>
      <c r="BF438" s="1055">
        <f>2516*(10)</f>
        <v>25160</v>
      </c>
      <c r="BG438" s="1055">
        <f>2499*(10)</f>
        <v>24990</v>
      </c>
      <c r="BH438" s="1055">
        <f>2477*(10)</f>
        <v>24770</v>
      </c>
      <c r="BI438" s="1113">
        <f>2507*(10)</f>
        <v>25070</v>
      </c>
      <c r="BJ438" s="1055">
        <f>2490*(10)</f>
        <v>24900</v>
      </c>
      <c r="BK438" s="1055">
        <f>2499*(10)</f>
        <v>24990</v>
      </c>
      <c r="BL438" s="1055">
        <f>2494*(10)</f>
        <v>24940</v>
      </c>
      <c r="BM438" s="1055">
        <f>2490*(10)</f>
        <v>24900</v>
      </c>
      <c r="BN438" s="1113">
        <f>2494*(10)</f>
        <v>24940</v>
      </c>
      <c r="BO438" s="1055">
        <f>2489*(10)</f>
        <v>24890</v>
      </c>
      <c r="BP438" s="1055">
        <v>24848</v>
      </c>
      <c r="BQ438" s="1055">
        <v>24774</v>
      </c>
      <c r="BR438" s="1055">
        <v>24706</v>
      </c>
      <c r="BS438" s="1113">
        <v>24804</v>
      </c>
      <c r="BT438" s="1055">
        <v>24611</v>
      </c>
      <c r="BU438" s="1055">
        <v>24532</v>
      </c>
      <c r="BV438" s="1055">
        <v>24483</v>
      </c>
      <c r="BW438" s="1055">
        <v>24432</v>
      </c>
      <c r="BX438" s="1113">
        <v>24514</v>
      </c>
      <c r="BY438" s="1057">
        <v>24391</v>
      </c>
      <c r="BZ438" s="68">
        <f>IF(BZ415&lt;0,BZ436,AVERAGE(BY455,BZ455))</f>
        <v>24392.588889342282</v>
      </c>
      <c r="CA438" s="68">
        <f>IF(CA415&lt;0,CA436,AVERAGE(BZ455,CA455))</f>
        <v>24459.177778684563</v>
      </c>
      <c r="CB438" s="68">
        <f>IF(CB415&lt;0,CB436,AVERAGE(CA455,CB455))</f>
        <v>24459.177778684563</v>
      </c>
      <c r="CC438" s="1112">
        <f>IF(CC415&lt;0,CC436,SUM(AVERAGE(BX455,BY455)*BY3,AVERAGE(BY455,BZ455)*BZ3,AVERAGE(BZ455,CA455)*CA3,AVERAGE(CA455,CB455)*CB3)/CC3)</f>
        <v>24423.178407281754</v>
      </c>
      <c r="CD438" s="68">
        <f>IF(CD415&lt;0,CD436,AVERAGE(CC455,CD455))</f>
        <v>24459.177778684563</v>
      </c>
      <c r="CE438" s="68">
        <f>IF(CE415&lt;0,CE436,AVERAGE(CD455,CE455))</f>
        <v>24459.177778684563</v>
      </c>
      <c r="CF438" s="68">
        <f>IF(CF415&lt;0,CF436,AVERAGE(CE455,CF455))</f>
        <v>24459.177778684563</v>
      </c>
      <c r="CG438" s="68">
        <f>IF(CG415&lt;0,CG436,AVERAGE(CF455,CG455))</f>
        <v>24459.177778684563</v>
      </c>
      <c r="CH438" s="1112">
        <f>IF(CH415&lt;0,CH436,SUM(AVERAGE(CC455,CD455)*CD3,AVERAGE(CD455,CE455)*CE3,AVERAGE(CE455,CF455)*CF3,AVERAGE(CF455,CG455)*CG3)/CH3)</f>
        <v>24459.177778684563</v>
      </c>
      <c r="CI438" s="1112">
        <f>IF(CI415&lt;0,CI436,AVERAGE(CH455,CI455))</f>
        <v>24459.177778684563</v>
      </c>
      <c r="CJ438" s="1112">
        <f>IF(CJ415&lt;0,CJ436,AVERAGE(CI455,CJ455))</f>
        <v>24459.177778684563</v>
      </c>
      <c r="CK438" s="1112">
        <f>IF(CK415&lt;0,CK436,AVERAGE(CJ455,CK455))</f>
        <v>24459.177778684563</v>
      </c>
      <c r="CL438" s="155"/>
    </row>
    <row r="439" spans="1:90" x14ac:dyDescent="0.3">
      <c r="A439" s="605"/>
      <c r="B439" s="428"/>
      <c r="C439" s="1136"/>
      <c r="D439" s="1136"/>
      <c r="E439" s="1136"/>
      <c r="F439" s="1136"/>
      <c r="G439" s="93"/>
      <c r="H439" s="93"/>
      <c r="I439" s="93"/>
      <c r="J439" s="93"/>
      <c r="K439" s="1136"/>
      <c r="L439" s="93"/>
      <c r="M439" s="93"/>
      <c r="N439" s="93"/>
      <c r="O439" s="93"/>
      <c r="P439" s="1136"/>
      <c r="Q439" s="93"/>
      <c r="R439" s="93"/>
      <c r="S439" s="93"/>
      <c r="T439" s="93"/>
      <c r="U439" s="1136"/>
      <c r="V439" s="93"/>
      <c r="W439" s="93"/>
      <c r="X439" s="93"/>
      <c r="Y439" s="93"/>
      <c r="Z439" s="1136"/>
      <c r="AA439" s="93"/>
      <c r="AB439" s="93"/>
      <c r="AC439" s="93"/>
      <c r="AD439" s="93"/>
      <c r="AE439" s="1136"/>
      <c r="AF439" s="93"/>
      <c r="AG439" s="93"/>
      <c r="AH439" s="93"/>
      <c r="AI439" s="93"/>
      <c r="AJ439" s="1136"/>
      <c r="AK439" s="93"/>
      <c r="AL439" s="93"/>
      <c r="AM439" s="93"/>
      <c r="AN439" s="93"/>
      <c r="AO439" s="1136"/>
      <c r="AP439" s="93"/>
      <c r="AQ439" s="93"/>
      <c r="AR439" s="93"/>
      <c r="AS439" s="93"/>
      <c r="AT439" s="1136"/>
      <c r="AU439" s="93"/>
      <c r="AV439" s="93"/>
      <c r="AW439" s="93"/>
      <c r="AX439" s="93"/>
      <c r="AY439" s="1136"/>
      <c r="AZ439" s="93"/>
      <c r="BA439" s="93"/>
      <c r="BB439" s="93"/>
      <c r="BC439" s="93"/>
      <c r="BD439" s="1136"/>
      <c r="BE439" s="93"/>
      <c r="BF439" s="93"/>
      <c r="BG439" s="93"/>
      <c r="BH439" s="93"/>
      <c r="BI439" s="1136"/>
      <c r="BJ439" s="93"/>
      <c r="BK439" s="93"/>
      <c r="BL439" s="93"/>
      <c r="BM439" s="93"/>
      <c r="BN439" s="1136"/>
      <c r="BO439" s="93"/>
      <c r="BP439" s="93"/>
      <c r="BQ439" s="93"/>
      <c r="BR439" s="93"/>
      <c r="BS439" s="1136"/>
      <c r="BT439" s="93"/>
      <c r="BU439" s="93"/>
      <c r="BV439" s="93"/>
      <c r="BW439" s="93"/>
      <c r="BX439" s="1136"/>
      <c r="BY439" s="522"/>
      <c r="BZ439" s="93"/>
      <c r="CA439" s="93"/>
      <c r="CB439" s="93"/>
      <c r="CC439" s="1136"/>
      <c r="CD439" s="93"/>
      <c r="CE439" s="93"/>
      <c r="CF439" s="93"/>
      <c r="CG439" s="93"/>
      <c r="CH439" s="1136"/>
      <c r="CI439" s="1136"/>
      <c r="CJ439" s="1136"/>
      <c r="CK439" s="1136"/>
      <c r="CL439" s="155"/>
    </row>
    <row r="440" spans="1:90" x14ac:dyDescent="0.3">
      <c r="A440" s="241" t="s">
        <v>680</v>
      </c>
      <c r="B440" s="242"/>
      <c r="C440" s="286"/>
      <c r="D440" s="286"/>
      <c r="E440" s="286"/>
      <c r="F440" s="286"/>
      <c r="G440" s="286"/>
      <c r="H440" s="286"/>
      <c r="I440" s="286"/>
      <c r="J440" s="286"/>
      <c r="K440" s="286"/>
      <c r="L440" s="286"/>
      <c r="M440" s="286"/>
      <c r="N440" s="286"/>
      <c r="O440" s="286"/>
      <c r="P440" s="286"/>
      <c r="Q440" s="286"/>
      <c r="R440" s="286"/>
      <c r="S440" s="286"/>
      <c r="T440" s="286"/>
      <c r="U440" s="286"/>
      <c r="V440" s="286"/>
      <c r="W440" s="286"/>
      <c r="X440" s="286"/>
      <c r="Y440" s="286"/>
      <c r="Z440" s="286"/>
      <c r="AA440" s="286"/>
      <c r="AB440" s="286"/>
      <c r="AC440" s="286"/>
      <c r="AD440" s="286"/>
      <c r="AE440" s="286"/>
      <c r="AF440" s="286"/>
      <c r="AG440" s="286"/>
      <c r="AH440" s="286"/>
      <c r="AI440" s="286"/>
      <c r="AJ440" s="286"/>
      <c r="AK440" s="286"/>
      <c r="AL440" s="286"/>
      <c r="AM440" s="286"/>
      <c r="AN440" s="286"/>
      <c r="AO440" s="286"/>
      <c r="AP440" s="286"/>
      <c r="AQ440" s="286"/>
      <c r="AR440" s="286"/>
      <c r="AS440" s="286"/>
      <c r="AT440" s="286"/>
      <c r="AU440" s="286"/>
      <c r="AV440" s="286"/>
      <c r="AW440" s="286"/>
      <c r="AX440" s="286"/>
      <c r="AY440" s="286"/>
      <c r="AZ440" s="286"/>
      <c r="BA440" s="286"/>
      <c r="BB440" s="286"/>
      <c r="BC440" s="286"/>
      <c r="BD440" s="286"/>
      <c r="BE440" s="286"/>
      <c r="BF440" s="286"/>
      <c r="BG440" s="286"/>
      <c r="BH440" s="286"/>
      <c r="BI440" s="286"/>
      <c r="BJ440" s="286"/>
      <c r="BK440" s="286"/>
      <c r="BL440" s="286"/>
      <c r="BM440" s="286"/>
      <c r="BN440" s="286"/>
      <c r="BO440" s="286"/>
      <c r="BP440" s="286"/>
      <c r="BQ440" s="286"/>
      <c r="BR440" s="286"/>
      <c r="BS440" s="286"/>
      <c r="BT440" s="286"/>
      <c r="BU440" s="286"/>
      <c r="BV440" s="286"/>
      <c r="BW440" s="286"/>
      <c r="BX440" s="286"/>
      <c r="BY440" s="542"/>
      <c r="BZ440" s="286"/>
      <c r="CA440" s="286"/>
      <c r="CB440" s="286"/>
      <c r="CC440" s="286"/>
      <c r="CD440" s="286"/>
      <c r="CE440" s="286"/>
      <c r="CF440" s="286"/>
      <c r="CG440" s="286"/>
      <c r="CH440" s="286"/>
      <c r="CI440" s="286"/>
      <c r="CJ440" s="286"/>
      <c r="CK440" s="286"/>
      <c r="CL440" s="155"/>
    </row>
    <row r="441" spans="1:90" ht="15" hidden="1" customHeight="1" outlineLevel="2" x14ac:dyDescent="0.3">
      <c r="A441" s="605" t="s">
        <v>871</v>
      </c>
      <c r="B441" s="428"/>
      <c r="C441" s="1179">
        <f t="shared" ref="C441:AH441" si="1197">WORKDAY(C3+1,-1)</f>
        <v>360</v>
      </c>
      <c r="D441" s="1179">
        <f t="shared" si="1197"/>
        <v>370</v>
      </c>
      <c r="E441" s="1179">
        <f t="shared" si="1197"/>
        <v>363</v>
      </c>
      <c r="F441" s="1179">
        <f t="shared" si="1197"/>
        <v>363</v>
      </c>
      <c r="G441" s="638">
        <f t="shared" si="1197"/>
        <v>90</v>
      </c>
      <c r="H441" s="638">
        <f t="shared" si="1197"/>
        <v>90</v>
      </c>
      <c r="I441" s="638">
        <f t="shared" si="1197"/>
        <v>90</v>
      </c>
      <c r="J441" s="638">
        <f t="shared" si="1197"/>
        <v>90</v>
      </c>
      <c r="K441" s="1179">
        <f t="shared" si="1197"/>
        <v>363</v>
      </c>
      <c r="L441" s="638">
        <f t="shared" si="1197"/>
        <v>90</v>
      </c>
      <c r="M441" s="638">
        <f t="shared" si="1197"/>
        <v>90</v>
      </c>
      <c r="N441" s="638">
        <f t="shared" si="1197"/>
        <v>90</v>
      </c>
      <c r="O441" s="638">
        <f t="shared" si="1197"/>
        <v>90</v>
      </c>
      <c r="P441" s="1179">
        <f t="shared" si="1197"/>
        <v>363</v>
      </c>
      <c r="Q441" s="638">
        <f t="shared" si="1197"/>
        <v>90</v>
      </c>
      <c r="R441" s="638">
        <f t="shared" si="1197"/>
        <v>90</v>
      </c>
      <c r="S441" s="638">
        <f t="shared" si="1197"/>
        <v>90</v>
      </c>
      <c r="T441" s="638">
        <f t="shared" si="1197"/>
        <v>90</v>
      </c>
      <c r="U441" s="1179">
        <f t="shared" si="1197"/>
        <v>363</v>
      </c>
      <c r="V441" s="638">
        <f t="shared" si="1197"/>
        <v>90</v>
      </c>
      <c r="W441" s="638">
        <f t="shared" si="1197"/>
        <v>90</v>
      </c>
      <c r="X441" s="638">
        <f t="shared" si="1197"/>
        <v>90</v>
      </c>
      <c r="Y441" s="638">
        <f t="shared" si="1197"/>
        <v>97</v>
      </c>
      <c r="Z441" s="1179">
        <f t="shared" si="1197"/>
        <v>370</v>
      </c>
      <c r="AA441" s="638">
        <f t="shared" si="1197"/>
        <v>90</v>
      </c>
      <c r="AB441" s="638">
        <f t="shared" si="1197"/>
        <v>90</v>
      </c>
      <c r="AC441" s="638">
        <f t="shared" si="1197"/>
        <v>90</v>
      </c>
      <c r="AD441" s="638">
        <f t="shared" si="1197"/>
        <v>90</v>
      </c>
      <c r="AE441" s="1179">
        <f t="shared" si="1197"/>
        <v>363</v>
      </c>
      <c r="AF441" s="638">
        <f t="shared" si="1197"/>
        <v>90</v>
      </c>
      <c r="AG441" s="638">
        <f t="shared" si="1197"/>
        <v>90</v>
      </c>
      <c r="AH441" s="638">
        <f t="shared" si="1197"/>
        <v>90</v>
      </c>
      <c r="AI441" s="638">
        <f t="shared" ref="AI441:BM441" si="1198">WORKDAY(AI3+1,-1)</f>
        <v>90</v>
      </c>
      <c r="AJ441" s="1179">
        <f t="shared" si="1198"/>
        <v>363</v>
      </c>
      <c r="AK441" s="638">
        <f t="shared" si="1198"/>
        <v>90</v>
      </c>
      <c r="AL441" s="638">
        <f t="shared" si="1198"/>
        <v>90</v>
      </c>
      <c r="AM441" s="638">
        <f t="shared" si="1198"/>
        <v>90</v>
      </c>
      <c r="AN441" s="638">
        <f t="shared" si="1198"/>
        <v>90</v>
      </c>
      <c r="AO441" s="1179">
        <f t="shared" si="1198"/>
        <v>363</v>
      </c>
      <c r="AP441" s="638">
        <f t="shared" si="1198"/>
        <v>90</v>
      </c>
      <c r="AQ441" s="638">
        <f t="shared" si="1198"/>
        <v>90</v>
      </c>
      <c r="AR441" s="638">
        <f t="shared" si="1198"/>
        <v>90</v>
      </c>
      <c r="AS441" s="638">
        <f t="shared" si="1198"/>
        <v>90</v>
      </c>
      <c r="AT441" s="1179">
        <f t="shared" si="1198"/>
        <v>363</v>
      </c>
      <c r="AU441" s="638">
        <f t="shared" si="1198"/>
        <v>90</v>
      </c>
      <c r="AV441" s="638">
        <f t="shared" si="1198"/>
        <v>90</v>
      </c>
      <c r="AW441" s="638">
        <f t="shared" si="1198"/>
        <v>90</v>
      </c>
      <c r="AX441" s="638">
        <f t="shared" si="1198"/>
        <v>97</v>
      </c>
      <c r="AY441" s="1179">
        <f t="shared" si="1198"/>
        <v>370</v>
      </c>
      <c r="AZ441" s="638">
        <f t="shared" si="1198"/>
        <v>90</v>
      </c>
      <c r="BA441" s="638">
        <f t="shared" si="1198"/>
        <v>90</v>
      </c>
      <c r="BB441" s="638">
        <f t="shared" si="1198"/>
        <v>90</v>
      </c>
      <c r="BC441" s="638">
        <f t="shared" si="1198"/>
        <v>90</v>
      </c>
      <c r="BD441" s="1179">
        <f t="shared" si="1198"/>
        <v>363</v>
      </c>
      <c r="BE441" s="638">
        <f t="shared" si="1198"/>
        <v>90</v>
      </c>
      <c r="BF441" s="638">
        <f t="shared" si="1198"/>
        <v>90</v>
      </c>
      <c r="BG441" s="638">
        <f t="shared" si="1198"/>
        <v>90</v>
      </c>
      <c r="BH441" s="638">
        <f t="shared" si="1198"/>
        <v>90</v>
      </c>
      <c r="BI441" s="1179">
        <f t="shared" si="1198"/>
        <v>363</v>
      </c>
      <c r="BJ441" s="638">
        <f t="shared" si="1198"/>
        <v>90</v>
      </c>
      <c r="BK441" s="638">
        <f t="shared" si="1198"/>
        <v>90</v>
      </c>
      <c r="BL441" s="638">
        <f t="shared" si="1198"/>
        <v>90</v>
      </c>
      <c r="BM441" s="638">
        <f t="shared" si="1198"/>
        <v>90</v>
      </c>
      <c r="BN441" s="1179">
        <f>WORKDAY(BN4+1,-1)</f>
        <v>45317</v>
      </c>
      <c r="BO441" s="638">
        <f>WORKDAY(BO4+1,-1)</f>
        <v>45408</v>
      </c>
      <c r="BP441" s="638">
        <f>WORKDAY(BP4+1,-1)</f>
        <v>45499</v>
      </c>
      <c r="BQ441" s="638">
        <f>WORKDAY(BQ4+1,-1)</f>
        <v>45590</v>
      </c>
      <c r="BR441" s="638">
        <f>WORKDAY(BR3+1,-1)</f>
        <v>90</v>
      </c>
      <c r="BS441" s="1179">
        <f>WORKDAY(BS4+1,-1)</f>
        <v>45681</v>
      </c>
      <c r="BT441" s="638">
        <f>WORKDAY(BT4+1,-1)</f>
        <v>45772</v>
      </c>
      <c r="BU441" s="638">
        <f>WORKDAY(BU4+1,-1)</f>
        <v>45863</v>
      </c>
      <c r="BV441" s="638">
        <f>WORKDAY(BV4+1,-1)</f>
        <v>45954</v>
      </c>
      <c r="BW441" s="638">
        <f>WORKDAY(BW3+1,-1)</f>
        <v>90</v>
      </c>
      <c r="BX441" s="1179">
        <f>WORKDAY(BX4+1,-1)</f>
        <v>46045</v>
      </c>
      <c r="BY441" s="918">
        <f>WORKDAY(BY4+1,-1)</f>
        <v>46136</v>
      </c>
      <c r="BZ441" s="638"/>
      <c r="CA441" s="638"/>
      <c r="CB441" s="638"/>
      <c r="CC441" s="1179"/>
      <c r="CD441" s="638"/>
      <c r="CE441" s="638"/>
      <c r="CF441" s="638"/>
      <c r="CG441" s="638"/>
      <c r="CH441" s="1179"/>
      <c r="CI441" s="1179"/>
      <c r="CJ441" s="1179"/>
      <c r="CK441" s="1179"/>
      <c r="CL441" s="155"/>
    </row>
    <row r="442" spans="1:90" s="978" customFormat="1" ht="15" hidden="1" customHeight="1" outlineLevel="1" collapsed="1" x14ac:dyDescent="0.3">
      <c r="A442" s="713" t="s">
        <v>872</v>
      </c>
      <c r="B442" s="714"/>
      <c r="C442" s="1180">
        <f>C767</f>
        <v>0.19875000000000001</v>
      </c>
      <c r="D442" s="1180">
        <f t="shared" ref="D442:BI442" si="1199">D767</f>
        <v>0.38475000000000004</v>
      </c>
      <c r="E442" s="1180">
        <f t="shared" si="1199"/>
        <v>0.59400000000000008</v>
      </c>
      <c r="F442" s="1180">
        <f t="shared" si="1199"/>
        <v>0.37</v>
      </c>
      <c r="G442" s="715">
        <f t="shared" si="1199"/>
        <v>0.32450000000000001</v>
      </c>
      <c r="H442" s="715">
        <f t="shared" si="1199"/>
        <v>0.33324999999999999</v>
      </c>
      <c r="I442" s="715">
        <f t="shared" si="1199"/>
        <v>0.30125000000000002</v>
      </c>
      <c r="J442" s="715">
        <f t="shared" si="1199"/>
        <v>0.308</v>
      </c>
      <c r="K442" s="1180">
        <f t="shared" si="1199"/>
        <v>0.308</v>
      </c>
      <c r="L442" s="715">
        <f t="shared" si="1199"/>
        <v>0.33925</v>
      </c>
      <c r="M442" s="715">
        <f t="shared" si="1199"/>
        <v>0.36025000000000001</v>
      </c>
      <c r="N442" s="715">
        <f t="shared" si="1199"/>
        <v>0.3805</v>
      </c>
      <c r="O442" s="715">
        <f t="shared" si="1199"/>
        <v>0.39300000000000002</v>
      </c>
      <c r="P442" s="1180">
        <f t="shared" si="1199"/>
        <v>0.39300000000000002</v>
      </c>
      <c r="Q442" s="715">
        <f t="shared" si="1199"/>
        <v>0.46725000000000005</v>
      </c>
      <c r="R442" s="715">
        <f t="shared" si="1199"/>
        <v>0.45199999999999996</v>
      </c>
      <c r="S442" s="715">
        <f t="shared" si="1199"/>
        <v>0.46725000000000005</v>
      </c>
      <c r="T442" s="715">
        <f t="shared" si="1199"/>
        <v>0.48011999999999999</v>
      </c>
      <c r="U442" s="1180">
        <f t="shared" si="1199"/>
        <v>0.48011999999999999</v>
      </c>
      <c r="V442" s="715">
        <f t="shared" si="1199"/>
        <v>0.55349999999999999</v>
      </c>
      <c r="W442" s="715">
        <f t="shared" si="1199"/>
        <v>0.50049999999999994</v>
      </c>
      <c r="X442" s="715">
        <f t="shared" si="1199"/>
        <v>0.70925000000000005</v>
      </c>
      <c r="Y442" s="715">
        <f t="shared" si="1199"/>
        <v>0.73224999999999996</v>
      </c>
      <c r="Z442" s="1180">
        <f t="shared" si="1199"/>
        <v>0.73224999999999996</v>
      </c>
      <c r="AA442" s="715">
        <f t="shared" si="1199"/>
        <v>0.88824999999999998</v>
      </c>
      <c r="AB442" s="715">
        <f t="shared" si="1199"/>
        <v>1.4275</v>
      </c>
      <c r="AC442" s="715">
        <f t="shared" si="1199"/>
        <v>1.764</v>
      </c>
      <c r="AD442" s="715">
        <f t="shared" si="1199"/>
        <v>2.7504999999999997</v>
      </c>
      <c r="AE442" s="1180">
        <f t="shared" si="1199"/>
        <v>2.7504999999999997</v>
      </c>
      <c r="AF442" s="715">
        <f t="shared" si="1199"/>
        <v>2.6074999999999999</v>
      </c>
      <c r="AG442" s="715">
        <f t="shared" si="1199"/>
        <v>4.10975</v>
      </c>
      <c r="AH442" s="715">
        <f t="shared" si="1199"/>
        <v>5.0960000000000001</v>
      </c>
      <c r="AI442" s="715">
        <f t="shared" si="1199"/>
        <v>6.0679999999999996</v>
      </c>
      <c r="AJ442" s="1180">
        <f t="shared" si="1199"/>
        <v>6.0679999999999996</v>
      </c>
      <c r="AK442" s="715">
        <f t="shared" si="1199"/>
        <v>5.6582500000000007</v>
      </c>
      <c r="AL442" s="715">
        <f t="shared" si="1199"/>
        <v>6.1032500000000001</v>
      </c>
      <c r="AM442" s="715">
        <f t="shared" si="1199"/>
        <v>5.0750000000000002</v>
      </c>
      <c r="AN442" s="715">
        <f t="shared" si="1199"/>
        <v>3.4347499999999997</v>
      </c>
      <c r="AO442" s="1180">
        <f t="shared" si="1199"/>
        <v>3.4347499999999997</v>
      </c>
      <c r="AP442" s="715">
        <f t="shared" si="1199"/>
        <v>4.48325</v>
      </c>
      <c r="AQ442" s="715">
        <f t="shared" si="1199"/>
        <v>4.3862499999999995</v>
      </c>
      <c r="AR442" s="715">
        <f t="shared" si="1199"/>
        <v>5.0750000000000002</v>
      </c>
      <c r="AS442" s="715">
        <f t="shared" si="1199"/>
        <v>6.1452499999999999</v>
      </c>
      <c r="AT442" s="1180">
        <f t="shared" si="1199"/>
        <v>6.1452499999999999</v>
      </c>
      <c r="AU442" s="715">
        <f t="shared" si="1199"/>
        <v>7.4614999999999991</v>
      </c>
      <c r="AV442" s="715">
        <f t="shared" si="1199"/>
        <v>10.614000000000001</v>
      </c>
      <c r="AW442" s="715">
        <f t="shared" si="1199"/>
        <v>12.534000000000001</v>
      </c>
      <c r="AX442" s="715">
        <f t="shared" si="1199"/>
        <v>12.989750000000001</v>
      </c>
      <c r="AY442" s="1180">
        <f t="shared" si="1199"/>
        <v>12.989750000000001</v>
      </c>
      <c r="AZ442" s="715">
        <f t="shared" si="1199"/>
        <v>15.32475</v>
      </c>
      <c r="BA442" s="715">
        <f t="shared" si="1199"/>
        <v>19.499000000000002</v>
      </c>
      <c r="BB442" s="715">
        <f t="shared" si="1199"/>
        <v>25.567</v>
      </c>
      <c r="BC442" s="715">
        <f t="shared" si="1199"/>
        <v>22.84</v>
      </c>
      <c r="BD442" s="1180">
        <f t="shared" si="1199"/>
        <v>22.84</v>
      </c>
      <c r="BE442" s="715">
        <f t="shared" si="1199"/>
        <v>18.547000000000001</v>
      </c>
      <c r="BF442" s="715">
        <f t="shared" si="1199"/>
        <v>18.163</v>
      </c>
      <c r="BG442" s="715">
        <f t="shared" si="1199"/>
        <v>13.834</v>
      </c>
      <c r="BH442" s="715">
        <f t="shared" si="1199"/>
        <v>19.161999999999999</v>
      </c>
      <c r="BI442" s="1180">
        <f t="shared" si="1199"/>
        <v>19.161999999999999</v>
      </c>
      <c r="BJ442" s="715">
        <f t="shared" ref="BJ442" si="1200">BJ767</f>
        <v>27.749000000000002</v>
      </c>
      <c r="BK442" s="715">
        <f t="shared" ref="BK442:BN442" si="1201">BK767</f>
        <v>46.75</v>
      </c>
      <c r="BL442" s="715">
        <f t="shared" si="1201"/>
        <v>40.5</v>
      </c>
      <c r="BM442" s="715">
        <f t="shared" si="1201"/>
        <v>61.030999999999992</v>
      </c>
      <c r="BN442" s="1180">
        <f t="shared" si="1201"/>
        <v>61.030999999999992</v>
      </c>
      <c r="BO442" s="715">
        <f t="shared" ref="BO442:BS442" si="1202">BO767</f>
        <v>87.734999999999999</v>
      </c>
      <c r="BP442" s="715">
        <f t="shared" si="1202"/>
        <v>113.06</v>
      </c>
      <c r="BQ442" s="715">
        <f t="shared" si="1202"/>
        <v>141.54</v>
      </c>
      <c r="BR442" s="715">
        <f t="shared" si="1202"/>
        <v>142.62</v>
      </c>
      <c r="BS442" s="1180">
        <f t="shared" si="1202"/>
        <v>142.62</v>
      </c>
      <c r="BT442" s="715">
        <f t="shared" ref="BT442:CK442" si="1203">BT767</f>
        <v>87.734999999999999</v>
      </c>
      <c r="BU442" s="715">
        <f t="shared" si="1203"/>
        <v>173.5</v>
      </c>
      <c r="BV442" s="715">
        <f t="shared" si="1203"/>
        <v>186.26</v>
      </c>
      <c r="BW442" s="715">
        <f t="shared" si="1203"/>
        <v>187.67</v>
      </c>
      <c r="BX442" s="1180">
        <f t="shared" si="1203"/>
        <v>187.67</v>
      </c>
      <c r="BY442" s="919">
        <f t="shared" ref="BY442" si="1204">BY767</f>
        <v>208.27</v>
      </c>
      <c r="BZ442" s="715">
        <f t="shared" si="1203"/>
        <v>222.82</v>
      </c>
      <c r="CA442" s="715">
        <f t="shared" si="1203"/>
        <v>222.82</v>
      </c>
      <c r="CB442" s="715">
        <f t="shared" si="1203"/>
        <v>222.82</v>
      </c>
      <c r="CC442" s="1180">
        <f t="shared" si="1203"/>
        <v>222.82</v>
      </c>
      <c r="CD442" s="715">
        <f t="shared" si="1203"/>
        <v>222.82</v>
      </c>
      <c r="CE442" s="715">
        <f t="shared" si="1203"/>
        <v>222.82</v>
      </c>
      <c r="CF442" s="715">
        <f t="shared" si="1203"/>
        <v>222.82</v>
      </c>
      <c r="CG442" s="715">
        <f t="shared" si="1203"/>
        <v>222.82</v>
      </c>
      <c r="CH442" s="1180">
        <f t="shared" si="1203"/>
        <v>222.82</v>
      </c>
      <c r="CI442" s="1180">
        <f t="shared" si="1203"/>
        <v>222.82</v>
      </c>
      <c r="CJ442" s="1180">
        <f t="shared" si="1203"/>
        <v>222.82</v>
      </c>
      <c r="CK442" s="1180">
        <f t="shared" si="1203"/>
        <v>222.82</v>
      </c>
      <c r="CL442" s="716"/>
    </row>
    <row r="443" spans="1:90" ht="15" hidden="1" customHeight="1" outlineLevel="1" x14ac:dyDescent="0.3">
      <c r="A443" s="605"/>
      <c r="B443" s="428"/>
      <c r="C443" s="1179"/>
      <c r="D443" s="1179"/>
      <c r="E443" s="1179"/>
      <c r="F443" s="1179"/>
      <c r="G443" s="638"/>
      <c r="H443" s="638"/>
      <c r="I443" s="638"/>
      <c r="J443" s="638"/>
      <c r="K443" s="1179"/>
      <c r="L443" s="638"/>
      <c r="M443" s="638"/>
      <c r="N443" s="638"/>
      <c r="O443" s="638"/>
      <c r="P443" s="1179"/>
      <c r="Q443" s="638"/>
      <c r="R443" s="638"/>
      <c r="S443" s="638"/>
      <c r="T443" s="638"/>
      <c r="U443" s="1179"/>
      <c r="V443" s="638"/>
      <c r="W443" s="638"/>
      <c r="X443" s="638"/>
      <c r="Y443" s="638"/>
      <c r="Z443" s="1179"/>
      <c r="AA443" s="638"/>
      <c r="AB443" s="638"/>
      <c r="AC443" s="638"/>
      <c r="AD443" s="638"/>
      <c r="AE443" s="1179"/>
      <c r="AF443" s="638"/>
      <c r="AG443" s="638"/>
      <c r="AH443" s="638"/>
      <c r="AI443" s="638"/>
      <c r="AJ443" s="1179"/>
      <c r="AK443" s="638"/>
      <c r="AL443" s="638"/>
      <c r="AM443" s="638"/>
      <c r="AN443" s="638"/>
      <c r="AO443" s="1179"/>
      <c r="AP443" s="638"/>
      <c r="AQ443" s="638"/>
      <c r="AR443" s="638"/>
      <c r="AS443" s="638"/>
      <c r="AT443" s="1179"/>
      <c r="AU443" s="638"/>
      <c r="AV443" s="638"/>
      <c r="AW443" s="638"/>
      <c r="AX443" s="638"/>
      <c r="AY443" s="1179"/>
      <c r="AZ443" s="638"/>
      <c r="BA443" s="638"/>
      <c r="BB443" s="638"/>
      <c r="BC443" s="638"/>
      <c r="BD443" s="1179"/>
      <c r="BE443" s="638"/>
      <c r="BF443" s="638"/>
      <c r="BG443" s="638"/>
      <c r="BH443" s="638"/>
      <c r="BI443" s="1179"/>
      <c r="BJ443" s="638"/>
      <c r="BK443" s="638"/>
      <c r="BL443" s="638"/>
      <c r="BM443" s="638"/>
      <c r="BN443" s="1179"/>
      <c r="BO443" s="638"/>
      <c r="BP443" s="638"/>
      <c r="BQ443" s="638"/>
      <c r="BR443" s="638"/>
      <c r="BS443" s="1179"/>
      <c r="BT443" s="638"/>
      <c r="BU443" s="638"/>
      <c r="BV443" s="638"/>
      <c r="BW443" s="638"/>
      <c r="BX443" s="1179"/>
      <c r="BY443" s="918"/>
      <c r="BZ443" s="638"/>
      <c r="CA443" s="638"/>
      <c r="CB443" s="638"/>
      <c r="CC443" s="1179"/>
      <c r="CD443" s="638"/>
      <c r="CE443" s="638"/>
      <c r="CF443" s="638"/>
      <c r="CG443" s="638"/>
      <c r="CH443" s="1179"/>
      <c r="CI443" s="1179"/>
      <c r="CJ443" s="1179"/>
      <c r="CK443" s="1179"/>
      <c r="CL443" s="155"/>
    </row>
    <row r="444" spans="1:90" s="227" customFormat="1" ht="15" hidden="1" customHeight="1" outlineLevel="1" x14ac:dyDescent="0.3">
      <c r="A444" s="636" t="s">
        <v>892</v>
      </c>
      <c r="B444" s="146"/>
      <c r="C444" s="1113">
        <f>(538.460766*(4))*(10)</f>
        <v>21538.430640000002</v>
      </c>
      <c r="D444" s="1113">
        <f>(561.465851*(4))*(10)</f>
        <v>22458.634040000001</v>
      </c>
      <c r="E444" s="1113">
        <f>(588.555701*(4))*(10)</f>
        <v>23542.228040000002</v>
      </c>
      <c r="F444" s="1113">
        <f>(612.191412*(4))*(10)</f>
        <v>24487.656480000001</v>
      </c>
      <c r="G444" s="68">
        <f>(2*G436-F444)</f>
        <v>24774.743519999993</v>
      </c>
      <c r="H444" s="68">
        <f>(2*H436-G444)</f>
        <v>24744.936480000008</v>
      </c>
      <c r="I444" s="68">
        <f>(2*I436-H444)</f>
        <v>25043.223519999989</v>
      </c>
      <c r="J444" s="68">
        <f>K444</f>
        <v>24670.245360000001</v>
      </c>
      <c r="K444" s="1113">
        <f>(616.756134*(4))*(10)</f>
        <v>24670.245360000001</v>
      </c>
      <c r="L444" s="68">
        <f>(2*L436-K444)</f>
        <v>24679.514639999994</v>
      </c>
      <c r="M444" s="68">
        <f>(2*M436-L444)</f>
        <v>22148.085360000012</v>
      </c>
      <c r="N444" s="68">
        <f>(2*N436-M444)</f>
        <v>24321.514639999987</v>
      </c>
      <c r="O444" s="68">
        <f>P444</f>
        <v>22719.869359999997</v>
      </c>
      <c r="P444" s="1113">
        <f>(567.996734*(4))*(10)</f>
        <v>22719.869359999997</v>
      </c>
      <c r="Q444" s="68">
        <f>(2*Q436-P444)</f>
        <v>22000.130640000003</v>
      </c>
      <c r="R444" s="68">
        <f>(2*R436-Q444)</f>
        <v>22639.869359999997</v>
      </c>
      <c r="S444" s="68">
        <f>(2*S436-R444)</f>
        <v>21200.130640000003</v>
      </c>
      <c r="T444" s="68">
        <f>U444</f>
        <v>21796.52</v>
      </c>
      <c r="U444" s="1113">
        <f>(544.913*(4))*(10)</f>
        <v>21796.52</v>
      </c>
      <c r="V444" s="68">
        <f>(2*V436-U444)</f>
        <v>22123.48</v>
      </c>
      <c r="W444" s="68">
        <f>(2*W436-V444)</f>
        <v>21156.52</v>
      </c>
      <c r="X444" s="68">
        <f>(2*X436-W444)</f>
        <v>22203.48</v>
      </c>
      <c r="Y444" s="68">
        <f>Z444</f>
        <v>21560</v>
      </c>
      <c r="Z444" s="1113">
        <f>(539*(4))*(10)</f>
        <v>21560</v>
      </c>
      <c r="AA444" s="68">
        <f>(2*AA436-Z444)</f>
        <v>21400</v>
      </c>
      <c r="AB444" s="68">
        <f>(2*AB436-AA444)</f>
        <v>21320</v>
      </c>
      <c r="AC444" s="68">
        <f>(2*AC436-AB444)</f>
        <v>21720</v>
      </c>
      <c r="AD444" s="68">
        <f>AE444</f>
        <v>23400</v>
      </c>
      <c r="AE444" s="1113">
        <f>(585*(4))*(10)</f>
        <v>23400</v>
      </c>
      <c r="AF444" s="68">
        <f>(2*AF436-AE444)</f>
        <v>23960</v>
      </c>
      <c r="AG444" s="68">
        <f>(2*AG436-AF444)</f>
        <v>23800</v>
      </c>
      <c r="AH444" s="68">
        <f>(2*AH436-AG444)</f>
        <v>24440</v>
      </c>
      <c r="AI444" s="68">
        <f>AJ444</f>
        <v>24240</v>
      </c>
      <c r="AJ444" s="1113">
        <f>(606*(4))*(10)</f>
        <v>24240</v>
      </c>
      <c r="AK444" s="1055">
        <f>(607*(4))*(10)</f>
        <v>24280</v>
      </c>
      <c r="AL444" s="1055">
        <f>(608*(4))*(10)</f>
        <v>24320</v>
      </c>
      <c r="AM444" s="1055">
        <f>(611*(4))*(10)</f>
        <v>24440</v>
      </c>
      <c r="AN444" s="68">
        <f>AO444</f>
        <v>24240</v>
      </c>
      <c r="AO444" s="1113">
        <f>(606*(4))*(10)</f>
        <v>24240</v>
      </c>
      <c r="AP444" s="1055">
        <f>(609*(4))*(10)</f>
        <v>24360</v>
      </c>
      <c r="AQ444" s="1055">
        <f>(609*(4))*(10)</f>
        <v>24360</v>
      </c>
      <c r="AR444" s="1055">
        <f>(612*(4))*(10)</f>
        <v>24480</v>
      </c>
      <c r="AS444" s="68">
        <f>AT444</f>
        <v>24480</v>
      </c>
      <c r="AT444" s="1113">
        <f>(612*(4))*(10)</f>
        <v>24480</v>
      </c>
      <c r="AU444" s="1055">
        <f>(615*(4))*(10)</f>
        <v>24600</v>
      </c>
      <c r="AV444" s="1055">
        <f>(617*(4))*(10)</f>
        <v>24680</v>
      </c>
      <c r="AW444" s="1055">
        <f>(619*(4))*(10)</f>
        <v>24760</v>
      </c>
      <c r="AX444" s="68">
        <f>AY444</f>
        <v>24800</v>
      </c>
      <c r="AY444" s="1113">
        <f>(620*(4))*(10)</f>
        <v>24800</v>
      </c>
      <c r="AZ444" s="1055">
        <f>(623*(4))*(10)</f>
        <v>24920</v>
      </c>
      <c r="BA444" s="1055">
        <f>2496*(10)</f>
        <v>24960</v>
      </c>
      <c r="BB444" s="1055">
        <f>2502*(10)</f>
        <v>25020</v>
      </c>
      <c r="BC444" s="68">
        <f>BD444</f>
        <v>25060</v>
      </c>
      <c r="BD444" s="1113">
        <f>2506*(10)</f>
        <v>25060</v>
      </c>
      <c r="BE444" s="1055">
        <f>2504*(10)</f>
        <v>25040</v>
      </c>
      <c r="BF444" s="1055">
        <f>2489*(10)</f>
        <v>24890</v>
      </c>
      <c r="BG444" s="1055">
        <f>2468*(10)</f>
        <v>24680</v>
      </c>
      <c r="BH444" s="68">
        <f>BI444</f>
        <v>24660</v>
      </c>
      <c r="BI444" s="1113">
        <f>2466*(10)</f>
        <v>24660</v>
      </c>
      <c r="BJ444" s="1055">
        <f>2473*(10)</f>
        <v>24730</v>
      </c>
      <c r="BK444" s="1055">
        <f>2469*(10)</f>
        <v>24690</v>
      </c>
      <c r="BL444" s="1055">
        <f>2466*(10)</f>
        <v>24660</v>
      </c>
      <c r="BM444" s="68">
        <f>BN444</f>
        <v>24640</v>
      </c>
      <c r="BN444" s="1113">
        <f>2464*(10)</f>
        <v>24640</v>
      </c>
      <c r="BO444" s="1055">
        <f>2459*(10)</f>
        <v>24590</v>
      </c>
      <c r="BP444" s="1055">
        <v>24562</v>
      </c>
      <c r="BQ444" s="1055">
        <v>24508</v>
      </c>
      <c r="BR444" s="68">
        <f>BS444</f>
        <v>24477</v>
      </c>
      <c r="BS444" s="1113">
        <v>24477</v>
      </c>
      <c r="BT444" s="1055">
        <v>24388</v>
      </c>
      <c r="BU444" s="1055">
        <v>24347</v>
      </c>
      <c r="BV444" s="1055">
        <v>24305</v>
      </c>
      <c r="BW444" s="68">
        <f>BX444</f>
        <v>24304</v>
      </c>
      <c r="BX444" s="1113">
        <v>24304</v>
      </c>
      <c r="BY444" s="1057">
        <v>24221</v>
      </c>
      <c r="BZ444" s="68">
        <f>BY444*(1+BZ445)+BZ718/(BZ719/BZ768)</f>
        <v>24221</v>
      </c>
      <c r="CA444" s="68">
        <f>BZ444*(1+CA445)+CA718/(CA719/CA768)</f>
        <v>24221</v>
      </c>
      <c r="CB444" s="68">
        <f>CA444*(1+CB445)+CB718/(CB719/CB768)</f>
        <v>24221</v>
      </c>
      <c r="CC444" s="1112">
        <f>CB444</f>
        <v>24221</v>
      </c>
      <c r="CD444" s="68">
        <f>CC444*(1+CD445)+CD718/(CD719/CD768)</f>
        <v>24221</v>
      </c>
      <c r="CE444" s="68">
        <f>CD444*(1+CE445)+CE718/(CE719/CE768)</f>
        <v>24221</v>
      </c>
      <c r="CF444" s="68">
        <f>CE444*(1+CF445)+CF718/(CF719/CF768)</f>
        <v>24221</v>
      </c>
      <c r="CG444" s="68">
        <f>CF444*(1+CG445)+CG718/(CG719/CG768)</f>
        <v>24221</v>
      </c>
      <c r="CH444" s="1112">
        <f>CG444</f>
        <v>24221</v>
      </c>
      <c r="CI444" s="1112">
        <f>CH444*(1+CI446)+CI718/(CI719/CI768)</f>
        <v>24221</v>
      </c>
      <c r="CJ444" s="1112">
        <f>CI444*(1+CJ446)+CJ718/(CJ719/CJ768)</f>
        <v>24221</v>
      </c>
      <c r="CK444" s="1112">
        <f>CJ444*(1+CK446)+CK718/(CK719/CK768)</f>
        <v>24221</v>
      </c>
      <c r="CL444" s="27"/>
    </row>
    <row r="445" spans="1:90" s="227" customFormat="1" ht="15" hidden="1" customHeight="1" outlineLevel="1" x14ac:dyDescent="0.3">
      <c r="A445" s="656" t="s">
        <v>847</v>
      </c>
      <c r="B445" s="102"/>
      <c r="C445" s="1115"/>
      <c r="D445" s="1115"/>
      <c r="E445" s="1115"/>
      <c r="F445" s="1115"/>
      <c r="G445" s="90"/>
      <c r="H445" s="90"/>
      <c r="I445" s="90"/>
      <c r="J445" s="90"/>
      <c r="K445" s="1115"/>
      <c r="L445" s="90"/>
      <c r="M445" s="90"/>
      <c r="N445" s="90"/>
      <c r="O445" s="90"/>
      <c r="P445" s="1115"/>
      <c r="Q445" s="90"/>
      <c r="R445" s="90"/>
      <c r="S445" s="90"/>
      <c r="T445" s="90"/>
      <c r="U445" s="1115"/>
      <c r="V445" s="90"/>
      <c r="W445" s="90"/>
      <c r="X445" s="90"/>
      <c r="Y445" s="90"/>
      <c r="Z445" s="1115"/>
      <c r="AA445" s="90"/>
      <c r="AB445" s="90"/>
      <c r="AC445" s="90"/>
      <c r="AD445" s="90"/>
      <c r="AE445" s="1115"/>
      <c r="AF445" s="90"/>
      <c r="AG445" s="90"/>
      <c r="AH445" s="90"/>
      <c r="AI445" s="90"/>
      <c r="AJ445" s="1115"/>
      <c r="AK445" s="90"/>
      <c r="AL445" s="90"/>
      <c r="AM445" s="90"/>
      <c r="AN445" s="90"/>
      <c r="AO445" s="1115"/>
      <c r="AP445" s="90"/>
      <c r="AQ445" s="90"/>
      <c r="AR445" s="90"/>
      <c r="AS445" s="90"/>
      <c r="AT445" s="1115"/>
      <c r="AU445" s="90"/>
      <c r="AV445" s="90"/>
      <c r="AW445" s="90"/>
      <c r="AX445" s="90"/>
      <c r="AY445" s="1115"/>
      <c r="AZ445" s="90"/>
      <c r="BA445" s="90"/>
      <c r="BB445" s="90"/>
      <c r="BC445" s="90"/>
      <c r="BD445" s="1115"/>
      <c r="BE445" s="90"/>
      <c r="BF445" s="90"/>
      <c r="BG445" s="90"/>
      <c r="BH445" s="90"/>
      <c r="BI445" s="1115"/>
      <c r="BJ445" s="90"/>
      <c r="BK445" s="90"/>
      <c r="BL445" s="90"/>
      <c r="BM445" s="90"/>
      <c r="BN445" s="1115"/>
      <c r="BO445" s="90"/>
      <c r="BP445" s="90"/>
      <c r="BQ445" s="90"/>
      <c r="BR445" s="90"/>
      <c r="BS445" s="1115"/>
      <c r="BT445" s="90"/>
      <c r="BU445" s="90"/>
      <c r="BV445" s="90"/>
      <c r="BW445" s="90"/>
      <c r="BX445" s="1115"/>
      <c r="BY445" s="892"/>
      <c r="BZ445" s="1060">
        <v>0</v>
      </c>
      <c r="CA445" s="1060">
        <v>0</v>
      </c>
      <c r="CB445" s="1060">
        <v>0</v>
      </c>
      <c r="CC445" s="1115"/>
      <c r="CD445" s="1060">
        <v>0</v>
      </c>
      <c r="CE445" s="1060">
        <v>0</v>
      </c>
      <c r="CF445" s="1060">
        <v>0</v>
      </c>
      <c r="CG445" s="1060">
        <v>0</v>
      </c>
      <c r="CH445" s="1115"/>
      <c r="CI445" s="1115"/>
      <c r="CJ445" s="1115"/>
      <c r="CK445" s="1115"/>
      <c r="CL445" s="27"/>
    </row>
    <row r="446" spans="1:90" s="227" customFormat="1" ht="15" hidden="1" customHeight="1" outlineLevel="1" x14ac:dyDescent="0.3">
      <c r="A446" s="656" t="s">
        <v>848</v>
      </c>
      <c r="B446" s="102"/>
      <c r="C446" s="1115"/>
      <c r="D446" s="1115"/>
      <c r="E446" s="1115"/>
      <c r="F446" s="1115"/>
      <c r="G446" s="90"/>
      <c r="H446" s="90"/>
      <c r="I446" s="90"/>
      <c r="J446" s="90"/>
      <c r="K446" s="1115"/>
      <c r="L446" s="90"/>
      <c r="M446" s="90"/>
      <c r="N446" s="90"/>
      <c r="O446" s="90"/>
      <c r="P446" s="1115"/>
      <c r="Q446" s="90"/>
      <c r="R446" s="90"/>
      <c r="S446" s="90"/>
      <c r="T446" s="90"/>
      <c r="U446" s="1115"/>
      <c r="V446" s="90"/>
      <c r="W446" s="90"/>
      <c r="X446" s="90"/>
      <c r="Y446" s="90"/>
      <c r="Z446" s="1115"/>
      <c r="AA446" s="90"/>
      <c r="AB446" s="90"/>
      <c r="AC446" s="90"/>
      <c r="AD446" s="90"/>
      <c r="AE446" s="1115"/>
      <c r="AF446" s="90"/>
      <c r="AG446" s="90"/>
      <c r="AH446" s="90"/>
      <c r="AI446" s="90"/>
      <c r="AJ446" s="1115"/>
      <c r="AK446" s="90"/>
      <c r="AL446" s="90"/>
      <c r="AM446" s="90"/>
      <c r="AN446" s="90"/>
      <c r="AO446" s="1115"/>
      <c r="AP446" s="90"/>
      <c r="AQ446" s="90"/>
      <c r="AR446" s="90"/>
      <c r="AS446" s="90"/>
      <c r="AT446" s="1115"/>
      <c r="AU446" s="90"/>
      <c r="AV446" s="90"/>
      <c r="AW446" s="90"/>
      <c r="AX446" s="90"/>
      <c r="AY446" s="1115"/>
      <c r="AZ446" s="90"/>
      <c r="BA446" s="90"/>
      <c r="BB446" s="90"/>
      <c r="BC446" s="90"/>
      <c r="BD446" s="1115"/>
      <c r="BE446" s="90"/>
      <c r="BF446" s="90"/>
      <c r="BG446" s="90"/>
      <c r="BH446" s="90"/>
      <c r="BI446" s="1115"/>
      <c r="BJ446" s="90"/>
      <c r="BK446" s="90"/>
      <c r="BL446" s="90"/>
      <c r="BM446" s="90"/>
      <c r="BN446" s="1115"/>
      <c r="BO446" s="90"/>
      <c r="BP446" s="90"/>
      <c r="BQ446" s="90"/>
      <c r="BR446" s="90"/>
      <c r="BS446" s="1115"/>
      <c r="BT446" s="90"/>
      <c r="BU446" s="90"/>
      <c r="BV446" s="90"/>
      <c r="BW446" s="90"/>
      <c r="BX446" s="1115"/>
      <c r="BY446" s="892"/>
      <c r="BZ446" s="90"/>
      <c r="CA446" s="90"/>
      <c r="CB446" s="90"/>
      <c r="CC446" s="1115"/>
      <c r="CD446" s="90"/>
      <c r="CE446" s="90"/>
      <c r="CF446" s="90"/>
      <c r="CG446" s="90"/>
      <c r="CH446" s="1115"/>
      <c r="CI446" s="1129">
        <v>0</v>
      </c>
      <c r="CJ446" s="1129">
        <v>0</v>
      </c>
      <c r="CK446" s="1129">
        <v>0</v>
      </c>
      <c r="CL446" s="27"/>
    </row>
    <row r="447" spans="1:90" s="227" customFormat="1" ht="15" hidden="1" customHeight="1" outlineLevel="2" x14ac:dyDescent="0.3">
      <c r="A447" s="656" t="s">
        <v>849</v>
      </c>
      <c r="B447" s="102"/>
      <c r="C447" s="1115"/>
      <c r="D447" s="1115"/>
      <c r="E447" s="1115"/>
      <c r="F447" s="1115"/>
      <c r="G447" s="90"/>
      <c r="H447" s="90"/>
      <c r="I447" s="90"/>
      <c r="J447" s="90"/>
      <c r="K447" s="1115"/>
      <c r="L447" s="90"/>
      <c r="M447" s="90"/>
      <c r="N447" s="90"/>
      <c r="O447" s="90"/>
      <c r="P447" s="1115"/>
      <c r="Q447" s="90"/>
      <c r="R447" s="90"/>
      <c r="S447" s="90"/>
      <c r="T447" s="90"/>
      <c r="U447" s="1115"/>
      <c r="V447" s="90"/>
      <c r="W447" s="90"/>
      <c r="X447" s="90"/>
      <c r="Y447" s="90"/>
      <c r="Z447" s="1115"/>
      <c r="AA447" s="90"/>
      <c r="AB447" s="90"/>
      <c r="AC447" s="90"/>
      <c r="AD447" s="90"/>
      <c r="AE447" s="1115"/>
      <c r="AF447" s="90"/>
      <c r="AG447" s="90"/>
      <c r="AH447" s="90"/>
      <c r="AI447" s="90"/>
      <c r="AJ447" s="1115"/>
      <c r="AK447" s="90"/>
      <c r="AL447" s="90"/>
      <c r="AM447" s="90"/>
      <c r="AN447" s="90"/>
      <c r="AO447" s="1115"/>
      <c r="AP447" s="90"/>
      <c r="AQ447" s="90"/>
      <c r="AR447" s="90"/>
      <c r="AS447" s="90"/>
      <c r="AT447" s="1115"/>
      <c r="AU447" s="90"/>
      <c r="AV447" s="90"/>
      <c r="AW447" s="90"/>
      <c r="AX447" s="90"/>
      <c r="AY447" s="1115"/>
      <c r="AZ447" s="90"/>
      <c r="BA447" s="90"/>
      <c r="BB447" s="90"/>
      <c r="BC447" s="90"/>
      <c r="BD447" s="1115"/>
      <c r="BE447" s="90"/>
      <c r="BF447" s="90"/>
      <c r="BG447" s="90"/>
      <c r="BH447" s="90"/>
      <c r="BI447" s="1115"/>
      <c r="BJ447" s="90"/>
      <c r="BK447" s="90"/>
      <c r="BL447" s="90"/>
      <c r="BM447" s="90"/>
      <c r="BN447" s="1115"/>
      <c r="BO447" s="90"/>
      <c r="BP447" s="90"/>
      <c r="BQ447" s="90"/>
      <c r="BR447" s="90"/>
      <c r="BS447" s="1115"/>
      <c r="BT447" s="90"/>
      <c r="BU447" s="90"/>
      <c r="BV447" s="90"/>
      <c r="BW447" s="90"/>
      <c r="BX447" s="1115"/>
      <c r="BY447" s="892"/>
      <c r="BZ447" s="90">
        <f>BZ718/(BZ719/BZ768)/BY444</f>
        <v>0</v>
      </c>
      <c r="CA447" s="90">
        <f>CA718/(CA719/CA768)/BZ444</f>
        <v>0</v>
      </c>
      <c r="CB447" s="90">
        <f>CB718/(CB719/CB768)/CA444</f>
        <v>0</v>
      </c>
      <c r="CC447" s="1115"/>
      <c r="CD447" s="90">
        <f>CD718/(CD719/CD768)/CB444</f>
        <v>0</v>
      </c>
      <c r="CE447" s="90">
        <f>CE718/(CE719/CE768)/CD444</f>
        <v>0</v>
      </c>
      <c r="CF447" s="90">
        <f>CF718/(CF719/CF768)/CE444</f>
        <v>0</v>
      </c>
      <c r="CG447" s="90">
        <f>CG718/(CG719/CG768)/CF444</f>
        <v>0</v>
      </c>
      <c r="CH447" s="1115"/>
      <c r="CI447" s="1115"/>
      <c r="CJ447" s="1115"/>
      <c r="CK447" s="1115"/>
      <c r="CL447" s="27"/>
    </row>
    <row r="448" spans="1:90" s="227" customFormat="1" ht="15" hidden="1" customHeight="1" outlineLevel="2" x14ac:dyDescent="0.3">
      <c r="A448" s="701" t="s">
        <v>850</v>
      </c>
      <c r="B448" s="702"/>
      <c r="C448" s="1181"/>
      <c r="D448" s="1181"/>
      <c r="E448" s="1181"/>
      <c r="F448" s="1181"/>
      <c r="G448" s="703"/>
      <c r="H448" s="703"/>
      <c r="I448" s="703"/>
      <c r="J448" s="703"/>
      <c r="K448" s="1181"/>
      <c r="L448" s="703"/>
      <c r="M448" s="703"/>
      <c r="N448" s="703"/>
      <c r="O448" s="703"/>
      <c r="P448" s="1181"/>
      <c r="Q448" s="703"/>
      <c r="R448" s="703"/>
      <c r="S448" s="703"/>
      <c r="T448" s="703"/>
      <c r="U448" s="1181"/>
      <c r="V448" s="703"/>
      <c r="W448" s="703"/>
      <c r="X448" s="703"/>
      <c r="Y448" s="703"/>
      <c r="Z448" s="1181"/>
      <c r="AA448" s="703"/>
      <c r="AB448" s="703"/>
      <c r="AC448" s="703"/>
      <c r="AD448" s="703"/>
      <c r="AE448" s="1181"/>
      <c r="AF448" s="703"/>
      <c r="AG448" s="703"/>
      <c r="AH448" s="703"/>
      <c r="AI448" s="703"/>
      <c r="AJ448" s="1181"/>
      <c r="AK448" s="703"/>
      <c r="AL448" s="703"/>
      <c r="AM448" s="703"/>
      <c r="AN448" s="703"/>
      <c r="AO448" s="1181"/>
      <c r="AP448" s="703"/>
      <c r="AQ448" s="703"/>
      <c r="AR448" s="703"/>
      <c r="AS448" s="703"/>
      <c r="AT448" s="1181"/>
      <c r="AU448" s="703"/>
      <c r="AV448" s="703"/>
      <c r="AW448" s="703"/>
      <c r="AX448" s="703"/>
      <c r="AY448" s="1181"/>
      <c r="AZ448" s="703"/>
      <c r="BA448" s="703"/>
      <c r="BB448" s="703"/>
      <c r="BC448" s="703"/>
      <c r="BD448" s="1181"/>
      <c r="BE448" s="703"/>
      <c r="BF448" s="703"/>
      <c r="BG448" s="703"/>
      <c r="BH448" s="703"/>
      <c r="BI448" s="1181"/>
      <c r="BJ448" s="703"/>
      <c r="BK448" s="703"/>
      <c r="BL448" s="703"/>
      <c r="BM448" s="703"/>
      <c r="BN448" s="1181"/>
      <c r="BO448" s="703"/>
      <c r="BP448" s="703"/>
      <c r="BQ448" s="703"/>
      <c r="BR448" s="703"/>
      <c r="BS448" s="1181"/>
      <c r="BT448" s="703"/>
      <c r="BU448" s="703"/>
      <c r="BV448" s="703"/>
      <c r="BW448" s="703"/>
      <c r="BX448" s="1181"/>
      <c r="BY448" s="920"/>
      <c r="BZ448" s="703"/>
      <c r="CA448" s="703"/>
      <c r="CB448" s="703"/>
      <c r="CC448" s="1181">
        <f>CC718/(CC719/CC768)/BX444</f>
        <v>-3.8610337813702075E-3</v>
      </c>
      <c r="CD448" s="703"/>
      <c r="CE448" s="703"/>
      <c r="CF448" s="703"/>
      <c r="CG448" s="703"/>
      <c r="CH448" s="1181">
        <f>CH718/(CH719/CH768)/CC444</f>
        <v>0</v>
      </c>
      <c r="CI448" s="1181">
        <f>CI718/(CI719/CI768)/CH444</f>
        <v>0</v>
      </c>
      <c r="CJ448" s="1181">
        <f>CJ718/(CJ719/CJ768)/CI444</f>
        <v>0</v>
      </c>
      <c r="CK448" s="1181">
        <f>CK718/(CK719/CK768)/CJ444</f>
        <v>0</v>
      </c>
      <c r="CL448" s="27"/>
    </row>
    <row r="449" spans="1:90" s="227" customFormat="1" ht="15" hidden="1" customHeight="1" outlineLevel="1" collapsed="1" x14ac:dyDescent="0.3">
      <c r="A449" s="655" t="s">
        <v>851</v>
      </c>
      <c r="B449" s="102"/>
      <c r="C449" s="1115"/>
      <c r="D449" s="1115"/>
      <c r="E449" s="1115"/>
      <c r="F449" s="1115"/>
      <c r="G449" s="90">
        <f>G444/F444-1</f>
        <v>1.1723744991051666E-2</v>
      </c>
      <c r="H449" s="90">
        <f>H444/G444-1</f>
        <v>-1.2031220414420174E-3</v>
      </c>
      <c r="I449" s="90">
        <f>I444/H444-1</f>
        <v>1.2054467799546442E-2</v>
      </c>
      <c r="J449" s="90">
        <f>J444/I444-1</f>
        <v>-1.4893376633488109E-2</v>
      </c>
      <c r="K449" s="1115"/>
      <c r="L449" s="90">
        <f>L444/K444-1</f>
        <v>3.7572711031974571E-4</v>
      </c>
      <c r="M449" s="90">
        <f>M444/L444-1</f>
        <v>-0.10257208526690798</v>
      </c>
      <c r="N449" s="90">
        <f>N444/M444-1</f>
        <v>9.8131700536302047E-2</v>
      </c>
      <c r="O449" s="90">
        <f>O444/N444-1</f>
        <v>-6.5853023699678159E-2</v>
      </c>
      <c r="P449" s="1115"/>
      <c r="Q449" s="90">
        <f>Q444/P444-1</f>
        <v>-3.1678822998302381E-2</v>
      </c>
      <c r="R449" s="90">
        <f>R444/Q444-1</f>
        <v>2.907886005171445E-2</v>
      </c>
      <c r="S449" s="90">
        <f>S444/R444-1</f>
        <v>-6.3593066598861103E-2</v>
      </c>
      <c r="T449" s="90">
        <f>T444/S444-1</f>
        <v>2.8131400231786285E-2</v>
      </c>
      <c r="U449" s="1115"/>
      <c r="V449" s="90">
        <f>V444/U444-1</f>
        <v>1.5000559722377682E-2</v>
      </c>
      <c r="W449" s="90">
        <f>W444/V444-1</f>
        <v>-4.3707409503387362E-2</v>
      </c>
      <c r="X449" s="90">
        <f>X444/W444-1</f>
        <v>4.9486399464562236E-2</v>
      </c>
      <c r="Y449" s="90">
        <f>Y444/X444-1</f>
        <v>-2.8981042611338381E-2</v>
      </c>
      <c r="Z449" s="1115"/>
      <c r="AA449" s="90">
        <f>AA444/Z444-1</f>
        <v>-7.4211502782931538E-3</v>
      </c>
      <c r="AB449" s="90">
        <f>AB444/AA444-1</f>
        <v>-3.7383177570093906E-3</v>
      </c>
      <c r="AC449" s="90">
        <f>AC444/AB444-1</f>
        <v>1.8761726078799335E-2</v>
      </c>
      <c r="AD449" s="90">
        <f>AD444/AC444-1</f>
        <v>7.7348066298342566E-2</v>
      </c>
      <c r="AE449" s="1115"/>
      <c r="AF449" s="90">
        <f>AF444/AE444-1</f>
        <v>2.3931623931623847E-2</v>
      </c>
      <c r="AG449" s="90">
        <f>AG444/AF444-1</f>
        <v>-6.6777963272119933E-3</v>
      </c>
      <c r="AH449" s="90">
        <f>AH444/AG444-1</f>
        <v>2.6890756302520913E-2</v>
      </c>
      <c r="AI449" s="90">
        <f>AI444/AH444-1</f>
        <v>-8.1833060556464332E-3</v>
      </c>
      <c r="AJ449" s="1115"/>
      <c r="AK449" s="90">
        <f>AK444/AJ444-1</f>
        <v>1.6501650165017256E-3</v>
      </c>
      <c r="AL449" s="90">
        <f>AL444/AK444-1</f>
        <v>1.6474464579900872E-3</v>
      </c>
      <c r="AM449" s="90">
        <f>AM444/AL444-1</f>
        <v>4.9342105263157077E-3</v>
      </c>
      <c r="AN449" s="90">
        <f>AN444/AM444-1</f>
        <v>-8.1833060556464332E-3</v>
      </c>
      <c r="AO449" s="1115"/>
      <c r="AP449" s="90">
        <f>AP444/AN444-1</f>
        <v>4.9504950495049549E-3</v>
      </c>
      <c r="AQ449" s="90">
        <f>AQ444/AP444-1</f>
        <v>0</v>
      </c>
      <c r="AR449" s="90">
        <f>AR444/AQ444-1</f>
        <v>4.9261083743843415E-3</v>
      </c>
      <c r="AS449" s="90">
        <f>AS444/AR444-1</f>
        <v>0</v>
      </c>
      <c r="AT449" s="1115"/>
      <c r="AU449" s="90">
        <f>AU444/AS444-1</f>
        <v>4.9019607843137081E-3</v>
      </c>
      <c r="AV449" s="90">
        <f>AV444/AU444-1</f>
        <v>3.2520325203251321E-3</v>
      </c>
      <c r="AW449" s="90">
        <f>AW444/AV444-1</f>
        <v>3.2414910858995505E-3</v>
      </c>
      <c r="AX449" s="90">
        <f>AX444/AW444-1</f>
        <v>1.615508885298933E-3</v>
      </c>
      <c r="AY449" s="1115"/>
      <c r="AZ449" s="90">
        <f>AZ444/AX444-1</f>
        <v>4.8387096774193949E-3</v>
      </c>
      <c r="BA449" s="90">
        <f>BA444/AZ444-1</f>
        <v>1.6051364365972098E-3</v>
      </c>
      <c r="BB449" s="90">
        <f>BB444/BA444-1</f>
        <v>2.4038461538462563E-3</v>
      </c>
      <c r="BC449" s="90">
        <f>BC444/BB444-1</f>
        <v>1.5987210231813709E-3</v>
      </c>
      <c r="BD449" s="1115"/>
      <c r="BE449" s="90">
        <f>BE444/BC444-1</f>
        <v>-7.9808459696728562E-4</v>
      </c>
      <c r="BF449" s="90">
        <f>BF444/BE444-1</f>
        <v>-5.990415335463295E-3</v>
      </c>
      <c r="BG449" s="90">
        <f>BG444/BF444-1</f>
        <v>-8.4371233427079639E-3</v>
      </c>
      <c r="BH449" s="90">
        <f>BH444/BG444-1</f>
        <v>-8.1037277147488762E-4</v>
      </c>
      <c r="BI449" s="1115"/>
      <c r="BJ449" s="90">
        <f>BJ444/BH444-1</f>
        <v>2.8386050283859543E-3</v>
      </c>
      <c r="BK449" s="90">
        <f>BK444/BJ444-1</f>
        <v>-1.6174686615446632E-3</v>
      </c>
      <c r="BL449" s="90">
        <f>BL444/BK444-1</f>
        <v>-1.2150668286755595E-3</v>
      </c>
      <c r="BM449" s="366">
        <f>BM444/BL444-1</f>
        <v>-8.110300081103361E-4</v>
      </c>
      <c r="BN449" s="1115"/>
      <c r="BO449" s="90">
        <f>BO444/BM444-1</f>
        <v>-2.0292207792207417E-3</v>
      </c>
      <c r="BP449" s="90">
        <f>BP444/BO444-1</f>
        <v>-1.1386742578284315E-3</v>
      </c>
      <c r="BQ449" s="90">
        <f>BQ444/BP444-1</f>
        <v>-2.198518035990582E-3</v>
      </c>
      <c r="BR449" s="366">
        <f>BR444/BQ444-1</f>
        <v>-1.2648930961318694E-3</v>
      </c>
      <c r="BS449" s="1115"/>
      <c r="BT449" s="90">
        <f>BT444/BR444-1</f>
        <v>-3.6360665114189006E-3</v>
      </c>
      <c r="BU449" s="90">
        <f>BU444/BT444-1</f>
        <v>-1.681154666229312E-3</v>
      </c>
      <c r="BV449" s="90">
        <f>BV444/BU444-1</f>
        <v>-1.7250585287714726E-3</v>
      </c>
      <c r="BW449" s="366">
        <f>BW444/BV444-1</f>
        <v>-4.1143797572473773E-5</v>
      </c>
      <c r="BX449" s="1115"/>
      <c r="BY449" s="892">
        <f>BY444/BW444-1</f>
        <v>-3.4150757077023863E-3</v>
      </c>
      <c r="BZ449" s="90">
        <f>BZ444/BY444-1</f>
        <v>0</v>
      </c>
      <c r="CA449" s="90">
        <f>CA444/BZ444-1</f>
        <v>0</v>
      </c>
      <c r="CB449" s="90">
        <f>CB444/CA444-1</f>
        <v>0</v>
      </c>
      <c r="CC449" s="1115"/>
      <c r="CD449" s="90">
        <f>CD444/CB444-1</f>
        <v>0</v>
      </c>
      <c r="CE449" s="90">
        <f>CE444/CD444-1</f>
        <v>0</v>
      </c>
      <c r="CF449" s="90">
        <f>CF444/CE444-1</f>
        <v>0</v>
      </c>
      <c r="CG449" s="90">
        <f>CG444/CF444-1</f>
        <v>0</v>
      </c>
      <c r="CH449" s="1115"/>
      <c r="CI449" s="1115"/>
      <c r="CJ449" s="1115"/>
      <c r="CK449" s="1115"/>
      <c r="CL449" s="27"/>
    </row>
    <row r="450" spans="1:90" s="227" customFormat="1" ht="15" hidden="1" customHeight="1" outlineLevel="1" x14ac:dyDescent="0.3">
      <c r="A450" s="655" t="s">
        <v>852</v>
      </c>
      <c r="B450" s="102"/>
      <c r="C450" s="1115"/>
      <c r="D450" s="1115">
        <f t="shared" ref="D450:E450" si="1205">D444/C444-1</f>
        <v>4.2723790576043585E-2</v>
      </c>
      <c r="E450" s="1115">
        <f t="shared" si="1205"/>
        <v>4.8248437463741745E-2</v>
      </c>
      <c r="F450" s="1115">
        <f>F444/E444-1</f>
        <v>4.0158834516157427E-2</v>
      </c>
      <c r="G450" s="90"/>
      <c r="H450" s="90"/>
      <c r="I450" s="90"/>
      <c r="J450" s="90">
        <f>J444/F444-1</f>
        <v>7.4563639909408508E-3</v>
      </c>
      <c r="K450" s="1115">
        <f t="shared" ref="K450" si="1206">K444/F444-1</f>
        <v>7.4563639909408508E-3</v>
      </c>
      <c r="L450" s="90">
        <f t="shared" ref="L450" si="1207">L444/G444-1</f>
        <v>-3.8437887327924525E-3</v>
      </c>
      <c r="M450" s="90">
        <f t="shared" ref="M450" si="1208">M444/H444-1</f>
        <v>-0.10494474787190866</v>
      </c>
      <c r="N450" s="90">
        <f t="shared" ref="N450" si="1209">N444/I444-1</f>
        <v>-2.8818529668260595E-2</v>
      </c>
      <c r="O450" s="90">
        <f t="shared" ref="O450" si="1210">O444/J444-1</f>
        <v>-7.9057827416759929E-2</v>
      </c>
      <c r="P450" s="1115">
        <f t="shared" ref="P450" si="1211">P444/K444-1</f>
        <v>-7.9057827416759929E-2</v>
      </c>
      <c r="Q450" s="90">
        <f t="shared" ref="Q450" si="1212">Q444/L444-1</f>
        <v>-0.10856712699111626</v>
      </c>
      <c r="R450" s="90">
        <f t="shared" ref="R450" si="1213">R444/M444-1</f>
        <v>2.2204357261876861E-2</v>
      </c>
      <c r="S450" s="90">
        <f t="shared" ref="S450" si="1214">S444/N444-1</f>
        <v>-0.12833838871475756</v>
      </c>
      <c r="T450" s="90">
        <f t="shared" ref="T450" si="1215">T444/O444-1</f>
        <v>-4.06406104440733E-2</v>
      </c>
      <c r="U450" s="1115">
        <f t="shared" ref="U450" si="1216">U444/P444-1</f>
        <v>-4.06406104440733E-2</v>
      </c>
      <c r="V450" s="90">
        <f t="shared" ref="V450" si="1217">V444/Q444-1</f>
        <v>5.6067557969736725E-3</v>
      </c>
      <c r="W450" s="90">
        <f t="shared" ref="W450" si="1218">W444/R444-1</f>
        <v>-6.5519342731754859E-2</v>
      </c>
      <c r="X450" s="90">
        <f t="shared" ref="X450" si="1219">X444/S444-1</f>
        <v>4.7327508355391679E-2</v>
      </c>
      <c r="Y450" s="90">
        <f t="shared" ref="Y450" si="1220">Y444/T444-1</f>
        <v>-1.0851273506045978E-2</v>
      </c>
      <c r="Z450" s="1115">
        <f t="shared" ref="Z450" si="1221">Z444/U444-1</f>
        <v>-1.0851273506045978E-2</v>
      </c>
      <c r="AA450" s="90">
        <f t="shared" ref="AA450" si="1222">AA444/V444-1</f>
        <v>-3.2701907656480733E-2</v>
      </c>
      <c r="AB450" s="90">
        <f t="shared" ref="AB450" si="1223">AB444/W444-1</f>
        <v>7.7271687404165679E-3</v>
      </c>
      <c r="AC450" s="90">
        <f t="shared" ref="AC450" si="1224">AC444/X444-1</f>
        <v>-2.1774965005485591E-2</v>
      </c>
      <c r="AD450" s="90">
        <f t="shared" ref="AD450" si="1225">AD444/Y444-1</f>
        <v>8.5343228200370991E-2</v>
      </c>
      <c r="AE450" s="1115">
        <f t="shared" ref="AE450" si="1226">AE444/Z444-1</f>
        <v>8.5343228200370991E-2</v>
      </c>
      <c r="AF450" s="90">
        <f t="shared" ref="AF450" si="1227">AF444/AA444-1</f>
        <v>0.11962616822429917</v>
      </c>
      <c r="AG450" s="90">
        <f t="shared" ref="AG450" si="1228">AG444/AB444-1</f>
        <v>0.1163227016885553</v>
      </c>
      <c r="AH450" s="90">
        <f t="shared" ref="AH450" si="1229">AH444/AC444-1</f>
        <v>0.12523020257826878</v>
      </c>
      <c r="AI450" s="90">
        <f t="shared" ref="AI450" si="1230">AI444/AD444-1</f>
        <v>3.5897435897435992E-2</v>
      </c>
      <c r="AJ450" s="1115">
        <f t="shared" ref="AJ450:AK450" si="1231">AJ444/AE444-1</f>
        <v>3.5897435897435992E-2</v>
      </c>
      <c r="AK450" s="90">
        <f t="shared" si="1231"/>
        <v>1.3355592654423987E-2</v>
      </c>
      <c r="AL450" s="90">
        <f t="shared" ref="AL450" si="1232">AL444/AG444-1</f>
        <v>2.1848739495798242E-2</v>
      </c>
      <c r="AM450" s="90">
        <f t="shared" ref="AM450:BJ450" si="1233">AM444/AH444-1</f>
        <v>0</v>
      </c>
      <c r="AN450" s="90">
        <f t="shared" si="1233"/>
        <v>0</v>
      </c>
      <c r="AO450" s="1115">
        <f t="shared" si="1233"/>
        <v>0</v>
      </c>
      <c r="AP450" s="90">
        <f t="shared" si="1233"/>
        <v>3.2948929159801743E-3</v>
      </c>
      <c r="AQ450" s="90">
        <f t="shared" si="1233"/>
        <v>1.6447368421053099E-3</v>
      </c>
      <c r="AR450" s="90">
        <f t="shared" si="1233"/>
        <v>1.6366612111293755E-3</v>
      </c>
      <c r="AS450" s="90">
        <f t="shared" si="1233"/>
        <v>9.9009900990099098E-3</v>
      </c>
      <c r="AT450" s="1115">
        <f t="shared" si="1233"/>
        <v>9.9009900990099098E-3</v>
      </c>
      <c r="AU450" s="90">
        <f t="shared" si="1233"/>
        <v>9.8522167487684609E-3</v>
      </c>
      <c r="AV450" s="90">
        <f t="shared" si="1233"/>
        <v>1.3136288998357948E-2</v>
      </c>
      <c r="AW450" s="90">
        <f t="shared" si="1233"/>
        <v>1.1437908496731986E-2</v>
      </c>
      <c r="AX450" s="90">
        <f t="shared" si="1233"/>
        <v>1.3071895424836555E-2</v>
      </c>
      <c r="AY450" s="1115">
        <f t="shared" si="1233"/>
        <v>1.3071895424836555E-2</v>
      </c>
      <c r="AZ450" s="90">
        <f t="shared" si="1233"/>
        <v>1.3008130081300751E-2</v>
      </c>
      <c r="BA450" s="90">
        <f t="shared" si="1233"/>
        <v>1.1345218800648205E-2</v>
      </c>
      <c r="BB450" s="90">
        <f t="shared" si="1233"/>
        <v>1.050080775444262E-2</v>
      </c>
      <c r="BC450" s="90">
        <f t="shared" si="1233"/>
        <v>1.0483870967741948E-2</v>
      </c>
      <c r="BD450" s="1115">
        <f t="shared" si="1233"/>
        <v>1.0483870967741948E-2</v>
      </c>
      <c r="BE450" s="90">
        <f t="shared" si="1233"/>
        <v>4.8154093097914075E-3</v>
      </c>
      <c r="BF450" s="90">
        <f t="shared" si="1233"/>
        <v>-2.804487179487225E-3</v>
      </c>
      <c r="BG450" s="90">
        <f t="shared" si="1233"/>
        <v>-1.3589128697042319E-2</v>
      </c>
      <c r="BH450" s="90">
        <f t="shared" ref="BH450:BI450" si="1234">BH444/BC444-1</f>
        <v>-1.5961691939345601E-2</v>
      </c>
      <c r="BI450" s="1115">
        <f t="shared" si="1234"/>
        <v>-1.5961691939345601E-2</v>
      </c>
      <c r="BJ450" s="90">
        <f t="shared" si="1233"/>
        <v>-1.2380191693290743E-2</v>
      </c>
      <c r="BK450" s="90">
        <f t="shared" ref="BK450:BM450" si="1235">BK444/BF444-1</f>
        <v>-8.0353555644837593E-3</v>
      </c>
      <c r="BL450" s="90">
        <f t="shared" si="1235"/>
        <v>-8.1037277147488762E-4</v>
      </c>
      <c r="BM450" s="90">
        <f t="shared" si="1235"/>
        <v>-8.110300081103361E-4</v>
      </c>
      <c r="BN450" s="1115">
        <f t="shared" ref="BN450:BS450" si="1236">BN444/BI444-1</f>
        <v>-8.110300081103361E-4</v>
      </c>
      <c r="BO450" s="90">
        <f t="shared" si="1236"/>
        <v>-5.6611403154064321E-3</v>
      </c>
      <c r="BP450" s="90">
        <f t="shared" si="1236"/>
        <v>-5.184285135682476E-3</v>
      </c>
      <c r="BQ450" s="90">
        <f t="shared" si="1236"/>
        <v>-6.1638280616382879E-3</v>
      </c>
      <c r="BR450" s="90">
        <f t="shared" si="1236"/>
        <v>-6.6152597402597824E-3</v>
      </c>
      <c r="BS450" s="1115">
        <f t="shared" si="1236"/>
        <v>-6.6152597402597824E-3</v>
      </c>
      <c r="BT450" s="90">
        <f t="shared" ref="BT450:CH450" si="1237">BT444/BO444-1</f>
        <v>-8.2147214314761685E-3</v>
      </c>
      <c r="BU450" s="90">
        <f t="shared" si="1237"/>
        <v>-8.7533588469994594E-3</v>
      </c>
      <c r="BV450" s="90">
        <f t="shared" si="1237"/>
        <v>-8.2830096295087863E-3</v>
      </c>
      <c r="BW450" s="90">
        <f t="shared" si="1237"/>
        <v>-7.0678596233199054E-3</v>
      </c>
      <c r="BX450" s="1115">
        <f t="shared" si="1237"/>
        <v>-7.0678596233199054E-3</v>
      </c>
      <c r="BY450" s="892">
        <f t="shared" si="1237"/>
        <v>-6.8476299819583142E-3</v>
      </c>
      <c r="BZ450" s="90">
        <f t="shared" si="1237"/>
        <v>-5.1751755863145288E-3</v>
      </c>
      <c r="CA450" s="90">
        <f t="shared" si="1237"/>
        <v>-3.4560789960913496E-3</v>
      </c>
      <c r="CB450" s="90">
        <f t="shared" si="1237"/>
        <v>-3.4150757077023863E-3</v>
      </c>
      <c r="CC450" s="1115">
        <f t="shared" si="1237"/>
        <v>-3.4150757077023863E-3</v>
      </c>
      <c r="CD450" s="90">
        <f t="shared" si="1237"/>
        <v>0</v>
      </c>
      <c r="CE450" s="90">
        <f t="shared" si="1237"/>
        <v>0</v>
      </c>
      <c r="CF450" s="90">
        <f t="shared" si="1237"/>
        <v>0</v>
      </c>
      <c r="CG450" s="90">
        <f t="shared" si="1237"/>
        <v>0</v>
      </c>
      <c r="CH450" s="1115">
        <f t="shared" si="1237"/>
        <v>0</v>
      </c>
      <c r="CI450" s="1115">
        <f>CI444/CH444-1</f>
        <v>0</v>
      </c>
      <c r="CJ450" s="1115">
        <f>CJ444/CI444-1</f>
        <v>0</v>
      </c>
      <c r="CK450" s="1115">
        <f>CK444/CJ444-1</f>
        <v>0</v>
      </c>
      <c r="CL450" s="27"/>
    </row>
    <row r="451" spans="1:90" ht="15" hidden="1" customHeight="1" outlineLevel="1" x14ac:dyDescent="0.3">
      <c r="A451" s="605"/>
      <c r="B451" s="428"/>
      <c r="C451" s="1179"/>
      <c r="D451" s="1179"/>
      <c r="E451" s="1179"/>
      <c r="F451" s="1179"/>
      <c r="G451" s="638"/>
      <c r="H451" s="638"/>
      <c r="I451" s="638"/>
      <c r="J451" s="638"/>
      <c r="K451" s="1179"/>
      <c r="L451" s="638"/>
      <c r="M451" s="638"/>
      <c r="N451" s="638"/>
      <c r="O451" s="638"/>
      <c r="P451" s="1179"/>
      <c r="Q451" s="638"/>
      <c r="R451" s="638"/>
      <c r="S451" s="638"/>
      <c r="T451" s="638"/>
      <c r="U451" s="1179"/>
      <c r="V451" s="638"/>
      <c r="W451" s="638"/>
      <c r="X451" s="638"/>
      <c r="Y451" s="638"/>
      <c r="Z451" s="1179"/>
      <c r="AA451" s="638"/>
      <c r="AB451" s="638"/>
      <c r="AC451" s="638"/>
      <c r="AD451" s="638"/>
      <c r="AE451" s="1179"/>
      <c r="AF451" s="638"/>
      <c r="AG451" s="638"/>
      <c r="AH451" s="638"/>
      <c r="AI451" s="638"/>
      <c r="AJ451" s="1179"/>
      <c r="AK451" s="638"/>
      <c r="AL451" s="638"/>
      <c r="AM451" s="638"/>
      <c r="AN451" s="638"/>
      <c r="AO451" s="1179"/>
      <c r="AP451" s="638"/>
      <c r="AQ451" s="638"/>
      <c r="AR451" s="638"/>
      <c r="AS451" s="638"/>
      <c r="AT451" s="1179"/>
      <c r="AU451" s="638"/>
      <c r="AV451" s="638"/>
      <c r="AW451" s="638"/>
      <c r="AX451" s="638"/>
      <c r="AY451" s="1179"/>
      <c r="AZ451" s="638"/>
      <c r="BA451" s="638"/>
      <c r="BB451" s="638"/>
      <c r="BC451" s="638"/>
      <c r="BD451" s="1179"/>
      <c r="BE451" s="638"/>
      <c r="BF451" s="638"/>
      <c r="BG451" s="638"/>
      <c r="BH451" s="638"/>
      <c r="BI451" s="1179"/>
      <c r="BJ451" s="638"/>
      <c r="BK451" s="638"/>
      <c r="BL451" s="638"/>
      <c r="BM451" s="638"/>
      <c r="BN451" s="1179"/>
      <c r="BO451" s="638"/>
      <c r="BP451" s="638"/>
      <c r="BQ451" s="638"/>
      <c r="BR451" s="638"/>
      <c r="BS451" s="1179"/>
      <c r="BT451" s="638"/>
      <c r="BU451" s="638"/>
      <c r="BV451" s="638"/>
      <c r="BW451" s="638"/>
      <c r="BX451" s="1179"/>
      <c r="BY451" s="918"/>
      <c r="BZ451" s="638"/>
      <c r="CA451" s="638"/>
      <c r="CB451" s="638"/>
      <c r="CC451" s="1179"/>
      <c r="CD451" s="638"/>
      <c r="CE451" s="638"/>
      <c r="CF451" s="638"/>
      <c r="CG451" s="638"/>
      <c r="CH451" s="1179"/>
      <c r="CI451" s="1179"/>
      <c r="CJ451" s="1179"/>
      <c r="CK451" s="1179"/>
      <c r="CL451" s="155"/>
    </row>
    <row r="452" spans="1:90" s="227" customFormat="1" ht="15" hidden="1" customHeight="1" outlineLevel="1" x14ac:dyDescent="0.3">
      <c r="A452" s="636" t="s">
        <v>891</v>
      </c>
      <c r="B452" s="146"/>
      <c r="C452" s="1112">
        <f t="shared" ref="C452:BG452" si="1238">IF(C424&gt;0,(C437-C436),B452)</f>
        <v>0</v>
      </c>
      <c r="D452" s="1112">
        <f t="shared" si="1238"/>
        <v>0</v>
      </c>
      <c r="E452" s="1112">
        <f t="shared" si="1238"/>
        <v>540.27999999999884</v>
      </c>
      <c r="F452" s="1112">
        <f t="shared" si="1238"/>
        <v>509.00000000000364</v>
      </c>
      <c r="G452" s="68">
        <f t="shared" si="1238"/>
        <v>320.2400000000016</v>
      </c>
      <c r="H452" s="68">
        <f t="shared" si="1238"/>
        <v>165.88000000000102</v>
      </c>
      <c r="I452" s="68">
        <f t="shared" si="1238"/>
        <v>259.7200000000048</v>
      </c>
      <c r="J452" s="68">
        <f t="shared" si="1238"/>
        <v>73.960000000002765</v>
      </c>
      <c r="K452" s="1112">
        <f t="shared" si="1238"/>
        <v>225.31999999999971</v>
      </c>
      <c r="L452" s="68">
        <f t="shared" si="1238"/>
        <v>97.200000000004366</v>
      </c>
      <c r="M452" s="68">
        <f t="shared" si="1238"/>
        <v>266.43999999999505</v>
      </c>
      <c r="N452" s="68">
        <f t="shared" si="1238"/>
        <v>315.27999999999884</v>
      </c>
      <c r="O452" s="68">
        <f t="shared" si="1238"/>
        <v>354.91999999999825</v>
      </c>
      <c r="P452" s="1112">
        <f t="shared" si="1238"/>
        <v>264.95999999999913</v>
      </c>
      <c r="Q452" s="68">
        <f t="shared" si="1238"/>
        <v>440</v>
      </c>
      <c r="R452" s="68">
        <f t="shared" si="1238"/>
        <v>520</v>
      </c>
      <c r="S452" s="68">
        <f t="shared" si="1238"/>
        <v>400</v>
      </c>
      <c r="T452" s="68">
        <f t="shared" si="1238"/>
        <v>520</v>
      </c>
      <c r="U452" s="1112">
        <f t="shared" si="1238"/>
        <v>440</v>
      </c>
      <c r="V452" s="68">
        <f t="shared" si="1238"/>
        <v>760</v>
      </c>
      <c r="W452" s="68">
        <f t="shared" si="1238"/>
        <v>600</v>
      </c>
      <c r="X452" s="68">
        <f t="shared" si="1238"/>
        <v>920</v>
      </c>
      <c r="Y452" s="68">
        <f t="shared" si="1238"/>
        <v>2160</v>
      </c>
      <c r="Z452" s="1112">
        <f t="shared" si="1238"/>
        <v>1040</v>
      </c>
      <c r="AA452" s="68">
        <f t="shared" si="1238"/>
        <v>2400</v>
      </c>
      <c r="AB452" s="68">
        <f t="shared" si="1238"/>
        <v>3880</v>
      </c>
      <c r="AC452" s="68">
        <f t="shared" si="1238"/>
        <v>4600</v>
      </c>
      <c r="AD452" s="68">
        <f t="shared" si="1238"/>
        <v>4280</v>
      </c>
      <c r="AE452" s="1112">
        <f t="shared" si="1238"/>
        <v>4320</v>
      </c>
      <c r="AF452" s="68">
        <f t="shared" si="1238"/>
        <v>1960</v>
      </c>
      <c r="AG452" s="68">
        <f t="shared" si="1238"/>
        <v>1440</v>
      </c>
      <c r="AH452" s="68">
        <f t="shared" si="1238"/>
        <v>1000</v>
      </c>
      <c r="AI452" s="68">
        <f t="shared" si="1238"/>
        <v>880</v>
      </c>
      <c r="AJ452" s="1112">
        <f t="shared" si="1238"/>
        <v>1320</v>
      </c>
      <c r="AK452" s="68">
        <f t="shared" si="1238"/>
        <v>840</v>
      </c>
      <c r="AL452" s="68">
        <f t="shared" si="1238"/>
        <v>760</v>
      </c>
      <c r="AM452" s="68">
        <f t="shared" si="1238"/>
        <v>640</v>
      </c>
      <c r="AN452" s="68">
        <f t="shared" si="1238"/>
        <v>400</v>
      </c>
      <c r="AO452" s="1112">
        <f t="shared" si="1238"/>
        <v>680</v>
      </c>
      <c r="AP452" s="68">
        <f t="shared" si="1238"/>
        <v>360</v>
      </c>
      <c r="AQ452" s="68">
        <f t="shared" si="1238"/>
        <v>280</v>
      </c>
      <c r="AR452" s="68">
        <f t="shared" si="1238"/>
        <v>320</v>
      </c>
      <c r="AS452" s="68">
        <f t="shared" si="1238"/>
        <v>360</v>
      </c>
      <c r="AT452" s="1112">
        <f t="shared" si="1238"/>
        <v>360</v>
      </c>
      <c r="AU452" s="68">
        <f t="shared" si="1238"/>
        <v>320</v>
      </c>
      <c r="AV452" s="68">
        <f t="shared" si="1238"/>
        <v>400</v>
      </c>
      <c r="AW452" s="68">
        <f t="shared" si="1238"/>
        <v>480</v>
      </c>
      <c r="AX452" s="68">
        <f t="shared" si="1238"/>
        <v>480</v>
      </c>
      <c r="AY452" s="1112">
        <f t="shared" si="1238"/>
        <v>440</v>
      </c>
      <c r="AZ452" s="68">
        <f t="shared" si="1238"/>
        <v>440</v>
      </c>
      <c r="BA452" s="68">
        <f t="shared" si="1238"/>
        <v>390</v>
      </c>
      <c r="BB452" s="68">
        <f t="shared" si="1238"/>
        <v>390</v>
      </c>
      <c r="BC452" s="68">
        <f t="shared" si="1238"/>
        <v>410</v>
      </c>
      <c r="BD452" s="1112">
        <f t="shared" si="1238"/>
        <v>390</v>
      </c>
      <c r="BE452" s="68">
        <f t="shared" si="1238"/>
        <v>310</v>
      </c>
      <c r="BF452" s="68">
        <f t="shared" si="1238"/>
        <v>210</v>
      </c>
      <c r="BG452" s="68">
        <f t="shared" si="1238"/>
        <v>160</v>
      </c>
      <c r="BH452" s="68">
        <f>IF(BH424&gt;0,(BH437-BH436),BG452)</f>
        <v>130</v>
      </c>
      <c r="BI452" s="1112">
        <f>BH452</f>
        <v>130</v>
      </c>
      <c r="BJ452" s="68">
        <f t="shared" ref="BJ452:BK452" si="1239">IF(BJ424&gt;0,(BJ437-BJ436),BI452)</f>
        <v>200</v>
      </c>
      <c r="BK452" s="68">
        <f t="shared" si="1239"/>
        <v>260</v>
      </c>
      <c r="BL452" s="68">
        <f>IF(BL424&gt;0,(BL437-BL436),BK452)</f>
        <v>260</v>
      </c>
      <c r="BM452" s="68">
        <f>IF(BM424&gt;0,(BM437-BM436),BL452)</f>
        <v>240</v>
      </c>
      <c r="BN452" s="1112">
        <f>BM452</f>
        <v>240</v>
      </c>
      <c r="BO452" s="68">
        <f>IF(BO424&gt;0,(BO437-BO436),BN452)</f>
        <v>270</v>
      </c>
      <c r="BP452" s="68">
        <f>IF(BP424&gt;0,(BP437-BP436),BO452)</f>
        <v>270</v>
      </c>
      <c r="BQ452" s="68">
        <f>IF(BQ424&gt;0,(BQ437-BQ436),BP452)</f>
        <v>241</v>
      </c>
      <c r="BR452" s="68">
        <f>IF(BR424&gt;0,(BR437-BR436),BQ452)</f>
        <v>217</v>
      </c>
      <c r="BS452" s="1112">
        <f>BR452</f>
        <v>217</v>
      </c>
      <c r="BT452" s="68">
        <f>IF(BT424&gt;0,(BT437-BT436),BS452)</f>
        <v>170</v>
      </c>
      <c r="BU452" s="68">
        <f>IF(BU424&gt;0,(BU437-BU436),BT452)</f>
        <v>166</v>
      </c>
      <c r="BV452" s="68">
        <f>IF(BV424&gt;0,(BV437-BV436),BU452)</f>
        <v>156</v>
      </c>
      <c r="BW452" s="68">
        <f>IF(BW424&gt;0,(BW437-BW436),BV452)</f>
        <v>128</v>
      </c>
      <c r="BX452" s="1112">
        <f>BW452</f>
        <v>128</v>
      </c>
      <c r="BY452" s="588">
        <f>IF(BY424&gt;0,(BY437-BY436),BX452)</f>
        <v>105</v>
      </c>
      <c r="BZ452" s="68">
        <f>BZ444*BZ453-BZ444</f>
        <v>238.17777868456324</v>
      </c>
      <c r="CA452" s="68">
        <f>CA444*CA453-CA444</f>
        <v>238.17777868456324</v>
      </c>
      <c r="CB452" s="68">
        <f>CB444*CB453-CB444</f>
        <v>238.17777868456324</v>
      </c>
      <c r="CC452" s="1112">
        <f>CB452</f>
        <v>238.17777868456324</v>
      </c>
      <c r="CD452" s="68">
        <f>CD444*CD453-CD444</f>
        <v>238.17777868456324</v>
      </c>
      <c r="CE452" s="68">
        <f>CE444*CE453-CE444</f>
        <v>238.17777868456324</v>
      </c>
      <c r="CF452" s="68">
        <f>CF444*CF453-CF444</f>
        <v>238.17777868456324</v>
      </c>
      <c r="CG452" s="68">
        <f>CG444*CG453-CG444</f>
        <v>238.17777868456324</v>
      </c>
      <c r="CH452" s="1112">
        <f>CG452</f>
        <v>238.17777868456324</v>
      </c>
      <c r="CI452" s="1112">
        <f>CI444*CI453-CI444</f>
        <v>238.17777868456324</v>
      </c>
      <c r="CJ452" s="1112">
        <f>CJ444*CJ453-CJ444</f>
        <v>238.17777868456324</v>
      </c>
      <c r="CK452" s="1112">
        <f>CK444*CK453-CK444</f>
        <v>238.17777868456324</v>
      </c>
      <c r="CL452" s="27"/>
    </row>
    <row r="453" spans="1:90" ht="15" hidden="1" customHeight="1" outlineLevel="1" x14ac:dyDescent="0.3">
      <c r="A453" s="704" t="s">
        <v>853</v>
      </c>
      <c r="B453" s="112"/>
      <c r="C453" s="1182">
        <f t="shared" ref="C453:AH453" si="1240">(C452+C444)/C444</f>
        <v>1</v>
      </c>
      <c r="D453" s="1182">
        <f t="shared" si="1240"/>
        <v>1</v>
      </c>
      <c r="E453" s="1182">
        <f t="shared" si="1240"/>
        <v>1.0229493996524892</v>
      </c>
      <c r="F453" s="1182">
        <f t="shared" si="1240"/>
        <v>1.0207859825384158</v>
      </c>
      <c r="G453" s="1026">
        <f t="shared" si="1240"/>
        <v>1.0129260672160534</v>
      </c>
      <c r="H453" s="1026">
        <f t="shared" si="1240"/>
        <v>1.0067035936881097</v>
      </c>
      <c r="I453" s="1026">
        <f t="shared" si="1240"/>
        <v>1.0103708693807962</v>
      </c>
      <c r="J453" s="1026">
        <f t="shared" si="1240"/>
        <v>1.0029979434302636</v>
      </c>
      <c r="K453" s="1182">
        <f t="shared" si="1240"/>
        <v>1.009133269520105</v>
      </c>
      <c r="L453" s="1026">
        <f t="shared" si="1240"/>
        <v>1.0039384891241931</v>
      </c>
      <c r="M453" s="1026">
        <f t="shared" si="1240"/>
        <v>1.0120299337694081</v>
      </c>
      <c r="N453" s="1026">
        <f t="shared" si="1240"/>
        <v>1.0129630084584238</v>
      </c>
      <c r="O453" s="1026">
        <f t="shared" si="1240"/>
        <v>1.0156215686972594</v>
      </c>
      <c r="P453" s="1182">
        <f t="shared" si="1240"/>
        <v>1.0116620388877096</v>
      </c>
      <c r="Q453" s="1026">
        <f t="shared" si="1240"/>
        <v>1.019999881237069</v>
      </c>
      <c r="R453" s="1026">
        <f t="shared" si="1240"/>
        <v>1.0229683304144295</v>
      </c>
      <c r="S453" s="1026">
        <f t="shared" si="1240"/>
        <v>1.0188678082598834</v>
      </c>
      <c r="T453" s="1026">
        <f t="shared" si="1240"/>
        <v>1.0238570193774053</v>
      </c>
      <c r="U453" s="1182">
        <f t="shared" si="1240"/>
        <v>1.0201867087039582</v>
      </c>
      <c r="V453" s="1026">
        <f t="shared" si="1240"/>
        <v>1.0343526425318259</v>
      </c>
      <c r="W453" s="1026">
        <f t="shared" si="1240"/>
        <v>1.0283600516531075</v>
      </c>
      <c r="X453" s="1026">
        <f t="shared" si="1240"/>
        <v>1.0414349462336534</v>
      </c>
      <c r="Y453" s="1026">
        <f t="shared" si="1240"/>
        <v>1.1001855287569573</v>
      </c>
      <c r="Z453" s="1182">
        <f t="shared" si="1240"/>
        <v>1.0482374768089053</v>
      </c>
      <c r="AA453" s="1026">
        <f t="shared" si="1240"/>
        <v>1.1121495327102804</v>
      </c>
      <c r="AB453" s="1026">
        <f t="shared" si="1240"/>
        <v>1.1819887429643527</v>
      </c>
      <c r="AC453" s="1026">
        <f t="shared" si="1240"/>
        <v>1.2117863720073665</v>
      </c>
      <c r="AD453" s="1026">
        <f t="shared" si="1240"/>
        <v>1.1829059829059829</v>
      </c>
      <c r="AE453" s="1182">
        <f t="shared" si="1240"/>
        <v>1.1846153846153846</v>
      </c>
      <c r="AF453" s="1026">
        <f t="shared" si="1240"/>
        <v>1.0818030050083471</v>
      </c>
      <c r="AG453" s="1026">
        <f t="shared" si="1240"/>
        <v>1.0605042016806723</v>
      </c>
      <c r="AH453" s="1026">
        <f t="shared" si="1240"/>
        <v>1.0409165302782324</v>
      </c>
      <c r="AI453" s="1026">
        <f t="shared" ref="AI453:BK453" si="1241">(AI452+AI444)/AI444</f>
        <v>1.0363036303630364</v>
      </c>
      <c r="AJ453" s="1182">
        <f t="shared" si="1241"/>
        <v>1.0544554455445545</v>
      </c>
      <c r="AK453" s="1026">
        <f t="shared" si="1241"/>
        <v>1.0345963756177925</v>
      </c>
      <c r="AL453" s="1026">
        <f t="shared" si="1241"/>
        <v>1.03125</v>
      </c>
      <c r="AM453" s="1026">
        <f t="shared" si="1241"/>
        <v>1.0261865793780687</v>
      </c>
      <c r="AN453" s="1026">
        <f t="shared" si="1241"/>
        <v>1.0165016501650166</v>
      </c>
      <c r="AO453" s="1182">
        <f t="shared" si="1241"/>
        <v>1.028052805280528</v>
      </c>
      <c r="AP453" s="1026">
        <f t="shared" si="1241"/>
        <v>1.0147783251231528</v>
      </c>
      <c r="AQ453" s="1026">
        <f t="shared" si="1241"/>
        <v>1.0114942528735633</v>
      </c>
      <c r="AR453" s="1026">
        <f t="shared" si="1241"/>
        <v>1.0130718954248366</v>
      </c>
      <c r="AS453" s="1026">
        <f t="shared" si="1241"/>
        <v>1.0147058823529411</v>
      </c>
      <c r="AT453" s="1182">
        <f t="shared" si="1241"/>
        <v>1.0147058823529411</v>
      </c>
      <c r="AU453" s="1026">
        <f t="shared" si="1241"/>
        <v>1.0130081300813008</v>
      </c>
      <c r="AV453" s="1026">
        <f t="shared" si="1241"/>
        <v>1.0162074554294975</v>
      </c>
      <c r="AW453" s="1026">
        <f t="shared" si="1241"/>
        <v>1.0193861066235865</v>
      </c>
      <c r="AX453" s="1026">
        <f t="shared" si="1241"/>
        <v>1.0193548387096774</v>
      </c>
      <c r="AY453" s="1182">
        <f t="shared" si="1241"/>
        <v>1.017741935483871</v>
      </c>
      <c r="AZ453" s="1026">
        <f t="shared" si="1241"/>
        <v>1.0176565008025682</v>
      </c>
      <c r="BA453" s="1026">
        <f t="shared" si="1241"/>
        <v>1.015625</v>
      </c>
      <c r="BB453" s="1026">
        <f t="shared" si="1241"/>
        <v>1.0155875299760191</v>
      </c>
      <c r="BC453" s="1026">
        <f t="shared" si="1241"/>
        <v>1.0163607342378291</v>
      </c>
      <c r="BD453" s="1182">
        <f t="shared" si="1241"/>
        <v>1.0155626496408618</v>
      </c>
      <c r="BE453" s="1026">
        <f t="shared" si="1241"/>
        <v>1.0123801916932906</v>
      </c>
      <c r="BF453" s="1026">
        <f t="shared" si="1241"/>
        <v>1.0084371233427079</v>
      </c>
      <c r="BG453" s="1026">
        <f t="shared" si="1241"/>
        <v>1.0064829821717991</v>
      </c>
      <c r="BH453" s="1026">
        <f t="shared" si="1241"/>
        <v>1.005271695052717</v>
      </c>
      <c r="BI453" s="1182">
        <f t="shared" si="1241"/>
        <v>1.005271695052717</v>
      </c>
      <c r="BJ453" s="1026">
        <f t="shared" si="1241"/>
        <v>1.0080873433077233</v>
      </c>
      <c r="BK453" s="1026">
        <f t="shared" si="1241"/>
        <v>1.0105305791818551</v>
      </c>
      <c r="BL453" s="1026">
        <f t="shared" ref="BL453:BQ453" si="1242">(BL452+BL444)/BL444</f>
        <v>1.0105433901054339</v>
      </c>
      <c r="BM453" s="1026">
        <f t="shared" si="1242"/>
        <v>1.0097402597402598</v>
      </c>
      <c r="BN453" s="1182">
        <f t="shared" si="1242"/>
        <v>1.0097402597402598</v>
      </c>
      <c r="BO453" s="1026">
        <f t="shared" si="1242"/>
        <v>1.0109800732004881</v>
      </c>
      <c r="BP453" s="1026">
        <f t="shared" si="1242"/>
        <v>1.0109925901799528</v>
      </c>
      <c r="BQ453" s="1026">
        <f t="shared" si="1242"/>
        <v>1.0098335237473477</v>
      </c>
      <c r="BR453" s="1026">
        <f t="shared" ref="BR453:BX453" si="1243">(BR452+BR444)/BR444</f>
        <v>1.0088654655390774</v>
      </c>
      <c r="BS453" s="1182">
        <f t="shared" si="1243"/>
        <v>1.0088654655390774</v>
      </c>
      <c r="BT453" s="1026">
        <f t="shared" si="1243"/>
        <v>1.0069706412989996</v>
      </c>
      <c r="BU453" s="1026">
        <f t="shared" si="1243"/>
        <v>1.0068180884708589</v>
      </c>
      <c r="BV453" s="1026">
        <f t="shared" si="1243"/>
        <v>1.0064184324213126</v>
      </c>
      <c r="BW453" s="1026">
        <f t="shared" si="1243"/>
        <v>1.0052666227781435</v>
      </c>
      <c r="BX453" s="1182">
        <f t="shared" si="1243"/>
        <v>1.0052666227781435</v>
      </c>
      <c r="BY453" s="921">
        <f t="shared" ref="BY453" si="1244">(BY452+BY444)/BY444</f>
        <v>1.0043350811279468</v>
      </c>
      <c r="BZ453" s="1075">
        <v>1.0098335237473499</v>
      </c>
      <c r="CA453" s="1075">
        <v>1.0098335237473499</v>
      </c>
      <c r="CB453" s="1075">
        <v>1.0098335237473499</v>
      </c>
      <c r="CC453" s="1182">
        <f>(CC452+CC444)/CC444</f>
        <v>1.0098335237473499</v>
      </c>
      <c r="CD453" s="1075">
        <v>1.0098335237473499</v>
      </c>
      <c r="CE453" s="1075">
        <v>1.0098335237473499</v>
      </c>
      <c r="CF453" s="1075">
        <v>1.0098335237473499</v>
      </c>
      <c r="CG453" s="1075">
        <v>1.0098335237473499</v>
      </c>
      <c r="CH453" s="1182">
        <f>(CH452+CH444)/CH444</f>
        <v>1.0098335237473499</v>
      </c>
      <c r="CI453" s="1183">
        <v>1.0098335237473499</v>
      </c>
      <c r="CJ453" s="1183">
        <v>1.0098335237473499</v>
      </c>
      <c r="CK453" s="1183">
        <v>1.0098335237473499</v>
      </c>
      <c r="CL453" s="155"/>
    </row>
    <row r="454" spans="1:90" ht="15" hidden="1" customHeight="1" outlineLevel="1" x14ac:dyDescent="0.3">
      <c r="A454" s="605"/>
      <c r="B454" s="428"/>
      <c r="C454" s="1179"/>
      <c r="D454" s="1179"/>
      <c r="E454" s="1179"/>
      <c r="F454" s="1179"/>
      <c r="G454" s="638"/>
      <c r="H454" s="638"/>
      <c r="I454" s="638"/>
      <c r="J454" s="638"/>
      <c r="K454" s="1179"/>
      <c r="L454" s="638"/>
      <c r="M454" s="638"/>
      <c r="N454" s="638"/>
      <c r="O454" s="638"/>
      <c r="P454" s="1179"/>
      <c r="Q454" s="638"/>
      <c r="R454" s="638"/>
      <c r="S454" s="638"/>
      <c r="T454" s="638"/>
      <c r="U454" s="1179"/>
      <c r="V454" s="638"/>
      <c r="W454" s="638"/>
      <c r="X454" s="638"/>
      <c r="Y454" s="638"/>
      <c r="Z454" s="1179"/>
      <c r="AA454" s="638"/>
      <c r="AB454" s="638"/>
      <c r="AC454" s="638"/>
      <c r="AD454" s="638"/>
      <c r="AE454" s="1179"/>
      <c r="AF454" s="638"/>
      <c r="AG454" s="638"/>
      <c r="AH454" s="638"/>
      <c r="AI454" s="638"/>
      <c r="AJ454" s="1179"/>
      <c r="AK454" s="638"/>
      <c r="AL454" s="638"/>
      <c r="AM454" s="638"/>
      <c r="AN454" s="638"/>
      <c r="AO454" s="1179"/>
      <c r="AP454" s="638"/>
      <c r="AQ454" s="638"/>
      <c r="AR454" s="638"/>
      <c r="AS454" s="638"/>
      <c r="AT454" s="1179"/>
      <c r="AU454" s="638"/>
      <c r="AV454" s="638"/>
      <c r="AW454" s="638"/>
      <c r="AX454" s="638"/>
      <c r="AY454" s="1179"/>
      <c r="AZ454" s="638"/>
      <c r="BA454" s="638"/>
      <c r="BB454" s="638"/>
      <c r="BC454" s="638"/>
      <c r="BD454" s="1179"/>
      <c r="BE454" s="638"/>
      <c r="BF454" s="638"/>
      <c r="BG454" s="638"/>
      <c r="BH454" s="638"/>
      <c r="BI454" s="1179"/>
      <c r="BJ454" s="638"/>
      <c r="BK454" s="638"/>
      <c r="BL454" s="638"/>
      <c r="BM454" s="638"/>
      <c r="BN454" s="1179"/>
      <c r="BO454" s="638"/>
      <c r="BP454" s="638"/>
      <c r="BQ454" s="638"/>
      <c r="BR454" s="638"/>
      <c r="BS454" s="1179"/>
      <c r="BT454" s="638"/>
      <c r="BU454" s="638"/>
      <c r="BV454" s="638"/>
      <c r="BW454" s="638"/>
      <c r="BX454" s="1179"/>
      <c r="BY454" s="918"/>
      <c r="BZ454" s="638"/>
      <c r="CA454" s="638"/>
      <c r="CB454" s="638"/>
      <c r="CC454" s="1179"/>
      <c r="CD454" s="638"/>
      <c r="CE454" s="638"/>
      <c r="CF454" s="638"/>
      <c r="CG454" s="638"/>
      <c r="CH454" s="1179"/>
      <c r="CI454" s="1179"/>
      <c r="CJ454" s="1179"/>
      <c r="CK454" s="1179"/>
      <c r="CL454" s="155"/>
    </row>
    <row r="455" spans="1:90" s="227" customFormat="1" ht="15" hidden="1" customHeight="1" outlineLevel="1" x14ac:dyDescent="0.3">
      <c r="A455" s="636" t="s">
        <v>893</v>
      </c>
      <c r="B455" s="146"/>
      <c r="C455" s="1112">
        <f>C444+C452</f>
        <v>21538.430640000002</v>
      </c>
      <c r="D455" s="1112">
        <f>D444+D452</f>
        <v>22458.634040000001</v>
      </c>
      <c r="E455" s="1112">
        <f>E444+E452</f>
        <v>24082.508040000001</v>
      </c>
      <c r="F455" s="1112">
        <f>F444+F452</f>
        <v>24996.656480000005</v>
      </c>
      <c r="G455" s="68">
        <f t="shared" ref="G455:AN455" si="1245">G444+G452</f>
        <v>25094.983519999994</v>
      </c>
      <c r="H455" s="68">
        <f>H444+H452</f>
        <v>24910.816480000009</v>
      </c>
      <c r="I455" s="68">
        <f t="shared" si="1245"/>
        <v>25302.943519999993</v>
      </c>
      <c r="J455" s="68">
        <f t="shared" si="1245"/>
        <v>24744.205360000004</v>
      </c>
      <c r="K455" s="1112">
        <f t="shared" si="1245"/>
        <v>24895.565360000001</v>
      </c>
      <c r="L455" s="68">
        <f t="shared" si="1245"/>
        <v>24776.714639999998</v>
      </c>
      <c r="M455" s="68">
        <f t="shared" si="1245"/>
        <v>22414.525360000007</v>
      </c>
      <c r="N455" s="68">
        <f t="shared" si="1245"/>
        <v>24636.794639999986</v>
      </c>
      <c r="O455" s="68">
        <f t="shared" si="1245"/>
        <v>23074.789359999995</v>
      </c>
      <c r="P455" s="1112">
        <f t="shared" si="1245"/>
        <v>22984.829359999996</v>
      </c>
      <c r="Q455" s="68">
        <f t="shared" si="1245"/>
        <v>22440.130640000003</v>
      </c>
      <c r="R455" s="68">
        <f t="shared" si="1245"/>
        <v>23159.869359999997</v>
      </c>
      <c r="S455" s="68">
        <f t="shared" si="1245"/>
        <v>21600.130640000003</v>
      </c>
      <c r="T455" s="68">
        <f t="shared" si="1245"/>
        <v>22316.52</v>
      </c>
      <c r="U455" s="1112">
        <f t="shared" si="1245"/>
        <v>22236.52</v>
      </c>
      <c r="V455" s="68">
        <f t="shared" si="1245"/>
        <v>22883.48</v>
      </c>
      <c r="W455" s="68">
        <f t="shared" si="1245"/>
        <v>21756.52</v>
      </c>
      <c r="X455" s="68">
        <f t="shared" si="1245"/>
        <v>23123.48</v>
      </c>
      <c r="Y455" s="68">
        <f t="shared" si="1245"/>
        <v>23720</v>
      </c>
      <c r="Z455" s="1112">
        <f t="shared" si="1245"/>
        <v>22600</v>
      </c>
      <c r="AA455" s="68">
        <f t="shared" si="1245"/>
        <v>23800</v>
      </c>
      <c r="AB455" s="68">
        <f t="shared" si="1245"/>
        <v>25200</v>
      </c>
      <c r="AC455" s="68">
        <f t="shared" si="1245"/>
        <v>26320</v>
      </c>
      <c r="AD455" s="68">
        <f t="shared" si="1245"/>
        <v>27680</v>
      </c>
      <c r="AE455" s="1112">
        <f t="shared" si="1245"/>
        <v>27720</v>
      </c>
      <c r="AF455" s="68">
        <f t="shared" si="1245"/>
        <v>25920</v>
      </c>
      <c r="AG455" s="68">
        <f t="shared" si="1245"/>
        <v>25240</v>
      </c>
      <c r="AH455" s="68">
        <f t="shared" si="1245"/>
        <v>25440</v>
      </c>
      <c r="AI455" s="68">
        <f t="shared" si="1245"/>
        <v>25120</v>
      </c>
      <c r="AJ455" s="1112">
        <f t="shared" si="1245"/>
        <v>25560</v>
      </c>
      <c r="AK455" s="68">
        <f t="shared" si="1245"/>
        <v>25120</v>
      </c>
      <c r="AL455" s="68">
        <f t="shared" si="1245"/>
        <v>25080</v>
      </c>
      <c r="AM455" s="68">
        <f t="shared" si="1245"/>
        <v>25080</v>
      </c>
      <c r="AN455" s="68">
        <f t="shared" si="1245"/>
        <v>24640</v>
      </c>
      <c r="AO455" s="1112">
        <f t="shared" ref="AO455:BI455" si="1246">AO444+AO452</f>
        <v>24920</v>
      </c>
      <c r="AP455" s="68">
        <f t="shared" si="1246"/>
        <v>24720</v>
      </c>
      <c r="AQ455" s="68">
        <f t="shared" si="1246"/>
        <v>24640</v>
      </c>
      <c r="AR455" s="68">
        <f t="shared" si="1246"/>
        <v>24800</v>
      </c>
      <c r="AS455" s="68">
        <f t="shared" si="1246"/>
        <v>24840</v>
      </c>
      <c r="AT455" s="1112">
        <f t="shared" si="1246"/>
        <v>24840</v>
      </c>
      <c r="AU455" s="68">
        <f t="shared" si="1246"/>
        <v>24920</v>
      </c>
      <c r="AV455" s="68">
        <f t="shared" si="1246"/>
        <v>25080</v>
      </c>
      <c r="AW455" s="68">
        <f t="shared" si="1246"/>
        <v>25240</v>
      </c>
      <c r="AX455" s="68">
        <f t="shared" si="1246"/>
        <v>25280</v>
      </c>
      <c r="AY455" s="1112">
        <f t="shared" si="1246"/>
        <v>25240</v>
      </c>
      <c r="AZ455" s="68">
        <f t="shared" si="1246"/>
        <v>25360</v>
      </c>
      <c r="BA455" s="68">
        <f t="shared" si="1246"/>
        <v>25350</v>
      </c>
      <c r="BB455" s="68">
        <f t="shared" si="1246"/>
        <v>25410</v>
      </c>
      <c r="BC455" s="68">
        <f t="shared" si="1246"/>
        <v>25470</v>
      </c>
      <c r="BD455" s="1112">
        <f t="shared" si="1246"/>
        <v>25450</v>
      </c>
      <c r="BE455" s="68">
        <f t="shared" si="1246"/>
        <v>25350</v>
      </c>
      <c r="BF455" s="68">
        <f t="shared" si="1246"/>
        <v>25100</v>
      </c>
      <c r="BG455" s="68">
        <f t="shared" si="1246"/>
        <v>24840</v>
      </c>
      <c r="BH455" s="68">
        <f t="shared" si="1246"/>
        <v>24790</v>
      </c>
      <c r="BI455" s="1112">
        <f t="shared" si="1246"/>
        <v>24790</v>
      </c>
      <c r="BJ455" s="68">
        <f t="shared" ref="BJ455" si="1247">BJ444+BJ452</f>
        <v>24930</v>
      </c>
      <c r="BK455" s="68">
        <f t="shared" ref="BK455:BN455" si="1248">BK444+BK452</f>
        <v>24950</v>
      </c>
      <c r="BL455" s="68">
        <f t="shared" si="1248"/>
        <v>24920</v>
      </c>
      <c r="BM455" s="68">
        <f t="shared" si="1248"/>
        <v>24880</v>
      </c>
      <c r="BN455" s="1112">
        <f t="shared" si="1248"/>
        <v>24880</v>
      </c>
      <c r="BO455" s="68">
        <f t="shared" ref="BO455:CC455" si="1249">BO444+BO452</f>
        <v>24860</v>
      </c>
      <c r="BP455" s="68">
        <f t="shared" si="1249"/>
        <v>24832</v>
      </c>
      <c r="BQ455" s="68">
        <f t="shared" si="1249"/>
        <v>24749</v>
      </c>
      <c r="BR455" s="68">
        <f t="shared" si="1249"/>
        <v>24694</v>
      </c>
      <c r="BS455" s="1112">
        <f t="shared" si="1249"/>
        <v>24694</v>
      </c>
      <c r="BT455" s="68">
        <f t="shared" ref="BT455:CB455" si="1250">BT444+BT452</f>
        <v>24558</v>
      </c>
      <c r="BU455" s="68">
        <f t="shared" si="1250"/>
        <v>24513</v>
      </c>
      <c r="BV455" s="68">
        <f t="shared" si="1250"/>
        <v>24461</v>
      </c>
      <c r="BW455" s="68">
        <f t="shared" si="1250"/>
        <v>24432</v>
      </c>
      <c r="BX455" s="1112">
        <f t="shared" si="1250"/>
        <v>24432</v>
      </c>
      <c r="BY455" s="588">
        <f t="shared" ref="BY455" si="1251">BY444+BY452</f>
        <v>24326</v>
      </c>
      <c r="BZ455" s="68">
        <f t="shared" si="1250"/>
        <v>24459.177778684563</v>
      </c>
      <c r="CA455" s="68">
        <f t="shared" si="1250"/>
        <v>24459.177778684563</v>
      </c>
      <c r="CB455" s="68">
        <f t="shared" si="1250"/>
        <v>24459.177778684563</v>
      </c>
      <c r="CC455" s="1112">
        <f t="shared" si="1249"/>
        <v>24459.177778684563</v>
      </c>
      <c r="CD455" s="68">
        <f t="shared" ref="CD455:CK455" si="1252">CD444+CD452</f>
        <v>24459.177778684563</v>
      </c>
      <c r="CE455" s="68">
        <f t="shared" si="1252"/>
        <v>24459.177778684563</v>
      </c>
      <c r="CF455" s="68">
        <f t="shared" si="1252"/>
        <v>24459.177778684563</v>
      </c>
      <c r="CG455" s="68">
        <f t="shared" si="1252"/>
        <v>24459.177778684563</v>
      </c>
      <c r="CH455" s="1112">
        <f t="shared" si="1252"/>
        <v>24459.177778684563</v>
      </c>
      <c r="CI455" s="1112">
        <f t="shared" si="1252"/>
        <v>24459.177778684563</v>
      </c>
      <c r="CJ455" s="1112">
        <f t="shared" si="1252"/>
        <v>24459.177778684563</v>
      </c>
      <c r="CK455" s="1112">
        <f t="shared" si="1252"/>
        <v>24459.177778684563</v>
      </c>
      <c r="CL455" s="27"/>
    </row>
    <row r="456" spans="1:90" s="227" customFormat="1" ht="15" hidden="1" customHeight="1" outlineLevel="2" x14ac:dyDescent="0.3">
      <c r="A456" s="636"/>
      <c r="B456" s="146"/>
      <c r="C456" s="1112"/>
      <c r="D456" s="1112"/>
      <c r="E456" s="1112"/>
      <c r="F456" s="1112"/>
      <c r="G456" s="68"/>
      <c r="H456" s="68"/>
      <c r="I456" s="68"/>
      <c r="J456" s="68"/>
      <c r="K456" s="1112"/>
      <c r="L456" s="68"/>
      <c r="M456" s="68"/>
      <c r="N456" s="68"/>
      <c r="O456" s="68"/>
      <c r="P456" s="1112"/>
      <c r="Q456" s="68"/>
      <c r="R456" s="68"/>
      <c r="S456" s="68"/>
      <c r="T456" s="68"/>
      <c r="U456" s="1112"/>
      <c r="V456" s="68"/>
      <c r="W456" s="68"/>
      <c r="X456" s="68"/>
      <c r="Y456" s="68"/>
      <c r="Z456" s="1112"/>
      <c r="AA456" s="68"/>
      <c r="AB456" s="68"/>
      <c r="AC456" s="68"/>
      <c r="AD456" s="68"/>
      <c r="AE456" s="1112"/>
      <c r="AF456" s="68"/>
      <c r="AG456" s="68"/>
      <c r="AH456" s="68"/>
      <c r="AI456" s="68"/>
      <c r="AJ456" s="1112"/>
      <c r="AK456" s="68"/>
      <c r="AL456" s="68"/>
      <c r="AM456" s="68"/>
      <c r="AN456" s="68"/>
      <c r="AO456" s="1112"/>
      <c r="AP456" s="68"/>
      <c r="AQ456" s="68"/>
      <c r="AR456" s="68"/>
      <c r="AS456" s="68"/>
      <c r="AT456" s="1112"/>
      <c r="AU456" s="68"/>
      <c r="AV456" s="68"/>
      <c r="AW456" s="68"/>
      <c r="AX456" s="68"/>
      <c r="AY456" s="1112"/>
      <c r="AZ456" s="68"/>
      <c r="BA456" s="68"/>
      <c r="BB456" s="68"/>
      <c r="BC456" s="68"/>
      <c r="BD456" s="1112"/>
      <c r="BE456" s="68"/>
      <c r="BF456" s="68"/>
      <c r="BG456" s="68"/>
      <c r="BH456" s="68"/>
      <c r="BI456" s="1112"/>
      <c r="BJ456" s="68"/>
      <c r="BK456" s="68"/>
      <c r="BL456" s="68"/>
      <c r="BM456" s="68"/>
      <c r="BN456" s="1112"/>
      <c r="BO456" s="68"/>
      <c r="BP456" s="68"/>
      <c r="BQ456" s="68"/>
      <c r="BR456" s="68"/>
      <c r="BS456" s="1112"/>
      <c r="BT456" s="68"/>
      <c r="BU456" s="68"/>
      <c r="BV456" s="68"/>
      <c r="BW456" s="68"/>
      <c r="BX456" s="1112"/>
      <c r="BY456" s="588"/>
      <c r="BZ456" s="68"/>
      <c r="CA456" s="68"/>
      <c r="CB456" s="68"/>
      <c r="CC456" s="1112"/>
      <c r="CD456" s="68"/>
      <c r="CE456" s="68"/>
      <c r="CF456" s="68"/>
      <c r="CG456" s="68"/>
      <c r="CH456" s="1112"/>
      <c r="CI456" s="1112"/>
      <c r="CJ456" s="1112"/>
      <c r="CK456" s="1112"/>
      <c r="CL456" s="27"/>
    </row>
    <row r="457" spans="1:90" s="227" customFormat="1" ht="15" hidden="1" customHeight="1" outlineLevel="3" x14ac:dyDescent="0.3">
      <c r="A457" s="99" t="s">
        <v>894</v>
      </c>
      <c r="B457" s="146"/>
      <c r="C457" s="1113">
        <f>90.581073*(4)*(10)</f>
        <v>3623.2429200000001</v>
      </c>
      <c r="D457" s="1113">
        <f>97.45428*(4)*(10)</f>
        <v>3898.1711999999998</v>
      </c>
      <c r="E457" s="1113">
        <f>58.348422*(4)*(10)</f>
        <v>2333.9368800000002</v>
      </c>
      <c r="F457" s="1113">
        <f>44.001458*(4)*(10)</f>
        <v>1760.0583200000001</v>
      </c>
      <c r="G457" s="1055">
        <f>33.329*(4)*(10)</f>
        <v>1333.16</v>
      </c>
      <c r="H457" s="1055">
        <f>33.329*(4)*(10)</f>
        <v>1333.16</v>
      </c>
      <c r="I457" s="1055">
        <f>33.329*(4)*(10)</f>
        <v>1333.16</v>
      </c>
      <c r="J457" s="68">
        <f>K457</f>
        <v>1333.15904</v>
      </c>
      <c r="K457" s="1113">
        <f>33.328976*(4)*(10)</f>
        <v>1333.15904</v>
      </c>
      <c r="L457" s="1055">
        <f>32.995*(4)*(10)</f>
        <v>1319.8</v>
      </c>
      <c r="M457" s="1055">
        <f>32.995*(4)*(10)</f>
        <v>1319.8</v>
      </c>
      <c r="N457" s="1055">
        <f>32.995*(4)*(10)</f>
        <v>1319.8</v>
      </c>
      <c r="O457" s="68">
        <f>P457</f>
        <v>1319.8130000000001</v>
      </c>
      <c r="P457" s="1113">
        <f>32.995325*(4)*(10)</f>
        <v>1319.8130000000001</v>
      </c>
      <c r="Q457" s="1055">
        <f>32.504*(4)*(10)</f>
        <v>1300.1599999999999</v>
      </c>
      <c r="R457" s="1055">
        <f>32.504*(4)*(10)</f>
        <v>1300.1599999999999</v>
      </c>
      <c r="S457" s="1055">
        <f>32.504*(4)*(10)</f>
        <v>1300.1599999999999</v>
      </c>
      <c r="T457" s="68">
        <f>U457</f>
        <v>1300.1599999999999</v>
      </c>
      <c r="U457" s="1113">
        <f>32.504*(4)*(10)</f>
        <v>1300.1599999999999</v>
      </c>
      <c r="V457" s="1055">
        <f>21*(4)*(10)</f>
        <v>840</v>
      </c>
      <c r="W457" s="1055">
        <f>21*(4)*(10)</f>
        <v>840</v>
      </c>
      <c r="X457" s="1055">
        <f>21*(4)*(10)</f>
        <v>840</v>
      </c>
      <c r="Y457" s="68">
        <f>Z457</f>
        <v>840</v>
      </c>
      <c r="Z457" s="1113">
        <f>21*(4)*(10)</f>
        <v>840</v>
      </c>
      <c r="AA457" s="1055">
        <f>13*(4)*(10)</f>
        <v>520</v>
      </c>
      <c r="AB457" s="1055">
        <f>13*(4)*(10)</f>
        <v>520</v>
      </c>
      <c r="AC457" s="1055">
        <f>13*(4)*(10)</f>
        <v>520</v>
      </c>
      <c r="AD457" s="68">
        <f>AE457</f>
        <v>520</v>
      </c>
      <c r="AE457" s="1113">
        <f>13*(4)*(10)</f>
        <v>520</v>
      </c>
      <c r="AF457" s="1055">
        <f>7*(4)*(10)</f>
        <v>280</v>
      </c>
      <c r="AG457" s="1055">
        <f>7*(4)*(10)</f>
        <v>280</v>
      </c>
      <c r="AH457" s="1055">
        <f>7*(4)*(10)</f>
        <v>280</v>
      </c>
      <c r="AI457" s="68"/>
      <c r="AJ457" s="1112"/>
      <c r="AK457" s="68"/>
      <c r="AL457" s="68"/>
      <c r="AM457" s="68"/>
      <c r="AN457" s="68"/>
      <c r="AO457" s="1112"/>
      <c r="AP457" s="68"/>
      <c r="AQ457" s="68"/>
      <c r="AR457" s="68"/>
      <c r="AS457" s="68"/>
      <c r="AT457" s="1112"/>
      <c r="AU457" s="68"/>
      <c r="AV457" s="68"/>
      <c r="AW457" s="68"/>
      <c r="AX457" s="68"/>
      <c r="AY457" s="1112"/>
      <c r="AZ457" s="68"/>
      <c r="BA457" s="68"/>
      <c r="BB457" s="68"/>
      <c r="BC457" s="68"/>
      <c r="BD457" s="1112"/>
      <c r="BE457" s="68"/>
      <c r="BF457" s="68"/>
      <c r="BG457" s="68"/>
      <c r="BH457" s="68"/>
      <c r="BI457" s="1112"/>
      <c r="BJ457" s="68"/>
      <c r="BK457" s="68"/>
      <c r="BL457" s="68"/>
      <c r="BM457" s="68"/>
      <c r="BN457" s="1112"/>
      <c r="BO457" s="68"/>
      <c r="BP457" s="68"/>
      <c r="BQ457" s="68"/>
      <c r="BR457" s="68"/>
      <c r="BS457" s="1112"/>
      <c r="BT457" s="68"/>
      <c r="BU457" s="68"/>
      <c r="BV457" s="68"/>
      <c r="BW457" s="68"/>
      <c r="BX457" s="1112"/>
      <c r="BY457" s="588"/>
      <c r="BZ457" s="68"/>
      <c r="CA457" s="68"/>
      <c r="CB457" s="68"/>
      <c r="CC457" s="1112"/>
      <c r="CD457" s="68"/>
      <c r="CE457" s="68"/>
      <c r="CF457" s="68"/>
      <c r="CG457" s="68"/>
      <c r="CH457" s="1112"/>
      <c r="CI457" s="1112"/>
      <c r="CJ457" s="1112"/>
      <c r="CK457" s="1112"/>
      <c r="CL457" s="27"/>
    </row>
    <row r="458" spans="1:90" s="227" customFormat="1" ht="15" hidden="1" customHeight="1" outlineLevel="3" x14ac:dyDescent="0.3">
      <c r="A458" s="572" t="s">
        <v>895</v>
      </c>
      <c r="B458" s="146"/>
      <c r="C458" s="1113">
        <f>17.888695*(4)*(10)</f>
        <v>715.54779999999994</v>
      </c>
      <c r="D458" s="1113">
        <f>7.701396*(4)*(10)</f>
        <v>308.05583999999999</v>
      </c>
      <c r="E458" s="1113">
        <f>5.818966*(4)*(10)</f>
        <v>232.75863999999999</v>
      </c>
      <c r="F458" s="1113">
        <f>6.430778*(4)*(10)</f>
        <v>257.23112000000003</v>
      </c>
      <c r="G458" s="1055">
        <f>2.937*(4)*(10)</f>
        <v>117.47999999999999</v>
      </c>
      <c r="H458" s="1055">
        <f>3.603*(4)*(10)</f>
        <v>144.12</v>
      </c>
      <c r="I458" s="1055">
        <f>6.827*(4)*(10)</f>
        <v>273.08</v>
      </c>
      <c r="J458" s="68">
        <f>K458</f>
        <v>284.77276000000001</v>
      </c>
      <c r="K458" s="1113">
        <f>7.119319*(4)*(10)</f>
        <v>284.77276000000001</v>
      </c>
      <c r="L458" s="1055">
        <f>2.808*(4)*(10)</f>
        <v>112.32</v>
      </c>
      <c r="M458" s="1055">
        <f>3.28*(4)*(10)</f>
        <v>131.19999999999999</v>
      </c>
      <c r="N458" s="1055">
        <f>6.049*(4)*(10)</f>
        <v>241.96</v>
      </c>
      <c r="O458" s="68">
        <f>P458</f>
        <v>245.94688000000002</v>
      </c>
      <c r="P458" s="1113">
        <f>6.148672*(4)*(10)</f>
        <v>245.94688000000002</v>
      </c>
      <c r="Q458" s="1055">
        <f>0.008*(4)*(10)</f>
        <v>0.32</v>
      </c>
      <c r="R458" s="1055">
        <f>0.086*(4)*(10)</f>
        <v>3.4399999999999995</v>
      </c>
      <c r="S458" s="1055">
        <f>0.086*(4)*(10)</f>
        <v>3.4399999999999995</v>
      </c>
      <c r="T458" s="68"/>
      <c r="U458" s="1112"/>
      <c r="V458" s="68"/>
      <c r="W458" s="68"/>
      <c r="X458" s="68"/>
      <c r="Y458" s="68"/>
      <c r="Z458" s="1112"/>
      <c r="AA458" s="68"/>
      <c r="AB458" s="68"/>
      <c r="AC458" s="68"/>
      <c r="AD458" s="68"/>
      <c r="AE458" s="1112"/>
      <c r="AF458" s="68"/>
      <c r="AG458" s="68"/>
      <c r="AH458" s="68"/>
      <c r="AI458" s="68"/>
      <c r="AJ458" s="1112"/>
      <c r="AK458" s="68"/>
      <c r="AL458" s="68"/>
      <c r="AM458" s="68"/>
      <c r="AN458" s="68"/>
      <c r="AO458" s="1112"/>
      <c r="AP458" s="68"/>
      <c r="AQ458" s="68"/>
      <c r="AR458" s="68"/>
      <c r="AS458" s="68"/>
      <c r="AT458" s="1112"/>
      <c r="AU458" s="68"/>
      <c r="AV458" s="68"/>
      <c r="AW458" s="68"/>
      <c r="AX458" s="68"/>
      <c r="AY458" s="1112"/>
      <c r="AZ458" s="68"/>
      <c r="BA458" s="68"/>
      <c r="BB458" s="68"/>
      <c r="BC458" s="68"/>
      <c r="BD458" s="1112"/>
      <c r="BE458" s="68"/>
      <c r="BF458" s="68"/>
      <c r="BG458" s="68"/>
      <c r="BH458" s="68"/>
      <c r="BI458" s="1112"/>
      <c r="BJ458" s="68"/>
      <c r="BK458" s="68"/>
      <c r="BL458" s="68"/>
      <c r="BM458" s="68"/>
      <c r="BN458" s="1112"/>
      <c r="BO458" s="68"/>
      <c r="BP458" s="68"/>
      <c r="BQ458" s="68"/>
      <c r="BR458" s="68"/>
      <c r="BS458" s="1112"/>
      <c r="BT458" s="68"/>
      <c r="BU458" s="68"/>
      <c r="BV458" s="68"/>
      <c r="BW458" s="68"/>
      <c r="BX458" s="1112"/>
      <c r="BY458" s="588"/>
      <c r="BZ458" s="68"/>
      <c r="CA458" s="68"/>
      <c r="CB458" s="68"/>
      <c r="CC458" s="1112"/>
      <c r="CD458" s="68"/>
      <c r="CE458" s="68"/>
      <c r="CF458" s="68"/>
      <c r="CG458" s="68"/>
      <c r="CH458" s="1112"/>
      <c r="CI458" s="1112"/>
      <c r="CJ458" s="1112"/>
      <c r="CK458" s="1112"/>
      <c r="CL458" s="27"/>
    </row>
    <row r="459" spans="1:90" s="227" customFormat="1" ht="15" hidden="1" customHeight="1" outlineLevel="3" x14ac:dyDescent="0.3">
      <c r="A459" s="572" t="s">
        <v>896</v>
      </c>
      <c r="B459" s="146"/>
      <c r="C459" s="1113">
        <f>-7.670038*(4)*(10)</f>
        <v>-306.80151999999998</v>
      </c>
      <c r="D459" s="1113">
        <f>-17.099663*(4)*(10)</f>
        <v>-683.98651999999993</v>
      </c>
      <c r="E459" s="1113">
        <f>-18.287483*(4)*(10)</f>
        <v>-731.49932000000013</v>
      </c>
      <c r="F459" s="1113">
        <f>-15.515053*(4)*(10)</f>
        <v>-620.60212000000001</v>
      </c>
      <c r="G459" s="1055">
        <f>-2.015*(4)*(10)</f>
        <v>-80.600000000000009</v>
      </c>
      <c r="H459" s="1055">
        <f>-2.727*(4)*(10)</f>
        <v>-109.08</v>
      </c>
      <c r="I459" s="1055">
        <f>-3.348*(4)*(10)</f>
        <v>-133.91999999999999</v>
      </c>
      <c r="J459" s="68">
        <f>K459</f>
        <v>-145.8672</v>
      </c>
      <c r="K459" s="1113">
        <f>-3.64668*(4)*(10)</f>
        <v>-145.8672</v>
      </c>
      <c r="L459" s="1055">
        <f>-0.352*(4)*(10)</f>
        <v>-14.079999999999998</v>
      </c>
      <c r="M459" s="1055">
        <f>-1.176*(4)*(10)</f>
        <v>-47.04</v>
      </c>
      <c r="N459" s="1055">
        <f>-2.557*(4)*(10)</f>
        <v>-102.28</v>
      </c>
      <c r="O459" s="68">
        <f>P459</f>
        <v>-122.34120000000001</v>
      </c>
      <c r="P459" s="1113">
        <f>-3.05853*(4)*(10)</f>
        <v>-122.34120000000001</v>
      </c>
      <c r="Q459" s="1055">
        <f>-4.801*(4)*(10)</f>
        <v>-192.04000000000002</v>
      </c>
      <c r="R459" s="1055">
        <f>-6.291*(4)*(10)</f>
        <v>-251.64000000000001</v>
      </c>
      <c r="S459" s="1055">
        <f>-7.945*(4)*(10)</f>
        <v>-317.8</v>
      </c>
      <c r="T459" s="68">
        <f>U459</f>
        <v>-391.8</v>
      </c>
      <c r="U459" s="1113">
        <f>-9.795*(4)*(10)</f>
        <v>-391.8</v>
      </c>
      <c r="V459" s="1055">
        <f>-3*(4)*(10)</f>
        <v>-120</v>
      </c>
      <c r="W459" s="1055">
        <f>-4*(4)*(10)</f>
        <v>-160</v>
      </c>
      <c r="X459" s="1055">
        <f>-6*(4)*(10)</f>
        <v>-240</v>
      </c>
      <c r="Y459" s="68">
        <f>Z459</f>
        <v>-280</v>
      </c>
      <c r="Z459" s="1113">
        <f>-7*(4)*(10)</f>
        <v>-280</v>
      </c>
      <c r="AA459" s="1055">
        <f>-2*(4)*(10)</f>
        <v>-80</v>
      </c>
      <c r="AB459" s="1055">
        <f>-3*(4)*(10)</f>
        <v>-120</v>
      </c>
      <c r="AC459" s="1055">
        <f>-4*(4)*(10)</f>
        <v>-160</v>
      </c>
      <c r="AD459" s="68">
        <f>AE459</f>
        <v>-240</v>
      </c>
      <c r="AE459" s="1113">
        <f>-6*(4)*(10)</f>
        <v>-240</v>
      </c>
      <c r="AF459" s="1055">
        <f>-1*(4)*(10)</f>
        <v>-40</v>
      </c>
      <c r="AG459" s="1055">
        <f>-1*(4)*(10)</f>
        <v>-40</v>
      </c>
      <c r="AH459" s="1055">
        <f>-2*(4)*(10)</f>
        <v>-80</v>
      </c>
      <c r="AI459" s="68"/>
      <c r="AJ459" s="1112"/>
      <c r="AK459" s="68"/>
      <c r="AL459" s="68"/>
      <c r="AM459" s="68"/>
      <c r="AN459" s="68"/>
      <c r="AO459" s="1112"/>
      <c r="AP459" s="68"/>
      <c r="AQ459" s="68"/>
      <c r="AR459" s="68"/>
      <c r="AS459" s="68"/>
      <c r="AT459" s="1112"/>
      <c r="AU459" s="68"/>
      <c r="AV459" s="68"/>
      <c r="AW459" s="68"/>
      <c r="AX459" s="68"/>
      <c r="AY459" s="1112"/>
      <c r="AZ459" s="68"/>
      <c r="BA459" s="68"/>
      <c r="BB459" s="68"/>
      <c r="BC459" s="68"/>
      <c r="BD459" s="1112"/>
      <c r="BE459" s="68"/>
      <c r="BF459" s="68"/>
      <c r="BG459" s="68"/>
      <c r="BH459" s="68"/>
      <c r="BI459" s="1112"/>
      <c r="BJ459" s="68"/>
      <c r="BK459" s="68"/>
      <c r="BL459" s="68"/>
      <c r="BM459" s="68"/>
      <c r="BN459" s="1112"/>
      <c r="BO459" s="68"/>
      <c r="BP459" s="68"/>
      <c r="BQ459" s="68"/>
      <c r="BR459" s="68"/>
      <c r="BS459" s="1112"/>
      <c r="BT459" s="68"/>
      <c r="BU459" s="68"/>
      <c r="BV459" s="68"/>
      <c r="BW459" s="68"/>
      <c r="BX459" s="1112"/>
      <c r="BY459" s="588"/>
      <c r="BZ459" s="68"/>
      <c r="CA459" s="68"/>
      <c r="CB459" s="68"/>
      <c r="CC459" s="1112"/>
      <c r="CD459" s="68"/>
      <c r="CE459" s="68"/>
      <c r="CF459" s="68"/>
      <c r="CG459" s="68"/>
      <c r="CH459" s="1112"/>
      <c r="CI459" s="1112"/>
      <c r="CJ459" s="1112"/>
      <c r="CK459" s="1112"/>
      <c r="CL459" s="27"/>
    </row>
    <row r="460" spans="1:90" s="227" customFormat="1" ht="15" hidden="1" customHeight="1" outlineLevel="3" x14ac:dyDescent="0.3">
      <c r="A460" s="649" t="s">
        <v>897</v>
      </c>
      <c r="B460" s="149"/>
      <c r="C460" s="1133">
        <f>-3.34545*(4)*(10)</f>
        <v>-133.81800000000001</v>
      </c>
      <c r="D460" s="1133">
        <f>(-1.175541-28.53205)*(4)*(10)</f>
        <v>-1188.3036400000001</v>
      </c>
      <c r="E460" s="1133">
        <f>-1.878447*(4)*(10)</f>
        <v>-75.137879999999996</v>
      </c>
      <c r="F460" s="1133">
        <f>-1.588207*(4)*(10)</f>
        <v>-63.528279999999995</v>
      </c>
      <c r="G460" s="1062">
        <f>-1.521*(4)*(10)</f>
        <v>-60.839999999999996</v>
      </c>
      <c r="H460" s="1062">
        <f>-1.878*(4)*(10)</f>
        <v>-75.11999999999999</v>
      </c>
      <c r="I460" s="1062">
        <f>-3.396*(4)*(10)</f>
        <v>-135.84</v>
      </c>
      <c r="J460" s="109">
        <f>K460</f>
        <v>-152.2516</v>
      </c>
      <c r="K460" s="1133">
        <f>-3.80629*(4)*(10)</f>
        <v>-152.2516</v>
      </c>
      <c r="L460" s="1062">
        <f>-1.703*(4)*(10)</f>
        <v>-68.12</v>
      </c>
      <c r="M460" s="1062">
        <f>-2.408*(4)*(10)</f>
        <v>-96.32</v>
      </c>
      <c r="N460" s="1062">
        <f>-3.358*(4)*(10)</f>
        <v>-134.32</v>
      </c>
      <c r="O460" s="109">
        <f>P460</f>
        <v>-143.26223999999999</v>
      </c>
      <c r="P460" s="1133">
        <f>-3.581556*(4)*(10)</f>
        <v>-143.26223999999999</v>
      </c>
      <c r="Q460" s="1062">
        <f>-0.486*(4)*(10)</f>
        <v>-19.439999999999998</v>
      </c>
      <c r="R460" s="1062">
        <f>-0.942*(4)*(10)</f>
        <v>-37.68</v>
      </c>
      <c r="S460" s="1062">
        <f>-1.361*(4)*(10)</f>
        <v>-54.44</v>
      </c>
      <c r="T460" s="109">
        <f>U460</f>
        <v>-58</v>
      </c>
      <c r="U460" s="1133">
        <f>-1.45*(4)*(10)</f>
        <v>-58</v>
      </c>
      <c r="V460" s="109"/>
      <c r="W460" s="109"/>
      <c r="X460" s="109"/>
      <c r="Y460" s="109">
        <f>Z460</f>
        <v>-40</v>
      </c>
      <c r="Z460" s="1133">
        <f>-1*(4)*(10)</f>
        <v>-40</v>
      </c>
      <c r="AA460" s="109"/>
      <c r="AB460" s="109"/>
      <c r="AC460" s="109"/>
      <c r="AD460" s="109"/>
      <c r="AE460" s="1123"/>
      <c r="AF460" s="109"/>
      <c r="AG460" s="109"/>
      <c r="AH460" s="109"/>
      <c r="AI460" s="109"/>
      <c r="AJ460" s="1123"/>
      <c r="AK460" s="109"/>
      <c r="AL460" s="109"/>
      <c r="AM460" s="109"/>
      <c r="AN460" s="109"/>
      <c r="AO460" s="1123"/>
      <c r="AP460" s="109"/>
      <c r="AQ460" s="109"/>
      <c r="AR460" s="109"/>
      <c r="AS460" s="109"/>
      <c r="AT460" s="1123"/>
      <c r="AU460" s="109"/>
      <c r="AV460" s="109"/>
      <c r="AW460" s="109"/>
      <c r="AX460" s="109"/>
      <c r="AY460" s="1123"/>
      <c r="AZ460" s="109"/>
      <c r="BA460" s="109"/>
      <c r="BB460" s="109"/>
      <c r="BC460" s="109"/>
      <c r="BD460" s="1123"/>
      <c r="BE460" s="109"/>
      <c r="BF460" s="109"/>
      <c r="BG460" s="109"/>
      <c r="BH460" s="109"/>
      <c r="BI460" s="1123"/>
      <c r="BJ460" s="109"/>
      <c r="BK460" s="109"/>
      <c r="BL460" s="109"/>
      <c r="BM460" s="109"/>
      <c r="BN460" s="1123"/>
      <c r="BO460" s="109"/>
      <c r="BP460" s="109"/>
      <c r="BQ460" s="109"/>
      <c r="BR460" s="109"/>
      <c r="BS460" s="1123"/>
      <c r="BT460" s="109"/>
      <c r="BU460" s="109"/>
      <c r="BV460" s="109"/>
      <c r="BW460" s="109"/>
      <c r="BX460" s="1123"/>
      <c r="BY460" s="730"/>
      <c r="BZ460" s="109"/>
      <c r="CA460" s="109"/>
      <c r="CB460" s="109"/>
      <c r="CC460" s="1123"/>
      <c r="CD460" s="109"/>
      <c r="CE460" s="109"/>
      <c r="CF460" s="109"/>
      <c r="CG460" s="109"/>
      <c r="CH460" s="1123"/>
      <c r="CI460" s="1123"/>
      <c r="CJ460" s="1123"/>
      <c r="CK460" s="1123"/>
      <c r="CL460" s="27"/>
    </row>
    <row r="461" spans="1:90" s="227" customFormat="1" ht="15" hidden="1" customHeight="1" outlineLevel="3" x14ac:dyDescent="0.3">
      <c r="A461" s="99" t="s">
        <v>898</v>
      </c>
      <c r="B461" s="146"/>
      <c r="C461" s="1113">
        <f>97.45428*(4)*(10)</f>
        <v>3898.1711999999998</v>
      </c>
      <c r="D461" s="1113">
        <f>58.348422*(4)*(10)</f>
        <v>2333.9368800000002</v>
      </c>
      <c r="E461" s="1113">
        <f>44.001458*(4)*(10)</f>
        <v>1760.0583200000001</v>
      </c>
      <c r="F461" s="1113">
        <f>33.328976*(4)*(10)</f>
        <v>1333.15904</v>
      </c>
      <c r="G461" s="1055">
        <f>32.73*(4)*(10)</f>
        <v>1309.1999999999998</v>
      </c>
      <c r="H461" s="1055">
        <f>32.327*(4)*(10)</f>
        <v>1293.08</v>
      </c>
      <c r="I461" s="1055">
        <f>33.412*(4)*(10)</f>
        <v>1336.48</v>
      </c>
      <c r="J461" s="68">
        <f>K461</f>
        <v>1319.8130000000001</v>
      </c>
      <c r="K461" s="1113">
        <f>32.995325*(4)*(10)</f>
        <v>1319.8130000000001</v>
      </c>
      <c r="L461" s="1055">
        <f>33.748*(4)*(10)</f>
        <v>1349.9199999999998</v>
      </c>
      <c r="M461" s="1055">
        <f>32.691*(4)*(10)</f>
        <v>1307.6400000000001</v>
      </c>
      <c r="N461" s="1055">
        <f>33.129*(4)*(10)</f>
        <v>1325.1599999999999</v>
      </c>
      <c r="O461" s="68">
        <f>P461</f>
        <v>1300.1564400000002</v>
      </c>
      <c r="P461" s="1113">
        <f>32.503911*(4)*(10)</f>
        <v>1300.1564400000002</v>
      </c>
      <c r="Q461" s="1055">
        <f>27.225*(4)*(10)</f>
        <v>1089</v>
      </c>
      <c r="R461" s="1055">
        <f>25.357*(4)*(10)</f>
        <v>1014.28</v>
      </c>
      <c r="S461" s="1055">
        <f>23.284*(4)*(10)</f>
        <v>931.3599999999999</v>
      </c>
      <c r="T461" s="68">
        <f>U461</f>
        <v>840</v>
      </c>
      <c r="U461" s="1112">
        <f>V457</f>
        <v>840</v>
      </c>
      <c r="V461" s="1055">
        <f>18*(4)*(10)</f>
        <v>720</v>
      </c>
      <c r="W461" s="1055">
        <f>17*(4)*(10)</f>
        <v>680</v>
      </c>
      <c r="X461" s="1055">
        <f>15*(4)*(10)</f>
        <v>600</v>
      </c>
      <c r="Y461" s="68">
        <f>Z461</f>
        <v>520</v>
      </c>
      <c r="Z461" s="1113">
        <f>13*(4)*(10)</f>
        <v>520</v>
      </c>
      <c r="AA461" s="1055">
        <f>11*(4)*(10)</f>
        <v>440</v>
      </c>
      <c r="AB461" s="1055">
        <f>10*(4)*(10)</f>
        <v>400</v>
      </c>
      <c r="AC461" s="1055">
        <f>9*(4)*(10)</f>
        <v>360</v>
      </c>
      <c r="AD461" s="68">
        <f>AE461</f>
        <v>280</v>
      </c>
      <c r="AE461" s="1113">
        <f>7*(4)*(10)</f>
        <v>280</v>
      </c>
      <c r="AF461" s="1055">
        <f>6*(4)*(10)</f>
        <v>240</v>
      </c>
      <c r="AG461" s="1055">
        <f>6*(4)*(10)</f>
        <v>240</v>
      </c>
      <c r="AH461" s="1055">
        <f>5*(4)*(10)</f>
        <v>200</v>
      </c>
      <c r="AI461" s="68">
        <f>AJ461</f>
        <v>200</v>
      </c>
      <c r="AJ461" s="1113">
        <f>5*(4)*(10)</f>
        <v>200</v>
      </c>
      <c r="AK461" s="68"/>
      <c r="AL461" s="68"/>
      <c r="AM461" s="68"/>
      <c r="AN461" s="68"/>
      <c r="AO461" s="1112"/>
      <c r="AP461" s="68"/>
      <c r="AQ461" s="68"/>
      <c r="AR461" s="68"/>
      <c r="AS461" s="68"/>
      <c r="AT461" s="1112"/>
      <c r="AU461" s="68"/>
      <c r="AV461" s="68"/>
      <c r="AW461" s="68"/>
      <c r="AX461" s="68"/>
      <c r="AY461" s="1112"/>
      <c r="AZ461" s="68"/>
      <c r="BA461" s="68"/>
      <c r="BB461" s="68"/>
      <c r="BC461" s="68"/>
      <c r="BD461" s="1112"/>
      <c r="BE461" s="68"/>
      <c r="BF461" s="68"/>
      <c r="BG461" s="68"/>
      <c r="BH461" s="68"/>
      <c r="BI461" s="1112"/>
      <c r="BJ461" s="68"/>
      <c r="BK461" s="68"/>
      <c r="BL461" s="68"/>
      <c r="BM461" s="68"/>
      <c r="BN461" s="1112"/>
      <c r="BO461" s="68"/>
      <c r="BP461" s="68"/>
      <c r="BQ461" s="68"/>
      <c r="BR461" s="68"/>
      <c r="BS461" s="1112"/>
      <c r="BT461" s="68"/>
      <c r="BU461" s="68"/>
      <c r="BV461" s="68"/>
      <c r="BW461" s="68"/>
      <c r="BX461" s="1112"/>
      <c r="BY461" s="588"/>
      <c r="BZ461" s="68"/>
      <c r="CA461" s="68"/>
      <c r="CB461" s="68"/>
      <c r="CC461" s="1112"/>
      <c r="CD461" s="68"/>
      <c r="CE461" s="68"/>
      <c r="CF461" s="68"/>
      <c r="CG461" s="68"/>
      <c r="CH461" s="1112"/>
      <c r="CI461" s="1112"/>
      <c r="CJ461" s="1112"/>
      <c r="CK461" s="1112"/>
      <c r="CL461" s="27"/>
    </row>
    <row r="462" spans="1:90" s="227" customFormat="1" ht="15" hidden="1" customHeight="1" outlineLevel="3" x14ac:dyDescent="0.3">
      <c r="A462" s="636"/>
      <c r="B462" s="146"/>
      <c r="C462" s="1112"/>
      <c r="D462" s="1112"/>
      <c r="E462" s="1112"/>
      <c r="F462" s="1112"/>
      <c r="G462" s="68"/>
      <c r="H462" s="68"/>
      <c r="I462" s="68"/>
      <c r="J462" s="68"/>
      <c r="K462" s="1112"/>
      <c r="L462" s="68"/>
      <c r="M462" s="68"/>
      <c r="N462" s="68"/>
      <c r="O462" s="68"/>
      <c r="P462" s="1112"/>
      <c r="Q462" s="68"/>
      <c r="R462" s="68"/>
      <c r="S462" s="68"/>
      <c r="T462" s="68"/>
      <c r="U462" s="1112"/>
      <c r="V462" s="68"/>
      <c r="W462" s="68"/>
      <c r="X462" s="68"/>
      <c r="Y462" s="68"/>
      <c r="Z462" s="1112"/>
      <c r="AA462" s="68"/>
      <c r="AB462" s="68"/>
      <c r="AC462" s="68"/>
      <c r="AD462" s="68"/>
      <c r="AE462" s="1112"/>
      <c r="AF462" s="68"/>
      <c r="AG462" s="68"/>
      <c r="AH462" s="68"/>
      <c r="AI462" s="68"/>
      <c r="AJ462" s="1112"/>
      <c r="AK462" s="68"/>
      <c r="AL462" s="68"/>
      <c r="AM462" s="68"/>
      <c r="AN462" s="68"/>
      <c r="AO462" s="1112"/>
      <c r="AP462" s="68"/>
      <c r="AQ462" s="68"/>
      <c r="AR462" s="68"/>
      <c r="AS462" s="68"/>
      <c r="AT462" s="1112"/>
      <c r="AU462" s="68"/>
      <c r="AV462" s="68"/>
      <c r="AW462" s="68"/>
      <c r="AX462" s="68"/>
      <c r="AY462" s="1112"/>
      <c r="AZ462" s="68"/>
      <c r="BA462" s="68"/>
      <c r="BB462" s="68"/>
      <c r="BC462" s="68"/>
      <c r="BD462" s="1112"/>
      <c r="BE462" s="68"/>
      <c r="BF462" s="68"/>
      <c r="BG462" s="68"/>
      <c r="BH462" s="68"/>
      <c r="BI462" s="1112"/>
      <c r="BJ462" s="68"/>
      <c r="BK462" s="68"/>
      <c r="BL462" s="68"/>
      <c r="BM462" s="68"/>
      <c r="BN462" s="1112"/>
      <c r="BO462" s="68"/>
      <c r="BP462" s="68"/>
      <c r="BQ462" s="68"/>
      <c r="BR462" s="68"/>
      <c r="BS462" s="1112"/>
      <c r="BT462" s="68"/>
      <c r="BU462" s="68"/>
      <c r="BV462" s="68"/>
      <c r="BW462" s="68"/>
      <c r="BX462" s="1112"/>
      <c r="BY462" s="588"/>
      <c r="BZ462" s="68"/>
      <c r="CA462" s="68"/>
      <c r="CB462" s="68"/>
      <c r="CC462" s="1112"/>
      <c r="CD462" s="68"/>
      <c r="CE462" s="68"/>
      <c r="CF462" s="68"/>
      <c r="CG462" s="68"/>
      <c r="CH462" s="1112"/>
      <c r="CI462" s="1112"/>
      <c r="CJ462" s="1112"/>
      <c r="CK462" s="1112"/>
      <c r="CL462" s="27"/>
    </row>
    <row r="463" spans="1:90" s="227" customFormat="1" ht="15" hidden="1" customHeight="1" outlineLevel="3" x14ac:dyDescent="0.3">
      <c r="A463" s="99" t="s">
        <v>873</v>
      </c>
      <c r="B463" s="146"/>
      <c r="C463" s="1112">
        <f t="shared" ref="C463:F466" si="1253">C457</f>
        <v>3623.2429200000001</v>
      </c>
      <c r="D463" s="1112">
        <f t="shared" si="1253"/>
        <v>3898.1711999999998</v>
      </c>
      <c r="E463" s="1112">
        <f t="shared" si="1253"/>
        <v>2333.9368800000002</v>
      </c>
      <c r="F463" s="1112">
        <f t="shared" si="1253"/>
        <v>1760.0583200000001</v>
      </c>
      <c r="G463" s="68">
        <f>F467</f>
        <v>1333.15904</v>
      </c>
      <c r="H463" s="68">
        <f>G467</f>
        <v>1309.1990400000002</v>
      </c>
      <c r="I463" s="68">
        <f>H467</f>
        <v>1293.0790400000003</v>
      </c>
      <c r="J463" s="68">
        <f>I467</f>
        <v>1336.4790400000004</v>
      </c>
      <c r="K463" s="1112">
        <f>F467</f>
        <v>1333.15904</v>
      </c>
      <c r="L463" s="68">
        <f>K467</f>
        <v>1319.8130000000001</v>
      </c>
      <c r="M463" s="68">
        <f>L467</f>
        <v>1349.933</v>
      </c>
      <c r="N463" s="68">
        <f>M467</f>
        <v>1307.653</v>
      </c>
      <c r="O463" s="68">
        <f>N467</f>
        <v>1325.173</v>
      </c>
      <c r="P463" s="1112">
        <f>K467</f>
        <v>1319.8130000000001</v>
      </c>
      <c r="Q463" s="68">
        <f>P467</f>
        <v>1300.15644</v>
      </c>
      <c r="R463" s="68">
        <f>Q467</f>
        <v>1088.9964399999999</v>
      </c>
      <c r="S463" s="68">
        <f>R467</f>
        <v>1014.2764399999999</v>
      </c>
      <c r="T463" s="68">
        <f>S467</f>
        <v>931.35643999999991</v>
      </c>
      <c r="U463" s="1112">
        <f>P467</f>
        <v>1300.15644</v>
      </c>
      <c r="V463" s="68">
        <f>U467</f>
        <v>840</v>
      </c>
      <c r="W463" s="68">
        <f>V467</f>
        <v>720</v>
      </c>
      <c r="X463" s="68">
        <f>W467</f>
        <v>680</v>
      </c>
      <c r="Y463" s="68">
        <f>X467</f>
        <v>600</v>
      </c>
      <c r="Z463" s="1112">
        <f>U467</f>
        <v>840</v>
      </c>
      <c r="AA463" s="68">
        <f>Z467</f>
        <v>520</v>
      </c>
      <c r="AB463" s="68">
        <f>AA467</f>
        <v>440</v>
      </c>
      <c r="AC463" s="68">
        <f>AB467</f>
        <v>400</v>
      </c>
      <c r="AD463" s="68">
        <f>AC467</f>
        <v>360</v>
      </c>
      <c r="AE463" s="1112">
        <f>Z467</f>
        <v>520</v>
      </c>
      <c r="AF463" s="68">
        <f>AE467</f>
        <v>280</v>
      </c>
      <c r="AG463" s="68">
        <f>AF467</f>
        <v>240</v>
      </c>
      <c r="AH463" s="68">
        <f>AG467</f>
        <v>240</v>
      </c>
      <c r="AI463" s="68"/>
      <c r="AJ463" s="1112"/>
      <c r="AK463" s="68"/>
      <c r="AL463" s="68"/>
      <c r="AM463" s="68"/>
      <c r="AN463" s="68"/>
      <c r="AO463" s="1112"/>
      <c r="AP463" s="68"/>
      <c r="AQ463" s="68"/>
      <c r="AR463" s="68"/>
      <c r="AS463" s="68"/>
      <c r="AT463" s="1112"/>
      <c r="AU463" s="68"/>
      <c r="AV463" s="68"/>
      <c r="AW463" s="68"/>
      <c r="AX463" s="68"/>
      <c r="AY463" s="1112"/>
      <c r="AZ463" s="68"/>
      <c r="BA463" s="68"/>
      <c r="BB463" s="68"/>
      <c r="BC463" s="68"/>
      <c r="BD463" s="1112"/>
      <c r="BE463" s="68"/>
      <c r="BF463" s="68"/>
      <c r="BG463" s="68"/>
      <c r="BH463" s="68"/>
      <c r="BI463" s="1112"/>
      <c r="BJ463" s="68"/>
      <c r="BK463" s="68"/>
      <c r="BL463" s="68"/>
      <c r="BM463" s="68"/>
      <c r="BN463" s="1112"/>
      <c r="BO463" s="68"/>
      <c r="BP463" s="68"/>
      <c r="BQ463" s="68"/>
      <c r="BR463" s="68"/>
      <c r="BS463" s="1112"/>
      <c r="BT463" s="68"/>
      <c r="BU463" s="68"/>
      <c r="BV463" s="68"/>
      <c r="BW463" s="68"/>
      <c r="BX463" s="1112"/>
      <c r="BY463" s="588"/>
      <c r="BZ463" s="68"/>
      <c r="CA463" s="68"/>
      <c r="CB463" s="68"/>
      <c r="CC463" s="1112"/>
      <c r="CD463" s="68"/>
      <c r="CE463" s="68"/>
      <c r="CF463" s="68"/>
      <c r="CG463" s="68"/>
      <c r="CH463" s="1112"/>
      <c r="CI463" s="1112"/>
      <c r="CJ463" s="1112"/>
      <c r="CK463" s="1112"/>
      <c r="CL463" s="27"/>
    </row>
    <row r="464" spans="1:90" s="227" customFormat="1" ht="15" hidden="1" customHeight="1" outlineLevel="3" x14ac:dyDescent="0.3">
      <c r="A464" s="572" t="s">
        <v>874</v>
      </c>
      <c r="B464" s="146"/>
      <c r="C464" s="1112">
        <f t="shared" si="1253"/>
        <v>715.54779999999994</v>
      </c>
      <c r="D464" s="1112">
        <f t="shared" si="1253"/>
        <v>308.05583999999999</v>
      </c>
      <c r="E464" s="1112">
        <f t="shared" si="1253"/>
        <v>232.75863999999999</v>
      </c>
      <c r="F464" s="1112">
        <f t="shared" si="1253"/>
        <v>257.23112000000003</v>
      </c>
      <c r="G464" s="68">
        <f>G458</f>
        <v>117.47999999999999</v>
      </c>
      <c r="H464" s="68">
        <f>H458-G458</f>
        <v>26.640000000000015</v>
      </c>
      <c r="I464" s="68">
        <f>I458-H458</f>
        <v>128.95999999999998</v>
      </c>
      <c r="J464" s="68">
        <f>J458-I458</f>
        <v>11.692760000000021</v>
      </c>
      <c r="K464" s="1112">
        <f>SUM(G464,H464,I464,J464)</f>
        <v>284.77276000000001</v>
      </c>
      <c r="L464" s="68">
        <f>L458</f>
        <v>112.32</v>
      </c>
      <c r="M464" s="68">
        <f>M458-L458</f>
        <v>18.879999999999995</v>
      </c>
      <c r="N464" s="68">
        <f>N458-M458</f>
        <v>110.76000000000002</v>
      </c>
      <c r="O464" s="68">
        <f>O458-N458</f>
        <v>3.9868800000000135</v>
      </c>
      <c r="P464" s="1112">
        <f>SUM(L464,M464,N464,O464)</f>
        <v>245.94688000000002</v>
      </c>
      <c r="Q464" s="68">
        <f>Q458</f>
        <v>0.32</v>
      </c>
      <c r="R464" s="68">
        <f>R458-Q458</f>
        <v>3.1199999999999997</v>
      </c>
      <c r="S464" s="68">
        <f>S458-R458</f>
        <v>0</v>
      </c>
      <c r="T464" s="68">
        <f>T458-S458</f>
        <v>-3.4399999999999995</v>
      </c>
      <c r="U464" s="1112">
        <f>SUM(Q464,R464,S464,T464)</f>
        <v>0</v>
      </c>
      <c r="V464" s="68">
        <f>V458</f>
        <v>0</v>
      </c>
      <c r="W464" s="68">
        <f>W458-V458</f>
        <v>0</v>
      </c>
      <c r="X464" s="68">
        <f>X458-W458</f>
        <v>0</v>
      </c>
      <c r="Y464" s="68">
        <f>Y458-X458</f>
        <v>0</v>
      </c>
      <c r="Z464" s="1112">
        <f>SUM(V464,W464,X464,Y464)</f>
        <v>0</v>
      </c>
      <c r="AA464" s="68">
        <f>AA458</f>
        <v>0</v>
      </c>
      <c r="AB464" s="68">
        <f>AB458-AA458</f>
        <v>0</v>
      </c>
      <c r="AC464" s="68">
        <f>AC458-AB458</f>
        <v>0</v>
      </c>
      <c r="AD464" s="68">
        <f>AD458-AC458</f>
        <v>0</v>
      </c>
      <c r="AE464" s="1112">
        <f>SUM(AA464,AB464,AC464,AD464)</f>
        <v>0</v>
      </c>
      <c r="AF464" s="68">
        <f>AF458</f>
        <v>0</v>
      </c>
      <c r="AG464" s="68">
        <f>AG458-AF458</f>
        <v>0</v>
      </c>
      <c r="AH464" s="68">
        <f>AH458-AG458</f>
        <v>0</v>
      </c>
      <c r="AI464" s="68"/>
      <c r="AJ464" s="1112"/>
      <c r="AK464" s="68"/>
      <c r="AL464" s="68"/>
      <c r="AM464" s="68"/>
      <c r="AN464" s="68"/>
      <c r="AO464" s="1112"/>
      <c r="AP464" s="68"/>
      <c r="AQ464" s="68"/>
      <c r="AR464" s="68"/>
      <c r="AS464" s="68"/>
      <c r="AT464" s="1112"/>
      <c r="AU464" s="68"/>
      <c r="AV464" s="68"/>
      <c r="AW464" s="68"/>
      <c r="AX464" s="68"/>
      <c r="AY464" s="1112"/>
      <c r="AZ464" s="68"/>
      <c r="BA464" s="68"/>
      <c r="BB464" s="68"/>
      <c r="BC464" s="68"/>
      <c r="BD464" s="1112"/>
      <c r="BE464" s="68"/>
      <c r="BF464" s="68"/>
      <c r="BG464" s="68"/>
      <c r="BH464" s="68"/>
      <c r="BI464" s="1112"/>
      <c r="BJ464" s="68"/>
      <c r="BK464" s="68"/>
      <c r="BL464" s="68"/>
      <c r="BM464" s="68"/>
      <c r="BN464" s="1112"/>
      <c r="BO464" s="68"/>
      <c r="BP464" s="68"/>
      <c r="BQ464" s="68"/>
      <c r="BR464" s="68"/>
      <c r="BS464" s="1112"/>
      <c r="BT464" s="68"/>
      <c r="BU464" s="68"/>
      <c r="BV464" s="68"/>
      <c r="BW464" s="68"/>
      <c r="BX464" s="1112"/>
      <c r="BY464" s="588"/>
      <c r="BZ464" s="68"/>
      <c r="CA464" s="68"/>
      <c r="CB464" s="68"/>
      <c r="CC464" s="1112"/>
      <c r="CD464" s="68"/>
      <c r="CE464" s="68"/>
      <c r="CF464" s="68"/>
      <c r="CG464" s="68"/>
      <c r="CH464" s="1112"/>
      <c r="CI464" s="1112"/>
      <c r="CJ464" s="1112"/>
      <c r="CK464" s="1112"/>
      <c r="CL464" s="27"/>
    </row>
    <row r="465" spans="1:90" s="227" customFormat="1" ht="15" hidden="1" customHeight="1" outlineLevel="3" x14ac:dyDescent="0.3">
      <c r="A465" s="572" t="s">
        <v>875</v>
      </c>
      <c r="B465" s="146"/>
      <c r="C465" s="1112">
        <f t="shared" si="1253"/>
        <v>-306.80151999999998</v>
      </c>
      <c r="D465" s="1112">
        <f t="shared" si="1253"/>
        <v>-683.98651999999993</v>
      </c>
      <c r="E465" s="1112">
        <f t="shared" si="1253"/>
        <v>-731.49932000000013</v>
      </c>
      <c r="F465" s="1112">
        <f t="shared" si="1253"/>
        <v>-620.60212000000001</v>
      </c>
      <c r="G465" s="68">
        <f>G459</f>
        <v>-80.600000000000009</v>
      </c>
      <c r="H465" s="68">
        <f t="shared" ref="H465:I466" si="1254">H459-G459</f>
        <v>-28.47999999999999</v>
      </c>
      <c r="I465" s="68">
        <f t="shared" si="1254"/>
        <v>-24.839999999999989</v>
      </c>
      <c r="J465" s="68">
        <f t="shared" ref="J465" si="1255">J459-I459</f>
        <v>-11.947200000000009</v>
      </c>
      <c r="K465" s="1112">
        <f t="shared" ref="K465:K466" si="1256">SUM(G465,H465,I465,J465)</f>
        <v>-145.8672</v>
      </c>
      <c r="L465" s="68">
        <f>L459</f>
        <v>-14.079999999999998</v>
      </c>
      <c r="M465" s="68">
        <f t="shared" ref="M465:O466" si="1257">M459-L459</f>
        <v>-32.96</v>
      </c>
      <c r="N465" s="68">
        <f t="shared" si="1257"/>
        <v>-55.24</v>
      </c>
      <c r="O465" s="68">
        <f t="shared" si="1257"/>
        <v>-20.061200000000014</v>
      </c>
      <c r="P465" s="1112">
        <f t="shared" ref="P465:P466" si="1258">SUM(L465,M465,N465,O465)</f>
        <v>-122.34120000000001</v>
      </c>
      <c r="Q465" s="68">
        <f>Q459</f>
        <v>-192.04000000000002</v>
      </c>
      <c r="R465" s="68">
        <f t="shared" ref="R465:T466" si="1259">R459-Q459</f>
        <v>-59.599999999999994</v>
      </c>
      <c r="S465" s="68">
        <f t="shared" si="1259"/>
        <v>-66.16</v>
      </c>
      <c r="T465" s="68">
        <f t="shared" si="1259"/>
        <v>-74</v>
      </c>
      <c r="U465" s="1112">
        <f t="shared" ref="U465:U466" si="1260">SUM(Q465,R465,S465,T465)</f>
        <v>-391.8</v>
      </c>
      <c r="V465" s="68">
        <f>V459</f>
        <v>-120</v>
      </c>
      <c r="W465" s="68">
        <f t="shared" ref="W465:Y466" si="1261">W459-V459</f>
        <v>-40</v>
      </c>
      <c r="X465" s="68">
        <f t="shared" si="1261"/>
        <v>-80</v>
      </c>
      <c r="Y465" s="68">
        <f t="shared" si="1261"/>
        <v>-40</v>
      </c>
      <c r="Z465" s="1112">
        <f t="shared" ref="Z465:Z466" si="1262">SUM(V465,W465,X465,Y465)</f>
        <v>-280</v>
      </c>
      <c r="AA465" s="68">
        <f>AA459</f>
        <v>-80</v>
      </c>
      <c r="AB465" s="68">
        <f t="shared" ref="AB465:AD466" si="1263">AB459-AA459</f>
        <v>-40</v>
      </c>
      <c r="AC465" s="68">
        <f t="shared" si="1263"/>
        <v>-40</v>
      </c>
      <c r="AD465" s="68">
        <f t="shared" si="1263"/>
        <v>-80</v>
      </c>
      <c r="AE465" s="1112">
        <f t="shared" ref="AE465:AE466" si="1264">SUM(AA465,AB465,AC465,AD465)</f>
        <v>-240</v>
      </c>
      <c r="AF465" s="68">
        <f>AF459</f>
        <v>-40</v>
      </c>
      <c r="AG465" s="68">
        <f t="shared" ref="AG465:AH465" si="1265">AG459-AF459</f>
        <v>0</v>
      </c>
      <c r="AH465" s="68">
        <f t="shared" si="1265"/>
        <v>-40</v>
      </c>
      <c r="AI465" s="68"/>
      <c r="AJ465" s="1112"/>
      <c r="AK465" s="68"/>
      <c r="AL465" s="68"/>
      <c r="AM465" s="68"/>
      <c r="AN465" s="68"/>
      <c r="AO465" s="1112"/>
      <c r="AP465" s="68"/>
      <c r="AQ465" s="68"/>
      <c r="AR465" s="68"/>
      <c r="AS465" s="68"/>
      <c r="AT465" s="1112"/>
      <c r="AU465" s="68"/>
      <c r="AV465" s="68"/>
      <c r="AW465" s="68"/>
      <c r="AX465" s="68"/>
      <c r="AY465" s="1112"/>
      <c r="AZ465" s="68"/>
      <c r="BA465" s="68"/>
      <c r="BB465" s="68"/>
      <c r="BC465" s="68"/>
      <c r="BD465" s="1112"/>
      <c r="BE465" s="68"/>
      <c r="BF465" s="68"/>
      <c r="BG465" s="68"/>
      <c r="BH465" s="68"/>
      <c r="BI465" s="1112"/>
      <c r="BJ465" s="68"/>
      <c r="BK465" s="68"/>
      <c r="BL465" s="68"/>
      <c r="BM465" s="68"/>
      <c r="BN465" s="1112"/>
      <c r="BO465" s="68"/>
      <c r="BP465" s="68"/>
      <c r="BQ465" s="68"/>
      <c r="BR465" s="68"/>
      <c r="BS465" s="1112"/>
      <c r="BT465" s="68"/>
      <c r="BU465" s="68"/>
      <c r="BV465" s="68"/>
      <c r="BW465" s="68"/>
      <c r="BX465" s="1112"/>
      <c r="BY465" s="588"/>
      <c r="BZ465" s="68"/>
      <c r="CA465" s="68"/>
      <c r="CB465" s="68"/>
      <c r="CC465" s="1112"/>
      <c r="CD465" s="68"/>
      <c r="CE465" s="68"/>
      <c r="CF465" s="68"/>
      <c r="CG465" s="68"/>
      <c r="CH465" s="1112"/>
      <c r="CI465" s="1112"/>
      <c r="CJ465" s="1112"/>
      <c r="CK465" s="1112"/>
      <c r="CL465" s="27"/>
    </row>
    <row r="466" spans="1:90" s="227" customFormat="1" ht="15" hidden="1" customHeight="1" outlineLevel="3" x14ac:dyDescent="0.3">
      <c r="A466" s="649" t="s">
        <v>876</v>
      </c>
      <c r="B466" s="149"/>
      <c r="C466" s="1123">
        <f t="shared" si="1253"/>
        <v>-133.81800000000001</v>
      </c>
      <c r="D466" s="1123">
        <f t="shared" si="1253"/>
        <v>-1188.3036400000001</v>
      </c>
      <c r="E466" s="1123">
        <f t="shared" si="1253"/>
        <v>-75.137879999999996</v>
      </c>
      <c r="F466" s="1123">
        <f t="shared" si="1253"/>
        <v>-63.528279999999995</v>
      </c>
      <c r="G466" s="109">
        <f>G460</f>
        <v>-60.839999999999996</v>
      </c>
      <c r="H466" s="109">
        <f t="shared" si="1254"/>
        <v>-14.279999999999994</v>
      </c>
      <c r="I466" s="109">
        <f t="shared" si="1254"/>
        <v>-60.720000000000013</v>
      </c>
      <c r="J466" s="109">
        <f t="shared" ref="J466" si="1266">J460-I460</f>
        <v>-16.411599999999993</v>
      </c>
      <c r="K466" s="1123">
        <f t="shared" si="1256"/>
        <v>-152.2516</v>
      </c>
      <c r="L466" s="109">
        <f>L460</f>
        <v>-68.12</v>
      </c>
      <c r="M466" s="109">
        <f t="shared" ref="M466:N466" si="1267">M460-L460</f>
        <v>-28.199999999999989</v>
      </c>
      <c r="N466" s="109">
        <f t="shared" si="1267"/>
        <v>-38</v>
      </c>
      <c r="O466" s="109">
        <f t="shared" si="1257"/>
        <v>-8.9422399999999982</v>
      </c>
      <c r="P466" s="1123">
        <f t="shared" si="1258"/>
        <v>-143.26223999999999</v>
      </c>
      <c r="Q466" s="109">
        <f>Q460</f>
        <v>-19.439999999999998</v>
      </c>
      <c r="R466" s="109">
        <f t="shared" ref="R466:S466" si="1268">R460-Q460</f>
        <v>-18.240000000000002</v>
      </c>
      <c r="S466" s="109">
        <f t="shared" si="1268"/>
        <v>-16.759999999999998</v>
      </c>
      <c r="T466" s="109">
        <f t="shared" si="1259"/>
        <v>-3.5600000000000023</v>
      </c>
      <c r="U466" s="1123">
        <f t="shared" si="1260"/>
        <v>-58</v>
      </c>
      <c r="V466" s="109">
        <f>V460</f>
        <v>0</v>
      </c>
      <c r="W466" s="109">
        <f t="shared" ref="W466:X466" si="1269">W460-V460</f>
        <v>0</v>
      </c>
      <c r="X466" s="109">
        <f t="shared" si="1269"/>
        <v>0</v>
      </c>
      <c r="Y466" s="109">
        <f t="shared" si="1261"/>
        <v>-40</v>
      </c>
      <c r="Z466" s="1123">
        <f t="shared" si="1262"/>
        <v>-40</v>
      </c>
      <c r="AA466" s="109">
        <f>AA460</f>
        <v>0</v>
      </c>
      <c r="AB466" s="109">
        <f t="shared" ref="AB466:AC466" si="1270">AB460-AA460</f>
        <v>0</v>
      </c>
      <c r="AC466" s="109">
        <f t="shared" si="1270"/>
        <v>0</v>
      </c>
      <c r="AD466" s="109">
        <f t="shared" si="1263"/>
        <v>0</v>
      </c>
      <c r="AE466" s="1123">
        <f t="shared" si="1264"/>
        <v>0</v>
      </c>
      <c r="AF466" s="109">
        <f>AF460</f>
        <v>0</v>
      </c>
      <c r="AG466" s="109">
        <f t="shared" ref="AG466:AH466" si="1271">AG460-AF460</f>
        <v>0</v>
      </c>
      <c r="AH466" s="109">
        <f t="shared" si="1271"/>
        <v>0</v>
      </c>
      <c r="AI466" s="109"/>
      <c r="AJ466" s="1123"/>
      <c r="AK466" s="109"/>
      <c r="AL466" s="109"/>
      <c r="AM466" s="109"/>
      <c r="AN466" s="109"/>
      <c r="AO466" s="1123"/>
      <c r="AP466" s="109"/>
      <c r="AQ466" s="109"/>
      <c r="AR466" s="109"/>
      <c r="AS466" s="109"/>
      <c r="AT466" s="1123"/>
      <c r="AU466" s="109"/>
      <c r="AV466" s="109"/>
      <c r="AW466" s="109"/>
      <c r="AX466" s="109"/>
      <c r="AY466" s="1123"/>
      <c r="AZ466" s="109"/>
      <c r="BA466" s="109"/>
      <c r="BB466" s="109"/>
      <c r="BC466" s="109"/>
      <c r="BD466" s="1123"/>
      <c r="BE466" s="109"/>
      <c r="BF466" s="109"/>
      <c r="BG466" s="109"/>
      <c r="BH466" s="109"/>
      <c r="BI466" s="1123"/>
      <c r="BJ466" s="109"/>
      <c r="BK466" s="109"/>
      <c r="BL466" s="109"/>
      <c r="BM466" s="109"/>
      <c r="BN466" s="1123"/>
      <c r="BO466" s="109"/>
      <c r="BP466" s="109"/>
      <c r="BQ466" s="109"/>
      <c r="BR466" s="109"/>
      <c r="BS466" s="1123"/>
      <c r="BT466" s="109"/>
      <c r="BU466" s="109"/>
      <c r="BV466" s="109"/>
      <c r="BW466" s="109"/>
      <c r="BX466" s="1123"/>
      <c r="BY466" s="730"/>
      <c r="BZ466" s="109"/>
      <c r="CA466" s="109"/>
      <c r="CB466" s="109"/>
      <c r="CC466" s="1123"/>
      <c r="CD466" s="109"/>
      <c r="CE466" s="109"/>
      <c r="CF466" s="109"/>
      <c r="CG466" s="109"/>
      <c r="CH466" s="1123"/>
      <c r="CI466" s="1123"/>
      <c r="CJ466" s="1123"/>
      <c r="CK466" s="1123"/>
      <c r="CL466" s="27"/>
    </row>
    <row r="467" spans="1:90" s="227" customFormat="1" ht="15" hidden="1" customHeight="1" outlineLevel="2" collapsed="1" x14ac:dyDescent="0.3">
      <c r="A467" s="99" t="s">
        <v>877</v>
      </c>
      <c r="B467" s="146"/>
      <c r="C467" s="1112">
        <f t="shared" ref="C467:F467" si="1272">SUM(C463:C466)</f>
        <v>3898.1711999999998</v>
      </c>
      <c r="D467" s="1112">
        <f t="shared" si="1272"/>
        <v>2333.9368799999997</v>
      </c>
      <c r="E467" s="1112">
        <f t="shared" si="1272"/>
        <v>1760.0583200000001</v>
      </c>
      <c r="F467" s="1112">
        <f t="shared" si="1272"/>
        <v>1333.15904</v>
      </c>
      <c r="G467" s="68">
        <f t="shared" ref="G467:AH467" si="1273">SUM(G463:G466)</f>
        <v>1309.1990400000002</v>
      </c>
      <c r="H467" s="68">
        <f t="shared" si="1273"/>
        <v>1293.0790400000003</v>
      </c>
      <c r="I467" s="68">
        <f t="shared" si="1273"/>
        <v>1336.4790400000004</v>
      </c>
      <c r="J467" s="68">
        <f t="shared" si="1273"/>
        <v>1319.8130000000006</v>
      </c>
      <c r="K467" s="1112">
        <f t="shared" si="1273"/>
        <v>1319.8130000000001</v>
      </c>
      <c r="L467" s="68">
        <f t="shared" si="1273"/>
        <v>1349.933</v>
      </c>
      <c r="M467" s="68">
        <f t="shared" si="1273"/>
        <v>1307.653</v>
      </c>
      <c r="N467" s="68">
        <f t="shared" si="1273"/>
        <v>1325.173</v>
      </c>
      <c r="O467" s="68">
        <f t="shared" si="1273"/>
        <v>1300.1564399999997</v>
      </c>
      <c r="P467" s="1112">
        <f t="shared" si="1273"/>
        <v>1300.15644</v>
      </c>
      <c r="Q467" s="68">
        <f t="shared" si="1273"/>
        <v>1088.9964399999999</v>
      </c>
      <c r="R467" s="68">
        <f t="shared" si="1273"/>
        <v>1014.2764399999999</v>
      </c>
      <c r="S467" s="68">
        <f t="shared" si="1273"/>
        <v>931.35643999999991</v>
      </c>
      <c r="T467" s="68">
        <f t="shared" si="1273"/>
        <v>850.35643999999979</v>
      </c>
      <c r="U467" s="1112">
        <f>U461</f>
        <v>840</v>
      </c>
      <c r="V467" s="68">
        <f t="shared" si="1273"/>
        <v>720</v>
      </c>
      <c r="W467" s="68">
        <f t="shared" si="1273"/>
        <v>680</v>
      </c>
      <c r="X467" s="68">
        <f t="shared" si="1273"/>
        <v>600</v>
      </c>
      <c r="Y467" s="68">
        <f t="shared" si="1273"/>
        <v>520</v>
      </c>
      <c r="Z467" s="1112">
        <f t="shared" si="1273"/>
        <v>520</v>
      </c>
      <c r="AA467" s="68">
        <f t="shared" si="1273"/>
        <v>440</v>
      </c>
      <c r="AB467" s="68">
        <f t="shared" si="1273"/>
        <v>400</v>
      </c>
      <c r="AC467" s="68">
        <f t="shared" si="1273"/>
        <v>360</v>
      </c>
      <c r="AD467" s="68">
        <f t="shared" si="1273"/>
        <v>280</v>
      </c>
      <c r="AE467" s="1112">
        <f t="shared" si="1273"/>
        <v>280</v>
      </c>
      <c r="AF467" s="68">
        <f t="shared" si="1273"/>
        <v>240</v>
      </c>
      <c r="AG467" s="68">
        <f t="shared" si="1273"/>
        <v>240</v>
      </c>
      <c r="AH467" s="68">
        <f t="shared" si="1273"/>
        <v>200</v>
      </c>
      <c r="AI467" s="68">
        <f>AJ467</f>
        <v>200</v>
      </c>
      <c r="AJ467" s="1112">
        <f>AJ461</f>
        <v>200</v>
      </c>
      <c r="AK467" s="68"/>
      <c r="AL467" s="68"/>
      <c r="AM467" s="68"/>
      <c r="AN467" s="68"/>
      <c r="AO467" s="1112"/>
      <c r="AP467" s="68"/>
      <c r="AQ467" s="68"/>
      <c r="AR467" s="68"/>
      <c r="AS467" s="68"/>
      <c r="AT467" s="1112"/>
      <c r="AU467" s="68"/>
      <c r="AV467" s="68"/>
      <c r="AW467" s="68"/>
      <c r="AX467" s="68"/>
      <c r="AY467" s="1112"/>
      <c r="AZ467" s="68"/>
      <c r="BA467" s="68"/>
      <c r="BB467" s="68"/>
      <c r="BC467" s="68"/>
      <c r="BD467" s="1112"/>
      <c r="BE467" s="68"/>
      <c r="BF467" s="68"/>
      <c r="BG467" s="68"/>
      <c r="BH467" s="68"/>
      <c r="BI467" s="1112"/>
      <c r="BJ467" s="68"/>
      <c r="BK467" s="68"/>
      <c r="BL467" s="68"/>
      <c r="BM467" s="68"/>
      <c r="BN467" s="1112"/>
      <c r="BO467" s="68"/>
      <c r="BP467" s="68"/>
      <c r="BQ467" s="68"/>
      <c r="BR467" s="68"/>
      <c r="BS467" s="1112"/>
      <c r="BT467" s="68"/>
      <c r="BU467" s="68"/>
      <c r="BV467" s="68"/>
      <c r="BW467" s="68"/>
      <c r="BX467" s="1112"/>
      <c r="BY467" s="588"/>
      <c r="BZ467" s="68"/>
      <c r="CA467" s="68"/>
      <c r="CB467" s="68"/>
      <c r="CC467" s="1112"/>
      <c r="CD467" s="68"/>
      <c r="CE467" s="68"/>
      <c r="CF467" s="68"/>
      <c r="CG467" s="68"/>
      <c r="CH467" s="1112"/>
      <c r="CI467" s="1112"/>
      <c r="CJ467" s="1112"/>
      <c r="CK467" s="1112"/>
      <c r="CL467" s="27"/>
    </row>
    <row r="468" spans="1:90" ht="15" hidden="1" customHeight="1" outlineLevel="3" x14ac:dyDescent="0.3">
      <c r="A468" s="492"/>
      <c r="B468" s="428"/>
      <c r="C468" s="1136"/>
      <c r="D468" s="1136"/>
      <c r="E468" s="1136"/>
      <c r="F468" s="1136"/>
      <c r="G468" s="93"/>
      <c r="H468" s="93"/>
      <c r="I468" s="93"/>
      <c r="J468" s="93"/>
      <c r="K468" s="1136"/>
      <c r="L468" s="93"/>
      <c r="M468" s="93"/>
      <c r="N468" s="93"/>
      <c r="O468" s="93"/>
      <c r="P468" s="1136"/>
      <c r="Q468" s="93"/>
      <c r="R468" s="93"/>
      <c r="S468" s="93"/>
      <c r="T468" s="93"/>
      <c r="U468" s="1136"/>
      <c r="V468" s="93"/>
      <c r="W468" s="93"/>
      <c r="X468" s="93"/>
      <c r="Y468" s="93"/>
      <c r="Z468" s="1136"/>
      <c r="AA468" s="93"/>
      <c r="AB468" s="93"/>
      <c r="AC468" s="93"/>
      <c r="AD468" s="93"/>
      <c r="AE468" s="1136"/>
      <c r="AF468" s="93"/>
      <c r="AG468" s="93"/>
      <c r="AH468" s="93"/>
      <c r="AI468" s="93"/>
      <c r="AJ468" s="1136"/>
      <c r="AK468" s="93"/>
      <c r="AL468" s="93"/>
      <c r="AM468" s="93"/>
      <c r="AN468" s="93"/>
      <c r="AO468" s="1136"/>
      <c r="AP468" s="93"/>
      <c r="AQ468" s="93"/>
      <c r="AR468" s="93"/>
      <c r="AS468" s="93"/>
      <c r="AT468" s="1136"/>
      <c r="AU468" s="93"/>
      <c r="AV468" s="93"/>
      <c r="AW468" s="93"/>
      <c r="AX468" s="93"/>
      <c r="AY468" s="1136"/>
      <c r="AZ468" s="93"/>
      <c r="BA468" s="93"/>
      <c r="BB468" s="93"/>
      <c r="BC468" s="93"/>
      <c r="BD468" s="1136"/>
      <c r="BE468" s="93"/>
      <c r="BF468" s="93"/>
      <c r="BG468" s="93"/>
      <c r="BH468" s="93"/>
      <c r="BI468" s="1136"/>
      <c r="BJ468" s="93"/>
      <c r="BK468" s="93"/>
      <c r="BL468" s="93"/>
      <c r="BM468" s="93"/>
      <c r="BN468" s="1136"/>
      <c r="BO468" s="93"/>
      <c r="BP468" s="93"/>
      <c r="BQ468" s="93"/>
      <c r="BR468" s="93"/>
      <c r="BS468" s="1136"/>
      <c r="BT468" s="93"/>
      <c r="BU468" s="93"/>
      <c r="BV468" s="93"/>
      <c r="BW468" s="93"/>
      <c r="BX468" s="1136"/>
      <c r="BY468" s="522"/>
      <c r="BZ468" s="93"/>
      <c r="CA468" s="93"/>
      <c r="CB468" s="93"/>
      <c r="CC468" s="1136"/>
      <c r="CD468" s="93"/>
      <c r="CE468" s="93"/>
      <c r="CF468" s="93"/>
      <c r="CG468" s="93"/>
      <c r="CH468" s="1136"/>
      <c r="CI468" s="1136"/>
      <c r="CJ468" s="1136"/>
      <c r="CK468" s="1136"/>
      <c r="CL468" s="228"/>
    </row>
    <row r="469" spans="1:90" s="979" customFormat="1" ht="15" hidden="1" customHeight="1" outlineLevel="3" x14ac:dyDescent="0.3">
      <c r="A469" s="707" t="s">
        <v>899</v>
      </c>
      <c r="B469" s="453"/>
      <c r="C469" s="1184">
        <f>13.18*(1/4)*(1/10)</f>
        <v>0.32950000000000002</v>
      </c>
      <c r="D469" s="1184">
        <f>13.83*(1/4)*(1/10)</f>
        <v>0.34575</v>
      </c>
      <c r="E469" s="1184">
        <f>11.3*(1/4)*(1/10)</f>
        <v>0.28250000000000003</v>
      </c>
      <c r="F469" s="1184">
        <f>12.88*(1/4)*(1/10)</f>
        <v>0.32200000000000006</v>
      </c>
      <c r="G469" s="1076">
        <f>14.44*(1/4)*(1/10)</f>
        <v>0.36099999999999999</v>
      </c>
      <c r="H469" s="1076">
        <f>14.44*(1/4)*(1/10)</f>
        <v>0.36099999999999999</v>
      </c>
      <c r="I469" s="1076">
        <f>14.44*(1/4)*(1/10)</f>
        <v>0.36099999999999999</v>
      </c>
      <c r="J469" s="455">
        <f>K469</f>
        <v>0.36099999999999999</v>
      </c>
      <c r="K469" s="1184">
        <f>14.44*(1/4)*(1/10)</f>
        <v>0.36099999999999999</v>
      </c>
      <c r="L469" s="1076">
        <f>14.66*(1/4)*(1/10)</f>
        <v>0.36650000000000005</v>
      </c>
      <c r="M469" s="1076">
        <f>14.66*(1/4)*(1/10)</f>
        <v>0.36650000000000005</v>
      </c>
      <c r="N469" s="1076">
        <f>14.66*(1/4)*(1/10)</f>
        <v>0.36650000000000005</v>
      </c>
      <c r="O469" s="455">
        <f>P469</f>
        <v>0.36650000000000005</v>
      </c>
      <c r="P469" s="1184">
        <f>14.66*(1/4)*(1/10)</f>
        <v>0.36650000000000005</v>
      </c>
      <c r="Q469" s="1076">
        <f>14.22*(1/4)*(1/10)</f>
        <v>0.35550000000000004</v>
      </c>
      <c r="R469" s="1076">
        <f>14.22*(1/4)*(1/10)</f>
        <v>0.35550000000000004</v>
      </c>
      <c r="S469" s="1076">
        <f>14.22*(1/4)*(1/10)</f>
        <v>0.35550000000000004</v>
      </c>
      <c r="T469" s="455">
        <f>U469</f>
        <v>0.35550000000000004</v>
      </c>
      <c r="U469" s="1184">
        <f>14.22*(1/4)*(1/10)</f>
        <v>0.35550000000000004</v>
      </c>
      <c r="V469" s="1076">
        <f>14.61*(1/4)*(1/10)</f>
        <v>0.36525000000000002</v>
      </c>
      <c r="W469" s="1076">
        <f>14.61*(1/4)*(1/10)</f>
        <v>0.36525000000000002</v>
      </c>
      <c r="X469" s="1076">
        <f>14.61*(1/4)*(1/10)</f>
        <v>0.36525000000000002</v>
      </c>
      <c r="Y469" s="455">
        <f>Z469</f>
        <v>0.36525000000000002</v>
      </c>
      <c r="Z469" s="1184">
        <f>14.61*(1/4)*(1/10)</f>
        <v>0.36525000000000002</v>
      </c>
      <c r="AA469" s="1076">
        <f>14.49*(1/4)*(1/10)</f>
        <v>0.36225000000000002</v>
      </c>
      <c r="AB469" s="1076">
        <f>14.49*(1/4)*(1/10)</f>
        <v>0.36225000000000002</v>
      </c>
      <c r="AC469" s="1076">
        <f>14.49*(1/4)*(1/10)</f>
        <v>0.36225000000000002</v>
      </c>
      <c r="AD469" s="455">
        <f>AE469</f>
        <v>0.36225000000000002</v>
      </c>
      <c r="AE469" s="1184">
        <f>14.49*(1/4)*(1/10)</f>
        <v>0.36225000000000002</v>
      </c>
      <c r="AF469" s="1076">
        <f>14.47*(1/4)*(1/10)</f>
        <v>0.36175000000000002</v>
      </c>
      <c r="AG469" s="1076">
        <f>14.47*(1/4)*(1/10)</f>
        <v>0.36175000000000002</v>
      </c>
      <c r="AH469" s="1076">
        <f>14.47*(1/4)*(1/10)</f>
        <v>0.36175000000000002</v>
      </c>
      <c r="AI469" s="455"/>
      <c r="AJ469" s="1185"/>
      <c r="AK469" s="455"/>
      <c r="AL469" s="455"/>
      <c r="AM469" s="455"/>
      <c r="AN469" s="455"/>
      <c r="AO469" s="1185"/>
      <c r="AP469" s="455"/>
      <c r="AQ469" s="455"/>
      <c r="AR469" s="455"/>
      <c r="AS469" s="455"/>
      <c r="AT469" s="1185"/>
      <c r="AU469" s="455"/>
      <c r="AV469" s="455"/>
      <c r="AW469" s="455"/>
      <c r="AX469" s="455"/>
      <c r="AY469" s="1185"/>
      <c r="AZ469" s="455"/>
      <c r="BA469" s="455"/>
      <c r="BB469" s="455"/>
      <c r="BC469" s="455"/>
      <c r="BD469" s="1185"/>
      <c r="BE469" s="455"/>
      <c r="BF469" s="455"/>
      <c r="BG469" s="455"/>
      <c r="BH469" s="455"/>
      <c r="BI469" s="1185"/>
      <c r="BJ469" s="455"/>
      <c r="BK469" s="455"/>
      <c r="BL469" s="455"/>
      <c r="BM469" s="455"/>
      <c r="BN469" s="1185"/>
      <c r="BO469" s="455"/>
      <c r="BP469" s="455"/>
      <c r="BQ469" s="455"/>
      <c r="BR469" s="455"/>
      <c r="BS469" s="1185"/>
      <c r="BT469" s="455"/>
      <c r="BU469" s="455"/>
      <c r="BV469" s="455"/>
      <c r="BW469" s="455"/>
      <c r="BX469" s="1185"/>
      <c r="BY469" s="922"/>
      <c r="BZ469" s="455"/>
      <c r="CA469" s="455"/>
      <c r="CB469" s="455"/>
      <c r="CC469" s="1185"/>
      <c r="CD469" s="455"/>
      <c r="CE469" s="455"/>
      <c r="CF469" s="455"/>
      <c r="CG469" s="455"/>
      <c r="CH469" s="1185"/>
      <c r="CI469" s="1185"/>
      <c r="CJ469" s="1185"/>
      <c r="CK469" s="1185"/>
      <c r="CL469" s="458"/>
    </row>
    <row r="470" spans="1:90" s="979" customFormat="1" ht="15" hidden="1" customHeight="1" outlineLevel="3" x14ac:dyDescent="0.3">
      <c r="A470" s="708" t="s">
        <v>900</v>
      </c>
      <c r="B470" s="453"/>
      <c r="C470" s="1184">
        <f>8.03*(1/4)*(1/10)</f>
        <v>0.20074999999999998</v>
      </c>
      <c r="D470" s="1184">
        <f>11.51*(1/4)*(1/10)</f>
        <v>0.28775000000000001</v>
      </c>
      <c r="E470" s="1184">
        <f>13.79*(1/4)*(1/10)</f>
        <v>0.34475</v>
      </c>
      <c r="F470" s="1184">
        <f>16.18*(1/4)*(1/10)</f>
        <v>0.40450000000000003</v>
      </c>
      <c r="G470" s="1076">
        <f>14.54*(1/4)*(1/10)</f>
        <v>0.36349999999999999</v>
      </c>
      <c r="H470" s="1076">
        <f>14.14*(1/4)*(1/10)</f>
        <v>0.35350000000000004</v>
      </c>
      <c r="I470" s="1076">
        <f>13.94*(1/4)*(1/10)</f>
        <v>0.34850000000000003</v>
      </c>
      <c r="J470" s="455">
        <f>K470</f>
        <v>0.34700000000000003</v>
      </c>
      <c r="K470" s="1184">
        <f>13.88*(1/4)*(1/10)</f>
        <v>0.34700000000000003</v>
      </c>
      <c r="L470" s="1076">
        <f>12.62*(1/4)*(1/10)</f>
        <v>0.3155</v>
      </c>
      <c r="M470" s="1076">
        <f>12.9*(1/4)*(1/10)</f>
        <v>0.32250000000000001</v>
      </c>
      <c r="N470" s="1076">
        <f>14.29*(1/4)*(1/10)</f>
        <v>0.35725000000000001</v>
      </c>
      <c r="O470" s="455">
        <f>P470</f>
        <v>0.35750000000000004</v>
      </c>
      <c r="P470" s="1184">
        <f>14.3*(1/4)*(1/10)</f>
        <v>0.35750000000000004</v>
      </c>
      <c r="Q470" s="1076">
        <f>17.2*(1/4)*(1/10)</f>
        <v>0.43</v>
      </c>
      <c r="R470" s="1076">
        <f>18.66*(1/4)*(1/10)</f>
        <v>0.46650000000000003</v>
      </c>
      <c r="S470" s="1076">
        <f>18.66*(1/4)*(1/10)</f>
        <v>0.46650000000000003</v>
      </c>
      <c r="T470" s="455">
        <f>U470</f>
        <v>0.46875</v>
      </c>
      <c r="U470" s="1184">
        <f>18.75*(1/4)*(1/10)</f>
        <v>0.46875</v>
      </c>
      <c r="V470" s="455"/>
      <c r="W470" s="455"/>
      <c r="X470" s="455"/>
      <c r="Y470" s="455"/>
      <c r="Z470" s="1185"/>
      <c r="AA470" s="455"/>
      <c r="AB470" s="455"/>
      <c r="AC470" s="455"/>
      <c r="AD470" s="455"/>
      <c r="AE470" s="1185"/>
      <c r="AF470" s="455"/>
      <c r="AG470" s="455"/>
      <c r="AH470" s="455"/>
      <c r="AI470" s="455"/>
      <c r="AJ470" s="1185"/>
      <c r="AK470" s="455"/>
      <c r="AL470" s="455"/>
      <c r="AM470" s="455"/>
      <c r="AN470" s="455"/>
      <c r="AO470" s="1185"/>
      <c r="AP470" s="455"/>
      <c r="AQ470" s="455"/>
      <c r="AR470" s="455"/>
      <c r="AS470" s="455"/>
      <c r="AT470" s="1185"/>
      <c r="AU470" s="455"/>
      <c r="AV470" s="455"/>
      <c r="AW470" s="455"/>
      <c r="AX470" s="455"/>
      <c r="AY470" s="1185"/>
      <c r="AZ470" s="455"/>
      <c r="BA470" s="455"/>
      <c r="BB470" s="455"/>
      <c r="BC470" s="455"/>
      <c r="BD470" s="1185"/>
      <c r="BE470" s="455"/>
      <c r="BF470" s="455"/>
      <c r="BG470" s="455"/>
      <c r="BH470" s="455"/>
      <c r="BI470" s="1185"/>
      <c r="BJ470" s="455"/>
      <c r="BK470" s="455"/>
      <c r="BL470" s="455"/>
      <c r="BM470" s="455"/>
      <c r="BN470" s="1185"/>
      <c r="BO470" s="455"/>
      <c r="BP470" s="455"/>
      <c r="BQ470" s="455"/>
      <c r="BR470" s="455"/>
      <c r="BS470" s="1185"/>
      <c r="BT470" s="455"/>
      <c r="BU470" s="455"/>
      <c r="BV470" s="455"/>
      <c r="BW470" s="455"/>
      <c r="BX470" s="1185"/>
      <c r="BY470" s="922"/>
      <c r="BZ470" s="455"/>
      <c r="CA470" s="455"/>
      <c r="CB470" s="455"/>
      <c r="CC470" s="1185"/>
      <c r="CD470" s="455"/>
      <c r="CE470" s="455"/>
      <c r="CF470" s="455"/>
      <c r="CG470" s="455"/>
      <c r="CH470" s="1185"/>
      <c r="CI470" s="1185"/>
      <c r="CJ470" s="1185"/>
      <c r="CK470" s="1185"/>
      <c r="CL470" s="458"/>
    </row>
    <row r="471" spans="1:90" s="979" customFormat="1" ht="15" hidden="1" customHeight="1" outlineLevel="3" x14ac:dyDescent="0.3">
      <c r="A471" s="708" t="s">
        <v>901</v>
      </c>
      <c r="B471" s="453"/>
      <c r="C471" s="1184">
        <f>3.14*(1/4)*(1/10)</f>
        <v>7.8500000000000014E-2</v>
      </c>
      <c r="D471" s="1184">
        <f>5.74*(1/4)*(1/10)</f>
        <v>0.14350000000000002</v>
      </c>
      <c r="E471" s="1184">
        <f>8.16*(1/4)*(1/10)</f>
        <v>0.20400000000000001</v>
      </c>
      <c r="F471" s="1184">
        <f>10.7*(1/4)*(1/10)</f>
        <v>0.26750000000000002</v>
      </c>
      <c r="G471" s="1076">
        <f>9.72*(1/4)*(1/10)</f>
        <v>0.24300000000000002</v>
      </c>
      <c r="H471" s="1076">
        <f>9.13*(1/4)*(1/10)</f>
        <v>0.22825000000000004</v>
      </c>
      <c r="I471" s="1076">
        <f>8.79*(1/4)*(1/10)</f>
        <v>0.21975</v>
      </c>
      <c r="J471" s="455">
        <f>K471</f>
        <v>0.21650000000000003</v>
      </c>
      <c r="K471" s="1184">
        <f>8.66*(1/4)*(1/10)</f>
        <v>0.21650000000000003</v>
      </c>
      <c r="L471" s="1076">
        <f>8.41*(1/4)*(1/10)</f>
        <v>0.21025000000000002</v>
      </c>
      <c r="M471" s="1076">
        <f>9.57*(1/4)*(1/10)</f>
        <v>0.23925000000000002</v>
      </c>
      <c r="N471" s="1076">
        <f>10.15*(1/4)*(1/10)</f>
        <v>0.25375000000000003</v>
      </c>
      <c r="O471" s="455">
        <f>P471</f>
        <v>0.25650000000000001</v>
      </c>
      <c r="P471" s="1184">
        <f>10.26*(1/4)*(1/10)</f>
        <v>0.25650000000000001</v>
      </c>
      <c r="Q471" s="1076">
        <f>13.14*(1/4)*(1/10)</f>
        <v>0.32850000000000001</v>
      </c>
      <c r="R471" s="1076">
        <f>12.89*(1/4)*(1/10)</f>
        <v>0.32225000000000004</v>
      </c>
      <c r="S471" s="1076">
        <f>12.59*(1/4)*(1/10)</f>
        <v>0.31475000000000003</v>
      </c>
      <c r="T471" s="455">
        <f>U471</f>
        <v>0.31600000000000006</v>
      </c>
      <c r="U471" s="1184">
        <f>12.64*(1/4)*(1/10)</f>
        <v>0.31600000000000006</v>
      </c>
      <c r="V471" s="1076">
        <f>13.87*(1/4)*(1/10)</f>
        <v>0.34675</v>
      </c>
      <c r="W471" s="1076">
        <f>14.16*(1/4)*(1/10)</f>
        <v>0.35400000000000004</v>
      </c>
      <c r="X471" s="1076">
        <f>14.48*(1/4)*(1/10)</f>
        <v>0.36200000000000004</v>
      </c>
      <c r="Y471" s="455">
        <f>Z471</f>
        <v>0.36499999999999999</v>
      </c>
      <c r="Z471" s="1184">
        <f>14.6*(1/4)*(1/10)</f>
        <v>0.36499999999999999</v>
      </c>
      <c r="AA471" s="1076">
        <f>14.05*(1/4)*(1/10)</f>
        <v>0.35125000000000006</v>
      </c>
      <c r="AB471" s="1076">
        <f>14.26*(1/4)*(1/10)</f>
        <v>0.35650000000000004</v>
      </c>
      <c r="AC471" s="1076">
        <f>14.44*(1/4)*(1/10)</f>
        <v>0.36099999999999999</v>
      </c>
      <c r="AD471" s="455">
        <f>AE471</f>
        <v>0.36299999999999999</v>
      </c>
      <c r="AE471" s="1184">
        <f>14.52*(1/4)*(1/10)</f>
        <v>0.36299999999999999</v>
      </c>
      <c r="AF471" s="1076">
        <f>14.73*(1/4)*(1/10)</f>
        <v>0.36825000000000002</v>
      </c>
      <c r="AG471" s="1076">
        <f>14.51*(1/4)*(1/10)</f>
        <v>0.36275000000000002</v>
      </c>
      <c r="AH471" s="1076">
        <f>14.46*(1/4)*(1/10)</f>
        <v>0.36150000000000004</v>
      </c>
      <c r="AI471" s="455"/>
      <c r="AJ471" s="1185"/>
      <c r="AK471" s="455"/>
      <c r="AL471" s="455"/>
      <c r="AM471" s="455"/>
      <c r="AN471" s="455"/>
      <c r="AO471" s="1185"/>
      <c r="AP471" s="455"/>
      <c r="AQ471" s="455"/>
      <c r="AR471" s="455"/>
      <c r="AS471" s="455"/>
      <c r="AT471" s="1185"/>
      <c r="AU471" s="455"/>
      <c r="AV471" s="455"/>
      <c r="AW471" s="455"/>
      <c r="AX471" s="455"/>
      <c r="AY471" s="1185"/>
      <c r="AZ471" s="455"/>
      <c r="BA471" s="455"/>
      <c r="BB471" s="455"/>
      <c r="BC471" s="455"/>
      <c r="BD471" s="1185"/>
      <c r="BE471" s="455"/>
      <c r="BF471" s="455"/>
      <c r="BG471" s="455"/>
      <c r="BH471" s="455"/>
      <c r="BI471" s="1185"/>
      <c r="BJ471" s="455"/>
      <c r="BK471" s="455"/>
      <c r="BL471" s="455"/>
      <c r="BM471" s="455"/>
      <c r="BN471" s="1185"/>
      <c r="BO471" s="455"/>
      <c r="BP471" s="455"/>
      <c r="BQ471" s="455"/>
      <c r="BR471" s="455"/>
      <c r="BS471" s="1185"/>
      <c r="BT471" s="455"/>
      <c r="BU471" s="455"/>
      <c r="BV471" s="455"/>
      <c r="BW471" s="455"/>
      <c r="BX471" s="1185"/>
      <c r="BY471" s="922"/>
      <c r="BZ471" s="455"/>
      <c r="CA471" s="455"/>
      <c r="CB471" s="455"/>
      <c r="CC471" s="1185"/>
      <c r="CD471" s="455"/>
      <c r="CE471" s="455"/>
      <c r="CF471" s="455"/>
      <c r="CG471" s="455"/>
      <c r="CH471" s="1185"/>
      <c r="CI471" s="1185"/>
      <c r="CJ471" s="1185"/>
      <c r="CK471" s="1185"/>
      <c r="CL471" s="458"/>
    </row>
    <row r="472" spans="1:90" s="979" customFormat="1" ht="15" hidden="1" customHeight="1" outlineLevel="3" x14ac:dyDescent="0.3">
      <c r="A472" s="709" t="s">
        <v>902</v>
      </c>
      <c r="B472" s="710"/>
      <c r="C472" s="1186">
        <f>7.66*(1/4)*(1/10)</f>
        <v>0.1915</v>
      </c>
      <c r="D472" s="1186">
        <f>((12.9*1.175541+23.35*28.53205)/(1.175541+28.53205))*(1/4)*(1/10)</f>
        <v>0.57341223527683549</v>
      </c>
      <c r="E472" s="1186">
        <f>12.56*(1/4)*(1/10)</f>
        <v>0.31400000000000006</v>
      </c>
      <c r="F472" s="1186">
        <f>14.78*(1/4)*(1/10)</f>
        <v>0.3695</v>
      </c>
      <c r="G472" s="1077">
        <f>17.32*(1/4)*(1/10)</f>
        <v>0.43300000000000005</v>
      </c>
      <c r="H472" s="1077">
        <f>16.94*(1/4)*(1/10)</f>
        <v>0.42350000000000004</v>
      </c>
      <c r="I472" s="1077">
        <f>16.98*(1/4)*(1/10)</f>
        <v>0.42450000000000004</v>
      </c>
      <c r="J472" s="711">
        <f>K472</f>
        <v>0.42599999999999999</v>
      </c>
      <c r="K472" s="1186">
        <f>17.04*(1/4)*(1/10)</f>
        <v>0.42599999999999999</v>
      </c>
      <c r="L472" s="1077">
        <f>19.52*(1/4)*(1/10)</f>
        <v>0.48799999999999999</v>
      </c>
      <c r="M472" s="1077">
        <f>19.89*(1/4)*(1/10)</f>
        <v>0.49725000000000003</v>
      </c>
      <c r="N472" s="1077">
        <f>22.14*(1/4)*(1/10)</f>
        <v>0.55349999999999999</v>
      </c>
      <c r="O472" s="711">
        <f>P472</f>
        <v>0.54625000000000001</v>
      </c>
      <c r="P472" s="1186">
        <f>21.85*(1/4)*(1/10)</f>
        <v>0.54625000000000001</v>
      </c>
      <c r="Q472" s="1077">
        <f>20.31*(1/4)*(1/10)</f>
        <v>0.50775000000000003</v>
      </c>
      <c r="R472" s="1077">
        <f>18.89*(1/4)*(1/10)</f>
        <v>0.47225000000000006</v>
      </c>
      <c r="S472" s="1077">
        <f>19.49*(1/4)*(1/10)</f>
        <v>0.48724999999999996</v>
      </c>
      <c r="T472" s="711">
        <f>U472</f>
        <v>0.48175000000000001</v>
      </c>
      <c r="U472" s="1186">
        <f>19.27*(1/4)*(1/10)</f>
        <v>0.48175000000000001</v>
      </c>
      <c r="V472" s="711"/>
      <c r="W472" s="711"/>
      <c r="X472" s="711"/>
      <c r="Y472" s="711">
        <f>Z472</f>
        <v>0.43200000000000005</v>
      </c>
      <c r="Z472" s="1186">
        <f>17.28*(1/4)*(1/10)</f>
        <v>0.43200000000000005</v>
      </c>
      <c r="AA472" s="711"/>
      <c r="AB472" s="711"/>
      <c r="AC472" s="711"/>
      <c r="AD472" s="711"/>
      <c r="AE472" s="1187"/>
      <c r="AF472" s="711"/>
      <c r="AG472" s="711"/>
      <c r="AH472" s="711"/>
      <c r="AI472" s="711"/>
      <c r="AJ472" s="1187"/>
      <c r="AK472" s="711"/>
      <c r="AL472" s="711"/>
      <c r="AM472" s="711"/>
      <c r="AN472" s="711"/>
      <c r="AO472" s="1187"/>
      <c r="AP472" s="711"/>
      <c r="AQ472" s="711"/>
      <c r="AR472" s="711"/>
      <c r="AS472" s="711"/>
      <c r="AT472" s="1187"/>
      <c r="AU472" s="711"/>
      <c r="AV472" s="711"/>
      <c r="AW472" s="711"/>
      <c r="AX472" s="711"/>
      <c r="AY472" s="1187"/>
      <c r="AZ472" s="711"/>
      <c r="BA472" s="711"/>
      <c r="BB472" s="711"/>
      <c r="BC472" s="711"/>
      <c r="BD472" s="1187"/>
      <c r="BE472" s="711"/>
      <c r="BF472" s="711"/>
      <c r="BG472" s="711"/>
      <c r="BH472" s="711"/>
      <c r="BI472" s="1187"/>
      <c r="BJ472" s="711"/>
      <c r="BK472" s="711"/>
      <c r="BL472" s="711"/>
      <c r="BM472" s="711"/>
      <c r="BN472" s="1187"/>
      <c r="BO472" s="711"/>
      <c r="BP472" s="711"/>
      <c r="BQ472" s="711"/>
      <c r="BR472" s="711"/>
      <c r="BS472" s="1187"/>
      <c r="BT472" s="711"/>
      <c r="BU472" s="711"/>
      <c r="BV472" s="711"/>
      <c r="BW472" s="711"/>
      <c r="BX472" s="1187"/>
      <c r="BY472" s="923"/>
      <c r="BZ472" s="711"/>
      <c r="CA472" s="711"/>
      <c r="CB472" s="711"/>
      <c r="CC472" s="1187"/>
      <c r="CD472" s="711"/>
      <c r="CE472" s="711"/>
      <c r="CF472" s="711"/>
      <c r="CG472" s="711"/>
      <c r="CH472" s="1187"/>
      <c r="CI472" s="1187"/>
      <c r="CJ472" s="1187"/>
      <c r="CK472" s="1187"/>
      <c r="CL472" s="458"/>
    </row>
    <row r="473" spans="1:90" s="979" customFormat="1" ht="15" hidden="1" customHeight="1" outlineLevel="3" x14ac:dyDescent="0.3">
      <c r="A473" s="707" t="s">
        <v>903</v>
      </c>
      <c r="B473" s="453"/>
      <c r="C473" s="1184">
        <f>13.83*(1/4)*(1/10)</f>
        <v>0.34575</v>
      </c>
      <c r="D473" s="1184">
        <f>11.3*(1/4)*(1/10)</f>
        <v>0.28250000000000003</v>
      </c>
      <c r="E473" s="1184">
        <f>12.88*(1/4)*(1/10)</f>
        <v>0.32200000000000006</v>
      </c>
      <c r="F473" s="1184">
        <f>14.44*(1/4)*(1/10)</f>
        <v>0.36099999999999999</v>
      </c>
      <c r="G473" s="1076">
        <f>14.61*(1/4)*(1/10)</f>
        <v>0.36525000000000002</v>
      </c>
      <c r="H473" s="1076">
        <f>14.71*(1/4)*(1/10)</f>
        <v>0.36775000000000002</v>
      </c>
      <c r="I473" s="1076">
        <f>14.66*(1/4)*(1/10)</f>
        <v>0.36650000000000005</v>
      </c>
      <c r="J473" s="455">
        <f>K473</f>
        <v>0.36650000000000005</v>
      </c>
      <c r="K473" s="1184">
        <f>14.66*(1/4)*(1/10)</f>
        <v>0.36650000000000005</v>
      </c>
      <c r="L473" s="1076">
        <f>14.31*(1/4)*(1/10)</f>
        <v>0.35775000000000001</v>
      </c>
      <c r="M473" s="1076">
        <f>14.28*(1/4)*(1/10)</f>
        <v>0.35699999999999998</v>
      </c>
      <c r="N473" s="1076">
        <f>14.18*(1/4)*(1/10)</f>
        <v>0.35450000000000004</v>
      </c>
      <c r="O473" s="455">
        <f>P473</f>
        <v>0.35550000000000004</v>
      </c>
      <c r="P473" s="1184">
        <f>14.22*(1/4)*(1/10)</f>
        <v>0.35550000000000004</v>
      </c>
      <c r="Q473" s="1076">
        <f>14.3*(1/4)*(1/10)</f>
        <v>0.35750000000000004</v>
      </c>
      <c r="R473" s="1076">
        <f>14.39*(1/4)*(1/10)</f>
        <v>0.35975000000000001</v>
      </c>
      <c r="S473" s="1076">
        <f>14.48*(1/4)*(1/10)</f>
        <v>0.36200000000000004</v>
      </c>
      <c r="T473" s="455">
        <f>U473</f>
        <v>0.36525000000000002</v>
      </c>
      <c r="U473" s="1184">
        <f>14.61*(1/4)*(1/10)</f>
        <v>0.36525000000000002</v>
      </c>
      <c r="V473" s="1076">
        <f>14.63*(1/4)*(1/10)</f>
        <v>0.36575000000000002</v>
      </c>
      <c r="W473" s="1076">
        <f>14.61*(1/4)*(1/10)</f>
        <v>0.36525000000000002</v>
      </c>
      <c r="X473" s="1076">
        <f>14.55*(1/4)*(1/10)</f>
        <v>0.36375000000000002</v>
      </c>
      <c r="Y473" s="455">
        <f>Z473</f>
        <v>0.36225000000000002</v>
      </c>
      <c r="Z473" s="1184">
        <f>14.49*(1/4)*(1/10)</f>
        <v>0.36225000000000002</v>
      </c>
      <c r="AA473" s="1076">
        <f>14.57*(1/4)*(1/10)</f>
        <v>0.36425000000000002</v>
      </c>
      <c r="AB473" s="1076">
        <f>14.57*(1/4)*(1/10)</f>
        <v>0.36425000000000002</v>
      </c>
      <c r="AC473" s="1076">
        <f>14.52*(1/4)*(1/10)</f>
        <v>0.36299999999999999</v>
      </c>
      <c r="AD473" s="455">
        <f>AE473</f>
        <v>0.36175000000000002</v>
      </c>
      <c r="AE473" s="1184">
        <f>14.47*(1/4)*(1/10)</f>
        <v>0.36175000000000002</v>
      </c>
      <c r="AF473" s="1076">
        <f>14.43*(1/4)*(1/10)</f>
        <v>0.36075000000000002</v>
      </c>
      <c r="AG473" s="1076">
        <f>14.46*(1/4)*(1/10)</f>
        <v>0.36150000000000004</v>
      </c>
      <c r="AH473" s="1076">
        <f>14.47*(1/4)*(1/10)</f>
        <v>0.36175000000000002</v>
      </c>
      <c r="AI473" s="455">
        <f>AH473</f>
        <v>0.36175000000000002</v>
      </c>
      <c r="AJ473" s="1185">
        <f>AH473</f>
        <v>0.36175000000000002</v>
      </c>
      <c r="AK473" s="455"/>
      <c r="AL473" s="455"/>
      <c r="AM473" s="455"/>
      <c r="AN473" s="455"/>
      <c r="AO473" s="1185"/>
      <c r="AP473" s="455"/>
      <c r="AQ473" s="455"/>
      <c r="AR473" s="455"/>
      <c r="AS473" s="455"/>
      <c r="AT473" s="1185"/>
      <c r="AU473" s="455"/>
      <c r="AV473" s="455"/>
      <c r="AW473" s="455"/>
      <c r="AX473" s="455"/>
      <c r="AY473" s="1185"/>
      <c r="AZ473" s="455"/>
      <c r="BA473" s="455"/>
      <c r="BB473" s="455"/>
      <c r="BC473" s="455"/>
      <c r="BD473" s="1185"/>
      <c r="BE473" s="455"/>
      <c r="BF473" s="455"/>
      <c r="BG473" s="455"/>
      <c r="BH473" s="455"/>
      <c r="BI473" s="1185"/>
      <c r="BJ473" s="455"/>
      <c r="BK473" s="455"/>
      <c r="BL473" s="455"/>
      <c r="BM473" s="455"/>
      <c r="BN473" s="1185"/>
      <c r="BO473" s="455"/>
      <c r="BP473" s="455"/>
      <c r="BQ473" s="455"/>
      <c r="BR473" s="455"/>
      <c r="BS473" s="1185"/>
      <c r="BT473" s="455"/>
      <c r="BU473" s="455"/>
      <c r="BV473" s="455"/>
      <c r="BW473" s="455"/>
      <c r="BX473" s="1185"/>
      <c r="BY473" s="922"/>
      <c r="BZ473" s="455"/>
      <c r="CA473" s="455"/>
      <c r="CB473" s="455"/>
      <c r="CC473" s="1185"/>
      <c r="CD473" s="455"/>
      <c r="CE473" s="455"/>
      <c r="CF473" s="455"/>
      <c r="CG473" s="455"/>
      <c r="CH473" s="1185"/>
      <c r="CI473" s="1185"/>
      <c r="CJ473" s="1185"/>
      <c r="CK473" s="1185"/>
      <c r="CL473" s="458"/>
    </row>
    <row r="474" spans="1:90" ht="15" hidden="1" customHeight="1" outlineLevel="3" x14ac:dyDescent="0.3">
      <c r="A474" s="492"/>
      <c r="B474" s="428"/>
      <c r="C474" s="1136"/>
      <c r="D474" s="1136"/>
      <c r="E474" s="1136"/>
      <c r="F474" s="1136"/>
      <c r="G474" s="93"/>
      <c r="H474" s="93"/>
      <c r="I474" s="93"/>
      <c r="J474" s="93"/>
      <c r="K474" s="1136"/>
      <c r="L474" s="93"/>
      <c r="M474" s="93"/>
      <c r="N474" s="93"/>
      <c r="O474" s="93"/>
      <c r="P474" s="1136"/>
      <c r="Q474" s="93"/>
      <c r="R474" s="93"/>
      <c r="S474" s="93"/>
      <c r="T474" s="93"/>
      <c r="U474" s="1136"/>
      <c r="V474" s="93"/>
      <c r="W474" s="93"/>
      <c r="X474" s="93"/>
      <c r="Y474" s="93"/>
      <c r="Z474" s="1136"/>
      <c r="AA474" s="93"/>
      <c r="AB474" s="93"/>
      <c r="AC474" s="93"/>
      <c r="AD474" s="93"/>
      <c r="AE474" s="1136"/>
      <c r="AF474" s="93"/>
      <c r="AG474" s="93"/>
      <c r="AH474" s="93"/>
      <c r="AI474" s="93"/>
      <c r="AJ474" s="1136"/>
      <c r="AK474" s="93"/>
      <c r="AL474" s="93"/>
      <c r="AM474" s="93"/>
      <c r="AN474" s="93"/>
      <c r="AO474" s="1136"/>
      <c r="AP474" s="93"/>
      <c r="AQ474" s="93"/>
      <c r="AR474" s="93"/>
      <c r="AS474" s="93"/>
      <c r="AT474" s="1136"/>
      <c r="AU474" s="93"/>
      <c r="AV474" s="93"/>
      <c r="AW474" s="93"/>
      <c r="AX474" s="93"/>
      <c r="AY474" s="1136"/>
      <c r="AZ474" s="93"/>
      <c r="BA474" s="93"/>
      <c r="BB474" s="93"/>
      <c r="BC474" s="93"/>
      <c r="BD474" s="1136"/>
      <c r="BE474" s="93"/>
      <c r="BF474" s="93"/>
      <c r="BG474" s="93"/>
      <c r="BH474" s="93"/>
      <c r="BI474" s="1136"/>
      <c r="BJ474" s="93"/>
      <c r="BK474" s="93"/>
      <c r="BL474" s="93"/>
      <c r="BM474" s="93"/>
      <c r="BN474" s="1136"/>
      <c r="BO474" s="93"/>
      <c r="BP474" s="93"/>
      <c r="BQ474" s="93"/>
      <c r="BR474" s="93"/>
      <c r="BS474" s="1136"/>
      <c r="BT474" s="93"/>
      <c r="BU474" s="93"/>
      <c r="BV474" s="93"/>
      <c r="BW474" s="93"/>
      <c r="BX474" s="1136"/>
      <c r="BY474" s="522"/>
      <c r="BZ474" s="93"/>
      <c r="CA474" s="93"/>
      <c r="CB474" s="93"/>
      <c r="CC474" s="1136"/>
      <c r="CD474" s="93"/>
      <c r="CE474" s="93"/>
      <c r="CF474" s="93"/>
      <c r="CG474" s="93"/>
      <c r="CH474" s="1136"/>
      <c r="CI474" s="1136"/>
      <c r="CJ474" s="1136"/>
      <c r="CK474" s="1136"/>
      <c r="CL474" s="228"/>
    </row>
    <row r="475" spans="1:90" s="979" customFormat="1" ht="15" hidden="1" customHeight="1" outlineLevel="3" x14ac:dyDescent="0.3">
      <c r="A475" s="707" t="s">
        <v>878</v>
      </c>
      <c r="B475" s="453"/>
      <c r="C475" s="1185">
        <f t="shared" ref="C475:F479" si="1274">C469</f>
        <v>0.32950000000000002</v>
      </c>
      <c r="D475" s="1185">
        <f t="shared" si="1274"/>
        <v>0.34575</v>
      </c>
      <c r="E475" s="1185">
        <f t="shared" si="1274"/>
        <v>0.28250000000000003</v>
      </c>
      <c r="F475" s="1185">
        <f t="shared" si="1274"/>
        <v>0.32200000000000006</v>
      </c>
      <c r="G475" s="455">
        <f>F479</f>
        <v>0.36099999999999999</v>
      </c>
      <c r="H475" s="455">
        <f>G479</f>
        <v>0.36525000000000002</v>
      </c>
      <c r="I475" s="455">
        <f>H479</f>
        <v>0.36775000000000002</v>
      </c>
      <c r="J475" s="455">
        <f>I479</f>
        <v>0.36650000000000005</v>
      </c>
      <c r="K475" s="1185">
        <f t="shared" ref="K475" si="1275">K469</f>
        <v>0.36099999999999999</v>
      </c>
      <c r="L475" s="455">
        <f>K479</f>
        <v>0.36650000000000005</v>
      </c>
      <c r="M475" s="455">
        <f>L479</f>
        <v>0.35775000000000001</v>
      </c>
      <c r="N475" s="455">
        <f>M479</f>
        <v>0.35699999999999998</v>
      </c>
      <c r="O475" s="455">
        <f>N479</f>
        <v>0.35450000000000004</v>
      </c>
      <c r="P475" s="1185">
        <f t="shared" ref="P475:P478" si="1276">P469</f>
        <v>0.36650000000000005</v>
      </c>
      <c r="Q475" s="455">
        <f>P479</f>
        <v>0.35550000000000004</v>
      </c>
      <c r="R475" s="455">
        <f>Q479</f>
        <v>0.35750000000000004</v>
      </c>
      <c r="S475" s="455">
        <f>R479</f>
        <v>0.35975000000000001</v>
      </c>
      <c r="T475" s="455">
        <f>S479</f>
        <v>0.36200000000000004</v>
      </c>
      <c r="U475" s="1185">
        <f t="shared" ref="U475:U478" si="1277">U469</f>
        <v>0.35550000000000004</v>
      </c>
      <c r="V475" s="455">
        <f>U479</f>
        <v>0.36525000000000002</v>
      </c>
      <c r="W475" s="455">
        <f>V479</f>
        <v>0.36575000000000002</v>
      </c>
      <c r="X475" s="455">
        <f>W479</f>
        <v>0.36525000000000002</v>
      </c>
      <c r="Y475" s="455">
        <f>X479</f>
        <v>0.36375000000000002</v>
      </c>
      <c r="Z475" s="1185">
        <f t="shared" ref="Z475:Z478" si="1278">Z469</f>
        <v>0.36525000000000002</v>
      </c>
      <c r="AA475" s="455">
        <f>Z479</f>
        <v>0.36225000000000002</v>
      </c>
      <c r="AB475" s="455">
        <f>AA479</f>
        <v>0.36425000000000002</v>
      </c>
      <c r="AC475" s="455">
        <f>AB479</f>
        <v>0.36425000000000002</v>
      </c>
      <c r="AD475" s="455">
        <f>AC479</f>
        <v>0.36299999999999999</v>
      </c>
      <c r="AE475" s="1185">
        <f t="shared" ref="AE475:AE477" si="1279">AE469</f>
        <v>0.36225000000000002</v>
      </c>
      <c r="AF475" s="455">
        <f>AE479</f>
        <v>0.36175000000000002</v>
      </c>
      <c r="AG475" s="455">
        <f>AF479</f>
        <v>0.36075000000000002</v>
      </c>
      <c r="AH475" s="455">
        <f>AG479</f>
        <v>0.36150000000000004</v>
      </c>
      <c r="AI475" s="455">
        <f>AH479</f>
        <v>0.36175000000000002</v>
      </c>
      <c r="AJ475" s="1185"/>
      <c r="AK475" s="455"/>
      <c r="AL475" s="455"/>
      <c r="AM475" s="455"/>
      <c r="AN475" s="455"/>
      <c r="AO475" s="1185"/>
      <c r="AP475" s="455"/>
      <c r="AQ475" s="455"/>
      <c r="AR475" s="455"/>
      <c r="AS475" s="455"/>
      <c r="AT475" s="1185"/>
      <c r="AU475" s="455"/>
      <c r="AV475" s="455"/>
      <c r="AW475" s="455"/>
      <c r="AX475" s="455"/>
      <c r="AY475" s="1185"/>
      <c r="AZ475" s="455"/>
      <c r="BA475" s="455"/>
      <c r="BB475" s="455"/>
      <c r="BC475" s="455"/>
      <c r="BD475" s="1185"/>
      <c r="BE475" s="455"/>
      <c r="BF475" s="455"/>
      <c r="BG475" s="455"/>
      <c r="BH475" s="455"/>
      <c r="BI475" s="1185"/>
      <c r="BJ475" s="455"/>
      <c r="BK475" s="455"/>
      <c r="BL475" s="455"/>
      <c r="BM475" s="455"/>
      <c r="BN475" s="1185"/>
      <c r="BO475" s="455"/>
      <c r="BP475" s="455"/>
      <c r="BQ475" s="455"/>
      <c r="BR475" s="455"/>
      <c r="BS475" s="1185"/>
      <c r="BT475" s="455"/>
      <c r="BU475" s="455"/>
      <c r="BV475" s="455"/>
      <c r="BW475" s="455"/>
      <c r="BX475" s="1185"/>
      <c r="BY475" s="922"/>
      <c r="BZ475" s="455"/>
      <c r="CA475" s="455"/>
      <c r="CB475" s="455"/>
      <c r="CC475" s="1185"/>
      <c r="CD475" s="455"/>
      <c r="CE475" s="455"/>
      <c r="CF475" s="455"/>
      <c r="CG475" s="455"/>
      <c r="CH475" s="1185"/>
      <c r="CI475" s="1185"/>
      <c r="CJ475" s="1185"/>
      <c r="CK475" s="1185"/>
      <c r="CL475" s="458"/>
    </row>
    <row r="476" spans="1:90" s="979" customFormat="1" ht="15" hidden="1" customHeight="1" outlineLevel="3" x14ac:dyDescent="0.3">
      <c r="A476" s="708" t="s">
        <v>879</v>
      </c>
      <c r="B476" s="453"/>
      <c r="C476" s="1185">
        <f t="shared" si="1274"/>
        <v>0.20074999999999998</v>
      </c>
      <c r="D476" s="1185">
        <f t="shared" si="1274"/>
        <v>0.28775000000000001</v>
      </c>
      <c r="E476" s="1185">
        <f t="shared" si="1274"/>
        <v>0.34475</v>
      </c>
      <c r="F476" s="1185">
        <f t="shared" si="1274"/>
        <v>0.40450000000000003</v>
      </c>
      <c r="G476" s="455">
        <f>G470</f>
        <v>0.36349999999999999</v>
      </c>
      <c r="H476" s="455">
        <f t="shared" ref="H476:J478" si="1280">IFERROR((H458*H470-G458*G470)/H464,0)</f>
        <v>0.30940090090090105</v>
      </c>
      <c r="I476" s="455">
        <f t="shared" si="1280"/>
        <v>0.34291222084367246</v>
      </c>
      <c r="J476" s="455">
        <f t="shared" si="1280"/>
        <v>0.31196806570903685</v>
      </c>
      <c r="K476" s="1185">
        <f t="shared" ref="K476" si="1281">K470</f>
        <v>0.34700000000000003</v>
      </c>
      <c r="L476" s="455">
        <f>L470</f>
        <v>0.3155</v>
      </c>
      <c r="M476" s="455">
        <f t="shared" ref="M476:M478" si="1282">IFERROR((M458*M470-L458*L470)/M464,0)</f>
        <v>0.36414406779661018</v>
      </c>
      <c r="N476" s="455">
        <f t="shared" ref="N476:N478" si="1283">IFERROR((N458*N470-M458*M470)/N464,0)</f>
        <v>0.39841287468400144</v>
      </c>
      <c r="O476" s="455">
        <f t="shared" ref="O476:O478" si="1284">IFERROR((O458*O470-N458*N470)/O464,0)</f>
        <v>0.37267226502929662</v>
      </c>
      <c r="P476" s="1185">
        <f t="shared" si="1276"/>
        <v>0.35750000000000004</v>
      </c>
      <c r="Q476" s="455">
        <f>Q470</f>
        <v>0.43</v>
      </c>
      <c r="R476" s="455">
        <f t="shared" ref="R476:R478" si="1285">IFERROR((R458*R470-Q458*Q470)/R464,0)</f>
        <v>0.47024358974358982</v>
      </c>
      <c r="S476" s="455"/>
      <c r="T476" s="455">
        <f t="shared" ref="T476:T478" si="1286">IFERROR((T458*T470-S458*S470)/T464,0)</f>
        <v>0.46650000000000008</v>
      </c>
      <c r="U476" s="1185">
        <f t="shared" si="1277"/>
        <v>0.46875</v>
      </c>
      <c r="V476" s="455"/>
      <c r="W476" s="455"/>
      <c r="X476" s="455"/>
      <c r="Y476" s="455"/>
      <c r="Z476" s="1185"/>
      <c r="AA476" s="455"/>
      <c r="AB476" s="455"/>
      <c r="AC476" s="455"/>
      <c r="AD476" s="455"/>
      <c r="AE476" s="1185"/>
      <c r="AF476" s="455"/>
      <c r="AG476" s="455"/>
      <c r="AH476" s="455"/>
      <c r="AI476" s="455"/>
      <c r="AJ476" s="1185"/>
      <c r="AK476" s="455"/>
      <c r="AL476" s="455"/>
      <c r="AM476" s="455"/>
      <c r="AN476" s="455"/>
      <c r="AO476" s="1185"/>
      <c r="AP476" s="455"/>
      <c r="AQ476" s="455"/>
      <c r="AR476" s="455"/>
      <c r="AS476" s="455"/>
      <c r="AT476" s="1185"/>
      <c r="AU476" s="455"/>
      <c r="AV476" s="455"/>
      <c r="AW476" s="455"/>
      <c r="AX476" s="455"/>
      <c r="AY476" s="1185"/>
      <c r="AZ476" s="455"/>
      <c r="BA476" s="455"/>
      <c r="BB476" s="455"/>
      <c r="BC476" s="455"/>
      <c r="BD476" s="1185"/>
      <c r="BE476" s="455"/>
      <c r="BF476" s="455"/>
      <c r="BG476" s="455"/>
      <c r="BH476" s="455"/>
      <c r="BI476" s="1185"/>
      <c r="BJ476" s="455"/>
      <c r="BK476" s="455"/>
      <c r="BL476" s="455"/>
      <c r="BM476" s="455"/>
      <c r="BN476" s="1185"/>
      <c r="BO476" s="455"/>
      <c r="BP476" s="455"/>
      <c r="BQ476" s="455"/>
      <c r="BR476" s="455"/>
      <c r="BS476" s="1185"/>
      <c r="BT476" s="455"/>
      <c r="BU476" s="455"/>
      <c r="BV476" s="455"/>
      <c r="BW476" s="455"/>
      <c r="BX476" s="1185"/>
      <c r="BY476" s="922"/>
      <c r="BZ476" s="455"/>
      <c r="CA476" s="455"/>
      <c r="CB476" s="455"/>
      <c r="CC476" s="1185"/>
      <c r="CD476" s="455"/>
      <c r="CE476" s="455"/>
      <c r="CF476" s="455"/>
      <c r="CG476" s="455"/>
      <c r="CH476" s="1185"/>
      <c r="CI476" s="1185"/>
      <c r="CJ476" s="1185"/>
      <c r="CK476" s="1185"/>
      <c r="CL476" s="458"/>
    </row>
    <row r="477" spans="1:90" s="979" customFormat="1" ht="15" hidden="1" customHeight="1" outlineLevel="3" x14ac:dyDescent="0.3">
      <c r="A477" s="708" t="s">
        <v>880</v>
      </c>
      <c r="B477" s="453"/>
      <c r="C477" s="1185">
        <f t="shared" si="1274"/>
        <v>7.8500000000000014E-2</v>
      </c>
      <c r="D477" s="1185">
        <f t="shared" si="1274"/>
        <v>0.14350000000000002</v>
      </c>
      <c r="E477" s="1185">
        <f t="shared" si="1274"/>
        <v>0.20400000000000001</v>
      </c>
      <c r="F477" s="1185">
        <f t="shared" si="1274"/>
        <v>0.26750000000000002</v>
      </c>
      <c r="G477" s="455">
        <f>G471</f>
        <v>0.24300000000000002</v>
      </c>
      <c r="H477" s="455">
        <f t="shared" si="1280"/>
        <v>0.18650667134831472</v>
      </c>
      <c r="I477" s="455">
        <f t="shared" si="1280"/>
        <v>0.1824239130434781</v>
      </c>
      <c r="J477" s="455">
        <f t="shared" si="1280"/>
        <v>0.18006970670952219</v>
      </c>
      <c r="K477" s="1185">
        <f t="shared" ref="K477" si="1287">K471</f>
        <v>0.21650000000000003</v>
      </c>
      <c r="L477" s="455">
        <f>L471</f>
        <v>0.21025000000000002</v>
      </c>
      <c r="M477" s="455">
        <f t="shared" si="1282"/>
        <v>0.2516383495145631</v>
      </c>
      <c r="N477" s="455">
        <f t="shared" si="1283"/>
        <v>0.26609757422157865</v>
      </c>
      <c r="O477" s="455">
        <f t="shared" si="1284"/>
        <v>0.27052059697326164</v>
      </c>
      <c r="P477" s="1185">
        <f t="shared" si="1276"/>
        <v>0.25650000000000001</v>
      </c>
      <c r="Q477" s="455">
        <f>Q471</f>
        <v>0.32850000000000001</v>
      </c>
      <c r="R477" s="455">
        <f t="shared" si="1285"/>
        <v>0.30211157718120824</v>
      </c>
      <c r="S477" s="455">
        <f t="shared" ref="S477:S478" si="1288">IFERROR((S459*S471-R459*R471)/S465,0)</f>
        <v>0.28622370012091902</v>
      </c>
      <c r="T477" s="455">
        <f t="shared" si="1286"/>
        <v>0.32136824324324342</v>
      </c>
      <c r="U477" s="1185">
        <f t="shared" si="1277"/>
        <v>0.31600000000000006</v>
      </c>
      <c r="V477" s="455">
        <f>V471</f>
        <v>0.34675</v>
      </c>
      <c r="W477" s="455">
        <f t="shared" ref="W477" si="1289">IFERROR((W459*W471-V459*V471)/W465,0)</f>
        <v>0.37575000000000019</v>
      </c>
      <c r="X477" s="455">
        <f t="shared" ref="X477" si="1290">IFERROR((X459*X471-W459*W471)/X465,0)</f>
        <v>0.378</v>
      </c>
      <c r="Y477" s="455">
        <f t="shared" ref="Y477:Y478" si="1291">IFERROR((Y459*Y471-X459*X471)/Y465,0)</f>
        <v>0.38299999999999984</v>
      </c>
      <c r="Z477" s="1185">
        <f t="shared" si="1278"/>
        <v>0.36499999999999999</v>
      </c>
      <c r="AA477" s="455">
        <f>AA471</f>
        <v>0.35125000000000006</v>
      </c>
      <c r="AB477" s="455">
        <f t="shared" ref="AB477" si="1292">IFERROR((AB459*AB471-AA459*AA471)/AB465,0)</f>
        <v>0.36699999999999988</v>
      </c>
      <c r="AC477" s="455">
        <f t="shared" ref="AC477" si="1293">IFERROR((AC459*AC471-AB459*AB471)/AC465,0)</f>
        <v>0.37449999999999994</v>
      </c>
      <c r="AD477" s="455">
        <f t="shared" ref="AD477" si="1294">IFERROR((AD459*AD471-AC459*AC471)/AD465,0)</f>
        <v>0.3670000000000001</v>
      </c>
      <c r="AE477" s="1185">
        <f t="shared" si="1279"/>
        <v>0.36299999999999999</v>
      </c>
      <c r="AF477" s="455">
        <f>AF471</f>
        <v>0.36825000000000002</v>
      </c>
      <c r="AG477" s="455"/>
      <c r="AH477" s="455">
        <f t="shared" ref="AH477" si="1295">IFERROR((AH459*AH471-AG459*AG471)/AH465,0)</f>
        <v>0.36025000000000001</v>
      </c>
      <c r="AI477" s="455"/>
      <c r="AJ477" s="1185"/>
      <c r="AK477" s="455"/>
      <c r="AL477" s="455"/>
      <c r="AM477" s="455"/>
      <c r="AN477" s="455"/>
      <c r="AO477" s="1185"/>
      <c r="AP477" s="455"/>
      <c r="AQ477" s="455"/>
      <c r="AR477" s="455"/>
      <c r="AS477" s="455"/>
      <c r="AT477" s="1185"/>
      <c r="AU477" s="455"/>
      <c r="AV477" s="455"/>
      <c r="AW477" s="455"/>
      <c r="AX477" s="455"/>
      <c r="AY477" s="1185"/>
      <c r="AZ477" s="455"/>
      <c r="BA477" s="455"/>
      <c r="BB477" s="455"/>
      <c r="BC477" s="455"/>
      <c r="BD477" s="1185"/>
      <c r="BE477" s="455"/>
      <c r="BF477" s="455"/>
      <c r="BG477" s="455"/>
      <c r="BH477" s="455"/>
      <c r="BI477" s="1185"/>
      <c r="BJ477" s="455"/>
      <c r="BK477" s="455"/>
      <c r="BL477" s="455"/>
      <c r="BM477" s="455"/>
      <c r="BN477" s="1185"/>
      <c r="BO477" s="455"/>
      <c r="BP477" s="455"/>
      <c r="BQ477" s="455"/>
      <c r="BR477" s="455"/>
      <c r="BS477" s="1185"/>
      <c r="BT477" s="455"/>
      <c r="BU477" s="455"/>
      <c r="BV477" s="455"/>
      <c r="BW477" s="455"/>
      <c r="BX477" s="1185"/>
      <c r="BY477" s="922"/>
      <c r="BZ477" s="455"/>
      <c r="CA477" s="455"/>
      <c r="CB477" s="455"/>
      <c r="CC477" s="1185"/>
      <c r="CD477" s="455"/>
      <c r="CE477" s="455"/>
      <c r="CF477" s="455"/>
      <c r="CG477" s="455"/>
      <c r="CH477" s="1185"/>
      <c r="CI477" s="1185"/>
      <c r="CJ477" s="1185"/>
      <c r="CK477" s="1185"/>
      <c r="CL477" s="458"/>
    </row>
    <row r="478" spans="1:90" s="979" customFormat="1" ht="15" hidden="1" customHeight="1" outlineLevel="3" x14ac:dyDescent="0.3">
      <c r="A478" s="709" t="s">
        <v>881</v>
      </c>
      <c r="B478" s="710"/>
      <c r="C478" s="1187">
        <f t="shared" si="1274"/>
        <v>0.1915</v>
      </c>
      <c r="D478" s="1187">
        <f t="shared" si="1274"/>
        <v>0.57341223527683549</v>
      </c>
      <c r="E478" s="1187">
        <f t="shared" si="1274"/>
        <v>0.31400000000000006</v>
      </c>
      <c r="F478" s="1187">
        <f t="shared" si="1274"/>
        <v>0.3695</v>
      </c>
      <c r="G478" s="711">
        <f>G472</f>
        <v>0.43300000000000005</v>
      </c>
      <c r="H478" s="711">
        <f t="shared" si="1280"/>
        <v>0.38302521008403351</v>
      </c>
      <c r="I478" s="711">
        <f t="shared" si="1280"/>
        <v>0.42573715415019769</v>
      </c>
      <c r="J478" s="711">
        <f t="shared" si="1280"/>
        <v>0.43841560847205618</v>
      </c>
      <c r="K478" s="1187">
        <f t="shared" ref="K478" si="1296">K472</f>
        <v>0.42599999999999999</v>
      </c>
      <c r="L478" s="711">
        <f>L472</f>
        <v>0.48799999999999999</v>
      </c>
      <c r="M478" s="711">
        <f t="shared" si="1282"/>
        <v>0.51959432624113477</v>
      </c>
      <c r="N478" s="711">
        <f t="shared" si="1283"/>
        <v>0.69607894736842102</v>
      </c>
      <c r="O478" s="711">
        <f t="shared" si="1284"/>
        <v>0.43734887455492188</v>
      </c>
      <c r="P478" s="1187">
        <f t="shared" si="1276"/>
        <v>0.54625000000000001</v>
      </c>
      <c r="Q478" s="711">
        <f>Q472</f>
        <v>0.50775000000000003</v>
      </c>
      <c r="R478" s="711">
        <f t="shared" si="1285"/>
        <v>0.43441447368421054</v>
      </c>
      <c r="S478" s="711">
        <f t="shared" si="1288"/>
        <v>0.52097315035799507</v>
      </c>
      <c r="T478" s="711">
        <f t="shared" si="1286"/>
        <v>0.39764325842696729</v>
      </c>
      <c r="U478" s="1187">
        <f t="shared" si="1277"/>
        <v>0.48175000000000001</v>
      </c>
      <c r="V478" s="711"/>
      <c r="W478" s="711"/>
      <c r="X478" s="711"/>
      <c r="Y478" s="711">
        <f t="shared" si="1291"/>
        <v>0.43200000000000005</v>
      </c>
      <c r="Z478" s="1187">
        <f t="shared" si="1278"/>
        <v>0.43200000000000005</v>
      </c>
      <c r="AA478" s="711"/>
      <c r="AB478" s="711"/>
      <c r="AC478" s="711"/>
      <c r="AD478" s="711"/>
      <c r="AE478" s="1187"/>
      <c r="AF478" s="711"/>
      <c r="AG478" s="711"/>
      <c r="AH478" s="711"/>
      <c r="AI478" s="711"/>
      <c r="AJ478" s="1187"/>
      <c r="AK478" s="711"/>
      <c r="AL478" s="711"/>
      <c r="AM478" s="711"/>
      <c r="AN478" s="711"/>
      <c r="AO478" s="1187"/>
      <c r="AP478" s="711"/>
      <c r="AQ478" s="711"/>
      <c r="AR478" s="711"/>
      <c r="AS478" s="711"/>
      <c r="AT478" s="1187"/>
      <c r="AU478" s="711"/>
      <c r="AV478" s="711"/>
      <c r="AW478" s="711"/>
      <c r="AX478" s="711"/>
      <c r="AY478" s="1187"/>
      <c r="AZ478" s="711"/>
      <c r="BA478" s="711"/>
      <c r="BB478" s="711"/>
      <c r="BC478" s="711"/>
      <c r="BD478" s="1187"/>
      <c r="BE478" s="711"/>
      <c r="BF478" s="711"/>
      <c r="BG478" s="711"/>
      <c r="BH478" s="711"/>
      <c r="BI478" s="1187"/>
      <c r="BJ478" s="711"/>
      <c r="BK478" s="711"/>
      <c r="BL478" s="711"/>
      <c r="BM478" s="711"/>
      <c r="BN478" s="1187"/>
      <c r="BO478" s="711"/>
      <c r="BP478" s="711"/>
      <c r="BQ478" s="711"/>
      <c r="BR478" s="711"/>
      <c r="BS478" s="1187"/>
      <c r="BT478" s="711"/>
      <c r="BU478" s="711"/>
      <c r="BV478" s="711"/>
      <c r="BW478" s="711"/>
      <c r="BX478" s="1187"/>
      <c r="BY478" s="923"/>
      <c r="BZ478" s="711"/>
      <c r="CA478" s="711"/>
      <c r="CB478" s="711"/>
      <c r="CC478" s="1187"/>
      <c r="CD478" s="711"/>
      <c r="CE478" s="711"/>
      <c r="CF478" s="711"/>
      <c r="CG478" s="711"/>
      <c r="CH478" s="1187"/>
      <c r="CI478" s="1187"/>
      <c r="CJ478" s="1187"/>
      <c r="CK478" s="1187"/>
      <c r="CL478" s="458"/>
    </row>
    <row r="479" spans="1:90" s="979" customFormat="1" ht="15" hidden="1" customHeight="1" outlineLevel="2" collapsed="1" x14ac:dyDescent="0.3">
      <c r="A479" s="712" t="s">
        <v>882</v>
      </c>
      <c r="B479" s="710"/>
      <c r="C479" s="1187">
        <f t="shared" si="1274"/>
        <v>0.34575</v>
      </c>
      <c r="D479" s="1187">
        <f t="shared" si="1274"/>
        <v>0.28250000000000003</v>
      </c>
      <c r="E479" s="1187">
        <f t="shared" si="1274"/>
        <v>0.32200000000000006</v>
      </c>
      <c r="F479" s="1187">
        <f t="shared" si="1274"/>
        <v>0.36099999999999999</v>
      </c>
      <c r="G479" s="711">
        <f>G473</f>
        <v>0.36525000000000002</v>
      </c>
      <c r="H479" s="711">
        <f t="shared" ref="H479:K479" si="1297">H473</f>
        <v>0.36775000000000002</v>
      </c>
      <c r="I479" s="711">
        <f t="shared" si="1297"/>
        <v>0.36650000000000005</v>
      </c>
      <c r="J479" s="711">
        <f t="shared" si="1297"/>
        <v>0.36650000000000005</v>
      </c>
      <c r="K479" s="1187">
        <f t="shared" si="1297"/>
        <v>0.36650000000000005</v>
      </c>
      <c r="L479" s="711">
        <f>L473</f>
        <v>0.35775000000000001</v>
      </c>
      <c r="M479" s="711">
        <f t="shared" ref="M479:P479" si="1298">M473</f>
        <v>0.35699999999999998</v>
      </c>
      <c r="N479" s="711">
        <f t="shared" si="1298"/>
        <v>0.35450000000000004</v>
      </c>
      <c r="O479" s="711">
        <f t="shared" si="1298"/>
        <v>0.35550000000000004</v>
      </c>
      <c r="P479" s="1187">
        <f t="shared" si="1298"/>
        <v>0.35550000000000004</v>
      </c>
      <c r="Q479" s="711">
        <f>Q473</f>
        <v>0.35750000000000004</v>
      </c>
      <c r="R479" s="711">
        <f t="shared" ref="R479:U479" si="1299">R473</f>
        <v>0.35975000000000001</v>
      </c>
      <c r="S479" s="711">
        <f t="shared" si="1299"/>
        <v>0.36200000000000004</v>
      </c>
      <c r="T479" s="711">
        <f t="shared" si="1299"/>
        <v>0.36525000000000002</v>
      </c>
      <c r="U479" s="1187">
        <f t="shared" si="1299"/>
        <v>0.36525000000000002</v>
      </c>
      <c r="V479" s="711">
        <f>V473</f>
        <v>0.36575000000000002</v>
      </c>
      <c r="W479" s="711">
        <f t="shared" ref="W479:Z479" si="1300">W473</f>
        <v>0.36525000000000002</v>
      </c>
      <c r="X479" s="711">
        <f t="shared" si="1300"/>
        <v>0.36375000000000002</v>
      </c>
      <c r="Y479" s="711">
        <f t="shared" si="1300"/>
        <v>0.36225000000000002</v>
      </c>
      <c r="Z479" s="1187">
        <f t="shared" si="1300"/>
        <v>0.36225000000000002</v>
      </c>
      <c r="AA479" s="711">
        <f>AA473</f>
        <v>0.36425000000000002</v>
      </c>
      <c r="AB479" s="711">
        <f t="shared" ref="AB479:AE479" si="1301">AB473</f>
        <v>0.36425000000000002</v>
      </c>
      <c r="AC479" s="711">
        <f t="shared" si="1301"/>
        <v>0.36299999999999999</v>
      </c>
      <c r="AD479" s="711">
        <f t="shared" si="1301"/>
        <v>0.36175000000000002</v>
      </c>
      <c r="AE479" s="1187">
        <f t="shared" si="1301"/>
        <v>0.36175000000000002</v>
      </c>
      <c r="AF479" s="711">
        <f>AF473</f>
        <v>0.36075000000000002</v>
      </c>
      <c r="AG479" s="711">
        <f t="shared" ref="AG479:AH479" si="1302">AG473</f>
        <v>0.36150000000000004</v>
      </c>
      <c r="AH479" s="711">
        <f t="shared" si="1302"/>
        <v>0.36175000000000002</v>
      </c>
      <c r="AI479" s="711">
        <f>AH479</f>
        <v>0.36175000000000002</v>
      </c>
      <c r="AJ479" s="1187">
        <f>AH479</f>
        <v>0.36175000000000002</v>
      </c>
      <c r="AK479" s="711"/>
      <c r="AL479" s="711"/>
      <c r="AM479" s="711"/>
      <c r="AN479" s="711"/>
      <c r="AO479" s="1187"/>
      <c r="AP479" s="711"/>
      <c r="AQ479" s="711"/>
      <c r="AR479" s="711"/>
      <c r="AS479" s="711"/>
      <c r="AT479" s="1187"/>
      <c r="AU479" s="711"/>
      <c r="AV479" s="711"/>
      <c r="AW479" s="711"/>
      <c r="AX479" s="711"/>
      <c r="AY479" s="1187"/>
      <c r="AZ479" s="711"/>
      <c r="BA479" s="711"/>
      <c r="BB479" s="711"/>
      <c r="BC479" s="711"/>
      <c r="BD479" s="1187"/>
      <c r="BE479" s="711"/>
      <c r="BF479" s="711"/>
      <c r="BG479" s="711"/>
      <c r="BH479" s="711"/>
      <c r="BI479" s="1187"/>
      <c r="BJ479" s="711"/>
      <c r="BK479" s="711"/>
      <c r="BL479" s="711"/>
      <c r="BM479" s="711"/>
      <c r="BN479" s="1187"/>
      <c r="BO479" s="711"/>
      <c r="BP479" s="711"/>
      <c r="BQ479" s="711"/>
      <c r="BR479" s="711"/>
      <c r="BS479" s="1187"/>
      <c r="BT479" s="711"/>
      <c r="BU479" s="711"/>
      <c r="BV479" s="711"/>
      <c r="BW479" s="711"/>
      <c r="BX479" s="1187"/>
      <c r="BY479" s="923"/>
      <c r="BZ479" s="711"/>
      <c r="CA479" s="711"/>
      <c r="CB479" s="711"/>
      <c r="CC479" s="1187"/>
      <c r="CD479" s="711"/>
      <c r="CE479" s="711"/>
      <c r="CF479" s="711"/>
      <c r="CG479" s="711"/>
      <c r="CH479" s="1187"/>
      <c r="CI479" s="1187"/>
      <c r="CJ479" s="1187"/>
      <c r="CK479" s="1187"/>
      <c r="CL479" s="458"/>
    </row>
    <row r="480" spans="1:90" s="227" customFormat="1" ht="15" hidden="1" customHeight="1" outlineLevel="2" x14ac:dyDescent="0.3">
      <c r="A480" s="636" t="s">
        <v>883</v>
      </c>
      <c r="B480" s="146"/>
      <c r="C480" s="1112">
        <f t="shared" ref="C480:AI480" si="1303">IF(C442&gt;C479,(1-C479/C442)*C467,0)</f>
        <v>0</v>
      </c>
      <c r="D480" s="1112">
        <f t="shared" si="1303"/>
        <v>620.26002853801174</v>
      </c>
      <c r="E480" s="1112">
        <f t="shared" si="1303"/>
        <v>805.9526313804713</v>
      </c>
      <c r="F480" s="1112">
        <f t="shared" si="1303"/>
        <v>32.428192864864833</v>
      </c>
      <c r="G480" s="68">
        <f t="shared" si="1303"/>
        <v>0</v>
      </c>
      <c r="H480" s="68">
        <f t="shared" si="1303"/>
        <v>0</v>
      </c>
      <c r="I480" s="68">
        <f t="shared" si="1303"/>
        <v>0</v>
      </c>
      <c r="J480" s="68">
        <f t="shared" si="1303"/>
        <v>0</v>
      </c>
      <c r="K480" s="1112">
        <f t="shared" si="1303"/>
        <v>0</v>
      </c>
      <c r="L480" s="68">
        <f t="shared" si="1303"/>
        <v>0</v>
      </c>
      <c r="M480" s="68">
        <f t="shared" si="1303"/>
        <v>11.797008327550358</v>
      </c>
      <c r="N480" s="68">
        <f t="shared" si="1303"/>
        <v>90.550586070959127</v>
      </c>
      <c r="O480" s="68">
        <f t="shared" si="1303"/>
        <v>124.06072900763355</v>
      </c>
      <c r="P480" s="1112">
        <f t="shared" si="1303"/>
        <v>124.06072900763357</v>
      </c>
      <c r="Q480" s="68">
        <f t="shared" si="1303"/>
        <v>255.78889093632952</v>
      </c>
      <c r="R480" s="68">
        <f t="shared" si="1303"/>
        <v>207.00664068584058</v>
      </c>
      <c r="S480" s="68">
        <f t="shared" si="1303"/>
        <v>209.79190007490638</v>
      </c>
      <c r="T480" s="68">
        <f t="shared" si="1303"/>
        <v>203.45006303174202</v>
      </c>
      <c r="U480" s="1112">
        <f t="shared" si="1303"/>
        <v>200.97225693576607</v>
      </c>
      <c r="V480" s="68">
        <f t="shared" si="1303"/>
        <v>244.22764227642276</v>
      </c>
      <c r="W480" s="68">
        <f t="shared" si="1303"/>
        <v>183.75624375624369</v>
      </c>
      <c r="X480" s="68">
        <f t="shared" si="1303"/>
        <v>292.28057807543178</v>
      </c>
      <c r="Y480" s="68">
        <f t="shared" si="1303"/>
        <v>262.75179242062131</v>
      </c>
      <c r="Z480" s="1112">
        <f t="shared" si="1303"/>
        <v>262.75179242062131</v>
      </c>
      <c r="AA480" s="68">
        <f t="shared" si="1303"/>
        <v>259.56656346749224</v>
      </c>
      <c r="AB480" s="68">
        <f t="shared" si="1303"/>
        <v>297.93345008756569</v>
      </c>
      <c r="AC480" s="68">
        <f t="shared" si="1303"/>
        <v>285.91836734693879</v>
      </c>
      <c r="AD480" s="68">
        <f t="shared" si="1303"/>
        <v>243.17396836938738</v>
      </c>
      <c r="AE480" s="1112">
        <f t="shared" si="1303"/>
        <v>243.17396836938738</v>
      </c>
      <c r="AF480" s="68">
        <f t="shared" si="1303"/>
        <v>206.79578139980825</v>
      </c>
      <c r="AG480" s="68">
        <f t="shared" si="1303"/>
        <v>218.88922683861549</v>
      </c>
      <c r="AH480" s="68">
        <f t="shared" si="1303"/>
        <v>185.80259026687597</v>
      </c>
      <c r="AI480" s="68">
        <f t="shared" si="1303"/>
        <v>188.07679630850362</v>
      </c>
      <c r="AJ480" s="1112">
        <f>IF(AJ442&gt;AJ479,(1-AJ479/AJ442)*AJ467,0)</f>
        <v>188.07679630850362</v>
      </c>
      <c r="AK480" s="68"/>
      <c r="AL480" s="68"/>
      <c r="AM480" s="68"/>
      <c r="AN480" s="68"/>
      <c r="AO480" s="1112"/>
      <c r="AP480" s="68"/>
      <c r="AQ480" s="68"/>
      <c r="AR480" s="68"/>
      <c r="AS480" s="68"/>
      <c r="AT480" s="1112"/>
      <c r="AU480" s="68"/>
      <c r="AV480" s="68"/>
      <c r="AW480" s="68"/>
      <c r="AX480" s="68"/>
      <c r="AY480" s="1112"/>
      <c r="AZ480" s="68"/>
      <c r="BA480" s="68"/>
      <c r="BB480" s="68"/>
      <c r="BC480" s="68"/>
      <c r="BD480" s="1112"/>
      <c r="BE480" s="68"/>
      <c r="BF480" s="68"/>
      <c r="BG480" s="68"/>
      <c r="BH480" s="68"/>
      <c r="BI480" s="1112"/>
      <c r="BJ480" s="68"/>
      <c r="BK480" s="68"/>
      <c r="BL480" s="68"/>
      <c r="BM480" s="68"/>
      <c r="BN480" s="1112"/>
      <c r="BO480" s="68"/>
      <c r="BP480" s="68"/>
      <c r="BQ480" s="68"/>
      <c r="BR480" s="68"/>
      <c r="BS480" s="1112"/>
      <c r="BT480" s="68"/>
      <c r="BU480" s="68"/>
      <c r="BV480" s="68"/>
      <c r="BW480" s="68"/>
      <c r="BX480" s="1112"/>
      <c r="BY480" s="588"/>
      <c r="BZ480" s="68"/>
      <c r="CA480" s="68"/>
      <c r="CB480" s="68"/>
      <c r="CC480" s="1112"/>
      <c r="CD480" s="68"/>
      <c r="CE480" s="68"/>
      <c r="CF480" s="68"/>
      <c r="CG480" s="68"/>
      <c r="CH480" s="1112"/>
      <c r="CI480" s="1112"/>
      <c r="CJ480" s="1112"/>
      <c r="CK480" s="1112"/>
      <c r="CL480" s="27"/>
    </row>
    <row r="481" spans="1:90" ht="15" hidden="1" customHeight="1" outlineLevel="2" x14ac:dyDescent="0.3">
      <c r="A481" s="605"/>
      <c r="B481" s="428"/>
      <c r="C481" s="1136"/>
      <c r="D481" s="1136"/>
      <c r="E481" s="1136"/>
      <c r="F481" s="1136"/>
      <c r="G481" s="93"/>
      <c r="H481" s="93"/>
      <c r="I481" s="93"/>
      <c r="J481" s="93"/>
      <c r="K481" s="1136"/>
      <c r="L481" s="93"/>
      <c r="M481" s="93"/>
      <c r="N481" s="93"/>
      <c r="O481" s="93"/>
      <c r="P481" s="1136"/>
      <c r="Q481" s="93"/>
      <c r="R481" s="93"/>
      <c r="S481" s="93"/>
      <c r="T481" s="93"/>
      <c r="U481" s="1136"/>
      <c r="V481" s="93"/>
      <c r="W481" s="93"/>
      <c r="X481" s="93"/>
      <c r="Y481" s="93"/>
      <c r="Z481" s="1136"/>
      <c r="AA481" s="93"/>
      <c r="AB481" s="93"/>
      <c r="AC481" s="93"/>
      <c r="AD481" s="93"/>
      <c r="AE481" s="1136"/>
      <c r="AF481" s="93"/>
      <c r="AG481" s="93"/>
      <c r="AH481" s="93"/>
      <c r="AI481" s="93"/>
      <c r="AJ481" s="1136"/>
      <c r="AK481" s="93"/>
      <c r="AL481" s="93"/>
      <c r="AM481" s="93"/>
      <c r="AN481" s="93"/>
      <c r="AO481" s="1136"/>
      <c r="AP481" s="93"/>
      <c r="AQ481" s="93"/>
      <c r="AR481" s="93"/>
      <c r="AS481" s="93"/>
      <c r="AT481" s="1136"/>
      <c r="AU481" s="93"/>
      <c r="AV481" s="93"/>
      <c r="AW481" s="93"/>
      <c r="AX481" s="93"/>
      <c r="AY481" s="1136"/>
      <c r="AZ481" s="93"/>
      <c r="BA481" s="93"/>
      <c r="BB481" s="93"/>
      <c r="BC481" s="93"/>
      <c r="BD481" s="1136"/>
      <c r="BE481" s="93"/>
      <c r="BF481" s="93"/>
      <c r="BG481" s="93"/>
      <c r="BH481" s="93"/>
      <c r="BI481" s="1136"/>
      <c r="BJ481" s="93"/>
      <c r="BK481" s="93"/>
      <c r="BL481" s="93"/>
      <c r="BM481" s="93"/>
      <c r="BN481" s="1136"/>
      <c r="BO481" s="93"/>
      <c r="BP481" s="93"/>
      <c r="BQ481" s="93"/>
      <c r="BR481" s="93"/>
      <c r="BS481" s="1136"/>
      <c r="BT481" s="93"/>
      <c r="BU481" s="93"/>
      <c r="BV481" s="93"/>
      <c r="BW481" s="93"/>
      <c r="BX481" s="1136"/>
      <c r="BY481" s="522"/>
      <c r="BZ481" s="93"/>
      <c r="CA481" s="93"/>
      <c r="CB481" s="93"/>
      <c r="CC481" s="1136"/>
      <c r="CD481" s="93"/>
      <c r="CE481" s="93"/>
      <c r="CF481" s="93"/>
      <c r="CG481" s="93"/>
      <c r="CH481" s="1136"/>
      <c r="CI481" s="1136"/>
      <c r="CJ481" s="1136"/>
      <c r="CK481" s="1136"/>
      <c r="CL481" s="228"/>
    </row>
    <row r="482" spans="1:90" s="44" customFormat="1" ht="15" hidden="1" customHeight="1" outlineLevel="2" x14ac:dyDescent="0.3">
      <c r="A482" s="600" t="s">
        <v>884</v>
      </c>
      <c r="B482" s="279"/>
      <c r="C482" s="1150">
        <f>59.892833*(4)*(10)</f>
        <v>2395.7133200000003</v>
      </c>
      <c r="D482" s="1150">
        <f>39.297611*(4)*(10)</f>
        <v>1571.9044400000002</v>
      </c>
      <c r="E482" s="1150">
        <f>29.01629*(4)*(10)</f>
        <v>1160.6516000000001</v>
      </c>
      <c r="F482" s="1150">
        <f>21.434294*(4)*(10)</f>
        <v>857.37175999999999</v>
      </c>
      <c r="G482" s="63"/>
      <c r="H482" s="63"/>
      <c r="I482" s="63"/>
      <c r="J482" s="63"/>
      <c r="K482" s="1150">
        <f>20.156213*(4)*(10)</f>
        <v>806.2485200000001</v>
      </c>
      <c r="L482" s="63"/>
      <c r="M482" s="63"/>
      <c r="N482" s="63"/>
      <c r="O482" s="63"/>
      <c r="P482" s="1150">
        <f>19.866375*(4)*(10)</f>
        <v>794.65500000000009</v>
      </c>
      <c r="Q482" s="63"/>
      <c r="R482" s="63"/>
      <c r="S482" s="63"/>
      <c r="T482" s="63"/>
      <c r="U482" s="1150">
        <f>15.12*(4)*(10)</f>
        <v>604.79999999999995</v>
      </c>
      <c r="V482" s="63"/>
      <c r="W482" s="63"/>
      <c r="X482" s="63"/>
      <c r="Y482" s="63"/>
      <c r="Z482" s="1150">
        <f>11*(4)*(10)</f>
        <v>440</v>
      </c>
      <c r="AA482" s="63"/>
      <c r="AB482" s="63"/>
      <c r="AC482" s="63"/>
      <c r="AD482" s="63"/>
      <c r="AE482" s="1150">
        <f>7*(4)*(10)</f>
        <v>280</v>
      </c>
      <c r="AF482" s="63"/>
      <c r="AG482" s="63"/>
      <c r="AH482" s="63"/>
      <c r="AI482" s="63"/>
      <c r="AJ482" s="1127">
        <f>AJ467</f>
        <v>200</v>
      </c>
      <c r="AK482" s="63"/>
      <c r="AL482" s="63"/>
      <c r="AM482" s="63"/>
      <c r="AN482" s="63"/>
      <c r="AO482" s="1127"/>
      <c r="AP482" s="63"/>
      <c r="AQ482" s="63"/>
      <c r="AR482" s="63"/>
      <c r="AS482" s="63"/>
      <c r="AT482" s="1127"/>
      <c r="AU482" s="63"/>
      <c r="AV482" s="63"/>
      <c r="AW482" s="63"/>
      <c r="AX482" s="63"/>
      <c r="AY482" s="1127"/>
      <c r="AZ482" s="63"/>
      <c r="BA482" s="63"/>
      <c r="BB482" s="63"/>
      <c r="BC482" s="63"/>
      <c r="BD482" s="1127"/>
      <c r="BE482" s="63"/>
      <c r="BF482" s="63"/>
      <c r="BG482" s="63"/>
      <c r="BH482" s="63"/>
      <c r="BI482" s="1127"/>
      <c r="BJ482" s="63"/>
      <c r="BK482" s="63"/>
      <c r="BL482" s="63"/>
      <c r="BM482" s="63"/>
      <c r="BN482" s="1127"/>
      <c r="BO482" s="63"/>
      <c r="BP482" s="63"/>
      <c r="BQ482" s="63"/>
      <c r="BR482" s="63"/>
      <c r="BS482" s="1127"/>
      <c r="BT482" s="63"/>
      <c r="BU482" s="63"/>
      <c r="BV482" s="63"/>
      <c r="BW482" s="63"/>
      <c r="BX482" s="1127"/>
      <c r="BY482" s="587"/>
      <c r="BZ482" s="63"/>
      <c r="CA482" s="63"/>
      <c r="CB482" s="63"/>
      <c r="CC482" s="1127"/>
      <c r="CD482" s="63"/>
      <c r="CE482" s="63"/>
      <c r="CF482" s="63"/>
      <c r="CG482" s="63"/>
      <c r="CH482" s="1127"/>
      <c r="CI482" s="1127"/>
      <c r="CJ482" s="1127"/>
      <c r="CK482" s="1127"/>
      <c r="CL482" s="28"/>
    </row>
    <row r="483" spans="1:90" s="978" customFormat="1" ht="15" hidden="1" customHeight="1" outlineLevel="2" x14ac:dyDescent="0.3">
      <c r="A483" s="713" t="s">
        <v>885</v>
      </c>
      <c r="B483" s="714"/>
      <c r="C483" s="1188">
        <f>10.15*(1/4)*(1/10)</f>
        <v>0.25375000000000003</v>
      </c>
      <c r="D483" s="1188">
        <f>10.44*(1/4)*(1/10)</f>
        <v>0.26100000000000001</v>
      </c>
      <c r="E483" s="1188">
        <f>12.85*(1/4)*(1/10)</f>
        <v>0.32125000000000004</v>
      </c>
      <c r="F483" s="1188">
        <f>13.8*(1/4)*(1/10)</f>
        <v>0.34500000000000003</v>
      </c>
      <c r="G483" s="715"/>
      <c r="H483" s="715"/>
      <c r="I483" s="715"/>
      <c r="J483" s="715"/>
      <c r="K483" s="1188">
        <f>14.89*(1/4)*(1/10)</f>
        <v>0.37225000000000003</v>
      </c>
      <c r="L483" s="715"/>
      <c r="M483" s="715"/>
      <c r="N483" s="715"/>
      <c r="O483" s="715"/>
      <c r="P483" s="1188">
        <f>14.09*(1/4)*(1/10)</f>
        <v>0.35225000000000001</v>
      </c>
      <c r="Q483" s="715"/>
      <c r="R483" s="715"/>
      <c r="S483" s="715"/>
      <c r="T483" s="715"/>
      <c r="U483" s="1188">
        <f>14.7*(1/4)*(1/10)</f>
        <v>0.36749999999999999</v>
      </c>
      <c r="V483" s="715"/>
      <c r="W483" s="715"/>
      <c r="X483" s="715"/>
      <c r="Y483" s="715"/>
      <c r="Z483" s="1188">
        <f>14.51*(1/4)*(1/10)</f>
        <v>0.36275000000000002</v>
      </c>
      <c r="AA483" s="715"/>
      <c r="AB483" s="715"/>
      <c r="AC483" s="715"/>
      <c r="AD483" s="715"/>
      <c r="AE483" s="1188">
        <f>14.39*(1/4)*(1/10)</f>
        <v>0.35975000000000001</v>
      </c>
      <c r="AF483" s="715"/>
      <c r="AG483" s="715"/>
      <c r="AH483" s="715"/>
      <c r="AI483" s="715"/>
      <c r="AJ483" s="1180"/>
      <c r="AK483" s="715"/>
      <c r="AL483" s="715"/>
      <c r="AM483" s="715"/>
      <c r="AN483" s="715"/>
      <c r="AO483" s="1180"/>
      <c r="AP483" s="715"/>
      <c r="AQ483" s="715"/>
      <c r="AR483" s="715"/>
      <c r="AS483" s="715"/>
      <c r="AT483" s="1180"/>
      <c r="AU483" s="715"/>
      <c r="AV483" s="715"/>
      <c r="AW483" s="715"/>
      <c r="AX483" s="715"/>
      <c r="AY483" s="1180"/>
      <c r="AZ483" s="715"/>
      <c r="BA483" s="715"/>
      <c r="BB483" s="715"/>
      <c r="BC483" s="715"/>
      <c r="BD483" s="1180"/>
      <c r="BE483" s="715"/>
      <c r="BF483" s="715"/>
      <c r="BG483" s="715"/>
      <c r="BH483" s="715"/>
      <c r="BI483" s="1180"/>
      <c r="BJ483" s="715"/>
      <c r="BK483" s="715"/>
      <c r="BL483" s="715"/>
      <c r="BM483" s="715"/>
      <c r="BN483" s="1180"/>
      <c r="BO483" s="715"/>
      <c r="BP483" s="715"/>
      <c r="BQ483" s="715"/>
      <c r="BR483" s="715"/>
      <c r="BS483" s="1180"/>
      <c r="BT483" s="715"/>
      <c r="BU483" s="715"/>
      <c r="BV483" s="715"/>
      <c r="BW483" s="715"/>
      <c r="BX483" s="1180"/>
      <c r="BY483" s="919"/>
      <c r="BZ483" s="715"/>
      <c r="CA483" s="715"/>
      <c r="CB483" s="715"/>
      <c r="CC483" s="1180"/>
      <c r="CD483" s="715"/>
      <c r="CE483" s="715"/>
      <c r="CF483" s="715"/>
      <c r="CG483" s="715"/>
      <c r="CH483" s="1180"/>
      <c r="CI483" s="1180"/>
      <c r="CJ483" s="1180"/>
      <c r="CK483" s="1180"/>
      <c r="CL483" s="716"/>
    </row>
    <row r="484" spans="1:90" ht="15" hidden="1" customHeight="1" outlineLevel="1" collapsed="1" x14ac:dyDescent="0.3">
      <c r="A484" s="605"/>
      <c r="B484" s="428"/>
      <c r="C484" s="1136"/>
      <c r="D484" s="1136"/>
      <c r="E484" s="1136"/>
      <c r="F484" s="1136"/>
      <c r="G484" s="93"/>
      <c r="H484" s="93"/>
      <c r="I484" s="93"/>
      <c r="J484" s="93"/>
      <c r="K484" s="1136"/>
      <c r="L484" s="93"/>
      <c r="M484" s="93"/>
      <c r="N484" s="93"/>
      <c r="O484" s="93"/>
      <c r="P484" s="1136"/>
      <c r="Q484" s="93"/>
      <c r="R484" s="93"/>
      <c r="S484" s="93"/>
      <c r="T484" s="93"/>
      <c r="U484" s="1136"/>
      <c r="V484" s="93"/>
      <c r="W484" s="93"/>
      <c r="X484" s="93"/>
      <c r="Y484" s="93"/>
      <c r="Z484" s="1136"/>
      <c r="AA484" s="93"/>
      <c r="AB484" s="93"/>
      <c r="AC484" s="93"/>
      <c r="AD484" s="93"/>
      <c r="AE484" s="1136"/>
      <c r="AF484" s="93"/>
      <c r="AG484" s="93"/>
      <c r="AH484" s="93"/>
      <c r="AI484" s="93"/>
      <c r="AJ484" s="1136"/>
      <c r="AK484" s="93"/>
      <c r="AL484" s="93"/>
      <c r="AM484" s="93"/>
      <c r="AN484" s="93"/>
      <c r="AO484" s="1136"/>
      <c r="AP484" s="93"/>
      <c r="AQ484" s="93"/>
      <c r="AR484" s="93"/>
      <c r="AS484" s="93"/>
      <c r="AT484" s="1136"/>
      <c r="AU484" s="93"/>
      <c r="AV484" s="93"/>
      <c r="AW484" s="93"/>
      <c r="AX484" s="93"/>
      <c r="AY484" s="1136"/>
      <c r="AZ484" s="93"/>
      <c r="BA484" s="93"/>
      <c r="BB484" s="93"/>
      <c r="BC484" s="93"/>
      <c r="BD484" s="1136"/>
      <c r="BE484" s="93"/>
      <c r="BF484" s="93"/>
      <c r="BG484" s="93"/>
      <c r="BH484" s="93"/>
      <c r="BI484" s="1136"/>
      <c r="BJ484" s="93"/>
      <c r="BK484" s="93"/>
      <c r="BL484" s="93"/>
      <c r="BM484" s="93"/>
      <c r="BN484" s="1136"/>
      <c r="BO484" s="93"/>
      <c r="BP484" s="93"/>
      <c r="BQ484" s="93"/>
      <c r="BR484" s="93"/>
      <c r="BS484" s="1136"/>
      <c r="BT484" s="93"/>
      <c r="BU484" s="93"/>
      <c r="BV484" s="93"/>
      <c r="BW484" s="93"/>
      <c r="BX484" s="1136"/>
      <c r="BY484" s="522"/>
      <c r="BZ484" s="93"/>
      <c r="CA484" s="93"/>
      <c r="CB484" s="93"/>
      <c r="CC484" s="1136"/>
      <c r="CD484" s="93"/>
      <c r="CE484" s="93"/>
      <c r="CF484" s="93"/>
      <c r="CG484" s="93"/>
      <c r="CH484" s="1136"/>
      <c r="CI484" s="1136"/>
      <c r="CJ484" s="1136"/>
      <c r="CK484" s="1136"/>
      <c r="CL484" s="228"/>
    </row>
    <row r="485" spans="1:90" s="227" customFormat="1" ht="15" hidden="1" customHeight="1" outlineLevel="1" x14ac:dyDescent="0.3">
      <c r="A485" s="636" t="s">
        <v>886</v>
      </c>
      <c r="B485" s="146"/>
      <c r="C485" s="1113">
        <v>0</v>
      </c>
      <c r="D485" s="1113">
        <f>7.488512*(4)*(10)</f>
        <v>299.54048</v>
      </c>
      <c r="E485" s="1113">
        <f>10.611914*(4)*(10)</f>
        <v>424.47656000000001</v>
      </c>
      <c r="F485" s="1113">
        <f>13.637803*(4)*(10)</f>
        <v>545.51211999999998</v>
      </c>
      <c r="G485" s="1055">
        <f>14.306*(4)*(10)</f>
        <v>572.24</v>
      </c>
      <c r="H485" s="1055">
        <f>14.778*(4)*(10)</f>
        <v>591.12</v>
      </c>
      <c r="I485" s="1055">
        <f>14.798*(4)*(10)</f>
        <v>591.91999999999996</v>
      </c>
      <c r="J485" s="68">
        <f>K485</f>
        <v>606.36907999999994</v>
      </c>
      <c r="K485" s="1113">
        <f>15.159227*(4)*(10)</f>
        <v>606.36907999999994</v>
      </c>
      <c r="L485" s="1055">
        <f>16.577*(4)*(10)</f>
        <v>663.08</v>
      </c>
      <c r="M485" s="1055">
        <f>16.83*(4)*(10)</f>
        <v>673.19999999999993</v>
      </c>
      <c r="N485" s="1055">
        <f>18.774*(4)*(10)</f>
        <v>750.96</v>
      </c>
      <c r="O485" s="68">
        <f>P485</f>
        <v>754.09152000000006</v>
      </c>
      <c r="P485" s="1113">
        <f>18.852288*(4)*(10)</f>
        <v>754.09152000000006</v>
      </c>
      <c r="Q485" s="1055">
        <f>18.436*(4)*(10)</f>
        <v>737.44</v>
      </c>
      <c r="R485" s="1055">
        <f>18.469*(4)*(10)</f>
        <v>738.76</v>
      </c>
      <c r="S485" s="1055">
        <f>23.131*(4)*(10)</f>
        <v>925.24</v>
      </c>
      <c r="T485" s="68">
        <f>U485</f>
        <v>931</v>
      </c>
      <c r="U485" s="1113">
        <f>23.275*(4)*(10)</f>
        <v>931</v>
      </c>
      <c r="V485" s="1055">
        <f>23*(4)*(10)</f>
        <v>920</v>
      </c>
      <c r="W485" s="1055">
        <f>22*(4)*(10)</f>
        <v>880</v>
      </c>
      <c r="X485" s="1055">
        <f>26*(4)*(10)</f>
        <v>1040</v>
      </c>
      <c r="Y485" s="68">
        <f>Z485</f>
        <v>1040</v>
      </c>
      <c r="Z485" s="1113">
        <f>26*(4)*(10)</f>
        <v>1040</v>
      </c>
      <c r="AA485" s="1055">
        <f>26*(4)*(10)</f>
        <v>1040</v>
      </c>
      <c r="AB485" s="1055">
        <f>26*(4)*(10)</f>
        <v>1040</v>
      </c>
      <c r="AC485" s="1055">
        <f>27*(4)*(10)</f>
        <v>1080</v>
      </c>
      <c r="AD485" s="68">
        <f>AE485</f>
        <v>1080</v>
      </c>
      <c r="AE485" s="1113">
        <f>27*(4)*(10)</f>
        <v>1080</v>
      </c>
      <c r="AF485" s="1055">
        <f>24*(4)*(10)</f>
        <v>960</v>
      </c>
      <c r="AG485" s="1055">
        <f>25*(4)*(10)</f>
        <v>1000</v>
      </c>
      <c r="AH485" s="1055">
        <f>23*(4)*(10)</f>
        <v>920</v>
      </c>
      <c r="AI485" s="68">
        <f>AJ485</f>
        <v>880</v>
      </c>
      <c r="AJ485" s="1113">
        <f>22*(4)*(10)</f>
        <v>880</v>
      </c>
      <c r="AK485" s="1055">
        <f>18*(4)*(10)</f>
        <v>720</v>
      </c>
      <c r="AL485" s="1055">
        <f>18*(4)*(10)</f>
        <v>720</v>
      </c>
      <c r="AM485" s="1055">
        <f>16*(4)*(10)</f>
        <v>640</v>
      </c>
      <c r="AN485" s="68">
        <f>AO485</f>
        <v>640</v>
      </c>
      <c r="AO485" s="1113">
        <f>16*(4)*(10)</f>
        <v>640</v>
      </c>
      <c r="AP485" s="1055">
        <f>18*(4)*(10)</f>
        <v>720</v>
      </c>
      <c r="AQ485" s="1055">
        <f>17*(4)*(10)</f>
        <v>680</v>
      </c>
      <c r="AR485" s="1055">
        <f>15*(4)*(10)</f>
        <v>600</v>
      </c>
      <c r="AS485" s="68">
        <f>AT485</f>
        <v>560</v>
      </c>
      <c r="AT485" s="1113">
        <f>14*(4)*(10)</f>
        <v>560</v>
      </c>
      <c r="AU485" s="1055">
        <f>11*(4)*(10)</f>
        <v>440</v>
      </c>
      <c r="AV485" s="1055">
        <f>17*(4)*(10)</f>
        <v>680</v>
      </c>
      <c r="AW485" s="1055">
        <f>16*(4)*(10)</f>
        <v>640</v>
      </c>
      <c r="AX485" s="68">
        <f>AY485</f>
        <v>600</v>
      </c>
      <c r="AY485" s="1113">
        <f>15*(4)*(10)</f>
        <v>600</v>
      </c>
      <c r="AZ485" s="1055">
        <f>12*(4)*(10)</f>
        <v>480</v>
      </c>
      <c r="BA485" s="1055">
        <f>56*(10)</f>
        <v>560</v>
      </c>
      <c r="BB485" s="1055">
        <f>52*(10)</f>
        <v>520</v>
      </c>
      <c r="BC485" s="68">
        <f>BD485</f>
        <v>460</v>
      </c>
      <c r="BD485" s="1113">
        <f>46*(10)</f>
        <v>460</v>
      </c>
      <c r="BE485" s="1055">
        <f>42*(10)</f>
        <v>420</v>
      </c>
      <c r="BF485" s="1055">
        <f>56*(10)</f>
        <v>560</v>
      </c>
      <c r="BG485" s="1055">
        <f>50*(10)</f>
        <v>500</v>
      </c>
      <c r="BH485" s="68">
        <f>BI485</f>
        <v>450</v>
      </c>
      <c r="BI485" s="1113">
        <f>45*(10)</f>
        <v>450</v>
      </c>
      <c r="BJ485" s="1055">
        <f>40*(10)</f>
        <v>400</v>
      </c>
      <c r="BK485" s="1055">
        <f>46*(10)</f>
        <v>460</v>
      </c>
      <c r="BL485" s="1055">
        <f>41*(10)</f>
        <v>410</v>
      </c>
      <c r="BM485" s="68">
        <f>BN485</f>
        <v>370</v>
      </c>
      <c r="BN485" s="1113">
        <f>37*(10)</f>
        <v>370</v>
      </c>
      <c r="BO485" s="1055">
        <f>38*(10)</f>
        <v>380</v>
      </c>
      <c r="BP485" s="1055">
        <v>348</v>
      </c>
      <c r="BQ485" s="1055">
        <v>308</v>
      </c>
      <c r="BR485" s="68">
        <f>BS485</f>
        <v>274</v>
      </c>
      <c r="BS485" s="1113">
        <v>274</v>
      </c>
      <c r="BT485" s="1055">
        <v>277</v>
      </c>
      <c r="BU485" s="1055">
        <v>239</v>
      </c>
      <c r="BV485" s="1055">
        <v>203</v>
      </c>
      <c r="BW485" s="68">
        <f>BX485</f>
        <v>189</v>
      </c>
      <c r="BX485" s="1113">
        <v>189</v>
      </c>
      <c r="BY485" s="1057">
        <v>200</v>
      </c>
      <c r="BZ485" s="68"/>
      <c r="CA485" s="68"/>
      <c r="CB485" s="68"/>
      <c r="CC485" s="1112"/>
      <c r="CD485" s="68"/>
      <c r="CE485" s="68"/>
      <c r="CF485" s="68"/>
      <c r="CG485" s="68"/>
      <c r="CH485" s="1112"/>
      <c r="CI485" s="1112"/>
      <c r="CJ485" s="1112"/>
      <c r="CK485" s="1112"/>
      <c r="CL485" s="27"/>
    </row>
    <row r="486" spans="1:90" s="979" customFormat="1" ht="15" hidden="1" customHeight="1" outlineLevel="1" x14ac:dyDescent="0.3">
      <c r="A486" s="717" t="s">
        <v>888</v>
      </c>
      <c r="B486" s="453"/>
      <c r="C486" s="1185"/>
      <c r="D486" s="1184">
        <f>12.28*(1/4)*(1/10)</f>
        <v>0.307</v>
      </c>
      <c r="E486" s="1184">
        <f>13.23*(1/4)*(1/10)</f>
        <v>0.33075000000000004</v>
      </c>
      <c r="F486" s="1184">
        <f>15.1*(1/4)*(1/10)</f>
        <v>0.3775</v>
      </c>
      <c r="G486" s="1076">
        <f>15.14*(1/4)*(1/10)</f>
        <v>0.37850000000000006</v>
      </c>
      <c r="H486" s="1076">
        <f>15.01*(1/4)*(1/10)</f>
        <v>0.37525000000000003</v>
      </c>
      <c r="I486" s="1076">
        <f>14.55*(1/4)*(1/10)</f>
        <v>0.36375000000000002</v>
      </c>
      <c r="J486" s="455">
        <f>K486</f>
        <v>0.36150000000000004</v>
      </c>
      <c r="K486" s="1184">
        <f>14.46*(1/4)*(1/10)</f>
        <v>0.36150000000000004</v>
      </c>
      <c r="L486" s="1076">
        <f>13.46*(1/4)*(1/10)</f>
        <v>0.33650000000000002</v>
      </c>
      <c r="M486" s="1076">
        <f>13.46*(1/4)*(1/10)</f>
        <v>0.33650000000000002</v>
      </c>
      <c r="N486" s="1076">
        <f>13.82*(1/4)*(1/10)</f>
        <v>0.34550000000000003</v>
      </c>
      <c r="O486" s="455">
        <f>P486</f>
        <v>0.34550000000000003</v>
      </c>
      <c r="P486" s="1184">
        <f>13.82*(1/4)*(1/10)</f>
        <v>0.34550000000000003</v>
      </c>
      <c r="Q486" s="1076">
        <f>14.51*(1/4)*(1/10)</f>
        <v>0.36275000000000002</v>
      </c>
      <c r="R486" s="1076">
        <f>14.58*(1/4)*(1/10)</f>
        <v>0.36450000000000005</v>
      </c>
      <c r="S486" s="1076">
        <f>15.88*(1/4)*(1/10)</f>
        <v>0.39700000000000002</v>
      </c>
      <c r="T486" s="455">
        <f>U486</f>
        <v>0.39850000000000002</v>
      </c>
      <c r="U486" s="1184">
        <f>15.94*(1/4)*(1/10)</f>
        <v>0.39850000000000002</v>
      </c>
      <c r="V486" s="1076">
        <f>17.01*(1/4)*(1/10)</f>
        <v>0.42525000000000007</v>
      </c>
      <c r="W486" s="1076">
        <f>17.12*(1/4)*(1/10)</f>
        <v>0.42800000000000005</v>
      </c>
      <c r="X486" s="1076">
        <f>18.84*(1/4)*(1/10)</f>
        <v>0.47100000000000003</v>
      </c>
      <c r="Y486" s="455">
        <f>Z486</f>
        <v>0.47800000000000004</v>
      </c>
      <c r="Z486" s="1184">
        <f>19.12*(1/4)*(1/10)</f>
        <v>0.47800000000000004</v>
      </c>
      <c r="AA486" s="1076">
        <f>21.29*(1/4)*(1/10)</f>
        <v>0.53225</v>
      </c>
      <c r="AB486" s="1076">
        <f>21.89*(1/4)*(1/10)</f>
        <v>0.54725000000000001</v>
      </c>
      <c r="AC486" s="1076">
        <f>31.76*(1/4)*(1/10)</f>
        <v>0.79400000000000004</v>
      </c>
      <c r="AD486" s="455">
        <f>AE486</f>
        <v>0.82100000000000017</v>
      </c>
      <c r="AE486" s="1184">
        <f>32.84*(1/4)*(1/10)</f>
        <v>0.82100000000000017</v>
      </c>
      <c r="AF486" s="1076">
        <f>40.9*(1/4)*(1/10)</f>
        <v>1.0225</v>
      </c>
      <c r="AG486" s="1076">
        <f>42.54*(1/4)*(1/10)</f>
        <v>1.0635000000000001</v>
      </c>
      <c r="AH486" s="1076">
        <f>64.42*(1/4)*(1/10)</f>
        <v>1.6105</v>
      </c>
      <c r="AI486" s="455">
        <f>AJ486</f>
        <v>1.6680000000000001</v>
      </c>
      <c r="AJ486" s="1184">
        <f>66.72*(1/4)*(1/10)</f>
        <v>1.6680000000000001</v>
      </c>
      <c r="AK486" s="1076">
        <f>81.82*(1/4)*(1/10)</f>
        <v>2.0455000000000001</v>
      </c>
      <c r="AL486" s="1076">
        <f>84.56*(1/4)*(1/10)</f>
        <v>2.1140000000000003</v>
      </c>
      <c r="AM486" s="1076">
        <f>127.89*(1/4)*(1/10)</f>
        <v>3.1972500000000004</v>
      </c>
      <c r="AN486" s="455">
        <f>AO486</f>
        <v>3.2479999999999998</v>
      </c>
      <c r="AO486" s="1184">
        <f>129.92*(1/4)*(1/10)</f>
        <v>3.2479999999999998</v>
      </c>
      <c r="AP486" s="1076">
        <f>159.28*(1/4)*(1/10)</f>
        <v>3.9820000000000002</v>
      </c>
      <c r="AQ486" s="1076">
        <f>161.37*(1/4)*(1/10)</f>
        <v>4.0342500000000001</v>
      </c>
      <c r="AR486" s="1076">
        <f>173.01*(1/4)*(1/10)</f>
        <v>4.3252499999999996</v>
      </c>
      <c r="AS486" s="455">
        <f>AT486</f>
        <v>4.4180000000000001</v>
      </c>
      <c r="AT486" s="1184">
        <f>176.72*(1/4)*(1/10)</f>
        <v>4.4180000000000001</v>
      </c>
      <c r="AU486" s="1076">
        <f>191.23*(1/4)*(1/10)</f>
        <v>4.7807500000000003</v>
      </c>
      <c r="AV486" s="1076">
        <f>239.22*(1/4)*(1/10)</f>
        <v>5.9805000000000001</v>
      </c>
      <c r="AW486" s="1076">
        <f>253.81*(1/4)*(1/10)</f>
        <v>6.3452500000000001</v>
      </c>
      <c r="AX486" s="455">
        <f>AY486</f>
        <v>6.6172500000000003</v>
      </c>
      <c r="AY486" s="1184">
        <f>264.69*(1/4)*(1/10)</f>
        <v>6.6172500000000003</v>
      </c>
      <c r="AZ486" s="1076">
        <f>279.79*(1/4)*(1/10)</f>
        <v>6.9947500000000007</v>
      </c>
      <c r="BA486" s="1076">
        <f>100.01*(1/10)</f>
        <v>10.001000000000001</v>
      </c>
      <c r="BB486" s="1076">
        <f>107.42*(1/10)</f>
        <v>10.742000000000001</v>
      </c>
      <c r="BC486" s="455">
        <f>BD486</f>
        <v>11.419</v>
      </c>
      <c r="BD486" s="1184">
        <f>114.19*(1/10)</f>
        <v>11.419</v>
      </c>
      <c r="BE486" s="1076">
        <f>125.32*(1/10)</f>
        <v>12.532</v>
      </c>
      <c r="BF486" s="1076">
        <f>148.43*(1/10)</f>
        <v>14.843000000000002</v>
      </c>
      <c r="BG486" s="1076">
        <f>153.73*(1/10)</f>
        <v>15.372999999999999</v>
      </c>
      <c r="BH486" s="455">
        <f>BI486</f>
        <v>15.844999999999999</v>
      </c>
      <c r="BI486" s="1184">
        <f>158.45*(1/10)</f>
        <v>15.844999999999999</v>
      </c>
      <c r="BJ486" s="1076">
        <f>167.07*(1/10)</f>
        <v>16.707000000000001</v>
      </c>
      <c r="BK486" s="1076">
        <f>219.47*(1/10)</f>
        <v>21.947000000000003</v>
      </c>
      <c r="BL486" s="1076">
        <f>230.11*(1/10)</f>
        <v>23.011000000000003</v>
      </c>
      <c r="BM486" s="455">
        <f>BN486</f>
        <v>24.594000000000001</v>
      </c>
      <c r="BN486" s="1184">
        <f>245.94*(1/10)</f>
        <v>24.594000000000001</v>
      </c>
      <c r="BO486" s="1076">
        <f>361.45*(1/10)</f>
        <v>36.145000000000003</v>
      </c>
      <c r="BP486" s="1076">
        <v>39.159999999999997</v>
      </c>
      <c r="BQ486" s="1076">
        <v>41.45</v>
      </c>
      <c r="BR486" s="455">
        <f>BS486</f>
        <v>44.75</v>
      </c>
      <c r="BS486" s="1184">
        <v>44.75</v>
      </c>
      <c r="BT486" s="1076">
        <v>56.32</v>
      </c>
      <c r="BU486" s="1076">
        <v>60.19</v>
      </c>
      <c r="BV486" s="1076">
        <v>66.59</v>
      </c>
      <c r="BW486" s="455">
        <f>BX486</f>
        <v>81.510000000000005</v>
      </c>
      <c r="BX486" s="1184">
        <v>81.510000000000005</v>
      </c>
      <c r="BY486" s="1078">
        <v>108.92</v>
      </c>
      <c r="BZ486" s="455"/>
      <c r="CA486" s="455"/>
      <c r="CB486" s="455"/>
      <c r="CC486" s="1185"/>
      <c r="CD486" s="455"/>
      <c r="CE486" s="455"/>
      <c r="CF486" s="455"/>
      <c r="CG486" s="455"/>
      <c r="CH486" s="1185"/>
      <c r="CI486" s="1185"/>
      <c r="CJ486" s="1185"/>
      <c r="CK486" s="1185"/>
      <c r="CL486" s="458"/>
    </row>
    <row r="487" spans="1:90" s="979" customFormat="1" ht="15" hidden="1" customHeight="1" outlineLevel="2" x14ac:dyDescent="0.3">
      <c r="A487" s="717"/>
      <c r="B487" s="453"/>
      <c r="C487" s="1185"/>
      <c r="D487" s="1185"/>
      <c r="E487" s="1185"/>
      <c r="F487" s="1185"/>
      <c r="G487" s="455"/>
      <c r="H487" s="455"/>
      <c r="I487" s="455"/>
      <c r="J487" s="455"/>
      <c r="K487" s="1185"/>
      <c r="L487" s="455"/>
      <c r="M487" s="455"/>
      <c r="N487" s="455"/>
      <c r="O487" s="455"/>
      <c r="P487" s="1185"/>
      <c r="Q487" s="455"/>
      <c r="R487" s="455"/>
      <c r="S487" s="455"/>
      <c r="T487" s="455"/>
      <c r="U487" s="1185"/>
      <c r="V487" s="455"/>
      <c r="W487" s="455"/>
      <c r="X487" s="455"/>
      <c r="Y487" s="455"/>
      <c r="Z487" s="1185"/>
      <c r="AA487" s="455"/>
      <c r="AB487" s="455"/>
      <c r="AC487" s="455"/>
      <c r="AD487" s="455"/>
      <c r="AE487" s="1185"/>
      <c r="AF487" s="455"/>
      <c r="AG487" s="455"/>
      <c r="AH487" s="455"/>
      <c r="AI487" s="455"/>
      <c r="AJ487" s="1185"/>
      <c r="AK487" s="455"/>
      <c r="AL487" s="455"/>
      <c r="AM487" s="455"/>
      <c r="AN487" s="455"/>
      <c r="AO487" s="1185"/>
      <c r="AP487" s="455"/>
      <c r="AQ487" s="455"/>
      <c r="AR487" s="455"/>
      <c r="AS487" s="455"/>
      <c r="AT487" s="1185"/>
      <c r="AU487" s="455"/>
      <c r="AV487" s="455"/>
      <c r="AW487" s="455"/>
      <c r="AX487" s="455"/>
      <c r="AY487" s="1185"/>
      <c r="AZ487" s="455"/>
      <c r="BA487" s="455"/>
      <c r="BB487" s="455"/>
      <c r="BC487" s="455"/>
      <c r="BD487" s="1185"/>
      <c r="BE487" s="455"/>
      <c r="BF487" s="455"/>
      <c r="BG487" s="455"/>
      <c r="BH487" s="455"/>
      <c r="BI487" s="1185"/>
      <c r="BJ487" s="455"/>
      <c r="BK487" s="455"/>
      <c r="BL487" s="455"/>
      <c r="BM487" s="455"/>
      <c r="BN487" s="1185"/>
      <c r="BO487" s="455"/>
      <c r="BP487" s="455"/>
      <c r="BQ487" s="455"/>
      <c r="BR487" s="455"/>
      <c r="BS487" s="1185"/>
      <c r="BT487" s="455"/>
      <c r="BU487" s="455"/>
      <c r="BV487" s="455"/>
      <c r="BW487" s="455"/>
      <c r="BX487" s="1185"/>
      <c r="BY487" s="922"/>
      <c r="BZ487" s="455"/>
      <c r="CA487" s="455"/>
      <c r="CB487" s="455"/>
      <c r="CC487" s="1185"/>
      <c r="CD487" s="455"/>
      <c r="CE487" s="455"/>
      <c r="CF487" s="455"/>
      <c r="CG487" s="455"/>
      <c r="CH487" s="1185"/>
      <c r="CI487" s="1185"/>
      <c r="CJ487" s="1185"/>
      <c r="CK487" s="1185"/>
      <c r="CL487" s="458"/>
    </row>
    <row r="488" spans="1:90" s="979" customFormat="1" ht="15" hidden="1" customHeight="1" outlineLevel="2" x14ac:dyDescent="0.3">
      <c r="A488" s="717" t="s">
        <v>904</v>
      </c>
      <c r="B488" s="453"/>
      <c r="C488" s="1185"/>
      <c r="D488" s="1185"/>
      <c r="E488" s="1185"/>
      <c r="F488" s="1185"/>
      <c r="G488" s="455"/>
      <c r="H488" s="455"/>
      <c r="I488" s="455"/>
      <c r="J488" s="455"/>
      <c r="K488" s="1185"/>
      <c r="L488" s="455"/>
      <c r="M488" s="455"/>
      <c r="N488" s="455"/>
      <c r="O488" s="455"/>
      <c r="P488" s="1185"/>
      <c r="Q488" s="455"/>
      <c r="R488" s="455"/>
      <c r="S488" s="455"/>
      <c r="T488" s="455"/>
      <c r="U488" s="1185"/>
      <c r="V488" s="455"/>
      <c r="W488" s="455"/>
      <c r="X488" s="455"/>
      <c r="Y488" s="455"/>
      <c r="Z488" s="1185"/>
      <c r="AA488" s="455"/>
      <c r="AB488" s="455"/>
      <c r="AC488" s="455"/>
      <c r="AD488" s="455"/>
      <c r="AE488" s="1185"/>
      <c r="AF488" s="455"/>
      <c r="AG488" s="455"/>
      <c r="AH488" s="455"/>
      <c r="AI488" s="455"/>
      <c r="AJ488" s="1185"/>
      <c r="AK488" s="455"/>
      <c r="AL488" s="455"/>
      <c r="AM488" s="455"/>
      <c r="AN488" s="455"/>
      <c r="AO488" s="1185"/>
      <c r="AP488" s="455"/>
      <c r="AQ488" s="455"/>
      <c r="AR488" s="455"/>
      <c r="AS488" s="455"/>
      <c r="AT488" s="1185"/>
      <c r="AU488" s="455"/>
      <c r="AV488" s="455"/>
      <c r="AW488" s="455"/>
      <c r="AX488" s="455"/>
      <c r="AY488" s="1185"/>
      <c r="AZ488" s="455"/>
      <c r="BA488" s="455"/>
      <c r="BB488" s="455"/>
      <c r="BC488" s="455"/>
      <c r="BD488" s="1185"/>
      <c r="BE488" s="455"/>
      <c r="BF488" s="455"/>
      <c r="BG488" s="455"/>
      <c r="BH488" s="455"/>
      <c r="BI488" s="1185"/>
      <c r="BJ488" s="455"/>
      <c r="BK488" s="455"/>
      <c r="BL488" s="455"/>
      <c r="BM488" s="455"/>
      <c r="BN488" s="1185"/>
      <c r="BO488" s="455"/>
      <c r="BP488" s="455"/>
      <c r="BQ488" s="455"/>
      <c r="BR488" s="455"/>
      <c r="BS488" s="1185"/>
      <c r="BT488" s="455"/>
      <c r="BU488" s="455"/>
      <c r="BV488" s="455"/>
      <c r="BW488" s="455"/>
      <c r="BX488" s="1185"/>
      <c r="BY488" s="922"/>
      <c r="BZ488" s="455"/>
      <c r="CA488" s="455"/>
      <c r="CB488" s="455"/>
      <c r="CC488" s="1185"/>
      <c r="CD488" s="455"/>
      <c r="CE488" s="455"/>
      <c r="CF488" s="455"/>
      <c r="CG488" s="455"/>
      <c r="CH488" s="1185"/>
      <c r="CI488" s="1185"/>
      <c r="CJ488" s="1185"/>
      <c r="CK488" s="1185"/>
      <c r="CL488" s="458"/>
    </row>
    <row r="489" spans="1:90" ht="15" hidden="1" customHeight="1" outlineLevel="1" collapsed="1" x14ac:dyDescent="0.3">
      <c r="A489" s="811"/>
      <c r="B489" s="718"/>
      <c r="C489" s="1131"/>
      <c r="D489" s="1131"/>
      <c r="E489" s="1131"/>
      <c r="F489" s="1131"/>
      <c r="G489" s="882"/>
      <c r="H489" s="882"/>
      <c r="I489" s="882"/>
      <c r="J489" s="882"/>
      <c r="K489" s="1131"/>
      <c r="L489" s="882"/>
      <c r="M489" s="882"/>
      <c r="N489" s="882"/>
      <c r="O489" s="882"/>
      <c r="P489" s="1131"/>
      <c r="Q489" s="882"/>
      <c r="R489" s="882"/>
      <c r="S489" s="882"/>
      <c r="T489" s="882"/>
      <c r="U489" s="1131"/>
      <c r="V489" s="882"/>
      <c r="W489" s="882"/>
      <c r="X489" s="882"/>
      <c r="Y489" s="882"/>
      <c r="Z489" s="1131"/>
      <c r="AA489" s="882"/>
      <c r="AB489" s="882"/>
      <c r="AC489" s="882"/>
      <c r="AD489" s="882"/>
      <c r="AE489" s="1131"/>
      <c r="AF489" s="882"/>
      <c r="AG489" s="882"/>
      <c r="AH489" s="882"/>
      <c r="AI489" s="882"/>
      <c r="AJ489" s="1131"/>
      <c r="AK489" s="882"/>
      <c r="AL489" s="882"/>
      <c r="AM489" s="882"/>
      <c r="AN489" s="882"/>
      <c r="AO489" s="1131"/>
      <c r="AP489" s="882"/>
      <c r="AQ489" s="882"/>
      <c r="AR489" s="882"/>
      <c r="AS489" s="882"/>
      <c r="AT489" s="1131"/>
      <c r="AU489" s="882"/>
      <c r="AV489" s="882"/>
      <c r="AW489" s="882"/>
      <c r="AX489" s="882"/>
      <c r="AY489" s="1131"/>
      <c r="AZ489" s="882"/>
      <c r="BA489" s="882"/>
      <c r="BB489" s="882"/>
      <c r="BC489" s="882"/>
      <c r="BD489" s="1131"/>
      <c r="BE489" s="882"/>
      <c r="BF489" s="882"/>
      <c r="BG489" s="882"/>
      <c r="BH489" s="882"/>
      <c r="BI489" s="1131"/>
      <c r="BJ489" s="882"/>
      <c r="BK489" s="882"/>
      <c r="BL489" s="882"/>
      <c r="BM489" s="882"/>
      <c r="BN489" s="1131"/>
      <c r="BO489" s="882"/>
      <c r="BP489" s="882"/>
      <c r="BQ489" s="882"/>
      <c r="BR489" s="882"/>
      <c r="BS489" s="1131"/>
      <c r="BT489" s="882"/>
      <c r="BU489" s="882"/>
      <c r="BV489" s="882"/>
      <c r="BW489" s="882"/>
      <c r="BX489" s="1131"/>
      <c r="BY489" s="877"/>
      <c r="BZ489" s="882"/>
      <c r="CA489" s="882"/>
      <c r="CB489" s="882"/>
      <c r="CC489" s="1131"/>
      <c r="CD489" s="882"/>
      <c r="CE489" s="882"/>
      <c r="CF489" s="882"/>
      <c r="CG489" s="882"/>
      <c r="CH489" s="1131"/>
      <c r="CI489" s="1131"/>
      <c r="CJ489" s="1131"/>
      <c r="CK489" s="1131"/>
      <c r="CL489" s="228"/>
    </row>
    <row r="490" spans="1:90" s="227" customFormat="1" ht="15" hidden="1" customHeight="1" outlineLevel="1" x14ac:dyDescent="0.3">
      <c r="A490" s="636" t="s">
        <v>887</v>
      </c>
      <c r="B490" s="146"/>
      <c r="C490" s="1112">
        <f t="shared" ref="C490:AH490" si="1304">C480+C485+C488</f>
        <v>0</v>
      </c>
      <c r="D490" s="1112">
        <f t="shared" si="1304"/>
        <v>919.80050853801174</v>
      </c>
      <c r="E490" s="1112">
        <f t="shared" si="1304"/>
        <v>1230.4291913804714</v>
      </c>
      <c r="F490" s="1112">
        <f t="shared" si="1304"/>
        <v>577.94031286486484</v>
      </c>
      <c r="G490" s="68">
        <f t="shared" si="1304"/>
        <v>572.24</v>
      </c>
      <c r="H490" s="68">
        <f t="shared" si="1304"/>
        <v>591.12</v>
      </c>
      <c r="I490" s="68">
        <f t="shared" si="1304"/>
        <v>591.91999999999996</v>
      </c>
      <c r="J490" s="68">
        <f t="shared" si="1304"/>
        <v>606.36907999999994</v>
      </c>
      <c r="K490" s="1112">
        <f t="shared" si="1304"/>
        <v>606.36907999999994</v>
      </c>
      <c r="L490" s="68">
        <f t="shared" si="1304"/>
        <v>663.08</v>
      </c>
      <c r="M490" s="68">
        <f t="shared" si="1304"/>
        <v>684.99700832755025</v>
      </c>
      <c r="N490" s="68">
        <f t="shared" si="1304"/>
        <v>841.51058607095911</v>
      </c>
      <c r="O490" s="68">
        <f t="shared" si="1304"/>
        <v>878.1522490076336</v>
      </c>
      <c r="P490" s="1112">
        <f t="shared" si="1304"/>
        <v>878.1522490076336</v>
      </c>
      <c r="Q490" s="68">
        <f t="shared" si="1304"/>
        <v>993.22889093632955</v>
      </c>
      <c r="R490" s="68">
        <f t="shared" si="1304"/>
        <v>945.76664068584057</v>
      </c>
      <c r="S490" s="68">
        <f t="shared" si="1304"/>
        <v>1135.0319000749064</v>
      </c>
      <c r="T490" s="68">
        <f t="shared" si="1304"/>
        <v>1134.450063031742</v>
      </c>
      <c r="U490" s="1112">
        <f t="shared" si="1304"/>
        <v>1131.9722569357662</v>
      </c>
      <c r="V490" s="68">
        <f t="shared" si="1304"/>
        <v>1164.2276422764228</v>
      </c>
      <c r="W490" s="68">
        <f t="shared" si="1304"/>
        <v>1063.7562437562437</v>
      </c>
      <c r="X490" s="68">
        <f t="shared" si="1304"/>
        <v>1332.2805780754318</v>
      </c>
      <c r="Y490" s="68">
        <f t="shared" si="1304"/>
        <v>1302.7517924206213</v>
      </c>
      <c r="Z490" s="1112">
        <f t="shared" si="1304"/>
        <v>1302.7517924206213</v>
      </c>
      <c r="AA490" s="68">
        <f t="shared" si="1304"/>
        <v>1299.5665634674922</v>
      </c>
      <c r="AB490" s="68">
        <f t="shared" si="1304"/>
        <v>1337.9334500875657</v>
      </c>
      <c r="AC490" s="68">
        <f t="shared" si="1304"/>
        <v>1365.9183673469388</v>
      </c>
      <c r="AD490" s="68">
        <f t="shared" si="1304"/>
        <v>1323.1739683693875</v>
      </c>
      <c r="AE490" s="1112">
        <f t="shared" si="1304"/>
        <v>1323.1739683693875</v>
      </c>
      <c r="AF490" s="68">
        <f t="shared" si="1304"/>
        <v>1166.7957813998082</v>
      </c>
      <c r="AG490" s="68">
        <f t="shared" si="1304"/>
        <v>1218.8892268386155</v>
      </c>
      <c r="AH490" s="68">
        <f t="shared" si="1304"/>
        <v>1105.802590266876</v>
      </c>
      <c r="AI490" s="68">
        <f t="shared" ref="AI490:BK490" si="1305">AI480+AI485+AI488</f>
        <v>1068.0767963085036</v>
      </c>
      <c r="AJ490" s="1112">
        <f t="shared" si="1305"/>
        <v>1068.0767963085036</v>
      </c>
      <c r="AK490" s="68">
        <f t="shared" si="1305"/>
        <v>720</v>
      </c>
      <c r="AL490" s="68">
        <f t="shared" si="1305"/>
        <v>720</v>
      </c>
      <c r="AM490" s="68">
        <f t="shared" si="1305"/>
        <v>640</v>
      </c>
      <c r="AN490" s="68">
        <f t="shared" si="1305"/>
        <v>640</v>
      </c>
      <c r="AO490" s="1112">
        <f t="shared" si="1305"/>
        <v>640</v>
      </c>
      <c r="AP490" s="68">
        <f t="shared" si="1305"/>
        <v>720</v>
      </c>
      <c r="AQ490" s="68">
        <f t="shared" si="1305"/>
        <v>680</v>
      </c>
      <c r="AR490" s="68">
        <f t="shared" si="1305"/>
        <v>600</v>
      </c>
      <c r="AS490" s="68">
        <f t="shared" si="1305"/>
        <v>560</v>
      </c>
      <c r="AT490" s="1112">
        <f t="shared" si="1305"/>
        <v>560</v>
      </c>
      <c r="AU490" s="68">
        <f t="shared" si="1305"/>
        <v>440</v>
      </c>
      <c r="AV490" s="68">
        <f t="shared" si="1305"/>
        <v>680</v>
      </c>
      <c r="AW490" s="68">
        <f t="shared" si="1305"/>
        <v>640</v>
      </c>
      <c r="AX490" s="68">
        <f t="shared" si="1305"/>
        <v>600</v>
      </c>
      <c r="AY490" s="1112">
        <f t="shared" si="1305"/>
        <v>600</v>
      </c>
      <c r="AZ490" s="68">
        <f t="shared" si="1305"/>
        <v>480</v>
      </c>
      <c r="BA490" s="68">
        <f t="shared" si="1305"/>
        <v>560</v>
      </c>
      <c r="BB490" s="68">
        <f t="shared" si="1305"/>
        <v>520</v>
      </c>
      <c r="BC490" s="68">
        <f t="shared" si="1305"/>
        <v>460</v>
      </c>
      <c r="BD490" s="1112">
        <f t="shared" si="1305"/>
        <v>460</v>
      </c>
      <c r="BE490" s="68">
        <f t="shared" si="1305"/>
        <v>420</v>
      </c>
      <c r="BF490" s="68">
        <f t="shared" si="1305"/>
        <v>560</v>
      </c>
      <c r="BG490" s="68">
        <f t="shared" si="1305"/>
        <v>500</v>
      </c>
      <c r="BH490" s="68">
        <f t="shared" si="1305"/>
        <v>450</v>
      </c>
      <c r="BI490" s="1112">
        <f t="shared" si="1305"/>
        <v>450</v>
      </c>
      <c r="BJ490" s="68">
        <f t="shared" si="1305"/>
        <v>400</v>
      </c>
      <c r="BK490" s="68">
        <f t="shared" si="1305"/>
        <v>460</v>
      </c>
      <c r="BL490" s="68">
        <f t="shared" ref="BL490:BQ490" si="1306">BL480+BL485+BL488</f>
        <v>410</v>
      </c>
      <c r="BM490" s="68">
        <f t="shared" si="1306"/>
        <v>370</v>
      </c>
      <c r="BN490" s="1112">
        <f t="shared" si="1306"/>
        <v>370</v>
      </c>
      <c r="BO490" s="68">
        <f t="shared" si="1306"/>
        <v>380</v>
      </c>
      <c r="BP490" s="68">
        <f t="shared" si="1306"/>
        <v>348</v>
      </c>
      <c r="BQ490" s="68">
        <f t="shared" si="1306"/>
        <v>308</v>
      </c>
      <c r="BR490" s="68">
        <f>BR480+BR485+BR488</f>
        <v>274</v>
      </c>
      <c r="BS490" s="1112">
        <f>BS480+BS485+BS488</f>
        <v>274</v>
      </c>
      <c r="BT490" s="68">
        <f>BT480+BT485+BT488</f>
        <v>277</v>
      </c>
      <c r="BU490" s="68">
        <f t="shared" ref="BU490" si="1307">BU480+BU485+BU488</f>
        <v>239</v>
      </c>
      <c r="BV490" s="68">
        <f>BV480+BV485+BV488</f>
        <v>203</v>
      </c>
      <c r="BW490" s="68">
        <f>BW480+BW485+BW488</f>
        <v>189</v>
      </c>
      <c r="BX490" s="1112">
        <f>BX480+BX485+BX488</f>
        <v>189</v>
      </c>
      <c r="BY490" s="588">
        <f>BY480+BY485+BY488</f>
        <v>200</v>
      </c>
      <c r="BZ490" s="68"/>
      <c r="CA490" s="68"/>
      <c r="CB490" s="68"/>
      <c r="CC490" s="1112"/>
      <c r="CD490" s="68"/>
      <c r="CE490" s="68"/>
      <c r="CF490" s="68"/>
      <c r="CG490" s="68"/>
      <c r="CH490" s="1112"/>
      <c r="CI490" s="1112"/>
      <c r="CJ490" s="1112"/>
      <c r="CK490" s="1112"/>
      <c r="CL490" s="27"/>
    </row>
    <row r="491" spans="1:90" ht="15" hidden="1" customHeight="1" outlineLevel="1" x14ac:dyDescent="0.3">
      <c r="A491" s="605"/>
      <c r="B491" s="428"/>
      <c r="C491" s="1136"/>
      <c r="D491" s="1136"/>
      <c r="E491" s="1136"/>
      <c r="F491" s="1136"/>
      <c r="G491" s="93"/>
      <c r="H491" s="93"/>
      <c r="I491" s="93"/>
      <c r="J491" s="93"/>
      <c r="K491" s="1136"/>
      <c r="L491" s="93"/>
      <c r="M491" s="93"/>
      <c r="N491" s="93"/>
      <c r="O491" s="93"/>
      <c r="P491" s="1136"/>
      <c r="Q491" s="93"/>
      <c r="R491" s="93"/>
      <c r="S491" s="93"/>
      <c r="T491" s="93"/>
      <c r="U491" s="1136"/>
      <c r="V491" s="93"/>
      <c r="W491" s="93"/>
      <c r="X491" s="93"/>
      <c r="Y491" s="93"/>
      <c r="Z491" s="1136"/>
      <c r="AA491" s="93"/>
      <c r="AB491" s="93"/>
      <c r="AC491" s="93"/>
      <c r="AD491" s="93"/>
      <c r="AE491" s="1136"/>
      <c r="AF491" s="93"/>
      <c r="AG491" s="93"/>
      <c r="AH491" s="93"/>
      <c r="AI491" s="93"/>
      <c r="AJ491" s="1136"/>
      <c r="AK491" s="93"/>
      <c r="AL491" s="93"/>
      <c r="AM491" s="93"/>
      <c r="AN491" s="93"/>
      <c r="AO491" s="1136"/>
      <c r="AP491" s="93"/>
      <c r="AQ491" s="93"/>
      <c r="AR491" s="93"/>
      <c r="AS491" s="93"/>
      <c r="AT491" s="1136"/>
      <c r="AU491" s="93"/>
      <c r="AV491" s="93"/>
      <c r="AW491" s="93"/>
      <c r="AX491" s="93"/>
      <c r="AY491" s="1136"/>
      <c r="AZ491" s="93"/>
      <c r="BA491" s="93"/>
      <c r="BB491" s="93"/>
      <c r="BC491" s="93"/>
      <c r="BD491" s="1136"/>
      <c r="BE491" s="93"/>
      <c r="BF491" s="93"/>
      <c r="BG491" s="93"/>
      <c r="BH491" s="93"/>
      <c r="BI491" s="1136"/>
      <c r="BJ491" s="93"/>
      <c r="BK491" s="93"/>
      <c r="BL491" s="93"/>
      <c r="BM491" s="93"/>
      <c r="BN491" s="1136"/>
      <c r="BO491" s="93"/>
      <c r="BP491" s="93"/>
      <c r="BQ491" s="93"/>
      <c r="BR491" s="93"/>
      <c r="BS491" s="1136"/>
      <c r="BT491" s="93"/>
      <c r="BU491" s="93"/>
      <c r="BV491" s="93"/>
      <c r="BW491" s="93"/>
      <c r="BX491" s="1136"/>
      <c r="BY491" s="522"/>
      <c r="BZ491" s="93"/>
      <c r="CA491" s="93"/>
      <c r="CB491" s="93"/>
      <c r="CC491" s="1136"/>
      <c r="CD491" s="93"/>
      <c r="CE491" s="93"/>
      <c r="CF491" s="93"/>
      <c r="CG491" s="93"/>
      <c r="CH491" s="1136"/>
      <c r="CI491" s="1136"/>
      <c r="CJ491" s="1136"/>
      <c r="CK491" s="1136"/>
      <c r="CL491" s="228"/>
    </row>
    <row r="492" spans="1:90" s="44" customFormat="1" ht="15" hidden="1" customHeight="1" outlineLevel="1" x14ac:dyDescent="0.3">
      <c r="A492" s="600" t="s">
        <v>905</v>
      </c>
      <c r="B492" s="279"/>
      <c r="C492" s="1127">
        <f t="shared" ref="C492:AH492" si="1308">C444+C490</f>
        <v>21538.430640000002</v>
      </c>
      <c r="D492" s="1127">
        <f t="shared" si="1308"/>
        <v>23378.434548538011</v>
      </c>
      <c r="E492" s="1127">
        <f t="shared" si="1308"/>
        <v>24772.657231380472</v>
      </c>
      <c r="F492" s="1127">
        <f t="shared" si="1308"/>
        <v>25065.596792864868</v>
      </c>
      <c r="G492" s="63">
        <f t="shared" si="1308"/>
        <v>25346.983519999994</v>
      </c>
      <c r="H492" s="63">
        <f t="shared" si="1308"/>
        <v>25336.056480000007</v>
      </c>
      <c r="I492" s="63">
        <f t="shared" si="1308"/>
        <v>25635.143519999987</v>
      </c>
      <c r="J492" s="63">
        <f t="shared" si="1308"/>
        <v>25276.614440000001</v>
      </c>
      <c r="K492" s="1127">
        <f t="shared" si="1308"/>
        <v>25276.614440000001</v>
      </c>
      <c r="L492" s="63">
        <f t="shared" si="1308"/>
        <v>25342.594639999996</v>
      </c>
      <c r="M492" s="63">
        <f t="shared" si="1308"/>
        <v>22833.082368327563</v>
      </c>
      <c r="N492" s="63">
        <f t="shared" si="1308"/>
        <v>25163.025226070946</v>
      </c>
      <c r="O492" s="63">
        <f t="shared" si="1308"/>
        <v>23598.021609007632</v>
      </c>
      <c r="P492" s="1127">
        <f t="shared" si="1308"/>
        <v>23598.021609007632</v>
      </c>
      <c r="Q492" s="63">
        <f t="shared" si="1308"/>
        <v>22993.359530936334</v>
      </c>
      <c r="R492" s="63">
        <f t="shared" si="1308"/>
        <v>23585.636000685838</v>
      </c>
      <c r="S492" s="63">
        <f t="shared" si="1308"/>
        <v>22335.162540074911</v>
      </c>
      <c r="T492" s="63">
        <f t="shared" si="1308"/>
        <v>22930.970063031742</v>
      </c>
      <c r="U492" s="1127">
        <f t="shared" si="1308"/>
        <v>22928.492256935766</v>
      </c>
      <c r="V492" s="63">
        <f t="shared" si="1308"/>
        <v>23287.707642276422</v>
      </c>
      <c r="W492" s="63">
        <f t="shared" si="1308"/>
        <v>22220.276243756245</v>
      </c>
      <c r="X492" s="63">
        <f t="shared" si="1308"/>
        <v>23535.760578075431</v>
      </c>
      <c r="Y492" s="63">
        <f t="shared" si="1308"/>
        <v>22862.751792420622</v>
      </c>
      <c r="Z492" s="1127">
        <f t="shared" si="1308"/>
        <v>22862.751792420622</v>
      </c>
      <c r="AA492" s="63">
        <f t="shared" si="1308"/>
        <v>22699.566563467492</v>
      </c>
      <c r="AB492" s="63">
        <f t="shared" si="1308"/>
        <v>22657.933450087567</v>
      </c>
      <c r="AC492" s="63">
        <f t="shared" si="1308"/>
        <v>23085.918367346938</v>
      </c>
      <c r="AD492" s="63">
        <f t="shared" si="1308"/>
        <v>24723.173968369389</v>
      </c>
      <c r="AE492" s="1127">
        <f t="shared" si="1308"/>
        <v>24723.173968369389</v>
      </c>
      <c r="AF492" s="63">
        <f t="shared" si="1308"/>
        <v>25126.795781399807</v>
      </c>
      <c r="AG492" s="63">
        <f t="shared" si="1308"/>
        <v>25018.889226838615</v>
      </c>
      <c r="AH492" s="63">
        <f t="shared" si="1308"/>
        <v>25545.802590266874</v>
      </c>
      <c r="AI492" s="63">
        <f t="shared" ref="AI492:BK492" si="1309">AI444+AI490</f>
        <v>25308.076796308502</v>
      </c>
      <c r="AJ492" s="1127">
        <f t="shared" si="1309"/>
        <v>25308.076796308502</v>
      </c>
      <c r="AK492" s="63">
        <f t="shared" si="1309"/>
        <v>25000</v>
      </c>
      <c r="AL492" s="63">
        <f t="shared" si="1309"/>
        <v>25040</v>
      </c>
      <c r="AM492" s="63">
        <f t="shared" si="1309"/>
        <v>25080</v>
      </c>
      <c r="AN492" s="63">
        <f t="shared" si="1309"/>
        <v>24880</v>
      </c>
      <c r="AO492" s="1127">
        <f t="shared" si="1309"/>
        <v>24880</v>
      </c>
      <c r="AP492" s="63">
        <f t="shared" si="1309"/>
        <v>25080</v>
      </c>
      <c r="AQ492" s="63">
        <f t="shared" si="1309"/>
        <v>25040</v>
      </c>
      <c r="AR492" s="63">
        <f t="shared" si="1309"/>
        <v>25080</v>
      </c>
      <c r="AS492" s="63">
        <f t="shared" si="1309"/>
        <v>25040</v>
      </c>
      <c r="AT492" s="1127">
        <f t="shared" si="1309"/>
        <v>25040</v>
      </c>
      <c r="AU492" s="63">
        <f t="shared" si="1309"/>
        <v>25040</v>
      </c>
      <c r="AV492" s="63">
        <f t="shared" si="1309"/>
        <v>25360</v>
      </c>
      <c r="AW492" s="63">
        <f t="shared" si="1309"/>
        <v>25400</v>
      </c>
      <c r="AX492" s="63">
        <f t="shared" si="1309"/>
        <v>25400</v>
      </c>
      <c r="AY492" s="1127">
        <f t="shared" si="1309"/>
        <v>25400</v>
      </c>
      <c r="AZ492" s="63">
        <f t="shared" si="1309"/>
        <v>25400</v>
      </c>
      <c r="BA492" s="63">
        <f t="shared" si="1309"/>
        <v>25520</v>
      </c>
      <c r="BB492" s="63">
        <f t="shared" si="1309"/>
        <v>25540</v>
      </c>
      <c r="BC492" s="63">
        <f t="shared" si="1309"/>
        <v>25520</v>
      </c>
      <c r="BD492" s="1127">
        <f t="shared" si="1309"/>
        <v>25520</v>
      </c>
      <c r="BE492" s="63">
        <f t="shared" si="1309"/>
        <v>25460</v>
      </c>
      <c r="BF492" s="63">
        <f t="shared" si="1309"/>
        <v>25450</v>
      </c>
      <c r="BG492" s="63">
        <f t="shared" si="1309"/>
        <v>25180</v>
      </c>
      <c r="BH492" s="63">
        <f t="shared" si="1309"/>
        <v>25110</v>
      </c>
      <c r="BI492" s="1127">
        <f t="shared" si="1309"/>
        <v>25110</v>
      </c>
      <c r="BJ492" s="63">
        <f t="shared" si="1309"/>
        <v>25130</v>
      </c>
      <c r="BK492" s="63">
        <f t="shared" si="1309"/>
        <v>25150</v>
      </c>
      <c r="BL492" s="63">
        <f t="shared" ref="BL492:BQ492" si="1310">BL444+BL490</f>
        <v>25070</v>
      </c>
      <c r="BM492" s="63">
        <f t="shared" si="1310"/>
        <v>25010</v>
      </c>
      <c r="BN492" s="1127">
        <f t="shared" si="1310"/>
        <v>25010</v>
      </c>
      <c r="BO492" s="63">
        <f t="shared" si="1310"/>
        <v>24970</v>
      </c>
      <c r="BP492" s="63">
        <f t="shared" si="1310"/>
        <v>24910</v>
      </c>
      <c r="BQ492" s="63">
        <f t="shared" si="1310"/>
        <v>24816</v>
      </c>
      <c r="BR492" s="63">
        <f>BR444+BR490</f>
        <v>24751</v>
      </c>
      <c r="BS492" s="1127">
        <f>BS444+BS490</f>
        <v>24751</v>
      </c>
      <c r="BT492" s="63">
        <f>BT444+BT490</f>
        <v>24665</v>
      </c>
      <c r="BU492" s="63">
        <f t="shared" ref="BU492" si="1311">BU444+BU490</f>
        <v>24586</v>
      </c>
      <c r="BV492" s="63">
        <f>BV444+BV490</f>
        <v>24508</v>
      </c>
      <c r="BW492" s="63">
        <f>BW444+BW490</f>
        <v>24493</v>
      </c>
      <c r="BX492" s="1127">
        <f>BX444+BX490</f>
        <v>24493</v>
      </c>
      <c r="BY492" s="587">
        <f>BY444+BY490</f>
        <v>24421</v>
      </c>
      <c r="BZ492" s="63"/>
      <c r="CA492" s="63"/>
      <c r="CB492" s="63"/>
      <c r="CC492" s="1127"/>
      <c r="CD492" s="63"/>
      <c r="CE492" s="63"/>
      <c r="CF492" s="63"/>
      <c r="CG492" s="63"/>
      <c r="CH492" s="1127"/>
      <c r="CI492" s="1127"/>
      <c r="CJ492" s="1127"/>
      <c r="CK492" s="1127"/>
      <c r="CL492" s="28"/>
    </row>
    <row r="493" spans="1:90" ht="15" hidden="1" customHeight="1" outlineLevel="1" x14ac:dyDescent="0.3">
      <c r="A493" s="605"/>
      <c r="B493" s="428"/>
      <c r="C493" s="1136"/>
      <c r="D493" s="1136"/>
      <c r="E493" s="1136"/>
      <c r="F493" s="1136"/>
      <c r="G493" s="93"/>
      <c r="H493" s="93"/>
      <c r="I493" s="93"/>
      <c r="J493" s="93"/>
      <c r="K493" s="1136"/>
      <c r="L493" s="93"/>
      <c r="M493" s="93"/>
      <c r="N493" s="93"/>
      <c r="O493" s="93"/>
      <c r="P493" s="1136"/>
      <c r="Q493" s="93"/>
      <c r="R493" s="93"/>
      <c r="S493" s="93"/>
      <c r="T493" s="93"/>
      <c r="U493" s="1136"/>
      <c r="V493" s="93"/>
      <c r="W493" s="93"/>
      <c r="X493" s="93"/>
      <c r="Y493" s="93"/>
      <c r="Z493" s="1136"/>
      <c r="AA493" s="93"/>
      <c r="AB493" s="93"/>
      <c r="AC493" s="93"/>
      <c r="AD493" s="93"/>
      <c r="AE493" s="1136"/>
      <c r="AF493" s="93"/>
      <c r="AG493" s="93"/>
      <c r="AH493" s="93"/>
      <c r="AI493" s="93"/>
      <c r="AJ493" s="1136"/>
      <c r="AK493" s="93"/>
      <c r="AL493" s="93"/>
      <c r="AM493" s="93"/>
      <c r="AN493" s="93"/>
      <c r="AO493" s="1136"/>
      <c r="AP493" s="93"/>
      <c r="AQ493" s="93"/>
      <c r="AR493" s="93"/>
      <c r="AS493" s="93"/>
      <c r="AT493" s="1136"/>
      <c r="AU493" s="93"/>
      <c r="AV493" s="93"/>
      <c r="AW493" s="93"/>
      <c r="AX493" s="93"/>
      <c r="AY493" s="1136"/>
      <c r="AZ493" s="93"/>
      <c r="BA493" s="93"/>
      <c r="BB493" s="93"/>
      <c r="BC493" s="93"/>
      <c r="BD493" s="1136"/>
      <c r="BE493" s="93"/>
      <c r="BF493" s="93"/>
      <c r="BG493" s="93"/>
      <c r="BH493" s="93"/>
      <c r="BI493" s="1136"/>
      <c r="BJ493" s="93"/>
      <c r="BK493" s="93"/>
      <c r="BL493" s="93"/>
      <c r="BM493" s="93"/>
      <c r="BN493" s="1136"/>
      <c r="BO493" s="93"/>
      <c r="BP493" s="93"/>
      <c r="BQ493" s="93"/>
      <c r="BR493" s="93"/>
      <c r="BS493" s="1136"/>
      <c r="BT493" s="93"/>
      <c r="BU493" s="93"/>
      <c r="BV493" s="93"/>
      <c r="BW493" s="93"/>
      <c r="BX493" s="1136"/>
      <c r="BY493" s="522"/>
      <c r="BZ493" s="93"/>
      <c r="CA493" s="93"/>
      <c r="CB493" s="93"/>
      <c r="CC493" s="1136"/>
      <c r="CD493" s="93"/>
      <c r="CE493" s="93"/>
      <c r="CF493" s="93"/>
      <c r="CG493" s="93"/>
      <c r="CH493" s="1136"/>
      <c r="CI493" s="1136"/>
      <c r="CJ493" s="1136"/>
      <c r="CK493" s="1136"/>
      <c r="CL493" s="155"/>
    </row>
    <row r="494" spans="1:90" s="227" customFormat="1" ht="15" hidden="1" customHeight="1" outlineLevel="1" x14ac:dyDescent="0.3">
      <c r="A494" s="636" t="s">
        <v>889</v>
      </c>
      <c r="B494" s="146"/>
      <c r="C494" s="1113">
        <f>542.453547*(4)*(10)</f>
        <v>21698.141879999999</v>
      </c>
      <c r="D494" s="1113">
        <f>566.5*(4)*(10)</f>
        <v>22660</v>
      </c>
      <c r="E494" s="1113">
        <f>591.4*(4)*(10)</f>
        <v>23656</v>
      </c>
      <c r="F494" s="1113">
        <f>616.028107*(4)*(10)</f>
        <v>24641.12428</v>
      </c>
      <c r="G494" s="1055">
        <f>618.804109*(4)*(10)</f>
        <v>24752.164360000002</v>
      </c>
      <c r="H494" s="1055">
        <f>619.476242*(4)*(10)</f>
        <v>24779.049679999996</v>
      </c>
      <c r="I494" s="1055">
        <f>624.850798*(4)*(10)</f>
        <v>24994.031920000001</v>
      </c>
      <c r="J494" s="68">
        <f>K494</f>
        <v>24639.206880000002</v>
      </c>
      <c r="K494" s="1113">
        <f>615.980172*(4)*(10)</f>
        <v>24639.206880000002</v>
      </c>
      <c r="L494" s="1055">
        <f>577.91641*(4)*(10)</f>
        <v>23116.6564</v>
      </c>
      <c r="M494" s="1055">
        <f>578.598038*(4)*(10)</f>
        <v>23143.92152</v>
      </c>
      <c r="N494" s="1055">
        <f>568.535613*(4)*(10)</f>
        <v>22741.42452</v>
      </c>
      <c r="O494" s="68">
        <f>P494</f>
        <v>22169.656479999998</v>
      </c>
      <c r="P494" s="1113">
        <f>554.241412*(4)*(10)</f>
        <v>22169.656479999998</v>
      </c>
      <c r="Q494" s="1055">
        <f>557.966266*(4)*(10)</f>
        <v>22318.65064</v>
      </c>
      <c r="R494" s="1055">
        <f>541.915105*(4)*(10)</f>
        <v>21676.604200000002</v>
      </c>
      <c r="S494" s="1055">
        <f>543.536901*(4)*(10)</f>
        <v>21741.476039999998</v>
      </c>
      <c r="T494" s="68">
        <f>U494</f>
        <v>21993.608439999996</v>
      </c>
      <c r="U494" s="1113">
        <f>549.840211*(4)*(10)</f>
        <v>21993.608439999996</v>
      </c>
      <c r="V494" s="1055">
        <f>538*(4)*(10)</f>
        <v>21520</v>
      </c>
      <c r="W494" s="1055">
        <f>539*(4)*(10)</f>
        <v>21560</v>
      </c>
      <c r="X494" s="1055">
        <f>538*(4)*(10)</f>
        <v>21520</v>
      </c>
      <c r="Y494" s="68">
        <f>Z494</f>
        <v>21680</v>
      </c>
      <c r="Z494" s="1113">
        <f>542*(4)*(10)</f>
        <v>21680</v>
      </c>
      <c r="AA494" s="1055">
        <f>534*(4)*(10)</f>
        <v>21360</v>
      </c>
      <c r="AB494" s="1055">
        <f>535*(4)*(10)</f>
        <v>21400</v>
      </c>
      <c r="AC494" s="1055">
        <f>539*(4)*(10)</f>
        <v>21560</v>
      </c>
      <c r="AD494" s="68">
        <f>AE494</f>
        <v>23560</v>
      </c>
      <c r="AE494" s="1113">
        <f>589*(4)*(10)</f>
        <v>23560</v>
      </c>
      <c r="AF494" s="1055">
        <f>595*(4)*(10)</f>
        <v>23800</v>
      </c>
      <c r="AG494" s="1055">
        <f>600*(4)*(10)</f>
        <v>24000</v>
      </c>
      <c r="AH494" s="1055">
        <f>606*(4)*(10)</f>
        <v>24240</v>
      </c>
      <c r="AI494" s="68">
        <f>AJ494</f>
        <v>24200</v>
      </c>
      <c r="AJ494" s="1113">
        <f>605*(4)*(10)</f>
        <v>24200</v>
      </c>
      <c r="AK494" s="1055">
        <f>607*(4)*(10)</f>
        <v>24280</v>
      </c>
      <c r="AL494" s="1055">
        <f>608*(4)*(10)</f>
        <v>24320</v>
      </c>
      <c r="AM494" s="1055">
        <f>610*(4)*(10)</f>
        <v>24400</v>
      </c>
      <c r="AN494" s="68">
        <f>AO494</f>
        <v>24240</v>
      </c>
      <c r="AO494" s="1113">
        <f>606*(4)*(10)</f>
        <v>24240</v>
      </c>
      <c r="AP494" s="1055">
        <f>609*(4)*(10)</f>
        <v>24360</v>
      </c>
      <c r="AQ494" s="1055">
        <f>609*(4)*(10)</f>
        <v>24360</v>
      </c>
      <c r="AR494" s="1055">
        <f>612*(4)*(10)</f>
        <v>24480</v>
      </c>
      <c r="AS494" s="68">
        <f>AT494</f>
        <v>24480</v>
      </c>
      <c r="AT494" s="1113">
        <f>612*(4)*(10)</f>
        <v>24480</v>
      </c>
      <c r="AU494" s="1055">
        <f>615*(4)*(10)</f>
        <v>24600</v>
      </c>
      <c r="AV494" s="1055">
        <f>617*(4)*(10)</f>
        <v>24680</v>
      </c>
      <c r="AW494" s="1055">
        <f>619*(4)*(10)</f>
        <v>24760</v>
      </c>
      <c r="AX494" s="68">
        <f>AY494</f>
        <v>24800</v>
      </c>
      <c r="AY494" s="1113">
        <f>620*(4)*(10)</f>
        <v>24800</v>
      </c>
      <c r="AZ494" s="1055">
        <f>623*(4)*(10)</f>
        <v>24920</v>
      </c>
      <c r="BA494" s="1055">
        <f>2500*(10)</f>
        <v>25000</v>
      </c>
      <c r="BB494" s="1055">
        <f>2500*(10)</f>
        <v>25000</v>
      </c>
      <c r="BC494" s="68">
        <f>BD494</f>
        <v>25100</v>
      </c>
      <c r="BD494" s="1113">
        <f>2510*(10)</f>
        <v>25100</v>
      </c>
      <c r="BE494" s="1055">
        <f>2500*(10)</f>
        <v>25000</v>
      </c>
      <c r="BF494" s="1055">
        <f>2490*(10)</f>
        <v>24900</v>
      </c>
      <c r="BG494" s="1055">
        <f>2460*(10)</f>
        <v>24600</v>
      </c>
      <c r="BH494" s="68">
        <f>BI494</f>
        <v>24700</v>
      </c>
      <c r="BI494" s="1113">
        <f>2470*(10)</f>
        <v>24700</v>
      </c>
      <c r="BJ494" s="1055">
        <f>2470*(10)</f>
        <v>24700</v>
      </c>
      <c r="BK494" s="1055">
        <f>2470*(10)</f>
        <v>24700</v>
      </c>
      <c r="BL494" s="1055">
        <f>2470*(10)</f>
        <v>24700</v>
      </c>
      <c r="BM494" s="68">
        <f>BN494</f>
        <v>25000</v>
      </c>
      <c r="BN494" s="1113">
        <f>2500*(10)</f>
        <v>25000</v>
      </c>
      <c r="BO494" s="1055">
        <f>2460*(10)</f>
        <v>24600</v>
      </c>
      <c r="BP494" s="1055">
        <v>24530</v>
      </c>
      <c r="BQ494" s="1055">
        <v>24490</v>
      </c>
      <c r="BR494" s="68">
        <f>BS494</f>
        <v>24400</v>
      </c>
      <c r="BS494" s="1113">
        <v>24400</v>
      </c>
      <c r="BT494" s="1055">
        <v>24400</v>
      </c>
      <c r="BU494" s="1055">
        <v>24300</v>
      </c>
      <c r="BV494" s="1055">
        <v>24300</v>
      </c>
      <c r="BW494" s="68">
        <f>BX494</f>
        <v>24300</v>
      </c>
      <c r="BX494" s="1113">
        <v>24300</v>
      </c>
      <c r="BY494" s="1057">
        <v>24200</v>
      </c>
      <c r="BZ494" s="68"/>
      <c r="CA494" s="68"/>
      <c r="CB494" s="68"/>
      <c r="CC494" s="1112"/>
      <c r="CD494" s="68"/>
      <c r="CE494" s="68"/>
      <c r="CF494" s="68"/>
      <c r="CG494" s="68"/>
      <c r="CH494" s="1112"/>
      <c r="CI494" s="1112"/>
      <c r="CJ494" s="1112"/>
      <c r="CK494" s="1112"/>
      <c r="CL494" s="27"/>
    </row>
    <row r="495" spans="1:90" ht="15" hidden="1" customHeight="1" outlineLevel="1" x14ac:dyDescent="0.3">
      <c r="A495" s="605" t="s">
        <v>890</v>
      </c>
      <c r="B495" s="428"/>
      <c r="C495" s="1189">
        <v>39878</v>
      </c>
      <c r="D495" s="1189">
        <v>40247</v>
      </c>
      <c r="E495" s="1189">
        <v>40612</v>
      </c>
      <c r="F495" s="1189">
        <v>40977</v>
      </c>
      <c r="G495" s="1079">
        <v>41047</v>
      </c>
      <c r="H495" s="1079">
        <v>41138</v>
      </c>
      <c r="I495" s="1079">
        <v>41229</v>
      </c>
      <c r="J495" s="638">
        <f>K495</f>
        <v>41341</v>
      </c>
      <c r="K495" s="1189">
        <v>41341</v>
      </c>
      <c r="L495" s="1079">
        <v>41411</v>
      </c>
      <c r="M495" s="1079">
        <v>41502</v>
      </c>
      <c r="N495" s="1079">
        <v>41593</v>
      </c>
      <c r="O495" s="638">
        <f>P495</f>
        <v>41705</v>
      </c>
      <c r="P495" s="1189">
        <v>41705</v>
      </c>
      <c r="Q495" s="1079">
        <v>41775</v>
      </c>
      <c r="R495" s="1079">
        <v>41866</v>
      </c>
      <c r="S495" s="1079">
        <v>41957</v>
      </c>
      <c r="T495" s="638">
        <f>U495</f>
        <v>42069</v>
      </c>
      <c r="U495" s="1189">
        <v>42069</v>
      </c>
      <c r="V495" s="1079">
        <v>42139</v>
      </c>
      <c r="W495" s="1079">
        <v>42230</v>
      </c>
      <c r="X495" s="1079">
        <v>42321</v>
      </c>
      <c r="Y495" s="638">
        <f>Z495</f>
        <v>42440</v>
      </c>
      <c r="Z495" s="1189">
        <v>42440</v>
      </c>
      <c r="AA495" s="1079">
        <v>42513</v>
      </c>
      <c r="AB495" s="1079">
        <v>42601</v>
      </c>
      <c r="AC495" s="1079">
        <v>42692</v>
      </c>
      <c r="AD495" s="638">
        <f>AE495</f>
        <v>42790</v>
      </c>
      <c r="AE495" s="1189">
        <v>42790</v>
      </c>
      <c r="AF495" s="1079">
        <v>42509</v>
      </c>
      <c r="AG495" s="1079">
        <v>42965</v>
      </c>
      <c r="AH495" s="1079">
        <v>43056</v>
      </c>
      <c r="AI495" s="638">
        <f>AJ495</f>
        <v>43157</v>
      </c>
      <c r="AJ495" s="1189">
        <v>43157</v>
      </c>
      <c r="AK495" s="1079">
        <v>43238</v>
      </c>
      <c r="AL495" s="1079">
        <v>43322</v>
      </c>
      <c r="AM495" s="1079">
        <v>43413</v>
      </c>
      <c r="AN495" s="638">
        <f>AO495</f>
        <v>43511</v>
      </c>
      <c r="AO495" s="1189">
        <v>43511</v>
      </c>
      <c r="AP495" s="1079">
        <v>43595</v>
      </c>
      <c r="AQ495" s="1079">
        <v>43686</v>
      </c>
      <c r="AR495" s="1079">
        <v>43777</v>
      </c>
      <c r="AS495" s="638">
        <f>AT495</f>
        <v>43875</v>
      </c>
      <c r="AT495" s="1189">
        <v>43875</v>
      </c>
      <c r="AU495" s="1079">
        <v>43966</v>
      </c>
      <c r="AV495" s="1079">
        <v>44057</v>
      </c>
      <c r="AW495" s="1079">
        <v>44148</v>
      </c>
      <c r="AX495" s="638">
        <f>AY495</f>
        <v>44246</v>
      </c>
      <c r="AY495" s="1189">
        <v>44246</v>
      </c>
      <c r="AZ495" s="1079">
        <v>44337</v>
      </c>
      <c r="BA495" s="1079">
        <v>44421</v>
      </c>
      <c r="BB495" s="1079">
        <v>44512</v>
      </c>
      <c r="BC495" s="638">
        <f>BD495</f>
        <v>44631</v>
      </c>
      <c r="BD495" s="1189">
        <v>44631</v>
      </c>
      <c r="BE495" s="1079">
        <v>44701</v>
      </c>
      <c r="BF495" s="1079">
        <v>44792</v>
      </c>
      <c r="BG495" s="1079">
        <v>44876</v>
      </c>
      <c r="BH495" s="638">
        <f>BI495</f>
        <v>44974</v>
      </c>
      <c r="BI495" s="1189">
        <v>44974</v>
      </c>
      <c r="BJ495" s="1079">
        <v>45065</v>
      </c>
      <c r="BK495" s="1079">
        <v>45156</v>
      </c>
      <c r="BL495" s="1079">
        <v>45247</v>
      </c>
      <c r="BM495" s="638">
        <f>BN495</f>
        <v>45338</v>
      </c>
      <c r="BN495" s="1189">
        <v>45338</v>
      </c>
      <c r="BO495" s="1079">
        <v>45436</v>
      </c>
      <c r="BP495" s="1079">
        <v>45527</v>
      </c>
      <c r="BQ495" s="1079">
        <v>45611</v>
      </c>
      <c r="BR495" s="638">
        <f>BS495</f>
        <v>45709</v>
      </c>
      <c r="BS495" s="1189">
        <v>45709</v>
      </c>
      <c r="BT495" s="1079">
        <v>45800</v>
      </c>
      <c r="BU495" s="1079">
        <v>45891</v>
      </c>
      <c r="BV495" s="1079">
        <v>45975</v>
      </c>
      <c r="BW495" s="638">
        <f>BX495</f>
        <v>46073</v>
      </c>
      <c r="BX495" s="1189">
        <v>46073</v>
      </c>
      <c r="BY495" s="1080">
        <v>46157</v>
      </c>
      <c r="BZ495" s="638"/>
      <c r="CA495" s="638"/>
      <c r="CB495" s="638"/>
      <c r="CC495" s="1179"/>
      <c r="CD495" s="638"/>
      <c r="CE495" s="638"/>
      <c r="CF495" s="638"/>
      <c r="CG495" s="638"/>
      <c r="CH495" s="1179"/>
      <c r="CI495" s="1179"/>
      <c r="CJ495" s="1179"/>
      <c r="CK495" s="1179"/>
      <c r="CL495" s="155"/>
    </row>
    <row r="496" spans="1:90" s="227" customFormat="1" ht="15" hidden="1" customHeight="1" outlineLevel="1" x14ac:dyDescent="0.3">
      <c r="A496" s="636"/>
      <c r="B496" s="146"/>
      <c r="C496" s="1112"/>
      <c r="D496" s="1112"/>
      <c r="E496" s="1112"/>
      <c r="F496" s="1112"/>
      <c r="G496" s="68"/>
      <c r="H496" s="68"/>
      <c r="I496" s="68"/>
      <c r="J496" s="68"/>
      <c r="K496" s="1112"/>
      <c r="L496" s="68"/>
      <c r="M496" s="68"/>
      <c r="N496" s="68"/>
      <c r="O496" s="68"/>
      <c r="P496" s="1112"/>
      <c r="Q496" s="68"/>
      <c r="R496" s="68"/>
      <c r="S496" s="68"/>
      <c r="T496" s="68"/>
      <c r="U496" s="1112"/>
      <c r="V496" s="68"/>
      <c r="W496" s="68"/>
      <c r="X496" s="68"/>
      <c r="Y496" s="68"/>
      <c r="Z496" s="1112"/>
      <c r="AA496" s="68"/>
      <c r="AB496" s="68"/>
      <c r="AC496" s="68"/>
      <c r="AD496" s="68"/>
      <c r="AE496" s="1112"/>
      <c r="AF496" s="68"/>
      <c r="AG496" s="68"/>
      <c r="AH496" s="68"/>
      <c r="AI496" s="68"/>
      <c r="AJ496" s="1112"/>
      <c r="AK496" s="68"/>
      <c r="AL496" s="68"/>
      <c r="AM496" s="68"/>
      <c r="AN496" s="68"/>
      <c r="AO496" s="1112"/>
      <c r="AP496" s="68"/>
      <c r="AQ496" s="68"/>
      <c r="AR496" s="68"/>
      <c r="AS496" s="68"/>
      <c r="AT496" s="1112"/>
      <c r="AU496" s="68"/>
      <c r="AV496" s="68"/>
      <c r="AW496" s="68"/>
      <c r="AX496" s="68"/>
      <c r="AY496" s="1112"/>
      <c r="AZ496" s="68"/>
      <c r="BA496" s="68"/>
      <c r="BB496" s="68"/>
      <c r="BC496" s="68"/>
      <c r="BD496" s="1112"/>
      <c r="BE496" s="68"/>
      <c r="BF496" s="68"/>
      <c r="BG496" s="68"/>
      <c r="BH496" s="68"/>
      <c r="BI496" s="1112"/>
      <c r="BJ496" s="68"/>
      <c r="BK496" s="68"/>
      <c r="BL496" s="68"/>
      <c r="BM496" s="68"/>
      <c r="BN496" s="1112"/>
      <c r="BO496" s="68"/>
      <c r="BP496" s="68"/>
      <c r="BQ496" s="68"/>
      <c r="BR496" s="68"/>
      <c r="BS496" s="1112"/>
      <c r="BT496" s="68"/>
      <c r="BU496" s="68"/>
      <c r="BV496" s="68"/>
      <c r="BW496" s="68"/>
      <c r="BX496" s="1112"/>
      <c r="BY496" s="588"/>
      <c r="BZ496" s="68"/>
      <c r="CA496" s="68"/>
      <c r="CB496" s="68"/>
      <c r="CC496" s="1112"/>
      <c r="CD496" s="68"/>
      <c r="CE496" s="68"/>
      <c r="CF496" s="68"/>
      <c r="CG496" s="68"/>
      <c r="CH496" s="1112"/>
      <c r="CI496" s="1112"/>
      <c r="CJ496" s="1112"/>
      <c r="CK496" s="1112"/>
      <c r="CL496" s="27"/>
    </row>
    <row r="497" spans="1:90" s="44" customFormat="1" ht="15" hidden="1" customHeight="1" outlineLevel="1" x14ac:dyDescent="0.3">
      <c r="A497" s="600" t="s">
        <v>906</v>
      </c>
      <c r="B497" s="279"/>
      <c r="C497" s="1127">
        <f t="shared" ref="C497:AH497" si="1312">C490+C494</f>
        <v>21698.141879999999</v>
      </c>
      <c r="D497" s="1127">
        <f t="shared" si="1312"/>
        <v>23579.80050853801</v>
      </c>
      <c r="E497" s="1127">
        <f t="shared" si="1312"/>
        <v>24886.42919138047</v>
      </c>
      <c r="F497" s="1127">
        <f t="shared" si="1312"/>
        <v>25219.064592864866</v>
      </c>
      <c r="G497" s="63">
        <f t="shared" si="1312"/>
        <v>25324.404360000004</v>
      </c>
      <c r="H497" s="63">
        <f t="shared" si="1312"/>
        <v>25370.169679999995</v>
      </c>
      <c r="I497" s="63">
        <f t="shared" si="1312"/>
        <v>25585.95192</v>
      </c>
      <c r="J497" s="63">
        <f t="shared" si="1312"/>
        <v>25245.575960000002</v>
      </c>
      <c r="K497" s="1127">
        <f t="shared" si="1312"/>
        <v>25245.575960000002</v>
      </c>
      <c r="L497" s="63">
        <f t="shared" si="1312"/>
        <v>23779.736400000002</v>
      </c>
      <c r="M497" s="63">
        <f t="shared" si="1312"/>
        <v>23828.918528327551</v>
      </c>
      <c r="N497" s="63">
        <f t="shared" si="1312"/>
        <v>23582.93510607096</v>
      </c>
      <c r="O497" s="63">
        <f t="shared" si="1312"/>
        <v>23047.808729007633</v>
      </c>
      <c r="P497" s="1127">
        <f t="shared" si="1312"/>
        <v>23047.808729007633</v>
      </c>
      <c r="Q497" s="63">
        <f t="shared" si="1312"/>
        <v>23311.87953093633</v>
      </c>
      <c r="R497" s="63">
        <f t="shared" si="1312"/>
        <v>22622.370840685842</v>
      </c>
      <c r="S497" s="63">
        <f t="shared" si="1312"/>
        <v>22876.507940074905</v>
      </c>
      <c r="T497" s="63">
        <f t="shared" si="1312"/>
        <v>23128.058503031738</v>
      </c>
      <c r="U497" s="1127">
        <f t="shared" si="1312"/>
        <v>23125.580696935762</v>
      </c>
      <c r="V497" s="63">
        <f t="shared" si="1312"/>
        <v>22684.227642276423</v>
      </c>
      <c r="W497" s="63">
        <f t="shared" si="1312"/>
        <v>22623.756243756245</v>
      </c>
      <c r="X497" s="63">
        <f t="shared" si="1312"/>
        <v>22852.280578075432</v>
      </c>
      <c r="Y497" s="63">
        <f t="shared" si="1312"/>
        <v>22982.751792420622</v>
      </c>
      <c r="Z497" s="1127">
        <f t="shared" si="1312"/>
        <v>22982.751792420622</v>
      </c>
      <c r="AA497" s="63">
        <f t="shared" si="1312"/>
        <v>22659.566563467492</v>
      </c>
      <c r="AB497" s="63">
        <f t="shared" si="1312"/>
        <v>22737.933450087567</v>
      </c>
      <c r="AC497" s="63">
        <f t="shared" si="1312"/>
        <v>22925.918367346938</v>
      </c>
      <c r="AD497" s="63">
        <f t="shared" si="1312"/>
        <v>24883.173968369389</v>
      </c>
      <c r="AE497" s="1127">
        <f t="shared" si="1312"/>
        <v>24883.173968369389</v>
      </c>
      <c r="AF497" s="63">
        <f t="shared" si="1312"/>
        <v>24966.795781399807</v>
      </c>
      <c r="AG497" s="63">
        <f t="shared" si="1312"/>
        <v>25218.889226838615</v>
      </c>
      <c r="AH497" s="63">
        <f t="shared" si="1312"/>
        <v>25345.802590266874</v>
      </c>
      <c r="AI497" s="63">
        <f t="shared" ref="AI497:BN497" si="1313">AI490+AI494</f>
        <v>25268.076796308502</v>
      </c>
      <c r="AJ497" s="1127">
        <f t="shared" si="1313"/>
        <v>25268.076796308502</v>
      </c>
      <c r="AK497" s="63">
        <f t="shared" si="1313"/>
        <v>25000</v>
      </c>
      <c r="AL497" s="63">
        <f t="shared" si="1313"/>
        <v>25040</v>
      </c>
      <c r="AM497" s="63">
        <f t="shared" si="1313"/>
        <v>25040</v>
      </c>
      <c r="AN497" s="63">
        <f t="shared" si="1313"/>
        <v>24880</v>
      </c>
      <c r="AO497" s="1127">
        <f t="shared" si="1313"/>
        <v>24880</v>
      </c>
      <c r="AP497" s="63">
        <f t="shared" si="1313"/>
        <v>25080</v>
      </c>
      <c r="AQ497" s="63">
        <f t="shared" si="1313"/>
        <v>25040</v>
      </c>
      <c r="AR497" s="63">
        <f t="shared" si="1313"/>
        <v>25080</v>
      </c>
      <c r="AS497" s="63">
        <f t="shared" si="1313"/>
        <v>25040</v>
      </c>
      <c r="AT497" s="1127">
        <f t="shared" si="1313"/>
        <v>25040</v>
      </c>
      <c r="AU497" s="63">
        <f t="shared" si="1313"/>
        <v>25040</v>
      </c>
      <c r="AV497" s="63">
        <f t="shared" si="1313"/>
        <v>25360</v>
      </c>
      <c r="AW497" s="63">
        <f t="shared" si="1313"/>
        <v>25400</v>
      </c>
      <c r="AX497" s="63">
        <f t="shared" si="1313"/>
        <v>25400</v>
      </c>
      <c r="AY497" s="1127">
        <f t="shared" si="1313"/>
        <v>25400</v>
      </c>
      <c r="AZ497" s="63">
        <f t="shared" si="1313"/>
        <v>25400</v>
      </c>
      <c r="BA497" s="63">
        <f t="shared" si="1313"/>
        <v>25560</v>
      </c>
      <c r="BB497" s="63">
        <f t="shared" si="1313"/>
        <v>25520</v>
      </c>
      <c r="BC497" s="63">
        <f t="shared" si="1313"/>
        <v>25560</v>
      </c>
      <c r="BD497" s="1127">
        <f t="shared" si="1313"/>
        <v>25560</v>
      </c>
      <c r="BE497" s="63">
        <f t="shared" si="1313"/>
        <v>25420</v>
      </c>
      <c r="BF497" s="63">
        <f t="shared" si="1313"/>
        <v>25460</v>
      </c>
      <c r="BG497" s="63">
        <f t="shared" si="1313"/>
        <v>25100</v>
      </c>
      <c r="BH497" s="63">
        <f t="shared" si="1313"/>
        <v>25150</v>
      </c>
      <c r="BI497" s="1127">
        <f t="shared" si="1313"/>
        <v>25150</v>
      </c>
      <c r="BJ497" s="63">
        <f t="shared" si="1313"/>
        <v>25100</v>
      </c>
      <c r="BK497" s="63">
        <f t="shared" si="1313"/>
        <v>25160</v>
      </c>
      <c r="BL497" s="63">
        <f t="shared" si="1313"/>
        <v>25110</v>
      </c>
      <c r="BM497" s="63">
        <f t="shared" si="1313"/>
        <v>25370</v>
      </c>
      <c r="BN497" s="1127">
        <f t="shared" si="1313"/>
        <v>25370</v>
      </c>
      <c r="BO497" s="63">
        <f t="shared" ref="BO497:BV497" si="1314">BO490+BO494</f>
        <v>24980</v>
      </c>
      <c r="BP497" s="63">
        <f t="shared" si="1314"/>
        <v>24878</v>
      </c>
      <c r="BQ497" s="63">
        <f t="shared" si="1314"/>
        <v>24798</v>
      </c>
      <c r="BR497" s="63">
        <f t="shared" si="1314"/>
        <v>24674</v>
      </c>
      <c r="BS497" s="1127">
        <f t="shared" si="1314"/>
        <v>24674</v>
      </c>
      <c r="BT497" s="63">
        <f t="shared" si="1314"/>
        <v>24677</v>
      </c>
      <c r="BU497" s="63">
        <f t="shared" si="1314"/>
        <v>24539</v>
      </c>
      <c r="BV497" s="63">
        <f t="shared" si="1314"/>
        <v>24503</v>
      </c>
      <c r="BW497" s="63">
        <f t="shared" ref="BW497:BY497" si="1315">BW490+BW494</f>
        <v>24489</v>
      </c>
      <c r="BX497" s="1127">
        <f t="shared" si="1315"/>
        <v>24489</v>
      </c>
      <c r="BY497" s="587">
        <f t="shared" si="1315"/>
        <v>24400</v>
      </c>
      <c r="BZ497" s="63"/>
      <c r="CA497" s="63"/>
      <c r="CB497" s="63"/>
      <c r="CC497" s="1127"/>
      <c r="CD497" s="63"/>
      <c r="CE497" s="63"/>
      <c r="CF497" s="63"/>
      <c r="CG497" s="63"/>
      <c r="CH497" s="1127"/>
      <c r="CI497" s="1127"/>
      <c r="CJ497" s="1127"/>
      <c r="CK497" s="1127"/>
      <c r="CL497" s="28"/>
    </row>
    <row r="498" spans="1:90" s="227" customFormat="1" ht="15" hidden="1" customHeight="1" outlineLevel="1" x14ac:dyDescent="0.3">
      <c r="A498" s="636"/>
      <c r="B498" s="146"/>
      <c r="C498" s="1112"/>
      <c r="D498" s="1112"/>
      <c r="E498" s="1112"/>
      <c r="F498" s="1112"/>
      <c r="G498" s="68"/>
      <c r="H498" s="68"/>
      <c r="I498" s="68"/>
      <c r="J498" s="68"/>
      <c r="K498" s="1112"/>
      <c r="L498" s="68"/>
      <c r="M498" s="68"/>
      <c r="N498" s="68"/>
      <c r="O498" s="68"/>
      <c r="P498" s="1112"/>
      <c r="Q498" s="68"/>
      <c r="R498" s="68"/>
      <c r="S498" s="68"/>
      <c r="T498" s="68"/>
      <c r="U498" s="1112"/>
      <c r="V498" s="68"/>
      <c r="W498" s="68"/>
      <c r="X498" s="68"/>
      <c r="Y498" s="68"/>
      <c r="Z498" s="1112"/>
      <c r="AA498" s="68"/>
      <c r="AB498" s="68"/>
      <c r="AC498" s="68"/>
      <c r="AD498" s="68"/>
      <c r="AE498" s="1112"/>
      <c r="AF498" s="68"/>
      <c r="AG498" s="68"/>
      <c r="AH498" s="68"/>
      <c r="AI498" s="68"/>
      <c r="AJ498" s="1112"/>
      <c r="AK498" s="68"/>
      <c r="AL498" s="68"/>
      <c r="AM498" s="68"/>
      <c r="AN498" s="68"/>
      <c r="AO498" s="1112"/>
      <c r="AP498" s="68"/>
      <c r="AQ498" s="68"/>
      <c r="AR498" s="68"/>
      <c r="AS498" s="68"/>
      <c r="AT498" s="1112"/>
      <c r="AU498" s="68"/>
      <c r="AV498" s="68"/>
      <c r="AW498" s="68"/>
      <c r="AX498" s="68"/>
      <c r="AY498" s="1112"/>
      <c r="AZ498" s="68"/>
      <c r="BA498" s="68"/>
      <c r="BB498" s="68"/>
      <c r="BC498" s="68"/>
      <c r="BD498" s="1112"/>
      <c r="BE498" s="68"/>
      <c r="BF498" s="68"/>
      <c r="BG498" s="68"/>
      <c r="BH498" s="68"/>
      <c r="BI498" s="1112"/>
      <c r="BJ498" s="68"/>
      <c r="BK498" s="68"/>
      <c r="BL498" s="68"/>
      <c r="BM498" s="68"/>
      <c r="BN498" s="1112"/>
      <c r="BO498" s="68"/>
      <c r="BP498" s="68"/>
      <c r="BQ498" s="68"/>
      <c r="BR498" s="68"/>
      <c r="BS498" s="1112"/>
      <c r="BT498" s="68"/>
      <c r="BU498" s="68"/>
      <c r="BV498" s="68"/>
      <c r="BW498" s="68"/>
      <c r="BX498" s="1112"/>
      <c r="BY498" s="588"/>
      <c r="BZ498" s="68"/>
      <c r="CA498" s="68"/>
      <c r="CB498" s="68"/>
      <c r="CC498" s="1112"/>
      <c r="CD498" s="68"/>
      <c r="CE498" s="68"/>
      <c r="CF498" s="68"/>
      <c r="CG498" s="68"/>
      <c r="CH498" s="1112"/>
      <c r="CI498" s="1112"/>
      <c r="CJ498" s="1112"/>
      <c r="CK498" s="1112"/>
      <c r="CL498" s="27"/>
    </row>
    <row r="499" spans="1:90" s="227" customFormat="1" ht="15" hidden="1" customHeight="1" outlineLevel="2" x14ac:dyDescent="0.3">
      <c r="A499" s="99" t="s">
        <v>1219</v>
      </c>
      <c r="B499" s="146"/>
      <c r="C499" s="1112"/>
      <c r="D499" s="1112"/>
      <c r="E499" s="1112"/>
      <c r="F499" s="1112"/>
      <c r="G499" s="68"/>
      <c r="H499" s="68"/>
      <c r="I499" s="68"/>
      <c r="J499" s="68"/>
      <c r="K499" s="1112"/>
      <c r="L499" s="68"/>
      <c r="M499" s="1055">
        <f>(4*36900)*(10)</f>
        <v>1476000</v>
      </c>
      <c r="N499" s="68"/>
      <c r="O499" s="1055">
        <f>(4*1500)*(10)</f>
        <v>60000</v>
      </c>
      <c r="P499" s="1112"/>
      <c r="Q499" s="1055">
        <f>(4*20600)*(10)</f>
        <v>824000</v>
      </c>
      <c r="R499" s="68"/>
      <c r="S499" s="1055">
        <f>(4*10900)*(10)</f>
        <v>436000</v>
      </c>
      <c r="T499" s="68"/>
      <c r="U499" s="1112"/>
      <c r="V499" s="68"/>
      <c r="W499" s="1055">
        <f>(4*14000)*(10)</f>
        <v>560000</v>
      </c>
      <c r="X499" s="68"/>
      <c r="Y499" s="1055">
        <f>(4*3047.106)*(10)</f>
        <v>121884.24</v>
      </c>
      <c r="Z499" s="1112"/>
      <c r="AA499" s="68"/>
      <c r="AB499" s="68"/>
      <c r="AC499" s="68"/>
      <c r="AD499" s="1055">
        <f>(4*2500)*(10)</f>
        <v>100000</v>
      </c>
      <c r="AE499" s="1112"/>
      <c r="AF499" s="68"/>
      <c r="AG499" s="68"/>
      <c r="AH499" s="68"/>
      <c r="AI499" s="68"/>
      <c r="AJ499" s="1112"/>
      <c r="AK499" s="1055">
        <f>(4*2000)*(10)</f>
        <v>80000</v>
      </c>
      <c r="AL499" s="68"/>
      <c r="AM499" s="1055">
        <f>(4*116)*(10)</f>
        <v>4640</v>
      </c>
      <c r="AN499" s="1055">
        <f>(4*123)*(10)</f>
        <v>4920</v>
      </c>
      <c r="AO499" s="1112"/>
      <c r="AP499" s="68"/>
      <c r="AQ499" s="68"/>
      <c r="AR499" s="68"/>
      <c r="AS499" s="68"/>
      <c r="AT499" s="1112"/>
      <c r="AU499" s="68"/>
      <c r="AV499" s="68"/>
      <c r="AW499" s="68"/>
      <c r="AX499" s="68"/>
      <c r="AY499" s="1112"/>
      <c r="AZ499" s="68"/>
      <c r="BA499" s="68"/>
      <c r="BB499" s="68"/>
      <c r="BC499" s="68"/>
      <c r="BD499" s="1112"/>
      <c r="BE499" s="68"/>
      <c r="BF499" s="1055">
        <f>3000*(10)</f>
        <v>30000</v>
      </c>
      <c r="BG499" s="1055">
        <f>1000*(10)</f>
        <v>10000</v>
      </c>
      <c r="BH499" s="1055">
        <f>7000*(10)</f>
        <v>70000</v>
      </c>
      <c r="BI499" s="1112"/>
      <c r="BJ499" s="68"/>
      <c r="BK499" s="1055">
        <f>0*(10)</f>
        <v>0</v>
      </c>
      <c r="BL499" s="1055">
        <f>2200*(10)</f>
        <v>22000</v>
      </c>
      <c r="BM499" s="1055">
        <f>900*(10)</f>
        <v>9000</v>
      </c>
      <c r="BN499" s="1112"/>
      <c r="BO499" s="1055">
        <f>3400*(10)</f>
        <v>34000</v>
      </c>
      <c r="BP499" s="1055">
        <v>23000</v>
      </c>
      <c r="BQ499" s="1055">
        <v>30200</v>
      </c>
      <c r="BR499" s="1055">
        <v>25400</v>
      </c>
      <c r="BS499" s="1112"/>
      <c r="BT499" s="1055">
        <v>28600</v>
      </c>
      <c r="BU499" s="1055">
        <v>19200</v>
      </c>
      <c r="BV499" s="1055">
        <v>17900</v>
      </c>
      <c r="BW499" s="1055">
        <v>5600</v>
      </c>
      <c r="BX499" s="1112"/>
      <c r="BY499" s="1057">
        <v>8200</v>
      </c>
      <c r="BZ499" s="68"/>
      <c r="CA499" s="68"/>
      <c r="CB499" s="68"/>
      <c r="CC499" s="1112"/>
      <c r="CD499" s="68"/>
      <c r="CE499" s="68"/>
      <c r="CF499" s="68"/>
      <c r="CG499" s="68"/>
      <c r="CH499" s="1112"/>
      <c r="CI499" s="1112"/>
      <c r="CJ499" s="1112"/>
      <c r="CK499" s="1112"/>
      <c r="CL499" s="27"/>
    </row>
    <row r="500" spans="1:90" s="227" customFormat="1" ht="15" hidden="1" customHeight="1" outlineLevel="2" x14ac:dyDescent="0.3">
      <c r="A500" s="99" t="s">
        <v>1220</v>
      </c>
      <c r="B500" s="146"/>
      <c r="C500" s="1112"/>
      <c r="D500" s="1112"/>
      <c r="E500" s="1112"/>
      <c r="F500" s="1112"/>
      <c r="G500" s="68"/>
      <c r="H500" s="68"/>
      <c r="I500" s="68"/>
      <c r="J500" s="1055">
        <f>(4*7300)*(10)</f>
        <v>292000</v>
      </c>
      <c r="K500" s="1112"/>
      <c r="L500" s="1055">
        <f>(4*4200)*(10)</f>
        <v>168000</v>
      </c>
      <c r="M500" s="68"/>
      <c r="N500" s="68"/>
      <c r="O500" s="1055">
        <f>(4*900)*(10)</f>
        <v>36000</v>
      </c>
      <c r="P500" s="1112"/>
      <c r="Q500" s="68"/>
      <c r="R500" s="68"/>
      <c r="S500" s="68"/>
      <c r="T500" s="1055">
        <f>(4*200)*(10)</f>
        <v>8000</v>
      </c>
      <c r="U500" s="1112"/>
      <c r="V500" s="68"/>
      <c r="W500" s="68"/>
      <c r="X500" s="68"/>
      <c r="Y500" s="68"/>
      <c r="Z500" s="1112"/>
      <c r="AA500" s="68"/>
      <c r="AB500" s="68"/>
      <c r="AC500" s="68"/>
      <c r="AD500" s="68"/>
      <c r="AE500" s="1112"/>
      <c r="AF500" s="68"/>
      <c r="AG500" s="1055">
        <f>(4*3000)*(10)</f>
        <v>120000</v>
      </c>
      <c r="AH500" s="1055">
        <f>(4*1000)*(10)</f>
        <v>40000</v>
      </c>
      <c r="AI500" s="68"/>
      <c r="AJ500" s="1112"/>
      <c r="AK500" s="1055">
        <f>(4*1000)*(10)</f>
        <v>40000</v>
      </c>
      <c r="AL500" s="68"/>
      <c r="AM500" s="1055">
        <f>(4*567)*(10)</f>
        <v>22680</v>
      </c>
      <c r="AN500" s="1055">
        <f>(4*3304)*(10)</f>
        <v>132160</v>
      </c>
      <c r="AO500" s="1112"/>
      <c r="AP500" s="68"/>
      <c r="AQ500" s="68"/>
      <c r="AR500" s="68"/>
      <c r="AS500" s="68"/>
      <c r="AT500" s="1112"/>
      <c r="AU500" s="68"/>
      <c r="AV500" s="68"/>
      <c r="AW500" s="68"/>
      <c r="AX500" s="68"/>
      <c r="AY500" s="1112"/>
      <c r="AZ500" s="68"/>
      <c r="BA500" s="68"/>
      <c r="BB500" s="68"/>
      <c r="BC500" s="68"/>
      <c r="BD500" s="1112"/>
      <c r="BE500" s="1055">
        <f>8600*(10)</f>
        <v>86000</v>
      </c>
      <c r="BF500" s="1055">
        <f>16000*(10)</f>
        <v>160000</v>
      </c>
      <c r="BG500" s="1055">
        <f>10000*(10)</f>
        <v>100000</v>
      </c>
      <c r="BH500" s="1055">
        <f>0*(10)</f>
        <v>0</v>
      </c>
      <c r="BI500" s="1112"/>
      <c r="BJ500" s="68"/>
      <c r="BK500" s="1055">
        <f>1900*(10)</f>
        <v>19000</v>
      </c>
      <c r="BL500" s="1055">
        <f>2600*(10)</f>
        <v>26000</v>
      </c>
      <c r="BM500" s="1055">
        <f>1100*(10)</f>
        <v>11000</v>
      </c>
      <c r="BN500" s="1112"/>
      <c r="BO500" s="1055">
        <f>2300*(10)</f>
        <v>23000</v>
      </c>
      <c r="BP500" s="1055">
        <v>14700</v>
      </c>
      <c r="BQ500" s="1055">
        <v>27300</v>
      </c>
      <c r="BR500" s="1055">
        <v>10600</v>
      </c>
      <c r="BS500" s="1112"/>
      <c r="BT500" s="1055">
        <v>28500</v>
      </c>
      <c r="BU500" s="1055">
        <v>18100</v>
      </c>
      <c r="BV500" s="1055">
        <v>21100</v>
      </c>
      <c r="BW500" s="1055">
        <v>6600</v>
      </c>
      <c r="BX500" s="1112"/>
      <c r="BY500" s="1057">
        <v>9000</v>
      </c>
      <c r="BZ500" s="68"/>
      <c r="CA500" s="68"/>
      <c r="CB500" s="68"/>
      <c r="CC500" s="1112"/>
      <c r="CD500" s="68"/>
      <c r="CE500" s="68"/>
      <c r="CF500" s="68"/>
      <c r="CG500" s="68"/>
      <c r="CH500" s="1112"/>
      <c r="CI500" s="1112"/>
      <c r="CJ500" s="1112"/>
      <c r="CK500" s="1112"/>
      <c r="CL500" s="27"/>
    </row>
    <row r="501" spans="1:90" s="227" customFormat="1" ht="15" hidden="1" customHeight="1" outlineLevel="2" x14ac:dyDescent="0.3">
      <c r="A501" s="282" t="s">
        <v>1221</v>
      </c>
      <c r="B501" s="149"/>
      <c r="C501" s="1123"/>
      <c r="D501" s="1123"/>
      <c r="E501" s="1123"/>
      <c r="F501" s="1123"/>
      <c r="G501" s="109"/>
      <c r="H501" s="109"/>
      <c r="I501" s="109"/>
      <c r="J501" s="1062">
        <f>(4*1100)*(10)</f>
        <v>44000</v>
      </c>
      <c r="K501" s="1123"/>
      <c r="L501" s="1062">
        <f>(4*3800)*(10)</f>
        <v>152000</v>
      </c>
      <c r="M501" s="109"/>
      <c r="N501" s="1062">
        <f>(4*14600)*(10)</f>
        <v>584000</v>
      </c>
      <c r="O501" s="109"/>
      <c r="P501" s="1123"/>
      <c r="Q501" s="109"/>
      <c r="R501" s="1062">
        <f>(4*6800)*(10)</f>
        <v>272000</v>
      </c>
      <c r="S501" s="1062">
        <f>(4*5900)*(10)</f>
        <v>236000</v>
      </c>
      <c r="T501" s="109"/>
      <c r="U501" s="1123"/>
      <c r="V501" s="1062">
        <f>(4*2400)*(10)</f>
        <v>96000</v>
      </c>
      <c r="W501" s="109"/>
      <c r="X501" s="1062">
        <f>(4*4000)*(10)</f>
        <v>160000</v>
      </c>
      <c r="Y501" s="1062">
        <f>(4*1205.682)*(10)</f>
        <v>48227.28</v>
      </c>
      <c r="Z501" s="1123"/>
      <c r="AA501" s="1062">
        <f>(4*12108.718)*(10)</f>
        <v>484348.72000000003</v>
      </c>
      <c r="AB501" s="109"/>
      <c r="AC501" s="109"/>
      <c r="AD501" s="109"/>
      <c r="AE501" s="1123"/>
      <c r="AF501" s="109"/>
      <c r="AG501" s="1062">
        <f>(4*2000)*(10)</f>
        <v>80000</v>
      </c>
      <c r="AH501" s="109"/>
      <c r="AI501" s="109"/>
      <c r="AJ501" s="1123"/>
      <c r="AK501" s="109"/>
      <c r="AL501" s="109"/>
      <c r="AM501" s="1062">
        <f>(4*82)*(10)</f>
        <v>3280</v>
      </c>
      <c r="AN501" s="1062">
        <f>(4*1777)*(10)</f>
        <v>71080</v>
      </c>
      <c r="AO501" s="1123"/>
      <c r="AP501" s="109"/>
      <c r="AQ501" s="109"/>
      <c r="AR501" s="109"/>
      <c r="AS501" s="109"/>
      <c r="AT501" s="1123"/>
      <c r="AU501" s="109"/>
      <c r="AV501" s="109"/>
      <c r="AW501" s="109"/>
      <c r="AX501" s="109"/>
      <c r="AY501" s="1123"/>
      <c r="AZ501" s="109"/>
      <c r="BA501" s="109"/>
      <c r="BB501" s="109"/>
      <c r="BC501" s="109"/>
      <c r="BD501" s="1123"/>
      <c r="BE501" s="109"/>
      <c r="BF501" s="109"/>
      <c r="BG501" s="1062">
        <f>17000*(10)</f>
        <v>170000</v>
      </c>
      <c r="BH501" s="1062">
        <f>0*(10)</f>
        <v>0</v>
      </c>
      <c r="BI501" s="1123"/>
      <c r="BJ501" s="109"/>
      <c r="BK501" s="1062">
        <f>5600*(10)</f>
        <v>56000</v>
      </c>
      <c r="BL501" s="1062">
        <f>3500*(10)</f>
        <v>35000</v>
      </c>
      <c r="BM501" s="1062">
        <f>3300*(10)</f>
        <v>33000</v>
      </c>
      <c r="BN501" s="1123"/>
      <c r="BO501" s="1062">
        <f>4200*(10)</f>
        <v>42000</v>
      </c>
      <c r="BP501" s="1062">
        <v>25100</v>
      </c>
      <c r="BQ501" s="1062">
        <v>34800</v>
      </c>
      <c r="BR501" s="1062">
        <v>19300</v>
      </c>
      <c r="BS501" s="1123"/>
      <c r="BT501" s="1062">
        <v>69100</v>
      </c>
      <c r="BU501" s="1062">
        <v>29200</v>
      </c>
      <c r="BV501" s="1062">
        <v>30600</v>
      </c>
      <c r="BW501" s="1062">
        <v>7300</v>
      </c>
      <c r="BX501" s="1123"/>
      <c r="BY501" s="1063">
        <v>91100</v>
      </c>
      <c r="BZ501" s="109"/>
      <c r="CA501" s="109"/>
      <c r="CB501" s="109"/>
      <c r="CC501" s="1123"/>
      <c r="CD501" s="109"/>
      <c r="CE501" s="109"/>
      <c r="CF501" s="109"/>
      <c r="CG501" s="109"/>
      <c r="CH501" s="1123"/>
      <c r="CI501" s="1123"/>
      <c r="CJ501" s="1123"/>
      <c r="CK501" s="1123"/>
      <c r="CL501" s="27"/>
    </row>
    <row r="502" spans="1:90" s="227" customFormat="1" ht="15" hidden="1" customHeight="1" outlineLevel="1" collapsed="1" x14ac:dyDescent="0.3">
      <c r="A502" s="636" t="s">
        <v>1222</v>
      </c>
      <c r="B502" s="146"/>
      <c r="C502" s="1113">
        <f>10*4*29300</f>
        <v>1172000</v>
      </c>
      <c r="D502" s="1112"/>
      <c r="E502" s="1112"/>
      <c r="F502" s="1112"/>
      <c r="G502" s="68"/>
      <c r="H502" s="68"/>
      <c r="I502" s="68"/>
      <c r="J502" s="68">
        <f>SUM(J499:J501)</f>
        <v>336000</v>
      </c>
      <c r="K502" s="1112">
        <f>SUM(G502,H502,I502,J502)</f>
        <v>336000</v>
      </c>
      <c r="L502" s="68">
        <f>SUM(L499:L501)</f>
        <v>320000</v>
      </c>
      <c r="M502" s="68">
        <f>SUM(M499:M501)</f>
        <v>1476000</v>
      </c>
      <c r="N502" s="68">
        <f>SUM(N499:N501)</f>
        <v>584000</v>
      </c>
      <c r="O502" s="68">
        <f>SUM(O499:O501)</f>
        <v>96000</v>
      </c>
      <c r="P502" s="1112">
        <f>SUM(L502,M502,N502,O502)</f>
        <v>2476000</v>
      </c>
      <c r="Q502" s="68">
        <f>SUM(Q499:Q501)</f>
        <v>824000</v>
      </c>
      <c r="R502" s="68">
        <f>SUM(R499:R501)</f>
        <v>272000</v>
      </c>
      <c r="S502" s="68">
        <f>SUM(S499:S501)</f>
        <v>672000</v>
      </c>
      <c r="T502" s="68">
        <f>SUM(T499:T501)</f>
        <v>8000</v>
      </c>
      <c r="U502" s="1112">
        <f>SUM(Q502,R502,S502,T502)</f>
        <v>1776000</v>
      </c>
      <c r="V502" s="68">
        <f>SUM(V499:V501)</f>
        <v>96000</v>
      </c>
      <c r="W502" s="68">
        <f>SUM(W499:W501)</f>
        <v>560000</v>
      </c>
      <c r="X502" s="68">
        <f>SUM(X499:X501)</f>
        <v>160000</v>
      </c>
      <c r="Y502" s="68">
        <f>SUM(Y499:Y501)</f>
        <v>170111.52000000002</v>
      </c>
      <c r="Z502" s="1112">
        <f>SUM(V502,W502,X502,Y502)</f>
        <v>986111.52</v>
      </c>
      <c r="AA502" s="68">
        <f>SUM(AA499:AA501)</f>
        <v>484348.72000000003</v>
      </c>
      <c r="AB502" s="68">
        <f>SUM(AB499:AB501)</f>
        <v>0</v>
      </c>
      <c r="AC502" s="68">
        <f>SUM(AC499:AC501)</f>
        <v>0</v>
      </c>
      <c r="AD502" s="68">
        <f>SUM(AD499:AD501)</f>
        <v>100000</v>
      </c>
      <c r="AE502" s="1112">
        <f>SUM(AA502,AB502,AC502,AD502)</f>
        <v>584348.72</v>
      </c>
      <c r="AF502" s="68">
        <f>SUM(AF499:AF501)</f>
        <v>0</v>
      </c>
      <c r="AG502" s="68">
        <f>SUM(AG499:AG501)</f>
        <v>200000</v>
      </c>
      <c r="AH502" s="68">
        <f>SUM(AH499:AH501)</f>
        <v>40000</v>
      </c>
      <c r="AI502" s="68">
        <f>SUM(AI499:AI501)</f>
        <v>0</v>
      </c>
      <c r="AJ502" s="1112">
        <f>SUM(AF502,AG502,AH502,AI502)</f>
        <v>240000</v>
      </c>
      <c r="AK502" s="68">
        <f>SUM(AK499:AK501)</f>
        <v>120000</v>
      </c>
      <c r="AL502" s="68">
        <f>SUM(AL499:AL501)</f>
        <v>0</v>
      </c>
      <c r="AM502" s="68">
        <f>SUM(AM499:AM501)</f>
        <v>30600</v>
      </c>
      <c r="AN502" s="68">
        <f>SUM(AN499:AN501)</f>
        <v>208160</v>
      </c>
      <c r="AO502" s="1112">
        <f>SUM(AK502,AL502,AM502,AN502)</f>
        <v>358760</v>
      </c>
      <c r="AP502" s="68">
        <f>SUM(AP499:AP501)</f>
        <v>0</v>
      </c>
      <c r="AQ502" s="68">
        <f>SUM(AQ499:AQ501)</f>
        <v>0</v>
      </c>
      <c r="AR502" s="68">
        <f>SUM(AR499:AR501)</f>
        <v>0</v>
      </c>
      <c r="AS502" s="68">
        <f>SUM(AS499:AS501)</f>
        <v>0</v>
      </c>
      <c r="AT502" s="1112">
        <f>SUM(AP502,AQ502,AR502,AS502)</f>
        <v>0</v>
      </c>
      <c r="AU502" s="68">
        <f>SUM(AU499:AU501)</f>
        <v>0</v>
      </c>
      <c r="AV502" s="68">
        <f>SUM(AV499:AV501)</f>
        <v>0</v>
      </c>
      <c r="AW502" s="68">
        <f>SUM(AW499:AW501)</f>
        <v>0</v>
      </c>
      <c r="AX502" s="68">
        <f>SUM(AX499:AX501)</f>
        <v>0</v>
      </c>
      <c r="AY502" s="1112">
        <f>SUM(AU502,AV502,AW502,AX502)</f>
        <v>0</v>
      </c>
      <c r="AZ502" s="68">
        <f>SUM(AZ499:AZ501)</f>
        <v>0</v>
      </c>
      <c r="BA502" s="68">
        <f>SUM(BA499:BA501)</f>
        <v>0</v>
      </c>
      <c r="BB502" s="68">
        <f>SUM(BB499:BB501)</f>
        <v>0</v>
      </c>
      <c r="BC502" s="68">
        <f>SUM(BC499:BC501)</f>
        <v>0</v>
      </c>
      <c r="BD502" s="1112">
        <f>SUM(AZ502,BA502,BB502,BC502)</f>
        <v>0</v>
      </c>
      <c r="BE502" s="68">
        <f>SUM(BE499:BE501)</f>
        <v>86000</v>
      </c>
      <c r="BF502" s="68">
        <f>SUM(BF499:BF501)</f>
        <v>190000</v>
      </c>
      <c r="BG502" s="68">
        <f>SUM(BG499:BG501)</f>
        <v>280000</v>
      </c>
      <c r="BH502" s="68">
        <f>SUM(BH499:BH501)</f>
        <v>70000</v>
      </c>
      <c r="BI502" s="1112">
        <f>SUM(BE502,BF502,BG502,BH502)</f>
        <v>626000</v>
      </c>
      <c r="BJ502" s="68">
        <f>SUM(BJ499:BJ501)</f>
        <v>0</v>
      </c>
      <c r="BK502" s="68">
        <f>SUM(BK499:BK501)</f>
        <v>75000</v>
      </c>
      <c r="BL502" s="68">
        <f>SUM(BL499:BL501)</f>
        <v>83000</v>
      </c>
      <c r="BM502" s="68">
        <f>SUM(BM499:BM501)</f>
        <v>53000</v>
      </c>
      <c r="BN502" s="1112">
        <f>SUM(BJ502,BK502,BL502,BM502)</f>
        <v>211000</v>
      </c>
      <c r="BO502" s="68">
        <f>SUM(BO499:BO501)</f>
        <v>99000</v>
      </c>
      <c r="BP502" s="68">
        <f>SUM(BP499:BP501)</f>
        <v>62800</v>
      </c>
      <c r="BQ502" s="68">
        <f>SUM(BQ499:BQ501)</f>
        <v>92300</v>
      </c>
      <c r="BR502" s="68">
        <f>SUM(BR499:BR501)</f>
        <v>55300</v>
      </c>
      <c r="BS502" s="1112">
        <f>SUM(BO502,BP502,BQ502,BR502)</f>
        <v>309400</v>
      </c>
      <c r="BT502" s="68">
        <f>SUM(BT499:BT501)</f>
        <v>126200</v>
      </c>
      <c r="BU502" s="68">
        <f>SUM(BU499:BU501)</f>
        <v>66500</v>
      </c>
      <c r="BV502" s="68">
        <f>SUM(BV499:BV501)</f>
        <v>69600</v>
      </c>
      <c r="BW502" s="68">
        <f>SUM(BW499:BW501)</f>
        <v>19500</v>
      </c>
      <c r="BX502" s="1112">
        <f>SUM(BT502,BU502,BV502,BW502)</f>
        <v>281800</v>
      </c>
      <c r="BY502" s="588">
        <f>SUM(BY499:BY501)</f>
        <v>108300</v>
      </c>
      <c r="BZ502" s="68"/>
      <c r="CA502" s="68"/>
      <c r="CB502" s="68"/>
      <c r="CC502" s="1112"/>
      <c r="CD502" s="68"/>
      <c r="CE502" s="68"/>
      <c r="CF502" s="68"/>
      <c r="CG502" s="68"/>
      <c r="CH502" s="1112"/>
      <c r="CI502" s="1112"/>
      <c r="CJ502" s="1112"/>
      <c r="CK502" s="1112"/>
      <c r="CL502" s="27"/>
    </row>
    <row r="503" spans="1:90" s="227" customFormat="1" ht="15" hidden="1" customHeight="1" outlineLevel="2" x14ac:dyDescent="0.3">
      <c r="A503" s="636"/>
      <c r="B503" s="146"/>
      <c r="C503" s="1112"/>
      <c r="D503" s="1112"/>
      <c r="E503" s="1112"/>
      <c r="F503" s="1112"/>
      <c r="G503" s="68"/>
      <c r="H503" s="68"/>
      <c r="I503" s="68"/>
      <c r="J503" s="68"/>
      <c r="K503" s="1112"/>
      <c r="L503" s="68"/>
      <c r="M503" s="68"/>
      <c r="N503" s="68"/>
      <c r="O503" s="68"/>
      <c r="P503" s="1112"/>
      <c r="Q503" s="68"/>
      <c r="R503" s="68"/>
      <c r="S503" s="68"/>
      <c r="T503" s="68"/>
      <c r="U503" s="1112"/>
      <c r="V503" s="68"/>
      <c r="W503" s="68"/>
      <c r="X503" s="68"/>
      <c r="Y503" s="68"/>
      <c r="Z503" s="1112"/>
      <c r="AA503" s="68"/>
      <c r="AB503" s="68"/>
      <c r="AC503" s="68"/>
      <c r="AD503" s="68"/>
      <c r="AE503" s="1112"/>
      <c r="AF503" s="68"/>
      <c r="AG503" s="68"/>
      <c r="AH503" s="68"/>
      <c r="AI503" s="68"/>
      <c r="AJ503" s="1112"/>
      <c r="AK503" s="68"/>
      <c r="AL503" s="68"/>
      <c r="AM503" s="68"/>
      <c r="AN503" s="68"/>
      <c r="AO503" s="1112"/>
      <c r="AP503" s="68"/>
      <c r="AQ503" s="68"/>
      <c r="AR503" s="68"/>
      <c r="AS503" s="68"/>
      <c r="AT503" s="1112"/>
      <c r="AU503" s="68"/>
      <c r="AV503" s="68"/>
      <c r="AW503" s="68"/>
      <c r="AX503" s="68"/>
      <c r="AY503" s="1112"/>
      <c r="AZ503" s="68"/>
      <c r="BA503" s="68"/>
      <c r="BB503" s="68"/>
      <c r="BC503" s="68"/>
      <c r="BD503" s="1112"/>
      <c r="BE503" s="68"/>
      <c r="BF503" s="68"/>
      <c r="BG503" s="68"/>
      <c r="BH503" s="68"/>
      <c r="BI503" s="1112"/>
      <c r="BJ503" s="68"/>
      <c r="BK503" s="68"/>
      <c r="BL503" s="68"/>
      <c r="BM503" s="68"/>
      <c r="BN503" s="1112"/>
      <c r="BO503" s="68"/>
      <c r="BP503" s="68"/>
      <c r="BQ503" s="68"/>
      <c r="BR503" s="68"/>
      <c r="BS503" s="1112"/>
      <c r="BT503" s="68"/>
      <c r="BU503" s="68"/>
      <c r="BV503" s="68"/>
      <c r="BW503" s="68"/>
      <c r="BX503" s="1112"/>
      <c r="BY503" s="588"/>
      <c r="BZ503" s="68"/>
      <c r="CA503" s="68"/>
      <c r="CB503" s="68"/>
      <c r="CC503" s="1112"/>
      <c r="CD503" s="68"/>
      <c r="CE503" s="68"/>
      <c r="CF503" s="68"/>
      <c r="CG503" s="68"/>
      <c r="CH503" s="1112"/>
      <c r="CI503" s="1112"/>
      <c r="CJ503" s="1112"/>
      <c r="CK503" s="1112"/>
      <c r="CL503" s="27"/>
    </row>
    <row r="504" spans="1:90" s="980" customFormat="1" ht="15" hidden="1" customHeight="1" outlineLevel="2" x14ac:dyDescent="0.3">
      <c r="A504" s="864" t="s">
        <v>1223</v>
      </c>
      <c r="B504" s="854"/>
      <c r="C504" s="1190"/>
      <c r="D504" s="1190"/>
      <c r="E504" s="1190"/>
      <c r="F504" s="1190"/>
      <c r="G504" s="855"/>
      <c r="H504" s="855"/>
      <c r="I504" s="855"/>
      <c r="J504" s="855"/>
      <c r="K504" s="1190"/>
      <c r="L504" s="855"/>
      <c r="M504" s="1081">
        <f>(0.25*20.34)/(10)</f>
        <v>0.50849999999999995</v>
      </c>
      <c r="N504" s="855"/>
      <c r="O504" s="1081">
        <f>(0.25*15.86)/(10)</f>
        <v>0.39649999999999996</v>
      </c>
      <c r="P504" s="1190"/>
      <c r="Q504" s="1081">
        <f>(0.25*24.29)/(10)</f>
        <v>0.60724999999999996</v>
      </c>
      <c r="R504" s="855"/>
      <c r="S504" s="1081">
        <f>(0.25*28.38)/(10)</f>
        <v>0.70950000000000002</v>
      </c>
      <c r="T504" s="855"/>
      <c r="U504" s="1190"/>
      <c r="V504" s="855"/>
      <c r="W504" s="1081">
        <f>(0.25*28.81)/(10)</f>
        <v>0.72024999999999995</v>
      </c>
      <c r="X504" s="855"/>
      <c r="Y504" s="1081">
        <f>(0.25*44.3)/(10)</f>
        <v>1.1074999999999999</v>
      </c>
      <c r="Z504" s="1190"/>
      <c r="AA504" s="855"/>
      <c r="AB504" s="855"/>
      <c r="AC504" s="855"/>
      <c r="AD504" s="1081">
        <f>(0.25*93.17)/(10)</f>
        <v>2.32925</v>
      </c>
      <c r="AE504" s="1190"/>
      <c r="AF504" s="855"/>
      <c r="AG504" s="855"/>
      <c r="AH504" s="855"/>
      <c r="AI504" s="855"/>
      <c r="AJ504" s="1190"/>
      <c r="AK504" s="1081">
        <f>(0.25*238.63)/(10)</f>
        <v>5.9657499999999999</v>
      </c>
      <c r="AL504" s="855"/>
      <c r="AM504" s="1081">
        <f>(0.25*240.87)/(10)</f>
        <v>6.0217499999999999</v>
      </c>
      <c r="AN504" s="1081">
        <f>(0.25*195.72)/(10)</f>
        <v>4.8929999999999998</v>
      </c>
      <c r="AO504" s="1190"/>
      <c r="AP504" s="855"/>
      <c r="AQ504" s="855"/>
      <c r="AR504" s="855"/>
      <c r="AS504" s="855"/>
      <c r="AT504" s="1190"/>
      <c r="AU504" s="855"/>
      <c r="AV504" s="855"/>
      <c r="AW504" s="855"/>
      <c r="AX504" s="855"/>
      <c r="AY504" s="1190"/>
      <c r="AZ504" s="855"/>
      <c r="BA504" s="855"/>
      <c r="BB504" s="855"/>
      <c r="BC504" s="855"/>
      <c r="BD504" s="1190"/>
      <c r="BE504" s="855"/>
      <c r="BF504" s="1081">
        <f>176.6/(10)</f>
        <v>17.66</v>
      </c>
      <c r="BG504" s="1081">
        <f>169.07/(10)</f>
        <v>16.907</v>
      </c>
      <c r="BH504" s="1081">
        <f>148.11/(10)</f>
        <v>14.811000000000002</v>
      </c>
      <c r="BI504" s="1190"/>
      <c r="BJ504" s="855"/>
      <c r="BK504" s="855"/>
      <c r="BL504" s="1081">
        <f>444.16/(10)</f>
        <v>44.416000000000004</v>
      </c>
      <c r="BM504" s="1081">
        <f>464.39/(10)</f>
        <v>46.439</v>
      </c>
      <c r="BN504" s="1190"/>
      <c r="BO504" s="1081">
        <f>690.11/(10)</f>
        <v>69.010999999999996</v>
      </c>
      <c r="BP504" s="1081">
        <v>91.5</v>
      </c>
      <c r="BQ504" s="1081">
        <v>113.71</v>
      </c>
      <c r="BR504" s="1081">
        <v>142.66999999999999</v>
      </c>
      <c r="BS504" s="1190"/>
      <c r="BT504" s="1081">
        <v>128.65</v>
      </c>
      <c r="BU504" s="1081">
        <v>120.61</v>
      </c>
      <c r="BV504" s="1081">
        <v>178.74</v>
      </c>
      <c r="BW504" s="1081">
        <v>198.89</v>
      </c>
      <c r="BX504" s="1190"/>
      <c r="BY504" s="1082">
        <v>186.35</v>
      </c>
      <c r="BZ504" s="855"/>
      <c r="CA504" s="855"/>
      <c r="CB504" s="855"/>
      <c r="CC504" s="1190"/>
      <c r="CD504" s="855"/>
      <c r="CE504" s="855"/>
      <c r="CF504" s="855"/>
      <c r="CG504" s="855"/>
      <c r="CH504" s="1190"/>
      <c r="CI504" s="1190"/>
      <c r="CJ504" s="1190"/>
      <c r="CK504" s="1190"/>
      <c r="CL504" s="856"/>
    </row>
    <row r="505" spans="1:90" s="980" customFormat="1" ht="15" hidden="1" customHeight="1" outlineLevel="2" x14ac:dyDescent="0.3">
      <c r="A505" s="864" t="s">
        <v>1224</v>
      </c>
      <c r="B505" s="854"/>
      <c r="C505" s="1190"/>
      <c r="D505" s="1190"/>
      <c r="E505" s="1190"/>
      <c r="F505" s="1190"/>
      <c r="G505" s="855"/>
      <c r="H505" s="855"/>
      <c r="I505" s="855"/>
      <c r="J505" s="1081">
        <f>(0.25*13.69)/(10)</f>
        <v>0.34225</v>
      </c>
      <c r="K505" s="1190"/>
      <c r="L505" s="1081">
        <f>(0.25*23.89)/(10)</f>
        <v>0.59725000000000006</v>
      </c>
      <c r="M505" s="855"/>
      <c r="N505" s="855"/>
      <c r="O505" s="1081">
        <f>(0.25*15.51)/(10)</f>
        <v>0.38774999999999998</v>
      </c>
      <c r="P505" s="1190"/>
      <c r="Q505" s="855"/>
      <c r="R505" s="855"/>
      <c r="S505" s="855"/>
      <c r="T505" s="1081">
        <f>(0.25*19.86)/(10)</f>
        <v>0.4965</v>
      </c>
      <c r="U505" s="1190"/>
      <c r="V505" s="855"/>
      <c r="W505" s="855"/>
      <c r="X505" s="855"/>
      <c r="Y505" s="855"/>
      <c r="Z505" s="1190"/>
      <c r="AA505" s="855"/>
      <c r="AB505" s="855"/>
      <c r="AC505" s="855"/>
      <c r="AD505" s="855"/>
      <c r="AE505" s="1190"/>
      <c r="AF505" s="855"/>
      <c r="AG505" s="1081">
        <f>(0.25*151.11)/(10)</f>
        <v>3.7777500000000002</v>
      </c>
      <c r="AH505" s="1081">
        <f>(0.25*180.56)/(10)</f>
        <v>4.5140000000000002</v>
      </c>
      <c r="AI505" s="855"/>
      <c r="AJ505" s="1190"/>
      <c r="AK505" s="1081">
        <f>(0.25*236.25)/(10)</f>
        <v>5.90625</v>
      </c>
      <c r="AL505" s="855"/>
      <c r="AM505" s="1081">
        <f>(0.25*266.07)/(10)</f>
        <v>6.6517499999999998</v>
      </c>
      <c r="AN505" s="1081">
        <f>(0.25*142.05)/(10)</f>
        <v>3.5512500000000005</v>
      </c>
      <c r="AO505" s="1190"/>
      <c r="AP505" s="855"/>
      <c r="AQ505" s="855"/>
      <c r="AR505" s="855"/>
      <c r="AS505" s="855"/>
      <c r="AT505" s="1190"/>
      <c r="AU505" s="855"/>
      <c r="AV505" s="855"/>
      <c r="AW505" s="855"/>
      <c r="AX505" s="855"/>
      <c r="AY505" s="1190"/>
      <c r="AZ505" s="855"/>
      <c r="BA505" s="855"/>
      <c r="BB505" s="855"/>
      <c r="BC505" s="855"/>
      <c r="BD505" s="1190"/>
      <c r="BE505" s="1081">
        <f>230.82/(10)</f>
        <v>23.082000000000001</v>
      </c>
      <c r="BF505" s="1081">
        <f>173.72/(10)</f>
        <v>17.372</v>
      </c>
      <c r="BG505" s="1081">
        <f>133.8/(10)</f>
        <v>13.38</v>
      </c>
      <c r="BH505" s="855"/>
      <c r="BI505" s="1190"/>
      <c r="BJ505" s="855"/>
      <c r="BK505" s="1081">
        <f>420.77/(10)</f>
        <v>42.076999999999998</v>
      </c>
      <c r="BL505" s="1081">
        <f>456.81/(10)</f>
        <v>45.680999999999997</v>
      </c>
      <c r="BM505" s="1081">
        <f>477.26/(10)</f>
        <v>47.725999999999999</v>
      </c>
      <c r="BN505" s="1190"/>
      <c r="BO505" s="1081">
        <f>857.29/(10)</f>
        <v>85.728999999999999</v>
      </c>
      <c r="BP505" s="1081">
        <v>121.36</v>
      </c>
      <c r="BQ505" s="1081">
        <v>114.77</v>
      </c>
      <c r="BR505" s="1081">
        <v>136.86000000000001</v>
      </c>
      <c r="BS505" s="1190"/>
      <c r="BT505" s="1081">
        <v>118.63</v>
      </c>
      <c r="BU505" s="1081">
        <v>141.61000000000001</v>
      </c>
      <c r="BV505" s="1081">
        <v>174.35</v>
      </c>
      <c r="BW505" s="1081">
        <v>179.41</v>
      </c>
      <c r="BX505" s="1190"/>
      <c r="BY505" s="1082">
        <v>183.38</v>
      </c>
      <c r="BZ505" s="855"/>
      <c r="CA505" s="855"/>
      <c r="CB505" s="855"/>
      <c r="CC505" s="1190"/>
      <c r="CD505" s="855"/>
      <c r="CE505" s="855"/>
      <c r="CF505" s="855"/>
      <c r="CG505" s="855"/>
      <c r="CH505" s="1190"/>
      <c r="CI505" s="1190"/>
      <c r="CJ505" s="1190"/>
      <c r="CK505" s="1190"/>
      <c r="CL505" s="856"/>
    </row>
    <row r="506" spans="1:90" s="980" customFormat="1" ht="15" hidden="1" customHeight="1" outlineLevel="2" x14ac:dyDescent="0.3">
      <c r="A506" s="865" t="s">
        <v>1225</v>
      </c>
      <c r="B506" s="857"/>
      <c r="C506" s="1191"/>
      <c r="D506" s="1191"/>
      <c r="E506" s="1191"/>
      <c r="F506" s="1191"/>
      <c r="G506" s="858"/>
      <c r="H506" s="858"/>
      <c r="I506" s="858"/>
      <c r="J506" s="858"/>
      <c r="K506" s="1191"/>
      <c r="L506" s="1083">
        <v>0</v>
      </c>
      <c r="M506" s="858"/>
      <c r="N506" s="1083">
        <v>0</v>
      </c>
      <c r="O506" s="858"/>
      <c r="P506" s="1191"/>
      <c r="Q506" s="858"/>
      <c r="R506" s="1083">
        <v>0</v>
      </c>
      <c r="S506" s="1083">
        <v>0</v>
      </c>
      <c r="T506" s="858"/>
      <c r="U506" s="1191"/>
      <c r="V506" s="1083">
        <f>(0.25*21.9)/(10)</f>
        <v>0.54749999999999999</v>
      </c>
      <c r="W506" s="858"/>
      <c r="X506" s="1083">
        <v>0</v>
      </c>
      <c r="Y506" s="858"/>
      <c r="Z506" s="1191"/>
      <c r="AA506" s="1083">
        <v>0</v>
      </c>
      <c r="AB506" s="858"/>
      <c r="AC506" s="858"/>
      <c r="AD506" s="858"/>
      <c r="AE506" s="1191"/>
      <c r="AF506" s="858"/>
      <c r="AG506" s="1083">
        <f>(0.25*150.13)/(10)</f>
        <v>3.75325</v>
      </c>
      <c r="AH506" s="858"/>
      <c r="AI506" s="858"/>
      <c r="AJ506" s="1191"/>
      <c r="AK506" s="858"/>
      <c r="AL506" s="858"/>
      <c r="AM506" s="1083">
        <f>(0.25*255.41)/(10)</f>
        <v>6.3852500000000001</v>
      </c>
      <c r="AN506" s="1083">
        <f>(0.25*129.87)/(10)</f>
        <v>3.24675</v>
      </c>
      <c r="AO506" s="1191"/>
      <c r="AP506" s="858"/>
      <c r="AQ506" s="858"/>
      <c r="AR506" s="858"/>
      <c r="AS506" s="858"/>
      <c r="AT506" s="1191"/>
      <c r="AU506" s="858"/>
      <c r="AV506" s="858"/>
      <c r="AW506" s="858"/>
      <c r="AX506" s="858"/>
      <c r="AY506" s="1191"/>
      <c r="AZ506" s="858"/>
      <c r="BA506" s="858"/>
      <c r="BB506" s="858"/>
      <c r="BC506" s="858"/>
      <c r="BD506" s="1191"/>
      <c r="BE506" s="858"/>
      <c r="BF506" s="858"/>
      <c r="BG506" s="1083">
        <f>123.96/(10)</f>
        <v>12.395999999999999</v>
      </c>
      <c r="BH506" s="858"/>
      <c r="BI506" s="1191"/>
      <c r="BJ506" s="858"/>
      <c r="BK506" s="1083">
        <f>440.19/(10)</f>
        <v>44.018999999999998</v>
      </c>
      <c r="BL506" s="1083">
        <f>436.44/(10)</f>
        <v>43.643999999999998</v>
      </c>
      <c r="BM506" s="1083">
        <f>540.85/(10)</f>
        <v>54.085000000000001</v>
      </c>
      <c r="BN506" s="1191"/>
      <c r="BO506" s="1083">
        <f>875.17/(10)</f>
        <v>87.516999999999996</v>
      </c>
      <c r="BP506" s="1083">
        <v>123.63</v>
      </c>
      <c r="BQ506" s="1083">
        <v>129.75</v>
      </c>
      <c r="BR506" s="1083">
        <v>139.30000000000001</v>
      </c>
      <c r="BS506" s="1191"/>
      <c r="BT506" s="1083">
        <v>106.27</v>
      </c>
      <c r="BU506" s="1083">
        <v>161.65</v>
      </c>
      <c r="BV506" s="1083">
        <v>183.68</v>
      </c>
      <c r="BW506" s="1083">
        <v>186.52</v>
      </c>
      <c r="BX506" s="1191"/>
      <c r="BY506" s="1084">
        <v>184.98</v>
      </c>
      <c r="BZ506" s="858"/>
      <c r="CA506" s="858"/>
      <c r="CB506" s="858"/>
      <c r="CC506" s="1191"/>
      <c r="CD506" s="858"/>
      <c r="CE506" s="858"/>
      <c r="CF506" s="858"/>
      <c r="CG506" s="858"/>
      <c r="CH506" s="1191"/>
      <c r="CI506" s="1191"/>
      <c r="CJ506" s="1191"/>
      <c r="CK506" s="1191"/>
      <c r="CL506" s="856"/>
    </row>
    <row r="507" spans="1:90" s="980" customFormat="1" ht="15" hidden="1" customHeight="1" outlineLevel="1" collapsed="1" x14ac:dyDescent="0.3">
      <c r="A507" s="866" t="s">
        <v>1238</v>
      </c>
      <c r="B507" s="854"/>
      <c r="C507" s="1190">
        <f>C512/C502*1000</f>
        <v>0.36143344709897612</v>
      </c>
      <c r="D507" s="1190"/>
      <c r="E507" s="1190"/>
      <c r="F507" s="1190"/>
      <c r="G507" s="855"/>
      <c r="H507" s="855"/>
      <c r="I507" s="855"/>
      <c r="J507" s="855">
        <f t="shared" ref="J507:AA507" si="1316">J512/J502*1000</f>
        <v>0.29761904761904767</v>
      </c>
      <c r="K507" s="1190">
        <f t="shared" si="1316"/>
        <v>0.29761904761904767</v>
      </c>
      <c r="L507" s="855">
        <f t="shared" si="1316"/>
        <v>0.3125</v>
      </c>
      <c r="M507" s="855">
        <f t="shared" si="1316"/>
        <v>0.50813008130081305</v>
      </c>
      <c r="N507" s="855">
        <f t="shared" si="1316"/>
        <v>0</v>
      </c>
      <c r="O507" s="855">
        <f t="shared" si="1316"/>
        <v>0.38854166666666623</v>
      </c>
      <c r="P507" s="1190">
        <f t="shared" si="1316"/>
        <v>0.35836025848142167</v>
      </c>
      <c r="Q507" s="855">
        <f t="shared" si="1316"/>
        <v>0.60679611650485454</v>
      </c>
      <c r="R507" s="855">
        <f t="shared" si="1316"/>
        <v>0</v>
      </c>
      <c r="S507" s="855">
        <f t="shared" si="1316"/>
        <v>0.46130952380952384</v>
      </c>
      <c r="T507" s="855">
        <f t="shared" si="1316"/>
        <v>0.44999999999999574</v>
      </c>
      <c r="U507" s="1190">
        <f t="shared" si="1316"/>
        <v>0.45810810810810815</v>
      </c>
      <c r="V507" s="855">
        <f t="shared" si="1316"/>
        <v>0.55000000000000016</v>
      </c>
      <c r="W507" s="855">
        <f t="shared" si="1316"/>
        <v>0.71785714285714275</v>
      </c>
      <c r="X507" s="855">
        <f t="shared" si="1316"/>
        <v>0</v>
      </c>
      <c r="Y507" s="855">
        <f t="shared" si="1316"/>
        <v>0.79359704739573178</v>
      </c>
      <c r="Z507" s="1190">
        <f t="shared" si="1316"/>
        <v>0.59810679424980251</v>
      </c>
      <c r="AA507" s="855">
        <f t="shared" si="1316"/>
        <v>1.0219909324835212</v>
      </c>
      <c r="AB507" s="855"/>
      <c r="AC507" s="855"/>
      <c r="AD507" s="855">
        <f>AD512/AD502*1000</f>
        <v>2.2999999999999998</v>
      </c>
      <c r="AE507" s="1190">
        <f>AE512/AE502*1000</f>
        <v>1.2578105758492977</v>
      </c>
      <c r="AF507" s="855"/>
      <c r="AG507" s="855">
        <f>AG512/AG502*1000</f>
        <v>3.8</v>
      </c>
      <c r="AH507" s="855">
        <f>AH512/AH502*1000</f>
        <v>3.75</v>
      </c>
      <c r="AI507" s="855"/>
      <c r="AJ507" s="1190">
        <f>AJ512/AJ502*1000</f>
        <v>3.7916666666666665</v>
      </c>
      <c r="AK507" s="855">
        <f>AK512/AK502*1000</f>
        <v>5.5</v>
      </c>
      <c r="AL507" s="855"/>
      <c r="AM507" s="855">
        <f>AM512/AM502*1000</f>
        <v>6.4705882352941178</v>
      </c>
      <c r="AN507" s="855">
        <f>AN512/AN502*1000</f>
        <v>3.4684857801691007</v>
      </c>
      <c r="AO507" s="1190">
        <f>AO512/AO502*1000</f>
        <v>4.4040584234585793</v>
      </c>
      <c r="AP507" s="855"/>
      <c r="AQ507" s="855"/>
      <c r="AR507" s="855"/>
      <c r="AS507" s="855"/>
      <c r="AT507" s="1190"/>
      <c r="AU507" s="855"/>
      <c r="AV507" s="855"/>
      <c r="AW507" s="855"/>
      <c r="AX507" s="855"/>
      <c r="AY507" s="1190"/>
      <c r="AZ507" s="855"/>
      <c r="BA507" s="855"/>
      <c r="BB507" s="855"/>
      <c r="BC507" s="855"/>
      <c r="BD507" s="1190"/>
      <c r="BE507" s="855">
        <f>BE512/BE502*1000</f>
        <v>23.255813953488371</v>
      </c>
      <c r="BF507" s="855">
        <f>BF512/BF502*1000</f>
        <v>16.157894736842103</v>
      </c>
      <c r="BG507" s="855">
        <f>BG512/BG502*1000</f>
        <v>13.035714285714286</v>
      </c>
      <c r="BH507" s="855">
        <f>BH512/BH502*1000</f>
        <v>15</v>
      </c>
      <c r="BI507" s="1190">
        <f>BI512/BI502*1000</f>
        <v>15.60702875399361</v>
      </c>
      <c r="BJ507" s="855"/>
      <c r="BK507" s="855">
        <f t="shared" ref="BK507:BV507" si="1317">BK512/BK502*1000</f>
        <v>43.733333333333334</v>
      </c>
      <c r="BL507" s="855">
        <f t="shared" si="1317"/>
        <v>44.698795180722897</v>
      </c>
      <c r="BM507" s="855">
        <f t="shared" si="1317"/>
        <v>51.698113207547173</v>
      </c>
      <c r="BN507" s="1190">
        <f t="shared" si="1317"/>
        <v>46.113744075829381</v>
      </c>
      <c r="BO507" s="855">
        <f t="shared" si="1317"/>
        <v>80.808080808080817</v>
      </c>
      <c r="BP507" s="855">
        <f t="shared" si="1317"/>
        <v>111.46496815286625</v>
      </c>
      <c r="BQ507" s="855">
        <f t="shared" si="1317"/>
        <v>120.26002166847238</v>
      </c>
      <c r="BR507" s="855">
        <f t="shared" si="1317"/>
        <v>139.24050632911391</v>
      </c>
      <c r="BS507" s="1190">
        <f t="shared" si="1317"/>
        <v>109.24369747899159</v>
      </c>
      <c r="BT507" s="855">
        <f t="shared" si="1317"/>
        <v>114.10459587955627</v>
      </c>
      <c r="BU507" s="855">
        <f t="shared" si="1317"/>
        <v>144.3609022556391</v>
      </c>
      <c r="BV507" s="855">
        <f t="shared" si="1317"/>
        <v>179.59770114942526</v>
      </c>
      <c r="BW507" s="855">
        <f t="shared" ref="BW507:BY507" si="1318">BW512/BW502*1000</f>
        <v>189.74358974358972</v>
      </c>
      <c r="BX507" s="1190">
        <f t="shared" si="1318"/>
        <v>142.6543647977289</v>
      </c>
      <c r="BY507" s="924">
        <f t="shared" si="1318"/>
        <v>184.67220683287167</v>
      </c>
      <c r="BZ507" s="855"/>
      <c r="CA507" s="855"/>
      <c r="CB507" s="855"/>
      <c r="CC507" s="1190"/>
      <c r="CD507" s="855"/>
      <c r="CE507" s="855"/>
      <c r="CF507" s="855"/>
      <c r="CG507" s="855"/>
      <c r="CH507" s="1190"/>
      <c r="CI507" s="1190"/>
      <c r="CJ507" s="1190"/>
      <c r="CK507" s="1190"/>
      <c r="CL507" s="856"/>
    </row>
    <row r="508" spans="1:90" s="227" customFormat="1" ht="15" hidden="1" customHeight="1" outlineLevel="2" x14ac:dyDescent="0.3">
      <c r="A508" s="636"/>
      <c r="B508" s="146"/>
      <c r="C508" s="1112"/>
      <c r="D508" s="1112"/>
      <c r="E508" s="1112"/>
      <c r="F508" s="1112"/>
      <c r="G508" s="68"/>
      <c r="H508" s="68"/>
      <c r="I508" s="68"/>
      <c r="J508" s="68"/>
      <c r="K508" s="1112"/>
      <c r="L508" s="68"/>
      <c r="M508" s="68"/>
      <c r="N508" s="68"/>
      <c r="O508" s="68"/>
      <c r="P508" s="1112"/>
      <c r="Q508" s="68"/>
      <c r="R508" s="68"/>
      <c r="S508" s="68"/>
      <c r="T508" s="68"/>
      <c r="U508" s="1112"/>
      <c r="V508" s="68"/>
      <c r="W508" s="68"/>
      <c r="X508" s="68"/>
      <c r="Y508" s="68"/>
      <c r="Z508" s="1112"/>
      <c r="AA508" s="68"/>
      <c r="AB508" s="68"/>
      <c r="AC508" s="68"/>
      <c r="AD508" s="68"/>
      <c r="AE508" s="1112"/>
      <c r="AF508" s="68"/>
      <c r="AG508" s="68"/>
      <c r="AH508" s="68"/>
      <c r="AI508" s="68"/>
      <c r="AJ508" s="1112"/>
      <c r="AK508" s="68"/>
      <c r="AL508" s="68"/>
      <c r="AM508" s="68"/>
      <c r="AN508" s="68"/>
      <c r="AO508" s="1112"/>
      <c r="AP508" s="68"/>
      <c r="AQ508" s="68"/>
      <c r="AR508" s="68"/>
      <c r="AS508" s="68"/>
      <c r="AT508" s="1112"/>
      <c r="AU508" s="68"/>
      <c r="AV508" s="68"/>
      <c r="AW508" s="68"/>
      <c r="AX508" s="68"/>
      <c r="AY508" s="1112"/>
      <c r="AZ508" s="68"/>
      <c r="BA508" s="68"/>
      <c r="BB508" s="68"/>
      <c r="BC508" s="68"/>
      <c r="BD508" s="1112"/>
      <c r="BE508" s="68"/>
      <c r="BF508" s="68"/>
      <c r="BG508" s="68"/>
      <c r="BH508" s="68"/>
      <c r="BI508" s="1112"/>
      <c r="BJ508" s="68"/>
      <c r="BK508" s="68"/>
      <c r="BL508" s="68"/>
      <c r="BM508" s="68"/>
      <c r="BN508" s="1112"/>
      <c r="BO508" s="68"/>
      <c r="BP508" s="68"/>
      <c r="BQ508" s="68"/>
      <c r="BR508" s="68"/>
      <c r="BS508" s="1112"/>
      <c r="BT508" s="68"/>
      <c r="BU508" s="68"/>
      <c r="BV508" s="68"/>
      <c r="BW508" s="68"/>
      <c r="BX508" s="1112"/>
      <c r="BY508" s="588"/>
      <c r="BZ508" s="68"/>
      <c r="CA508" s="68"/>
      <c r="CB508" s="68"/>
      <c r="CC508" s="1112"/>
      <c r="CD508" s="68"/>
      <c r="CE508" s="68"/>
      <c r="CF508" s="68"/>
      <c r="CG508" s="68"/>
      <c r="CH508" s="1112"/>
      <c r="CI508" s="1112"/>
      <c r="CJ508" s="1112"/>
      <c r="CK508" s="1112"/>
      <c r="CL508" s="27"/>
    </row>
    <row r="509" spans="1:90" s="227" customFormat="1" ht="15" hidden="1" customHeight="1" outlineLevel="2" x14ac:dyDescent="0.3">
      <c r="A509" s="99" t="s">
        <v>1226</v>
      </c>
      <c r="B509" s="146"/>
      <c r="C509" s="1112"/>
      <c r="D509" s="1112"/>
      <c r="E509" s="1112"/>
      <c r="F509" s="1112"/>
      <c r="G509" s="68"/>
      <c r="H509" s="68"/>
      <c r="I509" s="68"/>
      <c r="J509" s="1055">
        <v>0</v>
      </c>
      <c r="K509" s="1112"/>
      <c r="L509" s="68">
        <f>K522+L514-L519</f>
        <v>0</v>
      </c>
      <c r="M509" s="68">
        <f>L522+M514-M519</f>
        <v>750</v>
      </c>
      <c r="N509" s="68">
        <f>M522+N514-N519</f>
        <v>0</v>
      </c>
      <c r="O509" s="68">
        <f>N522+O514-O519</f>
        <v>23</v>
      </c>
      <c r="P509" s="1112"/>
      <c r="Q509" s="68">
        <f>P522+Q514-Q519</f>
        <v>500.00000000000011</v>
      </c>
      <c r="R509" s="68">
        <f>Q522+R514-R519</f>
        <v>0</v>
      </c>
      <c r="S509" s="68">
        <f>R522+S514-S519</f>
        <v>310</v>
      </c>
      <c r="T509" s="68">
        <f>S522+T514-T519</f>
        <v>0</v>
      </c>
      <c r="U509" s="1112"/>
      <c r="V509" s="68">
        <f>U522+V514-V519</f>
        <v>0.80000000000001137</v>
      </c>
      <c r="W509" s="68">
        <f>V522+W514-W519</f>
        <v>402</v>
      </c>
      <c r="X509" s="68">
        <f>W522+X514-X519</f>
        <v>0</v>
      </c>
      <c r="Y509" s="68">
        <f>X522+Y514-Y519</f>
        <v>135</v>
      </c>
      <c r="Z509" s="1112"/>
      <c r="AA509" s="68">
        <f>Z522+AA514-AA519</f>
        <v>0</v>
      </c>
      <c r="AB509" s="68">
        <f>AA522+AB514-AB519</f>
        <v>0</v>
      </c>
      <c r="AC509" s="68"/>
      <c r="AD509" s="68">
        <f>AC522+AD514-AD519</f>
        <v>230</v>
      </c>
      <c r="AE509" s="1112"/>
      <c r="AF509" s="68"/>
      <c r="AG509" s="68">
        <f>AF522+AG514-AG519</f>
        <v>0</v>
      </c>
      <c r="AH509" s="68">
        <f>AG522+AH514-AH519</f>
        <v>0</v>
      </c>
      <c r="AI509" s="68"/>
      <c r="AJ509" s="1112"/>
      <c r="AK509" s="68">
        <f>AJ522+AK514-AK519</f>
        <v>370</v>
      </c>
      <c r="AL509" s="68"/>
      <c r="AM509" s="68">
        <f>AL522+AM514-AM519</f>
        <v>27</v>
      </c>
      <c r="AN509" s="68">
        <f>AM522+AN514-AN519</f>
        <v>22</v>
      </c>
      <c r="AO509" s="1112"/>
      <c r="AP509" s="68"/>
      <c r="AQ509" s="68"/>
      <c r="AR509" s="68"/>
      <c r="AS509" s="68"/>
      <c r="AT509" s="1112"/>
      <c r="AU509" s="68"/>
      <c r="AV509" s="68"/>
      <c r="AW509" s="68"/>
      <c r="AX509" s="68"/>
      <c r="AY509" s="1112"/>
      <c r="AZ509" s="68"/>
      <c r="BA509" s="68"/>
      <c r="BB509" s="68"/>
      <c r="BC509" s="68"/>
      <c r="BD509" s="1112"/>
      <c r="BE509" s="68">
        <f>BD522+BE514-BE519</f>
        <v>0</v>
      </c>
      <c r="BF509" s="68">
        <f>BE522+BF514-BF519</f>
        <v>220</v>
      </c>
      <c r="BG509" s="68">
        <f>BF522+BG514-BG519</f>
        <v>110</v>
      </c>
      <c r="BH509" s="68">
        <f>BG522+BH514-BH519</f>
        <v>1050</v>
      </c>
      <c r="BI509" s="1112"/>
      <c r="BJ509" s="68"/>
      <c r="BK509" s="68">
        <f>BJ522+BK514-BK519</f>
        <v>0</v>
      </c>
      <c r="BL509" s="68">
        <f>BK522+BL514-BL519</f>
        <v>1000</v>
      </c>
      <c r="BM509" s="68">
        <f>BL522+BM514-BM519</f>
        <v>440</v>
      </c>
      <c r="BN509" s="1112"/>
      <c r="BO509" s="68">
        <f>BN522+BO514-BO519</f>
        <v>2300</v>
      </c>
      <c r="BP509" s="68">
        <f>BO522+BP514-BP519</f>
        <v>2100</v>
      </c>
      <c r="BQ509" s="68">
        <f>BP522+BQ514-BQ519</f>
        <v>3400</v>
      </c>
      <c r="BR509" s="68">
        <f>BQ522+BR514-BR519</f>
        <v>3600</v>
      </c>
      <c r="BS509" s="1112"/>
      <c r="BT509" s="68">
        <f>BS522+BT514-BT519</f>
        <v>3700</v>
      </c>
      <c r="BU509" s="68">
        <f>BT522+BU514-BU519</f>
        <v>2300</v>
      </c>
      <c r="BV509" s="68">
        <f>BU522+BV514-BV519</f>
        <v>3200</v>
      </c>
      <c r="BW509" s="68">
        <f>BV522+BW514-BW519</f>
        <v>1100</v>
      </c>
      <c r="BX509" s="1112"/>
      <c r="BY509" s="588">
        <f>BX522+BY514-BY519</f>
        <v>1500</v>
      </c>
      <c r="BZ509" s="68"/>
      <c r="CA509" s="68"/>
      <c r="CB509" s="68"/>
      <c r="CC509" s="1112"/>
      <c r="CD509" s="68"/>
      <c r="CE509" s="68"/>
      <c r="CF509" s="68"/>
      <c r="CG509" s="68"/>
      <c r="CH509" s="1112"/>
      <c r="CI509" s="1112"/>
      <c r="CJ509" s="1112"/>
      <c r="CK509" s="1112"/>
      <c r="CL509" s="27"/>
    </row>
    <row r="510" spans="1:90" s="227" customFormat="1" ht="15" hidden="1" customHeight="1" outlineLevel="2" x14ac:dyDescent="0.3">
      <c r="A510" s="99" t="s">
        <v>1227</v>
      </c>
      <c r="B510" s="146"/>
      <c r="C510" s="1112"/>
      <c r="D510" s="1112"/>
      <c r="E510" s="1112"/>
      <c r="F510" s="1112"/>
      <c r="G510" s="68"/>
      <c r="H510" s="68"/>
      <c r="I510" s="68"/>
      <c r="J510" s="68">
        <f>J519+J515-J520</f>
        <v>100</v>
      </c>
      <c r="K510" s="1112"/>
      <c r="L510" s="68">
        <f t="shared" ref="L510:O511" si="1319">L519+L515-L520</f>
        <v>100</v>
      </c>
      <c r="M510" s="68">
        <f t="shared" si="1319"/>
        <v>0</v>
      </c>
      <c r="N510" s="68">
        <f t="shared" si="1319"/>
        <v>0</v>
      </c>
      <c r="O510" s="68">
        <f t="shared" si="1319"/>
        <v>14.299999999999955</v>
      </c>
      <c r="P510" s="1112"/>
      <c r="Q510" s="68">
        <f t="shared" ref="Q510:T511" si="1320">Q519+Q515-Q520</f>
        <v>0</v>
      </c>
      <c r="R510" s="68">
        <f t="shared" si="1320"/>
        <v>0</v>
      </c>
      <c r="S510" s="68">
        <f t="shared" si="1320"/>
        <v>0</v>
      </c>
      <c r="T510" s="68">
        <f t="shared" si="1320"/>
        <v>3.5999999999999659</v>
      </c>
      <c r="U510" s="1112"/>
      <c r="V510" s="68">
        <f t="shared" ref="V510:Y511" si="1321">V519+V515-V520</f>
        <v>0</v>
      </c>
      <c r="W510" s="68">
        <f t="shared" si="1321"/>
        <v>0</v>
      </c>
      <c r="X510" s="68">
        <f t="shared" si="1321"/>
        <v>0</v>
      </c>
      <c r="Y510" s="68">
        <f t="shared" si="1321"/>
        <v>0</v>
      </c>
      <c r="Z510" s="1112"/>
      <c r="AA510" s="68">
        <f>AA519+AA515-AA520</f>
        <v>0</v>
      </c>
      <c r="AB510" s="68">
        <f>AB519+AB515-AB520</f>
        <v>0</v>
      </c>
      <c r="AC510" s="68"/>
      <c r="AD510" s="68">
        <f>AD519+AD515-AD520</f>
        <v>0</v>
      </c>
      <c r="AE510" s="1112"/>
      <c r="AF510" s="68"/>
      <c r="AG510" s="68">
        <f>AG519+AG515-AG520</f>
        <v>460</v>
      </c>
      <c r="AH510" s="68">
        <f>AH519+AH515-AH520</f>
        <v>150</v>
      </c>
      <c r="AI510" s="68"/>
      <c r="AJ510" s="1112"/>
      <c r="AK510" s="68">
        <f>AK519+AK515-AK520</f>
        <v>290</v>
      </c>
      <c r="AL510" s="68"/>
      <c r="AM510" s="68">
        <f>AM519+AM515-AM520</f>
        <v>150</v>
      </c>
      <c r="AN510" s="68">
        <f>AN519+AN515-AN520</f>
        <v>470</v>
      </c>
      <c r="AO510" s="1112"/>
      <c r="AP510" s="68"/>
      <c r="AQ510" s="68"/>
      <c r="AR510" s="68"/>
      <c r="AS510" s="68"/>
      <c r="AT510" s="1112"/>
      <c r="AU510" s="68"/>
      <c r="AV510" s="68"/>
      <c r="AW510" s="68"/>
      <c r="AX510" s="68"/>
      <c r="AY510" s="1112"/>
      <c r="AZ510" s="68"/>
      <c r="BA510" s="68"/>
      <c r="BB510" s="68"/>
      <c r="BC510" s="68"/>
      <c r="BD510" s="1112"/>
      <c r="BE510" s="68">
        <f t="shared" ref="BE510:BG511" si="1322">BE519+BE515-BE520</f>
        <v>2000</v>
      </c>
      <c r="BF510" s="68">
        <f t="shared" si="1322"/>
        <v>2850</v>
      </c>
      <c r="BG510" s="68">
        <f t="shared" si="1322"/>
        <v>1420</v>
      </c>
      <c r="BH510" s="68"/>
      <c r="BI510" s="1112"/>
      <c r="BJ510" s="68"/>
      <c r="BK510" s="68">
        <f t="shared" ref="BK510:BM511" si="1323">BK519+BK515-BK520</f>
        <v>820</v>
      </c>
      <c r="BL510" s="68">
        <f t="shared" si="1323"/>
        <v>1170</v>
      </c>
      <c r="BM510" s="68">
        <f t="shared" si="1323"/>
        <v>500</v>
      </c>
      <c r="BN510" s="1112"/>
      <c r="BO510" s="68">
        <f t="shared" ref="BO510:BR511" si="1324">BO519+BO515-BO520</f>
        <v>2300</v>
      </c>
      <c r="BP510" s="68">
        <f t="shared" si="1324"/>
        <v>1800</v>
      </c>
      <c r="BQ510" s="68">
        <f t="shared" si="1324"/>
        <v>3100</v>
      </c>
      <c r="BR510" s="68">
        <f t="shared" si="1324"/>
        <v>1400</v>
      </c>
      <c r="BS510" s="1112"/>
      <c r="BT510" s="68">
        <f t="shared" ref="BT510:BW511" si="1325">BT519+BT515-BT520</f>
        <v>3400</v>
      </c>
      <c r="BU510" s="68">
        <f t="shared" si="1325"/>
        <v>2600</v>
      </c>
      <c r="BV510" s="68">
        <f t="shared" si="1325"/>
        <v>3700</v>
      </c>
      <c r="BW510" s="68">
        <f t="shared" si="1325"/>
        <v>1200</v>
      </c>
      <c r="BX510" s="1112"/>
      <c r="BY510" s="588">
        <f t="shared" ref="BY510" si="1326">BY519+BY515-BY520</f>
        <v>1600</v>
      </c>
      <c r="BZ510" s="68"/>
      <c r="CA510" s="68"/>
      <c r="CB510" s="68"/>
      <c r="CC510" s="1112"/>
      <c r="CD510" s="68"/>
      <c r="CE510" s="68"/>
      <c r="CF510" s="68"/>
      <c r="CG510" s="68"/>
      <c r="CH510" s="1112"/>
      <c r="CI510" s="1112"/>
      <c r="CJ510" s="1112"/>
      <c r="CK510" s="1112"/>
      <c r="CL510" s="27"/>
    </row>
    <row r="511" spans="1:90" s="227" customFormat="1" ht="15" hidden="1" customHeight="1" outlineLevel="2" x14ac:dyDescent="0.3">
      <c r="A511" s="282" t="s">
        <v>1228</v>
      </c>
      <c r="B511" s="149"/>
      <c r="C511" s="1123"/>
      <c r="D511" s="1123"/>
      <c r="E511" s="1123"/>
      <c r="F511" s="1123"/>
      <c r="G511" s="109"/>
      <c r="H511" s="109"/>
      <c r="I511" s="109"/>
      <c r="J511" s="109">
        <f>J520+J516-J521</f>
        <v>0</v>
      </c>
      <c r="K511" s="1123"/>
      <c r="L511" s="109">
        <f t="shared" si="1319"/>
        <v>0</v>
      </c>
      <c r="M511" s="109">
        <f t="shared" si="1319"/>
        <v>0</v>
      </c>
      <c r="N511" s="109">
        <f t="shared" si="1319"/>
        <v>0</v>
      </c>
      <c r="O511" s="109">
        <f t="shared" si="1319"/>
        <v>0</v>
      </c>
      <c r="P511" s="1123"/>
      <c r="Q511" s="109">
        <f t="shared" si="1320"/>
        <v>0</v>
      </c>
      <c r="R511" s="109">
        <f t="shared" si="1320"/>
        <v>0</v>
      </c>
      <c r="S511" s="109">
        <f t="shared" si="1320"/>
        <v>0</v>
      </c>
      <c r="T511" s="109">
        <f t="shared" si="1320"/>
        <v>0</v>
      </c>
      <c r="U511" s="1123"/>
      <c r="V511" s="109">
        <f t="shared" si="1321"/>
        <v>52</v>
      </c>
      <c r="W511" s="109">
        <f t="shared" si="1321"/>
        <v>0</v>
      </c>
      <c r="X511" s="109">
        <f t="shared" si="1321"/>
        <v>0</v>
      </c>
      <c r="Y511" s="109">
        <f t="shared" si="1321"/>
        <v>0</v>
      </c>
      <c r="Z511" s="1123"/>
      <c r="AA511" s="109">
        <f>AA520+AA516-AA521</f>
        <v>495</v>
      </c>
      <c r="AB511" s="109">
        <f>AB520+AB516-AB521</f>
        <v>10</v>
      </c>
      <c r="AC511" s="109"/>
      <c r="AD511" s="109">
        <f>AD520+AD516-AD521</f>
        <v>0</v>
      </c>
      <c r="AE511" s="1123"/>
      <c r="AF511" s="109"/>
      <c r="AG511" s="109">
        <f>AG520+AG516-AG521</f>
        <v>300</v>
      </c>
      <c r="AH511" s="109">
        <f>AH520+AH516-AH521</f>
        <v>0</v>
      </c>
      <c r="AI511" s="109"/>
      <c r="AJ511" s="1123"/>
      <c r="AK511" s="109">
        <f>AK520+AK516-AK521</f>
        <v>0</v>
      </c>
      <c r="AL511" s="109"/>
      <c r="AM511" s="109">
        <f>AM520+AM516-AM521</f>
        <v>21</v>
      </c>
      <c r="AN511" s="109">
        <f>AN520+AN516-AN521</f>
        <v>230</v>
      </c>
      <c r="AO511" s="1123"/>
      <c r="AP511" s="109"/>
      <c r="AQ511" s="109"/>
      <c r="AR511" s="109"/>
      <c r="AS511" s="109"/>
      <c r="AT511" s="1123"/>
      <c r="AU511" s="109"/>
      <c r="AV511" s="109"/>
      <c r="AW511" s="109"/>
      <c r="AX511" s="109"/>
      <c r="AY511" s="1123"/>
      <c r="AZ511" s="109"/>
      <c r="BA511" s="109"/>
      <c r="BB511" s="109"/>
      <c r="BC511" s="109"/>
      <c r="BD511" s="1123"/>
      <c r="BE511" s="109">
        <f t="shared" si="1322"/>
        <v>0</v>
      </c>
      <c r="BF511" s="109">
        <f t="shared" si="1322"/>
        <v>0</v>
      </c>
      <c r="BG511" s="109">
        <f t="shared" si="1322"/>
        <v>2120</v>
      </c>
      <c r="BH511" s="109"/>
      <c r="BI511" s="1123"/>
      <c r="BJ511" s="109"/>
      <c r="BK511" s="109">
        <f t="shared" si="1323"/>
        <v>2460</v>
      </c>
      <c r="BL511" s="109">
        <f t="shared" si="1323"/>
        <v>1540</v>
      </c>
      <c r="BM511" s="109">
        <f t="shared" si="1323"/>
        <v>1800</v>
      </c>
      <c r="BN511" s="1123"/>
      <c r="BO511" s="109">
        <f t="shared" si="1324"/>
        <v>3400</v>
      </c>
      <c r="BP511" s="109">
        <f t="shared" si="1324"/>
        <v>3100</v>
      </c>
      <c r="BQ511" s="109">
        <f t="shared" si="1324"/>
        <v>4600</v>
      </c>
      <c r="BR511" s="109">
        <f t="shared" si="1324"/>
        <v>2700</v>
      </c>
      <c r="BS511" s="1123"/>
      <c r="BT511" s="109">
        <f t="shared" si="1325"/>
        <v>7300</v>
      </c>
      <c r="BU511" s="109">
        <f t="shared" si="1325"/>
        <v>4700</v>
      </c>
      <c r="BV511" s="109">
        <f t="shared" si="1325"/>
        <v>5600</v>
      </c>
      <c r="BW511" s="109">
        <f t="shared" si="1325"/>
        <v>1400</v>
      </c>
      <c r="BX511" s="1123"/>
      <c r="BY511" s="730">
        <f t="shared" ref="BY511" si="1327">BY520+BY516-BY521</f>
        <v>16900</v>
      </c>
      <c r="BZ511" s="109"/>
      <c r="CA511" s="109"/>
      <c r="CB511" s="109"/>
      <c r="CC511" s="1123"/>
      <c r="CD511" s="109"/>
      <c r="CE511" s="109"/>
      <c r="CF511" s="109"/>
      <c r="CG511" s="109"/>
      <c r="CH511" s="1123"/>
      <c r="CI511" s="1123"/>
      <c r="CJ511" s="1123"/>
      <c r="CK511" s="1123"/>
      <c r="CL511" s="27"/>
    </row>
    <row r="512" spans="1:90" s="227" customFormat="1" ht="15" hidden="1" customHeight="1" outlineLevel="1" collapsed="1" x14ac:dyDescent="0.3">
      <c r="A512" s="636" t="s">
        <v>1229</v>
      </c>
      <c r="B512" s="146"/>
      <c r="C512" s="1113">
        <v>423.6</v>
      </c>
      <c r="D512" s="1112"/>
      <c r="E512" s="1112"/>
      <c r="F512" s="1112"/>
      <c r="G512" s="68"/>
      <c r="H512" s="68"/>
      <c r="I512" s="68"/>
      <c r="J512" s="68">
        <f>SUM(J509:J511)</f>
        <v>100</v>
      </c>
      <c r="K512" s="1112">
        <f>SUM(G512,H512,I512,J512)</f>
        <v>100</v>
      </c>
      <c r="L512" s="68">
        <f>SUM(L509:L511)</f>
        <v>100</v>
      </c>
      <c r="M512" s="68">
        <f>SUM(M509:M511)</f>
        <v>750</v>
      </c>
      <c r="N512" s="68">
        <f>SUM(N509:N511)</f>
        <v>0</v>
      </c>
      <c r="O512" s="68">
        <f>SUM(O509:O511)</f>
        <v>37.299999999999955</v>
      </c>
      <c r="P512" s="1112">
        <f>SUM(L512,M512,N512,O512)</f>
        <v>887.3</v>
      </c>
      <c r="Q512" s="68">
        <f>SUM(Q509:Q511)</f>
        <v>500.00000000000011</v>
      </c>
      <c r="R512" s="68">
        <f>SUM(R509:R511)</f>
        <v>0</v>
      </c>
      <c r="S512" s="68">
        <f>SUM(S509:S511)</f>
        <v>310</v>
      </c>
      <c r="T512" s="68">
        <f>SUM(T509:T511)</f>
        <v>3.5999999999999659</v>
      </c>
      <c r="U512" s="1112">
        <f>SUM(Q512,R512,S512,T512)</f>
        <v>813.60000000000014</v>
      </c>
      <c r="V512" s="68">
        <f>SUM(V509:V511)</f>
        <v>52.800000000000011</v>
      </c>
      <c r="W512" s="68">
        <f>SUM(W509:W511)</f>
        <v>402</v>
      </c>
      <c r="X512" s="68">
        <f>SUM(X509:X511)</f>
        <v>0</v>
      </c>
      <c r="Y512" s="68">
        <f>SUM(Y509:Y511)</f>
        <v>135</v>
      </c>
      <c r="Z512" s="1112">
        <f>SUM(V512,W512,X512,Y512)</f>
        <v>589.79999999999995</v>
      </c>
      <c r="AA512" s="68">
        <f>SUM(AA509:AA511)</f>
        <v>495</v>
      </c>
      <c r="AB512" s="68">
        <f>SUM(AB509:AB511)</f>
        <v>10</v>
      </c>
      <c r="AC512" s="68">
        <f>SUM(AC509:AC511)</f>
        <v>0</v>
      </c>
      <c r="AD512" s="68">
        <f>SUM(AD509:AD511)</f>
        <v>230</v>
      </c>
      <c r="AE512" s="1112">
        <f>SUM(AA512,AB512,AC512,AD512)</f>
        <v>735</v>
      </c>
      <c r="AF512" s="68">
        <f>SUM(AF509:AF511)</f>
        <v>0</v>
      </c>
      <c r="AG512" s="68">
        <f>SUM(AG509:AG511)</f>
        <v>760</v>
      </c>
      <c r="AH512" s="68">
        <f>SUM(AH509:AH511)</f>
        <v>150</v>
      </c>
      <c r="AI512" s="68">
        <f>SUM(AI509:AI511)</f>
        <v>0</v>
      </c>
      <c r="AJ512" s="1112">
        <f>SUM(AF512,AG512,AH512,AI512)</f>
        <v>910</v>
      </c>
      <c r="AK512" s="68">
        <f>SUM(AK509:AK511)</f>
        <v>660</v>
      </c>
      <c r="AL512" s="68">
        <f>SUM(AL509:AL511)</f>
        <v>0</v>
      </c>
      <c r="AM512" s="68">
        <f>SUM(AM509:AM511)</f>
        <v>198</v>
      </c>
      <c r="AN512" s="68">
        <f>SUM(AN509:AN511)</f>
        <v>722</v>
      </c>
      <c r="AO512" s="1112">
        <f>SUM(AK512,AL512,AM512,AN512)</f>
        <v>1580</v>
      </c>
      <c r="AP512" s="68">
        <f>SUM(AP509:AP511)</f>
        <v>0</v>
      </c>
      <c r="AQ512" s="68">
        <f>SUM(AQ509:AQ511)</f>
        <v>0</v>
      </c>
      <c r="AR512" s="68">
        <f>SUM(AR509:AR511)</f>
        <v>0</v>
      </c>
      <c r="AS512" s="68">
        <f>SUM(AS509:AS511)</f>
        <v>0</v>
      </c>
      <c r="AT512" s="1112">
        <f>SUM(AP512,AQ512,AR512,AS512)</f>
        <v>0</v>
      </c>
      <c r="AU512" s="68">
        <f>SUM(AU509:AU511)</f>
        <v>0</v>
      </c>
      <c r="AV512" s="68">
        <f>SUM(AV509:AV511)</f>
        <v>0</v>
      </c>
      <c r="AW512" s="68">
        <f>SUM(AW509:AW511)</f>
        <v>0</v>
      </c>
      <c r="AX512" s="68">
        <f>SUM(AX509:AX511)</f>
        <v>0</v>
      </c>
      <c r="AY512" s="1112">
        <f>SUM(AU512,AV512,AW512,AX512)</f>
        <v>0</v>
      </c>
      <c r="AZ512" s="68">
        <f>SUM(AZ509:AZ511)</f>
        <v>0</v>
      </c>
      <c r="BA512" s="68">
        <f>SUM(BA509:BA511)</f>
        <v>0</v>
      </c>
      <c r="BB512" s="68">
        <f>SUM(BB509:BB511)</f>
        <v>0</v>
      </c>
      <c r="BC512" s="68">
        <f>SUM(BC509:BC511)</f>
        <v>0</v>
      </c>
      <c r="BD512" s="1112">
        <f>SUM(AZ512,BA512,BB512,BC512)</f>
        <v>0</v>
      </c>
      <c r="BE512" s="68">
        <f>SUM(BE509:BE511)</f>
        <v>2000</v>
      </c>
      <c r="BF512" s="68">
        <f>SUM(BF509:BF511)</f>
        <v>3070</v>
      </c>
      <c r="BG512" s="68">
        <f>SUM(BG509:BG511)</f>
        <v>3650</v>
      </c>
      <c r="BH512" s="68">
        <f>SUM(BH509:BH511)</f>
        <v>1050</v>
      </c>
      <c r="BI512" s="1112">
        <f>SUM(BE512,BF512,BG512,BH512)</f>
        <v>9770</v>
      </c>
      <c r="BJ512" s="68">
        <f>SUM(BJ509:BJ511)</f>
        <v>0</v>
      </c>
      <c r="BK512" s="68">
        <f>SUM(BK509:BK511)</f>
        <v>3280</v>
      </c>
      <c r="BL512" s="68">
        <f>SUM(BL509:BL511)</f>
        <v>3710</v>
      </c>
      <c r="BM512" s="68">
        <f>SUM(BM509:BM511)</f>
        <v>2740</v>
      </c>
      <c r="BN512" s="1112">
        <f>SUM(BJ512,BK512,BL512,BM512)</f>
        <v>9730</v>
      </c>
      <c r="BO512" s="68">
        <f>SUM(BO509:BO511)</f>
        <v>8000</v>
      </c>
      <c r="BP512" s="68">
        <f>SUM(BP509:BP511)</f>
        <v>7000</v>
      </c>
      <c r="BQ512" s="68">
        <f>SUM(BQ509:BQ511)</f>
        <v>11100</v>
      </c>
      <c r="BR512" s="68">
        <f>SUM(BR509:BR511)</f>
        <v>7700</v>
      </c>
      <c r="BS512" s="1112">
        <f>SUM(BO512,BP512,BQ512,BR512)</f>
        <v>33800</v>
      </c>
      <c r="BT512" s="68">
        <f>SUM(BT509:BT511)</f>
        <v>14400</v>
      </c>
      <c r="BU512" s="68">
        <f>SUM(BU509:BU511)</f>
        <v>9600</v>
      </c>
      <c r="BV512" s="68">
        <f>SUM(BV509:BV511)</f>
        <v>12500</v>
      </c>
      <c r="BW512" s="68">
        <f>SUM(BW509:BW511)</f>
        <v>3700</v>
      </c>
      <c r="BX512" s="1112">
        <f>SUM(BT512,BU512,BV512,BW512)</f>
        <v>40200</v>
      </c>
      <c r="BY512" s="588">
        <f>SUM(BY509:BY511)</f>
        <v>20000</v>
      </c>
      <c r="BZ512" s="68"/>
      <c r="CA512" s="68"/>
      <c r="CB512" s="68"/>
      <c r="CC512" s="1112"/>
      <c r="CD512" s="68"/>
      <c r="CE512" s="68"/>
      <c r="CF512" s="68"/>
      <c r="CG512" s="68"/>
      <c r="CH512" s="1112"/>
      <c r="CI512" s="1112"/>
      <c r="CJ512" s="1112"/>
      <c r="CK512" s="1112"/>
      <c r="CL512" s="27"/>
    </row>
    <row r="513" spans="1:90" s="227" customFormat="1" ht="15" hidden="1" customHeight="1" outlineLevel="2" x14ac:dyDescent="0.3">
      <c r="A513" s="636"/>
      <c r="B513" s="146"/>
      <c r="C513" s="1112"/>
      <c r="D513" s="1112"/>
      <c r="E513" s="1112"/>
      <c r="F513" s="1112"/>
      <c r="G513" s="68"/>
      <c r="H513" s="68"/>
      <c r="I513" s="68"/>
      <c r="J513" s="68"/>
      <c r="K513" s="1112"/>
      <c r="L513" s="68"/>
      <c r="M513" s="68"/>
      <c r="N513" s="68"/>
      <c r="O513" s="68"/>
      <c r="P513" s="1112"/>
      <c r="Q513" s="68"/>
      <c r="R513" s="68"/>
      <c r="S513" s="68"/>
      <c r="T513" s="68"/>
      <c r="U513" s="1112"/>
      <c r="V513" s="68"/>
      <c r="W513" s="68"/>
      <c r="X513" s="68"/>
      <c r="Y513" s="68"/>
      <c r="Z513" s="1112"/>
      <c r="AA513" s="68"/>
      <c r="AB513" s="68"/>
      <c r="AC513" s="68"/>
      <c r="AD513" s="68"/>
      <c r="AE513" s="1112"/>
      <c r="AF513" s="68"/>
      <c r="AG513" s="68"/>
      <c r="AH513" s="68"/>
      <c r="AI513" s="68"/>
      <c r="AJ513" s="1112"/>
      <c r="AK513" s="68"/>
      <c r="AL513" s="68"/>
      <c r="AM513" s="68"/>
      <c r="AN513" s="68"/>
      <c r="AO513" s="1112"/>
      <c r="AP513" s="68"/>
      <c r="AQ513" s="68"/>
      <c r="AR513" s="68"/>
      <c r="AS513" s="68"/>
      <c r="AT513" s="1112"/>
      <c r="AU513" s="68"/>
      <c r="AV513" s="68"/>
      <c r="AW513" s="68"/>
      <c r="AX513" s="68"/>
      <c r="AY513" s="1112"/>
      <c r="AZ513" s="68"/>
      <c r="BA513" s="68"/>
      <c r="BB513" s="68"/>
      <c r="BC513" s="68"/>
      <c r="BD513" s="1112"/>
      <c r="BE513" s="68"/>
      <c r="BF513" s="68"/>
      <c r="BG513" s="68"/>
      <c r="BH513" s="68"/>
      <c r="BI513" s="1112"/>
      <c r="BJ513" s="68"/>
      <c r="BK513" s="68"/>
      <c r="BL513" s="68"/>
      <c r="BM513" s="68"/>
      <c r="BN513" s="1112"/>
      <c r="BO513" s="68"/>
      <c r="BP513" s="68"/>
      <c r="BQ513" s="68"/>
      <c r="BR513" s="68"/>
      <c r="BS513" s="1112"/>
      <c r="BT513" s="68"/>
      <c r="BU513" s="68"/>
      <c r="BV513" s="68"/>
      <c r="BW513" s="68"/>
      <c r="BX513" s="1112"/>
      <c r="BY513" s="588"/>
      <c r="BZ513" s="68"/>
      <c r="CA513" s="68"/>
      <c r="CB513" s="68"/>
      <c r="CC513" s="1112"/>
      <c r="CD513" s="68"/>
      <c r="CE513" s="68"/>
      <c r="CF513" s="68"/>
      <c r="CG513" s="68"/>
      <c r="CH513" s="1112"/>
      <c r="CI513" s="1112"/>
      <c r="CJ513" s="1112"/>
      <c r="CK513" s="1112"/>
      <c r="CL513" s="27"/>
    </row>
    <row r="514" spans="1:90" s="227" customFormat="1" ht="15" hidden="1" customHeight="1" outlineLevel="2" x14ac:dyDescent="0.3">
      <c r="A514" s="99" t="s">
        <v>1230</v>
      </c>
      <c r="B514" s="146"/>
      <c r="C514" s="1112"/>
      <c r="D514" s="1112"/>
      <c r="E514" s="1112"/>
      <c r="F514" s="1112"/>
      <c r="G514" s="68"/>
      <c r="H514" s="68"/>
      <c r="I514" s="68"/>
      <c r="J514" s="68"/>
      <c r="K514" s="1112"/>
      <c r="L514" s="68"/>
      <c r="M514" s="68"/>
      <c r="N514" s="68"/>
      <c r="O514" s="1055">
        <v>1000</v>
      </c>
      <c r="P514" s="1112"/>
      <c r="Q514" s="68"/>
      <c r="R514" s="68"/>
      <c r="S514" s="68"/>
      <c r="T514" s="68"/>
      <c r="U514" s="1112"/>
      <c r="V514" s="68"/>
      <c r="W514" s="1055">
        <v>1620</v>
      </c>
      <c r="X514" s="68"/>
      <c r="Y514" s="68"/>
      <c r="Z514" s="1112"/>
      <c r="AA514" s="68"/>
      <c r="AB514" s="68"/>
      <c r="AC514" s="68"/>
      <c r="AD514" s="1055">
        <v>2000</v>
      </c>
      <c r="AE514" s="1112"/>
      <c r="AF514" s="68"/>
      <c r="AG514" s="68"/>
      <c r="AH514" s="68"/>
      <c r="AI514" s="68"/>
      <c r="AJ514" s="1112"/>
      <c r="AK514" s="68"/>
      <c r="AL514" s="68"/>
      <c r="AM514" s="68"/>
      <c r="AN514" s="1055">
        <v>7000</v>
      </c>
      <c r="AO514" s="1112"/>
      <c r="AP514" s="68"/>
      <c r="AQ514" s="68"/>
      <c r="AR514" s="68"/>
      <c r="AS514" s="68"/>
      <c r="AT514" s="1112"/>
      <c r="AU514" s="68"/>
      <c r="AV514" s="68"/>
      <c r="AW514" s="68"/>
      <c r="AX514" s="68"/>
      <c r="AY514" s="1112"/>
      <c r="AZ514" s="68"/>
      <c r="BA514" s="68"/>
      <c r="BB514" s="68"/>
      <c r="BC514" s="68"/>
      <c r="BD514" s="1112"/>
      <c r="BE514" s="68"/>
      <c r="BF514" s="68">
        <f>15000-BE522</f>
        <v>9760</v>
      </c>
      <c r="BG514" s="68"/>
      <c r="BH514" s="68"/>
      <c r="BI514" s="1112"/>
      <c r="BJ514" s="68"/>
      <c r="BK514" s="68"/>
      <c r="BL514" s="1055">
        <v>25000</v>
      </c>
      <c r="BM514" s="68"/>
      <c r="BN514" s="1112"/>
      <c r="BO514" s="68"/>
      <c r="BP514" s="68"/>
      <c r="BQ514" s="68"/>
      <c r="BR514" s="68"/>
      <c r="BS514" s="1112"/>
      <c r="BT514" s="68"/>
      <c r="BU514" s="68"/>
      <c r="BV514" s="68"/>
      <c r="BW514" s="68"/>
      <c r="BX514" s="1112"/>
      <c r="BY514" s="588"/>
      <c r="BZ514" s="1055">
        <v>80000</v>
      </c>
      <c r="CA514" s="68"/>
      <c r="CB514" s="68"/>
      <c r="CC514" s="1112"/>
      <c r="CD514" s="68"/>
      <c r="CE514" s="68"/>
      <c r="CF514" s="68"/>
      <c r="CG514" s="68"/>
      <c r="CH514" s="1112"/>
      <c r="CI514" s="1112"/>
      <c r="CJ514" s="1112"/>
      <c r="CK514" s="1112"/>
      <c r="CL514" s="27"/>
    </row>
    <row r="515" spans="1:90" s="227" customFormat="1" ht="15" hidden="1" customHeight="1" outlineLevel="2" x14ac:dyDescent="0.3">
      <c r="A515" s="99" t="s">
        <v>1231</v>
      </c>
      <c r="B515" s="146"/>
      <c r="C515" s="1112"/>
      <c r="D515" s="1112"/>
      <c r="E515" s="1112"/>
      <c r="F515" s="1112"/>
      <c r="G515" s="68"/>
      <c r="H515" s="68"/>
      <c r="I515" s="68"/>
      <c r="J515" s="68"/>
      <c r="K515" s="1112"/>
      <c r="L515" s="68"/>
      <c r="M515" s="68"/>
      <c r="N515" s="68"/>
      <c r="O515" s="68"/>
      <c r="P515" s="1112"/>
      <c r="Q515" s="68"/>
      <c r="R515" s="68"/>
      <c r="S515" s="68"/>
      <c r="T515" s="68"/>
      <c r="U515" s="1112"/>
      <c r="V515" s="68"/>
      <c r="W515" s="68"/>
      <c r="X515" s="68"/>
      <c r="Y515" s="68"/>
      <c r="Z515" s="1112"/>
      <c r="AA515" s="68"/>
      <c r="AB515" s="68"/>
      <c r="AC515" s="68"/>
      <c r="AD515" s="68"/>
      <c r="AE515" s="1112"/>
      <c r="AF515" s="68"/>
      <c r="AG515" s="68"/>
      <c r="AH515" s="68"/>
      <c r="AI515" s="68"/>
      <c r="AJ515" s="1112"/>
      <c r="AK515" s="68"/>
      <c r="AL515" s="68"/>
      <c r="AM515" s="68"/>
      <c r="AN515" s="68"/>
      <c r="AO515" s="1112"/>
      <c r="AP515" s="68"/>
      <c r="AQ515" s="68"/>
      <c r="AR515" s="68"/>
      <c r="AS515" s="68"/>
      <c r="AT515" s="1112"/>
      <c r="AU515" s="68"/>
      <c r="AV515" s="68"/>
      <c r="AW515" s="68"/>
      <c r="AX515" s="68"/>
      <c r="AY515" s="1112"/>
      <c r="AZ515" s="68"/>
      <c r="BA515" s="68"/>
      <c r="BB515" s="68"/>
      <c r="BC515" s="68"/>
      <c r="BD515" s="1112"/>
      <c r="BE515" s="68"/>
      <c r="BF515" s="68"/>
      <c r="BG515" s="68"/>
      <c r="BH515" s="68"/>
      <c r="BI515" s="1112"/>
      <c r="BJ515" s="68"/>
      <c r="BK515" s="68"/>
      <c r="BL515" s="68"/>
      <c r="BM515" s="68"/>
      <c r="BN515" s="1112"/>
      <c r="BO515" s="68"/>
      <c r="BP515" s="68"/>
      <c r="BQ515" s="1055">
        <v>50000</v>
      </c>
      <c r="BR515" s="68"/>
      <c r="BS515" s="1112"/>
      <c r="BT515" s="68"/>
      <c r="BU515" s="68"/>
      <c r="BV515" s="1055">
        <v>60000</v>
      </c>
      <c r="BW515" s="68"/>
      <c r="BX515" s="1112"/>
      <c r="BY515" s="588"/>
      <c r="BZ515" s="68"/>
      <c r="CA515" s="68"/>
      <c r="CB515" s="68"/>
      <c r="CC515" s="1112"/>
      <c r="CD515" s="68"/>
      <c r="CE515" s="68"/>
      <c r="CF515" s="68"/>
      <c r="CG515" s="68"/>
      <c r="CH515" s="1112"/>
      <c r="CI515" s="1112"/>
      <c r="CJ515" s="1112"/>
      <c r="CK515" s="1112"/>
      <c r="CL515" s="27"/>
    </row>
    <row r="516" spans="1:90" s="227" customFormat="1" ht="15" hidden="1" customHeight="1" outlineLevel="2" x14ac:dyDescent="0.3">
      <c r="A516" s="282" t="s">
        <v>1232</v>
      </c>
      <c r="B516" s="149"/>
      <c r="C516" s="1123"/>
      <c r="D516" s="1123"/>
      <c r="E516" s="1123"/>
      <c r="F516" s="1123"/>
      <c r="G516" s="109"/>
      <c r="H516" s="109"/>
      <c r="I516" s="109"/>
      <c r="J516" s="109"/>
      <c r="K516" s="1123"/>
      <c r="L516" s="109"/>
      <c r="M516" s="109"/>
      <c r="N516" s="109"/>
      <c r="O516" s="109"/>
      <c r="P516" s="1123"/>
      <c r="Q516" s="109"/>
      <c r="R516" s="109"/>
      <c r="S516" s="109"/>
      <c r="T516" s="109"/>
      <c r="U516" s="1123"/>
      <c r="V516" s="109"/>
      <c r="W516" s="109"/>
      <c r="X516" s="109"/>
      <c r="Y516" s="109"/>
      <c r="Z516" s="1123"/>
      <c r="AA516" s="109"/>
      <c r="AB516" s="109"/>
      <c r="AC516" s="109"/>
      <c r="AD516" s="109"/>
      <c r="AE516" s="1123"/>
      <c r="AF516" s="109"/>
      <c r="AG516" s="109"/>
      <c r="AH516" s="109"/>
      <c r="AI516" s="109"/>
      <c r="AJ516" s="1123"/>
      <c r="AK516" s="109"/>
      <c r="AL516" s="109"/>
      <c r="AM516" s="109"/>
      <c r="AN516" s="109"/>
      <c r="AO516" s="1123"/>
      <c r="AP516" s="109"/>
      <c r="AQ516" s="109"/>
      <c r="AR516" s="109"/>
      <c r="AS516" s="109"/>
      <c r="AT516" s="1123"/>
      <c r="AU516" s="109"/>
      <c r="AV516" s="109"/>
      <c r="AW516" s="109"/>
      <c r="AX516" s="109"/>
      <c r="AY516" s="1123"/>
      <c r="AZ516" s="109"/>
      <c r="BA516" s="109"/>
      <c r="BB516" s="109"/>
      <c r="BC516" s="109"/>
      <c r="BD516" s="1123"/>
      <c r="BE516" s="109"/>
      <c r="BF516" s="109"/>
      <c r="BG516" s="109"/>
      <c r="BH516" s="109"/>
      <c r="BI516" s="1123"/>
      <c r="BJ516" s="109"/>
      <c r="BK516" s="109"/>
      <c r="BL516" s="109"/>
      <c r="BM516" s="109"/>
      <c r="BN516" s="1123"/>
      <c r="BO516" s="109"/>
      <c r="BP516" s="109"/>
      <c r="BQ516" s="109"/>
      <c r="BR516" s="109"/>
      <c r="BS516" s="1123"/>
      <c r="BT516" s="109"/>
      <c r="BU516" s="109"/>
      <c r="BV516" s="109"/>
      <c r="BW516" s="109"/>
      <c r="BX516" s="1123"/>
      <c r="BY516" s="730"/>
      <c r="BZ516" s="109"/>
      <c r="CA516" s="109"/>
      <c r="CB516" s="109"/>
      <c r="CC516" s="1123"/>
      <c r="CD516" s="109"/>
      <c r="CE516" s="109"/>
      <c r="CF516" s="109"/>
      <c r="CG516" s="109"/>
      <c r="CH516" s="1123"/>
      <c r="CI516" s="1123"/>
      <c r="CJ516" s="1123"/>
      <c r="CK516" s="1123"/>
      <c r="CL516" s="27"/>
    </row>
    <row r="517" spans="1:90" s="227" customFormat="1" ht="15" hidden="1" customHeight="1" outlineLevel="1" collapsed="1" x14ac:dyDescent="0.3">
      <c r="A517" s="636" t="s">
        <v>1233</v>
      </c>
      <c r="B517" s="146"/>
      <c r="C517" s="1112"/>
      <c r="D517" s="1112"/>
      <c r="E517" s="1112"/>
      <c r="F517" s="1112"/>
      <c r="G517" s="68"/>
      <c r="H517" s="68"/>
      <c r="I517" s="68"/>
      <c r="J517" s="68"/>
      <c r="K517" s="1112"/>
      <c r="L517" s="68">
        <f>SUM(L514:L516)</f>
        <v>0</v>
      </c>
      <c r="M517" s="68">
        <f>SUM(M514:M516)</f>
        <v>0</v>
      </c>
      <c r="N517" s="68">
        <f>SUM(N514:N516)</f>
        <v>0</v>
      </c>
      <c r="O517" s="68">
        <f>SUM(O514:O516)</f>
        <v>1000</v>
      </c>
      <c r="P517" s="1112">
        <f>SUM(L517,M517,N517,O517)</f>
        <v>1000</v>
      </c>
      <c r="Q517" s="68">
        <f>SUM(Q514:Q516)</f>
        <v>0</v>
      </c>
      <c r="R517" s="68">
        <f>SUM(R514:R516)</f>
        <v>0</v>
      </c>
      <c r="S517" s="68">
        <f>SUM(S514:S516)</f>
        <v>0</v>
      </c>
      <c r="T517" s="68">
        <f>SUM(T514:T516)</f>
        <v>0</v>
      </c>
      <c r="U517" s="1112">
        <f>SUM(Q517,R517,S517,T517)</f>
        <v>0</v>
      </c>
      <c r="V517" s="68">
        <f>SUM(V514:V516)</f>
        <v>0</v>
      </c>
      <c r="W517" s="68">
        <f>SUM(W514:W516)</f>
        <v>1620</v>
      </c>
      <c r="X517" s="68">
        <f>SUM(X514:X516)</f>
        <v>0</v>
      </c>
      <c r="Y517" s="68">
        <f>SUM(Y514:Y516)</f>
        <v>0</v>
      </c>
      <c r="Z517" s="1112">
        <f>SUM(V517,W517,X517,Y517)</f>
        <v>1620</v>
      </c>
      <c r="AA517" s="68">
        <f>SUM(AA514:AA516)</f>
        <v>0</v>
      </c>
      <c r="AB517" s="68">
        <f>SUM(AB514:AB516)</f>
        <v>0</v>
      </c>
      <c r="AC517" s="68">
        <f>SUM(AC514:AC516)</f>
        <v>0</v>
      </c>
      <c r="AD517" s="68">
        <f>SUM(AD514:AD516)</f>
        <v>2000</v>
      </c>
      <c r="AE517" s="1112">
        <f>SUM(AA517,AB517,AC517,AD517)</f>
        <v>2000</v>
      </c>
      <c r="AF517" s="68">
        <f>SUM(AF514:AF516)</f>
        <v>0</v>
      </c>
      <c r="AG517" s="68">
        <f>SUM(AG514:AG516)</f>
        <v>0</v>
      </c>
      <c r="AH517" s="68">
        <f>SUM(AH514:AH516)</f>
        <v>0</v>
      </c>
      <c r="AI517" s="68">
        <f>SUM(AI514:AI516)</f>
        <v>0</v>
      </c>
      <c r="AJ517" s="1112">
        <f>SUM(AF517,AG517,AH517,AI517)</f>
        <v>0</v>
      </c>
      <c r="AK517" s="68">
        <f>SUM(AK514:AK516)</f>
        <v>0</v>
      </c>
      <c r="AL517" s="68">
        <f>SUM(AL514:AL516)</f>
        <v>0</v>
      </c>
      <c r="AM517" s="68">
        <f>SUM(AM514:AM516)</f>
        <v>0</v>
      </c>
      <c r="AN517" s="68">
        <f>SUM(AN514:AN516)</f>
        <v>7000</v>
      </c>
      <c r="AO517" s="1112">
        <f>SUM(AK517,AL517,AM517,AN517)</f>
        <v>7000</v>
      </c>
      <c r="AP517" s="68">
        <f>SUM(AP514:AP516)</f>
        <v>0</v>
      </c>
      <c r="AQ517" s="68">
        <f>SUM(AQ514:AQ516)</f>
        <v>0</v>
      </c>
      <c r="AR517" s="68">
        <f>SUM(AR514:AR516)</f>
        <v>0</v>
      </c>
      <c r="AS517" s="68">
        <f>SUM(AS514:AS516)</f>
        <v>0</v>
      </c>
      <c r="AT517" s="1112">
        <f>SUM(AP517,AQ517,AR517,AS517)</f>
        <v>0</v>
      </c>
      <c r="AU517" s="68">
        <f>SUM(AU514:AU516)</f>
        <v>0</v>
      </c>
      <c r="AV517" s="68">
        <f>SUM(AV514:AV516)</f>
        <v>0</v>
      </c>
      <c r="AW517" s="68">
        <f>SUM(AW514:AW516)</f>
        <v>0</v>
      </c>
      <c r="AX517" s="68">
        <f>SUM(AX514:AX516)</f>
        <v>0</v>
      </c>
      <c r="AY517" s="1112">
        <f>SUM(AU517,AV517,AW517,AX517)</f>
        <v>0</v>
      </c>
      <c r="AZ517" s="68">
        <f>SUM(AZ514:AZ516)</f>
        <v>0</v>
      </c>
      <c r="BA517" s="68">
        <f>SUM(BA514:BA516)</f>
        <v>0</v>
      </c>
      <c r="BB517" s="68">
        <f>SUM(BB514:BB516)</f>
        <v>0</v>
      </c>
      <c r="BC517" s="68">
        <f>SUM(BC514:BC516)</f>
        <v>0</v>
      </c>
      <c r="BD517" s="1112">
        <f>SUM(AZ517,BA517,BB517,BC517)</f>
        <v>0</v>
      </c>
      <c r="BE517" s="68">
        <f>SUM(BE514:BE516)</f>
        <v>0</v>
      </c>
      <c r="BF517" s="68">
        <f>SUM(BF514:BF516)</f>
        <v>9760</v>
      </c>
      <c r="BG517" s="68">
        <f>SUM(BG514:BG516)</f>
        <v>0</v>
      </c>
      <c r="BH517" s="68">
        <f>SUM(BH514:BH516)</f>
        <v>0</v>
      </c>
      <c r="BI517" s="1112">
        <f>SUM(BE517,BF517,BG517,BH517)</f>
        <v>9760</v>
      </c>
      <c r="BJ517" s="68">
        <f>SUM(BJ514:BJ516)</f>
        <v>0</v>
      </c>
      <c r="BK517" s="68">
        <f>SUM(BK514:BK516)</f>
        <v>0</v>
      </c>
      <c r="BL517" s="68">
        <f>SUM(BL514:BL516)</f>
        <v>25000</v>
      </c>
      <c r="BM517" s="68">
        <f>SUM(BM514:BM516)</f>
        <v>0</v>
      </c>
      <c r="BN517" s="1112">
        <f>SUM(BJ517,BK517,BL517,BM517)</f>
        <v>25000</v>
      </c>
      <c r="BO517" s="68">
        <f>SUM(BO514:BO516)</f>
        <v>0</v>
      </c>
      <c r="BP517" s="68">
        <f>SUM(BP514:BP516)</f>
        <v>0</v>
      </c>
      <c r="BQ517" s="68">
        <f>SUM(BQ514:BQ516)</f>
        <v>50000</v>
      </c>
      <c r="BR517" s="68">
        <f>SUM(BR514:BR516)</f>
        <v>0</v>
      </c>
      <c r="BS517" s="1112">
        <f>SUM(BO517,BP517,BQ517,BR517)</f>
        <v>50000</v>
      </c>
      <c r="BT517" s="68">
        <f>SUM(BT514:BT516)</f>
        <v>0</v>
      </c>
      <c r="BU517" s="68">
        <f>SUM(BU514:BU516)</f>
        <v>0</v>
      </c>
      <c r="BV517" s="68">
        <f>SUM(BV514:BV516)</f>
        <v>60000</v>
      </c>
      <c r="BW517" s="68">
        <f>SUM(BW514:BW516)</f>
        <v>0</v>
      </c>
      <c r="BX517" s="1112">
        <f>SUM(BT517,BU517,BV517,BW517)</f>
        <v>60000</v>
      </c>
      <c r="BY517" s="588">
        <f>SUM(BY514:BY516)</f>
        <v>0</v>
      </c>
      <c r="BZ517" s="68"/>
      <c r="CA517" s="68"/>
      <c r="CB517" s="68"/>
      <c r="CC517" s="1112"/>
      <c r="CD517" s="68"/>
      <c r="CE517" s="68"/>
      <c r="CF517" s="68"/>
      <c r="CG517" s="68"/>
      <c r="CH517" s="1112"/>
      <c r="CI517" s="1112"/>
      <c r="CJ517" s="1112"/>
      <c r="CK517" s="1112"/>
      <c r="CL517" s="27"/>
    </row>
    <row r="518" spans="1:90" s="227" customFormat="1" ht="15" hidden="1" customHeight="1" outlineLevel="2" x14ac:dyDescent="0.3">
      <c r="A518" s="636"/>
      <c r="B518" s="146"/>
      <c r="C518" s="1112"/>
      <c r="D518" s="1112"/>
      <c r="E518" s="1112"/>
      <c r="F518" s="1112"/>
      <c r="G518" s="68"/>
      <c r="H518" s="68"/>
      <c r="I518" s="68"/>
      <c r="J518" s="68"/>
      <c r="K518" s="1112"/>
      <c r="L518" s="68"/>
      <c r="M518" s="68"/>
      <c r="N518" s="68"/>
      <c r="O518" s="68"/>
      <c r="P518" s="1112"/>
      <c r="Q518" s="68"/>
      <c r="R518" s="68"/>
      <c r="S518" s="68"/>
      <c r="T518" s="68"/>
      <c r="U518" s="1112"/>
      <c r="V518" s="68"/>
      <c r="W518" s="68"/>
      <c r="X518" s="68"/>
      <c r="Y518" s="68"/>
      <c r="Z518" s="1112"/>
      <c r="AA518" s="68"/>
      <c r="AB518" s="68"/>
      <c r="AC518" s="68"/>
      <c r="AD518" s="68"/>
      <c r="AE518" s="1112"/>
      <c r="AF518" s="68"/>
      <c r="AG518" s="68"/>
      <c r="AH518" s="68"/>
      <c r="AI518" s="68"/>
      <c r="AJ518" s="1112"/>
      <c r="AK518" s="68"/>
      <c r="AL518" s="68"/>
      <c r="AM518" s="68"/>
      <c r="AN518" s="68"/>
      <c r="AO518" s="1112"/>
      <c r="AP518" s="68"/>
      <c r="AQ518" s="68"/>
      <c r="AR518" s="68"/>
      <c r="AS518" s="68"/>
      <c r="AT518" s="1112"/>
      <c r="AU518" s="68"/>
      <c r="AV518" s="68"/>
      <c r="AW518" s="68"/>
      <c r="AX518" s="68"/>
      <c r="AY518" s="1112"/>
      <c r="AZ518" s="68"/>
      <c r="BA518" s="68"/>
      <c r="BB518" s="68"/>
      <c r="BC518" s="68"/>
      <c r="BD518" s="1112"/>
      <c r="BE518" s="68"/>
      <c r="BF518" s="68"/>
      <c r="BG518" s="68"/>
      <c r="BH518" s="68"/>
      <c r="BI518" s="1112"/>
      <c r="BJ518" s="68"/>
      <c r="BK518" s="68"/>
      <c r="BL518" s="68"/>
      <c r="BM518" s="68"/>
      <c r="BN518" s="1112"/>
      <c r="BO518" s="68"/>
      <c r="BP518" s="68"/>
      <c r="BQ518" s="68"/>
      <c r="BR518" s="68"/>
      <c r="BS518" s="1112"/>
      <c r="BT518" s="68"/>
      <c r="BU518" s="68"/>
      <c r="BV518" s="68"/>
      <c r="BW518" s="68"/>
      <c r="BX518" s="1112"/>
      <c r="BY518" s="588"/>
      <c r="BZ518" s="68"/>
      <c r="CA518" s="68"/>
      <c r="CB518" s="68"/>
      <c r="CC518" s="1112"/>
      <c r="CD518" s="68"/>
      <c r="CE518" s="68"/>
      <c r="CF518" s="68"/>
      <c r="CG518" s="68"/>
      <c r="CH518" s="1112"/>
      <c r="CI518" s="1112"/>
      <c r="CJ518" s="1112"/>
      <c r="CK518" s="1112"/>
      <c r="CL518" s="27"/>
    </row>
    <row r="519" spans="1:90" s="227" customFormat="1" ht="15" hidden="1" customHeight="1" outlineLevel="2" x14ac:dyDescent="0.3">
      <c r="A519" s="99" t="s">
        <v>1234</v>
      </c>
      <c r="B519" s="146"/>
      <c r="C519" s="1112"/>
      <c r="D519" s="1112"/>
      <c r="E519" s="1112"/>
      <c r="F519" s="1112"/>
      <c r="G519" s="68"/>
      <c r="H519" s="68"/>
      <c r="I519" s="68"/>
      <c r="J519" s="1055">
        <v>1235.7</v>
      </c>
      <c r="K519" s="1112"/>
      <c r="L519" s="1055">
        <v>1135.7</v>
      </c>
      <c r="M519" s="1055">
        <v>285.7</v>
      </c>
      <c r="N519" s="1055">
        <v>285.7</v>
      </c>
      <c r="O519" s="1055">
        <v>1262.7</v>
      </c>
      <c r="P519" s="1112"/>
      <c r="Q519" s="1055">
        <v>748.4</v>
      </c>
      <c r="R519" s="1055">
        <v>748.4</v>
      </c>
      <c r="S519" s="1055">
        <v>438.4</v>
      </c>
      <c r="T519" s="1055">
        <v>438.4</v>
      </c>
      <c r="U519" s="1112"/>
      <c r="V519" s="1055">
        <v>434</v>
      </c>
      <c r="W519" s="1055">
        <v>1600</v>
      </c>
      <c r="X519" s="1055">
        <v>1600</v>
      </c>
      <c r="Y519" s="1055">
        <v>1465</v>
      </c>
      <c r="Z519" s="1112"/>
      <c r="AA519" s="68">
        <f>Z522</f>
        <v>1465</v>
      </c>
      <c r="AB519" s="1055">
        <v>970</v>
      </c>
      <c r="AC519" s="68">
        <f>AB522</f>
        <v>960</v>
      </c>
      <c r="AD519" s="1055">
        <v>2730</v>
      </c>
      <c r="AE519" s="1112"/>
      <c r="AF519" s="68">
        <f>AE522</f>
        <v>2730</v>
      </c>
      <c r="AG519" s="1055">
        <v>2730</v>
      </c>
      <c r="AH519" s="1055">
        <v>1970</v>
      </c>
      <c r="AI519" s="68">
        <f>AH522</f>
        <v>1820</v>
      </c>
      <c r="AJ519" s="1112"/>
      <c r="AK519" s="1055">
        <v>1450</v>
      </c>
      <c r="AL519" s="68">
        <f>AK522</f>
        <v>1160</v>
      </c>
      <c r="AM519" s="1055">
        <v>1133</v>
      </c>
      <c r="AN519" s="1055">
        <v>7940</v>
      </c>
      <c r="AO519" s="1112"/>
      <c r="AP519" s="68">
        <f>AO522</f>
        <v>7240</v>
      </c>
      <c r="AQ519" s="68">
        <f t="shared" ref="AQ519:AS519" si="1328">AP522</f>
        <v>7240</v>
      </c>
      <c r="AR519" s="68">
        <f t="shared" si="1328"/>
        <v>7240</v>
      </c>
      <c r="AS519" s="68">
        <f t="shared" si="1328"/>
        <v>7240</v>
      </c>
      <c r="AT519" s="1112"/>
      <c r="AU519" s="68">
        <f>AT522</f>
        <v>7240</v>
      </c>
      <c r="AV519" s="68">
        <f t="shared" ref="AV519:AX519" si="1329">AU522</f>
        <v>7240</v>
      </c>
      <c r="AW519" s="68">
        <f t="shared" si="1329"/>
        <v>7240</v>
      </c>
      <c r="AX519" s="68">
        <f t="shared" si="1329"/>
        <v>7240</v>
      </c>
      <c r="AY519" s="1112"/>
      <c r="AZ519" s="68">
        <f>AY522</f>
        <v>7240</v>
      </c>
      <c r="BA519" s="68">
        <f t="shared" ref="BA519:BC519" si="1330">AZ522</f>
        <v>7240</v>
      </c>
      <c r="BB519" s="68">
        <f t="shared" si="1330"/>
        <v>7240</v>
      </c>
      <c r="BC519" s="68">
        <f t="shared" si="1330"/>
        <v>7240</v>
      </c>
      <c r="BD519" s="1112"/>
      <c r="BE519" s="1055">
        <v>7240</v>
      </c>
      <c r="BF519" s="1055">
        <v>14780</v>
      </c>
      <c r="BG519" s="1055">
        <v>11820</v>
      </c>
      <c r="BH519" s="1055">
        <v>7230</v>
      </c>
      <c r="BI519" s="1112"/>
      <c r="BJ519" s="68">
        <f>BI522</f>
        <v>7230</v>
      </c>
      <c r="BK519" s="1055">
        <v>7230</v>
      </c>
      <c r="BL519" s="1055">
        <v>27950</v>
      </c>
      <c r="BM519" s="1055">
        <v>24800</v>
      </c>
      <c r="BN519" s="1112"/>
      <c r="BO519" s="1055">
        <v>20200</v>
      </c>
      <c r="BP519" s="1055">
        <v>12400</v>
      </c>
      <c r="BQ519" s="1055">
        <v>4100</v>
      </c>
      <c r="BR519" s="1055">
        <v>42800</v>
      </c>
      <c r="BS519" s="1112"/>
      <c r="BT519" s="1055">
        <v>35000</v>
      </c>
      <c r="BU519" s="1055">
        <v>22000</v>
      </c>
      <c r="BV519" s="1055">
        <v>11500</v>
      </c>
      <c r="BW519" s="1055">
        <v>61100</v>
      </c>
      <c r="BX519" s="1112"/>
      <c r="BY519" s="1057">
        <v>57000</v>
      </c>
      <c r="BZ519" s="68"/>
      <c r="CA519" s="68"/>
      <c r="CB519" s="68"/>
      <c r="CC519" s="1112"/>
      <c r="CD519" s="68"/>
      <c r="CE519" s="68"/>
      <c r="CF519" s="68"/>
      <c r="CG519" s="68"/>
      <c r="CH519" s="1112"/>
      <c r="CI519" s="1112"/>
      <c r="CJ519" s="1112"/>
      <c r="CK519" s="1112"/>
      <c r="CL519" s="27"/>
    </row>
    <row r="520" spans="1:90" s="227" customFormat="1" ht="15" hidden="1" customHeight="1" outlineLevel="2" x14ac:dyDescent="0.3">
      <c r="A520" s="99" t="s">
        <v>1235</v>
      </c>
      <c r="B520" s="146"/>
      <c r="C520" s="1112"/>
      <c r="D520" s="1112"/>
      <c r="E520" s="1112"/>
      <c r="F520" s="1112"/>
      <c r="G520" s="68"/>
      <c r="H520" s="68"/>
      <c r="I520" s="68"/>
      <c r="J520" s="1055">
        <v>1135.7</v>
      </c>
      <c r="K520" s="1112"/>
      <c r="L520" s="1055">
        <v>1035.7</v>
      </c>
      <c r="M520" s="1055">
        <v>285.7</v>
      </c>
      <c r="N520" s="1055">
        <v>285.7</v>
      </c>
      <c r="O520" s="1055">
        <v>1248.4000000000001</v>
      </c>
      <c r="P520" s="1112"/>
      <c r="Q520" s="1055">
        <v>748.4</v>
      </c>
      <c r="R520" s="1055">
        <v>748.4</v>
      </c>
      <c r="S520" s="1055">
        <v>438.4</v>
      </c>
      <c r="T520" s="1055">
        <v>434.8</v>
      </c>
      <c r="U520" s="1112"/>
      <c r="V520" s="1055">
        <v>434</v>
      </c>
      <c r="W520" s="1055">
        <v>1600</v>
      </c>
      <c r="X520" s="1055">
        <v>1600</v>
      </c>
      <c r="Y520" s="1055">
        <v>1465</v>
      </c>
      <c r="Z520" s="1112"/>
      <c r="AA520" s="68">
        <f>Z522</f>
        <v>1465</v>
      </c>
      <c r="AB520" s="1055">
        <v>970</v>
      </c>
      <c r="AC520" s="68">
        <f>AC519</f>
        <v>960</v>
      </c>
      <c r="AD520" s="1055">
        <v>2730</v>
      </c>
      <c r="AE520" s="1112"/>
      <c r="AF520" s="68">
        <f>AF519</f>
        <v>2730</v>
      </c>
      <c r="AG520" s="1055">
        <v>2270</v>
      </c>
      <c r="AH520" s="1055">
        <v>1820</v>
      </c>
      <c r="AI520" s="68">
        <f>AI519</f>
        <v>1820</v>
      </c>
      <c r="AJ520" s="1112"/>
      <c r="AK520" s="1055">
        <v>1160</v>
      </c>
      <c r="AL520" s="68">
        <f>AL519</f>
        <v>1160</v>
      </c>
      <c r="AM520" s="1055">
        <v>983</v>
      </c>
      <c r="AN520" s="1055">
        <v>7470</v>
      </c>
      <c r="AO520" s="1112"/>
      <c r="AP520" s="68">
        <f>AP519</f>
        <v>7240</v>
      </c>
      <c r="AQ520" s="68">
        <f t="shared" ref="AQ520:AS522" si="1331">AQ519</f>
        <v>7240</v>
      </c>
      <c r="AR520" s="68">
        <f t="shared" si="1331"/>
        <v>7240</v>
      </c>
      <c r="AS520" s="68">
        <f t="shared" si="1331"/>
        <v>7240</v>
      </c>
      <c r="AT520" s="1112"/>
      <c r="AU520" s="68">
        <f>AU519</f>
        <v>7240</v>
      </c>
      <c r="AV520" s="68">
        <f t="shared" ref="AV520:AV522" si="1332">AV519</f>
        <v>7240</v>
      </c>
      <c r="AW520" s="68">
        <f t="shared" ref="AW520:AW522" si="1333">AW519</f>
        <v>7240</v>
      </c>
      <c r="AX520" s="68">
        <f t="shared" ref="AX520:AX522" si="1334">AX519</f>
        <v>7240</v>
      </c>
      <c r="AY520" s="1112"/>
      <c r="AZ520" s="68">
        <f>AZ519</f>
        <v>7240</v>
      </c>
      <c r="BA520" s="68">
        <f t="shared" ref="BA520:BA522" si="1335">BA519</f>
        <v>7240</v>
      </c>
      <c r="BB520" s="68">
        <f t="shared" ref="BB520:BB522" si="1336">BB519</f>
        <v>7240</v>
      </c>
      <c r="BC520" s="68">
        <f t="shared" ref="BC520:BC522" si="1337">BC519</f>
        <v>7240</v>
      </c>
      <c r="BD520" s="1112"/>
      <c r="BE520" s="1055">
        <v>5240</v>
      </c>
      <c r="BF520" s="1055">
        <v>11930</v>
      </c>
      <c r="BG520" s="1055">
        <v>10400</v>
      </c>
      <c r="BH520" s="1055">
        <v>7230</v>
      </c>
      <c r="BI520" s="1112"/>
      <c r="BJ520" s="68">
        <f>BJ519</f>
        <v>7230</v>
      </c>
      <c r="BK520" s="1055">
        <v>6410</v>
      </c>
      <c r="BL520" s="1055">
        <v>26780</v>
      </c>
      <c r="BM520" s="1055">
        <v>24300</v>
      </c>
      <c r="BN520" s="1112"/>
      <c r="BO520" s="1055">
        <v>17900</v>
      </c>
      <c r="BP520" s="1055">
        <v>10600</v>
      </c>
      <c r="BQ520" s="1055">
        <v>51000</v>
      </c>
      <c r="BR520" s="1055">
        <v>41400</v>
      </c>
      <c r="BS520" s="1112"/>
      <c r="BT520" s="1055">
        <v>31600</v>
      </c>
      <c r="BU520" s="1055">
        <v>19400</v>
      </c>
      <c r="BV520" s="1055">
        <v>67800</v>
      </c>
      <c r="BW520" s="1055">
        <v>59900</v>
      </c>
      <c r="BX520" s="1112"/>
      <c r="BY520" s="1057">
        <v>55400</v>
      </c>
      <c r="BZ520" s="68"/>
      <c r="CA520" s="68"/>
      <c r="CB520" s="68"/>
      <c r="CC520" s="1112"/>
      <c r="CD520" s="68"/>
      <c r="CE520" s="68"/>
      <c r="CF520" s="68"/>
      <c r="CG520" s="68"/>
      <c r="CH520" s="1112"/>
      <c r="CI520" s="1112"/>
      <c r="CJ520" s="1112"/>
      <c r="CK520" s="1112"/>
      <c r="CL520" s="27"/>
    </row>
    <row r="521" spans="1:90" s="227" customFormat="1" ht="15" hidden="1" customHeight="1" outlineLevel="2" x14ac:dyDescent="0.3">
      <c r="A521" s="282" t="s">
        <v>1236</v>
      </c>
      <c r="B521" s="149"/>
      <c r="C521" s="1123"/>
      <c r="D521" s="1123"/>
      <c r="E521" s="1123"/>
      <c r="F521" s="1123"/>
      <c r="G521" s="109"/>
      <c r="H521" s="109"/>
      <c r="I521" s="109"/>
      <c r="J521" s="1062">
        <v>1135.7</v>
      </c>
      <c r="K521" s="1123"/>
      <c r="L521" s="1062">
        <v>1035.7</v>
      </c>
      <c r="M521" s="1062">
        <v>285.7</v>
      </c>
      <c r="N521" s="1062">
        <v>285.7</v>
      </c>
      <c r="O521" s="1062">
        <v>1248.4000000000001</v>
      </c>
      <c r="P521" s="1123"/>
      <c r="Q521" s="1062">
        <v>748.4</v>
      </c>
      <c r="R521" s="1062">
        <v>748.4</v>
      </c>
      <c r="S521" s="1062">
        <v>438.4</v>
      </c>
      <c r="T521" s="1062">
        <v>434.8</v>
      </c>
      <c r="U521" s="1123"/>
      <c r="V521" s="1062">
        <v>382</v>
      </c>
      <c r="W521" s="1062">
        <v>1600</v>
      </c>
      <c r="X521" s="1062">
        <v>1600</v>
      </c>
      <c r="Y521" s="1062">
        <v>1465</v>
      </c>
      <c r="Z521" s="1123"/>
      <c r="AA521" s="1062">
        <v>970</v>
      </c>
      <c r="AB521" s="1062">
        <v>960</v>
      </c>
      <c r="AC521" s="109">
        <f>AC520</f>
        <v>960</v>
      </c>
      <c r="AD521" s="1062">
        <v>2730</v>
      </c>
      <c r="AE521" s="1123"/>
      <c r="AF521" s="109">
        <f>AF520</f>
        <v>2730</v>
      </c>
      <c r="AG521" s="1062">
        <v>1970</v>
      </c>
      <c r="AH521" s="1062">
        <v>1820</v>
      </c>
      <c r="AI521" s="109">
        <f>AI520</f>
        <v>1820</v>
      </c>
      <c r="AJ521" s="1123"/>
      <c r="AK521" s="1062">
        <v>1160</v>
      </c>
      <c r="AL521" s="109">
        <f>AL520</f>
        <v>1160</v>
      </c>
      <c r="AM521" s="1062">
        <v>962</v>
      </c>
      <c r="AN521" s="1062">
        <v>7240</v>
      </c>
      <c r="AO521" s="1123"/>
      <c r="AP521" s="109">
        <f>AP520</f>
        <v>7240</v>
      </c>
      <c r="AQ521" s="109">
        <f t="shared" si="1331"/>
        <v>7240</v>
      </c>
      <c r="AR521" s="109">
        <f t="shared" si="1331"/>
        <v>7240</v>
      </c>
      <c r="AS521" s="109">
        <f t="shared" si="1331"/>
        <v>7240</v>
      </c>
      <c r="AT521" s="1123"/>
      <c r="AU521" s="109">
        <f>AU520</f>
        <v>7240</v>
      </c>
      <c r="AV521" s="109">
        <f t="shared" si="1332"/>
        <v>7240</v>
      </c>
      <c r="AW521" s="109">
        <f t="shared" si="1333"/>
        <v>7240</v>
      </c>
      <c r="AX521" s="109">
        <f t="shared" si="1334"/>
        <v>7240</v>
      </c>
      <c r="AY521" s="1123"/>
      <c r="AZ521" s="109">
        <f>AZ520</f>
        <v>7240</v>
      </c>
      <c r="BA521" s="109">
        <f t="shared" si="1335"/>
        <v>7240</v>
      </c>
      <c r="BB521" s="109">
        <f t="shared" si="1336"/>
        <v>7240</v>
      </c>
      <c r="BC521" s="109">
        <f t="shared" si="1337"/>
        <v>7240</v>
      </c>
      <c r="BD521" s="1123"/>
      <c r="BE521" s="1062">
        <v>5240</v>
      </c>
      <c r="BF521" s="1062">
        <v>11930</v>
      </c>
      <c r="BG521" s="1062">
        <v>8280</v>
      </c>
      <c r="BH521" s="1062">
        <v>7230</v>
      </c>
      <c r="BI521" s="1123"/>
      <c r="BJ521" s="109">
        <f>BJ520</f>
        <v>7230</v>
      </c>
      <c r="BK521" s="1062">
        <v>3950</v>
      </c>
      <c r="BL521" s="1062">
        <v>25240</v>
      </c>
      <c r="BM521" s="1062">
        <v>22500</v>
      </c>
      <c r="BN521" s="1123"/>
      <c r="BO521" s="1062">
        <v>14500</v>
      </c>
      <c r="BP521" s="1062">
        <v>7500</v>
      </c>
      <c r="BQ521" s="1062">
        <v>46400</v>
      </c>
      <c r="BR521" s="1062">
        <v>38700</v>
      </c>
      <c r="BS521" s="1123"/>
      <c r="BT521" s="1062">
        <v>24300</v>
      </c>
      <c r="BU521" s="1062">
        <v>14700</v>
      </c>
      <c r="BV521" s="1062">
        <v>62200</v>
      </c>
      <c r="BW521" s="1062">
        <v>58500</v>
      </c>
      <c r="BX521" s="1123"/>
      <c r="BY521" s="1063">
        <v>38500</v>
      </c>
      <c r="BZ521" s="109"/>
      <c r="CA521" s="109"/>
      <c r="CB521" s="109"/>
      <c r="CC521" s="1123"/>
      <c r="CD521" s="109"/>
      <c r="CE521" s="109"/>
      <c r="CF521" s="109"/>
      <c r="CG521" s="109"/>
      <c r="CH521" s="1123"/>
      <c r="CI521" s="1123"/>
      <c r="CJ521" s="1123"/>
      <c r="CK521" s="1123"/>
      <c r="CL521" s="27"/>
    </row>
    <row r="522" spans="1:90" s="227" customFormat="1" ht="15" hidden="1" customHeight="1" outlineLevel="1" collapsed="1" x14ac:dyDescent="0.3">
      <c r="A522" s="636" t="s">
        <v>1237</v>
      </c>
      <c r="B522" s="146"/>
      <c r="C522" s="1113">
        <v>1240</v>
      </c>
      <c r="D522" s="1112">
        <f>C522</f>
        <v>1240</v>
      </c>
      <c r="E522" s="1112">
        <f>D522</f>
        <v>1240</v>
      </c>
      <c r="F522" s="1112">
        <f>E522</f>
        <v>1240</v>
      </c>
      <c r="G522" s="68"/>
      <c r="H522" s="68"/>
      <c r="I522" s="68"/>
      <c r="J522" s="68">
        <f>J521</f>
        <v>1135.7</v>
      </c>
      <c r="K522" s="1112">
        <f>J522</f>
        <v>1135.7</v>
      </c>
      <c r="L522" s="68">
        <f>L521</f>
        <v>1035.7</v>
      </c>
      <c r="M522" s="68">
        <f>M521</f>
        <v>285.7</v>
      </c>
      <c r="N522" s="68">
        <f>N521</f>
        <v>285.7</v>
      </c>
      <c r="O522" s="68">
        <f>O521</f>
        <v>1248.4000000000001</v>
      </c>
      <c r="P522" s="1112">
        <f>O522</f>
        <v>1248.4000000000001</v>
      </c>
      <c r="Q522" s="68">
        <f>Q521</f>
        <v>748.4</v>
      </c>
      <c r="R522" s="68">
        <f>R521</f>
        <v>748.4</v>
      </c>
      <c r="S522" s="68">
        <f>S521</f>
        <v>438.4</v>
      </c>
      <c r="T522" s="68">
        <f>T521</f>
        <v>434.8</v>
      </c>
      <c r="U522" s="1112">
        <f>T522</f>
        <v>434.8</v>
      </c>
      <c r="V522" s="68">
        <f>V521</f>
        <v>382</v>
      </c>
      <c r="W522" s="68">
        <f>W521</f>
        <v>1600</v>
      </c>
      <c r="X522" s="68">
        <f>X521</f>
        <v>1600</v>
      </c>
      <c r="Y522" s="68">
        <f>Y521</f>
        <v>1465</v>
      </c>
      <c r="Z522" s="1112">
        <f>Y522</f>
        <v>1465</v>
      </c>
      <c r="AA522" s="68">
        <f>AA521</f>
        <v>970</v>
      </c>
      <c r="AB522" s="68">
        <f>AB521</f>
        <v>960</v>
      </c>
      <c r="AC522" s="68">
        <f>AB522</f>
        <v>960</v>
      </c>
      <c r="AD522" s="68">
        <f>AD521</f>
        <v>2730</v>
      </c>
      <c r="AE522" s="1112">
        <f>AD522</f>
        <v>2730</v>
      </c>
      <c r="AF522" s="68">
        <f>AF521</f>
        <v>2730</v>
      </c>
      <c r="AG522" s="68">
        <f>AG521</f>
        <v>1970</v>
      </c>
      <c r="AH522" s="68">
        <f>AH521</f>
        <v>1820</v>
      </c>
      <c r="AI522" s="68">
        <f>AI521</f>
        <v>1820</v>
      </c>
      <c r="AJ522" s="1112">
        <f>AI522</f>
        <v>1820</v>
      </c>
      <c r="AK522" s="68">
        <f>AK521</f>
        <v>1160</v>
      </c>
      <c r="AL522" s="68">
        <f>AL521</f>
        <v>1160</v>
      </c>
      <c r="AM522" s="68">
        <f>AM521</f>
        <v>962</v>
      </c>
      <c r="AN522" s="68">
        <f>AN521</f>
        <v>7240</v>
      </c>
      <c r="AO522" s="1112">
        <f>AN522</f>
        <v>7240</v>
      </c>
      <c r="AP522" s="68">
        <f>AP521</f>
        <v>7240</v>
      </c>
      <c r="AQ522" s="68">
        <f t="shared" si="1331"/>
        <v>7240</v>
      </c>
      <c r="AR522" s="68">
        <f t="shared" si="1331"/>
        <v>7240</v>
      </c>
      <c r="AS522" s="68">
        <f t="shared" si="1331"/>
        <v>7240</v>
      </c>
      <c r="AT522" s="1112">
        <f>AS522</f>
        <v>7240</v>
      </c>
      <c r="AU522" s="68">
        <f>AU521</f>
        <v>7240</v>
      </c>
      <c r="AV522" s="68">
        <f t="shared" si="1332"/>
        <v>7240</v>
      </c>
      <c r="AW522" s="68">
        <f t="shared" si="1333"/>
        <v>7240</v>
      </c>
      <c r="AX522" s="68">
        <f t="shared" si="1334"/>
        <v>7240</v>
      </c>
      <c r="AY522" s="1112">
        <f>AX522</f>
        <v>7240</v>
      </c>
      <c r="AZ522" s="68">
        <f>AZ521</f>
        <v>7240</v>
      </c>
      <c r="BA522" s="68">
        <f t="shared" si="1335"/>
        <v>7240</v>
      </c>
      <c r="BB522" s="68">
        <f t="shared" si="1336"/>
        <v>7240</v>
      </c>
      <c r="BC522" s="68">
        <f t="shared" si="1337"/>
        <v>7240</v>
      </c>
      <c r="BD522" s="1112">
        <f>BC522</f>
        <v>7240</v>
      </c>
      <c r="BE522" s="68">
        <f>BE521</f>
        <v>5240</v>
      </c>
      <c r="BF522" s="68">
        <f>BF521</f>
        <v>11930</v>
      </c>
      <c r="BG522" s="68">
        <f>BG521</f>
        <v>8280</v>
      </c>
      <c r="BH522" s="68">
        <f>BH521</f>
        <v>7230</v>
      </c>
      <c r="BI522" s="1112">
        <f>BH522</f>
        <v>7230</v>
      </c>
      <c r="BJ522" s="68">
        <f>BJ521</f>
        <v>7230</v>
      </c>
      <c r="BK522" s="68">
        <f>BK521</f>
        <v>3950</v>
      </c>
      <c r="BL522" s="68">
        <f>BL521</f>
        <v>25240</v>
      </c>
      <c r="BM522" s="68">
        <f>BM521</f>
        <v>22500</v>
      </c>
      <c r="BN522" s="1112">
        <f>BM522</f>
        <v>22500</v>
      </c>
      <c r="BO522" s="68">
        <f>BO521</f>
        <v>14500</v>
      </c>
      <c r="BP522" s="68">
        <f>BP521</f>
        <v>7500</v>
      </c>
      <c r="BQ522" s="68">
        <f>BQ521</f>
        <v>46400</v>
      </c>
      <c r="BR522" s="68">
        <f>BR521</f>
        <v>38700</v>
      </c>
      <c r="BS522" s="1112">
        <f>BR522</f>
        <v>38700</v>
      </c>
      <c r="BT522" s="68">
        <f>BT521</f>
        <v>24300</v>
      </c>
      <c r="BU522" s="68">
        <f>BU521</f>
        <v>14700</v>
      </c>
      <c r="BV522" s="68">
        <f>BV521</f>
        <v>62200</v>
      </c>
      <c r="BW522" s="68">
        <f>BW521</f>
        <v>58500</v>
      </c>
      <c r="BX522" s="1112">
        <f>BW522</f>
        <v>58500</v>
      </c>
      <c r="BY522" s="588">
        <f>BY521</f>
        <v>38500</v>
      </c>
      <c r="BZ522" s="68"/>
      <c r="CA522" s="68"/>
      <c r="CB522" s="68"/>
      <c r="CC522" s="1112"/>
      <c r="CD522" s="68"/>
      <c r="CE522" s="68"/>
      <c r="CF522" s="68"/>
      <c r="CG522" s="68"/>
      <c r="CH522" s="1112"/>
      <c r="CI522" s="1112"/>
      <c r="CJ522" s="1112"/>
      <c r="CK522" s="1112"/>
      <c r="CL522" s="27"/>
    </row>
    <row r="523" spans="1:90" ht="15" customHeight="1" collapsed="1" x14ac:dyDescent="0.3">
      <c r="A523" s="605"/>
      <c r="B523" s="428"/>
      <c r="C523" s="1136"/>
      <c r="D523" s="1136"/>
      <c r="E523" s="1136"/>
      <c r="F523" s="1136"/>
      <c r="G523" s="93"/>
      <c r="H523" s="93"/>
      <c r="I523" s="93"/>
      <c r="J523" s="93"/>
      <c r="K523" s="1136"/>
      <c r="L523" s="93"/>
      <c r="M523" s="93"/>
      <c r="N523" s="93"/>
      <c r="O523" s="93"/>
      <c r="P523" s="1136"/>
      <c r="Q523" s="93"/>
      <c r="R523" s="93"/>
      <c r="S523" s="93"/>
      <c r="T523" s="93"/>
      <c r="U523" s="1136"/>
      <c r="V523" s="93"/>
      <c r="W523" s="93"/>
      <c r="X523" s="93"/>
      <c r="Y523" s="93"/>
      <c r="Z523" s="1136"/>
      <c r="AA523" s="93"/>
      <c r="AB523" s="93"/>
      <c r="AC523" s="93"/>
      <c r="AD523" s="93"/>
      <c r="AE523" s="1136"/>
      <c r="AF523" s="93"/>
      <c r="AG523" s="93"/>
      <c r="AH523" s="93"/>
      <c r="AI523" s="93"/>
      <c r="AJ523" s="1136"/>
      <c r="AK523" s="93"/>
      <c r="AL523" s="93"/>
      <c r="AM523" s="93"/>
      <c r="AN523" s="93"/>
      <c r="AO523" s="1136"/>
      <c r="AP523" s="93"/>
      <c r="AQ523" s="93"/>
      <c r="AR523" s="93"/>
      <c r="AS523" s="93"/>
      <c r="AT523" s="1136"/>
      <c r="AU523" s="93"/>
      <c r="AV523" s="93"/>
      <c r="AW523" s="93"/>
      <c r="AX523" s="93"/>
      <c r="AY523" s="1136"/>
      <c r="AZ523" s="93"/>
      <c r="BA523" s="93"/>
      <c r="BB523" s="93"/>
      <c r="BC523" s="93"/>
      <c r="BD523" s="1136"/>
      <c r="BE523" s="93"/>
      <c r="BF523" s="93"/>
      <c r="BG523" s="93"/>
      <c r="BH523" s="93"/>
      <c r="BI523" s="1136"/>
      <c r="BJ523" s="93"/>
      <c r="BK523" s="93"/>
      <c r="BL523" s="93"/>
      <c r="BM523" s="93"/>
      <c r="BN523" s="1136"/>
      <c r="BO523" s="93"/>
      <c r="BP523" s="93"/>
      <c r="BQ523" s="93"/>
      <c r="BR523" s="93"/>
      <c r="BS523" s="1136"/>
      <c r="BT523" s="93"/>
      <c r="BU523" s="93"/>
      <c r="BV523" s="93"/>
      <c r="BW523" s="93"/>
      <c r="BX523" s="1136"/>
      <c r="BY523" s="522"/>
      <c r="BZ523" s="93"/>
      <c r="CA523" s="93"/>
      <c r="CB523" s="93"/>
      <c r="CC523" s="1136"/>
      <c r="CD523" s="93"/>
      <c r="CE523" s="93"/>
      <c r="CF523" s="93"/>
      <c r="CG523" s="93"/>
      <c r="CH523" s="1136"/>
      <c r="CI523" s="1136"/>
      <c r="CJ523" s="1136"/>
      <c r="CK523" s="1136"/>
      <c r="CL523" s="228"/>
    </row>
    <row r="524" spans="1:90" ht="15" customHeight="1" x14ac:dyDescent="0.3">
      <c r="A524" s="493" t="s">
        <v>952</v>
      </c>
      <c r="B524" s="494"/>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c r="AY524" s="45"/>
      <c r="AZ524" s="45"/>
      <c r="BA524" s="45"/>
      <c r="BB524" s="45"/>
      <c r="BC524" s="45"/>
      <c r="BD524" s="45"/>
      <c r="BE524" s="45"/>
      <c r="BF524" s="45"/>
      <c r="BG524" s="45"/>
      <c r="BH524" s="45"/>
      <c r="BI524" s="45"/>
      <c r="BJ524" s="45"/>
      <c r="BK524" s="45"/>
      <c r="BL524" s="45"/>
      <c r="BM524" s="45"/>
      <c r="BN524" s="45"/>
      <c r="BO524" s="45"/>
      <c r="BP524" s="45"/>
      <c r="BQ524" s="45"/>
      <c r="BR524" s="45"/>
      <c r="BS524" s="45"/>
      <c r="BT524" s="45"/>
      <c r="BU524" s="45"/>
      <c r="BV524" s="45"/>
      <c r="BW524" s="45"/>
      <c r="BX524" s="45"/>
      <c r="BY524" s="881"/>
      <c r="BZ524" s="45"/>
      <c r="CA524" s="45"/>
      <c r="CB524" s="45"/>
      <c r="CC524" s="45"/>
      <c r="CD524" s="45"/>
      <c r="CE524" s="45"/>
      <c r="CF524" s="45"/>
      <c r="CG524" s="45"/>
      <c r="CH524" s="45"/>
      <c r="CI524" s="45"/>
      <c r="CJ524" s="45"/>
      <c r="CK524" s="45"/>
      <c r="CL524" s="228"/>
    </row>
    <row r="525" spans="1:90" ht="15" hidden="1" customHeight="1" outlineLevel="1" x14ac:dyDescent="0.3">
      <c r="A525" s="493" t="s">
        <v>1061</v>
      </c>
      <c r="B525" s="494"/>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c r="AY525" s="45"/>
      <c r="AZ525" s="45"/>
      <c r="BA525" s="45"/>
      <c r="BB525" s="45"/>
      <c r="BC525" s="45"/>
      <c r="BD525" s="45"/>
      <c r="BE525" s="45"/>
      <c r="BF525" s="45"/>
      <c r="BG525" s="45"/>
      <c r="BH525" s="45"/>
      <c r="BI525" s="45"/>
      <c r="BJ525" s="45"/>
      <c r="BK525" s="45"/>
      <c r="BL525" s="45"/>
      <c r="BM525" s="45"/>
      <c r="BN525" s="45"/>
      <c r="BO525" s="45"/>
      <c r="BP525" s="45"/>
      <c r="BQ525" s="45"/>
      <c r="BR525" s="45"/>
      <c r="BS525" s="45"/>
      <c r="BT525" s="45"/>
      <c r="BU525" s="45"/>
      <c r="BV525" s="45"/>
      <c r="BW525" s="45"/>
      <c r="BX525" s="45"/>
      <c r="BY525" s="881"/>
      <c r="BZ525" s="45"/>
      <c r="CA525" s="45"/>
      <c r="CB525" s="45"/>
      <c r="CC525" s="45"/>
      <c r="CD525" s="45"/>
      <c r="CE525" s="45"/>
      <c r="CF525" s="45"/>
      <c r="CG525" s="45"/>
      <c r="CH525" s="45"/>
      <c r="CI525" s="45"/>
      <c r="CJ525" s="45"/>
      <c r="CK525" s="45"/>
      <c r="CL525" s="228"/>
    </row>
    <row r="526" spans="1:90" ht="15" hidden="1" customHeight="1" outlineLevel="2" x14ac:dyDescent="0.3">
      <c r="A526" s="492" t="s">
        <v>1079</v>
      </c>
      <c r="B526" s="428"/>
      <c r="C526" s="1136"/>
      <c r="D526" s="1136"/>
      <c r="E526" s="1136"/>
      <c r="F526" s="1136"/>
      <c r="G526" s="93"/>
      <c r="H526" s="93"/>
      <c r="I526" s="93"/>
      <c r="J526" s="93"/>
      <c r="K526" s="1136"/>
      <c r="L526" s="93"/>
      <c r="M526" s="93"/>
      <c r="N526" s="93"/>
      <c r="O526" s="93"/>
      <c r="P526" s="1136"/>
      <c r="Q526" s="93"/>
      <c r="R526" s="93"/>
      <c r="S526" s="93"/>
      <c r="T526" s="93"/>
      <c r="U526" s="1136"/>
      <c r="V526" s="93"/>
      <c r="W526" s="93"/>
      <c r="X526" s="93"/>
      <c r="Y526" s="93"/>
      <c r="Z526" s="1136"/>
      <c r="AA526" s="93"/>
      <c r="AB526" s="93"/>
      <c r="AC526" s="93"/>
      <c r="AD526" s="93"/>
      <c r="AE526" s="1136"/>
      <c r="AF526" s="93"/>
      <c r="AG526" s="93"/>
      <c r="AH526" s="93" t="str">
        <f>IF(ISBLANK(AG539),"",AG539)</f>
        <v/>
      </c>
      <c r="AI526" s="93">
        <f>IF(ISBLANK(AH539),"",AH539)</f>
        <v>600</v>
      </c>
      <c r="AJ526" s="1136" t="str">
        <f>IF(ISBLANK(AD546),"",AD546)</f>
        <v/>
      </c>
      <c r="AK526" s="93">
        <f>IF(ISBLANK(AI539),"",AI539)</f>
        <v>645</v>
      </c>
      <c r="AL526" s="93">
        <f>IF(ISBLANK(AK539),"",AK539)</f>
        <v>685</v>
      </c>
      <c r="AM526" s="93">
        <f>IF(ISBLANK(AL539),"",AL539)</f>
        <v>730</v>
      </c>
      <c r="AN526" s="93">
        <f>IF(ISBLANK(AM539),"",AM539)</f>
        <v>755</v>
      </c>
      <c r="AO526" s="1136" t="str">
        <f>IF(ISBLANK(AI546),"",AI546)</f>
        <v/>
      </c>
      <c r="AP526" s="93">
        <f>IF(ISBLANK(AN539),"",AN539)</f>
        <v>755</v>
      </c>
      <c r="AQ526" s="93">
        <f>IF(ISBLANK(AP539),"",AP539)</f>
        <v>765</v>
      </c>
      <c r="AR526" s="93">
        <f>IF(ISBLANK(AQ539),"",AQ539)</f>
        <v>765</v>
      </c>
      <c r="AS526" s="93">
        <f>IF(ISBLANK(AR539),"",AR539)</f>
        <v>805</v>
      </c>
      <c r="AT526" s="1136" t="str">
        <f>IF(ISBLANK(AN546),"",AN546)</f>
        <v/>
      </c>
      <c r="AU526" s="93">
        <f>IF(ISBLANK(AS539),"",AS539)</f>
        <v>835</v>
      </c>
      <c r="AV526" s="93">
        <f>IF(ISBLANK(AU539),"",AU539)</f>
        <v>1040</v>
      </c>
      <c r="AW526" s="93">
        <f>IF(ISBLANK(AV539),"",AV539)</f>
        <v>1090</v>
      </c>
      <c r="AX526" s="93">
        <f>IF(ISBLANK(AW539),"",AW539)</f>
        <v>1180</v>
      </c>
      <c r="AY526" s="1136" t="str">
        <f>IF(ISBLANK(AS546),"",AS546)</f>
        <v/>
      </c>
      <c r="AZ526" s="93">
        <f>IF(ISBLANK(AX539),"",AX539)</f>
        <v>1200</v>
      </c>
      <c r="BA526" s="93">
        <f>IF(ISBLANK(AZ539),"",AZ539)</f>
        <v>1260</v>
      </c>
      <c r="BB526" s="93">
        <f>IF(ISBLANK(BA539),"",BA539)</f>
        <v>1370</v>
      </c>
      <c r="BC526" s="93">
        <f>IF(ISBLANK(BB539),"",BB539)</f>
        <v>1430</v>
      </c>
      <c r="BD526" s="1136" t="str">
        <f>IF(ISBLANK(AX546),"",AX546)</f>
        <v/>
      </c>
      <c r="BE526" s="93">
        <f>IF(ISBLANK(BC539),"",BC539)</f>
        <v>1600</v>
      </c>
      <c r="BF526" s="93">
        <f>IF(ISBLANK(BE539),"",BE539)</f>
        <v>1750</v>
      </c>
      <c r="BG526" s="93">
        <f>IF(ISBLANK(BF539),"",BF539)</f>
        <v>1820</v>
      </c>
      <c r="BH526" s="93">
        <f>IF(ISBLANK(BG539),"",BG539)</f>
        <v>1780</v>
      </c>
      <c r="BI526" s="1136" t="str">
        <f>IF(ISBLANK(BC546),"",BC546)</f>
        <v/>
      </c>
      <c r="BJ526" s="93">
        <f>IF(ISBLANK(BH539),"",BH539)</f>
        <v>1780</v>
      </c>
      <c r="BK526" s="93">
        <f>IF(ISBLANK(BJ539),"",BJ539)</f>
        <v>1900</v>
      </c>
      <c r="BL526" s="93">
        <f>IF(ISBLANK(BK539),"",BK539)</f>
        <v>2000</v>
      </c>
      <c r="BM526" s="93">
        <f>IF(ISBLANK(BL539),"",BL539)</f>
        <v>2200</v>
      </c>
      <c r="BN526" s="1136" t="str">
        <f>IF(ISBLANK(BH546),"",BH546)</f>
        <v/>
      </c>
      <c r="BO526" s="93">
        <f>IF(ISBLANK(BM539),"",BM539)</f>
        <v>2500</v>
      </c>
      <c r="BP526" s="93">
        <f>IF(ISBLANK(BO539),"",BO539)</f>
        <v>2800</v>
      </c>
      <c r="BQ526" s="93">
        <f>IF(ISBLANK(BP539),"",BP539)</f>
        <v>3000</v>
      </c>
      <c r="BR526" s="93">
        <f>IF(ISBLANK(BQ539),"",BQ539)</f>
        <v>3400</v>
      </c>
      <c r="BS526" s="1136" t="str">
        <f>IF(ISBLANK(BM546),"",BM546)</f>
        <v/>
      </c>
      <c r="BT526" s="93">
        <f>IF(ISBLANK(BR539),"",BR539)</f>
        <v>3600</v>
      </c>
      <c r="BU526" s="93">
        <f>IF(ISBLANK(BT539),"",BT539)</f>
        <v>4000</v>
      </c>
      <c r="BV526" s="93">
        <f>IF(ISBLANK(BU539),"",BU539)</f>
        <v>4200</v>
      </c>
      <c r="BW526" s="93">
        <f>IF(ISBLANK(BV539),"",BV539)</f>
        <v>5000</v>
      </c>
      <c r="BX526" s="1136" t="str">
        <f>IF(ISBLANK(BR546),"",BR546)</f>
        <v/>
      </c>
      <c r="BY526" s="522">
        <f>IF(ISBLANK(BW539),"",BW539)</f>
        <v>7500</v>
      </c>
      <c r="BZ526" s="93">
        <f>IF(ISBLANK(BY539),"",BY539)</f>
        <v>8300</v>
      </c>
      <c r="CA526" s="93" t="str">
        <f>IF(ISBLANK(BZ539),"",BZ539)</f>
        <v/>
      </c>
      <c r="CB526" s="93" t="str">
        <f>IF(ISBLANK(CA539),"",CA539)</f>
        <v/>
      </c>
      <c r="CC526" s="1136" t="str">
        <f>IF(ISBLANK(BW546),"",BW546)</f>
        <v/>
      </c>
      <c r="CD526" s="93" t="str">
        <f>IF(ISBLANK(CB539),"",CB539)</f>
        <v/>
      </c>
      <c r="CE526" s="93" t="str">
        <f>IF(ISBLANK(CD539),"",CD539)</f>
        <v/>
      </c>
      <c r="CF526" s="93" t="str">
        <f>IF(ISBLANK(CE539),"",CE539)</f>
        <v/>
      </c>
      <c r="CG526" s="93" t="str">
        <f>IF(ISBLANK(CF539),"",CF539)</f>
        <v/>
      </c>
      <c r="CH526" s="1136" t="str">
        <f>IF(ISBLANK(CB546),"",CB546)</f>
        <v/>
      </c>
      <c r="CI526" s="1136"/>
      <c r="CJ526" s="1136"/>
      <c r="CK526" s="1136"/>
      <c r="CL526" s="93"/>
    </row>
    <row r="527" spans="1:90" ht="15" hidden="1" customHeight="1" outlineLevel="2" x14ac:dyDescent="0.3">
      <c r="A527" s="492" t="s">
        <v>1062</v>
      </c>
      <c r="B527" s="428"/>
      <c r="C527" s="1136"/>
      <c r="D527" s="1136"/>
      <c r="E527" s="1136"/>
      <c r="F527" s="1136"/>
      <c r="G527" s="93"/>
      <c r="H527" s="93"/>
      <c r="I527" s="93"/>
      <c r="J527" s="93"/>
      <c r="K527" s="1136"/>
      <c r="L527" s="93"/>
      <c r="M527" s="93"/>
      <c r="N527" s="93"/>
      <c r="O527" s="93"/>
      <c r="P527" s="1136"/>
      <c r="Q527" s="93"/>
      <c r="R527" s="93"/>
      <c r="S527" s="93"/>
      <c r="T527" s="93"/>
      <c r="U527" s="1136"/>
      <c r="V527" s="93"/>
      <c r="W527" s="93"/>
      <c r="X527" s="93"/>
      <c r="Y527" s="93"/>
      <c r="Z527" s="1136"/>
      <c r="AA527" s="93"/>
      <c r="AB527" s="93"/>
      <c r="AC527" s="93"/>
      <c r="AD527" s="93"/>
      <c r="AE527" s="1136"/>
      <c r="AF527" s="93"/>
      <c r="AG527" s="93"/>
      <c r="AH527" s="93"/>
      <c r="AI527" s="93"/>
      <c r="AJ527" s="1136" t="str">
        <f>IF(ISBLANK(AF546),"",AF546)</f>
        <v/>
      </c>
      <c r="AK527" s="93"/>
      <c r="AL527" s="93"/>
      <c r="AM527" s="93"/>
      <c r="AN527" s="93"/>
      <c r="AO527" s="1136" t="str">
        <f>IF(ISBLANK(AK546),"",AK546)</f>
        <v/>
      </c>
      <c r="AP527" s="93"/>
      <c r="AQ527" s="93"/>
      <c r="AR527" s="93"/>
      <c r="AS527" s="93"/>
      <c r="AT527" s="1136" t="str">
        <f>IF(ISBLANK(AP546),"",AP546)</f>
        <v/>
      </c>
      <c r="AU527" s="93"/>
      <c r="AV527" s="93"/>
      <c r="AW527" s="93"/>
      <c r="AX527" s="93"/>
      <c r="AY527" s="1136">
        <f>IF(ISBLANK(AU546),"",AU546)</f>
        <v>4100</v>
      </c>
      <c r="AZ527" s="93"/>
      <c r="BA527" s="93"/>
      <c r="BB527" s="93"/>
      <c r="BC527" s="93"/>
      <c r="BD527" s="1136" t="str">
        <f>IF(ISBLANK(AZ546),"",AZ546)</f>
        <v/>
      </c>
      <c r="BE527" s="93"/>
      <c r="BF527" s="93"/>
      <c r="BG527" s="93"/>
      <c r="BH527" s="93"/>
      <c r="BI527" s="1136" t="str">
        <f>IF(ISBLANK(BE546),"",BE546)</f>
        <v/>
      </c>
      <c r="BJ527" s="93"/>
      <c r="BK527" s="93"/>
      <c r="BL527" s="93"/>
      <c r="BM527" s="93"/>
      <c r="BN527" s="1136" t="str">
        <f>IF(ISBLANK(BJ546),"",BJ546)</f>
        <v/>
      </c>
      <c r="BO527" s="93"/>
      <c r="BP527" s="93"/>
      <c r="BQ527" s="93"/>
      <c r="BR527" s="93"/>
      <c r="BS527" s="1136" t="str">
        <f>IF(ISBLANK(BO546),"",BO546)</f>
        <v/>
      </c>
      <c r="BT527" s="93"/>
      <c r="BU527" s="93"/>
      <c r="BV527" s="93"/>
      <c r="BW527" s="93"/>
      <c r="BX527" s="1136" t="str">
        <f>IF(ISBLANK(BT546),"",BT546)</f>
        <v/>
      </c>
      <c r="BY527" s="522"/>
      <c r="BZ527" s="93"/>
      <c r="CA527" s="93"/>
      <c r="CB527" s="93"/>
      <c r="CC527" s="1136" t="str">
        <f>IF(ISBLANK(BY546),"",BY546)</f>
        <v/>
      </c>
      <c r="CD527" s="93"/>
      <c r="CE527" s="93"/>
      <c r="CF527" s="93"/>
      <c r="CG527" s="93"/>
      <c r="CH527" s="1136" t="str">
        <f>IF(ISBLANK(CD546),"",CD546)</f>
        <v/>
      </c>
      <c r="CI527" s="1136"/>
      <c r="CJ527" s="1136"/>
      <c r="CK527" s="1136"/>
      <c r="CL527" s="93"/>
    </row>
    <row r="528" spans="1:90" ht="15" hidden="1" customHeight="1" outlineLevel="2" x14ac:dyDescent="0.3">
      <c r="A528" s="492" t="s">
        <v>1063</v>
      </c>
      <c r="B528" s="428"/>
      <c r="C528" s="1136"/>
      <c r="D528" s="1136"/>
      <c r="E528" s="1136"/>
      <c r="F528" s="1136"/>
      <c r="G528" s="93"/>
      <c r="H528" s="93"/>
      <c r="I528" s="93"/>
      <c r="J528" s="93"/>
      <c r="K528" s="1136"/>
      <c r="L528" s="93"/>
      <c r="M528" s="93"/>
      <c r="N528" s="93"/>
      <c r="O528" s="93"/>
      <c r="P528" s="1136"/>
      <c r="Q528" s="93"/>
      <c r="R528" s="93"/>
      <c r="S528" s="93"/>
      <c r="T528" s="93"/>
      <c r="U528" s="1136"/>
      <c r="V528" s="93"/>
      <c r="W528" s="93"/>
      <c r="X528" s="93"/>
      <c r="Y528" s="93"/>
      <c r="Z528" s="1136"/>
      <c r="AA528" s="93"/>
      <c r="AB528" s="93"/>
      <c r="AC528" s="93"/>
      <c r="AD528" s="93"/>
      <c r="AE528" s="1136"/>
      <c r="AF528" s="93"/>
      <c r="AG528" s="93"/>
      <c r="AH528" s="93"/>
      <c r="AI528" s="93"/>
      <c r="AJ528" s="1136" t="str">
        <f>IF(ISBLANK(AG546),"",AG546)</f>
        <v/>
      </c>
      <c r="AK528" s="93"/>
      <c r="AL528" s="93"/>
      <c r="AM528" s="93"/>
      <c r="AN528" s="93"/>
      <c r="AO528" s="1136" t="str">
        <f>IF(ISBLANK(AL546),"",AL546)</f>
        <v/>
      </c>
      <c r="AP528" s="93"/>
      <c r="AQ528" s="93"/>
      <c r="AR528" s="93"/>
      <c r="AS528" s="93"/>
      <c r="AT528" s="1136" t="str">
        <f>IF(ISBLANK(AQ546),"",AQ546)</f>
        <v/>
      </c>
      <c r="AU528" s="93"/>
      <c r="AV528" s="93"/>
      <c r="AW528" s="93"/>
      <c r="AX528" s="93"/>
      <c r="AY528" s="1136" t="str">
        <f>IF(ISBLANK(AV546),"",AV546)</f>
        <v/>
      </c>
      <c r="AZ528" s="93"/>
      <c r="BA528" s="93"/>
      <c r="BB528" s="93"/>
      <c r="BC528" s="93"/>
      <c r="BD528" s="1136" t="str">
        <f>IF(ISBLANK(BA546),"",BA546)</f>
        <v/>
      </c>
      <c r="BE528" s="93"/>
      <c r="BF528" s="93"/>
      <c r="BG528" s="93"/>
      <c r="BH528" s="93"/>
      <c r="BI528" s="1136" t="str">
        <f>IF(ISBLANK(BF546),"",BF546)</f>
        <v/>
      </c>
      <c r="BJ528" s="93"/>
      <c r="BK528" s="93"/>
      <c r="BL528" s="93"/>
      <c r="BM528" s="93"/>
      <c r="BN528" s="1136" t="str">
        <f>IF(ISBLANK(BK546),"",BK546)</f>
        <v/>
      </c>
      <c r="BO528" s="93"/>
      <c r="BP528" s="93"/>
      <c r="BQ528" s="93"/>
      <c r="BR528" s="93"/>
      <c r="BS528" s="1136" t="str">
        <f>IF(ISBLANK(BP546),"",BP546)</f>
        <v/>
      </c>
      <c r="BT528" s="93"/>
      <c r="BU528" s="93"/>
      <c r="BV528" s="93"/>
      <c r="BW528" s="93"/>
      <c r="BX528" s="1136" t="str">
        <f>IF(ISBLANK(BU546),"",BU546)</f>
        <v/>
      </c>
      <c r="BY528" s="522"/>
      <c r="BZ528" s="93"/>
      <c r="CA528" s="93"/>
      <c r="CB528" s="93"/>
      <c r="CC528" s="1136" t="str">
        <f>IF(ISBLANK(BZ546),"",BZ546)</f>
        <v/>
      </c>
      <c r="CD528" s="93"/>
      <c r="CE528" s="93"/>
      <c r="CF528" s="93"/>
      <c r="CG528" s="93"/>
      <c r="CH528" s="1136" t="str">
        <f>IF(ISBLANK(CE546),"",CE546)</f>
        <v/>
      </c>
      <c r="CI528" s="1136"/>
      <c r="CJ528" s="1136"/>
      <c r="CK528" s="1136"/>
      <c r="CL528" s="93"/>
    </row>
    <row r="529" spans="1:90" ht="15" hidden="1" customHeight="1" outlineLevel="2" x14ac:dyDescent="0.3">
      <c r="A529" s="812" t="s">
        <v>1064</v>
      </c>
      <c r="B529" s="718"/>
      <c r="C529" s="1131"/>
      <c r="D529" s="1131"/>
      <c r="E529" s="1131"/>
      <c r="F529" s="1131"/>
      <c r="G529" s="882"/>
      <c r="H529" s="882"/>
      <c r="I529" s="882"/>
      <c r="J529" s="882"/>
      <c r="K529" s="1131"/>
      <c r="L529" s="882"/>
      <c r="M529" s="882"/>
      <c r="N529" s="882"/>
      <c r="O529" s="882"/>
      <c r="P529" s="1131"/>
      <c r="Q529" s="882"/>
      <c r="R529" s="882"/>
      <c r="S529" s="882"/>
      <c r="T529" s="882"/>
      <c r="U529" s="1131"/>
      <c r="V529" s="882"/>
      <c r="W529" s="882"/>
      <c r="X529" s="882"/>
      <c r="Y529" s="882"/>
      <c r="Z529" s="1131"/>
      <c r="AA529" s="882"/>
      <c r="AB529" s="882"/>
      <c r="AC529" s="882"/>
      <c r="AD529" s="882"/>
      <c r="AE529" s="1131"/>
      <c r="AF529" s="882"/>
      <c r="AG529" s="882"/>
      <c r="AH529" s="882"/>
      <c r="AI529" s="882"/>
      <c r="AJ529" s="1131" t="str">
        <f>IF(ISBLANK(AH546),"",AH546)</f>
        <v/>
      </c>
      <c r="AK529" s="882"/>
      <c r="AL529" s="882"/>
      <c r="AM529" s="882"/>
      <c r="AN529" s="882"/>
      <c r="AO529" s="1131" t="str">
        <f>IF(ISBLANK(AM546),"",AM546)</f>
        <v/>
      </c>
      <c r="AP529" s="882"/>
      <c r="AQ529" s="882"/>
      <c r="AR529" s="882"/>
      <c r="AS529" s="882"/>
      <c r="AT529" s="1131" t="str">
        <f>IF(ISBLANK(AR546),"",AR546)</f>
        <v/>
      </c>
      <c r="AU529" s="882"/>
      <c r="AV529" s="882"/>
      <c r="AW529" s="882"/>
      <c r="AX529" s="882"/>
      <c r="AY529" s="1131" t="str">
        <f>IF(ISBLANK(AW546),"",AW546)</f>
        <v/>
      </c>
      <c r="AZ529" s="882"/>
      <c r="BA529" s="882"/>
      <c r="BB529" s="882"/>
      <c r="BC529" s="882"/>
      <c r="BD529" s="1131" t="str">
        <f>IF(ISBLANK(BB546),"",BB546)</f>
        <v/>
      </c>
      <c r="BE529" s="882"/>
      <c r="BF529" s="882"/>
      <c r="BG529" s="882"/>
      <c r="BH529" s="882"/>
      <c r="BI529" s="1131" t="str">
        <f>IF(ISBLANK(BG546),"",BG546)</f>
        <v/>
      </c>
      <c r="BJ529" s="882"/>
      <c r="BK529" s="882"/>
      <c r="BL529" s="882"/>
      <c r="BM529" s="882"/>
      <c r="BN529" s="1131" t="str">
        <f>IF(ISBLANK(BL546),"",BL546)</f>
        <v/>
      </c>
      <c r="BO529" s="882"/>
      <c r="BP529" s="882"/>
      <c r="BQ529" s="882"/>
      <c r="BR529" s="882"/>
      <c r="BS529" s="1131" t="str">
        <f>IF(ISBLANK(BQ546),"",BQ546)</f>
        <v/>
      </c>
      <c r="BT529" s="882"/>
      <c r="BU529" s="882"/>
      <c r="BV529" s="882"/>
      <c r="BW529" s="882"/>
      <c r="BX529" s="1131" t="str">
        <f>IF(ISBLANK(BV546),"",BV546)</f>
        <v/>
      </c>
      <c r="BY529" s="877"/>
      <c r="BZ529" s="882"/>
      <c r="CA529" s="882"/>
      <c r="CB529" s="882"/>
      <c r="CC529" s="1131" t="str">
        <f>IF(ISBLANK(CA546),"",CA546)</f>
        <v/>
      </c>
      <c r="CD529" s="882"/>
      <c r="CE529" s="882"/>
      <c r="CF529" s="882"/>
      <c r="CG529" s="882"/>
      <c r="CH529" s="1131" t="str">
        <f>IF(ISBLANK(CF546),"",CF546)</f>
        <v/>
      </c>
      <c r="CI529" s="1131"/>
      <c r="CJ529" s="1131"/>
      <c r="CK529" s="1131"/>
      <c r="CL529" s="93"/>
    </row>
    <row r="530" spans="1:90" ht="15" hidden="1" customHeight="1" outlineLevel="1" collapsed="1" x14ac:dyDescent="0.3">
      <c r="A530" s="605" t="s">
        <v>1065</v>
      </c>
      <c r="B530" s="428"/>
      <c r="C530" s="1136"/>
      <c r="D530" s="1136"/>
      <c r="E530" s="1136"/>
      <c r="F530" s="1136"/>
      <c r="G530" s="93"/>
      <c r="H530" s="93"/>
      <c r="I530" s="93"/>
      <c r="J530" s="93"/>
      <c r="K530" s="1136"/>
      <c r="L530" s="93"/>
      <c r="M530" s="93"/>
      <c r="N530" s="93"/>
      <c r="O530" s="93"/>
      <c r="P530" s="1136"/>
      <c r="Q530" s="93"/>
      <c r="R530" s="93"/>
      <c r="S530" s="93"/>
      <c r="T530" s="93"/>
      <c r="U530" s="1136"/>
      <c r="V530" s="93"/>
      <c r="W530" s="93"/>
      <c r="X530" s="93"/>
      <c r="Y530" s="93"/>
      <c r="Z530" s="1136"/>
      <c r="AA530" s="93"/>
      <c r="AB530" s="93"/>
      <c r="AC530" s="93"/>
      <c r="AD530" s="93"/>
      <c r="AE530" s="1136"/>
      <c r="AF530" s="93"/>
      <c r="AG530" s="93"/>
      <c r="AH530" s="93" t="str">
        <f t="shared" ref="AH530:AL530" si="1338">IF(AH529="",IF(AH528="",IF(AH527="",IF(AH526="","",AH526),AH527),AH528),AH529)</f>
        <v/>
      </c>
      <c r="AI530" s="93">
        <f t="shared" si="1338"/>
        <v>600</v>
      </c>
      <c r="AJ530" s="1136" t="str">
        <f t="shared" si="1338"/>
        <v/>
      </c>
      <c r="AK530" s="93">
        <f t="shared" si="1338"/>
        <v>645</v>
      </c>
      <c r="AL530" s="93">
        <f t="shared" si="1338"/>
        <v>685</v>
      </c>
      <c r="AM530" s="93">
        <f t="shared" ref="AM530:BL530" si="1339">IF(AM529="",IF(AM528="",IF(AM527="",IF(AM526="","",AM526),AM527),AM528),AM529)</f>
        <v>730</v>
      </c>
      <c r="AN530" s="93">
        <f t="shared" si="1339"/>
        <v>755</v>
      </c>
      <c r="AO530" s="1136" t="str">
        <f t="shared" si="1339"/>
        <v/>
      </c>
      <c r="AP530" s="93">
        <f t="shared" si="1339"/>
        <v>755</v>
      </c>
      <c r="AQ530" s="93">
        <f t="shared" si="1339"/>
        <v>765</v>
      </c>
      <c r="AR530" s="93">
        <f t="shared" si="1339"/>
        <v>765</v>
      </c>
      <c r="AS530" s="93">
        <f t="shared" si="1339"/>
        <v>805</v>
      </c>
      <c r="AT530" s="1136" t="str">
        <f t="shared" si="1339"/>
        <v/>
      </c>
      <c r="AU530" s="93">
        <f t="shared" si="1339"/>
        <v>835</v>
      </c>
      <c r="AV530" s="93">
        <f t="shared" si="1339"/>
        <v>1040</v>
      </c>
      <c r="AW530" s="93">
        <f t="shared" si="1339"/>
        <v>1090</v>
      </c>
      <c r="AX530" s="93">
        <f t="shared" si="1339"/>
        <v>1180</v>
      </c>
      <c r="AY530" s="1136">
        <f t="shared" si="1339"/>
        <v>4100</v>
      </c>
      <c r="AZ530" s="93">
        <f t="shared" si="1339"/>
        <v>1200</v>
      </c>
      <c r="BA530" s="93">
        <f t="shared" si="1339"/>
        <v>1260</v>
      </c>
      <c r="BB530" s="93">
        <f t="shared" si="1339"/>
        <v>1370</v>
      </c>
      <c r="BC530" s="93">
        <f t="shared" si="1339"/>
        <v>1430</v>
      </c>
      <c r="BD530" s="1136" t="str">
        <f t="shared" si="1339"/>
        <v/>
      </c>
      <c r="BE530" s="93">
        <f t="shared" si="1339"/>
        <v>1600</v>
      </c>
      <c r="BF530" s="93">
        <f t="shared" si="1339"/>
        <v>1750</v>
      </c>
      <c r="BG530" s="93">
        <f t="shared" si="1339"/>
        <v>1820</v>
      </c>
      <c r="BH530" s="93">
        <f t="shared" si="1339"/>
        <v>1780</v>
      </c>
      <c r="BI530" s="1136" t="str">
        <f t="shared" si="1339"/>
        <v/>
      </c>
      <c r="BJ530" s="93">
        <f t="shared" si="1339"/>
        <v>1780</v>
      </c>
      <c r="BK530" s="93">
        <f t="shared" si="1339"/>
        <v>1900</v>
      </c>
      <c r="BL530" s="93">
        <f t="shared" si="1339"/>
        <v>2000</v>
      </c>
      <c r="BM530" s="93">
        <f t="shared" ref="BM530:BN530" si="1340">IF(BM529="",IF(BM528="",IF(BM527="",IF(BM526="","",BM526),BM527),BM528),BM529)</f>
        <v>2200</v>
      </c>
      <c r="BN530" s="1136" t="str">
        <f t="shared" si="1340"/>
        <v/>
      </c>
      <c r="BO530" s="93">
        <f t="shared" ref="BO530:CC530" si="1341">IF(BO529="",IF(BO528="",IF(BO527="",IF(BO526="","",BO526),BO527),BO528),BO529)</f>
        <v>2500</v>
      </c>
      <c r="BP530" s="93">
        <f t="shared" si="1341"/>
        <v>2800</v>
      </c>
      <c r="BQ530" s="93">
        <f t="shared" si="1341"/>
        <v>3000</v>
      </c>
      <c r="BR530" s="93">
        <f t="shared" si="1341"/>
        <v>3400</v>
      </c>
      <c r="BS530" s="1136" t="str">
        <f t="shared" si="1341"/>
        <v/>
      </c>
      <c r="BT530" s="93">
        <f t="shared" ref="BT530:CB530" si="1342">IF(BT529="",IF(BT528="",IF(BT527="",IF(BT526="","",BT526),BT527),BT528),BT529)</f>
        <v>3600</v>
      </c>
      <c r="BU530" s="93">
        <f t="shared" si="1342"/>
        <v>4000</v>
      </c>
      <c r="BV530" s="93">
        <f t="shared" si="1342"/>
        <v>4200</v>
      </c>
      <c r="BW530" s="93">
        <f t="shared" si="1342"/>
        <v>5000</v>
      </c>
      <c r="BX530" s="1136" t="str">
        <f t="shared" si="1342"/>
        <v/>
      </c>
      <c r="BY530" s="522">
        <f>IF(BY529="",IF(BY528="",IF(BY527="",IF(BY526="","",BY526),BY527),BY528),BY529)</f>
        <v>7500</v>
      </c>
      <c r="BZ530" s="93">
        <f t="shared" si="1342"/>
        <v>8300</v>
      </c>
      <c r="CA530" s="93" t="str">
        <f t="shared" si="1342"/>
        <v/>
      </c>
      <c r="CB530" s="93" t="str">
        <f t="shared" si="1342"/>
        <v/>
      </c>
      <c r="CC530" s="1136" t="str">
        <f t="shared" si="1341"/>
        <v/>
      </c>
      <c r="CD530" s="93" t="str">
        <f>IF(CD529="",IF(CD528="",IF(CD527="",IF(CD526="","",CD526),CD527),CD528),CD529)</f>
        <v/>
      </c>
      <c r="CE530" s="93" t="str">
        <f>IF(CE529="",IF(CE528="",IF(CE527="",IF(CE526="","",CE526),CE527),CE528),CE529)</f>
        <v/>
      </c>
      <c r="CF530" s="93" t="str">
        <f>IF(CF529="",IF(CF528="",IF(CF527="",IF(CF526="","",CF526),CF527),CF528),CF529)</f>
        <v/>
      </c>
      <c r="CG530" s="93" t="str">
        <f>IF(CG529="",IF(CG528="",IF(CG527="",IF(CG526="","",CG526),CG527),CG528),CG529)</f>
        <v/>
      </c>
      <c r="CH530" s="1136" t="str">
        <f>IF(CH529="",IF(CH528="",IF(CH527="",IF(CH526="","",CH526),CH527),CH528),CH529)</f>
        <v/>
      </c>
      <c r="CI530" s="1136"/>
      <c r="CJ530" s="1136"/>
      <c r="CK530" s="1136"/>
      <c r="CL530" s="93"/>
    </row>
    <row r="531" spans="1:90" ht="15" hidden="1" customHeight="1" outlineLevel="1" x14ac:dyDescent="0.3">
      <c r="A531" s="811" t="s">
        <v>1066</v>
      </c>
      <c r="B531" s="718"/>
      <c r="C531" s="1131">
        <f t="shared" ref="C531:AH531" si="1343">+C113</f>
        <v>1067.3340000000001</v>
      </c>
      <c r="D531" s="1131">
        <f t="shared" si="1343"/>
        <v>1180.827</v>
      </c>
      <c r="E531" s="1131">
        <f t="shared" si="1343"/>
        <v>1118.298</v>
      </c>
      <c r="F531" s="1131">
        <f t="shared" si="1343"/>
        <v>1262.904</v>
      </c>
      <c r="G531" s="882">
        <f t="shared" si="1343"/>
        <v>352.32400000000001</v>
      </c>
      <c r="H531" s="882">
        <f t="shared" si="1343"/>
        <v>346.56900000000002</v>
      </c>
      <c r="I531" s="882">
        <f t="shared" si="1343"/>
        <v>349.19500000000005</v>
      </c>
      <c r="J531" s="882">
        <f t="shared" si="1343"/>
        <v>360.38799999999992</v>
      </c>
      <c r="K531" s="1131">
        <f t="shared" si="1343"/>
        <v>1395.6670000000001</v>
      </c>
      <c r="L531" s="882">
        <f t="shared" si="1343"/>
        <v>396.18200000000002</v>
      </c>
      <c r="M531" s="882">
        <f t="shared" si="1343"/>
        <v>400.81299999999999</v>
      </c>
      <c r="N531" s="882">
        <f t="shared" si="1343"/>
        <v>405.40600000000001</v>
      </c>
      <c r="O531" s="882">
        <f t="shared" si="1343"/>
        <v>407.79599999999994</v>
      </c>
      <c r="P531" s="1131">
        <f t="shared" si="1343"/>
        <v>1610.1969999999999</v>
      </c>
      <c r="Q531" s="882">
        <f t="shared" si="1343"/>
        <v>410.63900000000001</v>
      </c>
      <c r="R531" s="882">
        <f t="shared" si="1343"/>
        <v>412</v>
      </c>
      <c r="S531" s="882">
        <f t="shared" si="1343"/>
        <v>414.58600000000001</v>
      </c>
      <c r="T531" s="882">
        <f t="shared" si="1343"/>
        <v>421</v>
      </c>
      <c r="U531" s="1131">
        <f t="shared" si="1343"/>
        <v>1658.2249999999999</v>
      </c>
      <c r="V531" s="882">
        <f t="shared" si="1343"/>
        <v>424</v>
      </c>
      <c r="W531" s="882">
        <f t="shared" si="1343"/>
        <v>421</v>
      </c>
      <c r="X531" s="882">
        <f t="shared" si="1343"/>
        <v>430</v>
      </c>
      <c r="Y531" s="882">
        <f t="shared" si="1343"/>
        <v>446</v>
      </c>
      <c r="Z531" s="1131">
        <f t="shared" si="1343"/>
        <v>1721</v>
      </c>
      <c r="AA531" s="882">
        <f t="shared" si="1343"/>
        <v>443</v>
      </c>
      <c r="AB531" s="882">
        <f t="shared" si="1343"/>
        <v>448</v>
      </c>
      <c r="AC531" s="882">
        <f t="shared" si="1343"/>
        <v>478</v>
      </c>
      <c r="AD531" s="882">
        <f t="shared" si="1343"/>
        <v>499</v>
      </c>
      <c r="AE531" s="1131">
        <f t="shared" si="1343"/>
        <v>1868</v>
      </c>
      <c r="AF531" s="882">
        <f t="shared" si="1343"/>
        <v>518</v>
      </c>
      <c r="AG531" s="882">
        <f t="shared" si="1343"/>
        <v>533</v>
      </c>
      <c r="AH531" s="882">
        <f t="shared" si="1343"/>
        <v>570</v>
      </c>
      <c r="AI531" s="882">
        <f t="shared" ref="AI531:BN531" si="1344">+AI113</f>
        <v>607</v>
      </c>
      <c r="AJ531" s="1131">
        <f t="shared" si="1344"/>
        <v>2227</v>
      </c>
      <c r="AK531" s="882">
        <f t="shared" si="1344"/>
        <v>648</v>
      </c>
      <c r="AL531" s="882">
        <f t="shared" si="1344"/>
        <v>692</v>
      </c>
      <c r="AM531" s="882">
        <f t="shared" si="1344"/>
        <v>730</v>
      </c>
      <c r="AN531" s="882">
        <f t="shared" si="1344"/>
        <v>755</v>
      </c>
      <c r="AO531" s="1131">
        <f t="shared" si="1344"/>
        <v>2826</v>
      </c>
      <c r="AP531" s="882">
        <f t="shared" si="1344"/>
        <v>753</v>
      </c>
      <c r="AQ531" s="882">
        <f t="shared" si="1344"/>
        <v>749</v>
      </c>
      <c r="AR531" s="882">
        <f t="shared" si="1344"/>
        <v>774</v>
      </c>
      <c r="AS531" s="882">
        <f t="shared" si="1344"/>
        <v>810</v>
      </c>
      <c r="AT531" s="1131">
        <f t="shared" si="1344"/>
        <v>3085</v>
      </c>
      <c r="AU531" s="882">
        <f t="shared" si="1344"/>
        <v>821</v>
      </c>
      <c r="AV531" s="882">
        <f t="shared" si="1344"/>
        <v>1035</v>
      </c>
      <c r="AW531" s="882">
        <f t="shared" si="1344"/>
        <v>1101</v>
      </c>
      <c r="AX531" s="882">
        <f t="shared" si="1344"/>
        <v>1187</v>
      </c>
      <c r="AY531" s="1131">
        <f t="shared" si="1344"/>
        <v>4144</v>
      </c>
      <c r="AZ531" s="882">
        <f t="shared" si="1344"/>
        <v>1189</v>
      </c>
      <c r="BA531" s="882">
        <f t="shared" si="1344"/>
        <v>1266</v>
      </c>
      <c r="BB531" s="882">
        <f t="shared" si="1344"/>
        <v>1375</v>
      </c>
      <c r="BC531" s="882">
        <f t="shared" si="1344"/>
        <v>1447</v>
      </c>
      <c r="BD531" s="1131">
        <f t="shared" si="1344"/>
        <v>5279</v>
      </c>
      <c r="BE531" s="882">
        <f t="shared" si="1344"/>
        <v>1608</v>
      </c>
      <c r="BF531" s="882">
        <f t="shared" si="1344"/>
        <v>1749</v>
      </c>
      <c r="BG531" s="882">
        <f t="shared" si="1344"/>
        <v>1793</v>
      </c>
      <c r="BH531" s="882">
        <f t="shared" si="1344"/>
        <v>1775</v>
      </c>
      <c r="BI531" s="1131">
        <f t="shared" si="1344"/>
        <v>6925</v>
      </c>
      <c r="BJ531" s="882">
        <f t="shared" si="1344"/>
        <v>1750</v>
      </c>
      <c r="BK531" s="882">
        <f t="shared" si="1344"/>
        <v>1838</v>
      </c>
      <c r="BL531" s="882">
        <f t="shared" si="1344"/>
        <v>2026</v>
      </c>
      <c r="BM531" s="882">
        <f t="shared" si="1344"/>
        <v>2210</v>
      </c>
      <c r="BN531" s="1131">
        <f t="shared" si="1344"/>
        <v>7825</v>
      </c>
      <c r="BO531" s="882">
        <f t="shared" ref="BO531:CK531" si="1345">+BO113</f>
        <v>2502</v>
      </c>
      <c r="BP531" s="882">
        <f t="shared" si="1345"/>
        <v>2792</v>
      </c>
      <c r="BQ531" s="882">
        <f t="shared" si="1345"/>
        <v>3046</v>
      </c>
      <c r="BR531" s="882">
        <f t="shared" si="1345"/>
        <v>3378</v>
      </c>
      <c r="BS531" s="1131">
        <f t="shared" si="1345"/>
        <v>11716</v>
      </c>
      <c r="BT531" s="882">
        <f t="shared" si="1345"/>
        <v>3583</v>
      </c>
      <c r="BU531" s="882">
        <f t="shared" si="1345"/>
        <v>3795</v>
      </c>
      <c r="BV531" s="882">
        <f t="shared" si="1345"/>
        <v>4215</v>
      </c>
      <c r="BW531" s="882">
        <f t="shared" si="1345"/>
        <v>5102</v>
      </c>
      <c r="BX531" s="1131">
        <f t="shared" si="1345"/>
        <v>16694</v>
      </c>
      <c r="BY531" s="877">
        <f>+BY113</f>
        <v>7449</v>
      </c>
      <c r="BZ531" s="882">
        <f t="shared" si="1345"/>
        <v>8321.2810074385452</v>
      </c>
      <c r="CA531" s="882">
        <f t="shared" si="1345"/>
        <v>6768.1190927270809</v>
      </c>
      <c r="CB531" s="882">
        <f t="shared" si="1345"/>
        <v>7092.1203487604034</v>
      </c>
      <c r="CC531" s="1131">
        <f t="shared" si="1345"/>
        <v>29630.520448926032</v>
      </c>
      <c r="CD531" s="882">
        <f t="shared" si="1345"/>
        <v>9631.1330509097588</v>
      </c>
      <c r="CE531" s="882">
        <f t="shared" si="1345"/>
        <v>10767.811146042935</v>
      </c>
      <c r="CF531" s="882">
        <f t="shared" si="1345"/>
        <v>8443.5989685296263</v>
      </c>
      <c r="CG531" s="882">
        <f t="shared" si="1345"/>
        <v>8822.6105927165427</v>
      </c>
      <c r="CH531" s="1131">
        <f t="shared" si="1345"/>
        <v>37665.153758198867</v>
      </c>
      <c r="CI531" s="1131">
        <f t="shared" si="1345"/>
        <v>44654.986707387594</v>
      </c>
      <c r="CJ531" s="1131">
        <f t="shared" si="1345"/>
        <v>52136.47403684794</v>
      </c>
      <c r="CK531" s="1131">
        <f t="shared" si="1345"/>
        <v>60886.704438454348</v>
      </c>
      <c r="CL531" s="93"/>
    </row>
    <row r="532" spans="1:90" ht="15" hidden="1" customHeight="1" outlineLevel="1" x14ac:dyDescent="0.3">
      <c r="A532" s="813" t="s">
        <v>1067</v>
      </c>
      <c r="B532" s="396"/>
      <c r="C532" s="1192"/>
      <c r="D532" s="1192"/>
      <c r="E532" s="1192"/>
      <c r="F532" s="1192"/>
      <c r="G532" s="398"/>
      <c r="H532" s="398"/>
      <c r="I532" s="398"/>
      <c r="J532" s="398"/>
      <c r="K532" s="1192"/>
      <c r="L532" s="398"/>
      <c r="M532" s="398"/>
      <c r="N532" s="398"/>
      <c r="O532" s="398"/>
      <c r="P532" s="1192"/>
      <c r="Q532" s="398"/>
      <c r="R532" s="398"/>
      <c r="S532" s="398"/>
      <c r="T532" s="398"/>
      <c r="U532" s="1192"/>
      <c r="V532" s="398"/>
      <c r="W532" s="398"/>
      <c r="X532" s="398"/>
      <c r="Y532" s="398"/>
      <c r="Z532" s="1192"/>
      <c r="AA532" s="398"/>
      <c r="AB532" s="398"/>
      <c r="AC532" s="398"/>
      <c r="AD532" s="398"/>
      <c r="AE532" s="1192"/>
      <c r="AF532" s="398"/>
      <c r="AG532" s="398"/>
      <c r="AH532" s="398" t="str">
        <f t="shared" ref="AH532:AL532" si="1346">IFERROR(AH531-AH530,"")</f>
        <v/>
      </c>
      <c r="AI532" s="398">
        <f t="shared" si="1346"/>
        <v>7</v>
      </c>
      <c r="AJ532" s="1192" t="str">
        <f t="shared" si="1346"/>
        <v/>
      </c>
      <c r="AK532" s="398">
        <f t="shared" si="1346"/>
        <v>3</v>
      </c>
      <c r="AL532" s="398">
        <f t="shared" si="1346"/>
        <v>7</v>
      </c>
      <c r="AM532" s="398">
        <f t="shared" ref="AM532:BL532" si="1347">IFERROR(AM531-AM530,"")</f>
        <v>0</v>
      </c>
      <c r="AN532" s="398">
        <f t="shared" si="1347"/>
        <v>0</v>
      </c>
      <c r="AO532" s="1192" t="str">
        <f t="shared" si="1347"/>
        <v/>
      </c>
      <c r="AP532" s="398">
        <f t="shared" si="1347"/>
        <v>-2</v>
      </c>
      <c r="AQ532" s="398">
        <f t="shared" si="1347"/>
        <v>-16</v>
      </c>
      <c r="AR532" s="398">
        <f t="shared" si="1347"/>
        <v>9</v>
      </c>
      <c r="AS532" s="398">
        <f t="shared" si="1347"/>
        <v>5</v>
      </c>
      <c r="AT532" s="1192" t="str">
        <f t="shared" si="1347"/>
        <v/>
      </c>
      <c r="AU532" s="398">
        <f t="shared" si="1347"/>
        <v>-14</v>
      </c>
      <c r="AV532" s="398">
        <f t="shared" si="1347"/>
        <v>-5</v>
      </c>
      <c r="AW532" s="398">
        <f t="shared" si="1347"/>
        <v>11</v>
      </c>
      <c r="AX532" s="398">
        <f t="shared" si="1347"/>
        <v>7</v>
      </c>
      <c r="AY532" s="1192">
        <f t="shared" si="1347"/>
        <v>44</v>
      </c>
      <c r="AZ532" s="398">
        <f t="shared" si="1347"/>
        <v>-11</v>
      </c>
      <c r="BA532" s="398">
        <f t="shared" si="1347"/>
        <v>6</v>
      </c>
      <c r="BB532" s="398">
        <f t="shared" si="1347"/>
        <v>5</v>
      </c>
      <c r="BC532" s="398">
        <f t="shared" si="1347"/>
        <v>17</v>
      </c>
      <c r="BD532" s="1192" t="str">
        <f t="shared" si="1347"/>
        <v/>
      </c>
      <c r="BE532" s="398">
        <f t="shared" si="1347"/>
        <v>8</v>
      </c>
      <c r="BF532" s="398">
        <f t="shared" si="1347"/>
        <v>-1</v>
      </c>
      <c r="BG532" s="398">
        <f t="shared" si="1347"/>
        <v>-27</v>
      </c>
      <c r="BH532" s="398">
        <f t="shared" si="1347"/>
        <v>-5</v>
      </c>
      <c r="BI532" s="1192" t="str">
        <f t="shared" si="1347"/>
        <v/>
      </c>
      <c r="BJ532" s="398">
        <f t="shared" si="1347"/>
        <v>-30</v>
      </c>
      <c r="BK532" s="398">
        <f t="shared" si="1347"/>
        <v>-62</v>
      </c>
      <c r="BL532" s="398">
        <f t="shared" si="1347"/>
        <v>26</v>
      </c>
      <c r="BM532" s="398">
        <f t="shared" ref="BM532:BN532" si="1348">IFERROR(BM531-BM530,"")</f>
        <v>10</v>
      </c>
      <c r="BN532" s="1192" t="str">
        <f t="shared" si="1348"/>
        <v/>
      </c>
      <c r="BO532" s="398">
        <f t="shared" ref="BO532:CC532" si="1349">IFERROR(BO531-BO530,"")</f>
        <v>2</v>
      </c>
      <c r="BP532" s="398">
        <f t="shared" si="1349"/>
        <v>-8</v>
      </c>
      <c r="BQ532" s="398">
        <f t="shared" si="1349"/>
        <v>46</v>
      </c>
      <c r="BR532" s="398">
        <f t="shared" si="1349"/>
        <v>-22</v>
      </c>
      <c r="BS532" s="1192" t="str">
        <f t="shared" si="1349"/>
        <v/>
      </c>
      <c r="BT532" s="398">
        <f t="shared" ref="BT532:CB532" si="1350">IFERROR(BT531-BT530,"")</f>
        <v>-17</v>
      </c>
      <c r="BU532" s="398">
        <f t="shared" si="1350"/>
        <v>-205</v>
      </c>
      <c r="BV532" s="398">
        <f t="shared" si="1350"/>
        <v>15</v>
      </c>
      <c r="BW532" s="398">
        <f t="shared" si="1350"/>
        <v>102</v>
      </c>
      <c r="BX532" s="1192" t="str">
        <f t="shared" si="1350"/>
        <v/>
      </c>
      <c r="BY532" s="1007">
        <f>IFERROR(BY531-BY530,"")</f>
        <v>-51</v>
      </c>
      <c r="BZ532" s="398">
        <f t="shared" si="1350"/>
        <v>21.281007438545203</v>
      </c>
      <c r="CA532" s="398" t="str">
        <f t="shared" si="1350"/>
        <v/>
      </c>
      <c r="CB532" s="398" t="str">
        <f t="shared" si="1350"/>
        <v/>
      </c>
      <c r="CC532" s="1192" t="str">
        <f t="shared" si="1349"/>
        <v/>
      </c>
      <c r="CD532" s="398" t="str">
        <f>IFERROR(CD531-CD530,"")</f>
        <v/>
      </c>
      <c r="CE532" s="398" t="str">
        <f>IFERROR(CE531-CE530,"")</f>
        <v/>
      </c>
      <c r="CF532" s="398" t="str">
        <f>IFERROR(CF531-CF530,"")</f>
        <v/>
      </c>
      <c r="CG532" s="398" t="str">
        <f>IFERROR(CG531-CG530,"")</f>
        <v/>
      </c>
      <c r="CH532" s="1192" t="str">
        <f>IFERROR(CH531-CH530,"")</f>
        <v/>
      </c>
      <c r="CI532" s="1192"/>
      <c r="CJ532" s="1192"/>
      <c r="CK532" s="1192"/>
      <c r="CL532" s="93"/>
    </row>
    <row r="533" spans="1:90" ht="15" hidden="1" customHeight="1" outlineLevel="1" x14ac:dyDescent="0.3">
      <c r="A533" s="798" t="s">
        <v>1068</v>
      </c>
      <c r="B533" s="797"/>
      <c r="C533" s="1193"/>
      <c r="D533" s="1193"/>
      <c r="E533" s="1193"/>
      <c r="F533" s="1193"/>
      <c r="G533" s="792"/>
      <c r="H533" s="792"/>
      <c r="I533" s="792"/>
      <c r="J533" s="792"/>
      <c r="K533" s="1193"/>
      <c r="L533" s="792"/>
      <c r="M533" s="792"/>
      <c r="N533" s="792"/>
      <c r="O533" s="792"/>
      <c r="P533" s="1193"/>
      <c r="Q533" s="792"/>
      <c r="R533" s="792"/>
      <c r="S533" s="792"/>
      <c r="T533" s="792"/>
      <c r="U533" s="1193"/>
      <c r="V533" s="792"/>
      <c r="W533" s="792"/>
      <c r="X533" s="792"/>
      <c r="Y533" s="792"/>
      <c r="Z533" s="1193"/>
      <c r="AA533" s="792"/>
      <c r="AB533" s="792"/>
      <c r="AC533" s="792"/>
      <c r="AD533" s="792"/>
      <c r="AE533" s="1193"/>
      <c r="AF533" s="792"/>
      <c r="AG533" s="792"/>
      <c r="AH533" s="792" t="str">
        <f t="shared" ref="AH533:AL533" si="1351">IFERROR(AH532/ABS(AH530),"")</f>
        <v/>
      </c>
      <c r="AI533" s="792">
        <f t="shared" si="1351"/>
        <v>1.1666666666666667E-2</v>
      </c>
      <c r="AJ533" s="1193" t="str">
        <f t="shared" si="1351"/>
        <v/>
      </c>
      <c r="AK533" s="792">
        <f t="shared" si="1351"/>
        <v>4.6511627906976744E-3</v>
      </c>
      <c r="AL533" s="792">
        <f t="shared" si="1351"/>
        <v>1.0218978102189781E-2</v>
      </c>
      <c r="AM533" s="792">
        <f t="shared" ref="AM533:BL533" si="1352">IFERROR(AM532/ABS(AM530),"")</f>
        <v>0</v>
      </c>
      <c r="AN533" s="792">
        <f t="shared" si="1352"/>
        <v>0</v>
      </c>
      <c r="AO533" s="1193" t="str">
        <f t="shared" si="1352"/>
        <v/>
      </c>
      <c r="AP533" s="792">
        <f t="shared" si="1352"/>
        <v>-2.6490066225165563E-3</v>
      </c>
      <c r="AQ533" s="792">
        <f t="shared" si="1352"/>
        <v>-2.0915032679738561E-2</v>
      </c>
      <c r="AR533" s="792">
        <f t="shared" si="1352"/>
        <v>1.1764705882352941E-2</v>
      </c>
      <c r="AS533" s="792">
        <f t="shared" si="1352"/>
        <v>6.2111801242236021E-3</v>
      </c>
      <c r="AT533" s="1193" t="str">
        <f t="shared" si="1352"/>
        <v/>
      </c>
      <c r="AU533" s="792">
        <f t="shared" si="1352"/>
        <v>-1.6766467065868262E-2</v>
      </c>
      <c r="AV533" s="792">
        <f t="shared" si="1352"/>
        <v>-4.807692307692308E-3</v>
      </c>
      <c r="AW533" s="792">
        <f t="shared" si="1352"/>
        <v>1.0091743119266056E-2</v>
      </c>
      <c r="AX533" s="792">
        <f t="shared" si="1352"/>
        <v>5.9322033898305086E-3</v>
      </c>
      <c r="AY533" s="1193">
        <f t="shared" si="1352"/>
        <v>1.0731707317073172E-2</v>
      </c>
      <c r="AZ533" s="792">
        <f t="shared" si="1352"/>
        <v>-9.1666666666666667E-3</v>
      </c>
      <c r="BA533" s="792">
        <f t="shared" si="1352"/>
        <v>4.7619047619047623E-3</v>
      </c>
      <c r="BB533" s="792">
        <f t="shared" si="1352"/>
        <v>3.6496350364963502E-3</v>
      </c>
      <c r="BC533" s="792">
        <f t="shared" si="1352"/>
        <v>1.1888111888111888E-2</v>
      </c>
      <c r="BD533" s="1193" t="str">
        <f t="shared" si="1352"/>
        <v/>
      </c>
      <c r="BE533" s="792">
        <f t="shared" si="1352"/>
        <v>5.0000000000000001E-3</v>
      </c>
      <c r="BF533" s="792">
        <f t="shared" si="1352"/>
        <v>-5.7142857142857147E-4</v>
      </c>
      <c r="BG533" s="792">
        <f t="shared" si="1352"/>
        <v>-1.4835164835164835E-2</v>
      </c>
      <c r="BH533" s="792">
        <f t="shared" si="1352"/>
        <v>-2.8089887640449437E-3</v>
      </c>
      <c r="BI533" s="1193" t="str">
        <f t="shared" si="1352"/>
        <v/>
      </c>
      <c r="BJ533" s="792">
        <f t="shared" si="1352"/>
        <v>-1.6853932584269662E-2</v>
      </c>
      <c r="BK533" s="792">
        <f t="shared" si="1352"/>
        <v>-3.2631578947368421E-2</v>
      </c>
      <c r="BL533" s="792">
        <f t="shared" si="1352"/>
        <v>1.2999999999999999E-2</v>
      </c>
      <c r="BM533" s="792">
        <f t="shared" ref="BM533:BN533" si="1353">IFERROR(BM532/ABS(BM530),"")</f>
        <v>4.5454545454545452E-3</v>
      </c>
      <c r="BN533" s="1193" t="str">
        <f t="shared" si="1353"/>
        <v/>
      </c>
      <c r="BO533" s="792">
        <f t="shared" ref="BO533:CC533" si="1354">IFERROR(BO532/ABS(BO530),"")</f>
        <v>8.0000000000000004E-4</v>
      </c>
      <c r="BP533" s="792">
        <f t="shared" si="1354"/>
        <v>-2.8571428571428571E-3</v>
      </c>
      <c r="BQ533" s="792">
        <f t="shared" si="1354"/>
        <v>1.5333333333333332E-2</v>
      </c>
      <c r="BR533" s="792">
        <f t="shared" si="1354"/>
        <v>-6.4705882352941177E-3</v>
      </c>
      <c r="BS533" s="1193" t="str">
        <f t="shared" si="1354"/>
        <v/>
      </c>
      <c r="BT533" s="792">
        <f t="shared" ref="BT533:CB533" si="1355">IFERROR(BT532/ABS(BT530),"")</f>
        <v>-4.7222222222222223E-3</v>
      </c>
      <c r="BU533" s="792">
        <f t="shared" si="1355"/>
        <v>-5.1249999999999997E-2</v>
      </c>
      <c r="BV533" s="792">
        <f t="shared" si="1355"/>
        <v>3.5714285714285713E-3</v>
      </c>
      <c r="BW533" s="792">
        <f t="shared" si="1355"/>
        <v>2.0400000000000001E-2</v>
      </c>
      <c r="BX533" s="1193" t="str">
        <f t="shared" si="1355"/>
        <v/>
      </c>
      <c r="BY533" s="925">
        <f>IFERROR(BY532/ABS(BY530),"")</f>
        <v>-6.7999999999999996E-3</v>
      </c>
      <c r="BZ533" s="792">
        <f t="shared" si="1355"/>
        <v>2.5639767998247233E-3</v>
      </c>
      <c r="CA533" s="792" t="str">
        <f t="shared" si="1355"/>
        <v/>
      </c>
      <c r="CB533" s="792" t="str">
        <f t="shared" si="1355"/>
        <v/>
      </c>
      <c r="CC533" s="1193" t="str">
        <f t="shared" si="1354"/>
        <v/>
      </c>
      <c r="CD533" s="792" t="str">
        <f>IFERROR(CD532/ABS(CD530),"")</f>
        <v/>
      </c>
      <c r="CE533" s="792" t="str">
        <f>IFERROR(CE532/ABS(CE530),"")</f>
        <v/>
      </c>
      <c r="CF533" s="792" t="str">
        <f>IFERROR(CF532/ABS(CF530),"")</f>
        <v/>
      </c>
      <c r="CG533" s="792" t="str">
        <f>IFERROR(CG532/ABS(CG530),"")</f>
        <v/>
      </c>
      <c r="CH533" s="1193" t="str">
        <f>IFERROR(CH532/ABS(CH530),"")</f>
        <v/>
      </c>
      <c r="CI533" s="1193"/>
      <c r="CJ533" s="1193"/>
      <c r="CK533" s="1193"/>
      <c r="CL533" s="93"/>
    </row>
    <row r="534" spans="1:90" ht="15" hidden="1" customHeight="1" outlineLevel="2" x14ac:dyDescent="0.3">
      <c r="A534" s="799"/>
      <c r="B534" s="428"/>
      <c r="C534" s="1136"/>
      <c r="D534" s="1136"/>
      <c r="E534" s="1136"/>
      <c r="F534" s="1136"/>
      <c r="G534" s="93"/>
      <c r="H534" s="93"/>
      <c r="I534" s="93"/>
      <c r="J534" s="93"/>
      <c r="K534" s="1136"/>
      <c r="L534" s="93"/>
      <c r="M534" s="93"/>
      <c r="N534" s="93"/>
      <c r="O534" s="93"/>
      <c r="P534" s="1136"/>
      <c r="Q534" s="93"/>
      <c r="R534" s="93"/>
      <c r="S534" s="93"/>
      <c r="T534" s="93"/>
      <c r="U534" s="1136"/>
      <c r="V534" s="93"/>
      <c r="W534" s="93"/>
      <c r="X534" s="93"/>
      <c r="Y534" s="93"/>
      <c r="Z534" s="1136"/>
      <c r="AA534" s="93"/>
      <c r="AB534" s="93"/>
      <c r="AC534" s="93"/>
      <c r="AD534" s="93"/>
      <c r="AE534" s="1136"/>
      <c r="AF534" s="93"/>
      <c r="AG534" s="93"/>
      <c r="AH534" s="93"/>
      <c r="AI534" s="93"/>
      <c r="AJ534" s="1136"/>
      <c r="AK534" s="93"/>
      <c r="AL534" s="93"/>
      <c r="AM534" s="93"/>
      <c r="AN534" s="93"/>
      <c r="AO534" s="1136"/>
      <c r="AP534" s="93"/>
      <c r="AQ534" s="93"/>
      <c r="AR534" s="93"/>
      <c r="AS534" s="93"/>
      <c r="AT534" s="1136"/>
      <c r="AU534" s="93"/>
      <c r="AV534" s="93"/>
      <c r="AW534" s="93"/>
      <c r="AX534" s="93"/>
      <c r="AY534" s="1136"/>
      <c r="AZ534" s="93"/>
      <c r="BA534" s="93"/>
      <c r="BB534" s="93"/>
      <c r="BC534" s="93"/>
      <c r="BD534" s="1136"/>
      <c r="BE534" s="93"/>
      <c r="BF534" s="93"/>
      <c r="BG534" s="93"/>
      <c r="BH534" s="93"/>
      <c r="BI534" s="1136"/>
      <c r="BJ534" s="93"/>
      <c r="BK534" s="93"/>
      <c r="BL534" s="93"/>
      <c r="BM534" s="93"/>
      <c r="BN534" s="1136"/>
      <c r="BO534" s="93"/>
      <c r="BP534" s="93"/>
      <c r="BQ534" s="93"/>
      <c r="BR534" s="93"/>
      <c r="BS534" s="1136"/>
      <c r="BT534" s="93"/>
      <c r="BU534" s="93"/>
      <c r="BV534" s="93"/>
      <c r="BW534" s="93"/>
      <c r="BX534" s="1136"/>
      <c r="BY534" s="522"/>
      <c r="BZ534" s="93"/>
      <c r="CA534" s="93"/>
      <c r="CB534" s="93"/>
      <c r="CC534" s="1136"/>
      <c r="CD534" s="93"/>
      <c r="CE534" s="93"/>
      <c r="CF534" s="93"/>
      <c r="CG534" s="93"/>
      <c r="CH534" s="1136"/>
      <c r="CI534" s="1136"/>
      <c r="CJ534" s="1136"/>
      <c r="CK534" s="1136"/>
      <c r="CL534" s="93"/>
    </row>
    <row r="535" spans="1:90" ht="15" hidden="1" customHeight="1" outlineLevel="2" x14ac:dyDescent="0.3">
      <c r="A535" s="605" t="s">
        <v>962</v>
      </c>
      <c r="B535" s="428"/>
      <c r="C535" s="1194"/>
      <c r="D535" s="1194"/>
      <c r="E535" s="1194"/>
      <c r="F535" s="1194"/>
      <c r="G535" s="800"/>
      <c r="H535" s="800"/>
      <c r="I535" s="800"/>
      <c r="J535" s="800"/>
      <c r="K535" s="1194"/>
      <c r="L535" s="800"/>
      <c r="M535" s="800"/>
      <c r="N535" s="800"/>
      <c r="O535" s="800"/>
      <c r="P535" s="1194"/>
      <c r="Q535" s="800"/>
      <c r="R535" s="800"/>
      <c r="S535" s="800"/>
      <c r="T535" s="800"/>
      <c r="U535" s="1194"/>
      <c r="V535" s="800"/>
      <c r="W535" s="800"/>
      <c r="X535" s="800"/>
      <c r="Y535" s="800"/>
      <c r="Z535" s="1194"/>
      <c r="AA535" s="800"/>
      <c r="AB535" s="800"/>
      <c r="AC535" s="800"/>
      <c r="AD535" s="800"/>
      <c r="AE535" s="1194"/>
      <c r="AF535" s="800"/>
      <c r="AG535" s="800"/>
      <c r="AH535" s="800">
        <f t="shared" ref="AH535" si="1356">AH1093</f>
        <v>43048</v>
      </c>
      <c r="AI535" s="800">
        <f t="shared" ref="AI535:BL535" si="1357">AI1093</f>
        <v>43139</v>
      </c>
      <c r="AJ535" s="1194">
        <f t="shared" si="1357"/>
        <v>43139</v>
      </c>
      <c r="AK535" s="800">
        <f t="shared" si="1357"/>
        <v>43230</v>
      </c>
      <c r="AL535" s="800">
        <f t="shared" si="1357"/>
        <v>43328</v>
      </c>
      <c r="AM535" s="800">
        <f t="shared" si="1357"/>
        <v>43419</v>
      </c>
      <c r="AN535" s="800">
        <f t="shared" si="1357"/>
        <v>43510</v>
      </c>
      <c r="AO535" s="1194">
        <f t="shared" si="1357"/>
        <v>43510</v>
      </c>
      <c r="AP535" s="800">
        <f t="shared" si="1357"/>
        <v>43601</v>
      </c>
      <c r="AQ535" s="800">
        <f t="shared" si="1357"/>
        <v>43692</v>
      </c>
      <c r="AR535" s="800">
        <f t="shared" si="1357"/>
        <v>43783</v>
      </c>
      <c r="AS535" s="800">
        <f t="shared" si="1357"/>
        <v>43874</v>
      </c>
      <c r="AT535" s="1194">
        <f t="shared" si="1357"/>
        <v>43874</v>
      </c>
      <c r="AU535" s="800">
        <f t="shared" si="1357"/>
        <v>43972</v>
      </c>
      <c r="AV535" s="800">
        <f t="shared" si="1357"/>
        <v>44062</v>
      </c>
      <c r="AW535" s="800">
        <f t="shared" si="1357"/>
        <v>44153</v>
      </c>
      <c r="AX535" s="800">
        <f t="shared" si="1357"/>
        <v>44251</v>
      </c>
      <c r="AY535" s="1194">
        <f t="shared" si="1357"/>
        <v>44251</v>
      </c>
      <c r="AZ535" s="800">
        <f t="shared" si="1357"/>
        <v>44342</v>
      </c>
      <c r="BA535" s="800">
        <f t="shared" si="1357"/>
        <v>44426</v>
      </c>
      <c r="BB535" s="800">
        <f t="shared" si="1357"/>
        <v>44517</v>
      </c>
      <c r="BC535" s="800">
        <f t="shared" si="1357"/>
        <v>44608</v>
      </c>
      <c r="BD535" s="1194">
        <f t="shared" si="1357"/>
        <v>44608</v>
      </c>
      <c r="BE535" s="800">
        <f t="shared" si="1357"/>
        <v>44706</v>
      </c>
      <c r="BF535" s="800">
        <f t="shared" si="1357"/>
        <v>44797</v>
      </c>
      <c r="BG535" s="800">
        <f t="shared" si="1357"/>
        <v>44881</v>
      </c>
      <c r="BH535" s="800">
        <f t="shared" si="1357"/>
        <v>44979</v>
      </c>
      <c r="BI535" s="1194">
        <f t="shared" si="1357"/>
        <v>44979</v>
      </c>
      <c r="BJ535" s="800">
        <f t="shared" si="1357"/>
        <v>45070</v>
      </c>
      <c r="BK535" s="800">
        <f t="shared" si="1357"/>
        <v>45161</v>
      </c>
      <c r="BL535" s="800">
        <f t="shared" si="1357"/>
        <v>45251</v>
      </c>
      <c r="BM535" s="800">
        <f t="shared" ref="BM535:BS535" si="1358">BM1093</f>
        <v>45343</v>
      </c>
      <c r="BN535" s="1194">
        <f t="shared" si="1358"/>
        <v>45343</v>
      </c>
      <c r="BO535" s="800">
        <f t="shared" si="1358"/>
        <v>45434</v>
      </c>
      <c r="BP535" s="800">
        <f t="shared" si="1358"/>
        <v>45532</v>
      </c>
      <c r="BQ535" s="800">
        <f t="shared" si="1358"/>
        <v>45616</v>
      </c>
      <c r="BR535" s="800">
        <f t="shared" si="1358"/>
        <v>45714</v>
      </c>
      <c r="BS535" s="1194">
        <f t="shared" si="1358"/>
        <v>45714</v>
      </c>
      <c r="BT535" s="800">
        <f t="shared" ref="BT535:BY535" si="1359">BT1093</f>
        <v>45805</v>
      </c>
      <c r="BU535" s="800">
        <f t="shared" si="1359"/>
        <v>45896</v>
      </c>
      <c r="BV535" s="800">
        <f t="shared" si="1359"/>
        <v>45980</v>
      </c>
      <c r="BW535" s="800">
        <f t="shared" si="1359"/>
        <v>46078</v>
      </c>
      <c r="BX535" s="1194">
        <f t="shared" si="1359"/>
        <v>46078</v>
      </c>
      <c r="BY535" s="926">
        <f t="shared" si="1359"/>
        <v>46162</v>
      </c>
      <c r="BZ535" s="800"/>
      <c r="CA535" s="800"/>
      <c r="CB535" s="800"/>
      <c r="CC535" s="1194"/>
      <c r="CD535" s="800"/>
      <c r="CE535" s="800"/>
      <c r="CF535" s="800"/>
      <c r="CG535" s="800"/>
      <c r="CH535" s="1194"/>
      <c r="CI535" s="1194"/>
      <c r="CJ535" s="1194"/>
      <c r="CK535" s="1194"/>
      <c r="CL535" s="93"/>
    </row>
    <row r="536" spans="1:90" ht="15" hidden="1" customHeight="1" outlineLevel="2" x14ac:dyDescent="0.3">
      <c r="A536" s="803" t="s">
        <v>963</v>
      </c>
      <c r="B536" s="801"/>
      <c r="C536" s="1195"/>
      <c r="D536" s="1195"/>
      <c r="E536" s="1195"/>
      <c r="F536" s="1195"/>
      <c r="G536" s="802"/>
      <c r="H536" s="802"/>
      <c r="I536" s="802"/>
      <c r="J536" s="802"/>
      <c r="K536" s="1195"/>
      <c r="L536" s="802"/>
      <c r="M536" s="802"/>
      <c r="N536" s="802"/>
      <c r="O536" s="802"/>
      <c r="P536" s="1195"/>
      <c r="Q536" s="802"/>
      <c r="R536" s="802"/>
      <c r="S536" s="802"/>
      <c r="T536" s="802"/>
      <c r="U536" s="1195"/>
      <c r="V536" s="802"/>
      <c r="W536" s="802"/>
      <c r="X536" s="802"/>
      <c r="Y536" s="802"/>
      <c r="Z536" s="1195"/>
      <c r="AA536" s="802"/>
      <c r="AB536" s="802"/>
      <c r="AC536" s="802"/>
      <c r="AD536" s="802"/>
      <c r="AE536" s="1195"/>
      <c r="AF536" s="802"/>
      <c r="AG536" s="802"/>
      <c r="AH536" s="802" t="str">
        <f>AI5</f>
        <v>Q4-2018</v>
      </c>
      <c r="AI536" s="802" t="str">
        <f>AK5</f>
        <v>Q1-2019</v>
      </c>
      <c r="AJ536" s="1195" t="str">
        <f>AK5</f>
        <v>Q1-2019</v>
      </c>
      <c r="AK536" s="802" t="str">
        <f>AL5</f>
        <v>Q2-2019</v>
      </c>
      <c r="AL536" s="802" t="str">
        <f>AM5</f>
        <v>Q3-2019</v>
      </c>
      <c r="AM536" s="802" t="str">
        <f>AN5</f>
        <v>Q4-2019</v>
      </c>
      <c r="AN536" s="802" t="str">
        <f>AP5</f>
        <v>Q1-2020</v>
      </c>
      <c r="AO536" s="1195" t="str">
        <f>AP5</f>
        <v>Q1-2020</v>
      </c>
      <c r="AP536" s="802" t="str">
        <f>AQ5</f>
        <v>Q2-2020</v>
      </c>
      <c r="AQ536" s="802" t="str">
        <f>AR5</f>
        <v>Q3-2020</v>
      </c>
      <c r="AR536" s="802" t="str">
        <f>AS5</f>
        <v>Q4-2020</v>
      </c>
      <c r="AS536" s="802" t="str">
        <f>AU5</f>
        <v>Q1-2021</v>
      </c>
      <c r="AT536" s="1195" t="str">
        <f>AU5</f>
        <v>Q1-2021</v>
      </c>
      <c r="AU536" s="802" t="str">
        <f>AV5</f>
        <v>Q2-2021</v>
      </c>
      <c r="AV536" s="802" t="str">
        <f>AW5</f>
        <v>Q3-2021</v>
      </c>
      <c r="AW536" s="802" t="str">
        <f>AX5</f>
        <v>Q4-2021</v>
      </c>
      <c r="AX536" s="802" t="str">
        <f>AZ5</f>
        <v>Q1-2022</v>
      </c>
      <c r="AY536" s="1195" t="str">
        <f>AZ5</f>
        <v>Q1-2022</v>
      </c>
      <c r="AZ536" s="802" t="str">
        <f>BA5</f>
        <v>Q2-2022</v>
      </c>
      <c r="BA536" s="802" t="str">
        <f>BB5</f>
        <v>Q3-2022</v>
      </c>
      <c r="BB536" s="802" t="str">
        <f>BC5</f>
        <v>Q4-2022</v>
      </c>
      <c r="BC536" s="802" t="str">
        <f>BE5</f>
        <v>Q1-2023</v>
      </c>
      <c r="BD536" s="1195" t="str">
        <f>BE5</f>
        <v>Q1-2023</v>
      </c>
      <c r="BE536" s="802" t="str">
        <f>BF5</f>
        <v>Q2-2023</v>
      </c>
      <c r="BF536" s="802" t="str">
        <f>BG5</f>
        <v>Q3-2023</v>
      </c>
      <c r="BG536" s="802" t="str">
        <f>BH5</f>
        <v>Q4-2023</v>
      </c>
      <c r="BH536" s="802" t="str">
        <f>BJ5</f>
        <v>Q1-2024</v>
      </c>
      <c r="BI536" s="1195" t="str">
        <f>BJ5</f>
        <v>Q1-2024</v>
      </c>
      <c r="BJ536" s="802" t="str">
        <f>BK5</f>
        <v>Q2-2024</v>
      </c>
      <c r="BK536" s="802" t="str">
        <f>BL5</f>
        <v>Q3-2024</v>
      </c>
      <c r="BL536" s="802" t="str">
        <f>BM5</f>
        <v>Q4-2024</v>
      </c>
      <c r="BM536" s="802" t="str">
        <f>BO5</f>
        <v>Q1-2025</v>
      </c>
      <c r="BN536" s="1195" t="str">
        <f>BO5</f>
        <v>Q1-2025</v>
      </c>
      <c r="BO536" s="802" t="str">
        <f>BP5</f>
        <v>Q2-2025</v>
      </c>
      <c r="BP536" s="802" t="str">
        <f>BQ5</f>
        <v>Q3-2025</v>
      </c>
      <c r="BQ536" s="802" t="str">
        <f>BR5</f>
        <v>Q4-2025</v>
      </c>
      <c r="BR536" s="802" t="str">
        <f>BT5</f>
        <v>Q1-2026</v>
      </c>
      <c r="BS536" s="1195" t="str">
        <f>BT5</f>
        <v>Q1-2026</v>
      </c>
      <c r="BT536" s="802" t="str">
        <f>BU5</f>
        <v>Q2-2026</v>
      </c>
      <c r="BU536" s="802" t="str">
        <f>BV5</f>
        <v>Q3-2026</v>
      </c>
      <c r="BV536" s="802" t="str">
        <f>BW5</f>
        <v>Q4-2026</v>
      </c>
      <c r="BW536" s="802" t="str">
        <f>BY5</f>
        <v>Q1-2027</v>
      </c>
      <c r="BX536" s="1195" t="str">
        <f>BY5</f>
        <v>Q1-2027</v>
      </c>
      <c r="BY536" s="927" t="str">
        <f>BZ5</f>
        <v>Q2-2027</v>
      </c>
      <c r="BZ536" s="802"/>
      <c r="CA536" s="802"/>
      <c r="CB536" s="802"/>
      <c r="CC536" s="1195"/>
      <c r="CD536" s="802"/>
      <c r="CE536" s="802"/>
      <c r="CF536" s="802"/>
      <c r="CG536" s="802"/>
      <c r="CH536" s="1195"/>
      <c r="CI536" s="1195"/>
      <c r="CJ536" s="1195"/>
      <c r="CK536" s="1195"/>
      <c r="CL536" s="93"/>
    </row>
    <row r="537" spans="1:90" ht="15" hidden="1" customHeight="1" outlineLevel="3" x14ac:dyDescent="0.3">
      <c r="A537" s="492" t="s">
        <v>1069</v>
      </c>
      <c r="B537" s="428"/>
      <c r="C537" s="1136"/>
      <c r="D537" s="1136"/>
      <c r="E537" s="1136"/>
      <c r="F537" s="1136"/>
      <c r="G537" s="93"/>
      <c r="H537" s="93"/>
      <c r="I537" s="93"/>
      <c r="J537" s="93"/>
      <c r="K537" s="1136"/>
      <c r="L537" s="93"/>
      <c r="M537" s="93"/>
      <c r="N537" s="93"/>
      <c r="O537" s="93"/>
      <c r="P537" s="1136"/>
      <c r="Q537" s="93"/>
      <c r="R537" s="93"/>
      <c r="S537" s="93"/>
      <c r="T537" s="93"/>
      <c r="U537" s="1136"/>
      <c r="V537" s="93"/>
      <c r="W537" s="93"/>
      <c r="X537" s="93"/>
      <c r="Y537" s="93"/>
      <c r="Z537" s="1136"/>
      <c r="AA537" s="93"/>
      <c r="AB537" s="93"/>
      <c r="AC537" s="93"/>
      <c r="AD537" s="93"/>
      <c r="AE537" s="1136"/>
      <c r="AF537" s="93"/>
      <c r="AG537" s="93"/>
      <c r="AH537" s="93">
        <f t="shared" ref="AH537:BK538" si="1360">+AH1101</f>
        <v>600</v>
      </c>
      <c r="AI537" s="93">
        <f t="shared" si="1360"/>
        <v>645</v>
      </c>
      <c r="AJ537" s="1136">
        <f t="shared" si="1360"/>
        <v>645</v>
      </c>
      <c r="AK537" s="93">
        <f t="shared" si="1360"/>
        <v>685</v>
      </c>
      <c r="AL537" s="93">
        <f t="shared" si="1360"/>
        <v>730</v>
      </c>
      <c r="AM537" s="93">
        <f t="shared" si="1360"/>
        <v>755</v>
      </c>
      <c r="AN537" s="93">
        <f t="shared" si="1360"/>
        <v>755</v>
      </c>
      <c r="AO537" s="1136">
        <f t="shared" si="1360"/>
        <v>755</v>
      </c>
      <c r="AP537" s="93">
        <f t="shared" si="1360"/>
        <v>765</v>
      </c>
      <c r="AQ537" s="93">
        <f t="shared" si="1360"/>
        <v>765</v>
      </c>
      <c r="AR537" s="93">
        <f t="shared" si="1360"/>
        <v>805</v>
      </c>
      <c r="AS537" s="93">
        <f t="shared" si="1360"/>
        <v>835</v>
      </c>
      <c r="AT537" s="1136">
        <f t="shared" si="1360"/>
        <v>835</v>
      </c>
      <c r="AU537" s="93">
        <f t="shared" si="1360"/>
        <v>1040</v>
      </c>
      <c r="AV537" s="93">
        <f t="shared" si="1360"/>
        <v>1090</v>
      </c>
      <c r="AW537" s="93">
        <f t="shared" si="1360"/>
        <v>1180</v>
      </c>
      <c r="AX537" s="93">
        <f t="shared" si="1360"/>
        <v>1200</v>
      </c>
      <c r="AY537" s="1136">
        <f t="shared" si="1360"/>
        <v>1200</v>
      </c>
      <c r="AZ537" s="93">
        <f t="shared" si="1360"/>
        <v>1260</v>
      </c>
      <c r="BA537" s="93">
        <f t="shared" si="1360"/>
        <v>1370</v>
      </c>
      <c r="BB537" s="93">
        <f t="shared" si="1360"/>
        <v>1430</v>
      </c>
      <c r="BC537" s="93">
        <f t="shared" si="1360"/>
        <v>1600</v>
      </c>
      <c r="BD537" s="1136">
        <f t="shared" si="1360"/>
        <v>1600</v>
      </c>
      <c r="BE537" s="93">
        <f t="shared" si="1360"/>
        <v>1750</v>
      </c>
      <c r="BF537" s="93">
        <f t="shared" si="1360"/>
        <v>1820</v>
      </c>
      <c r="BG537" s="93">
        <f t="shared" si="1360"/>
        <v>1780</v>
      </c>
      <c r="BH537" s="93">
        <f t="shared" si="1360"/>
        <v>1780</v>
      </c>
      <c r="BI537" s="1136">
        <f t="shared" si="1360"/>
        <v>1780</v>
      </c>
      <c r="BJ537" s="93">
        <f t="shared" si="1360"/>
        <v>1900</v>
      </c>
      <c r="BK537" s="93">
        <f t="shared" si="1360"/>
        <v>2000</v>
      </c>
      <c r="BL537" s="93">
        <f t="shared" ref="BL537:BL538" si="1361">+BL1101</f>
        <v>2200</v>
      </c>
      <c r="BM537" s="93">
        <f t="shared" ref="BM537:BO538" si="1362">+BM1101</f>
        <v>2500</v>
      </c>
      <c r="BN537" s="1136">
        <f t="shared" si="1362"/>
        <v>2500</v>
      </c>
      <c r="BO537" s="93">
        <f t="shared" si="1362"/>
        <v>2800</v>
      </c>
      <c r="BP537" s="93">
        <f t="shared" ref="BP537:BS538" si="1363">+BP1101</f>
        <v>3000</v>
      </c>
      <c r="BQ537" s="93">
        <f t="shared" si="1363"/>
        <v>3400</v>
      </c>
      <c r="BR537" s="93">
        <f t="shared" si="1363"/>
        <v>3600</v>
      </c>
      <c r="BS537" s="1136">
        <f t="shared" si="1363"/>
        <v>3600</v>
      </c>
      <c r="BT537" s="93">
        <f t="shared" ref="BT537:BV538" si="1364">+BT1101</f>
        <v>4000</v>
      </c>
      <c r="BU537" s="93">
        <f t="shared" si="1364"/>
        <v>4200</v>
      </c>
      <c r="BV537" s="93">
        <f t="shared" si="1364"/>
        <v>5000</v>
      </c>
      <c r="BW537" s="93">
        <f t="shared" ref="BW537:BY538" si="1365">+BW1101</f>
        <v>7500</v>
      </c>
      <c r="BX537" s="1136">
        <f t="shared" si="1365"/>
        <v>7500</v>
      </c>
      <c r="BY537" s="522">
        <f t="shared" si="1365"/>
        <v>8300</v>
      </c>
      <c r="BZ537" s="93"/>
      <c r="CA537" s="93"/>
      <c r="CB537" s="93"/>
      <c r="CC537" s="1136"/>
      <c r="CD537" s="93"/>
      <c r="CE537" s="93"/>
      <c r="CF537" s="93"/>
      <c r="CG537" s="93"/>
      <c r="CH537" s="1136"/>
      <c r="CI537" s="1136"/>
      <c r="CJ537" s="1136"/>
      <c r="CK537" s="1136"/>
      <c r="CL537" s="93"/>
    </row>
    <row r="538" spans="1:90" ht="15" hidden="1" customHeight="1" outlineLevel="3" x14ac:dyDescent="0.3">
      <c r="A538" s="812" t="s">
        <v>1070</v>
      </c>
      <c r="B538" s="718"/>
      <c r="C538" s="1131"/>
      <c r="D538" s="1131"/>
      <c r="E538" s="1131"/>
      <c r="F538" s="1131"/>
      <c r="G538" s="882"/>
      <c r="H538" s="882"/>
      <c r="I538" s="882"/>
      <c r="J538" s="882"/>
      <c r="K538" s="1131"/>
      <c r="L538" s="882"/>
      <c r="M538" s="882"/>
      <c r="N538" s="882"/>
      <c r="O538" s="882"/>
      <c r="P538" s="1131"/>
      <c r="Q538" s="882"/>
      <c r="R538" s="882"/>
      <c r="S538" s="882"/>
      <c r="T538" s="882"/>
      <c r="U538" s="1131"/>
      <c r="V538" s="882"/>
      <c r="W538" s="882"/>
      <c r="X538" s="882"/>
      <c r="Y538" s="882"/>
      <c r="Z538" s="1131"/>
      <c r="AA538" s="882"/>
      <c r="AB538" s="882"/>
      <c r="AC538" s="882"/>
      <c r="AD538" s="882"/>
      <c r="AE538" s="1131"/>
      <c r="AF538" s="882"/>
      <c r="AG538" s="882"/>
      <c r="AH538" s="882">
        <f t="shared" si="1360"/>
        <v>600</v>
      </c>
      <c r="AI538" s="882">
        <f t="shared" si="1360"/>
        <v>645</v>
      </c>
      <c r="AJ538" s="1131">
        <f t="shared" si="1360"/>
        <v>645</v>
      </c>
      <c r="AK538" s="882">
        <f t="shared" si="1360"/>
        <v>685</v>
      </c>
      <c r="AL538" s="882">
        <f t="shared" si="1360"/>
        <v>730</v>
      </c>
      <c r="AM538" s="882">
        <f t="shared" si="1360"/>
        <v>755</v>
      </c>
      <c r="AN538" s="882">
        <f t="shared" si="1360"/>
        <v>755</v>
      </c>
      <c r="AO538" s="1131">
        <f t="shared" si="1360"/>
        <v>755</v>
      </c>
      <c r="AP538" s="882">
        <f t="shared" si="1360"/>
        <v>765</v>
      </c>
      <c r="AQ538" s="882">
        <f t="shared" si="1360"/>
        <v>765</v>
      </c>
      <c r="AR538" s="882">
        <f t="shared" si="1360"/>
        <v>805</v>
      </c>
      <c r="AS538" s="882">
        <f t="shared" si="1360"/>
        <v>835</v>
      </c>
      <c r="AT538" s="1131">
        <f t="shared" si="1360"/>
        <v>835</v>
      </c>
      <c r="AU538" s="882">
        <f t="shared" si="1360"/>
        <v>1040</v>
      </c>
      <c r="AV538" s="882">
        <f t="shared" si="1360"/>
        <v>1090</v>
      </c>
      <c r="AW538" s="882">
        <f t="shared" si="1360"/>
        <v>1180</v>
      </c>
      <c r="AX538" s="882">
        <f t="shared" si="1360"/>
        <v>1200</v>
      </c>
      <c r="AY538" s="1131">
        <f t="shared" si="1360"/>
        <v>1200</v>
      </c>
      <c r="AZ538" s="882">
        <f t="shared" si="1360"/>
        <v>1260</v>
      </c>
      <c r="BA538" s="882">
        <f t="shared" si="1360"/>
        <v>1370</v>
      </c>
      <c r="BB538" s="882">
        <f t="shared" si="1360"/>
        <v>1430</v>
      </c>
      <c r="BC538" s="882">
        <f t="shared" si="1360"/>
        <v>1600</v>
      </c>
      <c r="BD538" s="1131">
        <f t="shared" si="1360"/>
        <v>1600</v>
      </c>
      <c r="BE538" s="882">
        <f t="shared" si="1360"/>
        <v>1750</v>
      </c>
      <c r="BF538" s="882">
        <f t="shared" si="1360"/>
        <v>1820</v>
      </c>
      <c r="BG538" s="882">
        <f t="shared" si="1360"/>
        <v>1780</v>
      </c>
      <c r="BH538" s="882">
        <f t="shared" si="1360"/>
        <v>1780</v>
      </c>
      <c r="BI538" s="1131">
        <f t="shared" si="1360"/>
        <v>1780</v>
      </c>
      <c r="BJ538" s="882">
        <f t="shared" si="1360"/>
        <v>1900</v>
      </c>
      <c r="BK538" s="882">
        <f t="shared" si="1360"/>
        <v>2000</v>
      </c>
      <c r="BL538" s="882">
        <f t="shared" si="1361"/>
        <v>2200</v>
      </c>
      <c r="BM538" s="882">
        <f t="shared" si="1362"/>
        <v>2500</v>
      </c>
      <c r="BN538" s="1131">
        <f t="shared" si="1362"/>
        <v>2500</v>
      </c>
      <c r="BO538" s="882">
        <f t="shared" si="1362"/>
        <v>2800</v>
      </c>
      <c r="BP538" s="882">
        <f t="shared" si="1363"/>
        <v>3000</v>
      </c>
      <c r="BQ538" s="882">
        <f t="shared" si="1363"/>
        <v>3400</v>
      </c>
      <c r="BR538" s="882">
        <f t="shared" si="1363"/>
        <v>3600</v>
      </c>
      <c r="BS538" s="1131">
        <f t="shared" si="1363"/>
        <v>3600</v>
      </c>
      <c r="BT538" s="882">
        <f t="shared" si="1364"/>
        <v>4000</v>
      </c>
      <c r="BU538" s="882">
        <f t="shared" si="1364"/>
        <v>4200</v>
      </c>
      <c r="BV538" s="882">
        <f t="shared" si="1364"/>
        <v>5000</v>
      </c>
      <c r="BW538" s="882">
        <f t="shared" si="1365"/>
        <v>7500</v>
      </c>
      <c r="BX538" s="1131">
        <f t="shared" si="1365"/>
        <v>7500</v>
      </c>
      <c r="BY538" s="877">
        <f t="shared" si="1365"/>
        <v>8300</v>
      </c>
      <c r="BZ538" s="882"/>
      <c r="CA538" s="882"/>
      <c r="CB538" s="882"/>
      <c r="CC538" s="1131"/>
      <c r="CD538" s="882"/>
      <c r="CE538" s="882"/>
      <c r="CF538" s="882"/>
      <c r="CG538" s="882"/>
      <c r="CH538" s="1131"/>
      <c r="CI538" s="1131"/>
      <c r="CJ538" s="1131"/>
      <c r="CK538" s="1131"/>
      <c r="CL538" s="93"/>
    </row>
    <row r="539" spans="1:90" ht="15" hidden="1" customHeight="1" outlineLevel="2" collapsed="1" x14ac:dyDescent="0.3">
      <c r="A539" s="609" t="s">
        <v>1071</v>
      </c>
      <c r="B539" s="610"/>
      <c r="C539" s="1161"/>
      <c r="D539" s="1161"/>
      <c r="E539" s="1161"/>
      <c r="F539" s="1161"/>
      <c r="G539" s="378"/>
      <c r="H539" s="378"/>
      <c r="I539" s="378"/>
      <c r="J539" s="378"/>
      <c r="K539" s="1161"/>
      <c r="L539" s="378"/>
      <c r="M539" s="378"/>
      <c r="N539" s="378"/>
      <c r="O539" s="378"/>
      <c r="P539" s="1161"/>
      <c r="Q539" s="378"/>
      <c r="R539" s="378"/>
      <c r="S539" s="378"/>
      <c r="T539" s="378"/>
      <c r="U539" s="1161"/>
      <c r="V539" s="378"/>
      <c r="W539" s="378"/>
      <c r="X539" s="378"/>
      <c r="Y539" s="378"/>
      <c r="Z539" s="1161"/>
      <c r="AA539" s="378"/>
      <c r="AB539" s="378"/>
      <c r="AC539" s="378"/>
      <c r="AD539" s="378"/>
      <c r="AE539" s="1161"/>
      <c r="AF539" s="378"/>
      <c r="AG539" s="378"/>
      <c r="AH539" s="378">
        <f t="shared" ref="AH539" si="1366">IFERROR(AVERAGE(AH537,AH538),"")</f>
        <v>600</v>
      </c>
      <c r="AI539" s="378">
        <f t="shared" ref="AI539:BL539" si="1367">IFERROR(AVERAGE(AI537,AI538),"")</f>
        <v>645</v>
      </c>
      <c r="AJ539" s="1161">
        <f t="shared" si="1367"/>
        <v>645</v>
      </c>
      <c r="AK539" s="378">
        <f t="shared" si="1367"/>
        <v>685</v>
      </c>
      <c r="AL539" s="378">
        <f t="shared" si="1367"/>
        <v>730</v>
      </c>
      <c r="AM539" s="378">
        <f t="shared" si="1367"/>
        <v>755</v>
      </c>
      <c r="AN539" s="378">
        <f t="shared" si="1367"/>
        <v>755</v>
      </c>
      <c r="AO539" s="1161">
        <f t="shared" si="1367"/>
        <v>755</v>
      </c>
      <c r="AP539" s="378">
        <f t="shared" si="1367"/>
        <v>765</v>
      </c>
      <c r="AQ539" s="378">
        <f t="shared" si="1367"/>
        <v>765</v>
      </c>
      <c r="AR539" s="378">
        <f t="shared" si="1367"/>
        <v>805</v>
      </c>
      <c r="AS539" s="378">
        <f t="shared" si="1367"/>
        <v>835</v>
      </c>
      <c r="AT539" s="1161">
        <f t="shared" si="1367"/>
        <v>835</v>
      </c>
      <c r="AU539" s="378">
        <f t="shared" si="1367"/>
        <v>1040</v>
      </c>
      <c r="AV539" s="378">
        <f t="shared" si="1367"/>
        <v>1090</v>
      </c>
      <c r="AW539" s="378">
        <f t="shared" si="1367"/>
        <v>1180</v>
      </c>
      <c r="AX539" s="378">
        <f t="shared" si="1367"/>
        <v>1200</v>
      </c>
      <c r="AY539" s="1161">
        <f t="shared" si="1367"/>
        <v>1200</v>
      </c>
      <c r="AZ539" s="378">
        <f t="shared" si="1367"/>
        <v>1260</v>
      </c>
      <c r="BA539" s="378">
        <f t="shared" si="1367"/>
        <v>1370</v>
      </c>
      <c r="BB539" s="378">
        <f t="shared" si="1367"/>
        <v>1430</v>
      </c>
      <c r="BC539" s="378">
        <f t="shared" si="1367"/>
        <v>1600</v>
      </c>
      <c r="BD539" s="1161">
        <f t="shared" si="1367"/>
        <v>1600</v>
      </c>
      <c r="BE539" s="378">
        <f t="shared" si="1367"/>
        <v>1750</v>
      </c>
      <c r="BF539" s="378">
        <f t="shared" si="1367"/>
        <v>1820</v>
      </c>
      <c r="BG539" s="378">
        <f t="shared" si="1367"/>
        <v>1780</v>
      </c>
      <c r="BH539" s="378">
        <f t="shared" si="1367"/>
        <v>1780</v>
      </c>
      <c r="BI539" s="1161">
        <f t="shared" si="1367"/>
        <v>1780</v>
      </c>
      <c r="BJ539" s="378">
        <f t="shared" si="1367"/>
        <v>1900</v>
      </c>
      <c r="BK539" s="378">
        <f t="shared" si="1367"/>
        <v>2000</v>
      </c>
      <c r="BL539" s="378">
        <f t="shared" si="1367"/>
        <v>2200</v>
      </c>
      <c r="BM539" s="378">
        <f t="shared" ref="BM539:BS539" si="1368">IFERROR(AVERAGE(BM537,BM538),"")</f>
        <v>2500</v>
      </c>
      <c r="BN539" s="1161">
        <f t="shared" si="1368"/>
        <v>2500</v>
      </c>
      <c r="BO539" s="378">
        <f t="shared" si="1368"/>
        <v>2800</v>
      </c>
      <c r="BP539" s="378">
        <f t="shared" si="1368"/>
        <v>3000</v>
      </c>
      <c r="BQ539" s="378">
        <f t="shared" si="1368"/>
        <v>3400</v>
      </c>
      <c r="BR539" s="378">
        <f t="shared" si="1368"/>
        <v>3600</v>
      </c>
      <c r="BS539" s="1161">
        <f t="shared" si="1368"/>
        <v>3600</v>
      </c>
      <c r="BT539" s="378">
        <f t="shared" ref="BT539:BY539" si="1369">IFERROR(AVERAGE(BT537,BT538),"")</f>
        <v>4000</v>
      </c>
      <c r="BU539" s="378">
        <f t="shared" si="1369"/>
        <v>4200</v>
      </c>
      <c r="BV539" s="378">
        <f t="shared" si="1369"/>
        <v>5000</v>
      </c>
      <c r="BW539" s="378">
        <f t="shared" si="1369"/>
        <v>7500</v>
      </c>
      <c r="BX539" s="1161">
        <f t="shared" si="1369"/>
        <v>7500</v>
      </c>
      <c r="BY539" s="1006">
        <f t="shared" si="1369"/>
        <v>8300</v>
      </c>
      <c r="BZ539" s="378"/>
      <c r="CA539" s="378"/>
      <c r="CB539" s="378"/>
      <c r="CC539" s="1161"/>
      <c r="CD539" s="378"/>
      <c r="CE539" s="378"/>
      <c r="CF539" s="378"/>
      <c r="CG539" s="378"/>
      <c r="CH539" s="1161"/>
      <c r="CI539" s="1161"/>
      <c r="CJ539" s="1161"/>
      <c r="CK539" s="1161"/>
      <c r="CL539" s="93"/>
    </row>
    <row r="540" spans="1:90" ht="15" hidden="1" customHeight="1" outlineLevel="2" x14ac:dyDescent="0.3">
      <c r="A540" s="492" t="s">
        <v>1072</v>
      </c>
      <c r="B540" s="428"/>
      <c r="C540" s="1136"/>
      <c r="D540" s="1136"/>
      <c r="E540" s="1136"/>
      <c r="F540" s="1136"/>
      <c r="G540" s="93"/>
      <c r="H540" s="93"/>
      <c r="I540" s="93"/>
      <c r="J540" s="93"/>
      <c r="K540" s="1136"/>
      <c r="L540" s="93"/>
      <c r="M540" s="93"/>
      <c r="N540" s="93"/>
      <c r="O540" s="93"/>
      <c r="P540" s="1136"/>
      <c r="Q540" s="93"/>
      <c r="R540" s="93"/>
      <c r="S540" s="93"/>
      <c r="T540" s="93"/>
      <c r="U540" s="1136"/>
      <c r="V540" s="93"/>
      <c r="W540" s="93"/>
      <c r="X540" s="93"/>
      <c r="Y540" s="93"/>
      <c r="Z540" s="1136"/>
      <c r="AA540" s="93"/>
      <c r="AB540" s="93"/>
      <c r="AC540" s="93"/>
      <c r="AD540" s="93"/>
      <c r="AE540" s="1136"/>
      <c r="AF540" s="93"/>
      <c r="AG540" s="93"/>
      <c r="AH540" s="93">
        <f t="shared" ref="AH540" si="1370">IFERROR(ABS(AH538-AH537),"")</f>
        <v>0</v>
      </c>
      <c r="AI540" s="93">
        <f t="shared" ref="AI540:BL540" si="1371">IFERROR(ABS(AI538-AI537),"")</f>
        <v>0</v>
      </c>
      <c r="AJ540" s="1136">
        <f t="shared" si="1371"/>
        <v>0</v>
      </c>
      <c r="AK540" s="93">
        <f t="shared" si="1371"/>
        <v>0</v>
      </c>
      <c r="AL540" s="93">
        <f t="shared" si="1371"/>
        <v>0</v>
      </c>
      <c r="AM540" s="93">
        <f t="shared" si="1371"/>
        <v>0</v>
      </c>
      <c r="AN540" s="93">
        <f t="shared" si="1371"/>
        <v>0</v>
      </c>
      <c r="AO540" s="1136">
        <f t="shared" si="1371"/>
        <v>0</v>
      </c>
      <c r="AP540" s="93">
        <f t="shared" si="1371"/>
        <v>0</v>
      </c>
      <c r="AQ540" s="93">
        <f t="shared" si="1371"/>
        <v>0</v>
      </c>
      <c r="AR540" s="93">
        <f t="shared" si="1371"/>
        <v>0</v>
      </c>
      <c r="AS540" s="93">
        <f t="shared" si="1371"/>
        <v>0</v>
      </c>
      <c r="AT540" s="1136">
        <f t="shared" si="1371"/>
        <v>0</v>
      </c>
      <c r="AU540" s="93">
        <f t="shared" si="1371"/>
        <v>0</v>
      </c>
      <c r="AV540" s="93">
        <f t="shared" si="1371"/>
        <v>0</v>
      </c>
      <c r="AW540" s="93">
        <f t="shared" si="1371"/>
        <v>0</v>
      </c>
      <c r="AX540" s="93">
        <f t="shared" si="1371"/>
        <v>0</v>
      </c>
      <c r="AY540" s="1136">
        <f t="shared" si="1371"/>
        <v>0</v>
      </c>
      <c r="AZ540" s="93">
        <f t="shared" si="1371"/>
        <v>0</v>
      </c>
      <c r="BA540" s="93">
        <f t="shared" si="1371"/>
        <v>0</v>
      </c>
      <c r="BB540" s="93">
        <f t="shared" si="1371"/>
        <v>0</v>
      </c>
      <c r="BC540" s="93">
        <f t="shared" si="1371"/>
        <v>0</v>
      </c>
      <c r="BD540" s="1136">
        <f t="shared" si="1371"/>
        <v>0</v>
      </c>
      <c r="BE540" s="93">
        <f t="shared" si="1371"/>
        <v>0</v>
      </c>
      <c r="BF540" s="93">
        <f t="shared" si="1371"/>
        <v>0</v>
      </c>
      <c r="BG540" s="93">
        <f t="shared" si="1371"/>
        <v>0</v>
      </c>
      <c r="BH540" s="93">
        <f t="shared" si="1371"/>
        <v>0</v>
      </c>
      <c r="BI540" s="1136">
        <f t="shared" si="1371"/>
        <v>0</v>
      </c>
      <c r="BJ540" s="93">
        <f t="shared" si="1371"/>
        <v>0</v>
      </c>
      <c r="BK540" s="93">
        <f t="shared" si="1371"/>
        <v>0</v>
      </c>
      <c r="BL540" s="93">
        <f t="shared" si="1371"/>
        <v>0</v>
      </c>
      <c r="BM540" s="93">
        <f t="shared" ref="BM540:BS540" si="1372">IFERROR(ABS(BM538-BM537),"")</f>
        <v>0</v>
      </c>
      <c r="BN540" s="1136">
        <f t="shared" si="1372"/>
        <v>0</v>
      </c>
      <c r="BO540" s="93">
        <f t="shared" si="1372"/>
        <v>0</v>
      </c>
      <c r="BP540" s="93">
        <f t="shared" si="1372"/>
        <v>0</v>
      </c>
      <c r="BQ540" s="93">
        <f t="shared" si="1372"/>
        <v>0</v>
      </c>
      <c r="BR540" s="93">
        <f t="shared" si="1372"/>
        <v>0</v>
      </c>
      <c r="BS540" s="1136">
        <f t="shared" si="1372"/>
        <v>0</v>
      </c>
      <c r="BT540" s="93">
        <f t="shared" ref="BT540:BY540" si="1373">IFERROR(ABS(BT538-BT537),"")</f>
        <v>0</v>
      </c>
      <c r="BU540" s="93">
        <f t="shared" si="1373"/>
        <v>0</v>
      </c>
      <c r="BV540" s="93">
        <f t="shared" si="1373"/>
        <v>0</v>
      </c>
      <c r="BW540" s="93">
        <f t="shared" si="1373"/>
        <v>0</v>
      </c>
      <c r="BX540" s="1136">
        <f t="shared" si="1373"/>
        <v>0</v>
      </c>
      <c r="BY540" s="522">
        <f t="shared" si="1373"/>
        <v>0</v>
      </c>
      <c r="BZ540" s="93"/>
      <c r="CA540" s="93"/>
      <c r="CB540" s="93"/>
      <c r="CC540" s="1136"/>
      <c r="CD540" s="93"/>
      <c r="CE540" s="93"/>
      <c r="CF540" s="93"/>
      <c r="CG540" s="93"/>
      <c r="CH540" s="1136"/>
      <c r="CI540" s="1136"/>
      <c r="CJ540" s="1136"/>
      <c r="CK540" s="1136"/>
      <c r="CL540" s="93"/>
    </row>
    <row r="541" spans="1:90" ht="15" hidden="1" customHeight="1" outlineLevel="2" x14ac:dyDescent="0.3">
      <c r="A541" s="647" t="s">
        <v>1073</v>
      </c>
      <c r="B541" s="428"/>
      <c r="C541" s="1128"/>
      <c r="D541" s="1128"/>
      <c r="E541" s="1128"/>
      <c r="F541" s="1128"/>
      <c r="G541" s="315"/>
      <c r="H541" s="315"/>
      <c r="I541" s="315"/>
      <c r="J541" s="315"/>
      <c r="K541" s="1128"/>
      <c r="L541" s="315"/>
      <c r="M541" s="315"/>
      <c r="N541" s="315"/>
      <c r="O541" s="315"/>
      <c r="P541" s="1128"/>
      <c r="Q541" s="315"/>
      <c r="R541" s="315"/>
      <c r="S541" s="315"/>
      <c r="T541" s="315"/>
      <c r="U541" s="1128"/>
      <c r="V541" s="315"/>
      <c r="W541" s="315"/>
      <c r="X541" s="315"/>
      <c r="Y541" s="315"/>
      <c r="Z541" s="1128"/>
      <c r="AA541" s="315"/>
      <c r="AB541" s="315"/>
      <c r="AC541" s="315"/>
      <c r="AD541" s="315"/>
      <c r="AE541" s="1128"/>
      <c r="AF541" s="315"/>
      <c r="AG541" s="315"/>
      <c r="AH541" s="315">
        <f t="shared" ref="AH541" si="1374">IFERROR(ABS((AH538-AH539)/AH539),"")</f>
        <v>0</v>
      </c>
      <c r="AI541" s="315">
        <f t="shared" ref="AI541:BL541" si="1375">IFERROR(ABS((AI538-AI539)/AI539),"")</f>
        <v>0</v>
      </c>
      <c r="AJ541" s="1128">
        <f t="shared" si="1375"/>
        <v>0</v>
      </c>
      <c r="AK541" s="315">
        <f t="shared" si="1375"/>
        <v>0</v>
      </c>
      <c r="AL541" s="315">
        <f t="shared" si="1375"/>
        <v>0</v>
      </c>
      <c r="AM541" s="315">
        <f t="shared" si="1375"/>
        <v>0</v>
      </c>
      <c r="AN541" s="315">
        <f t="shared" si="1375"/>
        <v>0</v>
      </c>
      <c r="AO541" s="1128">
        <f t="shared" si="1375"/>
        <v>0</v>
      </c>
      <c r="AP541" s="315">
        <f t="shared" si="1375"/>
        <v>0</v>
      </c>
      <c r="AQ541" s="315">
        <f t="shared" si="1375"/>
        <v>0</v>
      </c>
      <c r="AR541" s="315">
        <f t="shared" si="1375"/>
        <v>0</v>
      </c>
      <c r="AS541" s="315">
        <f t="shared" si="1375"/>
        <v>0</v>
      </c>
      <c r="AT541" s="1128">
        <f t="shared" si="1375"/>
        <v>0</v>
      </c>
      <c r="AU541" s="315">
        <f t="shared" si="1375"/>
        <v>0</v>
      </c>
      <c r="AV541" s="315">
        <f t="shared" si="1375"/>
        <v>0</v>
      </c>
      <c r="AW541" s="315">
        <f t="shared" si="1375"/>
        <v>0</v>
      </c>
      <c r="AX541" s="315">
        <f t="shared" si="1375"/>
        <v>0</v>
      </c>
      <c r="AY541" s="1128">
        <f t="shared" si="1375"/>
        <v>0</v>
      </c>
      <c r="AZ541" s="315">
        <f t="shared" si="1375"/>
        <v>0</v>
      </c>
      <c r="BA541" s="315">
        <f t="shared" si="1375"/>
        <v>0</v>
      </c>
      <c r="BB541" s="315">
        <f t="shared" si="1375"/>
        <v>0</v>
      </c>
      <c r="BC541" s="315">
        <f t="shared" si="1375"/>
        <v>0</v>
      </c>
      <c r="BD541" s="1128">
        <f t="shared" si="1375"/>
        <v>0</v>
      </c>
      <c r="BE541" s="315">
        <f t="shared" si="1375"/>
        <v>0</v>
      </c>
      <c r="BF541" s="315">
        <f t="shared" si="1375"/>
        <v>0</v>
      </c>
      <c r="BG541" s="315">
        <f t="shared" si="1375"/>
        <v>0</v>
      </c>
      <c r="BH541" s="315">
        <f t="shared" si="1375"/>
        <v>0</v>
      </c>
      <c r="BI541" s="1128">
        <f t="shared" si="1375"/>
        <v>0</v>
      </c>
      <c r="BJ541" s="315">
        <f t="shared" si="1375"/>
        <v>0</v>
      </c>
      <c r="BK541" s="315">
        <f t="shared" si="1375"/>
        <v>0</v>
      </c>
      <c r="BL541" s="315">
        <f t="shared" si="1375"/>
        <v>0</v>
      </c>
      <c r="BM541" s="315">
        <f t="shared" ref="BM541:BS541" si="1376">IFERROR(ABS((BM538-BM539)/BM539),"")</f>
        <v>0</v>
      </c>
      <c r="BN541" s="1128">
        <f t="shared" si="1376"/>
        <v>0</v>
      </c>
      <c r="BO541" s="315">
        <f t="shared" si="1376"/>
        <v>0</v>
      </c>
      <c r="BP541" s="315">
        <f t="shared" si="1376"/>
        <v>0</v>
      </c>
      <c r="BQ541" s="315">
        <f t="shared" si="1376"/>
        <v>0</v>
      </c>
      <c r="BR541" s="315">
        <f t="shared" si="1376"/>
        <v>0</v>
      </c>
      <c r="BS541" s="1128">
        <f t="shared" si="1376"/>
        <v>0</v>
      </c>
      <c r="BT541" s="315">
        <f t="shared" ref="BT541:BY541" si="1377">IFERROR(ABS((BT538-BT539)/BT539),"")</f>
        <v>0</v>
      </c>
      <c r="BU541" s="315">
        <f t="shared" si="1377"/>
        <v>0</v>
      </c>
      <c r="BV541" s="315">
        <f t="shared" si="1377"/>
        <v>0</v>
      </c>
      <c r="BW541" s="315">
        <f t="shared" si="1377"/>
        <v>0</v>
      </c>
      <c r="BX541" s="1128">
        <f t="shared" si="1377"/>
        <v>0</v>
      </c>
      <c r="BY541" s="897">
        <f t="shared" si="1377"/>
        <v>0</v>
      </c>
      <c r="BZ541" s="315"/>
      <c r="CA541" s="315"/>
      <c r="CB541" s="315"/>
      <c r="CC541" s="1128"/>
      <c r="CD541" s="315"/>
      <c r="CE541" s="315"/>
      <c r="CF541" s="315"/>
      <c r="CG541" s="315"/>
      <c r="CH541" s="1128"/>
      <c r="CI541" s="1128"/>
      <c r="CJ541" s="1128"/>
      <c r="CK541" s="1128"/>
      <c r="CL541" s="93"/>
    </row>
    <row r="542" spans="1:90" ht="15" hidden="1" customHeight="1" outlineLevel="2" x14ac:dyDescent="0.3">
      <c r="A542" s="799"/>
      <c r="B542" s="428"/>
      <c r="C542" s="1136"/>
      <c r="D542" s="1136"/>
      <c r="E542" s="1136"/>
      <c r="F542" s="1136"/>
      <c r="G542" s="93"/>
      <c r="H542" s="93"/>
      <c r="I542" s="93"/>
      <c r="J542" s="93"/>
      <c r="K542" s="1136"/>
      <c r="L542" s="93"/>
      <c r="M542" s="93"/>
      <c r="N542" s="93"/>
      <c r="O542" s="93"/>
      <c r="P542" s="1136"/>
      <c r="Q542" s="93"/>
      <c r="R542" s="93"/>
      <c r="S542" s="93"/>
      <c r="T542" s="93"/>
      <c r="U542" s="1136"/>
      <c r="V542" s="93"/>
      <c r="W542" s="93"/>
      <c r="X542" s="93"/>
      <c r="Y542" s="93"/>
      <c r="Z542" s="1136"/>
      <c r="AA542" s="93"/>
      <c r="AB542" s="93"/>
      <c r="AC542" s="93"/>
      <c r="AD542" s="93"/>
      <c r="AE542" s="1136"/>
      <c r="AF542" s="93"/>
      <c r="AG542" s="93"/>
      <c r="AH542" s="93"/>
      <c r="AI542" s="93"/>
      <c r="AJ542" s="1136"/>
      <c r="AK542" s="93"/>
      <c r="AL542" s="93"/>
      <c r="AM542" s="93"/>
      <c r="AN542" s="93"/>
      <c r="AO542" s="1136"/>
      <c r="AP542" s="93"/>
      <c r="AQ542" s="93"/>
      <c r="AR542" s="93"/>
      <c r="AS542" s="93"/>
      <c r="AT542" s="1136"/>
      <c r="AU542" s="93"/>
      <c r="AV542" s="93"/>
      <c r="AW542" s="93"/>
      <c r="AX542" s="93"/>
      <c r="AY542" s="1136"/>
      <c r="AZ542" s="93"/>
      <c r="BA542" s="93"/>
      <c r="BB542" s="93"/>
      <c r="BC542" s="93"/>
      <c r="BD542" s="1136"/>
      <c r="BE542" s="93"/>
      <c r="BF542" s="93"/>
      <c r="BG542" s="93"/>
      <c r="BH542" s="93"/>
      <c r="BI542" s="1136"/>
      <c r="BJ542" s="93"/>
      <c r="BK542" s="93"/>
      <c r="BL542" s="93"/>
      <c r="BM542" s="93"/>
      <c r="BN542" s="1136"/>
      <c r="BO542" s="93"/>
      <c r="BP542" s="93"/>
      <c r="BQ542" s="93"/>
      <c r="BR542" s="93"/>
      <c r="BS542" s="1136"/>
      <c r="BT542" s="93"/>
      <c r="BU542" s="93"/>
      <c r="BV542" s="93"/>
      <c r="BW542" s="93"/>
      <c r="BX542" s="1136"/>
      <c r="BY542" s="522"/>
      <c r="BZ542" s="93"/>
      <c r="CA542" s="93"/>
      <c r="CB542" s="93"/>
      <c r="CC542" s="1136"/>
      <c r="CD542" s="93"/>
      <c r="CE542" s="93"/>
      <c r="CF542" s="93"/>
      <c r="CG542" s="93"/>
      <c r="CH542" s="1136"/>
      <c r="CI542" s="1136"/>
      <c r="CJ542" s="1136"/>
      <c r="CK542" s="1136"/>
      <c r="CL542" s="93"/>
    </row>
    <row r="543" spans="1:90" ht="15" hidden="1" customHeight="1" outlineLevel="2" x14ac:dyDescent="0.3">
      <c r="A543" s="803" t="s">
        <v>969</v>
      </c>
      <c r="B543" s="801"/>
      <c r="C543" s="1195"/>
      <c r="D543" s="1195"/>
      <c r="E543" s="1195"/>
      <c r="F543" s="1195"/>
      <c r="G543" s="802"/>
      <c r="H543" s="802"/>
      <c r="I543" s="802"/>
      <c r="J543" s="802"/>
      <c r="K543" s="1195"/>
      <c r="L543" s="802"/>
      <c r="M543" s="802"/>
      <c r="N543" s="802"/>
      <c r="O543" s="802"/>
      <c r="P543" s="1195"/>
      <c r="Q543" s="802"/>
      <c r="R543" s="802"/>
      <c r="S543" s="802"/>
      <c r="T543" s="802"/>
      <c r="U543" s="1195"/>
      <c r="V543" s="802"/>
      <c r="W543" s="802"/>
      <c r="X543" s="802"/>
      <c r="Y543" s="802"/>
      <c r="Z543" s="1195"/>
      <c r="AA543" s="802"/>
      <c r="AB543" s="802"/>
      <c r="AC543" s="802"/>
      <c r="AD543" s="802"/>
      <c r="AE543" s="1195"/>
      <c r="AF543" s="802"/>
      <c r="AG543" s="802"/>
      <c r="AH543" s="802" t="str">
        <f>AJ5</f>
        <v>FY2018</v>
      </c>
      <c r="AI543" s="802" t="str">
        <f>AO5</f>
        <v>FY2019</v>
      </c>
      <c r="AJ543" s="1195" t="str">
        <f>AO5</f>
        <v>FY2019</v>
      </c>
      <c r="AK543" s="802" t="str">
        <f>AO5</f>
        <v>FY2019</v>
      </c>
      <c r="AL543" s="802" t="str">
        <f>AO5</f>
        <v>FY2019</v>
      </c>
      <c r="AM543" s="802" t="str">
        <f>AO5</f>
        <v>FY2019</v>
      </c>
      <c r="AN543" s="802" t="str">
        <f>AT5</f>
        <v>FY2020</v>
      </c>
      <c r="AO543" s="1195" t="str">
        <f>AT5</f>
        <v>FY2020</v>
      </c>
      <c r="AP543" s="802" t="str">
        <f>AT5</f>
        <v>FY2020</v>
      </c>
      <c r="AQ543" s="802" t="str">
        <f>AT5</f>
        <v>FY2020</v>
      </c>
      <c r="AR543" s="802" t="str">
        <f>AT5</f>
        <v>FY2020</v>
      </c>
      <c r="AS543" s="802" t="str">
        <f>AY5</f>
        <v>FY2021</v>
      </c>
      <c r="AT543" s="1195" t="str">
        <f>AY5</f>
        <v>FY2021</v>
      </c>
      <c r="AU543" s="802" t="str">
        <f>AY5</f>
        <v>FY2021</v>
      </c>
      <c r="AV543" s="802" t="str">
        <f>AY5</f>
        <v>FY2021</v>
      </c>
      <c r="AW543" s="802" t="str">
        <f>AY5</f>
        <v>FY2021</v>
      </c>
      <c r="AX543" s="802" t="str">
        <f>BD5</f>
        <v>FY2022</v>
      </c>
      <c r="AY543" s="1195" t="str">
        <f>BD5</f>
        <v>FY2022</v>
      </c>
      <c r="AZ543" s="802" t="str">
        <f>BD5</f>
        <v>FY2022</v>
      </c>
      <c r="BA543" s="802" t="str">
        <f>BD5</f>
        <v>FY2022</v>
      </c>
      <c r="BB543" s="802" t="str">
        <f>BD5</f>
        <v>FY2022</v>
      </c>
      <c r="BC543" s="802" t="str">
        <f>BI5</f>
        <v>FY2023</v>
      </c>
      <c r="BD543" s="1195" t="str">
        <f>BI5</f>
        <v>FY2023</v>
      </c>
      <c r="BE543" s="802" t="str">
        <f>BI5</f>
        <v>FY2023</v>
      </c>
      <c r="BF543" s="802" t="str">
        <f>BI5</f>
        <v>FY2023</v>
      </c>
      <c r="BG543" s="802" t="str">
        <f>BI5</f>
        <v>FY2023</v>
      </c>
      <c r="BH543" s="802" t="str">
        <f>BN5</f>
        <v>FY2024</v>
      </c>
      <c r="BI543" s="1195" t="str">
        <f>BN5</f>
        <v>FY2024</v>
      </c>
      <c r="BJ543" s="802" t="str">
        <f>BN5</f>
        <v>FY2024</v>
      </c>
      <c r="BK543" s="802" t="str">
        <f>BN5</f>
        <v>FY2024</v>
      </c>
      <c r="BL543" s="802" t="str">
        <f>BN5</f>
        <v>FY2024</v>
      </c>
      <c r="BM543" s="802" t="str">
        <f>BS5</f>
        <v>FY2025</v>
      </c>
      <c r="BN543" s="1195" t="str">
        <f>BS5</f>
        <v>FY2025</v>
      </c>
      <c r="BO543" s="802" t="str">
        <f>BS5</f>
        <v>FY2025</v>
      </c>
      <c r="BP543" s="802" t="str">
        <f>BS5</f>
        <v>FY2025</v>
      </c>
      <c r="BQ543" s="802" t="str">
        <f>BS5</f>
        <v>FY2025</v>
      </c>
      <c r="BR543" s="802" t="str">
        <f>BX5</f>
        <v>FY2026</v>
      </c>
      <c r="BS543" s="1195" t="str">
        <f>BX5</f>
        <v>FY2026</v>
      </c>
      <c r="BT543" s="802" t="str">
        <f>BX5</f>
        <v>FY2026</v>
      </c>
      <c r="BU543" s="802" t="str">
        <f>BX5</f>
        <v>FY2026</v>
      </c>
      <c r="BV543" s="802" t="str">
        <f>BX5</f>
        <v>FY2026</v>
      </c>
      <c r="BW543" s="802" t="str">
        <f>CC5</f>
        <v>FY2027</v>
      </c>
      <c r="BX543" s="1195" t="str">
        <f>CC5</f>
        <v>FY2027</v>
      </c>
      <c r="BY543" s="927" t="str">
        <f>CC5</f>
        <v>FY2027</v>
      </c>
      <c r="BZ543" s="802"/>
      <c r="CA543" s="802"/>
      <c r="CB543" s="802"/>
      <c r="CC543" s="1195"/>
      <c r="CD543" s="802"/>
      <c r="CE543" s="802"/>
      <c r="CF543" s="802"/>
      <c r="CG543" s="802"/>
      <c r="CH543" s="1195"/>
      <c r="CI543" s="1195"/>
      <c r="CJ543" s="1195"/>
      <c r="CK543" s="1195"/>
      <c r="CL543" s="93"/>
    </row>
    <row r="544" spans="1:90" ht="15" hidden="1" customHeight="1" outlineLevel="3" x14ac:dyDescent="0.3">
      <c r="A544" s="492" t="s">
        <v>1074</v>
      </c>
      <c r="B544" s="428"/>
      <c r="C544" s="1136"/>
      <c r="D544" s="1136"/>
      <c r="E544" s="1136"/>
      <c r="F544" s="1136"/>
      <c r="G544" s="93"/>
      <c r="H544" s="93"/>
      <c r="I544" s="93"/>
      <c r="J544" s="93"/>
      <c r="K544" s="1136"/>
      <c r="L544" s="93"/>
      <c r="M544" s="93"/>
      <c r="N544" s="93"/>
      <c r="O544" s="93"/>
      <c r="P544" s="1136"/>
      <c r="Q544" s="93"/>
      <c r="R544" s="93"/>
      <c r="S544" s="93"/>
      <c r="T544" s="93"/>
      <c r="U544" s="1136"/>
      <c r="V544" s="93"/>
      <c r="W544" s="93"/>
      <c r="X544" s="93"/>
      <c r="Y544" s="93"/>
      <c r="Z544" s="1136"/>
      <c r="AA544" s="93"/>
      <c r="AB544" s="93"/>
      <c r="AC544" s="93"/>
      <c r="AD544" s="93"/>
      <c r="AE544" s="1136"/>
      <c r="AF544" s="93"/>
      <c r="AG544" s="93"/>
      <c r="AH544" s="93"/>
      <c r="AI544" s="93"/>
      <c r="AJ544" s="1136"/>
      <c r="AK544" s="93"/>
      <c r="AL544" s="93"/>
      <c r="AM544" s="93"/>
      <c r="AN544" s="93"/>
      <c r="AO544" s="1136"/>
      <c r="AP544" s="93"/>
      <c r="AQ544" s="93"/>
      <c r="AR544" s="93"/>
      <c r="AS544" s="93"/>
      <c r="AT544" s="1136"/>
      <c r="AU544" s="93">
        <f t="shared" ref="AU544" si="1378">+AU1119</f>
        <v>4100</v>
      </c>
      <c r="AV544" s="93"/>
      <c r="AW544" s="93"/>
      <c r="AX544" s="93"/>
      <c r="AY544" s="1136"/>
      <c r="AZ544" s="93"/>
      <c r="BA544" s="93"/>
      <c r="BB544" s="93"/>
      <c r="BC544" s="93"/>
      <c r="BD544" s="1136"/>
      <c r="BE544" s="93"/>
      <c r="BF544" s="93"/>
      <c r="BG544" s="93"/>
      <c r="BH544" s="93"/>
      <c r="BI544" s="1136"/>
      <c r="BJ544" s="93"/>
      <c r="BK544" s="93"/>
      <c r="BL544" s="93"/>
      <c r="BM544" s="93"/>
      <c r="BN544" s="1136"/>
      <c r="BO544" s="93"/>
      <c r="BP544" s="93"/>
      <c r="BQ544" s="93"/>
      <c r="BR544" s="93"/>
      <c r="BS544" s="1136"/>
      <c r="BT544" s="93"/>
      <c r="BU544" s="93"/>
      <c r="BV544" s="93"/>
      <c r="BW544" s="93"/>
      <c r="BX544" s="1136"/>
      <c r="BY544" s="522"/>
      <c r="BZ544" s="93"/>
      <c r="CA544" s="93"/>
      <c r="CB544" s="93"/>
      <c r="CC544" s="1136"/>
      <c r="CD544" s="93"/>
      <c r="CE544" s="93"/>
      <c r="CF544" s="93"/>
      <c r="CG544" s="93"/>
      <c r="CH544" s="1136"/>
      <c r="CI544" s="1136"/>
      <c r="CJ544" s="1136"/>
      <c r="CK544" s="1136"/>
      <c r="CL544" s="93"/>
    </row>
    <row r="545" spans="1:90" ht="15" hidden="1" customHeight="1" outlineLevel="3" x14ac:dyDescent="0.3">
      <c r="A545" s="812" t="s">
        <v>1075</v>
      </c>
      <c r="B545" s="718"/>
      <c r="C545" s="1131"/>
      <c r="D545" s="1131"/>
      <c r="E545" s="1131"/>
      <c r="F545" s="1131"/>
      <c r="G545" s="882"/>
      <c r="H545" s="882"/>
      <c r="I545" s="882"/>
      <c r="J545" s="882"/>
      <c r="K545" s="1131"/>
      <c r="L545" s="882"/>
      <c r="M545" s="882"/>
      <c r="N545" s="882"/>
      <c r="O545" s="882"/>
      <c r="P545" s="1131"/>
      <c r="Q545" s="882"/>
      <c r="R545" s="882"/>
      <c r="S545" s="882"/>
      <c r="T545" s="882"/>
      <c r="U545" s="1131"/>
      <c r="V545" s="882"/>
      <c r="W545" s="882"/>
      <c r="X545" s="882"/>
      <c r="Y545" s="882"/>
      <c r="Z545" s="1131"/>
      <c r="AA545" s="882"/>
      <c r="AB545" s="882"/>
      <c r="AC545" s="882"/>
      <c r="AD545" s="882"/>
      <c r="AE545" s="1131"/>
      <c r="AF545" s="882"/>
      <c r="AG545" s="882"/>
      <c r="AH545" s="882"/>
      <c r="AI545" s="882"/>
      <c r="AJ545" s="1131"/>
      <c r="AK545" s="882"/>
      <c r="AL545" s="882"/>
      <c r="AM545" s="882"/>
      <c r="AN545" s="882"/>
      <c r="AO545" s="1131"/>
      <c r="AP545" s="882"/>
      <c r="AQ545" s="882"/>
      <c r="AR545" s="882"/>
      <c r="AS545" s="882"/>
      <c r="AT545" s="1131"/>
      <c r="AU545" s="882">
        <f t="shared" ref="AU545" si="1379">+AU1120</f>
        <v>4100</v>
      </c>
      <c r="AV545" s="882"/>
      <c r="AW545" s="882"/>
      <c r="AX545" s="882"/>
      <c r="AY545" s="1131"/>
      <c r="AZ545" s="882"/>
      <c r="BA545" s="882"/>
      <c r="BB545" s="882"/>
      <c r="BC545" s="882"/>
      <c r="BD545" s="1131"/>
      <c r="BE545" s="882"/>
      <c r="BF545" s="882"/>
      <c r="BG545" s="882"/>
      <c r="BH545" s="882"/>
      <c r="BI545" s="1131"/>
      <c r="BJ545" s="882"/>
      <c r="BK545" s="882"/>
      <c r="BL545" s="882"/>
      <c r="BM545" s="882"/>
      <c r="BN545" s="1131"/>
      <c r="BO545" s="882"/>
      <c r="BP545" s="882"/>
      <c r="BQ545" s="882"/>
      <c r="BR545" s="882"/>
      <c r="BS545" s="1131"/>
      <c r="BT545" s="882"/>
      <c r="BU545" s="882"/>
      <c r="BV545" s="882"/>
      <c r="BW545" s="882"/>
      <c r="BX545" s="1131"/>
      <c r="BY545" s="877"/>
      <c r="BZ545" s="882"/>
      <c r="CA545" s="882"/>
      <c r="CB545" s="882"/>
      <c r="CC545" s="1131"/>
      <c r="CD545" s="882"/>
      <c r="CE545" s="882"/>
      <c r="CF545" s="882"/>
      <c r="CG545" s="882"/>
      <c r="CH545" s="1131"/>
      <c r="CI545" s="1131"/>
      <c r="CJ545" s="1131"/>
      <c r="CK545" s="1131"/>
      <c r="CL545" s="93"/>
    </row>
    <row r="546" spans="1:90" ht="15" hidden="1" customHeight="1" outlineLevel="2" collapsed="1" x14ac:dyDescent="0.3">
      <c r="A546" s="609" t="s">
        <v>1076</v>
      </c>
      <c r="B546" s="610"/>
      <c r="C546" s="1161"/>
      <c r="D546" s="1161"/>
      <c r="E546" s="1161"/>
      <c r="F546" s="1161"/>
      <c r="G546" s="378"/>
      <c r="H546" s="378"/>
      <c r="I546" s="378"/>
      <c r="J546" s="378"/>
      <c r="K546" s="1161"/>
      <c r="L546" s="378"/>
      <c r="M546" s="378"/>
      <c r="N546" s="378"/>
      <c r="O546" s="378"/>
      <c r="P546" s="1161"/>
      <c r="Q546" s="378"/>
      <c r="R546" s="378"/>
      <c r="S546" s="378"/>
      <c r="T546" s="378"/>
      <c r="U546" s="1161"/>
      <c r="V546" s="378"/>
      <c r="W546" s="378"/>
      <c r="X546" s="378"/>
      <c r="Y546" s="378"/>
      <c r="Z546" s="1161"/>
      <c r="AA546" s="378"/>
      <c r="AB546" s="378"/>
      <c r="AC546" s="378"/>
      <c r="AD546" s="378"/>
      <c r="AE546" s="1161"/>
      <c r="AF546" s="378"/>
      <c r="AG546" s="378"/>
      <c r="AH546" s="378" t="str">
        <f t="shared" ref="AH546" si="1380">IFERROR(AVERAGE(AH544,AH545),"")</f>
        <v/>
      </c>
      <c r="AI546" s="378" t="str">
        <f t="shared" ref="AI546:BL546" si="1381">IFERROR(AVERAGE(AI544,AI545),"")</f>
        <v/>
      </c>
      <c r="AJ546" s="1161" t="str">
        <f t="shared" si="1381"/>
        <v/>
      </c>
      <c r="AK546" s="378" t="str">
        <f t="shared" si="1381"/>
        <v/>
      </c>
      <c r="AL546" s="378" t="str">
        <f t="shared" si="1381"/>
        <v/>
      </c>
      <c r="AM546" s="378" t="str">
        <f t="shared" si="1381"/>
        <v/>
      </c>
      <c r="AN546" s="378" t="str">
        <f t="shared" si="1381"/>
        <v/>
      </c>
      <c r="AO546" s="1161" t="str">
        <f t="shared" si="1381"/>
        <v/>
      </c>
      <c r="AP546" s="378" t="str">
        <f t="shared" si="1381"/>
        <v/>
      </c>
      <c r="AQ546" s="378" t="str">
        <f t="shared" si="1381"/>
        <v/>
      </c>
      <c r="AR546" s="378" t="str">
        <f t="shared" si="1381"/>
        <v/>
      </c>
      <c r="AS546" s="378" t="str">
        <f t="shared" si="1381"/>
        <v/>
      </c>
      <c r="AT546" s="1161" t="str">
        <f t="shared" si="1381"/>
        <v/>
      </c>
      <c r="AU546" s="378">
        <f t="shared" si="1381"/>
        <v>4100</v>
      </c>
      <c r="AV546" s="378" t="str">
        <f t="shared" si="1381"/>
        <v/>
      </c>
      <c r="AW546" s="378" t="str">
        <f t="shared" si="1381"/>
        <v/>
      </c>
      <c r="AX546" s="378" t="str">
        <f t="shared" si="1381"/>
        <v/>
      </c>
      <c r="AY546" s="1161" t="str">
        <f t="shared" si="1381"/>
        <v/>
      </c>
      <c r="AZ546" s="378" t="str">
        <f t="shared" si="1381"/>
        <v/>
      </c>
      <c r="BA546" s="378" t="str">
        <f t="shared" si="1381"/>
        <v/>
      </c>
      <c r="BB546" s="378" t="str">
        <f t="shared" si="1381"/>
        <v/>
      </c>
      <c r="BC546" s="378" t="str">
        <f t="shared" si="1381"/>
        <v/>
      </c>
      <c r="BD546" s="1161" t="str">
        <f t="shared" si="1381"/>
        <v/>
      </c>
      <c r="BE546" s="378" t="str">
        <f t="shared" si="1381"/>
        <v/>
      </c>
      <c r="BF546" s="378" t="str">
        <f t="shared" si="1381"/>
        <v/>
      </c>
      <c r="BG546" s="378" t="str">
        <f t="shared" si="1381"/>
        <v/>
      </c>
      <c r="BH546" s="378" t="str">
        <f t="shared" si="1381"/>
        <v/>
      </c>
      <c r="BI546" s="1161" t="str">
        <f t="shared" si="1381"/>
        <v/>
      </c>
      <c r="BJ546" s="378" t="str">
        <f t="shared" si="1381"/>
        <v/>
      </c>
      <c r="BK546" s="378" t="str">
        <f t="shared" si="1381"/>
        <v/>
      </c>
      <c r="BL546" s="378" t="str">
        <f t="shared" si="1381"/>
        <v/>
      </c>
      <c r="BM546" s="378" t="str">
        <f t="shared" ref="BM546:BS546" si="1382">IFERROR(AVERAGE(BM544,BM545),"")</f>
        <v/>
      </c>
      <c r="BN546" s="1161" t="str">
        <f t="shared" si="1382"/>
        <v/>
      </c>
      <c r="BO546" s="378" t="str">
        <f t="shared" si="1382"/>
        <v/>
      </c>
      <c r="BP546" s="378" t="str">
        <f t="shared" si="1382"/>
        <v/>
      </c>
      <c r="BQ546" s="378" t="str">
        <f t="shared" si="1382"/>
        <v/>
      </c>
      <c r="BR546" s="378" t="str">
        <f t="shared" si="1382"/>
        <v/>
      </c>
      <c r="BS546" s="1161" t="str">
        <f t="shared" si="1382"/>
        <v/>
      </c>
      <c r="BT546" s="378" t="str">
        <f t="shared" ref="BT546:BY546" si="1383">IFERROR(AVERAGE(BT544,BT545),"")</f>
        <v/>
      </c>
      <c r="BU546" s="378" t="str">
        <f t="shared" si="1383"/>
        <v/>
      </c>
      <c r="BV546" s="378" t="str">
        <f t="shared" si="1383"/>
        <v/>
      </c>
      <c r="BW546" s="378" t="str">
        <f t="shared" si="1383"/>
        <v/>
      </c>
      <c r="BX546" s="1161" t="str">
        <f t="shared" si="1383"/>
        <v/>
      </c>
      <c r="BY546" s="1006" t="str">
        <f t="shared" si="1383"/>
        <v/>
      </c>
      <c r="BZ546" s="378"/>
      <c r="CA546" s="378"/>
      <c r="CB546" s="378"/>
      <c r="CC546" s="1161"/>
      <c r="CD546" s="378"/>
      <c r="CE546" s="378"/>
      <c r="CF546" s="378"/>
      <c r="CG546" s="378"/>
      <c r="CH546" s="1161"/>
      <c r="CI546" s="1161"/>
      <c r="CJ546" s="1161"/>
      <c r="CK546" s="1161"/>
      <c r="CL546" s="93"/>
    </row>
    <row r="547" spans="1:90" ht="15" hidden="1" customHeight="1" outlineLevel="2" x14ac:dyDescent="0.3">
      <c r="A547" s="492" t="s">
        <v>1077</v>
      </c>
      <c r="B547" s="428"/>
      <c r="C547" s="1136"/>
      <c r="D547" s="1136"/>
      <c r="E547" s="1136"/>
      <c r="F547" s="1136"/>
      <c r="G547" s="93"/>
      <c r="H547" s="93"/>
      <c r="I547" s="93"/>
      <c r="J547" s="93"/>
      <c r="K547" s="1136"/>
      <c r="L547" s="93"/>
      <c r="M547" s="93"/>
      <c r="N547" s="93"/>
      <c r="O547" s="93"/>
      <c r="P547" s="1136"/>
      <c r="Q547" s="93"/>
      <c r="R547" s="93"/>
      <c r="S547" s="93"/>
      <c r="T547" s="93"/>
      <c r="U547" s="1136"/>
      <c r="V547" s="93"/>
      <c r="W547" s="93"/>
      <c r="X547" s="93"/>
      <c r="Y547" s="93"/>
      <c r="Z547" s="1136"/>
      <c r="AA547" s="93"/>
      <c r="AB547" s="93"/>
      <c r="AC547" s="93"/>
      <c r="AD547" s="93"/>
      <c r="AE547" s="1136"/>
      <c r="AF547" s="93"/>
      <c r="AG547" s="93"/>
      <c r="AH547" s="93"/>
      <c r="AI547" s="93"/>
      <c r="AJ547" s="1136"/>
      <c r="AK547" s="93"/>
      <c r="AL547" s="93"/>
      <c r="AM547" s="93"/>
      <c r="AN547" s="93"/>
      <c r="AO547" s="1136"/>
      <c r="AP547" s="93"/>
      <c r="AQ547" s="93"/>
      <c r="AR547" s="93"/>
      <c r="AS547" s="93"/>
      <c r="AT547" s="1136"/>
      <c r="AU547" s="93">
        <f t="shared" ref="AU547:BL547" si="1384">IFERROR(ABS(AU545-AU544),"")</f>
        <v>0</v>
      </c>
      <c r="AV547" s="93">
        <f t="shared" si="1384"/>
        <v>0</v>
      </c>
      <c r="AW547" s="93">
        <f t="shared" si="1384"/>
        <v>0</v>
      </c>
      <c r="AX547" s="93">
        <f t="shared" si="1384"/>
        <v>0</v>
      </c>
      <c r="AY547" s="1136">
        <f t="shared" si="1384"/>
        <v>0</v>
      </c>
      <c r="AZ547" s="93">
        <f t="shared" si="1384"/>
        <v>0</v>
      </c>
      <c r="BA547" s="93">
        <f t="shared" si="1384"/>
        <v>0</v>
      </c>
      <c r="BB547" s="93">
        <f t="shared" si="1384"/>
        <v>0</v>
      </c>
      <c r="BC547" s="93">
        <f t="shared" si="1384"/>
        <v>0</v>
      </c>
      <c r="BD547" s="1136">
        <f t="shared" si="1384"/>
        <v>0</v>
      </c>
      <c r="BE547" s="93">
        <f t="shared" si="1384"/>
        <v>0</v>
      </c>
      <c r="BF547" s="93">
        <f t="shared" si="1384"/>
        <v>0</v>
      </c>
      <c r="BG547" s="93">
        <f t="shared" si="1384"/>
        <v>0</v>
      </c>
      <c r="BH547" s="93">
        <f t="shared" si="1384"/>
        <v>0</v>
      </c>
      <c r="BI547" s="1136">
        <f t="shared" si="1384"/>
        <v>0</v>
      </c>
      <c r="BJ547" s="93">
        <f t="shared" si="1384"/>
        <v>0</v>
      </c>
      <c r="BK547" s="93">
        <f t="shared" si="1384"/>
        <v>0</v>
      </c>
      <c r="BL547" s="93">
        <f t="shared" si="1384"/>
        <v>0</v>
      </c>
      <c r="BM547" s="93">
        <f t="shared" ref="BM547:BS547" si="1385">IFERROR(ABS(BM545-BM544),"")</f>
        <v>0</v>
      </c>
      <c r="BN547" s="1136">
        <f t="shared" si="1385"/>
        <v>0</v>
      </c>
      <c r="BO547" s="93">
        <f t="shared" si="1385"/>
        <v>0</v>
      </c>
      <c r="BP547" s="93">
        <f t="shared" si="1385"/>
        <v>0</v>
      </c>
      <c r="BQ547" s="93">
        <f t="shared" si="1385"/>
        <v>0</v>
      </c>
      <c r="BR547" s="93">
        <f t="shared" si="1385"/>
        <v>0</v>
      </c>
      <c r="BS547" s="1136">
        <f t="shared" si="1385"/>
        <v>0</v>
      </c>
      <c r="BT547" s="93">
        <f t="shared" ref="BT547:BY547" si="1386">IFERROR(ABS(BT545-BT544),"")</f>
        <v>0</v>
      </c>
      <c r="BU547" s="93">
        <f t="shared" si="1386"/>
        <v>0</v>
      </c>
      <c r="BV547" s="93">
        <f t="shared" si="1386"/>
        <v>0</v>
      </c>
      <c r="BW547" s="93">
        <f t="shared" si="1386"/>
        <v>0</v>
      </c>
      <c r="BX547" s="1136">
        <f t="shared" si="1386"/>
        <v>0</v>
      </c>
      <c r="BY547" s="522">
        <f t="shared" si="1386"/>
        <v>0</v>
      </c>
      <c r="BZ547" s="93"/>
      <c r="CA547" s="93"/>
      <c r="CB547" s="93"/>
      <c r="CC547" s="1136"/>
      <c r="CD547" s="93"/>
      <c r="CE547" s="93"/>
      <c r="CF547" s="93"/>
      <c r="CG547" s="93"/>
      <c r="CH547" s="1136"/>
      <c r="CI547" s="1136"/>
      <c r="CJ547" s="1136"/>
      <c r="CK547" s="1136"/>
      <c r="CL547" s="93"/>
    </row>
    <row r="548" spans="1:90" ht="15" hidden="1" customHeight="1" outlineLevel="2" x14ac:dyDescent="0.3">
      <c r="A548" s="647" t="s">
        <v>1078</v>
      </c>
      <c r="B548" s="428"/>
      <c r="C548" s="1128" t="str">
        <f t="shared" ref="C548:AH548" si="1387">IFERROR(ABS((C545-C546)/C546),"")</f>
        <v/>
      </c>
      <c r="D548" s="1128" t="str">
        <f t="shared" si="1387"/>
        <v/>
      </c>
      <c r="E548" s="1128" t="str">
        <f t="shared" si="1387"/>
        <v/>
      </c>
      <c r="F548" s="1128" t="str">
        <f t="shared" si="1387"/>
        <v/>
      </c>
      <c r="G548" s="315" t="str">
        <f t="shared" si="1387"/>
        <v/>
      </c>
      <c r="H548" s="315" t="str">
        <f t="shared" si="1387"/>
        <v/>
      </c>
      <c r="I548" s="315" t="str">
        <f t="shared" si="1387"/>
        <v/>
      </c>
      <c r="J548" s="315" t="str">
        <f t="shared" si="1387"/>
        <v/>
      </c>
      <c r="K548" s="1128" t="str">
        <f t="shared" si="1387"/>
        <v/>
      </c>
      <c r="L548" s="315" t="str">
        <f t="shared" si="1387"/>
        <v/>
      </c>
      <c r="M548" s="315" t="str">
        <f t="shared" si="1387"/>
        <v/>
      </c>
      <c r="N548" s="315" t="str">
        <f t="shared" si="1387"/>
        <v/>
      </c>
      <c r="O548" s="315" t="str">
        <f t="shared" si="1387"/>
        <v/>
      </c>
      <c r="P548" s="1128" t="str">
        <f t="shared" si="1387"/>
        <v/>
      </c>
      <c r="Q548" s="315" t="str">
        <f t="shared" si="1387"/>
        <v/>
      </c>
      <c r="R548" s="315" t="str">
        <f t="shared" si="1387"/>
        <v/>
      </c>
      <c r="S548" s="315" t="str">
        <f t="shared" si="1387"/>
        <v/>
      </c>
      <c r="T548" s="315" t="str">
        <f t="shared" si="1387"/>
        <v/>
      </c>
      <c r="U548" s="1128" t="str">
        <f t="shared" si="1387"/>
        <v/>
      </c>
      <c r="V548" s="315" t="str">
        <f t="shared" si="1387"/>
        <v/>
      </c>
      <c r="W548" s="315" t="str">
        <f t="shared" si="1387"/>
        <v/>
      </c>
      <c r="X548" s="315" t="str">
        <f t="shared" si="1387"/>
        <v/>
      </c>
      <c r="Y548" s="315" t="str">
        <f t="shared" si="1387"/>
        <v/>
      </c>
      <c r="Z548" s="1128" t="str">
        <f t="shared" si="1387"/>
        <v/>
      </c>
      <c r="AA548" s="315" t="str">
        <f t="shared" si="1387"/>
        <v/>
      </c>
      <c r="AB548" s="315" t="str">
        <f t="shared" si="1387"/>
        <v/>
      </c>
      <c r="AC548" s="315" t="str">
        <f t="shared" si="1387"/>
        <v/>
      </c>
      <c r="AD548" s="315" t="str">
        <f t="shared" si="1387"/>
        <v/>
      </c>
      <c r="AE548" s="1128" t="str">
        <f t="shared" si="1387"/>
        <v/>
      </c>
      <c r="AF548" s="315" t="str">
        <f t="shared" si="1387"/>
        <v/>
      </c>
      <c r="AG548" s="315" t="str">
        <f t="shared" si="1387"/>
        <v/>
      </c>
      <c r="AH548" s="315" t="str">
        <f t="shared" si="1387"/>
        <v/>
      </c>
      <c r="AI548" s="315" t="str">
        <f t="shared" ref="AI548:AT548" si="1388">IFERROR(ABS((AI545-AI546)/AI546),"")</f>
        <v/>
      </c>
      <c r="AJ548" s="1128" t="str">
        <f t="shared" si="1388"/>
        <v/>
      </c>
      <c r="AK548" s="315" t="str">
        <f t="shared" si="1388"/>
        <v/>
      </c>
      <c r="AL548" s="315" t="str">
        <f t="shared" si="1388"/>
        <v/>
      </c>
      <c r="AM548" s="315" t="str">
        <f t="shared" si="1388"/>
        <v/>
      </c>
      <c r="AN548" s="315" t="str">
        <f t="shared" si="1388"/>
        <v/>
      </c>
      <c r="AO548" s="1128" t="str">
        <f t="shared" si="1388"/>
        <v/>
      </c>
      <c r="AP548" s="315" t="str">
        <f t="shared" si="1388"/>
        <v/>
      </c>
      <c r="AQ548" s="315" t="str">
        <f t="shared" si="1388"/>
        <v/>
      </c>
      <c r="AR548" s="315" t="str">
        <f t="shared" si="1388"/>
        <v/>
      </c>
      <c r="AS548" s="315" t="str">
        <f t="shared" si="1388"/>
        <v/>
      </c>
      <c r="AT548" s="1128" t="str">
        <f t="shared" si="1388"/>
        <v/>
      </c>
      <c r="AU548" s="315">
        <f t="shared" ref="AU548:BL548" si="1389">IFERROR(ABS((AU545-AU546)/AU546),"")</f>
        <v>0</v>
      </c>
      <c r="AV548" s="315" t="str">
        <f t="shared" si="1389"/>
        <v/>
      </c>
      <c r="AW548" s="315" t="str">
        <f t="shared" si="1389"/>
        <v/>
      </c>
      <c r="AX548" s="315" t="str">
        <f t="shared" si="1389"/>
        <v/>
      </c>
      <c r="AY548" s="1128" t="str">
        <f t="shared" si="1389"/>
        <v/>
      </c>
      <c r="AZ548" s="315" t="str">
        <f t="shared" si="1389"/>
        <v/>
      </c>
      <c r="BA548" s="315" t="str">
        <f t="shared" si="1389"/>
        <v/>
      </c>
      <c r="BB548" s="315" t="str">
        <f t="shared" si="1389"/>
        <v/>
      </c>
      <c r="BC548" s="315" t="str">
        <f t="shared" si="1389"/>
        <v/>
      </c>
      <c r="BD548" s="1128" t="str">
        <f t="shared" si="1389"/>
        <v/>
      </c>
      <c r="BE548" s="315" t="str">
        <f t="shared" si="1389"/>
        <v/>
      </c>
      <c r="BF548" s="315" t="str">
        <f t="shared" si="1389"/>
        <v/>
      </c>
      <c r="BG548" s="315" t="str">
        <f t="shared" si="1389"/>
        <v/>
      </c>
      <c r="BH548" s="315" t="str">
        <f t="shared" si="1389"/>
        <v/>
      </c>
      <c r="BI548" s="1128" t="str">
        <f t="shared" si="1389"/>
        <v/>
      </c>
      <c r="BJ548" s="315" t="str">
        <f t="shared" si="1389"/>
        <v/>
      </c>
      <c r="BK548" s="315" t="str">
        <f t="shared" si="1389"/>
        <v/>
      </c>
      <c r="BL548" s="315" t="str">
        <f t="shared" si="1389"/>
        <v/>
      </c>
      <c r="BM548" s="315" t="str">
        <f t="shared" ref="BM548:BS548" si="1390">IFERROR(ABS((BM545-BM546)/BM546),"")</f>
        <v/>
      </c>
      <c r="BN548" s="1128" t="str">
        <f t="shared" si="1390"/>
        <v/>
      </c>
      <c r="BO548" s="315" t="str">
        <f t="shared" si="1390"/>
        <v/>
      </c>
      <c r="BP548" s="315" t="str">
        <f t="shared" si="1390"/>
        <v/>
      </c>
      <c r="BQ548" s="315" t="str">
        <f t="shared" si="1390"/>
        <v/>
      </c>
      <c r="BR548" s="315" t="str">
        <f t="shared" si="1390"/>
        <v/>
      </c>
      <c r="BS548" s="1128" t="str">
        <f t="shared" si="1390"/>
        <v/>
      </c>
      <c r="BT548" s="315" t="str">
        <f t="shared" ref="BT548:BY548" si="1391">IFERROR(ABS((BT545-BT546)/BT546),"")</f>
        <v/>
      </c>
      <c r="BU548" s="315" t="str">
        <f t="shared" si="1391"/>
        <v/>
      </c>
      <c r="BV548" s="315" t="str">
        <f t="shared" si="1391"/>
        <v/>
      </c>
      <c r="BW548" s="315" t="str">
        <f t="shared" si="1391"/>
        <v/>
      </c>
      <c r="BX548" s="1128" t="str">
        <f t="shared" si="1391"/>
        <v/>
      </c>
      <c r="BY548" s="897" t="str">
        <f t="shared" si="1391"/>
        <v/>
      </c>
      <c r="BZ548" s="315"/>
      <c r="CA548" s="315"/>
      <c r="CB548" s="315"/>
      <c r="CC548" s="1128"/>
      <c r="CD548" s="315"/>
      <c r="CE548" s="315"/>
      <c r="CF548" s="315"/>
      <c r="CG548" s="315"/>
      <c r="CH548" s="1128"/>
      <c r="CI548" s="1128"/>
      <c r="CJ548" s="1128"/>
      <c r="CK548" s="1128"/>
      <c r="CL548" s="93"/>
    </row>
    <row r="549" spans="1:90" ht="15" hidden="1" customHeight="1" outlineLevel="1" collapsed="1" x14ac:dyDescent="0.3">
      <c r="A549" s="799"/>
      <c r="B549" s="428"/>
      <c r="C549" s="1136"/>
      <c r="D549" s="1136"/>
      <c r="E549" s="1136"/>
      <c r="F549" s="1136"/>
      <c r="G549" s="93"/>
      <c r="H549" s="93"/>
      <c r="I549" s="93"/>
      <c r="J549" s="93"/>
      <c r="K549" s="1136"/>
      <c r="L549" s="93"/>
      <c r="M549" s="93"/>
      <c r="N549" s="93"/>
      <c r="O549" s="93"/>
      <c r="P549" s="1136"/>
      <c r="Q549" s="93"/>
      <c r="R549" s="93"/>
      <c r="S549" s="93"/>
      <c r="T549" s="93"/>
      <c r="U549" s="1136"/>
      <c r="V549" s="93"/>
      <c r="W549" s="93"/>
      <c r="X549" s="93"/>
      <c r="Y549" s="93"/>
      <c r="Z549" s="1136"/>
      <c r="AA549" s="93"/>
      <c r="AB549" s="93"/>
      <c r="AC549" s="93"/>
      <c r="AD549" s="93"/>
      <c r="AE549" s="1136"/>
      <c r="AF549" s="93"/>
      <c r="AG549" s="93"/>
      <c r="AH549" s="93"/>
      <c r="AI549" s="93"/>
      <c r="AJ549" s="1136"/>
      <c r="AK549" s="93"/>
      <c r="AL549" s="93"/>
      <c r="AM549" s="93"/>
      <c r="AN549" s="93"/>
      <c r="AO549" s="1136"/>
      <c r="AP549" s="93"/>
      <c r="AQ549" s="93"/>
      <c r="AR549" s="93"/>
      <c r="AS549" s="93"/>
      <c r="AT549" s="1136"/>
      <c r="AU549" s="93"/>
      <c r="AV549" s="93"/>
      <c r="AW549" s="93"/>
      <c r="AX549" s="93"/>
      <c r="AY549" s="1136"/>
      <c r="AZ549" s="93"/>
      <c r="BA549" s="93"/>
      <c r="BB549" s="93"/>
      <c r="BC549" s="93"/>
      <c r="BD549" s="1136"/>
      <c r="BE549" s="93"/>
      <c r="BF549" s="93"/>
      <c r="BG549" s="93"/>
      <c r="BH549" s="93"/>
      <c r="BI549" s="1136"/>
      <c r="BJ549" s="93"/>
      <c r="BK549" s="93"/>
      <c r="BL549" s="93"/>
      <c r="BM549" s="93"/>
      <c r="BN549" s="1136"/>
      <c r="BO549" s="93"/>
      <c r="BP549" s="93"/>
      <c r="BQ549" s="93"/>
      <c r="BR549" s="93"/>
      <c r="BS549" s="1136"/>
      <c r="BT549" s="93"/>
      <c r="BU549" s="93"/>
      <c r="BV549" s="93"/>
      <c r="BW549" s="93"/>
      <c r="BX549" s="1136"/>
      <c r="BY549" s="522"/>
      <c r="BZ549" s="93"/>
      <c r="CA549" s="93"/>
      <c r="CB549" s="93"/>
      <c r="CC549" s="1136"/>
      <c r="CD549" s="93"/>
      <c r="CE549" s="93"/>
      <c r="CF549" s="93"/>
      <c r="CG549" s="93"/>
      <c r="CH549" s="1136"/>
      <c r="CI549" s="1136"/>
      <c r="CJ549" s="1136"/>
      <c r="CK549" s="1136"/>
      <c r="CL549" s="93"/>
    </row>
    <row r="550" spans="1:90" ht="15" hidden="1" customHeight="1" outlineLevel="1" x14ac:dyDescent="0.3">
      <c r="A550" s="493" t="s">
        <v>1098</v>
      </c>
      <c r="B550" s="494"/>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c r="AY550" s="45"/>
      <c r="AZ550" s="45"/>
      <c r="BA550" s="45"/>
      <c r="BB550" s="45"/>
      <c r="BC550" s="45"/>
      <c r="BD550" s="45"/>
      <c r="BE550" s="45"/>
      <c r="BF550" s="45"/>
      <c r="BG550" s="45"/>
      <c r="BH550" s="45"/>
      <c r="BI550" s="45"/>
      <c r="BJ550" s="45"/>
      <c r="BK550" s="45"/>
      <c r="BL550" s="45"/>
      <c r="BM550" s="45"/>
      <c r="BN550" s="45"/>
      <c r="BO550" s="45"/>
      <c r="BP550" s="45"/>
      <c r="BQ550" s="45"/>
      <c r="BR550" s="45"/>
      <c r="BS550" s="45"/>
      <c r="BT550" s="45"/>
      <c r="BU550" s="45"/>
      <c r="BV550" s="45"/>
      <c r="BW550" s="45"/>
      <c r="BX550" s="45"/>
      <c r="BY550" s="881"/>
      <c r="BZ550" s="45"/>
      <c r="CA550" s="45"/>
      <c r="CB550" s="45"/>
      <c r="CC550" s="45"/>
      <c r="CD550" s="45"/>
      <c r="CE550" s="45"/>
      <c r="CF550" s="45"/>
      <c r="CG550" s="45"/>
      <c r="CH550" s="45"/>
      <c r="CI550" s="45"/>
      <c r="CJ550" s="45"/>
      <c r="CK550" s="45"/>
      <c r="CL550" s="228"/>
    </row>
    <row r="551" spans="1:90" ht="15" hidden="1" customHeight="1" outlineLevel="2" x14ac:dyDescent="0.3">
      <c r="A551" s="492" t="s">
        <v>1080</v>
      </c>
      <c r="B551" s="428"/>
      <c r="C551" s="1136"/>
      <c r="D551" s="1136"/>
      <c r="E551" s="1136"/>
      <c r="F551" s="1136"/>
      <c r="G551" s="93"/>
      <c r="H551" s="93"/>
      <c r="I551" s="93"/>
      <c r="J551" s="93"/>
      <c r="K551" s="1136"/>
      <c r="L551" s="93"/>
      <c r="M551" s="93"/>
      <c r="N551" s="93"/>
      <c r="O551" s="93"/>
      <c r="P551" s="1136"/>
      <c r="Q551" s="93"/>
      <c r="R551" s="93"/>
      <c r="S551" s="93"/>
      <c r="T551" s="93"/>
      <c r="U551" s="1136"/>
      <c r="V551" s="93"/>
      <c r="W551" s="93"/>
      <c r="X551" s="93"/>
      <c r="Y551" s="93"/>
      <c r="Z551" s="1136"/>
      <c r="AA551" s="93"/>
      <c r="AB551" s="93"/>
      <c r="AC551" s="93"/>
      <c r="AD551" s="93"/>
      <c r="AE551" s="1136"/>
      <c r="AF551" s="93"/>
      <c r="AG551" s="93"/>
      <c r="AH551" s="93" t="str">
        <f>IF(ISBLANK(AG564),"",AG564)</f>
        <v/>
      </c>
      <c r="AI551" s="93" t="str">
        <f>IF(ISBLANK(AH564),"",AH564)</f>
        <v/>
      </c>
      <c r="AJ551" s="1136" t="str">
        <f>IF(ISBLANK(AD571),"",AD571)</f>
        <v/>
      </c>
      <c r="AK551" s="93" t="str">
        <f>IF(ISBLANK(AI564),"",AI564)</f>
        <v/>
      </c>
      <c r="AL551" s="93" t="str">
        <f>IF(ISBLANK(AK564),"",AK564)</f>
        <v/>
      </c>
      <c r="AM551" s="93" t="str">
        <f>IF(ISBLANK(AL564),"",AL564)</f>
        <v/>
      </c>
      <c r="AN551" s="93" t="str">
        <f>IF(ISBLANK(AM564),"",AM564)</f>
        <v/>
      </c>
      <c r="AO551" s="1136" t="str">
        <f>IF(ISBLANK(AI571),"",AI571)</f>
        <v/>
      </c>
      <c r="AP551" s="93" t="str">
        <f>IF(ISBLANK(AN564),"",AN564)</f>
        <v/>
      </c>
      <c r="AQ551" s="93" t="str">
        <f>IF(ISBLANK(AP564),"",AP564)</f>
        <v/>
      </c>
      <c r="AR551" s="93" t="str">
        <f>IF(ISBLANK(AQ564),"",AQ564)</f>
        <v/>
      </c>
      <c r="AS551" s="93">
        <f>IF(ISBLANK(AR564),"",AR564)</f>
        <v>140</v>
      </c>
      <c r="AT551" s="1136" t="str">
        <f>IF(ISBLANK(AN571),"",AN571)</f>
        <v/>
      </c>
      <c r="AU551" s="93" t="str">
        <f>IF(ISBLANK(AS564),"",AS564)</f>
        <v/>
      </c>
      <c r="AV551" s="93">
        <f>IF(ISBLANK(AU564),"",AU564)</f>
        <v>237.5</v>
      </c>
      <c r="AW551" s="93">
        <f>IF(ISBLANK(AV564),"",AV564)</f>
        <v>237.5</v>
      </c>
      <c r="AX551" s="93" t="str">
        <f>IF(ISBLANK(AW564),"",AW564)</f>
        <v/>
      </c>
      <c r="AY551" s="1136" t="str">
        <f>IF(ISBLANK(AS571),"",AS571)</f>
        <v/>
      </c>
      <c r="AZ551" s="93">
        <f>IF(ISBLANK(AX564),"",AX564)</f>
        <v>312.5</v>
      </c>
      <c r="BA551" s="93">
        <f>IF(ISBLANK(AZ564),"",AZ564)</f>
        <v>312.5</v>
      </c>
      <c r="BB551" s="93">
        <f>IF(ISBLANK(BA564),"",BA564)</f>
        <v>212.5</v>
      </c>
      <c r="BC551" s="93">
        <f>IF(ISBLANK(BB564),"",BB564)</f>
        <v>262.5</v>
      </c>
      <c r="BD551" s="1136" t="str">
        <f>IF(ISBLANK(AX571),"",AX571)</f>
        <v/>
      </c>
      <c r="BE551" s="93">
        <f>IF(ISBLANK(BC564),"",BC564)</f>
        <v>375</v>
      </c>
      <c r="BF551" s="93">
        <f>IF(ISBLANK(BE564),"",BE564)</f>
        <v>425</v>
      </c>
      <c r="BG551" s="93">
        <f>IF(ISBLANK(BF564),"",BF564)</f>
        <v>575</v>
      </c>
      <c r="BH551" s="93">
        <f>IF(ISBLANK(BG564),"",BG564)</f>
        <v>525</v>
      </c>
      <c r="BI551" s="1136" t="str">
        <f>IF(ISBLANK(BC571),"",BC571)</f>
        <v/>
      </c>
      <c r="BJ551" s="93">
        <f>IF(ISBLANK(BH564),"",BH564)</f>
        <v>375</v>
      </c>
      <c r="BK551" s="93">
        <f>IF(ISBLANK(BJ564),"",BJ564)</f>
        <v>325</v>
      </c>
      <c r="BL551" s="93" t="str">
        <f>IF(ISBLANK(BK564),"",BK564)</f>
        <v/>
      </c>
      <c r="BM551" s="93" t="str">
        <f>IF(ISBLANK(BL564),"",BL564)</f>
        <v/>
      </c>
      <c r="BN551" s="1136">
        <f>IF(ISBLANK(BH571),"",BH571)</f>
        <v>1200</v>
      </c>
      <c r="BO551" s="93" t="str">
        <f>IF(ISBLANK(BM564),"",BM564)</f>
        <v/>
      </c>
      <c r="BP551" s="93" t="str">
        <f>IF(ISBLANK(BO564),"",BO564)</f>
        <v/>
      </c>
      <c r="BQ551" s="93" t="str">
        <f>IF(ISBLANK(BP564),"",BP564)</f>
        <v/>
      </c>
      <c r="BR551" s="93" t="str">
        <f>IF(ISBLANK(BQ564),"",BQ564)</f>
        <v/>
      </c>
      <c r="BS551" s="1136" t="str">
        <f>IF(ISBLANK(BM571),"",BM571)</f>
        <v/>
      </c>
      <c r="BT551" s="93" t="str">
        <f>IF(ISBLANK(BR564),"",BR564)</f>
        <v/>
      </c>
      <c r="BU551" s="93" t="str">
        <f>IF(ISBLANK(BT564),"",BT564)</f>
        <v/>
      </c>
      <c r="BV551" s="93" t="str">
        <f>IF(ISBLANK(BU564),"",BU564)</f>
        <v/>
      </c>
      <c r="BW551" s="93" t="str">
        <f>IF(ISBLANK(BV564),"",BV564)</f>
        <v/>
      </c>
      <c r="BX551" s="1136" t="str">
        <f>IF(ISBLANK(BR571),"",BR571)</f>
        <v/>
      </c>
      <c r="BY551" s="522" t="str">
        <f>IF(ISBLANK(BW564),"",BW564)</f>
        <v/>
      </c>
      <c r="BZ551" s="93" t="str">
        <f>IF(ISBLANK(BY564),"",BY564)</f>
        <v/>
      </c>
      <c r="CA551" s="93" t="str">
        <f>IF(ISBLANK(BZ564),"",BZ564)</f>
        <v/>
      </c>
      <c r="CB551" s="93" t="str">
        <f>IF(ISBLANK(CA564),"",CA564)</f>
        <v/>
      </c>
      <c r="CC551" s="1136" t="str">
        <f>IF(ISBLANK(BW571),"",BW571)</f>
        <v/>
      </c>
      <c r="CD551" s="93" t="str">
        <f>IF(ISBLANK(CB564),"",CB564)</f>
        <v/>
      </c>
      <c r="CE551" s="93" t="str">
        <f>IF(ISBLANK(CD564),"",CD564)</f>
        <v/>
      </c>
      <c r="CF551" s="93" t="str">
        <f>IF(ISBLANK(CE564),"",CE564)</f>
        <v/>
      </c>
      <c r="CG551" s="93" t="str">
        <f>IF(ISBLANK(CF564),"",CF564)</f>
        <v/>
      </c>
      <c r="CH551" s="1136" t="str">
        <f>IF(ISBLANK(CB571),"",CB571)</f>
        <v/>
      </c>
      <c r="CI551" s="1136"/>
      <c r="CJ551" s="1136"/>
      <c r="CK551" s="1136"/>
      <c r="CL551" s="93"/>
    </row>
    <row r="552" spans="1:90" ht="15" hidden="1" customHeight="1" outlineLevel="2" x14ac:dyDescent="0.3">
      <c r="A552" s="492" t="s">
        <v>1081</v>
      </c>
      <c r="B552" s="428"/>
      <c r="C552" s="1136"/>
      <c r="D552" s="1136"/>
      <c r="E552" s="1136"/>
      <c r="F552" s="1136"/>
      <c r="G552" s="93"/>
      <c r="H552" s="93"/>
      <c r="I552" s="93"/>
      <c r="J552" s="93"/>
      <c r="K552" s="1136"/>
      <c r="L552" s="93"/>
      <c r="M552" s="93"/>
      <c r="N552" s="93"/>
      <c r="O552" s="93"/>
      <c r="P552" s="1136"/>
      <c r="Q552" s="93"/>
      <c r="R552" s="93"/>
      <c r="S552" s="93"/>
      <c r="T552" s="93"/>
      <c r="U552" s="1136"/>
      <c r="V552" s="93"/>
      <c r="W552" s="93"/>
      <c r="X552" s="93"/>
      <c r="Y552" s="93"/>
      <c r="Z552" s="1136"/>
      <c r="AA552" s="93"/>
      <c r="AB552" s="93"/>
      <c r="AC552" s="93"/>
      <c r="AD552" s="93"/>
      <c r="AE552" s="1136"/>
      <c r="AF552" s="93"/>
      <c r="AG552" s="93"/>
      <c r="AH552" s="93"/>
      <c r="AI552" s="93"/>
      <c r="AJ552" s="1136" t="str">
        <f>IF(ISBLANK(AF571),"",AF571)</f>
        <v/>
      </c>
      <c r="AK552" s="93"/>
      <c r="AL552" s="93"/>
      <c r="AM552" s="93"/>
      <c r="AN552" s="93"/>
      <c r="AO552" s="1136" t="str">
        <f>IF(ISBLANK(AK571),"",AK571)</f>
        <v/>
      </c>
      <c r="AP552" s="93"/>
      <c r="AQ552" s="93"/>
      <c r="AR552" s="93"/>
      <c r="AS552" s="93"/>
      <c r="AT552" s="1136" t="str">
        <f>IF(ISBLANK(AP571),"",AP571)</f>
        <v/>
      </c>
      <c r="AU552" s="93"/>
      <c r="AV552" s="93"/>
      <c r="AW552" s="93"/>
      <c r="AX552" s="93"/>
      <c r="AY552" s="1136" t="str">
        <f>IF(ISBLANK(AU571),"",AU571)</f>
        <v/>
      </c>
      <c r="AZ552" s="93"/>
      <c r="BA552" s="93"/>
      <c r="BB552" s="93"/>
      <c r="BC552" s="93"/>
      <c r="BD552" s="1136" t="str">
        <f>IF(ISBLANK(AZ571),"",AZ571)</f>
        <v/>
      </c>
      <c r="BE552" s="93"/>
      <c r="BF552" s="93"/>
      <c r="BG552" s="93"/>
      <c r="BH552" s="93"/>
      <c r="BI552" s="1136" t="str">
        <f>IF(ISBLANK(BE571),"",BE571)</f>
        <v/>
      </c>
      <c r="BJ552" s="93"/>
      <c r="BK552" s="93"/>
      <c r="BL552" s="93"/>
      <c r="BM552" s="93"/>
      <c r="BN552" s="1136">
        <f>IF(ISBLANK(BJ571),"",BJ571)</f>
        <v>1200</v>
      </c>
      <c r="BO552" s="93"/>
      <c r="BP552" s="93"/>
      <c r="BQ552" s="93"/>
      <c r="BR552" s="93"/>
      <c r="BS552" s="1136" t="str">
        <f>IF(ISBLANK(BO571),"",BO571)</f>
        <v/>
      </c>
      <c r="BT552" s="93"/>
      <c r="BU552" s="93"/>
      <c r="BV552" s="93"/>
      <c r="BW552" s="93"/>
      <c r="BX552" s="1136" t="str">
        <f>IF(ISBLANK(BT571),"",BT571)</f>
        <v/>
      </c>
      <c r="BY552" s="522"/>
      <c r="BZ552" s="93"/>
      <c r="CA552" s="93"/>
      <c r="CB552" s="93"/>
      <c r="CC552" s="1136" t="str">
        <f>IF(ISBLANK(BY571),"",BY571)</f>
        <v/>
      </c>
      <c r="CD552" s="93"/>
      <c r="CE552" s="93"/>
      <c r="CF552" s="93"/>
      <c r="CG552" s="93"/>
      <c r="CH552" s="1136" t="str">
        <f>IF(ISBLANK(CD571),"",CD571)</f>
        <v/>
      </c>
      <c r="CI552" s="1136"/>
      <c r="CJ552" s="1136"/>
      <c r="CK552" s="1136"/>
      <c r="CL552" s="93"/>
    </row>
    <row r="553" spans="1:90" ht="15" hidden="1" customHeight="1" outlineLevel="2" x14ac:dyDescent="0.3">
      <c r="A553" s="492" t="s">
        <v>1082</v>
      </c>
      <c r="B553" s="428"/>
      <c r="C553" s="1136"/>
      <c r="D553" s="1136"/>
      <c r="E553" s="1136"/>
      <c r="F553" s="1136"/>
      <c r="G553" s="93"/>
      <c r="H553" s="93"/>
      <c r="I553" s="93"/>
      <c r="J553" s="93"/>
      <c r="K553" s="1136"/>
      <c r="L553" s="93"/>
      <c r="M553" s="93"/>
      <c r="N553" s="93"/>
      <c r="O553" s="93"/>
      <c r="P553" s="1136"/>
      <c r="Q553" s="93"/>
      <c r="R553" s="93"/>
      <c r="S553" s="93"/>
      <c r="T553" s="93"/>
      <c r="U553" s="1136"/>
      <c r="V553" s="93"/>
      <c r="W553" s="93"/>
      <c r="X553" s="93"/>
      <c r="Y553" s="93"/>
      <c r="Z553" s="1136"/>
      <c r="AA553" s="93"/>
      <c r="AB553" s="93"/>
      <c r="AC553" s="93"/>
      <c r="AD553" s="93"/>
      <c r="AE553" s="1136"/>
      <c r="AF553" s="93"/>
      <c r="AG553" s="93"/>
      <c r="AH553" s="93"/>
      <c r="AI553" s="93"/>
      <c r="AJ553" s="1136" t="str">
        <f>IF(ISBLANK(AG571),"",AG571)</f>
        <v/>
      </c>
      <c r="AK553" s="93"/>
      <c r="AL553" s="93"/>
      <c r="AM553" s="93"/>
      <c r="AN553" s="93"/>
      <c r="AO553" s="1136" t="str">
        <f>IF(ISBLANK(AL571),"",AL571)</f>
        <v/>
      </c>
      <c r="AP553" s="93"/>
      <c r="AQ553" s="93"/>
      <c r="AR553" s="93"/>
      <c r="AS553" s="93"/>
      <c r="AT553" s="1136" t="str">
        <f>IF(ISBLANK(AQ571),"",AQ571)</f>
        <v/>
      </c>
      <c r="AU553" s="93"/>
      <c r="AV553" s="93"/>
      <c r="AW553" s="93"/>
      <c r="AX553" s="93"/>
      <c r="AY553" s="1136" t="str">
        <f>IF(ISBLANK(AV571),"",AV571)</f>
        <v/>
      </c>
      <c r="AZ553" s="93"/>
      <c r="BA553" s="93"/>
      <c r="BB553" s="93"/>
      <c r="BC553" s="93"/>
      <c r="BD553" s="1136" t="str">
        <f>IF(ISBLANK(BA571),"",BA571)</f>
        <v/>
      </c>
      <c r="BE553" s="93"/>
      <c r="BF553" s="93"/>
      <c r="BG553" s="93"/>
      <c r="BH553" s="93"/>
      <c r="BI553" s="1136" t="str">
        <f>IF(ISBLANK(BF571),"",BF571)</f>
        <v/>
      </c>
      <c r="BJ553" s="93"/>
      <c r="BK553" s="93"/>
      <c r="BL553" s="93"/>
      <c r="BM553" s="93"/>
      <c r="BN553" s="1136" t="str">
        <f>IF(ISBLANK(BK571),"",BK571)</f>
        <v/>
      </c>
      <c r="BO553" s="93"/>
      <c r="BP553" s="93"/>
      <c r="BQ553" s="93"/>
      <c r="BR553" s="93"/>
      <c r="BS553" s="1136" t="str">
        <f>IF(ISBLANK(BP571),"",BP571)</f>
        <v/>
      </c>
      <c r="BT553" s="93"/>
      <c r="BU553" s="93"/>
      <c r="BV553" s="93"/>
      <c r="BW553" s="93"/>
      <c r="BX553" s="1136" t="str">
        <f>IF(ISBLANK(BU571),"",BU571)</f>
        <v/>
      </c>
      <c r="BY553" s="522"/>
      <c r="BZ553" s="93"/>
      <c r="CA553" s="93"/>
      <c r="CB553" s="93"/>
      <c r="CC553" s="1136" t="str">
        <f>IF(ISBLANK(BZ571),"",BZ571)</f>
        <v/>
      </c>
      <c r="CD553" s="93"/>
      <c r="CE553" s="93"/>
      <c r="CF553" s="93"/>
      <c r="CG553" s="93"/>
      <c r="CH553" s="1136" t="str">
        <f>IF(ISBLANK(CE571),"",CE571)</f>
        <v/>
      </c>
      <c r="CI553" s="1136"/>
      <c r="CJ553" s="1136"/>
      <c r="CK553" s="1136"/>
      <c r="CL553" s="93"/>
    </row>
    <row r="554" spans="1:90" ht="15" hidden="1" customHeight="1" outlineLevel="2" x14ac:dyDescent="0.3">
      <c r="A554" s="812" t="s">
        <v>1083</v>
      </c>
      <c r="B554" s="718"/>
      <c r="C554" s="1131"/>
      <c r="D554" s="1131"/>
      <c r="E554" s="1131"/>
      <c r="F554" s="1131"/>
      <c r="G554" s="882"/>
      <c r="H554" s="882"/>
      <c r="I554" s="882"/>
      <c r="J554" s="882"/>
      <c r="K554" s="1131"/>
      <c r="L554" s="882"/>
      <c r="M554" s="882"/>
      <c r="N554" s="882"/>
      <c r="O554" s="882"/>
      <c r="P554" s="1131"/>
      <c r="Q554" s="882"/>
      <c r="R554" s="882"/>
      <c r="S554" s="882"/>
      <c r="T554" s="882"/>
      <c r="U554" s="1131"/>
      <c r="V554" s="882"/>
      <c r="W554" s="882"/>
      <c r="X554" s="882"/>
      <c r="Y554" s="882"/>
      <c r="Z554" s="1131"/>
      <c r="AA554" s="882"/>
      <c r="AB554" s="882"/>
      <c r="AC554" s="882"/>
      <c r="AD554" s="882"/>
      <c r="AE554" s="1131"/>
      <c r="AF554" s="882"/>
      <c r="AG554" s="882"/>
      <c r="AH554" s="882"/>
      <c r="AI554" s="882"/>
      <c r="AJ554" s="1131" t="str">
        <f>IF(ISBLANK(AH571),"",AH571)</f>
        <v/>
      </c>
      <c r="AK554" s="882"/>
      <c r="AL554" s="882"/>
      <c r="AM554" s="882"/>
      <c r="AN554" s="882"/>
      <c r="AO554" s="1131" t="str">
        <f>IF(ISBLANK(AM571),"",AM571)</f>
        <v/>
      </c>
      <c r="AP554" s="882"/>
      <c r="AQ554" s="882"/>
      <c r="AR554" s="882"/>
      <c r="AS554" s="882"/>
      <c r="AT554" s="1131" t="str">
        <f>IF(ISBLANK(AR571),"",AR571)</f>
        <v/>
      </c>
      <c r="AU554" s="882"/>
      <c r="AV554" s="882"/>
      <c r="AW554" s="882"/>
      <c r="AX554" s="882"/>
      <c r="AY554" s="1131" t="str">
        <f>IF(ISBLANK(AW571),"",AW571)</f>
        <v/>
      </c>
      <c r="AZ554" s="882"/>
      <c r="BA554" s="882"/>
      <c r="BB554" s="882"/>
      <c r="BC554" s="882"/>
      <c r="BD554" s="1131" t="str">
        <f>IF(ISBLANK(BB571),"",BB571)</f>
        <v/>
      </c>
      <c r="BE554" s="882"/>
      <c r="BF554" s="882"/>
      <c r="BG554" s="882"/>
      <c r="BH554" s="882"/>
      <c r="BI554" s="1131" t="str">
        <f>IF(ISBLANK(BG571),"",BG571)</f>
        <v/>
      </c>
      <c r="BJ554" s="882"/>
      <c r="BK554" s="882"/>
      <c r="BL554" s="882"/>
      <c r="BM554" s="882"/>
      <c r="BN554" s="1131" t="str">
        <f>IF(ISBLANK(BL571),"",BL571)</f>
        <v/>
      </c>
      <c r="BO554" s="882"/>
      <c r="BP554" s="882"/>
      <c r="BQ554" s="882"/>
      <c r="BR554" s="882"/>
      <c r="BS554" s="1131" t="str">
        <f>IF(ISBLANK(BQ571),"",BQ571)</f>
        <v/>
      </c>
      <c r="BT554" s="882"/>
      <c r="BU554" s="882"/>
      <c r="BV554" s="882"/>
      <c r="BW554" s="882"/>
      <c r="BX554" s="1131" t="str">
        <f>IF(ISBLANK(BV571),"",BV571)</f>
        <v/>
      </c>
      <c r="BY554" s="877"/>
      <c r="BZ554" s="882"/>
      <c r="CA554" s="882"/>
      <c r="CB554" s="882"/>
      <c r="CC554" s="1131" t="str">
        <f>IF(ISBLANK(CA571),"",CA571)</f>
        <v/>
      </c>
      <c r="CD554" s="882"/>
      <c r="CE554" s="882"/>
      <c r="CF554" s="882"/>
      <c r="CG554" s="882"/>
      <c r="CH554" s="1131" t="str">
        <f>IF(ISBLANK(CF571),"",CF571)</f>
        <v/>
      </c>
      <c r="CI554" s="1131"/>
      <c r="CJ554" s="1131"/>
      <c r="CK554" s="1131"/>
      <c r="CL554" s="93"/>
    </row>
    <row r="555" spans="1:90" ht="15" hidden="1" customHeight="1" outlineLevel="1" collapsed="1" x14ac:dyDescent="0.3">
      <c r="A555" s="605" t="s">
        <v>1084</v>
      </c>
      <c r="B555" s="428"/>
      <c r="C555" s="1136"/>
      <c r="D555" s="1136"/>
      <c r="E555" s="1136"/>
      <c r="F555" s="1136"/>
      <c r="G555" s="93"/>
      <c r="H555" s="93"/>
      <c r="I555" s="93"/>
      <c r="J555" s="93"/>
      <c r="K555" s="1136"/>
      <c r="L555" s="93"/>
      <c r="M555" s="93"/>
      <c r="N555" s="93"/>
      <c r="O555" s="93"/>
      <c r="P555" s="1136"/>
      <c r="Q555" s="93"/>
      <c r="R555" s="93"/>
      <c r="S555" s="93"/>
      <c r="T555" s="93"/>
      <c r="U555" s="1136"/>
      <c r="V555" s="93"/>
      <c r="W555" s="93"/>
      <c r="X555" s="93"/>
      <c r="Y555" s="93"/>
      <c r="Z555" s="1136"/>
      <c r="AA555" s="93"/>
      <c r="AB555" s="93"/>
      <c r="AC555" s="93"/>
      <c r="AD555" s="93"/>
      <c r="AE555" s="1136"/>
      <c r="AF555" s="93"/>
      <c r="AG555" s="93"/>
      <c r="AH555" s="93" t="str">
        <f t="shared" ref="AH555:AL555" si="1392">IF(AH554="",IF(AH553="",IF(AH552="",IF(AH551="","",AH551),AH552),AH553),AH554)</f>
        <v/>
      </c>
      <c r="AI555" s="93" t="str">
        <f t="shared" si="1392"/>
        <v/>
      </c>
      <c r="AJ555" s="1136" t="str">
        <f t="shared" si="1392"/>
        <v/>
      </c>
      <c r="AK555" s="93" t="str">
        <f t="shared" si="1392"/>
        <v/>
      </c>
      <c r="AL555" s="93" t="str">
        <f t="shared" si="1392"/>
        <v/>
      </c>
      <c r="AM555" s="93" t="str">
        <f t="shared" ref="AM555:BL555" si="1393">IF(AM554="",IF(AM553="",IF(AM552="",IF(AM551="","",AM551),AM552),AM553),AM554)</f>
        <v/>
      </c>
      <c r="AN555" s="93" t="str">
        <f t="shared" si="1393"/>
        <v/>
      </c>
      <c r="AO555" s="1136" t="str">
        <f t="shared" si="1393"/>
        <v/>
      </c>
      <c r="AP555" s="93" t="str">
        <f t="shared" si="1393"/>
        <v/>
      </c>
      <c r="AQ555" s="93" t="str">
        <f t="shared" si="1393"/>
        <v/>
      </c>
      <c r="AR555" s="93" t="str">
        <f t="shared" si="1393"/>
        <v/>
      </c>
      <c r="AS555" s="93">
        <f t="shared" si="1393"/>
        <v>140</v>
      </c>
      <c r="AT555" s="1136" t="str">
        <f t="shared" si="1393"/>
        <v/>
      </c>
      <c r="AU555" s="93" t="str">
        <f t="shared" si="1393"/>
        <v/>
      </c>
      <c r="AV555" s="93">
        <f t="shared" si="1393"/>
        <v>237.5</v>
      </c>
      <c r="AW555" s="93">
        <f t="shared" si="1393"/>
        <v>237.5</v>
      </c>
      <c r="AX555" s="93" t="str">
        <f t="shared" si="1393"/>
        <v/>
      </c>
      <c r="AY555" s="1136" t="str">
        <f t="shared" si="1393"/>
        <v/>
      </c>
      <c r="AZ555" s="93">
        <f t="shared" si="1393"/>
        <v>312.5</v>
      </c>
      <c r="BA555" s="93">
        <f t="shared" si="1393"/>
        <v>312.5</v>
      </c>
      <c r="BB555" s="93">
        <f t="shared" si="1393"/>
        <v>212.5</v>
      </c>
      <c r="BC555" s="93">
        <f t="shared" si="1393"/>
        <v>262.5</v>
      </c>
      <c r="BD555" s="1136" t="str">
        <f t="shared" si="1393"/>
        <v/>
      </c>
      <c r="BE555" s="93">
        <f t="shared" si="1393"/>
        <v>375</v>
      </c>
      <c r="BF555" s="93">
        <f t="shared" si="1393"/>
        <v>425</v>
      </c>
      <c r="BG555" s="93">
        <f t="shared" si="1393"/>
        <v>575</v>
      </c>
      <c r="BH555" s="93">
        <f t="shared" si="1393"/>
        <v>525</v>
      </c>
      <c r="BI555" s="1136" t="str">
        <f t="shared" si="1393"/>
        <v/>
      </c>
      <c r="BJ555" s="93">
        <f t="shared" si="1393"/>
        <v>375</v>
      </c>
      <c r="BK555" s="93">
        <f t="shared" si="1393"/>
        <v>325</v>
      </c>
      <c r="BL555" s="93" t="str">
        <f t="shared" si="1393"/>
        <v/>
      </c>
      <c r="BM555" s="93" t="str">
        <f t="shared" ref="BM555" si="1394">IF(BM554="",IF(BM553="",IF(BM552="",IF(BM551="","",BM551),BM552),BM553),BM554)</f>
        <v/>
      </c>
      <c r="BN555" s="1136">
        <f t="shared" ref="BN555:CC555" si="1395">IF(BN554="",IF(BN553="",IF(BN552="",IF(BN551="","",BN551),BN552),BN553),BN554)</f>
        <v>1200</v>
      </c>
      <c r="BO555" s="93" t="str">
        <f t="shared" si="1395"/>
        <v/>
      </c>
      <c r="BP555" s="93" t="str">
        <f t="shared" si="1395"/>
        <v/>
      </c>
      <c r="BQ555" s="93" t="str">
        <f t="shared" si="1395"/>
        <v/>
      </c>
      <c r="BR555" s="93" t="str">
        <f t="shared" si="1395"/>
        <v/>
      </c>
      <c r="BS555" s="1136" t="str">
        <f t="shared" si="1395"/>
        <v/>
      </c>
      <c r="BT555" s="93" t="str">
        <f t="shared" ref="BT555:CB555" si="1396">IF(BT554="",IF(BT553="",IF(BT552="",IF(BT551="","",BT551),BT552),BT553),BT554)</f>
        <v/>
      </c>
      <c r="BU555" s="93" t="str">
        <f t="shared" si="1396"/>
        <v/>
      </c>
      <c r="BV555" s="93" t="str">
        <f t="shared" si="1396"/>
        <v/>
      </c>
      <c r="BW555" s="93" t="str">
        <f t="shared" si="1396"/>
        <v/>
      </c>
      <c r="BX555" s="1136" t="str">
        <f t="shared" si="1396"/>
        <v/>
      </c>
      <c r="BY555" s="522" t="str">
        <f>IF(BY554="",IF(BY553="",IF(BY552="",IF(BY551="","",BY551),BY552),BY553),BY554)</f>
        <v/>
      </c>
      <c r="BZ555" s="93" t="str">
        <f t="shared" si="1396"/>
        <v/>
      </c>
      <c r="CA555" s="93" t="str">
        <f t="shared" si="1396"/>
        <v/>
      </c>
      <c r="CB555" s="93" t="str">
        <f t="shared" si="1396"/>
        <v/>
      </c>
      <c r="CC555" s="1136" t="str">
        <f t="shared" si="1395"/>
        <v/>
      </c>
      <c r="CD555" s="93" t="str">
        <f>IF(CD554="",IF(CD553="",IF(CD552="",IF(CD551="","",CD551),CD552),CD553),CD554)</f>
        <v/>
      </c>
      <c r="CE555" s="93" t="str">
        <f>IF(CE554="",IF(CE553="",IF(CE552="",IF(CE551="","",CE551),CE552),CE553),CE554)</f>
        <v/>
      </c>
      <c r="CF555" s="93" t="str">
        <f>IF(CF554="",IF(CF553="",IF(CF552="",IF(CF551="","",CF551),CF552),CF553),CF554)</f>
        <v/>
      </c>
      <c r="CG555" s="93" t="str">
        <f>IF(CG554="",IF(CG553="",IF(CG552="",IF(CG551="","",CG551),CG552),CG553),CG554)</f>
        <v/>
      </c>
      <c r="CH555" s="1136" t="str">
        <f>IF(CH554="",IF(CH553="",IF(CH552="",IF(CH551="","",CH551),CH552),CH553),CH554)</f>
        <v/>
      </c>
      <c r="CI555" s="1136"/>
      <c r="CJ555" s="1136"/>
      <c r="CK555" s="1136"/>
      <c r="CL555" s="93"/>
    </row>
    <row r="556" spans="1:90" ht="15" hidden="1" customHeight="1" outlineLevel="1" x14ac:dyDescent="0.3">
      <c r="A556" s="811" t="s">
        <v>1085</v>
      </c>
      <c r="B556" s="718"/>
      <c r="C556" s="1131">
        <f t="shared" ref="C556:AH556" si="1397">-C709</f>
        <v>407.67</v>
      </c>
      <c r="D556" s="1131">
        <f t="shared" si="1397"/>
        <v>77.600999999999999</v>
      </c>
      <c r="E556" s="1131">
        <f t="shared" si="1397"/>
        <v>97.89</v>
      </c>
      <c r="F556" s="1131">
        <f t="shared" si="1397"/>
        <v>138.73500000000001</v>
      </c>
      <c r="G556" s="882">
        <f t="shared" si="1397"/>
        <v>28.922999999999998</v>
      </c>
      <c r="H556" s="882">
        <f t="shared" si="1397"/>
        <v>61.944000000000003</v>
      </c>
      <c r="I556" s="882">
        <f t="shared" si="1397"/>
        <v>44.683999999999983</v>
      </c>
      <c r="J556" s="882">
        <f t="shared" si="1397"/>
        <v>47.75800000000001</v>
      </c>
      <c r="K556" s="1131">
        <f t="shared" si="1397"/>
        <v>183.309</v>
      </c>
      <c r="L556" s="882">
        <f t="shared" si="1397"/>
        <v>65.667000000000002</v>
      </c>
      <c r="M556" s="882">
        <f t="shared" si="1397"/>
        <v>84.98599999999999</v>
      </c>
      <c r="N556" s="882">
        <f t="shared" si="1397"/>
        <v>38.15900000000002</v>
      </c>
      <c r="O556" s="882">
        <f t="shared" si="1397"/>
        <v>66.373999999999995</v>
      </c>
      <c r="P556" s="1131">
        <f t="shared" si="1397"/>
        <v>255.18600000000001</v>
      </c>
      <c r="Q556" s="882">
        <f t="shared" si="1397"/>
        <v>29</v>
      </c>
      <c r="R556" s="882">
        <f t="shared" si="1397"/>
        <v>23</v>
      </c>
      <c r="S556" s="882">
        <f t="shared" si="1397"/>
        <v>39</v>
      </c>
      <c r="T556" s="882">
        <f t="shared" si="1397"/>
        <v>31</v>
      </c>
      <c r="U556" s="1131">
        <f t="shared" si="1397"/>
        <v>122</v>
      </c>
      <c r="V556" s="882">
        <f t="shared" si="1397"/>
        <v>30</v>
      </c>
      <c r="W556" s="882">
        <f t="shared" si="1397"/>
        <v>24</v>
      </c>
      <c r="X556" s="882">
        <f t="shared" si="1397"/>
        <v>17</v>
      </c>
      <c r="Y556" s="882">
        <f t="shared" si="1397"/>
        <v>15</v>
      </c>
      <c r="Z556" s="1131">
        <f t="shared" si="1397"/>
        <v>86</v>
      </c>
      <c r="AA556" s="882">
        <f t="shared" si="1397"/>
        <v>55</v>
      </c>
      <c r="AB556" s="882">
        <f t="shared" si="1397"/>
        <v>32</v>
      </c>
      <c r="AC556" s="882">
        <f t="shared" si="1397"/>
        <v>38</v>
      </c>
      <c r="AD556" s="882">
        <f t="shared" si="1397"/>
        <v>51</v>
      </c>
      <c r="AE556" s="1131">
        <f t="shared" si="1397"/>
        <v>176</v>
      </c>
      <c r="AF556" s="882">
        <f t="shared" si="1397"/>
        <v>54</v>
      </c>
      <c r="AG556" s="882">
        <f t="shared" si="1397"/>
        <v>54</v>
      </c>
      <c r="AH556" s="882">
        <f t="shared" si="1397"/>
        <v>69</v>
      </c>
      <c r="AI556" s="882">
        <f t="shared" ref="AI556:BL556" si="1398">-AI709</f>
        <v>416</v>
      </c>
      <c r="AJ556" s="1131">
        <f t="shared" si="1398"/>
        <v>593</v>
      </c>
      <c r="AK556" s="882">
        <f t="shared" si="1398"/>
        <v>118</v>
      </c>
      <c r="AL556" s="882">
        <f t="shared" si="1398"/>
        <v>129</v>
      </c>
      <c r="AM556" s="882">
        <f t="shared" si="1398"/>
        <v>150</v>
      </c>
      <c r="AN556" s="882">
        <f t="shared" si="1398"/>
        <v>203</v>
      </c>
      <c r="AO556" s="1131">
        <f t="shared" si="1398"/>
        <v>600</v>
      </c>
      <c r="AP556" s="882">
        <f t="shared" si="1398"/>
        <v>128</v>
      </c>
      <c r="AQ556" s="882">
        <f t="shared" si="1398"/>
        <v>113</v>
      </c>
      <c r="AR556" s="882">
        <f t="shared" si="1398"/>
        <v>103</v>
      </c>
      <c r="AS556" s="882">
        <f t="shared" si="1398"/>
        <v>145</v>
      </c>
      <c r="AT556" s="1131">
        <f t="shared" si="1398"/>
        <v>489</v>
      </c>
      <c r="AU556" s="882">
        <f t="shared" si="1398"/>
        <v>155</v>
      </c>
      <c r="AV556" s="882">
        <f t="shared" si="1398"/>
        <v>217</v>
      </c>
      <c r="AW556" s="882">
        <f t="shared" si="1398"/>
        <v>473</v>
      </c>
      <c r="AX556" s="882">
        <f t="shared" si="1398"/>
        <v>283</v>
      </c>
      <c r="AY556" s="1131">
        <f t="shared" si="1398"/>
        <v>1128</v>
      </c>
      <c r="AZ556" s="882">
        <f t="shared" si="1398"/>
        <v>298</v>
      </c>
      <c r="BA556" s="882">
        <f t="shared" si="1398"/>
        <v>183</v>
      </c>
      <c r="BB556" s="882">
        <f t="shared" si="1398"/>
        <v>222</v>
      </c>
      <c r="BC556" s="882">
        <f t="shared" si="1398"/>
        <v>273</v>
      </c>
      <c r="BD556" s="1131">
        <f t="shared" si="1398"/>
        <v>976</v>
      </c>
      <c r="BE556" s="882">
        <f t="shared" si="1398"/>
        <v>361</v>
      </c>
      <c r="BF556" s="882">
        <f t="shared" si="1398"/>
        <v>433</v>
      </c>
      <c r="BG556" s="882">
        <f t="shared" si="1398"/>
        <v>530</v>
      </c>
      <c r="BH556" s="882">
        <f t="shared" si="1398"/>
        <v>509</v>
      </c>
      <c r="BI556" s="1131">
        <f t="shared" si="1398"/>
        <v>1833</v>
      </c>
      <c r="BJ556" s="882">
        <f t="shared" si="1398"/>
        <v>248</v>
      </c>
      <c r="BK556" s="882">
        <f t="shared" si="1398"/>
        <v>289</v>
      </c>
      <c r="BL556" s="882">
        <f t="shared" si="1398"/>
        <v>278</v>
      </c>
      <c r="BM556" s="882">
        <f t="shared" ref="BM556:BN556" si="1399">-BM709</f>
        <v>254</v>
      </c>
      <c r="BN556" s="1131">
        <f t="shared" si="1399"/>
        <v>1069</v>
      </c>
      <c r="BO556" s="882">
        <f t="shared" ref="BO556:BS556" si="1400">-BO709</f>
        <v>369</v>
      </c>
      <c r="BP556" s="882">
        <f t="shared" si="1400"/>
        <v>977</v>
      </c>
      <c r="BQ556" s="882">
        <f t="shared" si="1400"/>
        <v>813</v>
      </c>
      <c r="BR556" s="882">
        <f t="shared" si="1400"/>
        <v>1077</v>
      </c>
      <c r="BS556" s="1131">
        <f t="shared" si="1400"/>
        <v>3236</v>
      </c>
      <c r="BT556" s="882">
        <f t="shared" ref="BT556:CK556" si="1401">-BT709</f>
        <v>1227</v>
      </c>
      <c r="BU556" s="882">
        <f t="shared" si="1401"/>
        <v>1895</v>
      </c>
      <c r="BV556" s="882">
        <f t="shared" si="1401"/>
        <v>1636</v>
      </c>
      <c r="BW556" s="882">
        <f t="shared" si="1401"/>
        <v>1284</v>
      </c>
      <c r="BX556" s="1131">
        <f t="shared" si="1401"/>
        <v>6042</v>
      </c>
      <c r="BY556" s="877">
        <f>-BY709</f>
        <v>1757</v>
      </c>
      <c r="BZ556" s="882">
        <f t="shared" si="1401"/>
        <v>325</v>
      </c>
      <c r="CA556" s="882">
        <f t="shared" si="1401"/>
        <v>325</v>
      </c>
      <c r="CB556" s="882">
        <f t="shared" si="1401"/>
        <v>325</v>
      </c>
      <c r="CC556" s="1131">
        <f t="shared" si="1401"/>
        <v>2732</v>
      </c>
      <c r="CD556" s="882">
        <f t="shared" si="1401"/>
        <v>325</v>
      </c>
      <c r="CE556" s="882">
        <f t="shared" si="1401"/>
        <v>325</v>
      </c>
      <c r="CF556" s="882">
        <f t="shared" si="1401"/>
        <v>325</v>
      </c>
      <c r="CG556" s="882">
        <f t="shared" si="1401"/>
        <v>325</v>
      </c>
      <c r="CH556" s="1131">
        <f t="shared" si="1401"/>
        <v>1300</v>
      </c>
      <c r="CI556" s="1131">
        <f t="shared" si="1401"/>
        <v>1300</v>
      </c>
      <c r="CJ556" s="1131">
        <f t="shared" si="1401"/>
        <v>1300</v>
      </c>
      <c r="CK556" s="1131">
        <f t="shared" si="1401"/>
        <v>1300</v>
      </c>
      <c r="CL556" s="93"/>
    </row>
    <row r="557" spans="1:90" ht="15" hidden="1" customHeight="1" outlineLevel="1" x14ac:dyDescent="0.3">
      <c r="A557" s="813" t="s">
        <v>1086</v>
      </c>
      <c r="B557" s="396"/>
      <c r="C557" s="1192"/>
      <c r="D557" s="1192"/>
      <c r="E557" s="1192"/>
      <c r="F557" s="1192"/>
      <c r="G557" s="398">
        <f t="shared" ref="G557:J557" si="1402">IFERROR(G556-G555,"")</f>
        <v>28.922999999999998</v>
      </c>
      <c r="H557" s="398">
        <f t="shared" si="1402"/>
        <v>61.944000000000003</v>
      </c>
      <c r="I557" s="398">
        <f t="shared" si="1402"/>
        <v>44.683999999999983</v>
      </c>
      <c r="J557" s="398">
        <f t="shared" si="1402"/>
        <v>47.75800000000001</v>
      </c>
      <c r="K557" s="1192"/>
      <c r="L557" s="398"/>
      <c r="M557" s="398"/>
      <c r="N557" s="398"/>
      <c r="O557" s="398"/>
      <c r="P557" s="1192"/>
      <c r="Q557" s="398"/>
      <c r="R557" s="398"/>
      <c r="S557" s="398"/>
      <c r="T557" s="398"/>
      <c r="U557" s="1192"/>
      <c r="V557" s="398"/>
      <c r="W557" s="398"/>
      <c r="X557" s="398"/>
      <c r="Y557" s="398"/>
      <c r="Z557" s="1192"/>
      <c r="AA557" s="398"/>
      <c r="AB557" s="398"/>
      <c r="AC557" s="398"/>
      <c r="AD557" s="398"/>
      <c r="AE557" s="1192"/>
      <c r="AF557" s="398"/>
      <c r="AG557" s="398"/>
      <c r="AH557" s="398"/>
      <c r="AI557" s="398"/>
      <c r="AJ557" s="1192"/>
      <c r="AK557" s="398"/>
      <c r="AL557" s="398"/>
      <c r="AM557" s="398"/>
      <c r="AN557" s="398"/>
      <c r="AO557" s="1192"/>
      <c r="AP557" s="398"/>
      <c r="AQ557" s="398"/>
      <c r="AR557" s="398" t="str">
        <f t="shared" ref="AR557:BL557" si="1403">IFERROR(AR556-AR555,"")</f>
        <v/>
      </c>
      <c r="AS557" s="398">
        <f t="shared" si="1403"/>
        <v>5</v>
      </c>
      <c r="AT557" s="1192" t="str">
        <f t="shared" si="1403"/>
        <v/>
      </c>
      <c r="AU557" s="398" t="str">
        <f t="shared" si="1403"/>
        <v/>
      </c>
      <c r="AV557" s="398">
        <f t="shared" si="1403"/>
        <v>-20.5</v>
      </c>
      <c r="AW557" s="398">
        <f t="shared" si="1403"/>
        <v>235.5</v>
      </c>
      <c r="AX557" s="398" t="str">
        <f t="shared" si="1403"/>
        <v/>
      </c>
      <c r="AY557" s="1192" t="str">
        <f t="shared" si="1403"/>
        <v/>
      </c>
      <c r="AZ557" s="398">
        <f t="shared" si="1403"/>
        <v>-14.5</v>
      </c>
      <c r="BA557" s="398">
        <f t="shared" si="1403"/>
        <v>-129.5</v>
      </c>
      <c r="BB557" s="398">
        <f t="shared" si="1403"/>
        <v>9.5</v>
      </c>
      <c r="BC557" s="398">
        <f t="shared" si="1403"/>
        <v>10.5</v>
      </c>
      <c r="BD557" s="1192" t="str">
        <f t="shared" si="1403"/>
        <v/>
      </c>
      <c r="BE557" s="398">
        <f t="shared" si="1403"/>
        <v>-14</v>
      </c>
      <c r="BF557" s="398">
        <f t="shared" si="1403"/>
        <v>8</v>
      </c>
      <c r="BG557" s="398">
        <f t="shared" si="1403"/>
        <v>-45</v>
      </c>
      <c r="BH557" s="398">
        <f t="shared" si="1403"/>
        <v>-16</v>
      </c>
      <c r="BI557" s="1192" t="str">
        <f t="shared" si="1403"/>
        <v/>
      </c>
      <c r="BJ557" s="398">
        <f t="shared" si="1403"/>
        <v>-127</v>
      </c>
      <c r="BK557" s="398">
        <f t="shared" si="1403"/>
        <v>-36</v>
      </c>
      <c r="BL557" s="398" t="str">
        <f t="shared" si="1403"/>
        <v/>
      </c>
      <c r="BM557" s="398" t="str">
        <f t="shared" ref="BM557:BN557" si="1404">IFERROR(BM556-BM555,"")</f>
        <v/>
      </c>
      <c r="BN557" s="1192">
        <f t="shared" si="1404"/>
        <v>-131</v>
      </c>
      <c r="BO557" s="398" t="str">
        <f t="shared" ref="BO557:CC557" si="1405">IFERROR(BO556-BO555,"")</f>
        <v/>
      </c>
      <c r="BP557" s="398" t="str">
        <f t="shared" si="1405"/>
        <v/>
      </c>
      <c r="BQ557" s="398" t="str">
        <f t="shared" si="1405"/>
        <v/>
      </c>
      <c r="BR557" s="398" t="str">
        <f t="shared" si="1405"/>
        <v/>
      </c>
      <c r="BS557" s="1192" t="str">
        <f t="shared" si="1405"/>
        <v/>
      </c>
      <c r="BT557" s="398" t="str">
        <f t="shared" ref="BT557:CB557" si="1406">IFERROR(BT556-BT555,"")</f>
        <v/>
      </c>
      <c r="BU557" s="398" t="str">
        <f t="shared" si="1406"/>
        <v/>
      </c>
      <c r="BV557" s="398" t="str">
        <f t="shared" si="1406"/>
        <v/>
      </c>
      <c r="BW557" s="398" t="str">
        <f t="shared" si="1406"/>
        <v/>
      </c>
      <c r="BX557" s="1192" t="str">
        <f t="shared" si="1406"/>
        <v/>
      </c>
      <c r="BY557" s="1007" t="str">
        <f>IFERROR(BY556-BY555,"")</f>
        <v/>
      </c>
      <c r="BZ557" s="398" t="str">
        <f t="shared" si="1406"/>
        <v/>
      </c>
      <c r="CA557" s="398" t="str">
        <f t="shared" si="1406"/>
        <v/>
      </c>
      <c r="CB557" s="398" t="str">
        <f t="shared" si="1406"/>
        <v/>
      </c>
      <c r="CC557" s="1192" t="str">
        <f t="shared" si="1405"/>
        <v/>
      </c>
      <c r="CD557" s="398" t="str">
        <f>IFERROR(CD556-CD555,"")</f>
        <v/>
      </c>
      <c r="CE557" s="398" t="str">
        <f>IFERROR(CE556-CE555,"")</f>
        <v/>
      </c>
      <c r="CF557" s="398" t="str">
        <f>IFERROR(CF556-CF555,"")</f>
        <v/>
      </c>
      <c r="CG557" s="398" t="str">
        <f>IFERROR(CG556-CG555,"")</f>
        <v/>
      </c>
      <c r="CH557" s="1192" t="str">
        <f>IFERROR(CH556-CH555,"")</f>
        <v/>
      </c>
      <c r="CI557" s="1192"/>
      <c r="CJ557" s="1192"/>
      <c r="CK557" s="1192"/>
      <c r="CL557" s="93"/>
    </row>
    <row r="558" spans="1:90" ht="15" hidden="1" customHeight="1" outlineLevel="1" x14ac:dyDescent="0.3">
      <c r="A558" s="798" t="s">
        <v>1087</v>
      </c>
      <c r="B558" s="797"/>
      <c r="C558" s="1193"/>
      <c r="D558" s="1193"/>
      <c r="E558" s="1193"/>
      <c r="F558" s="1193"/>
      <c r="G558" s="792"/>
      <c r="H558" s="792"/>
      <c r="I558" s="792"/>
      <c r="J558" s="792"/>
      <c r="K558" s="1193"/>
      <c r="L558" s="792"/>
      <c r="M558" s="792"/>
      <c r="N558" s="792"/>
      <c r="O558" s="792"/>
      <c r="P558" s="1193"/>
      <c r="Q558" s="792"/>
      <c r="R558" s="792"/>
      <c r="S558" s="792"/>
      <c r="T558" s="792"/>
      <c r="U558" s="1193"/>
      <c r="V558" s="792"/>
      <c r="W558" s="792"/>
      <c r="X558" s="792"/>
      <c r="Y558" s="792"/>
      <c r="Z558" s="1193"/>
      <c r="AA558" s="792"/>
      <c r="AB558" s="792"/>
      <c r="AC558" s="792"/>
      <c r="AD558" s="792"/>
      <c r="AE558" s="1193"/>
      <c r="AF558" s="792"/>
      <c r="AG558" s="792"/>
      <c r="AH558" s="792"/>
      <c r="AI558" s="792"/>
      <c r="AJ558" s="1193"/>
      <c r="AK558" s="792"/>
      <c r="AL558" s="792"/>
      <c r="AM558" s="792"/>
      <c r="AN558" s="792"/>
      <c r="AO558" s="1193"/>
      <c r="AP558" s="792"/>
      <c r="AQ558" s="792"/>
      <c r="AR558" s="792" t="str">
        <f t="shared" ref="AR558:BL558" si="1407">IFERROR(AR557/ABS(AR555),"")</f>
        <v/>
      </c>
      <c r="AS558" s="792">
        <f t="shared" si="1407"/>
        <v>3.5714285714285712E-2</v>
      </c>
      <c r="AT558" s="1193" t="str">
        <f t="shared" si="1407"/>
        <v/>
      </c>
      <c r="AU558" s="792" t="str">
        <f t="shared" si="1407"/>
        <v/>
      </c>
      <c r="AV558" s="792">
        <f t="shared" si="1407"/>
        <v>-8.6315789473684207E-2</v>
      </c>
      <c r="AW558" s="792">
        <f t="shared" si="1407"/>
        <v>0.991578947368421</v>
      </c>
      <c r="AX558" s="792" t="str">
        <f t="shared" si="1407"/>
        <v/>
      </c>
      <c r="AY558" s="1193" t="str">
        <f t="shared" si="1407"/>
        <v/>
      </c>
      <c r="AZ558" s="792">
        <f t="shared" si="1407"/>
        <v>-4.6399999999999997E-2</v>
      </c>
      <c r="BA558" s="792">
        <f t="shared" si="1407"/>
        <v>-0.41439999999999999</v>
      </c>
      <c r="BB558" s="792">
        <f t="shared" si="1407"/>
        <v>4.4705882352941179E-2</v>
      </c>
      <c r="BC558" s="792">
        <f t="shared" si="1407"/>
        <v>0.04</v>
      </c>
      <c r="BD558" s="1193" t="str">
        <f t="shared" si="1407"/>
        <v/>
      </c>
      <c r="BE558" s="792">
        <f t="shared" si="1407"/>
        <v>-3.7333333333333336E-2</v>
      </c>
      <c r="BF558" s="792">
        <f t="shared" si="1407"/>
        <v>1.8823529411764704E-2</v>
      </c>
      <c r="BG558" s="792">
        <f t="shared" si="1407"/>
        <v>-7.8260869565217397E-2</v>
      </c>
      <c r="BH558" s="792">
        <f t="shared" si="1407"/>
        <v>-3.0476190476190476E-2</v>
      </c>
      <c r="BI558" s="1193" t="str">
        <f t="shared" si="1407"/>
        <v/>
      </c>
      <c r="BJ558" s="792">
        <f t="shared" si="1407"/>
        <v>-0.33866666666666667</v>
      </c>
      <c r="BK558" s="792">
        <f t="shared" si="1407"/>
        <v>-0.11076923076923077</v>
      </c>
      <c r="BL558" s="792" t="str">
        <f t="shared" si="1407"/>
        <v/>
      </c>
      <c r="BM558" s="792" t="str">
        <f t="shared" ref="BM558:BN558" si="1408">IFERROR(BM557/ABS(BM555),"")</f>
        <v/>
      </c>
      <c r="BN558" s="1193">
        <f t="shared" si="1408"/>
        <v>-0.10916666666666666</v>
      </c>
      <c r="BO558" s="792" t="str">
        <f t="shared" ref="BO558:CC558" si="1409">IFERROR(BO557/ABS(BO555),"")</f>
        <v/>
      </c>
      <c r="BP558" s="792" t="str">
        <f t="shared" si="1409"/>
        <v/>
      </c>
      <c r="BQ558" s="792" t="str">
        <f t="shared" si="1409"/>
        <v/>
      </c>
      <c r="BR558" s="792" t="str">
        <f t="shared" si="1409"/>
        <v/>
      </c>
      <c r="BS558" s="1193" t="str">
        <f t="shared" si="1409"/>
        <v/>
      </c>
      <c r="BT558" s="792" t="str">
        <f t="shared" ref="BT558:CB558" si="1410">IFERROR(BT557/ABS(BT555),"")</f>
        <v/>
      </c>
      <c r="BU558" s="792" t="str">
        <f t="shared" si="1410"/>
        <v/>
      </c>
      <c r="BV558" s="792" t="str">
        <f t="shared" si="1410"/>
        <v/>
      </c>
      <c r="BW558" s="792" t="str">
        <f t="shared" si="1410"/>
        <v/>
      </c>
      <c r="BX558" s="1193" t="str">
        <f t="shared" si="1410"/>
        <v/>
      </c>
      <c r="BY558" s="925" t="str">
        <f>IFERROR(BY557/ABS(BY555),"")</f>
        <v/>
      </c>
      <c r="BZ558" s="792" t="str">
        <f t="shared" si="1410"/>
        <v/>
      </c>
      <c r="CA558" s="792" t="str">
        <f t="shared" si="1410"/>
        <v/>
      </c>
      <c r="CB558" s="792" t="str">
        <f t="shared" si="1410"/>
        <v/>
      </c>
      <c r="CC558" s="1193" t="str">
        <f t="shared" si="1409"/>
        <v/>
      </c>
      <c r="CD558" s="792" t="str">
        <f>IFERROR(CD557/ABS(CD555),"")</f>
        <v/>
      </c>
      <c r="CE558" s="792" t="str">
        <f>IFERROR(CE557/ABS(CE555),"")</f>
        <v/>
      </c>
      <c r="CF558" s="792" t="str">
        <f>IFERROR(CF557/ABS(CF555),"")</f>
        <v/>
      </c>
      <c r="CG558" s="792" t="str">
        <f>IFERROR(CG557/ABS(CG555),"")</f>
        <v/>
      </c>
      <c r="CH558" s="1193" t="str">
        <f>IFERROR(CH557/ABS(CH555),"")</f>
        <v/>
      </c>
      <c r="CI558" s="1193"/>
      <c r="CJ558" s="1193"/>
      <c r="CK558" s="1193"/>
      <c r="CL558" s="93"/>
    </row>
    <row r="559" spans="1:90" ht="15" hidden="1" customHeight="1" outlineLevel="2" x14ac:dyDescent="0.3">
      <c r="A559" s="799"/>
      <c r="B559" s="428"/>
      <c r="C559" s="1136"/>
      <c r="D559" s="1136"/>
      <c r="E559" s="1136"/>
      <c r="F559" s="1136"/>
      <c r="G559" s="93"/>
      <c r="H559" s="93"/>
      <c r="I559" s="93"/>
      <c r="J559" s="93"/>
      <c r="K559" s="1136"/>
      <c r="L559" s="93"/>
      <c r="M559" s="93"/>
      <c r="N559" s="93"/>
      <c r="O559" s="93"/>
      <c r="P559" s="1136"/>
      <c r="Q559" s="93"/>
      <c r="R559" s="93"/>
      <c r="S559" s="93"/>
      <c r="T559" s="93"/>
      <c r="U559" s="1136"/>
      <c r="V559" s="93"/>
      <c r="W559" s="93"/>
      <c r="X559" s="93"/>
      <c r="Y559" s="93"/>
      <c r="Z559" s="1136"/>
      <c r="AA559" s="93"/>
      <c r="AB559" s="93"/>
      <c r="AC559" s="93"/>
      <c r="AD559" s="93"/>
      <c r="AE559" s="1136"/>
      <c r="AF559" s="93"/>
      <c r="AG559" s="93"/>
      <c r="AH559" s="93"/>
      <c r="AI559" s="93"/>
      <c r="AJ559" s="1136"/>
      <c r="AK559" s="93"/>
      <c r="AL559" s="93"/>
      <c r="AM559" s="93"/>
      <c r="AN559" s="93"/>
      <c r="AO559" s="1136"/>
      <c r="AP559" s="93"/>
      <c r="AQ559" s="93"/>
      <c r="AR559" s="93"/>
      <c r="AS559" s="93"/>
      <c r="AT559" s="1136"/>
      <c r="AU559" s="93"/>
      <c r="AV559" s="93"/>
      <c r="AW559" s="93"/>
      <c r="AX559" s="93"/>
      <c r="AY559" s="1136"/>
      <c r="AZ559" s="93"/>
      <c r="BA559" s="93"/>
      <c r="BB559" s="93"/>
      <c r="BC559" s="93"/>
      <c r="BD559" s="1136"/>
      <c r="BE559" s="93"/>
      <c r="BF559" s="93"/>
      <c r="BG559" s="93"/>
      <c r="BH559" s="93"/>
      <c r="BI559" s="1136"/>
      <c r="BJ559" s="93"/>
      <c r="BK559" s="93"/>
      <c r="BL559" s="93"/>
      <c r="BM559" s="93"/>
      <c r="BN559" s="1136"/>
      <c r="BO559" s="93"/>
      <c r="BP559" s="93"/>
      <c r="BQ559" s="93"/>
      <c r="BR559" s="93"/>
      <c r="BS559" s="1136"/>
      <c r="BT559" s="93"/>
      <c r="BU559" s="93"/>
      <c r="BV559" s="93"/>
      <c r="BW559" s="93"/>
      <c r="BX559" s="1136"/>
      <c r="BY559" s="522"/>
      <c r="BZ559" s="93"/>
      <c r="CA559" s="93"/>
      <c r="CB559" s="93"/>
      <c r="CC559" s="1136"/>
      <c r="CD559" s="93"/>
      <c r="CE559" s="93"/>
      <c r="CF559" s="93"/>
      <c r="CG559" s="93"/>
      <c r="CH559" s="1136"/>
      <c r="CI559" s="1136"/>
      <c r="CJ559" s="1136"/>
      <c r="CK559" s="1136"/>
      <c r="CL559" s="93"/>
    </row>
    <row r="560" spans="1:90" ht="15" hidden="1" customHeight="1" outlineLevel="2" x14ac:dyDescent="0.3">
      <c r="A560" s="605" t="s">
        <v>962</v>
      </c>
      <c r="B560" s="428"/>
      <c r="C560" s="1194"/>
      <c r="D560" s="1194"/>
      <c r="E560" s="1194"/>
      <c r="F560" s="1194"/>
      <c r="G560" s="800"/>
      <c r="H560" s="800"/>
      <c r="I560" s="800"/>
      <c r="J560" s="800"/>
      <c r="K560" s="1194"/>
      <c r="L560" s="800"/>
      <c r="M560" s="800"/>
      <c r="N560" s="800"/>
      <c r="O560" s="800"/>
      <c r="P560" s="1194"/>
      <c r="Q560" s="800"/>
      <c r="R560" s="800"/>
      <c r="S560" s="800"/>
      <c r="T560" s="800"/>
      <c r="U560" s="1194"/>
      <c r="V560" s="800"/>
      <c r="W560" s="800"/>
      <c r="X560" s="800"/>
      <c r="Y560" s="800"/>
      <c r="Z560" s="1194"/>
      <c r="AA560" s="800"/>
      <c r="AB560" s="800"/>
      <c r="AC560" s="800"/>
      <c r="AD560" s="800"/>
      <c r="AE560" s="1194"/>
      <c r="AF560" s="800"/>
      <c r="AG560" s="800"/>
      <c r="AH560" s="800"/>
      <c r="AI560" s="800"/>
      <c r="AJ560" s="1194"/>
      <c r="AK560" s="800"/>
      <c r="AL560" s="800"/>
      <c r="AM560" s="800"/>
      <c r="AN560" s="800"/>
      <c r="AO560" s="1194"/>
      <c r="AP560" s="800"/>
      <c r="AQ560" s="800"/>
      <c r="AR560" s="800">
        <f t="shared" ref="AR560:BL560" si="1411">AR1093</f>
        <v>43783</v>
      </c>
      <c r="AS560" s="800">
        <f t="shared" si="1411"/>
        <v>43874</v>
      </c>
      <c r="AT560" s="1194">
        <f t="shared" si="1411"/>
        <v>43874</v>
      </c>
      <c r="AU560" s="800">
        <f t="shared" si="1411"/>
        <v>43972</v>
      </c>
      <c r="AV560" s="800">
        <f t="shared" si="1411"/>
        <v>44062</v>
      </c>
      <c r="AW560" s="800">
        <f t="shared" si="1411"/>
        <v>44153</v>
      </c>
      <c r="AX560" s="800">
        <f t="shared" si="1411"/>
        <v>44251</v>
      </c>
      <c r="AY560" s="1194">
        <f t="shared" si="1411"/>
        <v>44251</v>
      </c>
      <c r="AZ560" s="800">
        <f t="shared" si="1411"/>
        <v>44342</v>
      </c>
      <c r="BA560" s="800">
        <f t="shared" si="1411"/>
        <v>44426</v>
      </c>
      <c r="BB560" s="800">
        <f t="shared" si="1411"/>
        <v>44517</v>
      </c>
      <c r="BC560" s="800">
        <f t="shared" si="1411"/>
        <v>44608</v>
      </c>
      <c r="BD560" s="1194">
        <f t="shared" si="1411"/>
        <v>44608</v>
      </c>
      <c r="BE560" s="800">
        <f t="shared" si="1411"/>
        <v>44706</v>
      </c>
      <c r="BF560" s="800">
        <f t="shared" si="1411"/>
        <v>44797</v>
      </c>
      <c r="BG560" s="800">
        <f t="shared" si="1411"/>
        <v>44881</v>
      </c>
      <c r="BH560" s="800">
        <f t="shared" si="1411"/>
        <v>44979</v>
      </c>
      <c r="BI560" s="1194">
        <f t="shared" si="1411"/>
        <v>44979</v>
      </c>
      <c r="BJ560" s="800">
        <f t="shared" si="1411"/>
        <v>45070</v>
      </c>
      <c r="BK560" s="800">
        <f t="shared" si="1411"/>
        <v>45161</v>
      </c>
      <c r="BL560" s="800">
        <f t="shared" si="1411"/>
        <v>45251</v>
      </c>
      <c r="BM560" s="800">
        <f t="shared" ref="BM560:BS560" si="1412">BM1093</f>
        <v>45343</v>
      </c>
      <c r="BN560" s="1194">
        <f t="shared" si="1412"/>
        <v>45343</v>
      </c>
      <c r="BO560" s="800">
        <f t="shared" si="1412"/>
        <v>45434</v>
      </c>
      <c r="BP560" s="800">
        <f t="shared" si="1412"/>
        <v>45532</v>
      </c>
      <c r="BQ560" s="800">
        <f t="shared" si="1412"/>
        <v>45616</v>
      </c>
      <c r="BR560" s="800">
        <f t="shared" si="1412"/>
        <v>45714</v>
      </c>
      <c r="BS560" s="1194">
        <f t="shared" si="1412"/>
        <v>45714</v>
      </c>
      <c r="BT560" s="800">
        <f t="shared" ref="BT560:BY560" si="1413">BT1093</f>
        <v>45805</v>
      </c>
      <c r="BU560" s="800">
        <f t="shared" si="1413"/>
        <v>45896</v>
      </c>
      <c r="BV560" s="800">
        <f t="shared" si="1413"/>
        <v>45980</v>
      </c>
      <c r="BW560" s="800">
        <f t="shared" si="1413"/>
        <v>46078</v>
      </c>
      <c r="BX560" s="1194">
        <f t="shared" si="1413"/>
        <v>46078</v>
      </c>
      <c r="BY560" s="926">
        <f t="shared" si="1413"/>
        <v>46162</v>
      </c>
      <c r="BZ560" s="800"/>
      <c r="CA560" s="800"/>
      <c r="CB560" s="800"/>
      <c r="CC560" s="1194"/>
      <c r="CD560" s="800"/>
      <c r="CE560" s="800"/>
      <c r="CF560" s="800"/>
      <c r="CG560" s="800"/>
      <c r="CH560" s="1194"/>
      <c r="CI560" s="1194"/>
      <c r="CJ560" s="1194"/>
      <c r="CK560" s="1194"/>
      <c r="CL560" s="93"/>
    </row>
    <row r="561" spans="1:90" ht="15" hidden="1" customHeight="1" outlineLevel="2" x14ac:dyDescent="0.3">
      <c r="A561" s="803" t="s">
        <v>963</v>
      </c>
      <c r="B561" s="801"/>
      <c r="C561" s="1195"/>
      <c r="D561" s="1195"/>
      <c r="E561" s="1195"/>
      <c r="F561" s="1195"/>
      <c r="G561" s="802"/>
      <c r="H561" s="802"/>
      <c r="I561" s="802"/>
      <c r="J561" s="802"/>
      <c r="K561" s="1195"/>
      <c r="L561" s="802"/>
      <c r="M561" s="802"/>
      <c r="N561" s="802"/>
      <c r="O561" s="802"/>
      <c r="P561" s="1195"/>
      <c r="Q561" s="802"/>
      <c r="R561" s="802"/>
      <c r="S561" s="802"/>
      <c r="T561" s="802"/>
      <c r="U561" s="1195"/>
      <c r="V561" s="802"/>
      <c r="W561" s="802"/>
      <c r="X561" s="802"/>
      <c r="Y561" s="802"/>
      <c r="Z561" s="1195"/>
      <c r="AA561" s="802"/>
      <c r="AB561" s="802"/>
      <c r="AC561" s="802"/>
      <c r="AD561" s="802"/>
      <c r="AE561" s="1195"/>
      <c r="AF561" s="802"/>
      <c r="AG561" s="802"/>
      <c r="AH561" s="802"/>
      <c r="AI561" s="802"/>
      <c r="AJ561" s="1195"/>
      <c r="AK561" s="802"/>
      <c r="AL561" s="802"/>
      <c r="AM561" s="802"/>
      <c r="AN561" s="802"/>
      <c r="AO561" s="1195"/>
      <c r="AP561" s="802"/>
      <c r="AQ561" s="802"/>
      <c r="AR561" s="802" t="str">
        <f>AS5</f>
        <v>Q4-2020</v>
      </c>
      <c r="AS561" s="802" t="str">
        <f>AU5</f>
        <v>Q1-2021</v>
      </c>
      <c r="AT561" s="1195" t="str">
        <f>AU5</f>
        <v>Q1-2021</v>
      </c>
      <c r="AU561" s="802" t="str">
        <f>AV5</f>
        <v>Q2-2021</v>
      </c>
      <c r="AV561" s="802" t="str">
        <f>AW5</f>
        <v>Q3-2021</v>
      </c>
      <c r="AW561" s="802" t="str">
        <f>AX5</f>
        <v>Q4-2021</v>
      </c>
      <c r="AX561" s="802" t="str">
        <f>AZ5</f>
        <v>Q1-2022</v>
      </c>
      <c r="AY561" s="1195" t="str">
        <f>AZ5</f>
        <v>Q1-2022</v>
      </c>
      <c r="AZ561" s="802" t="str">
        <f>BA5</f>
        <v>Q2-2022</v>
      </c>
      <c r="BA561" s="802" t="str">
        <f>BB5</f>
        <v>Q3-2022</v>
      </c>
      <c r="BB561" s="802" t="str">
        <f>BC5</f>
        <v>Q4-2022</v>
      </c>
      <c r="BC561" s="802" t="str">
        <f>BE5</f>
        <v>Q1-2023</v>
      </c>
      <c r="BD561" s="1195" t="str">
        <f>BE5</f>
        <v>Q1-2023</v>
      </c>
      <c r="BE561" s="802" t="str">
        <f>BF5</f>
        <v>Q2-2023</v>
      </c>
      <c r="BF561" s="802" t="str">
        <f>BG5</f>
        <v>Q3-2023</v>
      </c>
      <c r="BG561" s="802" t="str">
        <f>BH5</f>
        <v>Q4-2023</v>
      </c>
      <c r="BH561" s="802" t="str">
        <f>BJ5</f>
        <v>Q1-2024</v>
      </c>
      <c r="BI561" s="1195" t="str">
        <f>BJ5</f>
        <v>Q1-2024</v>
      </c>
      <c r="BJ561" s="802" t="str">
        <f>BK5</f>
        <v>Q2-2024</v>
      </c>
      <c r="BK561" s="802" t="str">
        <f>BL5</f>
        <v>Q3-2024</v>
      </c>
      <c r="BL561" s="802" t="str">
        <f>BM5</f>
        <v>Q4-2024</v>
      </c>
      <c r="BM561" s="802" t="str">
        <f>BO5</f>
        <v>Q1-2025</v>
      </c>
      <c r="BN561" s="1195" t="str">
        <f>BO5</f>
        <v>Q1-2025</v>
      </c>
      <c r="BO561" s="802" t="str">
        <f>BP5</f>
        <v>Q2-2025</v>
      </c>
      <c r="BP561" s="802" t="str">
        <f>BQ5</f>
        <v>Q3-2025</v>
      </c>
      <c r="BQ561" s="802" t="str">
        <f>BR5</f>
        <v>Q4-2025</v>
      </c>
      <c r="BR561" s="802" t="str">
        <f>BT5</f>
        <v>Q1-2026</v>
      </c>
      <c r="BS561" s="1195" t="str">
        <f>BT5</f>
        <v>Q1-2026</v>
      </c>
      <c r="BT561" s="802" t="str">
        <f>BU5</f>
        <v>Q2-2026</v>
      </c>
      <c r="BU561" s="802" t="str">
        <f>BV5</f>
        <v>Q3-2026</v>
      </c>
      <c r="BV561" s="802" t="str">
        <f>BW5</f>
        <v>Q4-2026</v>
      </c>
      <c r="BW561" s="802" t="str">
        <f>BY5</f>
        <v>Q1-2027</v>
      </c>
      <c r="BX561" s="1195" t="str">
        <f>BY5</f>
        <v>Q1-2027</v>
      </c>
      <c r="BY561" s="927" t="str">
        <f>BZ5</f>
        <v>Q2-2027</v>
      </c>
      <c r="BZ561" s="802"/>
      <c r="CA561" s="802"/>
      <c r="CB561" s="802"/>
      <c r="CC561" s="1195"/>
      <c r="CD561" s="802"/>
      <c r="CE561" s="802"/>
      <c r="CF561" s="802"/>
      <c r="CG561" s="802"/>
      <c r="CH561" s="1195"/>
      <c r="CI561" s="1195"/>
      <c r="CJ561" s="1195"/>
      <c r="CK561" s="1195"/>
      <c r="CL561" s="93"/>
    </row>
    <row r="562" spans="1:90" ht="15" hidden="1" customHeight="1" outlineLevel="3" x14ac:dyDescent="0.3">
      <c r="A562" s="492" t="s">
        <v>1088</v>
      </c>
      <c r="B562" s="428"/>
      <c r="C562" s="1136"/>
      <c r="D562" s="1136"/>
      <c r="E562" s="1136"/>
      <c r="F562" s="1136"/>
      <c r="G562" s="93"/>
      <c r="H562" s="93"/>
      <c r="I562" s="93"/>
      <c r="J562" s="93"/>
      <c r="K562" s="1136"/>
      <c r="L562" s="93"/>
      <c r="M562" s="93"/>
      <c r="N562" s="93"/>
      <c r="O562" s="93"/>
      <c r="P562" s="1136"/>
      <c r="Q562" s="93"/>
      <c r="R562" s="93"/>
      <c r="S562" s="93"/>
      <c r="T562" s="93"/>
      <c r="U562" s="1136"/>
      <c r="V562" s="93"/>
      <c r="W562" s="93"/>
      <c r="X562" s="93"/>
      <c r="Y562" s="93"/>
      <c r="Z562" s="1136"/>
      <c r="AA562" s="93"/>
      <c r="AB562" s="93"/>
      <c r="AC562" s="93"/>
      <c r="AD562" s="93"/>
      <c r="AE562" s="1136"/>
      <c r="AF562" s="93"/>
      <c r="AG562" s="93"/>
      <c r="AH562" s="93"/>
      <c r="AI562" s="93"/>
      <c r="AJ562" s="1136"/>
      <c r="AK562" s="93"/>
      <c r="AL562" s="93"/>
      <c r="AM562" s="93"/>
      <c r="AN562" s="93"/>
      <c r="AO562" s="1136"/>
      <c r="AP562" s="93"/>
      <c r="AQ562" s="93"/>
      <c r="AR562" s="93">
        <f t="shared" ref="AR562:BJ562" si="1414">-AR1104</f>
        <v>150</v>
      </c>
      <c r="AS562" s="93"/>
      <c r="AT562" s="1136"/>
      <c r="AU562" s="93">
        <f t="shared" si="1414"/>
        <v>225</v>
      </c>
      <c r="AV562" s="93">
        <f t="shared" si="1414"/>
        <v>225</v>
      </c>
      <c r="AW562" s="93"/>
      <c r="AX562" s="93">
        <f t="shared" si="1414"/>
        <v>325</v>
      </c>
      <c r="AY562" s="1136">
        <f t="shared" si="1414"/>
        <v>325</v>
      </c>
      <c r="AZ562" s="93">
        <f t="shared" si="1414"/>
        <v>325</v>
      </c>
      <c r="BA562" s="93">
        <f t="shared" si="1414"/>
        <v>200</v>
      </c>
      <c r="BB562" s="93">
        <f t="shared" si="1414"/>
        <v>275</v>
      </c>
      <c r="BC562" s="93">
        <f t="shared" si="1414"/>
        <v>400</v>
      </c>
      <c r="BD562" s="1136">
        <f t="shared" si="1414"/>
        <v>400</v>
      </c>
      <c r="BE562" s="93">
        <f t="shared" si="1414"/>
        <v>450</v>
      </c>
      <c r="BF562" s="93">
        <f t="shared" si="1414"/>
        <v>600</v>
      </c>
      <c r="BG562" s="93">
        <f t="shared" si="1414"/>
        <v>550</v>
      </c>
      <c r="BH562" s="93">
        <f t="shared" si="1414"/>
        <v>400</v>
      </c>
      <c r="BI562" s="1136">
        <f t="shared" si="1414"/>
        <v>400</v>
      </c>
      <c r="BJ562" s="93">
        <f t="shared" si="1414"/>
        <v>300</v>
      </c>
      <c r="BK562" s="93"/>
      <c r="BL562" s="93"/>
      <c r="BM562" s="93"/>
      <c r="BN562" s="1136"/>
      <c r="BO562" s="93"/>
      <c r="BP562" s="93"/>
      <c r="BQ562" s="93"/>
      <c r="BR562" s="93"/>
      <c r="BS562" s="1136"/>
      <c r="BT562" s="93"/>
      <c r="BU562" s="93"/>
      <c r="BV562" s="93"/>
      <c r="BW562" s="93"/>
      <c r="BX562" s="1136"/>
      <c r="BY562" s="522"/>
      <c r="BZ562" s="93"/>
      <c r="CA562" s="93"/>
      <c r="CB562" s="93"/>
      <c r="CC562" s="1136"/>
      <c r="CD562" s="93"/>
      <c r="CE562" s="93"/>
      <c r="CF562" s="93"/>
      <c r="CG562" s="93"/>
      <c r="CH562" s="1136"/>
      <c r="CI562" s="1136"/>
      <c r="CJ562" s="1136"/>
      <c r="CK562" s="1136"/>
      <c r="CL562" s="93"/>
    </row>
    <row r="563" spans="1:90" ht="15" hidden="1" customHeight="1" outlineLevel="3" x14ac:dyDescent="0.3">
      <c r="A563" s="812" t="s">
        <v>1089</v>
      </c>
      <c r="B563" s="718"/>
      <c r="C563" s="1131"/>
      <c r="D563" s="1131"/>
      <c r="E563" s="1131"/>
      <c r="F563" s="1131"/>
      <c r="G563" s="882"/>
      <c r="H563" s="882"/>
      <c r="I563" s="882"/>
      <c r="J563" s="882"/>
      <c r="K563" s="1131"/>
      <c r="L563" s="882"/>
      <c r="M563" s="882"/>
      <c r="N563" s="882"/>
      <c r="O563" s="882"/>
      <c r="P563" s="1131"/>
      <c r="Q563" s="882"/>
      <c r="R563" s="882"/>
      <c r="S563" s="882"/>
      <c r="T563" s="882"/>
      <c r="U563" s="1131"/>
      <c r="V563" s="882"/>
      <c r="W563" s="882"/>
      <c r="X563" s="882"/>
      <c r="Y563" s="882"/>
      <c r="Z563" s="1131"/>
      <c r="AA563" s="882"/>
      <c r="AB563" s="882"/>
      <c r="AC563" s="882"/>
      <c r="AD563" s="882"/>
      <c r="AE563" s="1131"/>
      <c r="AF563" s="882"/>
      <c r="AG563" s="882"/>
      <c r="AH563" s="882"/>
      <c r="AI563" s="882"/>
      <c r="AJ563" s="1131"/>
      <c r="AK563" s="882"/>
      <c r="AL563" s="882"/>
      <c r="AM563" s="882"/>
      <c r="AN563" s="882"/>
      <c r="AO563" s="1131"/>
      <c r="AP563" s="882"/>
      <c r="AQ563" s="882"/>
      <c r="AR563" s="882">
        <f t="shared" ref="AR563:BJ563" si="1415">-AR1105</f>
        <v>130</v>
      </c>
      <c r="AS563" s="882"/>
      <c r="AT563" s="1131"/>
      <c r="AU563" s="882">
        <f t="shared" si="1415"/>
        <v>250</v>
      </c>
      <c r="AV563" s="882">
        <f t="shared" si="1415"/>
        <v>250</v>
      </c>
      <c r="AW563" s="882"/>
      <c r="AX563" s="882">
        <f t="shared" si="1415"/>
        <v>300</v>
      </c>
      <c r="AY563" s="1131">
        <f t="shared" si="1415"/>
        <v>300</v>
      </c>
      <c r="AZ563" s="882">
        <f t="shared" si="1415"/>
        <v>300</v>
      </c>
      <c r="BA563" s="882">
        <f t="shared" si="1415"/>
        <v>225</v>
      </c>
      <c r="BB563" s="882">
        <f t="shared" si="1415"/>
        <v>250</v>
      </c>
      <c r="BC563" s="882">
        <f t="shared" si="1415"/>
        <v>350</v>
      </c>
      <c r="BD563" s="1131">
        <f t="shared" si="1415"/>
        <v>350</v>
      </c>
      <c r="BE563" s="882">
        <f t="shared" si="1415"/>
        <v>400</v>
      </c>
      <c r="BF563" s="882">
        <f t="shared" si="1415"/>
        <v>550</v>
      </c>
      <c r="BG563" s="882">
        <f t="shared" si="1415"/>
        <v>500</v>
      </c>
      <c r="BH563" s="882">
        <f t="shared" si="1415"/>
        <v>350</v>
      </c>
      <c r="BI563" s="1131">
        <f t="shared" si="1415"/>
        <v>350</v>
      </c>
      <c r="BJ563" s="882">
        <f t="shared" si="1415"/>
        <v>350</v>
      </c>
      <c r="BK563" s="882"/>
      <c r="BL563" s="882"/>
      <c r="BM563" s="882"/>
      <c r="BN563" s="1131"/>
      <c r="BO563" s="882"/>
      <c r="BP563" s="882"/>
      <c r="BQ563" s="882"/>
      <c r="BR563" s="882"/>
      <c r="BS563" s="1131"/>
      <c r="BT563" s="882"/>
      <c r="BU563" s="882"/>
      <c r="BV563" s="882"/>
      <c r="BW563" s="882"/>
      <c r="BX563" s="1131"/>
      <c r="BY563" s="877"/>
      <c r="BZ563" s="882"/>
      <c r="CA563" s="882"/>
      <c r="CB563" s="882"/>
      <c r="CC563" s="1131"/>
      <c r="CD563" s="882"/>
      <c r="CE563" s="882"/>
      <c r="CF563" s="882"/>
      <c r="CG563" s="882"/>
      <c r="CH563" s="1131"/>
      <c r="CI563" s="1131"/>
      <c r="CJ563" s="1131"/>
      <c r="CK563" s="1131"/>
      <c r="CL563" s="93"/>
    </row>
    <row r="564" spans="1:90" ht="15" hidden="1" customHeight="1" outlineLevel="2" collapsed="1" x14ac:dyDescent="0.3">
      <c r="A564" s="609" t="s">
        <v>1090</v>
      </c>
      <c r="B564" s="610"/>
      <c r="C564" s="1161"/>
      <c r="D564" s="1161"/>
      <c r="E564" s="1161"/>
      <c r="F564" s="1161"/>
      <c r="G564" s="378"/>
      <c r="H564" s="378"/>
      <c r="I564" s="378"/>
      <c r="J564" s="378"/>
      <c r="K564" s="1161"/>
      <c r="L564" s="378"/>
      <c r="M564" s="378"/>
      <c r="N564" s="378"/>
      <c r="O564" s="378"/>
      <c r="P564" s="1161"/>
      <c r="Q564" s="378"/>
      <c r="R564" s="378"/>
      <c r="S564" s="378"/>
      <c r="T564" s="378"/>
      <c r="U564" s="1161"/>
      <c r="V564" s="378"/>
      <c r="W564" s="378"/>
      <c r="X564" s="378"/>
      <c r="Y564" s="378"/>
      <c r="Z564" s="1161"/>
      <c r="AA564" s="378"/>
      <c r="AB564" s="378"/>
      <c r="AC564" s="378"/>
      <c r="AD564" s="378"/>
      <c r="AE564" s="1161"/>
      <c r="AF564" s="378"/>
      <c r="AG564" s="378"/>
      <c r="AH564" s="378"/>
      <c r="AI564" s="378"/>
      <c r="AJ564" s="1161"/>
      <c r="AK564" s="378"/>
      <c r="AL564" s="378"/>
      <c r="AM564" s="378"/>
      <c r="AN564" s="378"/>
      <c r="AO564" s="1161"/>
      <c r="AP564" s="378"/>
      <c r="AQ564" s="378"/>
      <c r="AR564" s="378">
        <f t="shared" ref="AR564:BL564" si="1416">IFERROR(AVERAGE(AR562,AR563),"")</f>
        <v>140</v>
      </c>
      <c r="AS564" s="378" t="str">
        <f t="shared" si="1416"/>
        <v/>
      </c>
      <c r="AT564" s="1161" t="str">
        <f t="shared" si="1416"/>
        <v/>
      </c>
      <c r="AU564" s="378">
        <f t="shared" si="1416"/>
        <v>237.5</v>
      </c>
      <c r="AV564" s="378">
        <f t="shared" si="1416"/>
        <v>237.5</v>
      </c>
      <c r="AW564" s="378" t="str">
        <f t="shared" si="1416"/>
        <v/>
      </c>
      <c r="AX564" s="378">
        <f t="shared" si="1416"/>
        <v>312.5</v>
      </c>
      <c r="AY564" s="1161">
        <f t="shared" si="1416"/>
        <v>312.5</v>
      </c>
      <c r="AZ564" s="378">
        <f t="shared" si="1416"/>
        <v>312.5</v>
      </c>
      <c r="BA564" s="378">
        <f t="shared" si="1416"/>
        <v>212.5</v>
      </c>
      <c r="BB564" s="378">
        <f t="shared" si="1416"/>
        <v>262.5</v>
      </c>
      <c r="BC564" s="378">
        <f t="shared" si="1416"/>
        <v>375</v>
      </c>
      <c r="BD564" s="1161">
        <f t="shared" si="1416"/>
        <v>375</v>
      </c>
      <c r="BE564" s="378">
        <f t="shared" si="1416"/>
        <v>425</v>
      </c>
      <c r="BF564" s="378">
        <f t="shared" si="1416"/>
        <v>575</v>
      </c>
      <c r="BG564" s="378">
        <f t="shared" si="1416"/>
        <v>525</v>
      </c>
      <c r="BH564" s="378">
        <f t="shared" si="1416"/>
        <v>375</v>
      </c>
      <c r="BI564" s="1161">
        <f t="shared" si="1416"/>
        <v>375</v>
      </c>
      <c r="BJ564" s="378">
        <f t="shared" si="1416"/>
        <v>325</v>
      </c>
      <c r="BK564" s="378" t="str">
        <f t="shared" si="1416"/>
        <v/>
      </c>
      <c r="BL564" s="378" t="str">
        <f t="shared" si="1416"/>
        <v/>
      </c>
      <c r="BM564" s="378" t="str">
        <f t="shared" ref="BM564:BS564" si="1417">IFERROR(AVERAGE(BM562,BM563),"")</f>
        <v/>
      </c>
      <c r="BN564" s="1161" t="str">
        <f t="shared" si="1417"/>
        <v/>
      </c>
      <c r="BO564" s="378" t="str">
        <f t="shared" si="1417"/>
        <v/>
      </c>
      <c r="BP564" s="378" t="str">
        <f t="shared" si="1417"/>
        <v/>
      </c>
      <c r="BQ564" s="378" t="str">
        <f t="shared" si="1417"/>
        <v/>
      </c>
      <c r="BR564" s="378" t="str">
        <f t="shared" si="1417"/>
        <v/>
      </c>
      <c r="BS564" s="1161" t="str">
        <f t="shared" si="1417"/>
        <v/>
      </c>
      <c r="BT564" s="378" t="str">
        <f t="shared" ref="BT564:BY564" si="1418">IFERROR(AVERAGE(BT562,BT563),"")</f>
        <v/>
      </c>
      <c r="BU564" s="378" t="str">
        <f t="shared" si="1418"/>
        <v/>
      </c>
      <c r="BV564" s="378" t="str">
        <f t="shared" si="1418"/>
        <v/>
      </c>
      <c r="BW564" s="378" t="str">
        <f t="shared" si="1418"/>
        <v/>
      </c>
      <c r="BX564" s="1161" t="str">
        <f t="shared" si="1418"/>
        <v/>
      </c>
      <c r="BY564" s="1006" t="str">
        <f t="shared" si="1418"/>
        <v/>
      </c>
      <c r="BZ564" s="378"/>
      <c r="CA564" s="378"/>
      <c r="CB564" s="378"/>
      <c r="CC564" s="1161"/>
      <c r="CD564" s="378"/>
      <c r="CE564" s="378"/>
      <c r="CF564" s="378"/>
      <c r="CG564" s="378"/>
      <c r="CH564" s="1161"/>
      <c r="CI564" s="1161"/>
      <c r="CJ564" s="1161"/>
      <c r="CK564" s="1161"/>
      <c r="CL564" s="93"/>
    </row>
    <row r="565" spans="1:90" ht="15" hidden="1" customHeight="1" outlineLevel="2" x14ac:dyDescent="0.3">
      <c r="A565" s="492" t="s">
        <v>1091</v>
      </c>
      <c r="B565" s="428"/>
      <c r="C565" s="1136"/>
      <c r="D565" s="1136"/>
      <c r="E565" s="1136"/>
      <c r="F565" s="1136"/>
      <c r="G565" s="93"/>
      <c r="H565" s="93"/>
      <c r="I565" s="93"/>
      <c r="J565" s="93"/>
      <c r="K565" s="1136"/>
      <c r="L565" s="93"/>
      <c r="M565" s="93"/>
      <c r="N565" s="93"/>
      <c r="O565" s="93"/>
      <c r="P565" s="1136"/>
      <c r="Q565" s="93"/>
      <c r="R565" s="93"/>
      <c r="S565" s="93"/>
      <c r="T565" s="93"/>
      <c r="U565" s="1136"/>
      <c r="V565" s="93"/>
      <c r="W565" s="93"/>
      <c r="X565" s="93"/>
      <c r="Y565" s="93"/>
      <c r="Z565" s="1136"/>
      <c r="AA565" s="93"/>
      <c r="AB565" s="93"/>
      <c r="AC565" s="93"/>
      <c r="AD565" s="93"/>
      <c r="AE565" s="1136"/>
      <c r="AF565" s="93"/>
      <c r="AG565" s="93"/>
      <c r="AH565" s="93"/>
      <c r="AI565" s="93"/>
      <c r="AJ565" s="1136"/>
      <c r="AK565" s="93"/>
      <c r="AL565" s="93"/>
      <c r="AM565" s="93"/>
      <c r="AN565" s="93"/>
      <c r="AO565" s="1136"/>
      <c r="AP565" s="93"/>
      <c r="AQ565" s="93"/>
      <c r="AR565" s="93">
        <f t="shared" ref="AR565:BL565" si="1419">IFERROR(ABS(AR563-AR562),"")</f>
        <v>20</v>
      </c>
      <c r="AS565" s="93">
        <f t="shared" si="1419"/>
        <v>0</v>
      </c>
      <c r="AT565" s="1136">
        <f t="shared" si="1419"/>
        <v>0</v>
      </c>
      <c r="AU565" s="93">
        <f t="shared" si="1419"/>
        <v>25</v>
      </c>
      <c r="AV565" s="93">
        <f t="shared" si="1419"/>
        <v>25</v>
      </c>
      <c r="AW565" s="93">
        <f t="shared" si="1419"/>
        <v>0</v>
      </c>
      <c r="AX565" s="93">
        <f t="shared" si="1419"/>
        <v>25</v>
      </c>
      <c r="AY565" s="1136">
        <f t="shared" si="1419"/>
        <v>25</v>
      </c>
      <c r="AZ565" s="93">
        <f t="shared" si="1419"/>
        <v>25</v>
      </c>
      <c r="BA565" s="93">
        <f t="shared" si="1419"/>
        <v>25</v>
      </c>
      <c r="BB565" s="93">
        <f t="shared" si="1419"/>
        <v>25</v>
      </c>
      <c r="BC565" s="93">
        <f t="shared" si="1419"/>
        <v>50</v>
      </c>
      <c r="BD565" s="1136">
        <f t="shared" si="1419"/>
        <v>50</v>
      </c>
      <c r="BE565" s="93">
        <f t="shared" si="1419"/>
        <v>50</v>
      </c>
      <c r="BF565" s="93">
        <f t="shared" si="1419"/>
        <v>50</v>
      </c>
      <c r="BG565" s="93">
        <f t="shared" si="1419"/>
        <v>50</v>
      </c>
      <c r="BH565" s="93">
        <f t="shared" si="1419"/>
        <v>50</v>
      </c>
      <c r="BI565" s="1136">
        <f t="shared" si="1419"/>
        <v>50</v>
      </c>
      <c r="BJ565" s="93">
        <f t="shared" si="1419"/>
        <v>50</v>
      </c>
      <c r="BK565" s="93">
        <f t="shared" si="1419"/>
        <v>0</v>
      </c>
      <c r="BL565" s="93">
        <f t="shared" si="1419"/>
        <v>0</v>
      </c>
      <c r="BM565" s="93">
        <f t="shared" ref="BM565:BS565" si="1420">IFERROR(ABS(BM563-BM562),"")</f>
        <v>0</v>
      </c>
      <c r="BN565" s="1136">
        <f t="shared" si="1420"/>
        <v>0</v>
      </c>
      <c r="BO565" s="93">
        <f t="shared" si="1420"/>
        <v>0</v>
      </c>
      <c r="BP565" s="93">
        <f t="shared" si="1420"/>
        <v>0</v>
      </c>
      <c r="BQ565" s="93">
        <f t="shared" si="1420"/>
        <v>0</v>
      </c>
      <c r="BR565" s="93">
        <f t="shared" si="1420"/>
        <v>0</v>
      </c>
      <c r="BS565" s="1136">
        <f t="shared" si="1420"/>
        <v>0</v>
      </c>
      <c r="BT565" s="93">
        <f t="shared" ref="BT565:BY565" si="1421">IFERROR(ABS(BT563-BT562),"")</f>
        <v>0</v>
      </c>
      <c r="BU565" s="93">
        <f t="shared" si="1421"/>
        <v>0</v>
      </c>
      <c r="BV565" s="93">
        <f t="shared" si="1421"/>
        <v>0</v>
      </c>
      <c r="BW565" s="93">
        <f t="shared" si="1421"/>
        <v>0</v>
      </c>
      <c r="BX565" s="1136">
        <f t="shared" si="1421"/>
        <v>0</v>
      </c>
      <c r="BY565" s="522">
        <f t="shared" si="1421"/>
        <v>0</v>
      </c>
      <c r="BZ565" s="93"/>
      <c r="CA565" s="93"/>
      <c r="CB565" s="93"/>
      <c r="CC565" s="1136"/>
      <c r="CD565" s="93"/>
      <c r="CE565" s="93"/>
      <c r="CF565" s="93"/>
      <c r="CG565" s="93"/>
      <c r="CH565" s="1136"/>
      <c r="CI565" s="1136"/>
      <c r="CJ565" s="1136"/>
      <c r="CK565" s="1136"/>
      <c r="CL565" s="93"/>
    </row>
    <row r="566" spans="1:90" ht="15" hidden="1" customHeight="1" outlineLevel="2" x14ac:dyDescent="0.3">
      <c r="A566" s="647" t="s">
        <v>1092</v>
      </c>
      <c r="B566" s="428"/>
      <c r="C566" s="1128"/>
      <c r="D566" s="1128"/>
      <c r="E566" s="1128"/>
      <c r="F566" s="1128"/>
      <c r="G566" s="315"/>
      <c r="H566" s="315"/>
      <c r="I566" s="315"/>
      <c r="J566" s="315"/>
      <c r="K566" s="1128"/>
      <c r="L566" s="315"/>
      <c r="M566" s="315"/>
      <c r="N566" s="315"/>
      <c r="O566" s="315"/>
      <c r="P566" s="1128"/>
      <c r="Q566" s="315"/>
      <c r="R566" s="315"/>
      <c r="S566" s="315"/>
      <c r="T566" s="315"/>
      <c r="U566" s="1128"/>
      <c r="V566" s="315"/>
      <c r="W566" s="315"/>
      <c r="X566" s="315"/>
      <c r="Y566" s="315"/>
      <c r="Z566" s="1128"/>
      <c r="AA566" s="315"/>
      <c r="AB566" s="315"/>
      <c r="AC566" s="315"/>
      <c r="AD566" s="315"/>
      <c r="AE566" s="1128"/>
      <c r="AF566" s="315"/>
      <c r="AG566" s="315"/>
      <c r="AH566" s="315"/>
      <c r="AI566" s="315"/>
      <c r="AJ566" s="1128"/>
      <c r="AK566" s="315"/>
      <c r="AL566" s="315"/>
      <c r="AM566" s="315"/>
      <c r="AN566" s="315"/>
      <c r="AO566" s="1128"/>
      <c r="AP566" s="315"/>
      <c r="AQ566" s="315"/>
      <c r="AR566" s="315">
        <f t="shared" ref="AR566:BL566" si="1422">IFERROR(ABS((AR563-AR564)/AR564),"")</f>
        <v>7.1428571428571425E-2</v>
      </c>
      <c r="AS566" s="315" t="str">
        <f t="shared" si="1422"/>
        <v/>
      </c>
      <c r="AT566" s="1128" t="str">
        <f t="shared" si="1422"/>
        <v/>
      </c>
      <c r="AU566" s="315">
        <f t="shared" si="1422"/>
        <v>5.2631578947368418E-2</v>
      </c>
      <c r="AV566" s="315">
        <f t="shared" si="1422"/>
        <v>5.2631578947368418E-2</v>
      </c>
      <c r="AW566" s="315" t="str">
        <f t="shared" si="1422"/>
        <v/>
      </c>
      <c r="AX566" s="315">
        <f t="shared" si="1422"/>
        <v>0.04</v>
      </c>
      <c r="AY566" s="1128">
        <f t="shared" si="1422"/>
        <v>0.04</v>
      </c>
      <c r="AZ566" s="315">
        <f t="shared" si="1422"/>
        <v>0.04</v>
      </c>
      <c r="BA566" s="315">
        <f t="shared" si="1422"/>
        <v>5.8823529411764705E-2</v>
      </c>
      <c r="BB566" s="315">
        <f t="shared" si="1422"/>
        <v>4.7619047619047616E-2</v>
      </c>
      <c r="BC566" s="315">
        <f t="shared" si="1422"/>
        <v>6.6666666666666666E-2</v>
      </c>
      <c r="BD566" s="1128">
        <f t="shared" si="1422"/>
        <v>6.6666666666666666E-2</v>
      </c>
      <c r="BE566" s="315">
        <f t="shared" si="1422"/>
        <v>5.8823529411764705E-2</v>
      </c>
      <c r="BF566" s="315">
        <f t="shared" si="1422"/>
        <v>4.3478260869565216E-2</v>
      </c>
      <c r="BG566" s="315">
        <f t="shared" si="1422"/>
        <v>4.7619047619047616E-2</v>
      </c>
      <c r="BH566" s="315">
        <f t="shared" si="1422"/>
        <v>6.6666666666666666E-2</v>
      </c>
      <c r="BI566" s="1128">
        <f t="shared" si="1422"/>
        <v>6.6666666666666666E-2</v>
      </c>
      <c r="BJ566" s="315">
        <f t="shared" si="1422"/>
        <v>7.6923076923076927E-2</v>
      </c>
      <c r="BK566" s="315" t="str">
        <f t="shared" si="1422"/>
        <v/>
      </c>
      <c r="BL566" s="315" t="str">
        <f t="shared" si="1422"/>
        <v/>
      </c>
      <c r="BM566" s="315" t="str">
        <f t="shared" ref="BM566:BS566" si="1423">IFERROR(ABS((BM563-BM564)/BM564),"")</f>
        <v/>
      </c>
      <c r="BN566" s="1128" t="str">
        <f t="shared" si="1423"/>
        <v/>
      </c>
      <c r="BO566" s="315" t="str">
        <f t="shared" si="1423"/>
        <v/>
      </c>
      <c r="BP566" s="315" t="str">
        <f t="shared" si="1423"/>
        <v/>
      </c>
      <c r="BQ566" s="315" t="str">
        <f t="shared" si="1423"/>
        <v/>
      </c>
      <c r="BR566" s="315" t="str">
        <f t="shared" si="1423"/>
        <v/>
      </c>
      <c r="BS566" s="1128" t="str">
        <f t="shared" si="1423"/>
        <v/>
      </c>
      <c r="BT566" s="315" t="str">
        <f t="shared" ref="BT566:BY566" si="1424">IFERROR(ABS((BT563-BT564)/BT564),"")</f>
        <v/>
      </c>
      <c r="BU566" s="315" t="str">
        <f t="shared" si="1424"/>
        <v/>
      </c>
      <c r="BV566" s="315" t="str">
        <f t="shared" si="1424"/>
        <v/>
      </c>
      <c r="BW566" s="315" t="str">
        <f t="shared" si="1424"/>
        <v/>
      </c>
      <c r="BX566" s="1128" t="str">
        <f t="shared" si="1424"/>
        <v/>
      </c>
      <c r="BY566" s="897" t="str">
        <f t="shared" si="1424"/>
        <v/>
      </c>
      <c r="BZ566" s="315"/>
      <c r="CA566" s="315"/>
      <c r="CB566" s="315"/>
      <c r="CC566" s="1128"/>
      <c r="CD566" s="315"/>
      <c r="CE566" s="315"/>
      <c r="CF566" s="315"/>
      <c r="CG566" s="315"/>
      <c r="CH566" s="1128"/>
      <c r="CI566" s="1128"/>
      <c r="CJ566" s="1128"/>
      <c r="CK566" s="1128"/>
      <c r="CL566" s="93"/>
    </row>
    <row r="567" spans="1:90" ht="15" hidden="1" customHeight="1" outlineLevel="2" x14ac:dyDescent="0.3">
      <c r="A567" s="799"/>
      <c r="B567" s="428"/>
      <c r="C567" s="1136"/>
      <c r="D567" s="1136"/>
      <c r="E567" s="1136"/>
      <c r="F567" s="1136"/>
      <c r="G567" s="93"/>
      <c r="H567" s="93"/>
      <c r="I567" s="93"/>
      <c r="J567" s="93"/>
      <c r="K567" s="1136"/>
      <c r="L567" s="93"/>
      <c r="M567" s="93"/>
      <c r="N567" s="93"/>
      <c r="O567" s="93"/>
      <c r="P567" s="1136"/>
      <c r="Q567" s="93"/>
      <c r="R567" s="93"/>
      <c r="S567" s="93"/>
      <c r="T567" s="93"/>
      <c r="U567" s="1136"/>
      <c r="V567" s="93"/>
      <c r="W567" s="93"/>
      <c r="X567" s="93"/>
      <c r="Y567" s="93"/>
      <c r="Z567" s="1136"/>
      <c r="AA567" s="93"/>
      <c r="AB567" s="93"/>
      <c r="AC567" s="93"/>
      <c r="AD567" s="93"/>
      <c r="AE567" s="1136"/>
      <c r="AF567" s="93"/>
      <c r="AG567" s="93"/>
      <c r="AH567" s="93"/>
      <c r="AI567" s="93"/>
      <c r="AJ567" s="1136"/>
      <c r="AK567" s="93"/>
      <c r="AL567" s="93"/>
      <c r="AM567" s="93"/>
      <c r="AN567" s="93"/>
      <c r="AO567" s="1136"/>
      <c r="AP567" s="93"/>
      <c r="AQ567" s="93"/>
      <c r="AR567" s="93"/>
      <c r="AS567" s="93"/>
      <c r="AT567" s="1136"/>
      <c r="AU567" s="93"/>
      <c r="AV567" s="93"/>
      <c r="AW567" s="93"/>
      <c r="AX567" s="93"/>
      <c r="AY567" s="1136"/>
      <c r="AZ567" s="93"/>
      <c r="BA567" s="93"/>
      <c r="BB567" s="93"/>
      <c r="BC567" s="93"/>
      <c r="BD567" s="1136"/>
      <c r="BE567" s="93"/>
      <c r="BF567" s="93"/>
      <c r="BG567" s="93"/>
      <c r="BH567" s="93"/>
      <c r="BI567" s="1136"/>
      <c r="BJ567" s="93"/>
      <c r="BK567" s="93"/>
      <c r="BL567" s="93"/>
      <c r="BM567" s="93"/>
      <c r="BN567" s="1136"/>
      <c r="BO567" s="93"/>
      <c r="BP567" s="93"/>
      <c r="BQ567" s="93"/>
      <c r="BR567" s="93"/>
      <c r="BS567" s="1136"/>
      <c r="BT567" s="93"/>
      <c r="BU567" s="93"/>
      <c r="BV567" s="93"/>
      <c r="BW567" s="93"/>
      <c r="BX567" s="1136"/>
      <c r="BY567" s="522"/>
      <c r="BZ567" s="93"/>
      <c r="CA567" s="93"/>
      <c r="CB567" s="93"/>
      <c r="CC567" s="1136"/>
      <c r="CD567" s="93"/>
      <c r="CE567" s="93"/>
      <c r="CF567" s="93"/>
      <c r="CG567" s="93"/>
      <c r="CH567" s="1136"/>
      <c r="CI567" s="1136"/>
      <c r="CJ567" s="1136"/>
      <c r="CK567" s="1136"/>
      <c r="CL567" s="93"/>
    </row>
    <row r="568" spans="1:90" ht="15" hidden="1" customHeight="1" outlineLevel="2" x14ac:dyDescent="0.3">
      <c r="A568" s="803" t="s">
        <v>969</v>
      </c>
      <c r="B568" s="801"/>
      <c r="C568" s="1195"/>
      <c r="D568" s="1195"/>
      <c r="E568" s="1195"/>
      <c r="F568" s="1195"/>
      <c r="G568" s="802"/>
      <c r="H568" s="802"/>
      <c r="I568" s="802"/>
      <c r="J568" s="802"/>
      <c r="K568" s="1195"/>
      <c r="L568" s="802"/>
      <c r="M568" s="802"/>
      <c r="N568" s="802"/>
      <c r="O568" s="802"/>
      <c r="P568" s="1195"/>
      <c r="Q568" s="802"/>
      <c r="R568" s="802"/>
      <c r="S568" s="802"/>
      <c r="T568" s="802"/>
      <c r="U568" s="1195"/>
      <c r="V568" s="802"/>
      <c r="W568" s="802"/>
      <c r="X568" s="802"/>
      <c r="Y568" s="802"/>
      <c r="Z568" s="1195"/>
      <c r="AA568" s="802"/>
      <c r="AB568" s="802"/>
      <c r="AC568" s="802"/>
      <c r="AD568" s="802"/>
      <c r="AE568" s="1195"/>
      <c r="AF568" s="802"/>
      <c r="AG568" s="802"/>
      <c r="AH568" s="802"/>
      <c r="AI568" s="802"/>
      <c r="AJ568" s="1195"/>
      <c r="AK568" s="802"/>
      <c r="AL568" s="802"/>
      <c r="AM568" s="802"/>
      <c r="AN568" s="802"/>
      <c r="AO568" s="1195"/>
      <c r="AP568" s="802"/>
      <c r="AQ568" s="802"/>
      <c r="AR568" s="802" t="str">
        <f>AT5</f>
        <v>FY2020</v>
      </c>
      <c r="AS568" s="802" t="str">
        <f>AY5</f>
        <v>FY2021</v>
      </c>
      <c r="AT568" s="1195" t="str">
        <f>AY5</f>
        <v>FY2021</v>
      </c>
      <c r="AU568" s="802" t="str">
        <f>AY5</f>
        <v>FY2021</v>
      </c>
      <c r="AV568" s="802" t="str">
        <f>AY5</f>
        <v>FY2021</v>
      </c>
      <c r="AW568" s="802" t="str">
        <f>AY5</f>
        <v>FY2021</v>
      </c>
      <c r="AX568" s="802" t="str">
        <f>BD5</f>
        <v>FY2022</v>
      </c>
      <c r="AY568" s="1195" t="str">
        <f>BD5</f>
        <v>FY2022</v>
      </c>
      <c r="AZ568" s="802" t="str">
        <f>BD5</f>
        <v>FY2022</v>
      </c>
      <c r="BA568" s="802" t="str">
        <f>BD5</f>
        <v>FY2022</v>
      </c>
      <c r="BB568" s="802" t="str">
        <f>BD5</f>
        <v>FY2022</v>
      </c>
      <c r="BC568" s="802" t="str">
        <f>BI5</f>
        <v>FY2023</v>
      </c>
      <c r="BD568" s="1195" t="str">
        <f>BI5</f>
        <v>FY2023</v>
      </c>
      <c r="BE568" s="802" t="str">
        <f>BI5</f>
        <v>FY2023</v>
      </c>
      <c r="BF568" s="802" t="str">
        <f>BI5</f>
        <v>FY2023</v>
      </c>
      <c r="BG568" s="802" t="str">
        <f>BI5</f>
        <v>FY2023</v>
      </c>
      <c r="BH568" s="802" t="str">
        <f>BN5</f>
        <v>FY2024</v>
      </c>
      <c r="BI568" s="1195" t="str">
        <f>BN5</f>
        <v>FY2024</v>
      </c>
      <c r="BJ568" s="802" t="str">
        <f>BN5</f>
        <v>FY2024</v>
      </c>
      <c r="BK568" s="802" t="str">
        <f>BN5</f>
        <v>FY2024</v>
      </c>
      <c r="BL568" s="802" t="str">
        <f>BN5</f>
        <v>FY2024</v>
      </c>
      <c r="BM568" s="802" t="str">
        <f>BS5</f>
        <v>FY2025</v>
      </c>
      <c r="BN568" s="1195" t="str">
        <f>BS5</f>
        <v>FY2025</v>
      </c>
      <c r="BO568" s="802" t="str">
        <f>BS5</f>
        <v>FY2025</v>
      </c>
      <c r="BP568" s="802" t="str">
        <f>BS5</f>
        <v>FY2025</v>
      </c>
      <c r="BQ568" s="802" t="str">
        <f>BS5</f>
        <v>FY2025</v>
      </c>
      <c r="BR568" s="802" t="str">
        <f>BX5</f>
        <v>FY2026</v>
      </c>
      <c r="BS568" s="1195" t="str">
        <f>BX5</f>
        <v>FY2026</v>
      </c>
      <c r="BT568" s="802" t="str">
        <f>BX5</f>
        <v>FY2026</v>
      </c>
      <c r="BU568" s="802" t="str">
        <f>BX5</f>
        <v>FY2026</v>
      </c>
      <c r="BV568" s="802" t="str">
        <f>BX5</f>
        <v>FY2026</v>
      </c>
      <c r="BW568" s="802" t="str">
        <f>CC5</f>
        <v>FY2027</v>
      </c>
      <c r="BX568" s="1195" t="str">
        <f>CC5</f>
        <v>FY2027</v>
      </c>
      <c r="BY568" s="927" t="str">
        <f>CC5</f>
        <v>FY2027</v>
      </c>
      <c r="BZ568" s="802"/>
      <c r="CA568" s="802"/>
      <c r="CB568" s="802"/>
      <c r="CC568" s="1195"/>
      <c r="CD568" s="802"/>
      <c r="CE568" s="802"/>
      <c r="CF568" s="802"/>
      <c r="CG568" s="802"/>
      <c r="CH568" s="1195"/>
      <c r="CI568" s="1195"/>
      <c r="CJ568" s="1195"/>
      <c r="CK568" s="1195"/>
      <c r="CL568" s="93"/>
    </row>
    <row r="569" spans="1:90" ht="15" hidden="1" customHeight="1" outlineLevel="3" x14ac:dyDescent="0.3">
      <c r="A569" s="492" t="s">
        <v>1093</v>
      </c>
      <c r="B569" s="428"/>
      <c r="C569" s="1136"/>
      <c r="D569" s="1136"/>
      <c r="E569" s="1136"/>
      <c r="F569" s="1136"/>
      <c r="G569" s="93"/>
      <c r="H569" s="93"/>
      <c r="I569" s="93"/>
      <c r="J569" s="93"/>
      <c r="K569" s="1136"/>
      <c r="L569" s="93"/>
      <c r="M569" s="93"/>
      <c r="N569" s="93"/>
      <c r="O569" s="93"/>
      <c r="P569" s="1136"/>
      <c r="Q569" s="93"/>
      <c r="R569" s="93"/>
      <c r="S569" s="93"/>
      <c r="T569" s="93"/>
      <c r="U569" s="1136"/>
      <c r="V569" s="93"/>
      <c r="W569" s="93"/>
      <c r="X569" s="93"/>
      <c r="Y569" s="93"/>
      <c r="Z569" s="1136"/>
      <c r="AA569" s="93"/>
      <c r="AB569" s="93"/>
      <c r="AC569" s="93"/>
      <c r="AD569" s="93"/>
      <c r="AE569" s="1136"/>
      <c r="AF569" s="93"/>
      <c r="AG569" s="93"/>
      <c r="AH569" s="93"/>
      <c r="AI569" s="93"/>
      <c r="AJ569" s="1136"/>
      <c r="AK569" s="93"/>
      <c r="AL569" s="93"/>
      <c r="AM569" s="93"/>
      <c r="AN569" s="93"/>
      <c r="AO569" s="1136"/>
      <c r="AP569" s="93"/>
      <c r="AQ569" s="93"/>
      <c r="AR569" s="93"/>
      <c r="AS569" s="93"/>
      <c r="AT569" s="1136"/>
      <c r="AU569" s="93"/>
      <c r="AV569" s="93"/>
      <c r="AW569" s="93"/>
      <c r="AX569" s="93"/>
      <c r="AY569" s="1136"/>
      <c r="AZ569" s="93"/>
      <c r="BA569" s="93"/>
      <c r="BB569" s="93"/>
      <c r="BC569" s="93"/>
      <c r="BD569" s="1136"/>
      <c r="BE569" s="93"/>
      <c r="BF569" s="93"/>
      <c r="BG569" s="93"/>
      <c r="BH569" s="93">
        <f t="shared" ref="BH569:BJ569" si="1425">-BH1122</f>
        <v>1300</v>
      </c>
      <c r="BI569" s="1136">
        <f t="shared" si="1425"/>
        <v>1300</v>
      </c>
      <c r="BJ569" s="93">
        <f t="shared" si="1425"/>
        <v>1100</v>
      </c>
      <c r="BK569" s="93"/>
      <c r="BL569" s="93"/>
      <c r="BM569" s="93"/>
      <c r="BN569" s="1136"/>
      <c r="BO569" s="93"/>
      <c r="BP569" s="93"/>
      <c r="BQ569" s="93"/>
      <c r="BR569" s="93"/>
      <c r="BS569" s="1136"/>
      <c r="BT569" s="93"/>
      <c r="BU569" s="93"/>
      <c r="BV569" s="93"/>
      <c r="BW569" s="93"/>
      <c r="BX569" s="1136"/>
      <c r="BY569" s="522"/>
      <c r="BZ569" s="93"/>
      <c r="CA569" s="93"/>
      <c r="CB569" s="93"/>
      <c r="CC569" s="1136"/>
      <c r="CD569" s="93"/>
      <c r="CE569" s="93"/>
      <c r="CF569" s="93"/>
      <c r="CG569" s="93"/>
      <c r="CH569" s="1136"/>
      <c r="CI569" s="1136"/>
      <c r="CJ569" s="1136"/>
      <c r="CK569" s="1136"/>
      <c r="CL569" s="93"/>
    </row>
    <row r="570" spans="1:90" ht="15" hidden="1" customHeight="1" outlineLevel="3" x14ac:dyDescent="0.3">
      <c r="A570" s="812" t="s">
        <v>1094</v>
      </c>
      <c r="B570" s="718"/>
      <c r="C570" s="1131"/>
      <c r="D570" s="1131"/>
      <c r="E570" s="1131"/>
      <c r="F570" s="1131"/>
      <c r="G570" s="882"/>
      <c r="H570" s="882"/>
      <c r="I570" s="882"/>
      <c r="J570" s="882"/>
      <c r="K570" s="1131"/>
      <c r="L570" s="882"/>
      <c r="M570" s="882"/>
      <c r="N570" s="882"/>
      <c r="O570" s="882"/>
      <c r="P570" s="1131"/>
      <c r="Q570" s="882"/>
      <c r="R570" s="882"/>
      <c r="S570" s="882"/>
      <c r="T570" s="882"/>
      <c r="U570" s="1131"/>
      <c r="V570" s="882"/>
      <c r="W570" s="882"/>
      <c r="X570" s="882"/>
      <c r="Y570" s="882"/>
      <c r="Z570" s="1131"/>
      <c r="AA570" s="882"/>
      <c r="AB570" s="882"/>
      <c r="AC570" s="882"/>
      <c r="AD570" s="882"/>
      <c r="AE570" s="1131"/>
      <c r="AF570" s="882"/>
      <c r="AG570" s="882"/>
      <c r="AH570" s="882"/>
      <c r="AI570" s="882"/>
      <c r="AJ570" s="1131"/>
      <c r="AK570" s="882"/>
      <c r="AL570" s="882"/>
      <c r="AM570" s="882"/>
      <c r="AN570" s="882"/>
      <c r="AO570" s="1131"/>
      <c r="AP570" s="882"/>
      <c r="AQ570" s="882"/>
      <c r="AR570" s="882"/>
      <c r="AS570" s="882"/>
      <c r="AT570" s="1131"/>
      <c r="AU570" s="882"/>
      <c r="AV570" s="882"/>
      <c r="AW570" s="882"/>
      <c r="AX570" s="882"/>
      <c r="AY570" s="1131"/>
      <c r="AZ570" s="882"/>
      <c r="BA570" s="882"/>
      <c r="BB570" s="882"/>
      <c r="BC570" s="882"/>
      <c r="BD570" s="1131"/>
      <c r="BE570" s="882"/>
      <c r="BF570" s="882"/>
      <c r="BG570" s="882"/>
      <c r="BH570" s="882">
        <f t="shared" ref="BH570:BJ570" si="1426">-BH1123</f>
        <v>1100</v>
      </c>
      <c r="BI570" s="1131">
        <f t="shared" si="1426"/>
        <v>1100</v>
      </c>
      <c r="BJ570" s="882">
        <f t="shared" si="1426"/>
        <v>1300</v>
      </c>
      <c r="BK570" s="882"/>
      <c r="BL570" s="882"/>
      <c r="BM570" s="882"/>
      <c r="BN570" s="1131"/>
      <c r="BO570" s="882"/>
      <c r="BP570" s="882"/>
      <c r="BQ570" s="882"/>
      <c r="BR570" s="882"/>
      <c r="BS570" s="1131"/>
      <c r="BT570" s="882"/>
      <c r="BU570" s="882"/>
      <c r="BV570" s="882"/>
      <c r="BW570" s="882"/>
      <c r="BX570" s="1131"/>
      <c r="BY570" s="877"/>
      <c r="BZ570" s="882"/>
      <c r="CA570" s="882"/>
      <c r="CB570" s="882"/>
      <c r="CC570" s="1131"/>
      <c r="CD570" s="882"/>
      <c r="CE570" s="882"/>
      <c r="CF570" s="882"/>
      <c r="CG570" s="882"/>
      <c r="CH570" s="1131"/>
      <c r="CI570" s="1131"/>
      <c r="CJ570" s="1131"/>
      <c r="CK570" s="1131"/>
      <c r="CL570" s="93"/>
    </row>
    <row r="571" spans="1:90" ht="15" hidden="1" customHeight="1" outlineLevel="2" collapsed="1" x14ac:dyDescent="0.3">
      <c r="A571" s="609" t="s">
        <v>1095</v>
      </c>
      <c r="B571" s="610"/>
      <c r="C571" s="1161"/>
      <c r="D571" s="1161"/>
      <c r="E571" s="1161"/>
      <c r="F571" s="1161"/>
      <c r="G571" s="378"/>
      <c r="H571" s="378"/>
      <c r="I571" s="378"/>
      <c r="J571" s="378"/>
      <c r="K571" s="1161"/>
      <c r="L571" s="378"/>
      <c r="M571" s="378"/>
      <c r="N571" s="378"/>
      <c r="O571" s="378"/>
      <c r="P571" s="1161"/>
      <c r="Q571" s="378"/>
      <c r="R571" s="378"/>
      <c r="S571" s="378"/>
      <c r="T571" s="378"/>
      <c r="U571" s="1161"/>
      <c r="V571" s="378"/>
      <c r="W571" s="378"/>
      <c r="X571" s="378"/>
      <c r="Y571" s="378"/>
      <c r="Z571" s="1161"/>
      <c r="AA571" s="378"/>
      <c r="AB571" s="378"/>
      <c r="AC571" s="378"/>
      <c r="AD571" s="378"/>
      <c r="AE571" s="1161"/>
      <c r="AF571" s="378"/>
      <c r="AG571" s="378"/>
      <c r="AH571" s="378"/>
      <c r="AI571" s="378"/>
      <c r="AJ571" s="1161"/>
      <c r="AK571" s="378"/>
      <c r="AL571" s="378"/>
      <c r="AM571" s="378"/>
      <c r="AN571" s="378"/>
      <c r="AO571" s="1161"/>
      <c r="AP571" s="378"/>
      <c r="AQ571" s="378"/>
      <c r="AR571" s="378"/>
      <c r="AS571" s="378"/>
      <c r="AT571" s="1161"/>
      <c r="AU571" s="378"/>
      <c r="AV571" s="378"/>
      <c r="AW571" s="378"/>
      <c r="AX571" s="378"/>
      <c r="AY571" s="1161"/>
      <c r="AZ571" s="378"/>
      <c r="BA571" s="378"/>
      <c r="BB571" s="378"/>
      <c r="BC571" s="378"/>
      <c r="BD571" s="1161"/>
      <c r="BE571" s="378"/>
      <c r="BF571" s="378"/>
      <c r="BG571" s="378"/>
      <c r="BH571" s="378">
        <f t="shared" ref="BH571:BL571" si="1427">IFERROR(AVERAGE(BH569,BH570),"")</f>
        <v>1200</v>
      </c>
      <c r="BI571" s="1161">
        <f t="shared" si="1427"/>
        <v>1200</v>
      </c>
      <c r="BJ571" s="378">
        <f t="shared" si="1427"/>
        <v>1200</v>
      </c>
      <c r="BK571" s="378" t="str">
        <f t="shared" si="1427"/>
        <v/>
      </c>
      <c r="BL571" s="378" t="str">
        <f t="shared" si="1427"/>
        <v/>
      </c>
      <c r="BM571" s="378" t="str">
        <f t="shared" ref="BM571:BS571" si="1428">IFERROR(AVERAGE(BM569,BM570),"")</f>
        <v/>
      </c>
      <c r="BN571" s="1161" t="str">
        <f t="shared" si="1428"/>
        <v/>
      </c>
      <c r="BO571" s="378" t="str">
        <f t="shared" si="1428"/>
        <v/>
      </c>
      <c r="BP571" s="378" t="str">
        <f t="shared" si="1428"/>
        <v/>
      </c>
      <c r="BQ571" s="378" t="str">
        <f t="shared" si="1428"/>
        <v/>
      </c>
      <c r="BR571" s="378" t="str">
        <f t="shared" si="1428"/>
        <v/>
      </c>
      <c r="BS571" s="1161" t="str">
        <f t="shared" si="1428"/>
        <v/>
      </c>
      <c r="BT571" s="378" t="str">
        <f t="shared" ref="BT571:BY571" si="1429">IFERROR(AVERAGE(BT569,BT570),"")</f>
        <v/>
      </c>
      <c r="BU571" s="378" t="str">
        <f t="shared" si="1429"/>
        <v/>
      </c>
      <c r="BV571" s="378" t="str">
        <f t="shared" si="1429"/>
        <v/>
      </c>
      <c r="BW571" s="378" t="str">
        <f t="shared" si="1429"/>
        <v/>
      </c>
      <c r="BX571" s="1161" t="str">
        <f t="shared" si="1429"/>
        <v/>
      </c>
      <c r="BY571" s="1006" t="str">
        <f t="shared" si="1429"/>
        <v/>
      </c>
      <c r="BZ571" s="378"/>
      <c r="CA571" s="378"/>
      <c r="CB571" s="378"/>
      <c r="CC571" s="1161"/>
      <c r="CD571" s="378"/>
      <c r="CE571" s="378"/>
      <c r="CF571" s="378"/>
      <c r="CG571" s="378"/>
      <c r="CH571" s="1161"/>
      <c r="CI571" s="1161"/>
      <c r="CJ571" s="1161"/>
      <c r="CK571" s="1161"/>
      <c r="CL571" s="93"/>
    </row>
    <row r="572" spans="1:90" ht="15" hidden="1" customHeight="1" outlineLevel="2" x14ac:dyDescent="0.3">
      <c r="A572" s="492" t="s">
        <v>1096</v>
      </c>
      <c r="B572" s="428"/>
      <c r="C572" s="1136"/>
      <c r="D572" s="1136"/>
      <c r="E572" s="1136"/>
      <c r="F572" s="1136"/>
      <c r="G572" s="93"/>
      <c r="H572" s="93"/>
      <c r="I572" s="93"/>
      <c r="J572" s="93"/>
      <c r="K572" s="1136"/>
      <c r="L572" s="93"/>
      <c r="M572" s="93"/>
      <c r="N572" s="93"/>
      <c r="O572" s="93"/>
      <c r="P572" s="1136"/>
      <c r="Q572" s="93"/>
      <c r="R572" s="93"/>
      <c r="S572" s="93"/>
      <c r="T572" s="93"/>
      <c r="U572" s="1136"/>
      <c r="V572" s="93"/>
      <c r="W572" s="93"/>
      <c r="X572" s="93"/>
      <c r="Y572" s="93"/>
      <c r="Z572" s="1136"/>
      <c r="AA572" s="93"/>
      <c r="AB572" s="93"/>
      <c r="AC572" s="93"/>
      <c r="AD572" s="93"/>
      <c r="AE572" s="1136"/>
      <c r="AF572" s="93"/>
      <c r="AG572" s="93"/>
      <c r="AH572" s="93"/>
      <c r="AI572" s="93"/>
      <c r="AJ572" s="1136"/>
      <c r="AK572" s="93"/>
      <c r="AL572" s="93"/>
      <c r="AM572" s="93"/>
      <c r="AN572" s="93"/>
      <c r="AO572" s="1136"/>
      <c r="AP572" s="93"/>
      <c r="AQ572" s="93"/>
      <c r="AR572" s="93"/>
      <c r="AS572" s="93"/>
      <c r="AT572" s="1136"/>
      <c r="AU572" s="93"/>
      <c r="AV572" s="93"/>
      <c r="AW572" s="93"/>
      <c r="AX572" s="93"/>
      <c r="AY572" s="1136"/>
      <c r="AZ572" s="93"/>
      <c r="BA572" s="93"/>
      <c r="BB572" s="93"/>
      <c r="BC572" s="93"/>
      <c r="BD572" s="1136"/>
      <c r="BE572" s="93"/>
      <c r="BF572" s="93"/>
      <c r="BG572" s="93"/>
      <c r="BH572" s="93">
        <f t="shared" ref="BH572:BL572" si="1430">IFERROR(ABS(BH570-BH569),"")</f>
        <v>200</v>
      </c>
      <c r="BI572" s="1136">
        <f t="shared" si="1430"/>
        <v>200</v>
      </c>
      <c r="BJ572" s="93">
        <f t="shared" si="1430"/>
        <v>200</v>
      </c>
      <c r="BK572" s="93">
        <f t="shared" si="1430"/>
        <v>0</v>
      </c>
      <c r="BL572" s="93">
        <f t="shared" si="1430"/>
        <v>0</v>
      </c>
      <c r="BM572" s="93">
        <f t="shared" ref="BM572:BS572" si="1431">IFERROR(ABS(BM570-BM569),"")</f>
        <v>0</v>
      </c>
      <c r="BN572" s="1136">
        <f t="shared" si="1431"/>
        <v>0</v>
      </c>
      <c r="BO572" s="93">
        <f t="shared" si="1431"/>
        <v>0</v>
      </c>
      <c r="BP572" s="93">
        <f t="shared" si="1431"/>
        <v>0</v>
      </c>
      <c r="BQ572" s="93">
        <f t="shared" si="1431"/>
        <v>0</v>
      </c>
      <c r="BR572" s="93">
        <f t="shared" si="1431"/>
        <v>0</v>
      </c>
      <c r="BS572" s="1136">
        <f t="shared" si="1431"/>
        <v>0</v>
      </c>
      <c r="BT572" s="93">
        <f t="shared" ref="BT572:BY572" si="1432">IFERROR(ABS(BT570-BT569),"")</f>
        <v>0</v>
      </c>
      <c r="BU572" s="93">
        <f t="shared" si="1432"/>
        <v>0</v>
      </c>
      <c r="BV572" s="93">
        <f t="shared" si="1432"/>
        <v>0</v>
      </c>
      <c r="BW572" s="93">
        <f t="shared" si="1432"/>
        <v>0</v>
      </c>
      <c r="BX572" s="1136">
        <f t="shared" si="1432"/>
        <v>0</v>
      </c>
      <c r="BY572" s="522">
        <f t="shared" si="1432"/>
        <v>0</v>
      </c>
      <c r="BZ572" s="93"/>
      <c r="CA572" s="93"/>
      <c r="CB572" s="93"/>
      <c r="CC572" s="1136"/>
      <c r="CD572" s="93"/>
      <c r="CE572" s="93"/>
      <c r="CF572" s="93"/>
      <c r="CG572" s="93"/>
      <c r="CH572" s="1136"/>
      <c r="CI572" s="1136"/>
      <c r="CJ572" s="1136"/>
      <c r="CK572" s="1136"/>
      <c r="CL572" s="93"/>
    </row>
    <row r="573" spans="1:90" ht="15" hidden="1" customHeight="1" outlineLevel="2" x14ac:dyDescent="0.3">
      <c r="A573" s="647" t="s">
        <v>1097</v>
      </c>
      <c r="B573" s="428"/>
      <c r="C573" s="1128" t="str">
        <f t="shared" ref="C573:AG573" si="1433">IFERROR(ABS((C570-C571)/C571),"")</f>
        <v/>
      </c>
      <c r="D573" s="1128" t="str">
        <f t="shared" si="1433"/>
        <v/>
      </c>
      <c r="E573" s="1128" t="str">
        <f t="shared" si="1433"/>
        <v/>
      </c>
      <c r="F573" s="1128" t="str">
        <f t="shared" si="1433"/>
        <v/>
      </c>
      <c r="G573" s="315" t="str">
        <f t="shared" si="1433"/>
        <v/>
      </c>
      <c r="H573" s="315" t="str">
        <f t="shared" si="1433"/>
        <v/>
      </c>
      <c r="I573" s="315" t="str">
        <f t="shared" si="1433"/>
        <v/>
      </c>
      <c r="J573" s="315" t="str">
        <f t="shared" si="1433"/>
        <v/>
      </c>
      <c r="K573" s="1128" t="str">
        <f t="shared" si="1433"/>
        <v/>
      </c>
      <c r="L573" s="315" t="str">
        <f t="shared" si="1433"/>
        <v/>
      </c>
      <c r="M573" s="315" t="str">
        <f t="shared" si="1433"/>
        <v/>
      </c>
      <c r="N573" s="315" t="str">
        <f t="shared" si="1433"/>
        <v/>
      </c>
      <c r="O573" s="315" t="str">
        <f t="shared" si="1433"/>
        <v/>
      </c>
      <c r="P573" s="1128" t="str">
        <f t="shared" si="1433"/>
        <v/>
      </c>
      <c r="Q573" s="315" t="str">
        <f t="shared" si="1433"/>
        <v/>
      </c>
      <c r="R573" s="315" t="str">
        <f t="shared" si="1433"/>
        <v/>
      </c>
      <c r="S573" s="315" t="str">
        <f t="shared" si="1433"/>
        <v/>
      </c>
      <c r="T573" s="315" t="str">
        <f t="shared" si="1433"/>
        <v/>
      </c>
      <c r="U573" s="1128" t="str">
        <f t="shared" si="1433"/>
        <v/>
      </c>
      <c r="V573" s="315" t="str">
        <f t="shared" si="1433"/>
        <v/>
      </c>
      <c r="W573" s="315" t="str">
        <f t="shared" si="1433"/>
        <v/>
      </c>
      <c r="X573" s="315" t="str">
        <f t="shared" si="1433"/>
        <v/>
      </c>
      <c r="Y573" s="315" t="str">
        <f t="shared" si="1433"/>
        <v/>
      </c>
      <c r="Z573" s="1128" t="str">
        <f t="shared" si="1433"/>
        <v/>
      </c>
      <c r="AA573" s="315" t="str">
        <f t="shared" si="1433"/>
        <v/>
      </c>
      <c r="AB573" s="315" t="str">
        <f t="shared" si="1433"/>
        <v/>
      </c>
      <c r="AC573" s="315" t="str">
        <f t="shared" si="1433"/>
        <v/>
      </c>
      <c r="AD573" s="315" t="str">
        <f t="shared" si="1433"/>
        <v/>
      </c>
      <c r="AE573" s="1128" t="str">
        <f t="shared" si="1433"/>
        <v/>
      </c>
      <c r="AF573" s="315" t="str">
        <f t="shared" si="1433"/>
        <v/>
      </c>
      <c r="AG573" s="315" t="str">
        <f t="shared" si="1433"/>
        <v/>
      </c>
      <c r="AH573" s="315"/>
      <c r="AI573" s="315"/>
      <c r="AJ573" s="1128"/>
      <c r="AK573" s="315"/>
      <c r="AL573" s="315"/>
      <c r="AM573" s="315"/>
      <c r="AN573" s="315"/>
      <c r="AO573" s="1128"/>
      <c r="AP573" s="315"/>
      <c r="AQ573" s="315"/>
      <c r="AR573" s="315"/>
      <c r="AS573" s="315"/>
      <c r="AT573" s="1128"/>
      <c r="AU573" s="315"/>
      <c r="AV573" s="315"/>
      <c r="AW573" s="315"/>
      <c r="AX573" s="315"/>
      <c r="AY573" s="1128"/>
      <c r="AZ573" s="315"/>
      <c r="BA573" s="315"/>
      <c r="BB573" s="315"/>
      <c r="BC573" s="315"/>
      <c r="BD573" s="1128"/>
      <c r="BE573" s="315"/>
      <c r="BF573" s="315"/>
      <c r="BG573" s="315"/>
      <c r="BH573" s="315">
        <f t="shared" ref="BH573:BL573" si="1434">IFERROR(ABS((BH570-BH571)/BH571),"")</f>
        <v>8.3333333333333329E-2</v>
      </c>
      <c r="BI573" s="1128">
        <f t="shared" si="1434"/>
        <v>8.3333333333333329E-2</v>
      </c>
      <c r="BJ573" s="315">
        <f t="shared" si="1434"/>
        <v>8.3333333333333329E-2</v>
      </c>
      <c r="BK573" s="315" t="str">
        <f t="shared" si="1434"/>
        <v/>
      </c>
      <c r="BL573" s="315" t="str">
        <f t="shared" si="1434"/>
        <v/>
      </c>
      <c r="BM573" s="315" t="str">
        <f t="shared" ref="BM573:BS573" si="1435">IFERROR(ABS((BM570-BM571)/BM571),"")</f>
        <v/>
      </c>
      <c r="BN573" s="1128" t="str">
        <f t="shared" si="1435"/>
        <v/>
      </c>
      <c r="BO573" s="315" t="str">
        <f t="shared" si="1435"/>
        <v/>
      </c>
      <c r="BP573" s="315" t="str">
        <f t="shared" si="1435"/>
        <v/>
      </c>
      <c r="BQ573" s="315" t="str">
        <f t="shared" si="1435"/>
        <v/>
      </c>
      <c r="BR573" s="315" t="str">
        <f t="shared" si="1435"/>
        <v/>
      </c>
      <c r="BS573" s="1128" t="str">
        <f t="shared" si="1435"/>
        <v/>
      </c>
      <c r="BT573" s="315" t="str">
        <f t="shared" ref="BT573:BY573" si="1436">IFERROR(ABS((BT570-BT571)/BT571),"")</f>
        <v/>
      </c>
      <c r="BU573" s="315" t="str">
        <f t="shared" si="1436"/>
        <v/>
      </c>
      <c r="BV573" s="315" t="str">
        <f t="shared" si="1436"/>
        <v/>
      </c>
      <c r="BW573" s="315" t="str">
        <f t="shared" si="1436"/>
        <v/>
      </c>
      <c r="BX573" s="1128" t="str">
        <f t="shared" si="1436"/>
        <v/>
      </c>
      <c r="BY573" s="897" t="str">
        <f t="shared" si="1436"/>
        <v/>
      </c>
      <c r="BZ573" s="315"/>
      <c r="CA573" s="315"/>
      <c r="CB573" s="315"/>
      <c r="CC573" s="1128"/>
      <c r="CD573" s="315"/>
      <c r="CE573" s="315"/>
      <c r="CF573" s="315"/>
      <c r="CG573" s="315"/>
      <c r="CH573" s="1128"/>
      <c r="CI573" s="1128"/>
      <c r="CJ573" s="1128"/>
      <c r="CK573" s="1128"/>
      <c r="CL573" s="93"/>
    </row>
    <row r="574" spans="1:90" ht="15" hidden="1" customHeight="1" outlineLevel="1" collapsed="1" x14ac:dyDescent="0.3">
      <c r="A574" s="799"/>
      <c r="B574" s="428"/>
      <c r="C574" s="1136"/>
      <c r="D574" s="1136"/>
      <c r="E574" s="1136"/>
      <c r="F574" s="1136"/>
      <c r="G574" s="93"/>
      <c r="H574" s="93"/>
      <c r="I574" s="93"/>
      <c r="J574" s="93"/>
      <c r="K574" s="1136"/>
      <c r="L574" s="93"/>
      <c r="M574" s="93"/>
      <c r="N574" s="93"/>
      <c r="O574" s="93"/>
      <c r="P574" s="1136"/>
      <c r="Q574" s="93"/>
      <c r="R574" s="93"/>
      <c r="S574" s="93"/>
      <c r="T574" s="93"/>
      <c r="U574" s="1136"/>
      <c r="V574" s="93"/>
      <c r="W574" s="93"/>
      <c r="X574" s="93"/>
      <c r="Y574" s="93"/>
      <c r="Z574" s="1136"/>
      <c r="AA574" s="93"/>
      <c r="AB574" s="93"/>
      <c r="AC574" s="93"/>
      <c r="AD574" s="93"/>
      <c r="AE574" s="1136"/>
      <c r="AF574" s="93"/>
      <c r="AG574" s="93"/>
      <c r="AH574" s="93"/>
      <c r="AI574" s="93"/>
      <c r="AJ574" s="1136"/>
      <c r="AK574" s="93"/>
      <c r="AL574" s="93"/>
      <c r="AM574" s="93"/>
      <c r="AN574" s="93"/>
      <c r="AO574" s="1136"/>
      <c r="AP574" s="93"/>
      <c r="AQ574" s="93"/>
      <c r="AR574" s="93"/>
      <c r="AS574" s="93"/>
      <c r="AT574" s="1136"/>
      <c r="AU574" s="93"/>
      <c r="AV574" s="93"/>
      <c r="AW574" s="93"/>
      <c r="AX574" s="93"/>
      <c r="AY574" s="1136"/>
      <c r="AZ574" s="93"/>
      <c r="BA574" s="93"/>
      <c r="BB574" s="93"/>
      <c r="BC574" s="93"/>
      <c r="BD574" s="1136"/>
      <c r="BE574" s="93"/>
      <c r="BF574" s="93"/>
      <c r="BG574" s="93"/>
      <c r="BH574" s="93"/>
      <c r="BI574" s="1136"/>
      <c r="BJ574" s="93"/>
      <c r="BK574" s="93"/>
      <c r="BL574" s="93"/>
      <c r="BM574" s="93"/>
      <c r="BN574" s="1136"/>
      <c r="BO574" s="93"/>
      <c r="BP574" s="93"/>
      <c r="BQ574" s="93"/>
      <c r="BR574" s="93"/>
      <c r="BS574" s="1136"/>
      <c r="BT574" s="93"/>
      <c r="BU574" s="93"/>
      <c r="BV574" s="93"/>
      <c r="BW574" s="93"/>
      <c r="BX574" s="1136"/>
      <c r="BY574" s="522"/>
      <c r="BZ574" s="93"/>
      <c r="CA574" s="93"/>
      <c r="CB574" s="93"/>
      <c r="CC574" s="1136"/>
      <c r="CD574" s="93"/>
      <c r="CE574" s="93"/>
      <c r="CF574" s="93"/>
      <c r="CG574" s="93"/>
      <c r="CH574" s="1136"/>
      <c r="CI574" s="1136"/>
      <c r="CJ574" s="1136"/>
      <c r="CK574" s="1136"/>
      <c r="CL574" s="93"/>
    </row>
    <row r="575" spans="1:90" ht="15" hidden="1" customHeight="1" outlineLevel="1" x14ac:dyDescent="0.3">
      <c r="A575" s="493" t="s">
        <v>1017</v>
      </c>
      <c r="B575" s="494"/>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c r="AY575" s="45"/>
      <c r="AZ575" s="45"/>
      <c r="BA575" s="45"/>
      <c r="BB575" s="45"/>
      <c r="BC575" s="45"/>
      <c r="BD575" s="45"/>
      <c r="BE575" s="45"/>
      <c r="BF575" s="45"/>
      <c r="BG575" s="45"/>
      <c r="BH575" s="45"/>
      <c r="BI575" s="45"/>
      <c r="BJ575" s="45"/>
      <c r="BK575" s="45"/>
      <c r="BL575" s="45"/>
      <c r="BM575" s="45"/>
      <c r="BN575" s="45"/>
      <c r="BO575" s="45"/>
      <c r="BP575" s="45"/>
      <c r="BQ575" s="45"/>
      <c r="BR575" s="45"/>
      <c r="BS575" s="45"/>
      <c r="BT575" s="45"/>
      <c r="BU575" s="45"/>
      <c r="BV575" s="45"/>
      <c r="BW575" s="45"/>
      <c r="BX575" s="45"/>
      <c r="BY575" s="881"/>
      <c r="BZ575" s="45"/>
      <c r="CA575" s="45"/>
      <c r="CB575" s="45"/>
      <c r="CC575" s="45"/>
      <c r="CD575" s="45"/>
      <c r="CE575" s="45"/>
      <c r="CF575" s="45"/>
      <c r="CG575" s="45"/>
      <c r="CH575" s="45"/>
      <c r="CI575" s="45"/>
      <c r="CJ575" s="45"/>
      <c r="CK575" s="45"/>
      <c r="CL575" s="228"/>
    </row>
    <row r="576" spans="1:90" ht="15" hidden="1" customHeight="1" outlineLevel="2" x14ac:dyDescent="0.3">
      <c r="A576" s="492" t="s">
        <v>1018</v>
      </c>
      <c r="B576" s="428"/>
      <c r="C576" s="1136"/>
      <c r="D576" s="1136"/>
      <c r="E576" s="1136"/>
      <c r="F576" s="1136"/>
      <c r="G576" s="93"/>
      <c r="H576" s="93"/>
      <c r="I576" s="93"/>
      <c r="J576" s="93"/>
      <c r="K576" s="1136"/>
      <c r="L576" s="93"/>
      <c r="M576" s="93"/>
      <c r="N576" s="93"/>
      <c r="O576" s="93"/>
      <c r="P576" s="1136"/>
      <c r="Q576" s="93"/>
      <c r="R576" s="93"/>
      <c r="S576" s="93"/>
      <c r="T576" s="93"/>
      <c r="U576" s="1136"/>
      <c r="V576" s="93"/>
      <c r="W576" s="93"/>
      <c r="X576" s="93"/>
      <c r="Y576" s="93"/>
      <c r="Z576" s="1136"/>
      <c r="AA576" s="93"/>
      <c r="AB576" s="93"/>
      <c r="AC576" s="93"/>
      <c r="AD576" s="93"/>
      <c r="AE576" s="1136"/>
      <c r="AF576" s="93"/>
      <c r="AG576" s="93"/>
      <c r="AH576" s="93" t="str">
        <f>IF(ISBLANK(AG596),"",AG596)</f>
        <v/>
      </c>
      <c r="AI576" s="93">
        <f>IF(ISBLANK(AH596),"",AH596)</f>
        <v>2650</v>
      </c>
      <c r="AJ576" s="1136" t="str">
        <f>IF(ISBLANK(AD613),"",AD613)</f>
        <v/>
      </c>
      <c r="AK576" s="93">
        <f>IF(ISBLANK(AI596),"",AI596)</f>
        <v>2900</v>
      </c>
      <c r="AL576" s="93">
        <f>IF(ISBLANK(AK596),"",AK596)</f>
        <v>3100</v>
      </c>
      <c r="AM576" s="93">
        <f>IF(ISBLANK(AL596),"",AL596)</f>
        <v>3250</v>
      </c>
      <c r="AN576" s="93">
        <f>IF(ISBLANK(AM596),"",AM596)</f>
        <v>2700</v>
      </c>
      <c r="AO576" s="1136" t="str">
        <f>IF(ISBLANK(AI613),"",AI613)</f>
        <v/>
      </c>
      <c r="AP576" s="93">
        <f>IF(ISBLANK(AN596),"",AN596)</f>
        <v>2200</v>
      </c>
      <c r="AQ576" s="93">
        <f>IF(ISBLANK(AP596),"",AP596)</f>
        <v>2550</v>
      </c>
      <c r="AR576" s="93">
        <f>IF(ISBLANK(AQ596),"",AQ596)</f>
        <v>2900</v>
      </c>
      <c r="AS576" s="93">
        <f>IF(ISBLANK(AR596),"",AR596)</f>
        <v>2950</v>
      </c>
      <c r="AT576" s="1136" t="str">
        <f>IF(ISBLANK(AN613),"",AN613)</f>
        <v/>
      </c>
      <c r="AU576" s="93">
        <f>IF(ISBLANK(AS596),"",AS596)</f>
        <v>3000</v>
      </c>
      <c r="AV576" s="93">
        <f>IF(ISBLANK(AU596),"",AU596)</f>
        <v>3650</v>
      </c>
      <c r="AW576" s="93">
        <f>IF(ISBLANK(AV596),"",AV596)</f>
        <v>4400</v>
      </c>
      <c r="AX576" s="93">
        <f>IF(ISBLANK(AW596),"",AW596)</f>
        <v>4800</v>
      </c>
      <c r="AY576" s="1136" t="str">
        <f>IF(ISBLANK(AS613),"",AS613)</f>
        <v/>
      </c>
      <c r="AZ576" s="93">
        <f>IF(ISBLANK(AX596),"",AX596)</f>
        <v>5300</v>
      </c>
      <c r="BA576" s="93">
        <f>IF(ISBLANK(AZ596),"",AZ596)</f>
        <v>6300</v>
      </c>
      <c r="BB576" s="93">
        <f>IF(ISBLANK(BA596),"",BA596)</f>
        <v>6800</v>
      </c>
      <c r="BC576" s="93">
        <f>IF(ISBLANK(BB596),"",BB596)</f>
        <v>7400</v>
      </c>
      <c r="BD576" s="1136" t="str">
        <f>IF(ISBLANK(AX613),"",AX613)</f>
        <v/>
      </c>
      <c r="BE576" s="93">
        <f>IF(ISBLANK(BC596),"",BC596)</f>
        <v>8100</v>
      </c>
      <c r="BF576" s="93">
        <f>IF(ISBLANK(BE596),"",BE596)</f>
        <v>8100</v>
      </c>
      <c r="BG576" s="93">
        <f>IF(ISBLANK(BF596),"",BF596)</f>
        <v>5900</v>
      </c>
      <c r="BH576" s="93">
        <f>IF(ISBLANK(BG596),"",BG596)</f>
        <v>6000</v>
      </c>
      <c r="BI576" s="1136" t="str">
        <f>IF(ISBLANK(BC613),"",BC613)</f>
        <v/>
      </c>
      <c r="BJ576" s="93">
        <f>IF(ISBLANK(BH596),"",BH596)</f>
        <v>6500</v>
      </c>
      <c r="BK576" s="93">
        <f>IF(ISBLANK(BJ596),"",BJ596)</f>
        <v>11000</v>
      </c>
      <c r="BL576" s="93">
        <f>IF(ISBLANK(BK596),"",BK596)</f>
        <v>16000</v>
      </c>
      <c r="BM576" s="93">
        <f>IF(ISBLANK(BL596),"",BL596)</f>
        <v>20000</v>
      </c>
      <c r="BN576" s="1136" t="str">
        <f>IF(ISBLANK(BH613),"",BH613)</f>
        <v/>
      </c>
      <c r="BO576" s="93">
        <f>IF(ISBLANK(BM596),"",BM596)</f>
        <v>24000</v>
      </c>
      <c r="BP576" s="93">
        <f>IF(ISBLANK(BO596),"",BO596)</f>
        <v>28000</v>
      </c>
      <c r="BQ576" s="93">
        <f>IF(ISBLANK(BP596),"",BP596)</f>
        <v>32500</v>
      </c>
      <c r="BR576" s="93">
        <f>IF(ISBLANK(BQ596),"",BQ596)</f>
        <v>37500</v>
      </c>
      <c r="BS576" s="1136" t="str">
        <f>IF(ISBLANK(BM613),"",BM613)</f>
        <v/>
      </c>
      <c r="BT576" s="93">
        <f>IF(ISBLANK(BR596),"",BR596)</f>
        <v>43000</v>
      </c>
      <c r="BU576" s="93">
        <f>IF(ISBLANK(BT596),"",BT596)</f>
        <v>45000</v>
      </c>
      <c r="BV576" s="93">
        <f>IF(ISBLANK(BU596),"",BU596)</f>
        <v>54000</v>
      </c>
      <c r="BW576" s="93">
        <f>IF(ISBLANK(BV596),"",BV596)</f>
        <v>65000</v>
      </c>
      <c r="BX576" s="1136" t="str">
        <f>IF(ISBLANK(BR613),"",BR613)</f>
        <v/>
      </c>
      <c r="BY576" s="522">
        <f>IF(ISBLANK(BW596),"",BW596)</f>
        <v>78000</v>
      </c>
      <c r="BZ576" s="93">
        <f>IF(ISBLANK(BY596),"",BY596)</f>
        <v>91000</v>
      </c>
      <c r="CA576" s="93" t="str">
        <f>IF(ISBLANK(BZ596),"",BZ596)</f>
        <v/>
      </c>
      <c r="CB576" s="93" t="str">
        <f>IF(ISBLANK(CA596),"",CA596)</f>
        <v/>
      </c>
      <c r="CC576" s="1136" t="str">
        <f>IF(ISBLANK(BW613),"",BW613)</f>
        <v/>
      </c>
      <c r="CD576" s="93" t="str">
        <f>IF(ISBLANK(CB596),"",CB596)</f>
        <v/>
      </c>
      <c r="CE576" s="93" t="str">
        <f>IF(ISBLANK(CD596),"",CD596)</f>
        <v/>
      </c>
      <c r="CF576" s="93" t="str">
        <f>IF(ISBLANK(CE596),"",CE596)</f>
        <v/>
      </c>
      <c r="CG576" s="93" t="str">
        <f>IF(ISBLANK(CF596),"",CF596)</f>
        <v/>
      </c>
      <c r="CH576" s="1136" t="str">
        <f>IF(ISBLANK(CB613),"",CB613)</f>
        <v/>
      </c>
      <c r="CI576" s="1136"/>
      <c r="CJ576" s="1136"/>
      <c r="CK576" s="1136"/>
      <c r="CL576" s="93"/>
    </row>
    <row r="577" spans="1:90" ht="15" hidden="1" customHeight="1" outlineLevel="2" x14ac:dyDescent="0.3">
      <c r="A577" s="492" t="s">
        <v>1019</v>
      </c>
      <c r="B577" s="428"/>
      <c r="C577" s="1136"/>
      <c r="D577" s="1136"/>
      <c r="E577" s="1136"/>
      <c r="F577" s="1136"/>
      <c r="G577" s="93"/>
      <c r="H577" s="93"/>
      <c r="I577" s="93"/>
      <c r="J577" s="93"/>
      <c r="K577" s="1136"/>
      <c r="L577" s="93"/>
      <c r="M577" s="93"/>
      <c r="N577" s="93"/>
      <c r="O577" s="93"/>
      <c r="P577" s="1136"/>
      <c r="Q577" s="93"/>
      <c r="R577" s="93"/>
      <c r="S577" s="93"/>
      <c r="T577" s="93"/>
      <c r="U577" s="1136"/>
      <c r="V577" s="93"/>
      <c r="W577" s="93"/>
      <c r="X577" s="93"/>
      <c r="Y577" s="93"/>
      <c r="Z577" s="1136"/>
      <c r="AA577" s="93"/>
      <c r="AB577" s="93"/>
      <c r="AC577" s="93"/>
      <c r="AD577" s="93"/>
      <c r="AE577" s="1136"/>
      <c r="AF577" s="93"/>
      <c r="AG577" s="93"/>
      <c r="AH577" s="93"/>
      <c r="AI577" s="93"/>
      <c r="AJ577" s="1136" t="str">
        <f>IF(ISBLANK(AF613),"",AF613)</f>
        <v/>
      </c>
      <c r="AK577" s="93"/>
      <c r="AL577" s="93"/>
      <c r="AM577" s="93"/>
      <c r="AN577" s="93"/>
      <c r="AO577" s="1136" t="str">
        <f>IF(ISBLANK(AK613),"",AK613)</f>
        <v/>
      </c>
      <c r="AP577" s="93"/>
      <c r="AQ577" s="93"/>
      <c r="AR577" s="93"/>
      <c r="AS577" s="93"/>
      <c r="AT577" s="1136" t="str">
        <f>IF(ISBLANK(AP613),"",AP613)</f>
        <v/>
      </c>
      <c r="AU577" s="93"/>
      <c r="AV577" s="93"/>
      <c r="AW577" s="93"/>
      <c r="AX577" s="93"/>
      <c r="AY577" s="1136" t="str">
        <f>IF(ISBLANK(AU613),"",AU613)</f>
        <v/>
      </c>
      <c r="AZ577" s="93"/>
      <c r="BA577" s="93"/>
      <c r="BB577" s="93"/>
      <c r="BC577" s="93"/>
      <c r="BD577" s="1136" t="str">
        <f>IF(ISBLANK(AZ613),"",AZ613)</f>
        <v/>
      </c>
      <c r="BE577" s="93"/>
      <c r="BF577" s="93"/>
      <c r="BG577" s="93"/>
      <c r="BH577" s="93"/>
      <c r="BI577" s="1136" t="str">
        <f>IF(ISBLANK(BE613),"",BE613)</f>
        <v/>
      </c>
      <c r="BJ577" s="93"/>
      <c r="BK577" s="93"/>
      <c r="BL577" s="93"/>
      <c r="BM577" s="93"/>
      <c r="BN577" s="1136" t="str">
        <f>IF(ISBLANK(BJ613),"",BJ613)</f>
        <v/>
      </c>
      <c r="BO577" s="93"/>
      <c r="BP577" s="93"/>
      <c r="BQ577" s="93"/>
      <c r="BR577" s="93"/>
      <c r="BS577" s="1136" t="str">
        <f>IF(ISBLANK(BO613),"",BO613)</f>
        <v/>
      </c>
      <c r="BT577" s="93"/>
      <c r="BU577" s="93"/>
      <c r="BV577" s="93"/>
      <c r="BW577" s="93"/>
      <c r="BX577" s="1136" t="str">
        <f>IF(ISBLANK(BT613),"",BT613)</f>
        <v/>
      </c>
      <c r="BY577" s="522"/>
      <c r="BZ577" s="93"/>
      <c r="CA577" s="93"/>
      <c r="CB577" s="93"/>
      <c r="CC577" s="1136" t="str">
        <f>IF(ISBLANK(BY613),"",BY613)</f>
        <v/>
      </c>
      <c r="CD577" s="93"/>
      <c r="CE577" s="93"/>
      <c r="CF577" s="93"/>
      <c r="CG577" s="93"/>
      <c r="CH577" s="1136" t="str">
        <f>IF(ISBLANK(CD613),"",CD613)</f>
        <v/>
      </c>
      <c r="CI577" s="1136"/>
      <c r="CJ577" s="1136"/>
      <c r="CK577" s="1136"/>
      <c r="CL577" s="93"/>
    </row>
    <row r="578" spans="1:90" ht="15" hidden="1" customHeight="1" outlineLevel="2" x14ac:dyDescent="0.3">
      <c r="A578" s="492" t="s">
        <v>1020</v>
      </c>
      <c r="B578" s="428"/>
      <c r="C578" s="1136"/>
      <c r="D578" s="1136"/>
      <c r="E578" s="1136"/>
      <c r="F578" s="1136"/>
      <c r="G578" s="93"/>
      <c r="H578" s="93"/>
      <c r="I578" s="93"/>
      <c r="J578" s="93"/>
      <c r="K578" s="1136"/>
      <c r="L578" s="93"/>
      <c r="M578" s="93"/>
      <c r="N578" s="93"/>
      <c r="O578" s="93"/>
      <c r="P578" s="1136"/>
      <c r="Q578" s="93"/>
      <c r="R578" s="93"/>
      <c r="S578" s="93"/>
      <c r="T578" s="93"/>
      <c r="U578" s="1136"/>
      <c r="V578" s="93"/>
      <c r="W578" s="93"/>
      <c r="X578" s="93"/>
      <c r="Y578" s="93"/>
      <c r="Z578" s="1136"/>
      <c r="AA578" s="93"/>
      <c r="AB578" s="93"/>
      <c r="AC578" s="93"/>
      <c r="AD578" s="93"/>
      <c r="AE578" s="1136"/>
      <c r="AF578" s="93"/>
      <c r="AG578" s="93"/>
      <c r="AH578" s="93"/>
      <c r="AI578" s="93"/>
      <c r="AJ578" s="1136" t="str">
        <f>IF(ISBLANK(AG613),"",AG613)</f>
        <v/>
      </c>
      <c r="AK578" s="93"/>
      <c r="AL578" s="93"/>
      <c r="AM578" s="93"/>
      <c r="AN578" s="93"/>
      <c r="AO578" s="1136" t="str">
        <f>IF(ISBLANK(AL613),"",AL613)</f>
        <v/>
      </c>
      <c r="AP578" s="93"/>
      <c r="AQ578" s="93"/>
      <c r="AR578" s="93"/>
      <c r="AS578" s="93"/>
      <c r="AT578" s="1136" t="str">
        <f>IF(ISBLANK(AQ613),"",AQ613)</f>
        <v/>
      </c>
      <c r="AU578" s="93"/>
      <c r="AV578" s="93"/>
      <c r="AW578" s="93"/>
      <c r="AX578" s="93"/>
      <c r="AY578" s="1136" t="str">
        <f>IF(ISBLANK(AV613),"",AV613)</f>
        <v/>
      </c>
      <c r="AZ578" s="93"/>
      <c r="BA578" s="93"/>
      <c r="BB578" s="93"/>
      <c r="BC578" s="93"/>
      <c r="BD578" s="1136" t="str">
        <f>IF(ISBLANK(BA613),"",BA613)</f>
        <v/>
      </c>
      <c r="BE578" s="93"/>
      <c r="BF578" s="93"/>
      <c r="BG578" s="93"/>
      <c r="BH578" s="93"/>
      <c r="BI578" s="1136" t="str">
        <f>IF(ISBLANK(BF613),"",BF613)</f>
        <v/>
      </c>
      <c r="BJ578" s="93"/>
      <c r="BK578" s="93"/>
      <c r="BL578" s="93"/>
      <c r="BM578" s="93"/>
      <c r="BN578" s="1136" t="str">
        <f>IF(ISBLANK(BK613),"",BK613)</f>
        <v/>
      </c>
      <c r="BO578" s="93"/>
      <c r="BP578" s="93"/>
      <c r="BQ578" s="93"/>
      <c r="BR578" s="93"/>
      <c r="BS578" s="1136" t="str">
        <f>IF(ISBLANK(BP613),"",BP613)</f>
        <v/>
      </c>
      <c r="BT578" s="93"/>
      <c r="BU578" s="93"/>
      <c r="BV578" s="93"/>
      <c r="BW578" s="93"/>
      <c r="BX578" s="1136" t="str">
        <f>IF(ISBLANK(BU613),"",BU613)</f>
        <v/>
      </c>
      <c r="BY578" s="522"/>
      <c r="BZ578" s="93"/>
      <c r="CA578" s="93"/>
      <c r="CB578" s="93"/>
      <c r="CC578" s="1136" t="str">
        <f>IF(ISBLANK(BZ613),"",BZ613)</f>
        <v/>
      </c>
      <c r="CD578" s="93"/>
      <c r="CE578" s="93"/>
      <c r="CF578" s="93"/>
      <c r="CG578" s="93"/>
      <c r="CH578" s="1136" t="str">
        <f>IF(ISBLANK(CE613),"",CE613)</f>
        <v/>
      </c>
      <c r="CI578" s="1136"/>
      <c r="CJ578" s="1136"/>
      <c r="CK578" s="1136"/>
      <c r="CL578" s="93"/>
    </row>
    <row r="579" spans="1:90" ht="15" hidden="1" customHeight="1" outlineLevel="2" x14ac:dyDescent="0.3">
      <c r="A579" s="812" t="s">
        <v>1021</v>
      </c>
      <c r="B579" s="718"/>
      <c r="C579" s="1131"/>
      <c r="D579" s="1131"/>
      <c r="E579" s="1131"/>
      <c r="F579" s="1131"/>
      <c r="G579" s="882"/>
      <c r="H579" s="882"/>
      <c r="I579" s="882"/>
      <c r="J579" s="882"/>
      <c r="K579" s="1131"/>
      <c r="L579" s="882"/>
      <c r="M579" s="882"/>
      <c r="N579" s="882"/>
      <c r="O579" s="882"/>
      <c r="P579" s="1131"/>
      <c r="Q579" s="882"/>
      <c r="R579" s="882"/>
      <c r="S579" s="882"/>
      <c r="T579" s="882"/>
      <c r="U579" s="1131"/>
      <c r="V579" s="882"/>
      <c r="W579" s="882"/>
      <c r="X579" s="882"/>
      <c r="Y579" s="882"/>
      <c r="Z579" s="1131"/>
      <c r="AA579" s="882"/>
      <c r="AB579" s="882"/>
      <c r="AC579" s="882"/>
      <c r="AD579" s="882"/>
      <c r="AE579" s="1131"/>
      <c r="AF579" s="882"/>
      <c r="AG579" s="882"/>
      <c r="AH579" s="882"/>
      <c r="AI579" s="882"/>
      <c r="AJ579" s="1131" t="str">
        <f>IF(ISBLANK(AH613),"",AH613)</f>
        <v/>
      </c>
      <c r="AK579" s="882"/>
      <c r="AL579" s="882"/>
      <c r="AM579" s="882"/>
      <c r="AN579" s="882"/>
      <c r="AO579" s="1131" t="str">
        <f>IF(ISBLANK(AM613),"",AM613)</f>
        <v/>
      </c>
      <c r="AP579" s="882"/>
      <c r="AQ579" s="882"/>
      <c r="AR579" s="882"/>
      <c r="AS579" s="882"/>
      <c r="AT579" s="1131" t="str">
        <f>IF(ISBLANK(AR613),"",AR613)</f>
        <v/>
      </c>
      <c r="AU579" s="882"/>
      <c r="AV579" s="882"/>
      <c r="AW579" s="882"/>
      <c r="AX579" s="882"/>
      <c r="AY579" s="1131" t="str">
        <f>IF(ISBLANK(AW613),"",AW613)</f>
        <v/>
      </c>
      <c r="AZ579" s="882"/>
      <c r="BA579" s="882"/>
      <c r="BB579" s="882"/>
      <c r="BC579" s="882"/>
      <c r="BD579" s="1131" t="str">
        <f>IF(ISBLANK(BB613),"",BB613)</f>
        <v/>
      </c>
      <c r="BE579" s="882"/>
      <c r="BF579" s="882"/>
      <c r="BG579" s="882"/>
      <c r="BH579" s="882"/>
      <c r="BI579" s="1131" t="str">
        <f>IF(ISBLANK(BG613),"",BG613)</f>
        <v/>
      </c>
      <c r="BJ579" s="882"/>
      <c r="BK579" s="882"/>
      <c r="BL579" s="882"/>
      <c r="BM579" s="882"/>
      <c r="BN579" s="1131" t="str">
        <f>IF(ISBLANK(BL613),"",BL613)</f>
        <v/>
      </c>
      <c r="BO579" s="882"/>
      <c r="BP579" s="882"/>
      <c r="BQ579" s="882"/>
      <c r="BR579" s="882"/>
      <c r="BS579" s="1131" t="str">
        <f>IF(ISBLANK(BQ613),"",BQ613)</f>
        <v/>
      </c>
      <c r="BT579" s="882"/>
      <c r="BU579" s="882"/>
      <c r="BV579" s="882"/>
      <c r="BW579" s="882"/>
      <c r="BX579" s="1131" t="str">
        <f>IF(ISBLANK(BV613),"",BV613)</f>
        <v/>
      </c>
      <c r="BY579" s="877"/>
      <c r="BZ579" s="882"/>
      <c r="CA579" s="882"/>
      <c r="CB579" s="882"/>
      <c r="CC579" s="1131" t="str">
        <f>IF(ISBLANK(CA613),"",CA613)</f>
        <v/>
      </c>
      <c r="CD579" s="882"/>
      <c r="CE579" s="882"/>
      <c r="CF579" s="882"/>
      <c r="CG579" s="882"/>
      <c r="CH579" s="1131" t="str">
        <f>IF(ISBLANK(CF613),"",CF613)</f>
        <v/>
      </c>
      <c r="CI579" s="1131"/>
      <c r="CJ579" s="1131"/>
      <c r="CK579" s="1131"/>
      <c r="CL579" s="93"/>
    </row>
    <row r="580" spans="1:90" ht="15" hidden="1" customHeight="1" outlineLevel="1" collapsed="1" x14ac:dyDescent="0.3">
      <c r="A580" s="605" t="s">
        <v>1022</v>
      </c>
      <c r="B580" s="428"/>
      <c r="C580" s="1136"/>
      <c r="D580" s="1136"/>
      <c r="E580" s="1136"/>
      <c r="F580" s="1136"/>
      <c r="G580" s="93"/>
      <c r="H580" s="93"/>
      <c r="I580" s="93"/>
      <c r="J580" s="93"/>
      <c r="K580" s="1136"/>
      <c r="L580" s="93"/>
      <c r="M580" s="93"/>
      <c r="N580" s="93"/>
      <c r="O580" s="93"/>
      <c r="P580" s="1136"/>
      <c r="Q580" s="93"/>
      <c r="R580" s="93"/>
      <c r="S580" s="93"/>
      <c r="T580" s="93"/>
      <c r="U580" s="1136"/>
      <c r="V580" s="93"/>
      <c r="W580" s="93"/>
      <c r="X580" s="93"/>
      <c r="Y580" s="93"/>
      <c r="Z580" s="1136"/>
      <c r="AA580" s="93"/>
      <c r="AB580" s="93"/>
      <c r="AC580" s="93"/>
      <c r="AD580" s="93"/>
      <c r="AE580" s="1136"/>
      <c r="AF580" s="93"/>
      <c r="AG580" s="93"/>
      <c r="AH580" s="93" t="str">
        <f t="shared" ref="AH580:AL580" si="1437">IF(AH579="",IF(AH578="",IF(AH577="",IF(AH576="","",AH576),AH577),AH578),AH579)</f>
        <v/>
      </c>
      <c r="AI580" s="93">
        <f t="shared" si="1437"/>
        <v>2650</v>
      </c>
      <c r="AJ580" s="1136" t="str">
        <f t="shared" si="1437"/>
        <v/>
      </c>
      <c r="AK580" s="93">
        <f t="shared" si="1437"/>
        <v>2900</v>
      </c>
      <c r="AL580" s="93">
        <f t="shared" si="1437"/>
        <v>3100</v>
      </c>
      <c r="AM580" s="93">
        <f t="shared" ref="AM580:BL580" si="1438">IF(AM579="",IF(AM578="",IF(AM577="",IF(AM576="","",AM576),AM577),AM578),AM579)</f>
        <v>3250</v>
      </c>
      <c r="AN580" s="93">
        <f t="shared" si="1438"/>
        <v>2700</v>
      </c>
      <c r="AO580" s="1136" t="str">
        <f t="shared" si="1438"/>
        <v/>
      </c>
      <c r="AP580" s="93">
        <f t="shared" si="1438"/>
        <v>2200</v>
      </c>
      <c r="AQ580" s="93">
        <f t="shared" si="1438"/>
        <v>2550</v>
      </c>
      <c r="AR580" s="93">
        <f t="shared" si="1438"/>
        <v>2900</v>
      </c>
      <c r="AS580" s="93">
        <f t="shared" si="1438"/>
        <v>2950</v>
      </c>
      <c r="AT580" s="1136" t="str">
        <f t="shared" si="1438"/>
        <v/>
      </c>
      <c r="AU580" s="93">
        <f t="shared" si="1438"/>
        <v>3000</v>
      </c>
      <c r="AV580" s="93">
        <f t="shared" si="1438"/>
        <v>3650</v>
      </c>
      <c r="AW580" s="93">
        <f t="shared" si="1438"/>
        <v>4400</v>
      </c>
      <c r="AX580" s="93">
        <f t="shared" si="1438"/>
        <v>4800</v>
      </c>
      <c r="AY580" s="1136" t="str">
        <f t="shared" si="1438"/>
        <v/>
      </c>
      <c r="AZ580" s="93">
        <f t="shared" si="1438"/>
        <v>5300</v>
      </c>
      <c r="BA580" s="93">
        <f t="shared" si="1438"/>
        <v>6300</v>
      </c>
      <c r="BB580" s="93">
        <f t="shared" si="1438"/>
        <v>6800</v>
      </c>
      <c r="BC580" s="93">
        <f t="shared" si="1438"/>
        <v>7400</v>
      </c>
      <c r="BD580" s="1136" t="str">
        <f t="shared" si="1438"/>
        <v/>
      </c>
      <c r="BE580" s="93">
        <f t="shared" si="1438"/>
        <v>8100</v>
      </c>
      <c r="BF580" s="93">
        <f t="shared" si="1438"/>
        <v>8100</v>
      </c>
      <c r="BG580" s="93">
        <f t="shared" si="1438"/>
        <v>5900</v>
      </c>
      <c r="BH580" s="93">
        <f t="shared" si="1438"/>
        <v>6000</v>
      </c>
      <c r="BI580" s="1136" t="str">
        <f t="shared" si="1438"/>
        <v/>
      </c>
      <c r="BJ580" s="93">
        <f t="shared" si="1438"/>
        <v>6500</v>
      </c>
      <c r="BK580" s="93">
        <f t="shared" si="1438"/>
        <v>11000</v>
      </c>
      <c r="BL580" s="93">
        <f t="shared" si="1438"/>
        <v>16000</v>
      </c>
      <c r="BM580" s="93">
        <f>IF(BM579="",IF(BM578="",IF(BM577="",IF(BM576="","",BM576),BM577),BM578),BM579)</f>
        <v>20000</v>
      </c>
      <c r="BN580" s="1136" t="str">
        <f t="shared" ref="BN580" si="1439">IF(BN579="",IF(BN578="",IF(BN577="",IF(BN576="","",BN576),BN577),BN578),BN579)</f>
        <v/>
      </c>
      <c r="BO580" s="93">
        <f t="shared" ref="BO580:CC580" si="1440">IF(BO579="",IF(BO578="",IF(BO577="",IF(BO576="","",BO576),BO577),BO578),BO579)</f>
        <v>24000</v>
      </c>
      <c r="BP580" s="93">
        <f t="shared" si="1440"/>
        <v>28000</v>
      </c>
      <c r="BQ580" s="93">
        <f t="shared" si="1440"/>
        <v>32500</v>
      </c>
      <c r="BR580" s="93">
        <f t="shared" si="1440"/>
        <v>37500</v>
      </c>
      <c r="BS580" s="1136" t="str">
        <f t="shared" si="1440"/>
        <v/>
      </c>
      <c r="BT580" s="93">
        <f t="shared" ref="BT580:CB580" si="1441">IF(BT579="",IF(BT578="",IF(BT577="",IF(BT576="","",BT576),BT577),BT578),BT579)</f>
        <v>43000</v>
      </c>
      <c r="BU580" s="93">
        <f t="shared" si="1441"/>
        <v>45000</v>
      </c>
      <c r="BV580" s="93">
        <f t="shared" si="1441"/>
        <v>54000</v>
      </c>
      <c r="BW580" s="93">
        <f t="shared" si="1441"/>
        <v>65000</v>
      </c>
      <c r="BX580" s="1136" t="str">
        <f t="shared" si="1441"/>
        <v/>
      </c>
      <c r="BY580" s="522">
        <f>IF(BY579="",IF(BY578="",IF(BY577="",IF(BY576="","",BY576),BY577),BY578),BY579)</f>
        <v>78000</v>
      </c>
      <c r="BZ580" s="93">
        <f t="shared" si="1441"/>
        <v>91000</v>
      </c>
      <c r="CA580" s="93" t="str">
        <f t="shared" si="1441"/>
        <v/>
      </c>
      <c r="CB580" s="93" t="str">
        <f t="shared" si="1441"/>
        <v/>
      </c>
      <c r="CC580" s="1136" t="str">
        <f t="shared" si="1440"/>
        <v/>
      </c>
      <c r="CD580" s="93" t="str">
        <f>IF(CD579="",IF(CD578="",IF(CD577="",IF(CD576="","",CD576),CD577),CD578),CD579)</f>
        <v/>
      </c>
      <c r="CE580" s="93" t="str">
        <f>IF(CE579="",IF(CE578="",IF(CE577="",IF(CE576="","",CE576),CE577),CE578),CE579)</f>
        <v/>
      </c>
      <c r="CF580" s="93" t="str">
        <f>IF(CF579="",IF(CF578="",IF(CF577="",IF(CF576="","",CF576),CF577),CF578),CF579)</f>
        <v/>
      </c>
      <c r="CG580" s="93" t="str">
        <f>IF(CG579="",IF(CG578="",IF(CG577="",IF(CG576="","",CG576),CG577),CG578),CG579)</f>
        <v/>
      </c>
      <c r="CH580" s="1136" t="str">
        <f>IF(CH579="",IF(CH578="",IF(CH577="",IF(CH576="","",CH576),CH577),CH578),CH579)</f>
        <v/>
      </c>
      <c r="CI580" s="1136"/>
      <c r="CJ580" s="1136"/>
      <c r="CK580" s="1136"/>
      <c r="CL580" s="93"/>
    </row>
    <row r="581" spans="1:90" ht="15" hidden="1" customHeight="1" outlineLevel="1" x14ac:dyDescent="0.3">
      <c r="A581" s="811" t="s">
        <v>1023</v>
      </c>
      <c r="B581" s="718"/>
      <c r="C581" s="1131">
        <f t="shared" ref="C581:AH581" si="1442">+C370</f>
        <v>3424.8589999999999</v>
      </c>
      <c r="D581" s="1131">
        <f t="shared" si="1442"/>
        <v>3326.4450000000002</v>
      </c>
      <c r="E581" s="1131">
        <f t="shared" si="1442"/>
        <v>3543.3090000000002</v>
      </c>
      <c r="F581" s="1131">
        <f t="shared" si="1442"/>
        <v>3997.93</v>
      </c>
      <c r="G581" s="882">
        <f t="shared" si="1442"/>
        <v>924.87699999999995</v>
      </c>
      <c r="H581" s="882">
        <f t="shared" si="1442"/>
        <v>1044.27</v>
      </c>
      <c r="I581" s="882">
        <f t="shared" si="1442"/>
        <v>1204.1099999999999</v>
      </c>
      <c r="J581" s="882">
        <f t="shared" si="1442"/>
        <v>1106.9019999999998</v>
      </c>
      <c r="K581" s="1131">
        <f t="shared" si="1442"/>
        <v>4280.1589999999997</v>
      </c>
      <c r="L581" s="882">
        <f t="shared" si="1442"/>
        <v>954.73900000000003</v>
      </c>
      <c r="M581" s="882">
        <f t="shared" si="1442"/>
        <v>977.23800000000006</v>
      </c>
      <c r="N581" s="882">
        <f t="shared" si="1442"/>
        <v>1053.9670000000001</v>
      </c>
      <c r="O581" s="882">
        <f t="shared" si="1442"/>
        <v>1144.2180000000003</v>
      </c>
      <c r="P581" s="1131">
        <f t="shared" si="1442"/>
        <v>4130.1620000000003</v>
      </c>
      <c r="Q581" s="882">
        <f t="shared" si="1442"/>
        <v>1103</v>
      </c>
      <c r="R581" s="882">
        <f t="shared" si="1442"/>
        <v>1103</v>
      </c>
      <c r="S581" s="882">
        <f t="shared" si="1442"/>
        <v>1225</v>
      </c>
      <c r="T581" s="882">
        <f t="shared" si="1442"/>
        <v>1251</v>
      </c>
      <c r="U581" s="1131">
        <f t="shared" si="1442"/>
        <v>4682</v>
      </c>
      <c r="V581" s="882">
        <f t="shared" si="1442"/>
        <v>1151</v>
      </c>
      <c r="W581" s="882">
        <f t="shared" si="1442"/>
        <v>1153</v>
      </c>
      <c r="X581" s="882">
        <f t="shared" si="1442"/>
        <v>1305</v>
      </c>
      <c r="Y581" s="882">
        <f t="shared" si="1442"/>
        <v>1401</v>
      </c>
      <c r="Z581" s="1131">
        <f t="shared" si="1442"/>
        <v>5010</v>
      </c>
      <c r="AA581" s="882">
        <f t="shared" si="1442"/>
        <v>1305</v>
      </c>
      <c r="AB581" s="882">
        <f t="shared" si="1442"/>
        <v>1428</v>
      </c>
      <c r="AC581" s="882">
        <f t="shared" si="1442"/>
        <v>2004</v>
      </c>
      <c r="AD581" s="882">
        <f t="shared" si="1442"/>
        <v>2173</v>
      </c>
      <c r="AE581" s="1131">
        <f t="shared" si="1442"/>
        <v>6910</v>
      </c>
      <c r="AF581" s="882">
        <f t="shared" si="1442"/>
        <v>1937</v>
      </c>
      <c r="AG581" s="882">
        <f t="shared" si="1442"/>
        <v>2230</v>
      </c>
      <c r="AH581" s="882">
        <f t="shared" si="1442"/>
        <v>2636</v>
      </c>
      <c r="AI581" s="882">
        <f t="shared" ref="AI581:BL581" si="1443">+AI370</f>
        <v>2911</v>
      </c>
      <c r="AJ581" s="1131">
        <f t="shared" si="1443"/>
        <v>9714</v>
      </c>
      <c r="AK581" s="882">
        <f t="shared" si="1443"/>
        <v>3207</v>
      </c>
      <c r="AL581" s="882">
        <f t="shared" si="1443"/>
        <v>3123</v>
      </c>
      <c r="AM581" s="882">
        <f t="shared" si="1443"/>
        <v>3181</v>
      </c>
      <c r="AN581" s="882">
        <f t="shared" si="1443"/>
        <v>2205</v>
      </c>
      <c r="AO581" s="1131">
        <f t="shared" si="1443"/>
        <v>11716</v>
      </c>
      <c r="AP581" s="882">
        <f t="shared" si="1443"/>
        <v>2220</v>
      </c>
      <c r="AQ581" s="882">
        <f t="shared" si="1443"/>
        <v>2579</v>
      </c>
      <c r="AR581" s="882">
        <f t="shared" si="1443"/>
        <v>3014</v>
      </c>
      <c r="AS581" s="882">
        <f t="shared" si="1443"/>
        <v>3105</v>
      </c>
      <c r="AT581" s="1131">
        <f t="shared" si="1443"/>
        <v>10918</v>
      </c>
      <c r="AU581" s="882">
        <f t="shared" si="1443"/>
        <v>3080</v>
      </c>
      <c r="AV581" s="882">
        <f t="shared" si="1443"/>
        <v>3866</v>
      </c>
      <c r="AW581" s="882">
        <f t="shared" si="1443"/>
        <v>4726</v>
      </c>
      <c r="AX581" s="882">
        <f t="shared" si="1443"/>
        <v>5003</v>
      </c>
      <c r="AY581" s="1131">
        <f t="shared" si="1443"/>
        <v>16675</v>
      </c>
      <c r="AZ581" s="882">
        <f t="shared" si="1443"/>
        <v>5661</v>
      </c>
      <c r="BA581" s="882">
        <f t="shared" si="1443"/>
        <v>6507</v>
      </c>
      <c r="BB581" s="882">
        <f t="shared" si="1443"/>
        <v>7103</v>
      </c>
      <c r="BC581" s="882">
        <f t="shared" si="1443"/>
        <v>7643</v>
      </c>
      <c r="BD581" s="1131">
        <f t="shared" si="1443"/>
        <v>26914</v>
      </c>
      <c r="BE581" s="882">
        <f t="shared" si="1443"/>
        <v>8288</v>
      </c>
      <c r="BF581" s="882">
        <f t="shared" si="1443"/>
        <v>6704</v>
      </c>
      <c r="BG581" s="882">
        <f t="shared" si="1443"/>
        <v>5931</v>
      </c>
      <c r="BH581" s="882">
        <f t="shared" si="1443"/>
        <v>6051</v>
      </c>
      <c r="BI581" s="1131">
        <f t="shared" si="1443"/>
        <v>26974</v>
      </c>
      <c r="BJ581" s="882">
        <f t="shared" si="1443"/>
        <v>7192</v>
      </c>
      <c r="BK581" s="882">
        <f t="shared" si="1443"/>
        <v>13507</v>
      </c>
      <c r="BL581" s="882">
        <f t="shared" si="1443"/>
        <v>18120</v>
      </c>
      <c r="BM581" s="882">
        <f t="shared" ref="BM581:BN581" si="1444">+BM370</f>
        <v>22103</v>
      </c>
      <c r="BN581" s="1131">
        <f t="shared" si="1444"/>
        <v>60922</v>
      </c>
      <c r="BO581" s="882">
        <f t="shared" ref="BO581:BS581" si="1445">+BO370</f>
        <v>26044</v>
      </c>
      <c r="BP581" s="882">
        <f t="shared" si="1445"/>
        <v>30040</v>
      </c>
      <c r="BQ581" s="882">
        <f t="shared" si="1445"/>
        <v>35082</v>
      </c>
      <c r="BR581" s="882">
        <f t="shared" si="1445"/>
        <v>39331</v>
      </c>
      <c r="BS581" s="1131">
        <f t="shared" si="1445"/>
        <v>130497</v>
      </c>
      <c r="BT581" s="882">
        <f t="shared" ref="BT581:CK581" si="1446">+BT370</f>
        <v>44062</v>
      </c>
      <c r="BU581" s="882">
        <f t="shared" si="1446"/>
        <v>46743</v>
      </c>
      <c r="BV581" s="882">
        <f t="shared" si="1446"/>
        <v>57006</v>
      </c>
      <c r="BW581" s="882">
        <f t="shared" si="1446"/>
        <v>68127</v>
      </c>
      <c r="BX581" s="1131">
        <f t="shared" si="1446"/>
        <v>215938</v>
      </c>
      <c r="BY581" s="877">
        <f>+BY370</f>
        <v>81615</v>
      </c>
      <c r="BZ581" s="882">
        <f t="shared" si="1446"/>
        <v>90933.489999999991</v>
      </c>
      <c r="CA581" s="882">
        <f t="shared" si="1446"/>
        <v>91535.799999999988</v>
      </c>
      <c r="CB581" s="882">
        <f t="shared" si="1446"/>
        <v>94000.95</v>
      </c>
      <c r="CC581" s="1131">
        <f t="shared" si="1446"/>
        <v>358085.24</v>
      </c>
      <c r="CD581" s="882">
        <f t="shared" si="1446"/>
        <v>105523.55</v>
      </c>
      <c r="CE581" s="882">
        <f t="shared" si="1446"/>
        <v>117668.7395</v>
      </c>
      <c r="CF581" s="882">
        <f t="shared" si="1446"/>
        <v>114195.91999999998</v>
      </c>
      <c r="CG581" s="882">
        <f t="shared" si="1446"/>
        <v>116937.35249999998</v>
      </c>
      <c r="CH581" s="1131">
        <f t="shared" si="1446"/>
        <v>454325.56199999998</v>
      </c>
      <c r="CI581" s="1131">
        <f t="shared" si="1446"/>
        <v>541906.80114999996</v>
      </c>
      <c r="CJ581" s="1131">
        <f t="shared" si="1446"/>
        <v>636560.21689699986</v>
      </c>
      <c r="CK581" s="1131">
        <f t="shared" si="1446"/>
        <v>747962.26663246006</v>
      </c>
      <c r="CL581" s="93"/>
    </row>
    <row r="582" spans="1:90" ht="15" hidden="1" customHeight="1" outlineLevel="1" x14ac:dyDescent="0.3">
      <c r="A582" s="813" t="s">
        <v>1024</v>
      </c>
      <c r="B582" s="396"/>
      <c r="C582" s="1192"/>
      <c r="D582" s="1192"/>
      <c r="E582" s="1192"/>
      <c r="F582" s="1192"/>
      <c r="G582" s="398"/>
      <c r="H582" s="398"/>
      <c r="I582" s="398"/>
      <c r="J582" s="398"/>
      <c r="K582" s="1192"/>
      <c r="L582" s="398"/>
      <c r="M582" s="398"/>
      <c r="N582" s="398"/>
      <c r="O582" s="398"/>
      <c r="P582" s="1192"/>
      <c r="Q582" s="398"/>
      <c r="R582" s="398"/>
      <c r="S582" s="398"/>
      <c r="T582" s="398"/>
      <c r="U582" s="1192"/>
      <c r="V582" s="398"/>
      <c r="W582" s="398"/>
      <c r="X582" s="398"/>
      <c r="Y582" s="398"/>
      <c r="Z582" s="1192"/>
      <c r="AA582" s="398"/>
      <c r="AB582" s="398"/>
      <c r="AC582" s="398"/>
      <c r="AD582" s="398"/>
      <c r="AE582" s="1192"/>
      <c r="AF582" s="398"/>
      <c r="AG582" s="398"/>
      <c r="AH582" s="398" t="str">
        <f t="shared" ref="AH582:AL582" si="1447">IFERROR(AH581-AH580,"")</f>
        <v/>
      </c>
      <c r="AI582" s="398">
        <f t="shared" si="1447"/>
        <v>261</v>
      </c>
      <c r="AJ582" s="1192" t="str">
        <f t="shared" si="1447"/>
        <v/>
      </c>
      <c r="AK582" s="398">
        <f t="shared" si="1447"/>
        <v>307</v>
      </c>
      <c r="AL582" s="398">
        <f t="shared" si="1447"/>
        <v>23</v>
      </c>
      <c r="AM582" s="398">
        <f t="shared" ref="AM582:BL582" si="1448">IFERROR(AM581-AM580,"")</f>
        <v>-69</v>
      </c>
      <c r="AN582" s="398">
        <f t="shared" si="1448"/>
        <v>-495</v>
      </c>
      <c r="AO582" s="1192" t="str">
        <f t="shared" si="1448"/>
        <v/>
      </c>
      <c r="AP582" s="398">
        <f t="shared" si="1448"/>
        <v>20</v>
      </c>
      <c r="AQ582" s="398">
        <f t="shared" si="1448"/>
        <v>29</v>
      </c>
      <c r="AR582" s="398">
        <f t="shared" si="1448"/>
        <v>114</v>
      </c>
      <c r="AS582" s="398">
        <f t="shared" si="1448"/>
        <v>155</v>
      </c>
      <c r="AT582" s="1192" t="str">
        <f t="shared" si="1448"/>
        <v/>
      </c>
      <c r="AU582" s="398">
        <f t="shared" si="1448"/>
        <v>80</v>
      </c>
      <c r="AV582" s="398">
        <f t="shared" si="1448"/>
        <v>216</v>
      </c>
      <c r="AW582" s="398">
        <f t="shared" si="1448"/>
        <v>326</v>
      </c>
      <c r="AX582" s="398">
        <f t="shared" si="1448"/>
        <v>203</v>
      </c>
      <c r="AY582" s="1192" t="str">
        <f t="shared" si="1448"/>
        <v/>
      </c>
      <c r="AZ582" s="398">
        <f t="shared" si="1448"/>
        <v>361</v>
      </c>
      <c r="BA582" s="398">
        <f t="shared" si="1448"/>
        <v>207</v>
      </c>
      <c r="BB582" s="398">
        <f t="shared" si="1448"/>
        <v>303</v>
      </c>
      <c r="BC582" s="398">
        <f t="shared" si="1448"/>
        <v>243</v>
      </c>
      <c r="BD582" s="1192" t="str">
        <f t="shared" si="1448"/>
        <v/>
      </c>
      <c r="BE582" s="398">
        <f t="shared" si="1448"/>
        <v>188</v>
      </c>
      <c r="BF582" s="398">
        <f t="shared" si="1448"/>
        <v>-1396</v>
      </c>
      <c r="BG582" s="398">
        <f t="shared" si="1448"/>
        <v>31</v>
      </c>
      <c r="BH582" s="398">
        <f t="shared" si="1448"/>
        <v>51</v>
      </c>
      <c r="BI582" s="1192" t="str">
        <f t="shared" si="1448"/>
        <v/>
      </c>
      <c r="BJ582" s="398">
        <f t="shared" si="1448"/>
        <v>692</v>
      </c>
      <c r="BK582" s="398">
        <f t="shared" si="1448"/>
        <v>2507</v>
      </c>
      <c r="BL582" s="398">
        <f t="shared" si="1448"/>
        <v>2120</v>
      </c>
      <c r="BM582" s="398">
        <f>IFERROR(BM581-BM580,"")</f>
        <v>2103</v>
      </c>
      <c r="BN582" s="1192" t="str">
        <f t="shared" ref="BN582" si="1449">IFERROR(BN581-BN580,"")</f>
        <v/>
      </c>
      <c r="BO582" s="398">
        <f t="shared" ref="BO582:CC582" si="1450">IFERROR(BO581-BO580,"")</f>
        <v>2044</v>
      </c>
      <c r="BP582" s="398">
        <f t="shared" si="1450"/>
        <v>2040</v>
      </c>
      <c r="BQ582" s="398">
        <f t="shared" si="1450"/>
        <v>2582</v>
      </c>
      <c r="BR582" s="398">
        <f t="shared" si="1450"/>
        <v>1831</v>
      </c>
      <c r="BS582" s="1192" t="str">
        <f t="shared" si="1450"/>
        <v/>
      </c>
      <c r="BT582" s="398">
        <f t="shared" ref="BT582:CB582" si="1451">IFERROR(BT581-BT580,"")</f>
        <v>1062</v>
      </c>
      <c r="BU582" s="398">
        <f t="shared" si="1451"/>
        <v>1743</v>
      </c>
      <c r="BV582" s="398">
        <f t="shared" si="1451"/>
        <v>3006</v>
      </c>
      <c r="BW582" s="398">
        <f t="shared" si="1451"/>
        <v>3127</v>
      </c>
      <c r="BX582" s="1192" t="str">
        <f t="shared" si="1451"/>
        <v/>
      </c>
      <c r="BY582" s="1007">
        <f>IFERROR(BY581-BY580,"")</f>
        <v>3615</v>
      </c>
      <c r="BZ582" s="398">
        <f t="shared" si="1451"/>
        <v>-66.510000000009313</v>
      </c>
      <c r="CA582" s="398" t="str">
        <f t="shared" si="1451"/>
        <v/>
      </c>
      <c r="CB582" s="398" t="str">
        <f t="shared" si="1451"/>
        <v/>
      </c>
      <c r="CC582" s="1192" t="str">
        <f t="shared" si="1450"/>
        <v/>
      </c>
      <c r="CD582" s="398" t="str">
        <f>IFERROR(CD581-CD580,"")</f>
        <v/>
      </c>
      <c r="CE582" s="398" t="str">
        <f>IFERROR(CE581-CE580,"")</f>
        <v/>
      </c>
      <c r="CF582" s="398" t="str">
        <f>IFERROR(CF581-CF580,"")</f>
        <v/>
      </c>
      <c r="CG582" s="398" t="str">
        <f>IFERROR(CG581-CG580,"")</f>
        <v/>
      </c>
      <c r="CH582" s="1192" t="str">
        <f>IFERROR(CH581-CH580,"")</f>
        <v/>
      </c>
      <c r="CI582" s="1192"/>
      <c r="CJ582" s="1192"/>
      <c r="CK582" s="1192"/>
      <c r="CL582" s="93"/>
    </row>
    <row r="583" spans="1:90" ht="15" hidden="1" customHeight="1" outlineLevel="1" x14ac:dyDescent="0.3">
      <c r="A583" s="798" t="s">
        <v>1025</v>
      </c>
      <c r="B583" s="797"/>
      <c r="C583" s="1193"/>
      <c r="D583" s="1193"/>
      <c r="E583" s="1193"/>
      <c r="F583" s="1193"/>
      <c r="G583" s="792"/>
      <c r="H583" s="792"/>
      <c r="I583" s="792"/>
      <c r="J583" s="792"/>
      <c r="K583" s="1193"/>
      <c r="L583" s="792"/>
      <c r="M583" s="792"/>
      <c r="N583" s="792"/>
      <c r="O583" s="792"/>
      <c r="P583" s="1193"/>
      <c r="Q583" s="792"/>
      <c r="R583" s="792"/>
      <c r="S583" s="792"/>
      <c r="T583" s="792"/>
      <c r="U583" s="1193"/>
      <c r="V583" s="792"/>
      <c r="W583" s="792"/>
      <c r="X583" s="792"/>
      <c r="Y583" s="792"/>
      <c r="Z583" s="1193"/>
      <c r="AA583" s="792"/>
      <c r="AB583" s="792"/>
      <c r="AC583" s="792"/>
      <c r="AD583" s="792"/>
      <c r="AE583" s="1193"/>
      <c r="AF583" s="792"/>
      <c r="AG583" s="792"/>
      <c r="AH583" s="792" t="str">
        <f t="shared" ref="AH583:AL583" si="1452">IFERROR(AH582/ABS(AH580),"")</f>
        <v/>
      </c>
      <c r="AI583" s="792">
        <f t="shared" si="1452"/>
        <v>9.8490566037735844E-2</v>
      </c>
      <c r="AJ583" s="1193" t="str">
        <f t="shared" si="1452"/>
        <v/>
      </c>
      <c r="AK583" s="792">
        <f t="shared" si="1452"/>
        <v>0.10586206896551724</v>
      </c>
      <c r="AL583" s="792">
        <f t="shared" si="1452"/>
        <v>7.4193548387096776E-3</v>
      </c>
      <c r="AM583" s="792">
        <f t="shared" ref="AM583:BL583" si="1453">IFERROR(AM582/ABS(AM580),"")</f>
        <v>-2.123076923076923E-2</v>
      </c>
      <c r="AN583" s="792">
        <f t="shared" si="1453"/>
        <v>-0.18333333333333332</v>
      </c>
      <c r="AO583" s="1193" t="str">
        <f t="shared" si="1453"/>
        <v/>
      </c>
      <c r="AP583" s="792">
        <f t="shared" si="1453"/>
        <v>9.0909090909090905E-3</v>
      </c>
      <c r="AQ583" s="792">
        <f t="shared" si="1453"/>
        <v>1.1372549019607842E-2</v>
      </c>
      <c r="AR583" s="792">
        <f t="shared" si="1453"/>
        <v>3.9310344827586205E-2</v>
      </c>
      <c r="AS583" s="792">
        <f t="shared" si="1453"/>
        <v>5.254237288135593E-2</v>
      </c>
      <c r="AT583" s="1193" t="str">
        <f t="shared" si="1453"/>
        <v/>
      </c>
      <c r="AU583" s="792">
        <f t="shared" si="1453"/>
        <v>2.6666666666666668E-2</v>
      </c>
      <c r="AV583" s="792">
        <f t="shared" si="1453"/>
        <v>5.917808219178082E-2</v>
      </c>
      <c r="AW583" s="792">
        <f t="shared" si="1453"/>
        <v>7.4090909090909096E-2</v>
      </c>
      <c r="AX583" s="792">
        <f t="shared" si="1453"/>
        <v>4.2291666666666665E-2</v>
      </c>
      <c r="AY583" s="1193" t="str">
        <f t="shared" si="1453"/>
        <v/>
      </c>
      <c r="AZ583" s="792">
        <f t="shared" si="1453"/>
        <v>6.8113207547169805E-2</v>
      </c>
      <c r="BA583" s="792">
        <f t="shared" si="1453"/>
        <v>3.2857142857142856E-2</v>
      </c>
      <c r="BB583" s="792">
        <f t="shared" si="1453"/>
        <v>4.4558823529411762E-2</v>
      </c>
      <c r="BC583" s="792">
        <f t="shared" si="1453"/>
        <v>3.2837837837837835E-2</v>
      </c>
      <c r="BD583" s="1193" t="str">
        <f t="shared" si="1453"/>
        <v/>
      </c>
      <c r="BE583" s="792">
        <f t="shared" si="1453"/>
        <v>2.3209876543209877E-2</v>
      </c>
      <c r="BF583" s="792">
        <f t="shared" si="1453"/>
        <v>-0.17234567901234568</v>
      </c>
      <c r="BG583" s="792">
        <f t="shared" si="1453"/>
        <v>5.2542372881355937E-3</v>
      </c>
      <c r="BH583" s="792">
        <f t="shared" si="1453"/>
        <v>8.5000000000000006E-3</v>
      </c>
      <c r="BI583" s="1193" t="str">
        <f t="shared" si="1453"/>
        <v/>
      </c>
      <c r="BJ583" s="792">
        <f t="shared" si="1453"/>
        <v>0.10646153846153845</v>
      </c>
      <c r="BK583" s="792">
        <f t="shared" si="1453"/>
        <v>0.22790909090909092</v>
      </c>
      <c r="BL583" s="792">
        <f t="shared" si="1453"/>
        <v>0.13250000000000001</v>
      </c>
      <c r="BM583" s="792">
        <f t="shared" ref="BM583:BN583" si="1454">IFERROR(BM582/ABS(BM580),"")</f>
        <v>0.10514999999999999</v>
      </c>
      <c r="BN583" s="1193" t="str">
        <f t="shared" si="1454"/>
        <v/>
      </c>
      <c r="BO583" s="792">
        <f t="shared" ref="BO583:CC583" si="1455">IFERROR(BO582/ABS(BO580),"")</f>
        <v>8.5166666666666668E-2</v>
      </c>
      <c r="BP583" s="792">
        <f t="shared" si="1455"/>
        <v>7.2857142857142856E-2</v>
      </c>
      <c r="BQ583" s="792">
        <f t="shared" si="1455"/>
        <v>7.9446153846153847E-2</v>
      </c>
      <c r="BR583" s="792">
        <f t="shared" si="1455"/>
        <v>4.8826666666666664E-2</v>
      </c>
      <c r="BS583" s="1193" t="str">
        <f t="shared" si="1455"/>
        <v/>
      </c>
      <c r="BT583" s="792">
        <f t="shared" ref="BT583:CB583" si="1456">IFERROR(BT582/ABS(BT580),"")</f>
        <v>2.469767441860465E-2</v>
      </c>
      <c r="BU583" s="792">
        <f t="shared" si="1456"/>
        <v>3.8733333333333335E-2</v>
      </c>
      <c r="BV583" s="792">
        <f t="shared" si="1456"/>
        <v>5.566666666666667E-2</v>
      </c>
      <c r="BW583" s="792">
        <f t="shared" si="1456"/>
        <v>4.810769230769231E-2</v>
      </c>
      <c r="BX583" s="1193" t="str">
        <f t="shared" si="1456"/>
        <v/>
      </c>
      <c r="BY583" s="925">
        <f>IFERROR(BY582/ABS(BY580),"")</f>
        <v>4.6346153846153849E-2</v>
      </c>
      <c r="BZ583" s="792">
        <f t="shared" si="1456"/>
        <v>-7.3087912087922322E-4</v>
      </c>
      <c r="CA583" s="792" t="str">
        <f t="shared" si="1456"/>
        <v/>
      </c>
      <c r="CB583" s="792" t="str">
        <f t="shared" si="1456"/>
        <v/>
      </c>
      <c r="CC583" s="1193" t="str">
        <f t="shared" si="1455"/>
        <v/>
      </c>
      <c r="CD583" s="792" t="str">
        <f>IFERROR(CD582/ABS(CD580),"")</f>
        <v/>
      </c>
      <c r="CE583" s="792" t="str">
        <f>IFERROR(CE582/ABS(CE580),"")</f>
        <v/>
      </c>
      <c r="CF583" s="792" t="str">
        <f>IFERROR(CF582/ABS(CF580),"")</f>
        <v/>
      </c>
      <c r="CG583" s="792" t="str">
        <f>IFERROR(CG582/ABS(CG580),"")</f>
        <v/>
      </c>
      <c r="CH583" s="1193" t="str">
        <f>IFERROR(CH582/ABS(CH580),"")</f>
        <v/>
      </c>
      <c r="CI583" s="1193"/>
      <c r="CJ583" s="1193"/>
      <c r="CK583" s="1193"/>
      <c r="CL583" s="93"/>
    </row>
    <row r="584" spans="1:90" ht="15" hidden="1" customHeight="1" outlineLevel="1" x14ac:dyDescent="0.3">
      <c r="A584" s="799"/>
      <c r="B584" s="428"/>
      <c r="C584" s="1136"/>
      <c r="D584" s="1136"/>
      <c r="E584" s="1136"/>
      <c r="F584" s="1136"/>
      <c r="G584" s="93"/>
      <c r="H584" s="93"/>
      <c r="I584" s="93"/>
      <c r="J584" s="93"/>
      <c r="K584" s="1136"/>
      <c r="L584" s="93"/>
      <c r="M584" s="93"/>
      <c r="N584" s="93"/>
      <c r="O584" s="93"/>
      <c r="P584" s="1136"/>
      <c r="Q584" s="93"/>
      <c r="R584" s="93"/>
      <c r="S584" s="93"/>
      <c r="T584" s="93"/>
      <c r="U584" s="1136"/>
      <c r="V584" s="93"/>
      <c r="W584" s="93"/>
      <c r="X584" s="93"/>
      <c r="Y584" s="93"/>
      <c r="Z584" s="1136"/>
      <c r="AA584" s="93"/>
      <c r="AB584" s="93"/>
      <c r="AC584" s="93"/>
      <c r="AD584" s="93"/>
      <c r="AE584" s="1136"/>
      <c r="AF584" s="93"/>
      <c r="AG584" s="93"/>
      <c r="AH584" s="93"/>
      <c r="AI584" s="93"/>
      <c r="AJ584" s="1136"/>
      <c r="AK584" s="93"/>
      <c r="AL584" s="93"/>
      <c r="AM584" s="93"/>
      <c r="AN584" s="93"/>
      <c r="AO584" s="1136"/>
      <c r="AP584" s="93"/>
      <c r="AQ584" s="93"/>
      <c r="AR584" s="93"/>
      <c r="AS584" s="93"/>
      <c r="AT584" s="1136"/>
      <c r="AU584" s="93"/>
      <c r="AV584" s="93"/>
      <c r="AW584" s="93"/>
      <c r="AX584" s="93"/>
      <c r="AY584" s="1136"/>
      <c r="AZ584" s="93"/>
      <c r="BA584" s="93"/>
      <c r="BB584" s="93"/>
      <c r="BC584" s="93"/>
      <c r="BD584" s="1136"/>
      <c r="BE584" s="93"/>
      <c r="BF584" s="93"/>
      <c r="BG584" s="93"/>
      <c r="BH584" s="93"/>
      <c r="BI584" s="1136"/>
      <c r="BJ584" s="93"/>
      <c r="BK584" s="93"/>
      <c r="BL584" s="93"/>
      <c r="BM584" s="93"/>
      <c r="BN584" s="1136"/>
      <c r="BO584" s="93"/>
      <c r="BP584" s="93"/>
      <c r="BQ584" s="93"/>
      <c r="BR584" s="93"/>
      <c r="BS584" s="1136"/>
      <c r="BT584" s="93"/>
      <c r="BU584" s="93"/>
      <c r="BV584" s="93"/>
      <c r="BW584" s="93"/>
      <c r="BX584" s="1136"/>
      <c r="BY584" s="522"/>
      <c r="BZ584" s="93"/>
      <c r="CA584" s="93"/>
      <c r="CB584" s="93"/>
      <c r="CC584" s="1136"/>
      <c r="CD584" s="93"/>
      <c r="CE584" s="93"/>
      <c r="CF584" s="93"/>
      <c r="CG584" s="93"/>
      <c r="CH584" s="1136"/>
      <c r="CI584" s="1136"/>
      <c r="CJ584" s="1136"/>
      <c r="CK584" s="1136"/>
      <c r="CL584" s="93"/>
    </row>
    <row r="585" spans="1:90" ht="15" hidden="1" customHeight="1" outlineLevel="1" x14ac:dyDescent="0.3">
      <c r="A585" s="371" t="s">
        <v>1039</v>
      </c>
      <c r="B585" s="112"/>
      <c r="C585" s="1115"/>
      <c r="D585" s="1115"/>
      <c r="E585" s="1115"/>
      <c r="F585" s="1115"/>
      <c r="G585" s="90"/>
      <c r="H585" s="90"/>
      <c r="I585" s="90"/>
      <c r="J585" s="90"/>
      <c r="K585" s="1115"/>
      <c r="L585" s="90"/>
      <c r="M585" s="90"/>
      <c r="N585" s="90"/>
      <c r="O585" s="90"/>
      <c r="P585" s="1115"/>
      <c r="Q585" s="90"/>
      <c r="R585" s="90"/>
      <c r="S585" s="90"/>
      <c r="T585" s="90"/>
      <c r="U585" s="1115"/>
      <c r="V585" s="90"/>
      <c r="W585" s="90"/>
      <c r="X585" s="90"/>
      <c r="Y585" s="90"/>
      <c r="Z585" s="1115"/>
      <c r="AA585" s="90"/>
      <c r="AB585" s="90"/>
      <c r="AC585" s="90"/>
      <c r="AD585" s="90"/>
      <c r="AE585" s="1115"/>
      <c r="AF585" s="90"/>
      <c r="AG585" s="90"/>
      <c r="AH585" s="90" t="str">
        <f>IF(AH580="","",AH580/AG581-1)</f>
        <v/>
      </c>
      <c r="AI585" s="90">
        <f>IF(AI580="","",AI580/AH581-1)</f>
        <v>5.3110773899849306E-3</v>
      </c>
      <c r="AJ585" s="1115"/>
      <c r="AK585" s="90">
        <f>IF(AK580="","",AK580/AI581-1)</f>
        <v>-3.7787701820680697E-3</v>
      </c>
      <c r="AL585" s="90">
        <f>IF(AL580="","",AL580/AK581-1)</f>
        <v>-3.336451512316807E-2</v>
      </c>
      <c r="AM585" s="90">
        <f>IF(AM580="","",AM580/AL581-1)</f>
        <v>4.0666026256804377E-2</v>
      </c>
      <c r="AN585" s="90">
        <f>IF(AN580="","",AN580/AM581-1)</f>
        <v>-0.15121031122288586</v>
      </c>
      <c r="AO585" s="1115"/>
      <c r="AP585" s="90">
        <f>IF(AP580="","",AP580/AN581-1)</f>
        <v>-2.2675736961451642E-3</v>
      </c>
      <c r="AQ585" s="90">
        <f>IF(AQ580="","",AQ580/AP581-1)</f>
        <v>0.14864864864864868</v>
      </c>
      <c r="AR585" s="90">
        <f>IF(AR580="","",AR580/AQ581-1)</f>
        <v>0.12446684761535476</v>
      </c>
      <c r="AS585" s="90">
        <f>IF(AS580="","",AS580/AR581-1)</f>
        <v>-2.1234240212342437E-2</v>
      </c>
      <c r="AT585" s="1115"/>
      <c r="AU585" s="90">
        <f>IF(AU580="","",AU580/AS581-1)</f>
        <v>-3.3816425120772986E-2</v>
      </c>
      <c r="AV585" s="90">
        <f>IF(AV580="","",AV580/AU581-1)</f>
        <v>0.18506493506493515</v>
      </c>
      <c r="AW585" s="90">
        <f>IF(AW580="","",AW580/AV581-1)</f>
        <v>0.13812726332126224</v>
      </c>
      <c r="AX585" s="90">
        <f>IF(AX580="","",AX580/AW581-1)</f>
        <v>1.5658061785865485E-2</v>
      </c>
      <c r="AY585" s="1115"/>
      <c r="AZ585" s="90">
        <f>IF(AZ580="","",AZ580/AX581-1)</f>
        <v>5.9364381371177277E-2</v>
      </c>
      <c r="BA585" s="90">
        <f>IF(BA580="","",BA580/AZ581-1)</f>
        <v>0.11287758346581866</v>
      </c>
      <c r="BB585" s="90">
        <f>IF(BB580="","",BB580/BA581-1)</f>
        <v>4.5028430920547091E-2</v>
      </c>
      <c r="BC585" s="90">
        <f>IF(BC580="","",BC580/BB581-1)</f>
        <v>4.1813318316204384E-2</v>
      </c>
      <c r="BD585" s="1115"/>
      <c r="BE585" s="90">
        <f>IF(BE580="","",BE580/BC581-1)</f>
        <v>5.979327489205799E-2</v>
      </c>
      <c r="BF585" s="90">
        <f>IF(BF580="","",BF580/BE581-1)</f>
        <v>-2.2683397683397666E-2</v>
      </c>
      <c r="BG585" s="90">
        <f>IF(BG580="","",BG580/BF581-1)</f>
        <v>-0.11992840095465396</v>
      </c>
      <c r="BH585" s="90">
        <f>IF(BH580="","",BH580/BG581-1)</f>
        <v>1.163378856853825E-2</v>
      </c>
      <c r="BI585" s="1115"/>
      <c r="BJ585" s="90">
        <f>IF(BJ580="","",BJ580/BH581-1)</f>
        <v>7.4202611138654673E-2</v>
      </c>
      <c r="BK585" s="90">
        <f>IF(BK580="","",BK580/BJ581-1)</f>
        <v>0.52947719688542816</v>
      </c>
      <c r="BL585" s="90">
        <f>IF(BL580="","",BL580/BK581-1)</f>
        <v>0.18457096320426447</v>
      </c>
      <c r="BM585" s="90">
        <f>IF(BM580="","",BM580/BL581-1)</f>
        <v>0.10375275938189854</v>
      </c>
      <c r="BN585" s="1115"/>
      <c r="BO585" s="90">
        <f>IF(BO580="","",BO580/BM581-1)</f>
        <v>8.5825453558340481E-2</v>
      </c>
      <c r="BP585" s="90">
        <f>IF(BP580="","",BP580/BO581-1)</f>
        <v>7.5103670711104353E-2</v>
      </c>
      <c r="BQ585" s="90">
        <f>IF(BQ580="","",BQ580/BP581-1)</f>
        <v>8.189081225033279E-2</v>
      </c>
      <c r="BR585" s="90">
        <f>IF(BR580="","",BR580/BQ581-1)</f>
        <v>6.8924234650247884E-2</v>
      </c>
      <c r="BS585" s="1115"/>
      <c r="BT585" s="90">
        <f>IF(BT580="","",BT580/BR581-1)</f>
        <v>9.3285194884442202E-2</v>
      </c>
      <c r="BU585" s="90">
        <f>IF(BU580="","",BU580/BT581-1)</f>
        <v>2.1288184830466239E-2</v>
      </c>
      <c r="BV585" s="90">
        <f>IF(BV580="","",BV580/BU581-1)</f>
        <v>0.15525319299146401</v>
      </c>
      <c r="BW585" s="90">
        <f>IF(BW580="","",BW580/BV581-1)</f>
        <v>0.14023085289267789</v>
      </c>
      <c r="BX585" s="1115"/>
      <c r="BY585" s="892">
        <f>IF(BY580="","",BY580/BW581-1)</f>
        <v>0.14492051609494028</v>
      </c>
      <c r="BZ585" s="90">
        <f>IF(BZ580="","",BZ580/BY581-1)</f>
        <v>0.11499111682901431</v>
      </c>
      <c r="CA585" s="90" t="str">
        <f>IF(CA580="","",CA580/BZ581-1)</f>
        <v/>
      </c>
      <c r="CB585" s="90" t="str">
        <f>IF(CB580="","",CB580/CA581-1)</f>
        <v/>
      </c>
      <c r="CC585" s="1115"/>
      <c r="CD585" s="90" t="str">
        <f>IF(CD580="","",CD580/CB581-1)</f>
        <v/>
      </c>
      <c r="CE585" s="90" t="str">
        <f>IF(CE580="","",CE580/CD581-1)</f>
        <v/>
      </c>
      <c r="CF585" s="90" t="str">
        <f>IF(CF580="","",CF580/CE581-1)</f>
        <v/>
      </c>
      <c r="CG585" s="90" t="str">
        <f>IF(CG580="","",CG580/CF581-1)</f>
        <v/>
      </c>
      <c r="CH585" s="1115"/>
      <c r="CI585" s="1115"/>
      <c r="CJ585" s="1115"/>
      <c r="CK585" s="1115"/>
      <c r="CL585" s="93"/>
    </row>
    <row r="586" spans="1:90" ht="15" hidden="1" customHeight="1" outlineLevel="1" x14ac:dyDescent="0.3">
      <c r="A586" s="806" t="s">
        <v>1040</v>
      </c>
      <c r="B586" s="804"/>
      <c r="C586" s="1196"/>
      <c r="D586" s="1196"/>
      <c r="E586" s="1196"/>
      <c r="F586" s="1196"/>
      <c r="G586" s="805"/>
      <c r="H586" s="805"/>
      <c r="I586" s="805"/>
      <c r="J586" s="805"/>
      <c r="K586" s="1196"/>
      <c r="L586" s="805"/>
      <c r="M586" s="805"/>
      <c r="N586" s="805"/>
      <c r="O586" s="805"/>
      <c r="P586" s="1196"/>
      <c r="Q586" s="805"/>
      <c r="R586" s="805"/>
      <c r="S586" s="805"/>
      <c r="T586" s="805"/>
      <c r="U586" s="1196"/>
      <c r="V586" s="805"/>
      <c r="W586" s="805"/>
      <c r="X586" s="805"/>
      <c r="Y586" s="805"/>
      <c r="Z586" s="1196"/>
      <c r="AA586" s="805"/>
      <c r="AB586" s="805"/>
      <c r="AC586" s="805"/>
      <c r="AD586" s="805"/>
      <c r="AE586" s="1196"/>
      <c r="AF586" s="805"/>
      <c r="AG586" s="805"/>
      <c r="AH586" s="805" t="str">
        <f>IF(AH582="","",AH582/AG581)</f>
        <v/>
      </c>
      <c r="AI586" s="805">
        <f>IF(AI582="","",AI582/AH581)</f>
        <v>9.9013657056145676E-2</v>
      </c>
      <c r="AJ586" s="1196"/>
      <c r="AK586" s="805">
        <f>IF(AK582="","",AK582/AI581)</f>
        <v>0.10546204053589832</v>
      </c>
      <c r="AL586" s="805">
        <f>IF(AL582="","",AL582/AK581)</f>
        <v>7.1718116619893984E-3</v>
      </c>
      <c r="AM586" s="805">
        <f>IF(AM582="","",AM582/AL581)</f>
        <v>-2.2094140249759846E-2</v>
      </c>
      <c r="AN586" s="805">
        <f>IF(AN582="","",AN582/AM581)</f>
        <v>-0.15561144294247092</v>
      </c>
      <c r="AO586" s="1196"/>
      <c r="AP586" s="805">
        <f>IF(AP582="","",AP582/AN581)</f>
        <v>9.0702947845804991E-3</v>
      </c>
      <c r="AQ586" s="805">
        <f>IF(AQ582="","",AQ582/AP581)</f>
        <v>1.3063063063063063E-2</v>
      </c>
      <c r="AR586" s="805">
        <f>IF(AR582="","",AR582/AQ581)</f>
        <v>4.4203179526948431E-2</v>
      </c>
      <c r="AS586" s="805">
        <f>IF(AS582="","",AS582/AR581)</f>
        <v>5.1426675514266752E-2</v>
      </c>
      <c r="AT586" s="1196"/>
      <c r="AU586" s="805">
        <f>IF(AU582="","",AU582/AS581)</f>
        <v>2.5764895330112721E-2</v>
      </c>
      <c r="AV586" s="805">
        <f>IF(AV582="","",AV582/AU581)</f>
        <v>7.0129870129870125E-2</v>
      </c>
      <c r="AW586" s="805">
        <f>IF(AW582="","",AW582/AV581)</f>
        <v>8.4324883600620792E-2</v>
      </c>
      <c r="AX586" s="805">
        <f>IF(AX582="","",AX582/AW581)</f>
        <v>4.2953872196360557E-2</v>
      </c>
      <c r="AY586" s="1196"/>
      <c r="AZ586" s="805">
        <f>IF(AZ582="","",AZ582/AX581)</f>
        <v>7.2156705976414146E-2</v>
      </c>
      <c r="BA586" s="805">
        <f>IF(BA582="","",BA582/AZ581)</f>
        <v>3.6565977742448331E-2</v>
      </c>
      <c r="BB586" s="805">
        <f>IF(BB582="","",BB582/BA581)</f>
        <v>4.6565237436606732E-2</v>
      </c>
      <c r="BC586" s="805">
        <f>IF(BC582="","",BC582/BB581)</f>
        <v>3.4210896804167251E-2</v>
      </c>
      <c r="BD586" s="1196"/>
      <c r="BE586" s="805">
        <f>IF(BE582="","",BE582/BC581)</f>
        <v>2.4597671071568756E-2</v>
      </c>
      <c r="BF586" s="805">
        <f>IF(BF582="","",BF582/BE581)</f>
        <v>-0.16843629343629343</v>
      </c>
      <c r="BG586" s="805">
        <f>IF(BG582="","",BG582/BF581)</f>
        <v>4.6241050119331739E-3</v>
      </c>
      <c r="BH586" s="805">
        <f>IF(BH582="","",BH582/BG581)</f>
        <v>8.5988872028325749E-3</v>
      </c>
      <c r="BI586" s="1196"/>
      <c r="BJ586" s="805">
        <f>IF(BJ582="","",BJ582/BH581)</f>
        <v>0.11436126260122294</v>
      </c>
      <c r="BK586" s="805">
        <f>IF(BK582="","",BK582/BJ581)</f>
        <v>0.34858175750834258</v>
      </c>
      <c r="BL586" s="805">
        <f>IF(BL582="","",BL582/BK581)</f>
        <v>0.15695565262456504</v>
      </c>
      <c r="BM586" s="805">
        <f>IF(BM582="","",BM582/BL581)</f>
        <v>0.11605960264900662</v>
      </c>
      <c r="BN586" s="1196"/>
      <c r="BO586" s="805">
        <f>IF(BO582="","",BO582/BM581)</f>
        <v>9.2476134461385334E-2</v>
      </c>
      <c r="BP586" s="805">
        <f>IF(BP582="","",BP582/BO581)</f>
        <v>7.8328981723237601E-2</v>
      </c>
      <c r="BQ586" s="805">
        <f>IF(BQ582="","",BQ582/BP581)</f>
        <v>8.5952063914780288E-2</v>
      </c>
      <c r="BR586" s="805">
        <f>IF(BR582="","",BR582/BQ581)</f>
        <v>5.2192007297189445E-2</v>
      </c>
      <c r="BS586" s="1196"/>
      <c r="BT586" s="805">
        <f>IF(BT582="","",BT582/BR581)</f>
        <v>2.7001601789936693E-2</v>
      </c>
      <c r="BU586" s="805">
        <f>IF(BU582="","",BU582/BT581)</f>
        <v>3.9557895692433391E-2</v>
      </c>
      <c r="BV586" s="805">
        <f>IF(BV582="","",BV582/BU581)</f>
        <v>6.4309094409858159E-2</v>
      </c>
      <c r="BW586" s="805">
        <f>IF(BW582="","",BW582/BV581)</f>
        <v>5.4853875030698523E-2</v>
      </c>
      <c r="BX586" s="1196"/>
      <c r="BY586" s="928">
        <f>IF(BY582="","",BY582/BW581)</f>
        <v>5.3062662380553967E-2</v>
      </c>
      <c r="BZ586" s="805">
        <f>IF(BZ582="","",BZ582/BY581)</f>
        <v>-8.1492372725613319E-4</v>
      </c>
      <c r="CA586" s="805" t="str">
        <f>IF(CA582="","",CA582/BZ581)</f>
        <v/>
      </c>
      <c r="CB586" s="805" t="str">
        <f>IF(CB582="","",CB582/CA581)</f>
        <v/>
      </c>
      <c r="CC586" s="1196"/>
      <c r="CD586" s="805" t="str">
        <f>IF(CD582="","",CD582/CB581)</f>
        <v/>
      </c>
      <c r="CE586" s="805" t="str">
        <f>IF(CE582="","",CE582/CD581)</f>
        <v/>
      </c>
      <c r="CF586" s="805" t="str">
        <f>IF(CF582="","",CF582/CE581)</f>
        <v/>
      </c>
      <c r="CG586" s="805" t="str">
        <f>IF(CG582="","",CG582/CF581)</f>
        <v/>
      </c>
      <c r="CH586" s="1196"/>
      <c r="CI586" s="1196"/>
      <c r="CJ586" s="1196"/>
      <c r="CK586" s="1196"/>
      <c r="CL586" s="93"/>
    </row>
    <row r="587" spans="1:90" ht="15" hidden="1" customHeight="1" outlineLevel="1" x14ac:dyDescent="0.3">
      <c r="A587" s="809" t="s">
        <v>1041</v>
      </c>
      <c r="B587" s="807"/>
      <c r="C587" s="1197"/>
      <c r="D587" s="1197"/>
      <c r="E587" s="1197"/>
      <c r="F587" s="1197"/>
      <c r="G587" s="808"/>
      <c r="H587" s="808"/>
      <c r="I587" s="808"/>
      <c r="J587" s="808"/>
      <c r="K587" s="1197"/>
      <c r="L587" s="808"/>
      <c r="M587" s="808"/>
      <c r="N587" s="808"/>
      <c r="O587" s="808"/>
      <c r="P587" s="1197"/>
      <c r="Q587" s="808"/>
      <c r="R587" s="808"/>
      <c r="S587" s="808"/>
      <c r="T587" s="808"/>
      <c r="U587" s="1197"/>
      <c r="V587" s="808"/>
      <c r="W587" s="808"/>
      <c r="X587" s="808"/>
      <c r="Y587" s="808"/>
      <c r="Z587" s="1197"/>
      <c r="AA587" s="808"/>
      <c r="AB587" s="808"/>
      <c r="AC587" s="808"/>
      <c r="AD587" s="808"/>
      <c r="AE587" s="1197"/>
      <c r="AF587" s="808"/>
      <c r="AG587" s="808"/>
      <c r="AH587" s="808">
        <f>AH581/AG581-1</f>
        <v>0.1820627802690582</v>
      </c>
      <c r="AI587" s="808">
        <f>AI581/AH581-1</f>
        <v>0.10432473444613044</v>
      </c>
      <c r="AJ587" s="1197"/>
      <c r="AK587" s="808">
        <f>AK581/AI581-1</f>
        <v>0.1016832703538304</v>
      </c>
      <c r="AL587" s="808">
        <f>AL581/AK581-1</f>
        <v>-2.6192703461178635E-2</v>
      </c>
      <c r="AM587" s="808">
        <f>AM581/AL581-1</f>
        <v>1.8571886007044514E-2</v>
      </c>
      <c r="AN587" s="808">
        <f>AN581/AM581-1</f>
        <v>-0.30682175416535684</v>
      </c>
      <c r="AO587" s="1197"/>
      <c r="AP587" s="808">
        <f>AP581/AN581-1</f>
        <v>6.8027210884353817E-3</v>
      </c>
      <c r="AQ587" s="808">
        <f>AQ581/AP581-1</f>
        <v>0.16171171171171173</v>
      </c>
      <c r="AR587" s="808">
        <f>AR581/AQ581-1</f>
        <v>0.16867002714230317</v>
      </c>
      <c r="AS587" s="808">
        <f>AS581/AR581-1</f>
        <v>3.0192435301924281E-2</v>
      </c>
      <c r="AT587" s="1197"/>
      <c r="AU587" s="808">
        <f>AU581/AS581-1</f>
        <v>-8.0515297906602612E-3</v>
      </c>
      <c r="AV587" s="808">
        <f>AV581/AU581-1</f>
        <v>0.2551948051948052</v>
      </c>
      <c r="AW587" s="808">
        <f>AW581/AV581-1</f>
        <v>0.22245214692188298</v>
      </c>
      <c r="AX587" s="808">
        <f>AX581/AW581-1</f>
        <v>5.8611933982225972E-2</v>
      </c>
      <c r="AY587" s="1197"/>
      <c r="AZ587" s="808">
        <f>AZ581/AX581-1</f>
        <v>0.13152108734759138</v>
      </c>
      <c r="BA587" s="808">
        <f>BA581/AZ581-1</f>
        <v>0.14944356120826718</v>
      </c>
      <c r="BB587" s="808">
        <f>BB581/BA581-1</f>
        <v>9.1593668357153879E-2</v>
      </c>
      <c r="BC587" s="808">
        <f>BC581/BB581-1</f>
        <v>7.6024215120371608E-2</v>
      </c>
      <c r="BD587" s="1197"/>
      <c r="BE587" s="808">
        <f>BE581/BC581-1</f>
        <v>8.4390945963626951E-2</v>
      </c>
      <c r="BF587" s="808">
        <f>BF581/BE581-1</f>
        <v>-0.19111969111969107</v>
      </c>
      <c r="BG587" s="808">
        <f>BG581/BF581-1</f>
        <v>-0.11530429594272074</v>
      </c>
      <c r="BH587" s="808">
        <f>BH581/BG581-1</f>
        <v>2.0232675771370667E-2</v>
      </c>
      <c r="BI587" s="1197"/>
      <c r="BJ587" s="808">
        <f>BJ581/BH581-1</f>
        <v>0.1885638737398776</v>
      </c>
      <c r="BK587" s="808">
        <f>BK581/BJ581-1</f>
        <v>0.87805895439377091</v>
      </c>
      <c r="BL587" s="808">
        <f>BL581/BK581-1</f>
        <v>0.34152661582882948</v>
      </c>
      <c r="BM587" s="808">
        <f>BM581/BL581-1</f>
        <v>0.21981236203090515</v>
      </c>
      <c r="BN587" s="1197"/>
      <c r="BO587" s="808">
        <f>BO581/BM581-1</f>
        <v>0.17830158801972584</v>
      </c>
      <c r="BP587" s="808">
        <f>BP581/BO581-1</f>
        <v>0.1534326524343419</v>
      </c>
      <c r="BQ587" s="808">
        <f>BQ581/BP581-1</f>
        <v>0.16784287616511318</v>
      </c>
      <c r="BR587" s="808">
        <f>BR581/BQ581-1</f>
        <v>0.12111624194743742</v>
      </c>
      <c r="BS587" s="1197"/>
      <c r="BT587" s="808">
        <f>BT581/BR581-1</f>
        <v>0.12028679667437903</v>
      </c>
      <c r="BU587" s="808">
        <f>BU581/BT581-1</f>
        <v>6.0846080522899637E-2</v>
      </c>
      <c r="BV587" s="808">
        <f>BV581/BU581-1</f>
        <v>0.21956228740132211</v>
      </c>
      <c r="BW587" s="808">
        <f>BW581/BV581-1</f>
        <v>0.1950847279233765</v>
      </c>
      <c r="BX587" s="1197"/>
      <c r="BY587" s="929">
        <f>BY581/BW581-1</f>
        <v>0.1979831784754944</v>
      </c>
      <c r="BZ587" s="808">
        <f>BZ581/BY581-1</f>
        <v>0.11417619310175819</v>
      </c>
      <c r="CA587" s="808">
        <f>CA581/BZ581-1</f>
        <v>6.6236322833315153E-3</v>
      </c>
      <c r="CB587" s="808">
        <f>CB581/CA581-1</f>
        <v>2.6930993119631985E-2</v>
      </c>
      <c r="CC587" s="1197"/>
      <c r="CD587" s="808">
        <f>CD581/CB581-1</f>
        <v>0.12257961222732328</v>
      </c>
      <c r="CE587" s="808">
        <f>CE581/CD581-1</f>
        <v>0.11509458789057025</v>
      </c>
      <c r="CF587" s="808">
        <f>CF581/CE581-1</f>
        <v>-2.9513526827573577E-2</v>
      </c>
      <c r="CG587" s="808">
        <f>CG581/CF581-1</f>
        <v>2.4006396200494606E-2</v>
      </c>
      <c r="CH587" s="1197"/>
      <c r="CI587" s="1197"/>
      <c r="CJ587" s="1197"/>
      <c r="CK587" s="1197"/>
      <c r="CL587" s="93"/>
    </row>
    <row r="588" spans="1:90" ht="15" hidden="1" customHeight="1" outlineLevel="1" x14ac:dyDescent="0.3">
      <c r="A588" s="371" t="s">
        <v>1036</v>
      </c>
      <c r="B588" s="112"/>
      <c r="C588" s="1115"/>
      <c r="D588" s="1115"/>
      <c r="E588" s="1115"/>
      <c r="F588" s="1115"/>
      <c r="G588" s="90"/>
      <c r="H588" s="90"/>
      <c r="I588" s="90"/>
      <c r="J588" s="90"/>
      <c r="K588" s="1115"/>
      <c r="L588" s="90"/>
      <c r="M588" s="90"/>
      <c r="N588" s="90"/>
      <c r="O588" s="90"/>
      <c r="P588" s="1115"/>
      <c r="Q588" s="90"/>
      <c r="R588" s="90"/>
      <c r="S588" s="90"/>
      <c r="T588" s="90"/>
      <c r="U588" s="1115"/>
      <c r="V588" s="90"/>
      <c r="W588" s="90"/>
      <c r="X588" s="90"/>
      <c r="Y588" s="90"/>
      <c r="Z588" s="1115"/>
      <c r="AA588" s="90"/>
      <c r="AB588" s="90"/>
      <c r="AC588" s="90"/>
      <c r="AD588" s="90"/>
      <c r="AE588" s="1115"/>
      <c r="AF588" s="90"/>
      <c r="AG588" s="90"/>
      <c r="AH588" s="90" t="str">
        <f t="shared" ref="AH588:AP588" si="1457">IF(AH580="","",AH580/AC581-1)</f>
        <v/>
      </c>
      <c r="AI588" s="90">
        <f t="shared" si="1457"/>
        <v>0.21951219512195119</v>
      </c>
      <c r="AJ588" s="1115" t="str">
        <f t="shared" si="1457"/>
        <v/>
      </c>
      <c r="AK588" s="90">
        <f t="shared" si="1457"/>
        <v>0.49716055756324207</v>
      </c>
      <c r="AL588" s="90">
        <f t="shared" si="1457"/>
        <v>0.39013452914798208</v>
      </c>
      <c r="AM588" s="90">
        <f t="shared" si="1457"/>
        <v>0.23292867981790599</v>
      </c>
      <c r="AN588" s="90">
        <f t="shared" si="1457"/>
        <v>-7.2483682583304732E-2</v>
      </c>
      <c r="AO588" s="1115" t="str">
        <f t="shared" si="1457"/>
        <v/>
      </c>
      <c r="AP588" s="90">
        <f t="shared" si="1457"/>
        <v>-0.31400062363579673</v>
      </c>
      <c r="AQ588" s="90">
        <f t="shared" ref="AQ588:BL588" si="1458">IF(AQ580="","",AQ580/AL581-1)</f>
        <v>-0.18347742555235347</v>
      </c>
      <c r="AR588" s="90">
        <f t="shared" si="1458"/>
        <v>-8.8337000943099708E-2</v>
      </c>
      <c r="AS588" s="90">
        <f t="shared" si="1458"/>
        <v>0.33786848072562359</v>
      </c>
      <c r="AT588" s="1115" t="str">
        <f t="shared" si="1458"/>
        <v/>
      </c>
      <c r="AU588" s="90">
        <f t="shared" si="1458"/>
        <v>0.35135135135135132</v>
      </c>
      <c r="AV588" s="90">
        <f t="shared" si="1458"/>
        <v>0.41527723924001547</v>
      </c>
      <c r="AW588" s="90">
        <f t="shared" si="1458"/>
        <v>0.45985401459854014</v>
      </c>
      <c r="AX588" s="90">
        <f t="shared" si="1458"/>
        <v>0.54589371980676327</v>
      </c>
      <c r="AY588" s="1115" t="str">
        <f t="shared" si="1458"/>
        <v/>
      </c>
      <c r="AZ588" s="90">
        <f t="shared" si="1458"/>
        <v>0.72077922077922074</v>
      </c>
      <c r="BA588" s="90">
        <f t="shared" si="1458"/>
        <v>0.62959130884635273</v>
      </c>
      <c r="BB588" s="90">
        <f t="shared" si="1458"/>
        <v>0.43884892086330929</v>
      </c>
      <c r="BC588" s="90">
        <f t="shared" si="1458"/>
        <v>0.47911253248051167</v>
      </c>
      <c r="BD588" s="1115" t="str">
        <f t="shared" si="1458"/>
        <v/>
      </c>
      <c r="BE588" s="90">
        <f t="shared" si="1458"/>
        <v>0.43084260731319546</v>
      </c>
      <c r="BF588" s="90">
        <f t="shared" si="1458"/>
        <v>0.24481327800829877</v>
      </c>
      <c r="BG588" s="90">
        <f t="shared" si="1458"/>
        <v>-0.16936505701816129</v>
      </c>
      <c r="BH588" s="90">
        <f t="shared" si="1458"/>
        <v>-0.21496794452440138</v>
      </c>
      <c r="BI588" s="1115" t="str">
        <f t="shared" si="1458"/>
        <v/>
      </c>
      <c r="BJ588" s="90">
        <f t="shared" si="1458"/>
        <v>-0.21573359073359077</v>
      </c>
      <c r="BK588" s="90">
        <f t="shared" si="1458"/>
        <v>0.6408114558472553</v>
      </c>
      <c r="BL588" s="90">
        <f t="shared" si="1458"/>
        <v>1.6976901028494353</v>
      </c>
      <c r="BM588" s="90">
        <f t="shared" ref="BM588:BO588" si="1459">IF(BM580="","",BM580/BH581-1)</f>
        <v>2.3052388035035531</v>
      </c>
      <c r="BN588" s="1115" t="str">
        <f t="shared" si="1459"/>
        <v/>
      </c>
      <c r="BO588" s="90">
        <f t="shared" si="1459"/>
        <v>2.3370411568409342</v>
      </c>
      <c r="BP588" s="90">
        <f t="shared" ref="BP588:BS588" si="1460">IF(BP580="","",BP580/BK581-1)</f>
        <v>1.072999185607463</v>
      </c>
      <c r="BQ588" s="90">
        <f t="shared" si="1460"/>
        <v>0.79359823399558493</v>
      </c>
      <c r="BR588" s="90">
        <f t="shared" si="1460"/>
        <v>0.69660227118490692</v>
      </c>
      <c r="BS588" s="1115" t="str">
        <f t="shared" si="1460"/>
        <v/>
      </c>
      <c r="BT588" s="90">
        <f t="shared" ref="BT588:CH588" si="1461">IF(BT580="","",BT580/BO581-1)</f>
        <v>0.65105206573491015</v>
      </c>
      <c r="BU588" s="90">
        <f t="shared" si="1461"/>
        <v>0.49800266311584562</v>
      </c>
      <c r="BV588" s="90">
        <f t="shared" si="1461"/>
        <v>0.53925089789635705</v>
      </c>
      <c r="BW588" s="90">
        <f t="shared" si="1461"/>
        <v>0.65264041087183133</v>
      </c>
      <c r="BX588" s="1115" t="str">
        <f t="shared" si="1461"/>
        <v/>
      </c>
      <c r="BY588" s="892">
        <f>IF(BY580="","",BY580/BT581-1)</f>
        <v>0.77023285370614136</v>
      </c>
      <c r="BZ588" s="90">
        <f t="shared" si="1461"/>
        <v>0.94681556596709671</v>
      </c>
      <c r="CA588" s="90" t="str">
        <f t="shared" si="1461"/>
        <v/>
      </c>
      <c r="CB588" s="90" t="str">
        <f t="shared" si="1461"/>
        <v/>
      </c>
      <c r="CC588" s="1115" t="str">
        <f t="shared" si="1461"/>
        <v/>
      </c>
      <c r="CD588" s="90" t="str">
        <f t="shared" si="1461"/>
        <v/>
      </c>
      <c r="CE588" s="90" t="str">
        <f t="shared" si="1461"/>
        <v/>
      </c>
      <c r="CF588" s="90" t="str">
        <f t="shared" si="1461"/>
        <v/>
      </c>
      <c r="CG588" s="90" t="str">
        <f t="shared" si="1461"/>
        <v/>
      </c>
      <c r="CH588" s="1115" t="str">
        <f t="shared" si="1461"/>
        <v/>
      </c>
      <c r="CI588" s="1115"/>
      <c r="CJ588" s="1115"/>
      <c r="CK588" s="1115"/>
      <c r="CL588" s="93"/>
    </row>
    <row r="589" spans="1:90" ht="15" hidden="1" customHeight="1" outlineLevel="1" x14ac:dyDescent="0.3">
      <c r="A589" s="806" t="s">
        <v>1037</v>
      </c>
      <c r="B589" s="804"/>
      <c r="C589" s="1196"/>
      <c r="D589" s="1196"/>
      <c r="E589" s="1196"/>
      <c r="F589" s="1196"/>
      <c r="G589" s="805"/>
      <c r="H589" s="805"/>
      <c r="I589" s="805"/>
      <c r="J589" s="805"/>
      <c r="K589" s="1196"/>
      <c r="L589" s="805"/>
      <c r="M589" s="805"/>
      <c r="N589" s="805"/>
      <c r="O589" s="805"/>
      <c r="P589" s="1196"/>
      <c r="Q589" s="805"/>
      <c r="R589" s="805"/>
      <c r="S589" s="805"/>
      <c r="T589" s="805"/>
      <c r="U589" s="1196"/>
      <c r="V589" s="805"/>
      <c r="W589" s="805"/>
      <c r="X589" s="805"/>
      <c r="Y589" s="805"/>
      <c r="Z589" s="1196"/>
      <c r="AA589" s="805"/>
      <c r="AB589" s="805"/>
      <c r="AC589" s="805"/>
      <c r="AD589" s="805"/>
      <c r="AE589" s="1196"/>
      <c r="AF589" s="805"/>
      <c r="AG589" s="805"/>
      <c r="AH589" s="805" t="str">
        <f t="shared" ref="AH589:AP589" si="1462">IF(AH582="","",AH582/AC581)</f>
        <v/>
      </c>
      <c r="AI589" s="805">
        <f t="shared" si="1462"/>
        <v>0.12011044638748274</v>
      </c>
      <c r="AJ589" s="1196" t="str">
        <f t="shared" si="1462"/>
        <v/>
      </c>
      <c r="AK589" s="805">
        <f t="shared" si="1462"/>
        <v>0.15849251419721219</v>
      </c>
      <c r="AL589" s="805">
        <f t="shared" si="1462"/>
        <v>1.031390134529148E-2</v>
      </c>
      <c r="AM589" s="805">
        <f t="shared" si="1462"/>
        <v>-2.6176024279210924E-2</v>
      </c>
      <c r="AN589" s="805">
        <f t="shared" si="1462"/>
        <v>-0.1700446581930608</v>
      </c>
      <c r="AO589" s="1196" t="str">
        <f t="shared" si="1462"/>
        <v/>
      </c>
      <c r="AP589" s="805">
        <f t="shared" si="1462"/>
        <v>6.2363579669473031E-3</v>
      </c>
      <c r="AQ589" s="805">
        <f t="shared" ref="AQ589:BL589" si="1463">IF(AQ582="","",AQ582/AL581)</f>
        <v>9.285943003522255E-3</v>
      </c>
      <c r="AR589" s="805">
        <f t="shared" si="1463"/>
        <v>3.5837786859478152E-2</v>
      </c>
      <c r="AS589" s="805">
        <f t="shared" si="1463"/>
        <v>7.029478458049887E-2</v>
      </c>
      <c r="AT589" s="1196" t="str">
        <f t="shared" si="1463"/>
        <v/>
      </c>
      <c r="AU589" s="805">
        <f t="shared" si="1463"/>
        <v>3.6036036036036036E-2</v>
      </c>
      <c r="AV589" s="805">
        <f t="shared" si="1463"/>
        <v>8.3753392787902281E-2</v>
      </c>
      <c r="AW589" s="805">
        <f t="shared" si="1463"/>
        <v>0.10816191108161911</v>
      </c>
      <c r="AX589" s="805">
        <f t="shared" si="1463"/>
        <v>6.5378421900161035E-2</v>
      </c>
      <c r="AY589" s="1196" t="str">
        <f t="shared" si="1463"/>
        <v/>
      </c>
      <c r="AZ589" s="805">
        <f t="shared" si="1463"/>
        <v>0.11720779220779221</v>
      </c>
      <c r="BA589" s="805">
        <f t="shared" si="1463"/>
        <v>5.3543714433523022E-2</v>
      </c>
      <c r="BB589" s="805">
        <f t="shared" si="1463"/>
        <v>6.411341515023275E-2</v>
      </c>
      <c r="BC589" s="805">
        <f t="shared" si="1463"/>
        <v>4.8570857485508698E-2</v>
      </c>
      <c r="BD589" s="1196" t="str">
        <f t="shared" si="1463"/>
        <v/>
      </c>
      <c r="BE589" s="805">
        <f t="shared" si="1463"/>
        <v>3.3209680268503801E-2</v>
      </c>
      <c r="BF589" s="805">
        <f t="shared" si="1463"/>
        <v>-0.21453818964192409</v>
      </c>
      <c r="BG589" s="805">
        <f t="shared" si="1463"/>
        <v>4.3643530902435588E-3</v>
      </c>
      <c r="BH589" s="805">
        <f t="shared" si="1463"/>
        <v>6.6727724715425884E-3</v>
      </c>
      <c r="BI589" s="1196" t="str">
        <f t="shared" si="1463"/>
        <v/>
      </c>
      <c r="BJ589" s="805">
        <f t="shared" si="1463"/>
        <v>8.3494208494208494E-2</v>
      </c>
      <c r="BK589" s="805">
        <f t="shared" si="1463"/>
        <v>0.37395584725536996</v>
      </c>
      <c r="BL589" s="805">
        <f t="shared" si="1463"/>
        <v>0.35744393862755014</v>
      </c>
      <c r="BM589" s="805">
        <f t="shared" ref="BM589" si="1464">IF(BM582="","",BM582/BH581)</f>
        <v>0.34754586018839861</v>
      </c>
      <c r="BN589" s="1196" t="str">
        <f t="shared" ref="BN589:BS589" si="1465">IF(BN582="","",BN582/BI581)</f>
        <v/>
      </c>
      <c r="BO589" s="805">
        <f t="shared" si="1465"/>
        <v>0.28420467185761955</v>
      </c>
      <c r="BP589" s="805">
        <f t="shared" si="1465"/>
        <v>0.15103279780854373</v>
      </c>
      <c r="BQ589" s="805">
        <f t="shared" si="1465"/>
        <v>0.14249448123620309</v>
      </c>
      <c r="BR589" s="805">
        <f t="shared" si="1465"/>
        <v>8.2839433561055054E-2</v>
      </c>
      <c r="BS589" s="1196" t="str">
        <f t="shared" si="1465"/>
        <v/>
      </c>
      <c r="BT589" s="805">
        <f t="shared" ref="BT589:CH589" si="1466">IF(BT582="","",BT582/BO581)</f>
        <v>4.0777146367685459E-2</v>
      </c>
      <c r="BU589" s="805">
        <f t="shared" si="1466"/>
        <v>5.8022636484687085E-2</v>
      </c>
      <c r="BV589" s="805">
        <f t="shared" si="1466"/>
        <v>8.5684966649563876E-2</v>
      </c>
      <c r="BW589" s="805">
        <f t="shared" si="1466"/>
        <v>7.9504716381480253E-2</v>
      </c>
      <c r="BX589" s="1196" t="str">
        <f t="shared" si="1466"/>
        <v/>
      </c>
      <c r="BY589" s="928">
        <f>IF(BY582="","",BY582/BT581)</f>
        <v>8.2043484181380785E-2</v>
      </c>
      <c r="BZ589" s="805">
        <f t="shared" si="1466"/>
        <v>-1.422886849368019E-3</v>
      </c>
      <c r="CA589" s="805" t="str">
        <f t="shared" si="1466"/>
        <v/>
      </c>
      <c r="CB589" s="805" t="str">
        <f t="shared" si="1466"/>
        <v/>
      </c>
      <c r="CC589" s="1196" t="str">
        <f t="shared" si="1466"/>
        <v/>
      </c>
      <c r="CD589" s="805" t="str">
        <f t="shared" si="1466"/>
        <v/>
      </c>
      <c r="CE589" s="805" t="str">
        <f t="shared" si="1466"/>
        <v/>
      </c>
      <c r="CF589" s="805" t="str">
        <f t="shared" si="1466"/>
        <v/>
      </c>
      <c r="CG589" s="805" t="str">
        <f t="shared" si="1466"/>
        <v/>
      </c>
      <c r="CH589" s="1196" t="str">
        <f t="shared" si="1466"/>
        <v/>
      </c>
      <c r="CI589" s="1196"/>
      <c r="CJ589" s="1196"/>
      <c r="CK589" s="1196"/>
      <c r="CL589" s="93"/>
    </row>
    <row r="590" spans="1:90" ht="15" hidden="1" customHeight="1" outlineLevel="1" x14ac:dyDescent="0.3">
      <c r="A590" s="809" t="s">
        <v>1038</v>
      </c>
      <c r="B590" s="807"/>
      <c r="C590" s="1197"/>
      <c r="D590" s="1197"/>
      <c r="E590" s="1197"/>
      <c r="F590" s="1197"/>
      <c r="G590" s="808"/>
      <c r="H590" s="808"/>
      <c r="I590" s="808"/>
      <c r="J590" s="808"/>
      <c r="K590" s="1197"/>
      <c r="L590" s="808"/>
      <c r="M590" s="808"/>
      <c r="N590" s="808"/>
      <c r="O590" s="808"/>
      <c r="P590" s="1197"/>
      <c r="Q590" s="808"/>
      <c r="R590" s="808"/>
      <c r="S590" s="808"/>
      <c r="T590" s="808"/>
      <c r="U590" s="1197"/>
      <c r="V590" s="808"/>
      <c r="W590" s="808"/>
      <c r="X590" s="808"/>
      <c r="Y590" s="808"/>
      <c r="Z590" s="1197"/>
      <c r="AA590" s="808"/>
      <c r="AB590" s="808"/>
      <c r="AC590" s="808"/>
      <c r="AD590" s="808"/>
      <c r="AE590" s="1197"/>
      <c r="AF590" s="808"/>
      <c r="AG590" s="808"/>
      <c r="AH590" s="808">
        <f t="shared" ref="AH590:AP590" si="1467">AH581/AC581-1</f>
        <v>0.3153692614770458</v>
      </c>
      <c r="AI590" s="808">
        <f t="shared" si="1467"/>
        <v>0.33962264150943389</v>
      </c>
      <c r="AJ590" s="1197">
        <f t="shared" si="1467"/>
        <v>0.40578871201157751</v>
      </c>
      <c r="AK590" s="808">
        <f t="shared" si="1467"/>
        <v>0.65565307176045429</v>
      </c>
      <c r="AL590" s="808">
        <f t="shared" si="1467"/>
        <v>0.40044843049327361</v>
      </c>
      <c r="AM590" s="808">
        <f t="shared" si="1467"/>
        <v>0.20675265553869493</v>
      </c>
      <c r="AN590" s="808">
        <f t="shared" si="1467"/>
        <v>-0.24252834077636554</v>
      </c>
      <c r="AO590" s="1197">
        <f t="shared" si="1467"/>
        <v>0.20609429689108505</v>
      </c>
      <c r="AP590" s="808">
        <f t="shared" si="1467"/>
        <v>-0.3077642656688494</v>
      </c>
      <c r="AQ590" s="808">
        <f t="shared" ref="AQ590:BL590" si="1468">AQ581/AL581-1</f>
        <v>-0.17419148254883121</v>
      </c>
      <c r="AR590" s="808">
        <f t="shared" si="1468"/>
        <v>-5.2499214083621459E-2</v>
      </c>
      <c r="AS590" s="808">
        <f t="shared" si="1468"/>
        <v>0.40816326530612246</v>
      </c>
      <c r="AT590" s="1197">
        <f t="shared" si="1468"/>
        <v>-6.8111983612154314E-2</v>
      </c>
      <c r="AU590" s="808">
        <f t="shared" si="1468"/>
        <v>0.38738738738738743</v>
      </c>
      <c r="AV590" s="808">
        <f t="shared" si="1468"/>
        <v>0.49903063202791786</v>
      </c>
      <c r="AW590" s="808">
        <f t="shared" si="1468"/>
        <v>0.56801592568015935</v>
      </c>
      <c r="AX590" s="808">
        <f t="shared" si="1468"/>
        <v>0.61127214170692423</v>
      </c>
      <c r="AY590" s="1197">
        <f t="shared" si="1468"/>
        <v>0.52729437625938824</v>
      </c>
      <c r="AZ590" s="808">
        <f t="shared" si="1468"/>
        <v>0.83798701298701306</v>
      </c>
      <c r="BA590" s="808">
        <f t="shared" si="1468"/>
        <v>0.68313502327987585</v>
      </c>
      <c r="BB590" s="808">
        <f t="shared" si="1468"/>
        <v>0.50296233601354201</v>
      </c>
      <c r="BC590" s="808">
        <f t="shared" si="1468"/>
        <v>0.52768338996602049</v>
      </c>
      <c r="BD590" s="1197">
        <f t="shared" si="1468"/>
        <v>0.61403298350824587</v>
      </c>
      <c r="BE590" s="808">
        <f t="shared" si="1468"/>
        <v>0.46405228758169925</v>
      </c>
      <c r="BF590" s="808">
        <f t="shared" si="1468"/>
        <v>3.0275088366374714E-2</v>
      </c>
      <c r="BG590" s="808">
        <f t="shared" si="1468"/>
        <v>-0.16500070392791777</v>
      </c>
      <c r="BH590" s="808">
        <f t="shared" si="1468"/>
        <v>-0.20829517205285886</v>
      </c>
      <c r="BI590" s="1197">
        <f t="shared" si="1468"/>
        <v>2.2293230289069932E-3</v>
      </c>
      <c r="BJ590" s="808">
        <f t="shared" si="1468"/>
        <v>-0.13223938223938225</v>
      </c>
      <c r="BK590" s="808">
        <f t="shared" si="1468"/>
        <v>1.0147673031026252</v>
      </c>
      <c r="BL590" s="808">
        <f t="shared" si="1468"/>
        <v>2.0551340414769852</v>
      </c>
      <c r="BM590" s="808">
        <f t="shared" ref="BM590:BO590" si="1469">BM581/BH581-1</f>
        <v>2.6527846636919516</v>
      </c>
      <c r="BN590" s="1197">
        <f t="shared" si="1469"/>
        <v>1.2585452658115224</v>
      </c>
      <c r="BO590" s="808">
        <f t="shared" si="1469"/>
        <v>2.6212458286985538</v>
      </c>
      <c r="BP590" s="808">
        <f t="shared" ref="BP590:BS590" si="1470">BP581/BK581-1</f>
        <v>1.2240319834160065</v>
      </c>
      <c r="BQ590" s="808">
        <f t="shared" si="1470"/>
        <v>0.93609271523178816</v>
      </c>
      <c r="BR590" s="808">
        <f t="shared" si="1470"/>
        <v>0.77944170474596208</v>
      </c>
      <c r="BS590" s="1197">
        <f t="shared" si="1470"/>
        <v>1.1420340763599355</v>
      </c>
      <c r="BT590" s="808">
        <f t="shared" ref="BT590:CH590" si="1471">BT581/BO581-1</f>
        <v>0.69182921210259551</v>
      </c>
      <c r="BU590" s="808">
        <f t="shared" si="1471"/>
        <v>0.5560252996005326</v>
      </c>
      <c r="BV590" s="808">
        <f t="shared" si="1471"/>
        <v>0.62493586454592109</v>
      </c>
      <c r="BW590" s="808">
        <f t="shared" si="1471"/>
        <v>0.73214512725331171</v>
      </c>
      <c r="BX590" s="1197">
        <f t="shared" si="1471"/>
        <v>0.65473535790094783</v>
      </c>
      <c r="BY590" s="929">
        <f>BY581/BT581-1</f>
        <v>0.85227633788752222</v>
      </c>
      <c r="BZ590" s="808">
        <f t="shared" si="1471"/>
        <v>0.94539267911772873</v>
      </c>
      <c r="CA590" s="808">
        <f t="shared" si="1471"/>
        <v>0.60572220468020888</v>
      </c>
      <c r="CB590" s="808">
        <f t="shared" si="1471"/>
        <v>0.37978995112070102</v>
      </c>
      <c r="CC590" s="1197">
        <f t="shared" si="1471"/>
        <v>0.65827802424770065</v>
      </c>
      <c r="CD590" s="808">
        <f t="shared" si="1471"/>
        <v>0.29294308644244316</v>
      </c>
      <c r="CE590" s="808">
        <f t="shared" si="1471"/>
        <v>0.29400883546864875</v>
      </c>
      <c r="CF590" s="808">
        <f t="shared" si="1471"/>
        <v>0.24755472722148064</v>
      </c>
      <c r="CG590" s="808">
        <f t="shared" si="1471"/>
        <v>0.24400181593909398</v>
      </c>
      <c r="CH590" s="1197">
        <f t="shared" si="1471"/>
        <v>0.26876372229137391</v>
      </c>
      <c r="CI590" s="1197">
        <f>CI581/CH581-1</f>
        <v>0.19277198219808733</v>
      </c>
      <c r="CJ590" s="1197">
        <f>CJ581/CI581-1</f>
        <v>0.17466733310254168</v>
      </c>
      <c r="CK590" s="1197">
        <f>CK581/CJ581-1</f>
        <v>0.17500630227648339</v>
      </c>
      <c r="CL590" s="93"/>
    </row>
    <row r="591" spans="1:90" ht="15" hidden="1" customHeight="1" outlineLevel="2" x14ac:dyDescent="0.3">
      <c r="A591" s="799"/>
      <c r="B591" s="428"/>
      <c r="C591" s="1136"/>
      <c r="D591" s="1136"/>
      <c r="E591" s="1136"/>
      <c r="F591" s="1136"/>
      <c r="G591" s="93"/>
      <c r="H591" s="93"/>
      <c r="I591" s="93"/>
      <c r="J591" s="93"/>
      <c r="K591" s="1136"/>
      <c r="L591" s="93"/>
      <c r="M591" s="93"/>
      <c r="N591" s="93"/>
      <c r="O591" s="93"/>
      <c r="P591" s="1136"/>
      <c r="Q591" s="93"/>
      <c r="R591" s="93"/>
      <c r="S591" s="93"/>
      <c r="T591" s="93"/>
      <c r="U591" s="1136"/>
      <c r="V591" s="93"/>
      <c r="W591" s="93"/>
      <c r="X591" s="93"/>
      <c r="Y591" s="93"/>
      <c r="Z591" s="1136"/>
      <c r="AA591" s="93"/>
      <c r="AB591" s="93"/>
      <c r="AC591" s="93"/>
      <c r="AD591" s="93"/>
      <c r="AE591" s="1136"/>
      <c r="AF591" s="93"/>
      <c r="AG591" s="93"/>
      <c r="AH591" s="93"/>
      <c r="AI591" s="93"/>
      <c r="AJ591" s="1136"/>
      <c r="AK591" s="93"/>
      <c r="AL591" s="93"/>
      <c r="AM591" s="93"/>
      <c r="AN591" s="93"/>
      <c r="AO591" s="1136"/>
      <c r="AP591" s="93"/>
      <c r="AQ591" s="93"/>
      <c r="AR591" s="93"/>
      <c r="AS591" s="93"/>
      <c r="AT591" s="1136"/>
      <c r="AU591" s="93"/>
      <c r="AV591" s="93"/>
      <c r="AW591" s="93"/>
      <c r="AX591" s="93"/>
      <c r="AY591" s="1136"/>
      <c r="AZ591" s="93"/>
      <c r="BA591" s="93"/>
      <c r="BB591" s="93"/>
      <c r="BC591" s="93"/>
      <c r="BD591" s="1136"/>
      <c r="BE591" s="93"/>
      <c r="BF591" s="93"/>
      <c r="BG591" s="93"/>
      <c r="BH591" s="93"/>
      <c r="BI591" s="1136"/>
      <c r="BJ591" s="93"/>
      <c r="BK591" s="93"/>
      <c r="BL591" s="93"/>
      <c r="BM591" s="93"/>
      <c r="BN591" s="1136"/>
      <c r="BO591" s="93"/>
      <c r="BP591" s="93"/>
      <c r="BQ591" s="93"/>
      <c r="BR591" s="93"/>
      <c r="BS591" s="1136"/>
      <c r="BT591" s="93"/>
      <c r="BU591" s="93"/>
      <c r="BV591" s="93"/>
      <c r="BW591" s="93"/>
      <c r="BX591" s="1136"/>
      <c r="BY591" s="522"/>
      <c r="BZ591" s="93"/>
      <c r="CA591" s="93"/>
      <c r="CB591" s="93"/>
      <c r="CC591" s="1136"/>
      <c r="CD591" s="93"/>
      <c r="CE591" s="93"/>
      <c r="CF591" s="93"/>
      <c r="CG591" s="93"/>
      <c r="CH591" s="1136"/>
      <c r="CI591" s="1136"/>
      <c r="CJ591" s="1136"/>
      <c r="CK591" s="1136"/>
      <c r="CL591" s="93"/>
    </row>
    <row r="592" spans="1:90" ht="15" hidden="1" customHeight="1" outlineLevel="2" x14ac:dyDescent="0.3">
      <c r="A592" s="605" t="s">
        <v>962</v>
      </c>
      <c r="B592" s="428"/>
      <c r="C592" s="1194"/>
      <c r="D592" s="1194"/>
      <c r="E592" s="1194"/>
      <c r="F592" s="1194"/>
      <c r="G592" s="800"/>
      <c r="H592" s="800"/>
      <c r="I592" s="800"/>
      <c r="J592" s="800"/>
      <c r="K592" s="1194"/>
      <c r="L592" s="800"/>
      <c r="M592" s="800"/>
      <c r="N592" s="800"/>
      <c r="O592" s="800"/>
      <c r="P592" s="1194"/>
      <c r="Q592" s="800"/>
      <c r="R592" s="800"/>
      <c r="S592" s="800"/>
      <c r="T592" s="800"/>
      <c r="U592" s="1194"/>
      <c r="V592" s="800"/>
      <c r="W592" s="800"/>
      <c r="X592" s="800"/>
      <c r="Y592" s="800"/>
      <c r="Z592" s="1194"/>
      <c r="AA592" s="800"/>
      <c r="AB592" s="800"/>
      <c r="AC592" s="800"/>
      <c r="AD592" s="800"/>
      <c r="AE592" s="1194"/>
      <c r="AF592" s="800"/>
      <c r="AG592" s="800"/>
      <c r="AH592" s="800">
        <f t="shared" ref="AH592" si="1472">AH1093</f>
        <v>43048</v>
      </c>
      <c r="AI592" s="800">
        <f t="shared" ref="AI592:BL592" si="1473">AI1093</f>
        <v>43139</v>
      </c>
      <c r="AJ592" s="1194">
        <f t="shared" si="1473"/>
        <v>43139</v>
      </c>
      <c r="AK592" s="800">
        <f t="shared" si="1473"/>
        <v>43230</v>
      </c>
      <c r="AL592" s="800">
        <f t="shared" si="1473"/>
        <v>43328</v>
      </c>
      <c r="AM592" s="800">
        <f t="shared" si="1473"/>
        <v>43419</v>
      </c>
      <c r="AN592" s="800">
        <f t="shared" si="1473"/>
        <v>43510</v>
      </c>
      <c r="AO592" s="1194">
        <f t="shared" si="1473"/>
        <v>43510</v>
      </c>
      <c r="AP592" s="800">
        <f t="shared" si="1473"/>
        <v>43601</v>
      </c>
      <c r="AQ592" s="800">
        <f t="shared" si="1473"/>
        <v>43692</v>
      </c>
      <c r="AR592" s="800">
        <f t="shared" si="1473"/>
        <v>43783</v>
      </c>
      <c r="AS592" s="800">
        <f t="shared" si="1473"/>
        <v>43874</v>
      </c>
      <c r="AT592" s="1194">
        <f t="shared" si="1473"/>
        <v>43874</v>
      </c>
      <c r="AU592" s="800">
        <f t="shared" si="1473"/>
        <v>43972</v>
      </c>
      <c r="AV592" s="800">
        <f t="shared" si="1473"/>
        <v>44062</v>
      </c>
      <c r="AW592" s="800">
        <f t="shared" si="1473"/>
        <v>44153</v>
      </c>
      <c r="AX592" s="800">
        <f t="shared" si="1473"/>
        <v>44251</v>
      </c>
      <c r="AY592" s="1194">
        <f t="shared" si="1473"/>
        <v>44251</v>
      </c>
      <c r="AZ592" s="800">
        <f t="shared" si="1473"/>
        <v>44342</v>
      </c>
      <c r="BA592" s="800">
        <f t="shared" si="1473"/>
        <v>44426</v>
      </c>
      <c r="BB592" s="800">
        <f t="shared" si="1473"/>
        <v>44517</v>
      </c>
      <c r="BC592" s="800">
        <f t="shared" si="1473"/>
        <v>44608</v>
      </c>
      <c r="BD592" s="1194">
        <f t="shared" si="1473"/>
        <v>44608</v>
      </c>
      <c r="BE592" s="800">
        <f t="shared" si="1473"/>
        <v>44706</v>
      </c>
      <c r="BF592" s="800">
        <f t="shared" si="1473"/>
        <v>44797</v>
      </c>
      <c r="BG592" s="800">
        <f t="shared" si="1473"/>
        <v>44881</v>
      </c>
      <c r="BH592" s="800">
        <f t="shared" si="1473"/>
        <v>44979</v>
      </c>
      <c r="BI592" s="1194">
        <f t="shared" si="1473"/>
        <v>44979</v>
      </c>
      <c r="BJ592" s="800">
        <f t="shared" si="1473"/>
        <v>45070</v>
      </c>
      <c r="BK592" s="800">
        <f t="shared" si="1473"/>
        <v>45161</v>
      </c>
      <c r="BL592" s="800">
        <f t="shared" si="1473"/>
        <v>45251</v>
      </c>
      <c r="BM592" s="800">
        <f t="shared" ref="BM592:BS592" si="1474">BM1093</f>
        <v>45343</v>
      </c>
      <c r="BN592" s="1194">
        <f t="shared" si="1474"/>
        <v>45343</v>
      </c>
      <c r="BO592" s="800">
        <f t="shared" si="1474"/>
        <v>45434</v>
      </c>
      <c r="BP592" s="800">
        <f t="shared" si="1474"/>
        <v>45532</v>
      </c>
      <c r="BQ592" s="800">
        <f t="shared" si="1474"/>
        <v>45616</v>
      </c>
      <c r="BR592" s="800">
        <f t="shared" si="1474"/>
        <v>45714</v>
      </c>
      <c r="BS592" s="1194">
        <f t="shared" si="1474"/>
        <v>45714</v>
      </c>
      <c r="BT592" s="800">
        <f t="shared" ref="BT592:BY592" si="1475">BT1093</f>
        <v>45805</v>
      </c>
      <c r="BU592" s="800">
        <f t="shared" si="1475"/>
        <v>45896</v>
      </c>
      <c r="BV592" s="800">
        <f t="shared" si="1475"/>
        <v>45980</v>
      </c>
      <c r="BW592" s="800">
        <f t="shared" si="1475"/>
        <v>46078</v>
      </c>
      <c r="BX592" s="1194">
        <f t="shared" si="1475"/>
        <v>46078</v>
      </c>
      <c r="BY592" s="926">
        <f t="shared" si="1475"/>
        <v>46162</v>
      </c>
      <c r="BZ592" s="800"/>
      <c r="CA592" s="800"/>
      <c r="CB592" s="800"/>
      <c r="CC592" s="1194"/>
      <c r="CD592" s="800"/>
      <c r="CE592" s="800"/>
      <c r="CF592" s="800"/>
      <c r="CG592" s="800"/>
      <c r="CH592" s="1194"/>
      <c r="CI592" s="1194"/>
      <c r="CJ592" s="1194"/>
      <c r="CK592" s="1194"/>
      <c r="CL592" s="93"/>
    </row>
    <row r="593" spans="1:90" ht="15" hidden="1" customHeight="1" outlineLevel="2" x14ac:dyDescent="0.3">
      <c r="A593" s="803" t="s">
        <v>963</v>
      </c>
      <c r="B593" s="801"/>
      <c r="C593" s="1195"/>
      <c r="D593" s="1195"/>
      <c r="E593" s="1195"/>
      <c r="F593" s="1195"/>
      <c r="G593" s="802"/>
      <c r="H593" s="802"/>
      <c r="I593" s="802"/>
      <c r="J593" s="802"/>
      <c r="K593" s="1195"/>
      <c r="L593" s="802"/>
      <c r="M593" s="802"/>
      <c r="N593" s="802"/>
      <c r="O593" s="802"/>
      <c r="P593" s="1195"/>
      <c r="Q593" s="802"/>
      <c r="R593" s="802"/>
      <c r="S593" s="802"/>
      <c r="T593" s="802"/>
      <c r="U593" s="1195"/>
      <c r="V593" s="802"/>
      <c r="W593" s="802"/>
      <c r="X593" s="802"/>
      <c r="Y593" s="802"/>
      <c r="Z593" s="1195"/>
      <c r="AA593" s="802"/>
      <c r="AB593" s="802"/>
      <c r="AC593" s="802"/>
      <c r="AD593" s="802"/>
      <c r="AE593" s="1195"/>
      <c r="AF593" s="802"/>
      <c r="AG593" s="802"/>
      <c r="AH593" s="802" t="str">
        <f>AI5</f>
        <v>Q4-2018</v>
      </c>
      <c r="AI593" s="802" t="str">
        <f>AK5</f>
        <v>Q1-2019</v>
      </c>
      <c r="AJ593" s="1195" t="str">
        <f>AK5</f>
        <v>Q1-2019</v>
      </c>
      <c r="AK593" s="802" t="str">
        <f>AL5</f>
        <v>Q2-2019</v>
      </c>
      <c r="AL593" s="802" t="str">
        <f>AM5</f>
        <v>Q3-2019</v>
      </c>
      <c r="AM593" s="802" t="str">
        <f>AN5</f>
        <v>Q4-2019</v>
      </c>
      <c r="AN593" s="802" t="str">
        <f>AP5</f>
        <v>Q1-2020</v>
      </c>
      <c r="AO593" s="1195" t="str">
        <f>AP5</f>
        <v>Q1-2020</v>
      </c>
      <c r="AP593" s="802" t="str">
        <f>AQ5</f>
        <v>Q2-2020</v>
      </c>
      <c r="AQ593" s="802" t="str">
        <f>AR5</f>
        <v>Q3-2020</v>
      </c>
      <c r="AR593" s="802" t="str">
        <f>AS5</f>
        <v>Q4-2020</v>
      </c>
      <c r="AS593" s="802" t="str">
        <f>AU5</f>
        <v>Q1-2021</v>
      </c>
      <c r="AT593" s="1195" t="str">
        <f>AU5</f>
        <v>Q1-2021</v>
      </c>
      <c r="AU593" s="802" t="str">
        <f>AV5</f>
        <v>Q2-2021</v>
      </c>
      <c r="AV593" s="802" t="str">
        <f>AW5</f>
        <v>Q3-2021</v>
      </c>
      <c r="AW593" s="802" t="str">
        <f>AX5</f>
        <v>Q4-2021</v>
      </c>
      <c r="AX593" s="802" t="str">
        <f>AZ5</f>
        <v>Q1-2022</v>
      </c>
      <c r="AY593" s="1195" t="str">
        <f>AZ5</f>
        <v>Q1-2022</v>
      </c>
      <c r="AZ593" s="802" t="str">
        <f>BA5</f>
        <v>Q2-2022</v>
      </c>
      <c r="BA593" s="802" t="str">
        <f>BB5</f>
        <v>Q3-2022</v>
      </c>
      <c r="BB593" s="802" t="str">
        <f>BC5</f>
        <v>Q4-2022</v>
      </c>
      <c r="BC593" s="802" t="str">
        <f>BE5</f>
        <v>Q1-2023</v>
      </c>
      <c r="BD593" s="1195" t="str">
        <f>BE5</f>
        <v>Q1-2023</v>
      </c>
      <c r="BE593" s="802" t="str">
        <f>BF5</f>
        <v>Q2-2023</v>
      </c>
      <c r="BF593" s="802" t="str">
        <f>BG5</f>
        <v>Q3-2023</v>
      </c>
      <c r="BG593" s="802" t="str">
        <f>BH5</f>
        <v>Q4-2023</v>
      </c>
      <c r="BH593" s="802" t="str">
        <f>BJ5</f>
        <v>Q1-2024</v>
      </c>
      <c r="BI593" s="1195" t="str">
        <f>BJ5</f>
        <v>Q1-2024</v>
      </c>
      <c r="BJ593" s="802" t="str">
        <f>BK5</f>
        <v>Q2-2024</v>
      </c>
      <c r="BK593" s="802" t="str">
        <f>BL5</f>
        <v>Q3-2024</v>
      </c>
      <c r="BL593" s="802" t="str">
        <f>BM5</f>
        <v>Q4-2024</v>
      </c>
      <c r="BM593" s="802" t="str">
        <f>BO5</f>
        <v>Q1-2025</v>
      </c>
      <c r="BN593" s="1195" t="str">
        <f>BO5</f>
        <v>Q1-2025</v>
      </c>
      <c r="BO593" s="802" t="str">
        <f>BP5</f>
        <v>Q2-2025</v>
      </c>
      <c r="BP593" s="802" t="str">
        <f>BQ5</f>
        <v>Q3-2025</v>
      </c>
      <c r="BQ593" s="802" t="str">
        <f>BR5</f>
        <v>Q4-2025</v>
      </c>
      <c r="BR593" s="802" t="str">
        <f>BT5</f>
        <v>Q1-2026</v>
      </c>
      <c r="BS593" s="1195" t="str">
        <f>BT5</f>
        <v>Q1-2026</v>
      </c>
      <c r="BT593" s="802" t="str">
        <f>BU5</f>
        <v>Q2-2026</v>
      </c>
      <c r="BU593" s="802" t="str">
        <f>BV5</f>
        <v>Q3-2026</v>
      </c>
      <c r="BV593" s="802" t="str">
        <f>BW5</f>
        <v>Q4-2026</v>
      </c>
      <c r="BW593" s="802" t="str">
        <f>BY5</f>
        <v>Q1-2027</v>
      </c>
      <c r="BX593" s="1195" t="str">
        <f>BY5</f>
        <v>Q1-2027</v>
      </c>
      <c r="BY593" s="927" t="str">
        <f>BZ5</f>
        <v>Q2-2027</v>
      </c>
      <c r="BZ593" s="802"/>
      <c r="CA593" s="802"/>
      <c r="CB593" s="802"/>
      <c r="CC593" s="1195"/>
      <c r="CD593" s="802"/>
      <c r="CE593" s="802"/>
      <c r="CF593" s="802"/>
      <c r="CG593" s="802"/>
      <c r="CH593" s="1195"/>
      <c r="CI593" s="1195"/>
      <c r="CJ593" s="1195"/>
      <c r="CK593" s="1195"/>
      <c r="CL593" s="93"/>
    </row>
    <row r="594" spans="1:90" ht="15" hidden="1" customHeight="1" outlineLevel="3" x14ac:dyDescent="0.3">
      <c r="A594" s="492" t="s">
        <v>1026</v>
      </c>
      <c r="B594" s="428"/>
      <c r="C594" s="1136"/>
      <c r="D594" s="1136"/>
      <c r="E594" s="1136"/>
      <c r="F594" s="1136"/>
      <c r="G594" s="93"/>
      <c r="H594" s="93"/>
      <c r="I594" s="93"/>
      <c r="J594" s="93"/>
      <c r="K594" s="1136"/>
      <c r="L594" s="93"/>
      <c r="M594" s="93"/>
      <c r="N594" s="93"/>
      <c r="O594" s="93"/>
      <c r="P594" s="1136"/>
      <c r="Q594" s="93"/>
      <c r="R594" s="93"/>
      <c r="S594" s="93"/>
      <c r="T594" s="93"/>
      <c r="U594" s="1136"/>
      <c r="V594" s="93"/>
      <c r="W594" s="93"/>
      <c r="X594" s="93"/>
      <c r="Y594" s="93"/>
      <c r="Z594" s="1136"/>
      <c r="AA594" s="93"/>
      <c r="AB594" s="93"/>
      <c r="AC594" s="93"/>
      <c r="AD594" s="93"/>
      <c r="AE594" s="1136"/>
      <c r="AF594" s="93"/>
      <c r="AG594" s="93"/>
      <c r="AH594" s="93">
        <f t="shared" ref="AH594" si="1476">+AH1095</f>
        <v>2597</v>
      </c>
      <c r="AI594" s="93">
        <f t="shared" ref="AI594:BL594" si="1477">+AI1095</f>
        <v>2842</v>
      </c>
      <c r="AJ594" s="1136">
        <f t="shared" si="1477"/>
        <v>2842</v>
      </c>
      <c r="AK594" s="93">
        <f t="shared" si="1477"/>
        <v>3038</v>
      </c>
      <c r="AL594" s="93">
        <f t="shared" si="1477"/>
        <v>3185</v>
      </c>
      <c r="AM594" s="93">
        <f t="shared" si="1477"/>
        <v>2646</v>
      </c>
      <c r="AN594" s="93">
        <f t="shared" si="1477"/>
        <v>2156</v>
      </c>
      <c r="AO594" s="1136">
        <f t="shared" si="1477"/>
        <v>2156</v>
      </c>
      <c r="AP594" s="93">
        <f t="shared" si="1477"/>
        <v>2499</v>
      </c>
      <c r="AQ594" s="93">
        <f t="shared" si="1477"/>
        <v>2842</v>
      </c>
      <c r="AR594" s="93">
        <f t="shared" si="1477"/>
        <v>2891</v>
      </c>
      <c r="AS594" s="93">
        <f t="shared" si="1477"/>
        <v>2940</v>
      </c>
      <c r="AT594" s="1136">
        <f t="shared" si="1477"/>
        <v>2940</v>
      </c>
      <c r="AU594" s="93">
        <f t="shared" si="1477"/>
        <v>3577</v>
      </c>
      <c r="AV594" s="93">
        <f t="shared" si="1477"/>
        <v>4312</v>
      </c>
      <c r="AW594" s="93">
        <f t="shared" si="1477"/>
        <v>4704</v>
      </c>
      <c r="AX594" s="93">
        <f t="shared" si="1477"/>
        <v>5194</v>
      </c>
      <c r="AY594" s="1136">
        <f t="shared" si="1477"/>
        <v>5194</v>
      </c>
      <c r="AZ594" s="93">
        <f t="shared" si="1477"/>
        <v>6174</v>
      </c>
      <c r="BA594" s="93">
        <f t="shared" si="1477"/>
        <v>6664</v>
      </c>
      <c r="BB594" s="93">
        <f t="shared" si="1477"/>
        <v>7252</v>
      </c>
      <c r="BC594" s="93">
        <f t="shared" si="1477"/>
        <v>7938</v>
      </c>
      <c r="BD594" s="1136">
        <f t="shared" si="1477"/>
        <v>7938</v>
      </c>
      <c r="BE594" s="93">
        <f t="shared" si="1477"/>
        <v>7938</v>
      </c>
      <c r="BF594" s="93">
        <f t="shared" si="1477"/>
        <v>5782</v>
      </c>
      <c r="BG594" s="93">
        <f t="shared" si="1477"/>
        <v>5880</v>
      </c>
      <c r="BH594" s="93">
        <f t="shared" si="1477"/>
        <v>6370</v>
      </c>
      <c r="BI594" s="1136">
        <f t="shared" si="1477"/>
        <v>6370</v>
      </c>
      <c r="BJ594" s="93">
        <f t="shared" si="1477"/>
        <v>10780</v>
      </c>
      <c r="BK594" s="93">
        <f t="shared" si="1477"/>
        <v>15680</v>
      </c>
      <c r="BL594" s="93">
        <f t="shared" si="1477"/>
        <v>19600</v>
      </c>
      <c r="BM594" s="93">
        <f t="shared" ref="BM594:BO595" si="1478">+BM1095</f>
        <v>23520</v>
      </c>
      <c r="BN594" s="1136">
        <f t="shared" si="1478"/>
        <v>23520</v>
      </c>
      <c r="BO594" s="93">
        <f t="shared" si="1478"/>
        <v>27440</v>
      </c>
      <c r="BP594" s="93">
        <f t="shared" ref="BP594:BS595" si="1479">+BP1095</f>
        <v>31850</v>
      </c>
      <c r="BQ594" s="93">
        <f t="shared" si="1479"/>
        <v>36750</v>
      </c>
      <c r="BR594" s="93">
        <f t="shared" si="1479"/>
        <v>42140</v>
      </c>
      <c r="BS594" s="1136">
        <f t="shared" si="1479"/>
        <v>42140</v>
      </c>
      <c r="BT594" s="93">
        <f t="shared" ref="BT594:BV595" si="1480">+BT1095</f>
        <v>44100</v>
      </c>
      <c r="BU594" s="93">
        <f t="shared" si="1480"/>
        <v>52920</v>
      </c>
      <c r="BV594" s="93">
        <f t="shared" si="1480"/>
        <v>63700</v>
      </c>
      <c r="BW594" s="93">
        <f t="shared" ref="BW594:BY595" si="1481">+BW1095</f>
        <v>76440</v>
      </c>
      <c r="BX594" s="1136">
        <f t="shared" si="1481"/>
        <v>76440</v>
      </c>
      <c r="BY594" s="522">
        <f t="shared" si="1481"/>
        <v>89180</v>
      </c>
      <c r="BZ594" s="93"/>
      <c r="CA594" s="93"/>
      <c r="CB594" s="93"/>
      <c r="CC594" s="1136"/>
      <c r="CD594" s="93"/>
      <c r="CE594" s="93"/>
      <c r="CF594" s="93"/>
      <c r="CG594" s="93"/>
      <c r="CH594" s="1136"/>
      <c r="CI594" s="1136"/>
      <c r="CJ594" s="1136"/>
      <c r="CK594" s="1136"/>
      <c r="CL594" s="93"/>
    </row>
    <row r="595" spans="1:90" ht="15" hidden="1" customHeight="1" outlineLevel="3" x14ac:dyDescent="0.3">
      <c r="A595" s="812" t="s">
        <v>1027</v>
      </c>
      <c r="B595" s="718"/>
      <c r="C595" s="1131"/>
      <c r="D595" s="1131"/>
      <c r="E595" s="1131"/>
      <c r="F595" s="1131"/>
      <c r="G595" s="882"/>
      <c r="H595" s="882"/>
      <c r="I595" s="882"/>
      <c r="J595" s="882"/>
      <c r="K595" s="1131"/>
      <c r="L595" s="882"/>
      <c r="M595" s="882"/>
      <c r="N595" s="882"/>
      <c r="O595" s="882"/>
      <c r="P595" s="1131"/>
      <c r="Q595" s="882"/>
      <c r="R595" s="882"/>
      <c r="S595" s="882"/>
      <c r="T595" s="882"/>
      <c r="U595" s="1131"/>
      <c r="V595" s="882"/>
      <c r="W595" s="882"/>
      <c r="X595" s="882"/>
      <c r="Y595" s="882"/>
      <c r="Z595" s="1131"/>
      <c r="AA595" s="882"/>
      <c r="AB595" s="882"/>
      <c r="AC595" s="882"/>
      <c r="AD595" s="882"/>
      <c r="AE595" s="1131"/>
      <c r="AF595" s="882"/>
      <c r="AG595" s="882"/>
      <c r="AH595" s="882">
        <f t="shared" ref="AH595" si="1482">+AH1096</f>
        <v>2703</v>
      </c>
      <c r="AI595" s="882">
        <f t="shared" ref="AI595:BL595" si="1483">+AI1096</f>
        <v>2958</v>
      </c>
      <c r="AJ595" s="1131">
        <f t="shared" si="1483"/>
        <v>2958</v>
      </c>
      <c r="AK595" s="882">
        <f t="shared" si="1483"/>
        <v>3162</v>
      </c>
      <c r="AL595" s="882">
        <f t="shared" si="1483"/>
        <v>3315</v>
      </c>
      <c r="AM595" s="882">
        <f t="shared" si="1483"/>
        <v>2754</v>
      </c>
      <c r="AN595" s="882">
        <f t="shared" si="1483"/>
        <v>2244</v>
      </c>
      <c r="AO595" s="1131">
        <f t="shared" si="1483"/>
        <v>2244</v>
      </c>
      <c r="AP595" s="882">
        <f t="shared" si="1483"/>
        <v>2601</v>
      </c>
      <c r="AQ595" s="882">
        <f t="shared" si="1483"/>
        <v>2958</v>
      </c>
      <c r="AR595" s="882">
        <f t="shared" si="1483"/>
        <v>3009</v>
      </c>
      <c r="AS595" s="882">
        <f t="shared" si="1483"/>
        <v>3060</v>
      </c>
      <c r="AT595" s="1131">
        <f t="shared" si="1483"/>
        <v>3060</v>
      </c>
      <c r="AU595" s="882">
        <f t="shared" si="1483"/>
        <v>3723</v>
      </c>
      <c r="AV595" s="882">
        <f t="shared" si="1483"/>
        <v>4488</v>
      </c>
      <c r="AW595" s="882">
        <f t="shared" si="1483"/>
        <v>4896</v>
      </c>
      <c r="AX595" s="882">
        <f t="shared" si="1483"/>
        <v>5406</v>
      </c>
      <c r="AY595" s="1131">
        <f t="shared" si="1483"/>
        <v>5406</v>
      </c>
      <c r="AZ595" s="882">
        <f t="shared" si="1483"/>
        <v>6426</v>
      </c>
      <c r="BA595" s="882">
        <f t="shared" si="1483"/>
        <v>6936</v>
      </c>
      <c r="BB595" s="882">
        <f t="shared" si="1483"/>
        <v>7548</v>
      </c>
      <c r="BC595" s="882">
        <f t="shared" si="1483"/>
        <v>8262</v>
      </c>
      <c r="BD595" s="1131">
        <f t="shared" si="1483"/>
        <v>8262</v>
      </c>
      <c r="BE595" s="882">
        <f t="shared" si="1483"/>
        <v>8262</v>
      </c>
      <c r="BF595" s="882">
        <f t="shared" si="1483"/>
        <v>6018</v>
      </c>
      <c r="BG595" s="882">
        <f t="shared" si="1483"/>
        <v>6120</v>
      </c>
      <c r="BH595" s="882">
        <f t="shared" si="1483"/>
        <v>6630</v>
      </c>
      <c r="BI595" s="1131">
        <f t="shared" si="1483"/>
        <v>6630</v>
      </c>
      <c r="BJ595" s="882">
        <f t="shared" si="1483"/>
        <v>11220</v>
      </c>
      <c r="BK595" s="882">
        <f t="shared" si="1483"/>
        <v>16320</v>
      </c>
      <c r="BL595" s="882">
        <f t="shared" si="1483"/>
        <v>20400</v>
      </c>
      <c r="BM595" s="882">
        <f t="shared" si="1478"/>
        <v>24480</v>
      </c>
      <c r="BN595" s="1131">
        <f t="shared" si="1478"/>
        <v>24480</v>
      </c>
      <c r="BO595" s="882">
        <f t="shared" si="1478"/>
        <v>28560</v>
      </c>
      <c r="BP595" s="882">
        <f t="shared" si="1479"/>
        <v>33150</v>
      </c>
      <c r="BQ595" s="882">
        <f t="shared" si="1479"/>
        <v>38250</v>
      </c>
      <c r="BR595" s="882">
        <f t="shared" si="1479"/>
        <v>43860</v>
      </c>
      <c r="BS595" s="1131">
        <f t="shared" si="1479"/>
        <v>43860</v>
      </c>
      <c r="BT595" s="882">
        <f t="shared" si="1480"/>
        <v>45900</v>
      </c>
      <c r="BU595" s="882">
        <f t="shared" si="1480"/>
        <v>55080</v>
      </c>
      <c r="BV595" s="882">
        <f t="shared" si="1480"/>
        <v>66300</v>
      </c>
      <c r="BW595" s="882">
        <f t="shared" si="1481"/>
        <v>79560</v>
      </c>
      <c r="BX595" s="1131">
        <f t="shared" si="1481"/>
        <v>79560</v>
      </c>
      <c r="BY595" s="877">
        <f t="shared" si="1481"/>
        <v>92820</v>
      </c>
      <c r="BZ595" s="882"/>
      <c r="CA595" s="882"/>
      <c r="CB595" s="882"/>
      <c r="CC595" s="1131"/>
      <c r="CD595" s="882"/>
      <c r="CE595" s="882"/>
      <c r="CF595" s="882"/>
      <c r="CG595" s="882"/>
      <c r="CH595" s="1131"/>
      <c r="CI595" s="1131"/>
      <c r="CJ595" s="1131"/>
      <c r="CK595" s="1131"/>
      <c r="CL595" s="93"/>
    </row>
    <row r="596" spans="1:90" ht="15" hidden="1" customHeight="1" outlineLevel="2" collapsed="1" x14ac:dyDescent="0.3">
      <c r="A596" s="609" t="s">
        <v>1028</v>
      </c>
      <c r="B596" s="610"/>
      <c r="C596" s="1161"/>
      <c r="D596" s="1161"/>
      <c r="E596" s="1161"/>
      <c r="F596" s="1161"/>
      <c r="G596" s="378"/>
      <c r="H596" s="378"/>
      <c r="I596" s="378"/>
      <c r="J596" s="378"/>
      <c r="K596" s="1161"/>
      <c r="L596" s="378"/>
      <c r="M596" s="378"/>
      <c r="N596" s="378"/>
      <c r="O596" s="378"/>
      <c r="P596" s="1161"/>
      <c r="Q596" s="378"/>
      <c r="R596" s="378"/>
      <c r="S596" s="378"/>
      <c r="T596" s="378"/>
      <c r="U596" s="1161"/>
      <c r="V596" s="378"/>
      <c r="W596" s="378"/>
      <c r="X596" s="378"/>
      <c r="Y596" s="378"/>
      <c r="Z596" s="1161"/>
      <c r="AA596" s="378"/>
      <c r="AB596" s="378"/>
      <c r="AC596" s="378"/>
      <c r="AD596" s="378"/>
      <c r="AE596" s="1161"/>
      <c r="AF596" s="378"/>
      <c r="AG596" s="378"/>
      <c r="AH596" s="378">
        <f t="shared" ref="AH596" si="1484">IFERROR(AVERAGE(AH594,AH595),"")</f>
        <v>2650</v>
      </c>
      <c r="AI596" s="378">
        <f t="shared" ref="AI596:BL596" si="1485">IFERROR(AVERAGE(AI594,AI595),"")</f>
        <v>2900</v>
      </c>
      <c r="AJ596" s="1161">
        <f t="shared" si="1485"/>
        <v>2900</v>
      </c>
      <c r="AK596" s="378">
        <f t="shared" si="1485"/>
        <v>3100</v>
      </c>
      <c r="AL596" s="378">
        <f t="shared" si="1485"/>
        <v>3250</v>
      </c>
      <c r="AM596" s="378">
        <f t="shared" si="1485"/>
        <v>2700</v>
      </c>
      <c r="AN596" s="378">
        <f t="shared" si="1485"/>
        <v>2200</v>
      </c>
      <c r="AO596" s="1161">
        <f t="shared" si="1485"/>
        <v>2200</v>
      </c>
      <c r="AP596" s="378">
        <f t="shared" si="1485"/>
        <v>2550</v>
      </c>
      <c r="AQ596" s="378">
        <f t="shared" si="1485"/>
        <v>2900</v>
      </c>
      <c r="AR596" s="378">
        <f t="shared" si="1485"/>
        <v>2950</v>
      </c>
      <c r="AS596" s="378">
        <f t="shared" si="1485"/>
        <v>3000</v>
      </c>
      <c r="AT596" s="1161">
        <f t="shared" si="1485"/>
        <v>3000</v>
      </c>
      <c r="AU596" s="378">
        <f t="shared" si="1485"/>
        <v>3650</v>
      </c>
      <c r="AV596" s="378">
        <f t="shared" si="1485"/>
        <v>4400</v>
      </c>
      <c r="AW596" s="378">
        <f t="shared" si="1485"/>
        <v>4800</v>
      </c>
      <c r="AX596" s="378">
        <f t="shared" si="1485"/>
        <v>5300</v>
      </c>
      <c r="AY596" s="1161">
        <f t="shared" si="1485"/>
        <v>5300</v>
      </c>
      <c r="AZ596" s="378">
        <f t="shared" si="1485"/>
        <v>6300</v>
      </c>
      <c r="BA596" s="378">
        <f t="shared" si="1485"/>
        <v>6800</v>
      </c>
      <c r="BB596" s="378">
        <f t="shared" si="1485"/>
        <v>7400</v>
      </c>
      <c r="BC596" s="378">
        <f t="shared" si="1485"/>
        <v>8100</v>
      </c>
      <c r="BD596" s="1161">
        <f t="shared" si="1485"/>
        <v>8100</v>
      </c>
      <c r="BE596" s="378">
        <f t="shared" si="1485"/>
        <v>8100</v>
      </c>
      <c r="BF596" s="378">
        <f t="shared" si="1485"/>
        <v>5900</v>
      </c>
      <c r="BG596" s="378">
        <f t="shared" si="1485"/>
        <v>6000</v>
      </c>
      <c r="BH596" s="378">
        <f t="shared" si="1485"/>
        <v>6500</v>
      </c>
      <c r="BI596" s="1161">
        <f t="shared" si="1485"/>
        <v>6500</v>
      </c>
      <c r="BJ596" s="378">
        <f t="shared" si="1485"/>
        <v>11000</v>
      </c>
      <c r="BK596" s="378">
        <f t="shared" si="1485"/>
        <v>16000</v>
      </c>
      <c r="BL596" s="378">
        <f t="shared" si="1485"/>
        <v>20000</v>
      </c>
      <c r="BM596" s="378">
        <f t="shared" ref="BM596:BS596" si="1486">IFERROR(AVERAGE(BM594,BM595),"")</f>
        <v>24000</v>
      </c>
      <c r="BN596" s="1161">
        <f t="shared" si="1486"/>
        <v>24000</v>
      </c>
      <c r="BO596" s="378">
        <f t="shared" si="1486"/>
        <v>28000</v>
      </c>
      <c r="BP596" s="378">
        <f t="shared" si="1486"/>
        <v>32500</v>
      </c>
      <c r="BQ596" s="378">
        <f t="shared" si="1486"/>
        <v>37500</v>
      </c>
      <c r="BR596" s="378">
        <f t="shared" si="1486"/>
        <v>43000</v>
      </c>
      <c r="BS596" s="1161">
        <f t="shared" si="1486"/>
        <v>43000</v>
      </c>
      <c r="BT596" s="378">
        <f t="shared" ref="BT596:BY596" si="1487">IFERROR(AVERAGE(BT594,BT595),"")</f>
        <v>45000</v>
      </c>
      <c r="BU596" s="378">
        <f t="shared" si="1487"/>
        <v>54000</v>
      </c>
      <c r="BV596" s="378">
        <f t="shared" si="1487"/>
        <v>65000</v>
      </c>
      <c r="BW596" s="378">
        <f t="shared" si="1487"/>
        <v>78000</v>
      </c>
      <c r="BX596" s="1161">
        <f t="shared" si="1487"/>
        <v>78000</v>
      </c>
      <c r="BY596" s="1006">
        <f t="shared" si="1487"/>
        <v>91000</v>
      </c>
      <c r="BZ596" s="378"/>
      <c r="CA596" s="378"/>
      <c r="CB596" s="378"/>
      <c r="CC596" s="1161"/>
      <c r="CD596" s="378"/>
      <c r="CE596" s="378"/>
      <c r="CF596" s="378"/>
      <c r="CG596" s="378"/>
      <c r="CH596" s="1161"/>
      <c r="CI596" s="1161"/>
      <c r="CJ596" s="1161"/>
      <c r="CK596" s="1161"/>
      <c r="CL596" s="93"/>
    </row>
    <row r="597" spans="1:90" ht="15" hidden="1" customHeight="1" outlineLevel="2" x14ac:dyDescent="0.3">
      <c r="A597" s="492" t="s">
        <v>1029</v>
      </c>
      <c r="B597" s="428"/>
      <c r="C597" s="1136"/>
      <c r="D597" s="1136"/>
      <c r="E597" s="1136"/>
      <c r="F597" s="1136"/>
      <c r="G597" s="93"/>
      <c r="H597" s="93"/>
      <c r="I597" s="93"/>
      <c r="J597" s="93"/>
      <c r="K597" s="1136"/>
      <c r="L597" s="93"/>
      <c r="M597" s="93"/>
      <c r="N597" s="93"/>
      <c r="O597" s="93"/>
      <c r="P597" s="1136"/>
      <c r="Q597" s="93"/>
      <c r="R597" s="93"/>
      <c r="S597" s="93"/>
      <c r="T597" s="93"/>
      <c r="U597" s="1136"/>
      <c r="V597" s="93"/>
      <c r="W597" s="93"/>
      <c r="X597" s="93"/>
      <c r="Y597" s="93"/>
      <c r="Z597" s="1136"/>
      <c r="AA597" s="93"/>
      <c r="AB597" s="93"/>
      <c r="AC597" s="93"/>
      <c r="AD597" s="93"/>
      <c r="AE597" s="1136"/>
      <c r="AF597" s="93"/>
      <c r="AG597" s="93"/>
      <c r="AH597" s="93">
        <f t="shared" ref="AH597" si="1488">IFERROR(ABS(AH595-AH594),"")</f>
        <v>106</v>
      </c>
      <c r="AI597" s="93">
        <f t="shared" ref="AI597:BL597" si="1489">IFERROR(ABS(AI595-AI594),"")</f>
        <v>116</v>
      </c>
      <c r="AJ597" s="1136">
        <f t="shared" si="1489"/>
        <v>116</v>
      </c>
      <c r="AK597" s="93">
        <f t="shared" si="1489"/>
        <v>124</v>
      </c>
      <c r="AL597" s="93">
        <f t="shared" si="1489"/>
        <v>130</v>
      </c>
      <c r="AM597" s="93">
        <f t="shared" si="1489"/>
        <v>108</v>
      </c>
      <c r="AN597" s="93">
        <f t="shared" si="1489"/>
        <v>88</v>
      </c>
      <c r="AO597" s="1136">
        <f t="shared" si="1489"/>
        <v>88</v>
      </c>
      <c r="AP597" s="93">
        <f t="shared" si="1489"/>
        <v>102</v>
      </c>
      <c r="AQ597" s="93">
        <f t="shared" si="1489"/>
        <v>116</v>
      </c>
      <c r="AR597" s="93">
        <f t="shared" si="1489"/>
        <v>118</v>
      </c>
      <c r="AS597" s="93">
        <f t="shared" si="1489"/>
        <v>120</v>
      </c>
      <c r="AT597" s="1136">
        <f t="shared" si="1489"/>
        <v>120</v>
      </c>
      <c r="AU597" s="93">
        <f t="shared" si="1489"/>
        <v>146</v>
      </c>
      <c r="AV597" s="93">
        <f t="shared" si="1489"/>
        <v>176</v>
      </c>
      <c r="AW597" s="93">
        <f t="shared" si="1489"/>
        <v>192</v>
      </c>
      <c r="AX597" s="93">
        <f t="shared" si="1489"/>
        <v>212</v>
      </c>
      <c r="AY597" s="1136">
        <f t="shared" si="1489"/>
        <v>212</v>
      </c>
      <c r="AZ597" s="93">
        <f t="shared" si="1489"/>
        <v>252</v>
      </c>
      <c r="BA597" s="93">
        <f t="shared" si="1489"/>
        <v>272</v>
      </c>
      <c r="BB597" s="93">
        <f t="shared" si="1489"/>
        <v>296</v>
      </c>
      <c r="BC597" s="93">
        <f t="shared" si="1489"/>
        <v>324</v>
      </c>
      <c r="BD597" s="1136">
        <f t="shared" si="1489"/>
        <v>324</v>
      </c>
      <c r="BE597" s="93">
        <f t="shared" si="1489"/>
        <v>324</v>
      </c>
      <c r="BF597" s="93">
        <f t="shared" si="1489"/>
        <v>236</v>
      </c>
      <c r="BG597" s="93">
        <f t="shared" si="1489"/>
        <v>240</v>
      </c>
      <c r="BH597" s="93">
        <f t="shared" si="1489"/>
        <v>260</v>
      </c>
      <c r="BI597" s="1136">
        <f t="shared" si="1489"/>
        <v>260</v>
      </c>
      <c r="BJ597" s="93">
        <f t="shared" si="1489"/>
        <v>440</v>
      </c>
      <c r="BK597" s="93">
        <f t="shared" si="1489"/>
        <v>640</v>
      </c>
      <c r="BL597" s="93">
        <f t="shared" si="1489"/>
        <v>800</v>
      </c>
      <c r="BM597" s="93">
        <f t="shared" ref="BM597:BS597" si="1490">IFERROR(ABS(BM595-BM594),"")</f>
        <v>960</v>
      </c>
      <c r="BN597" s="1136">
        <f t="shared" si="1490"/>
        <v>960</v>
      </c>
      <c r="BO597" s="93">
        <f t="shared" si="1490"/>
        <v>1120</v>
      </c>
      <c r="BP597" s="93">
        <f t="shared" si="1490"/>
        <v>1300</v>
      </c>
      <c r="BQ597" s="93">
        <f t="shared" si="1490"/>
        <v>1500</v>
      </c>
      <c r="BR597" s="93">
        <f t="shared" si="1490"/>
        <v>1720</v>
      </c>
      <c r="BS597" s="1136">
        <f t="shared" si="1490"/>
        <v>1720</v>
      </c>
      <c r="BT597" s="93">
        <f t="shared" ref="BT597:BY597" si="1491">IFERROR(ABS(BT595-BT594),"")</f>
        <v>1800</v>
      </c>
      <c r="BU597" s="93">
        <f t="shared" si="1491"/>
        <v>2160</v>
      </c>
      <c r="BV597" s="93">
        <f t="shared" si="1491"/>
        <v>2600</v>
      </c>
      <c r="BW597" s="93">
        <f t="shared" si="1491"/>
        <v>3120</v>
      </c>
      <c r="BX597" s="1136">
        <f t="shared" si="1491"/>
        <v>3120</v>
      </c>
      <c r="BY597" s="522">
        <f t="shared" si="1491"/>
        <v>3640</v>
      </c>
      <c r="BZ597" s="93"/>
      <c r="CA597" s="93"/>
      <c r="CB597" s="93"/>
      <c r="CC597" s="1136"/>
      <c r="CD597" s="93"/>
      <c r="CE597" s="93"/>
      <c r="CF597" s="93"/>
      <c r="CG597" s="93"/>
      <c r="CH597" s="1136"/>
      <c r="CI597" s="1136"/>
      <c r="CJ597" s="1136"/>
      <c r="CK597" s="1136"/>
      <c r="CL597" s="93"/>
    </row>
    <row r="598" spans="1:90" ht="15" hidden="1" customHeight="1" outlineLevel="2" x14ac:dyDescent="0.3">
      <c r="A598" s="647" t="s">
        <v>1030</v>
      </c>
      <c r="B598" s="428"/>
      <c r="C598" s="1128"/>
      <c r="D598" s="1128"/>
      <c r="E598" s="1128"/>
      <c r="F598" s="1128"/>
      <c r="G598" s="315"/>
      <c r="H598" s="315"/>
      <c r="I598" s="315"/>
      <c r="J598" s="315"/>
      <c r="K598" s="1128"/>
      <c r="L598" s="315"/>
      <c r="M598" s="315"/>
      <c r="N598" s="315"/>
      <c r="O598" s="315"/>
      <c r="P598" s="1128"/>
      <c r="Q598" s="315"/>
      <c r="R598" s="315"/>
      <c r="S598" s="315"/>
      <c r="T598" s="315"/>
      <c r="U598" s="1128"/>
      <c r="V598" s="315"/>
      <c r="W598" s="315"/>
      <c r="X598" s="315"/>
      <c r="Y598" s="315"/>
      <c r="Z598" s="1128"/>
      <c r="AA598" s="315"/>
      <c r="AB598" s="315"/>
      <c r="AC598" s="315"/>
      <c r="AD598" s="315"/>
      <c r="AE598" s="1128"/>
      <c r="AF598" s="315"/>
      <c r="AG598" s="315"/>
      <c r="AH598" s="315">
        <f t="shared" ref="AH598" si="1492">IFERROR(ABS((AH595-AH596)/AH596),"")</f>
        <v>0.02</v>
      </c>
      <c r="AI598" s="315">
        <f t="shared" ref="AI598:BL598" si="1493">IFERROR(ABS((AI595-AI596)/AI596),"")</f>
        <v>0.02</v>
      </c>
      <c r="AJ598" s="1128">
        <f t="shared" si="1493"/>
        <v>0.02</v>
      </c>
      <c r="AK598" s="315">
        <f t="shared" si="1493"/>
        <v>0.02</v>
      </c>
      <c r="AL598" s="315">
        <f t="shared" si="1493"/>
        <v>0.02</v>
      </c>
      <c r="AM598" s="315">
        <f t="shared" si="1493"/>
        <v>0.02</v>
      </c>
      <c r="AN598" s="315">
        <f t="shared" si="1493"/>
        <v>0.02</v>
      </c>
      <c r="AO598" s="1128">
        <f t="shared" si="1493"/>
        <v>0.02</v>
      </c>
      <c r="AP598" s="315">
        <f t="shared" si="1493"/>
        <v>0.02</v>
      </c>
      <c r="AQ598" s="315">
        <f t="shared" si="1493"/>
        <v>0.02</v>
      </c>
      <c r="AR598" s="315">
        <f t="shared" si="1493"/>
        <v>0.02</v>
      </c>
      <c r="AS598" s="315">
        <f t="shared" si="1493"/>
        <v>0.02</v>
      </c>
      <c r="AT598" s="1128">
        <f t="shared" si="1493"/>
        <v>0.02</v>
      </c>
      <c r="AU598" s="315">
        <f t="shared" si="1493"/>
        <v>0.02</v>
      </c>
      <c r="AV598" s="315">
        <f t="shared" si="1493"/>
        <v>0.02</v>
      </c>
      <c r="AW598" s="315">
        <f t="shared" si="1493"/>
        <v>0.02</v>
      </c>
      <c r="AX598" s="315">
        <f t="shared" si="1493"/>
        <v>0.02</v>
      </c>
      <c r="AY598" s="1128">
        <f t="shared" si="1493"/>
        <v>0.02</v>
      </c>
      <c r="AZ598" s="315">
        <f t="shared" si="1493"/>
        <v>0.02</v>
      </c>
      <c r="BA598" s="315">
        <f t="shared" si="1493"/>
        <v>0.02</v>
      </c>
      <c r="BB598" s="315">
        <f t="shared" si="1493"/>
        <v>0.02</v>
      </c>
      <c r="BC598" s="315">
        <f t="shared" si="1493"/>
        <v>0.02</v>
      </c>
      <c r="BD598" s="1128">
        <f t="shared" si="1493"/>
        <v>0.02</v>
      </c>
      <c r="BE598" s="315">
        <f t="shared" si="1493"/>
        <v>0.02</v>
      </c>
      <c r="BF598" s="315">
        <f t="shared" si="1493"/>
        <v>0.02</v>
      </c>
      <c r="BG598" s="315">
        <f t="shared" si="1493"/>
        <v>0.02</v>
      </c>
      <c r="BH598" s="315">
        <f t="shared" si="1493"/>
        <v>0.02</v>
      </c>
      <c r="BI598" s="1128">
        <f t="shared" si="1493"/>
        <v>0.02</v>
      </c>
      <c r="BJ598" s="315">
        <f t="shared" si="1493"/>
        <v>0.02</v>
      </c>
      <c r="BK598" s="315">
        <f t="shared" si="1493"/>
        <v>0.02</v>
      </c>
      <c r="BL598" s="315">
        <f t="shared" si="1493"/>
        <v>0.02</v>
      </c>
      <c r="BM598" s="315">
        <f t="shared" ref="BM598:BS598" si="1494">IFERROR(ABS((BM595-BM596)/BM596),"")</f>
        <v>0.02</v>
      </c>
      <c r="BN598" s="1128">
        <f t="shared" si="1494"/>
        <v>0.02</v>
      </c>
      <c r="BO598" s="315">
        <f t="shared" si="1494"/>
        <v>0.02</v>
      </c>
      <c r="BP598" s="315">
        <f t="shared" si="1494"/>
        <v>0.02</v>
      </c>
      <c r="BQ598" s="315">
        <f t="shared" si="1494"/>
        <v>0.02</v>
      </c>
      <c r="BR598" s="315">
        <f t="shared" si="1494"/>
        <v>0.02</v>
      </c>
      <c r="BS598" s="1128">
        <f t="shared" si="1494"/>
        <v>0.02</v>
      </c>
      <c r="BT598" s="315">
        <f t="shared" ref="BT598:BY598" si="1495">IFERROR(ABS((BT595-BT596)/BT596),"")</f>
        <v>0.02</v>
      </c>
      <c r="BU598" s="315">
        <f t="shared" si="1495"/>
        <v>0.02</v>
      </c>
      <c r="BV598" s="315">
        <f t="shared" si="1495"/>
        <v>0.02</v>
      </c>
      <c r="BW598" s="315">
        <f t="shared" si="1495"/>
        <v>0.02</v>
      </c>
      <c r="BX598" s="1128">
        <f t="shared" si="1495"/>
        <v>0.02</v>
      </c>
      <c r="BY598" s="897">
        <f t="shared" si="1495"/>
        <v>0.02</v>
      </c>
      <c r="BZ598" s="315"/>
      <c r="CA598" s="315"/>
      <c r="CB598" s="315"/>
      <c r="CC598" s="1128"/>
      <c r="CD598" s="315"/>
      <c r="CE598" s="315"/>
      <c r="CF598" s="315"/>
      <c r="CG598" s="315"/>
      <c r="CH598" s="1128"/>
      <c r="CI598" s="1128"/>
      <c r="CJ598" s="1128"/>
      <c r="CK598" s="1128"/>
      <c r="CL598" s="93"/>
    </row>
    <row r="599" spans="1:90" ht="15" hidden="1" customHeight="1" outlineLevel="3" x14ac:dyDescent="0.3">
      <c r="A599" s="648" t="s">
        <v>1048</v>
      </c>
      <c r="B599" s="112"/>
      <c r="C599" s="1115"/>
      <c r="D599" s="1115"/>
      <c r="E599" s="1115"/>
      <c r="F599" s="1115"/>
      <c r="G599" s="90"/>
      <c r="H599" s="90"/>
      <c r="I599" s="90"/>
      <c r="J599" s="90"/>
      <c r="K599" s="1115"/>
      <c r="L599" s="90"/>
      <c r="M599" s="90"/>
      <c r="N599" s="90"/>
      <c r="O599" s="90"/>
      <c r="P599" s="1115"/>
      <c r="Q599" s="90"/>
      <c r="R599" s="90"/>
      <c r="S599" s="90"/>
      <c r="T599" s="90"/>
      <c r="U599" s="1115"/>
      <c r="V599" s="90"/>
      <c r="W599" s="90"/>
      <c r="X599" s="90"/>
      <c r="Y599" s="90"/>
      <c r="Z599" s="1115"/>
      <c r="AA599" s="90"/>
      <c r="AB599" s="90"/>
      <c r="AC599" s="90"/>
      <c r="AD599" s="90"/>
      <c r="AE599" s="1115"/>
      <c r="AF599" s="90"/>
      <c r="AG599" s="90"/>
      <c r="AH599" s="90">
        <f>AH594/AH581-1</f>
        <v>-1.479514415781491E-2</v>
      </c>
      <c r="AI599" s="90">
        <f>AI594/AI581-1</f>
        <v>-2.3703194778426639E-2</v>
      </c>
      <c r="AJ599" s="1115">
        <f>AJ594/AI581-1</f>
        <v>-2.3703194778426639E-2</v>
      </c>
      <c r="AK599" s="90">
        <f>AK594/AK581-1</f>
        <v>-5.2697224820704713E-2</v>
      </c>
      <c r="AL599" s="90">
        <f>AL594/AL581-1</f>
        <v>1.9852705731668197E-2</v>
      </c>
      <c r="AM599" s="90">
        <f>AM594/AM581-1</f>
        <v>-0.16818610499842812</v>
      </c>
      <c r="AN599" s="90">
        <f>AN594/AN581-1</f>
        <v>-2.2222222222222254E-2</v>
      </c>
      <c r="AO599" s="1115">
        <f>AO594/AN581-1</f>
        <v>-2.2222222222222254E-2</v>
      </c>
      <c r="AP599" s="90">
        <f>AP594/AP581-1</f>
        <v>0.12567567567567561</v>
      </c>
      <c r="AQ599" s="90">
        <f>AQ594/AQ581-1</f>
        <v>0.10197751066304761</v>
      </c>
      <c r="AR599" s="90">
        <f>AR594/AR581-1</f>
        <v>-4.0809555408095499E-2</v>
      </c>
      <c r="AS599" s="90">
        <f>AS594/AS581-1</f>
        <v>-5.3140096618357502E-2</v>
      </c>
      <c r="AT599" s="1115">
        <f>AT594/AS581-1</f>
        <v>-5.3140096618357502E-2</v>
      </c>
      <c r="AU599" s="90">
        <f>AU594/AU581-1</f>
        <v>0.16136363636363638</v>
      </c>
      <c r="AV599" s="90">
        <f>AV594/AV581-1</f>
        <v>0.11536471805483695</v>
      </c>
      <c r="AW599" s="90">
        <f>AW594/AW581-1</f>
        <v>-4.6550994498518738E-3</v>
      </c>
      <c r="AX599" s="90">
        <f>AX594/AX581-1</f>
        <v>3.8177093743753776E-2</v>
      </c>
      <c r="AY599" s="1115">
        <f>AY594/AX581-1</f>
        <v>3.8177093743753776E-2</v>
      </c>
      <c r="AZ599" s="90">
        <f>AZ594/AZ581-1</f>
        <v>9.0620031796502465E-2</v>
      </c>
      <c r="BA599" s="90">
        <f>BA594/BA581-1</f>
        <v>2.4127862302136149E-2</v>
      </c>
      <c r="BB599" s="90">
        <f>BB594/BB581-1</f>
        <v>2.0977051949880421E-2</v>
      </c>
      <c r="BC599" s="90">
        <f>BC594/BC581-1</f>
        <v>3.8597409394216964E-2</v>
      </c>
      <c r="BD599" s="1115">
        <f>BD594/BC581-1</f>
        <v>3.8597409394216964E-2</v>
      </c>
      <c r="BE599" s="90">
        <f>BE594/BE581-1</f>
        <v>-4.2229729729729715E-2</v>
      </c>
      <c r="BF599" s="90">
        <f>BF594/BF581-1</f>
        <v>-0.13752983293556087</v>
      </c>
      <c r="BG599" s="90">
        <f>BG594/BG581-1</f>
        <v>-8.5988872028325281E-3</v>
      </c>
      <c r="BH599" s="90">
        <f>BH594/BH581-1</f>
        <v>5.2718558915881619E-2</v>
      </c>
      <c r="BI599" s="1115">
        <f>BI594/BH581-1</f>
        <v>5.2718558915881619E-2</v>
      </c>
      <c r="BJ599" s="90">
        <f>BJ594/BJ581-1</f>
        <v>0.49888765294771975</v>
      </c>
      <c r="BK599" s="90">
        <f>BK594/BK581-1</f>
        <v>0.16087954394017911</v>
      </c>
      <c r="BL599" s="90">
        <f>BL594/BL581-1</f>
        <v>8.1677704194260459E-2</v>
      </c>
      <c r="BM599" s="90">
        <f>BM594/BM581-1</f>
        <v>6.4108944487173636E-2</v>
      </c>
      <c r="BN599" s="1115">
        <f>BN594/BM581-1</f>
        <v>6.4108944487173636E-2</v>
      </c>
      <c r="BO599" s="90">
        <f>BO594/BO581-1</f>
        <v>5.3601597296882186E-2</v>
      </c>
      <c r="BP599" s="90">
        <f>BP594/BP581-1</f>
        <v>6.0252996005326187E-2</v>
      </c>
      <c r="BQ599" s="90">
        <f>BQ594/BQ581-1</f>
        <v>4.7545749957242922E-2</v>
      </c>
      <c r="BR599" s="90">
        <f>BR594/BR581-1</f>
        <v>7.1419490986753376E-2</v>
      </c>
      <c r="BS599" s="1115">
        <f>BS594/BR581-1</f>
        <v>7.1419490986753376E-2</v>
      </c>
      <c r="BT599" s="90">
        <f>BT594/BT581-1</f>
        <v>8.6242113385681662E-4</v>
      </c>
      <c r="BU599" s="90">
        <f>BU594/BU581-1</f>
        <v>0.13214812913163465</v>
      </c>
      <c r="BV599" s="90">
        <f>BV594/BV581-1</f>
        <v>0.11742623583482437</v>
      </c>
      <c r="BW599" s="90">
        <f>BW594/BW581-1</f>
        <v>0.12202210577304151</v>
      </c>
      <c r="BX599" s="1115">
        <f>BX594/BW581-1</f>
        <v>0.12202210577304151</v>
      </c>
      <c r="BY599" s="892">
        <f>BY594/BY581-1</f>
        <v>9.2691294492434073E-2</v>
      </c>
      <c r="BZ599" s="90"/>
      <c r="CA599" s="90"/>
      <c r="CB599" s="90"/>
      <c r="CC599" s="1115"/>
      <c r="CD599" s="90"/>
      <c r="CE599" s="90"/>
      <c r="CF599" s="90"/>
      <c r="CG599" s="90"/>
      <c r="CH599" s="1115"/>
      <c r="CI599" s="1115"/>
      <c r="CJ599" s="1115"/>
      <c r="CK599" s="1115"/>
      <c r="CL599" s="93"/>
    </row>
    <row r="600" spans="1:90" ht="15" hidden="1" customHeight="1" outlineLevel="3" x14ac:dyDescent="0.3">
      <c r="A600" s="810" t="s">
        <v>1049</v>
      </c>
      <c r="B600" s="804"/>
      <c r="C600" s="1196"/>
      <c r="D600" s="1196"/>
      <c r="E600" s="1196"/>
      <c r="F600" s="1196"/>
      <c r="G600" s="805"/>
      <c r="H600" s="805"/>
      <c r="I600" s="805"/>
      <c r="J600" s="805"/>
      <c r="K600" s="1196"/>
      <c r="L600" s="805"/>
      <c r="M600" s="805"/>
      <c r="N600" s="805"/>
      <c r="O600" s="805"/>
      <c r="P600" s="1196"/>
      <c r="Q600" s="805"/>
      <c r="R600" s="805"/>
      <c r="S600" s="805"/>
      <c r="T600" s="805"/>
      <c r="U600" s="1196"/>
      <c r="V600" s="805"/>
      <c r="W600" s="805"/>
      <c r="X600" s="805"/>
      <c r="Y600" s="805"/>
      <c r="Z600" s="1196"/>
      <c r="AA600" s="805"/>
      <c r="AB600" s="805"/>
      <c r="AC600" s="805"/>
      <c r="AD600" s="805"/>
      <c r="AE600" s="1196"/>
      <c r="AF600" s="805"/>
      <c r="AG600" s="805"/>
      <c r="AH600" s="805">
        <f>AH595/AH581-1</f>
        <v>2.5417298937784549E-2</v>
      </c>
      <c r="AI600" s="805">
        <f>AI595/AI581-1</f>
        <v>1.6145654414290611E-2</v>
      </c>
      <c r="AJ600" s="1196">
        <f>AJ595/AI581-1</f>
        <v>1.6145654414290611E-2</v>
      </c>
      <c r="AK600" s="805">
        <f>AK595/AK581-1</f>
        <v>-1.4031805425631427E-2</v>
      </c>
      <c r="AL600" s="805">
        <f>AL595/AL581-1</f>
        <v>6.1479346781940336E-2</v>
      </c>
      <c r="AM600" s="805">
        <f>AM595/AM581-1</f>
        <v>-0.1342345174473436</v>
      </c>
      <c r="AN600" s="805">
        <f>AN595/AN581-1</f>
        <v>1.7687074829932037E-2</v>
      </c>
      <c r="AO600" s="1196">
        <f>AO595/AN581-1</f>
        <v>1.7687074829932037E-2</v>
      </c>
      <c r="AP600" s="805">
        <f>AP595/AP581-1</f>
        <v>0.17162162162162153</v>
      </c>
      <c r="AQ600" s="805">
        <f>AQ595/AQ581-1</f>
        <v>0.14695618456766191</v>
      </c>
      <c r="AR600" s="805">
        <f>AR595/AR581-1</f>
        <v>-1.6589250165892633E-3</v>
      </c>
      <c r="AS600" s="805">
        <f>AS595/AS581-1</f>
        <v>-1.4492753623188359E-2</v>
      </c>
      <c r="AT600" s="1196">
        <f>AT595/AS581-1</f>
        <v>-1.4492753623188359E-2</v>
      </c>
      <c r="AU600" s="805">
        <f>AU595/AU581-1</f>
        <v>0.20876623376623371</v>
      </c>
      <c r="AV600" s="805">
        <f>AV595/AV581-1</f>
        <v>0.16088980858768753</v>
      </c>
      <c r="AW600" s="805">
        <f>AW595/AW581-1</f>
        <v>3.5971223021582732E-2</v>
      </c>
      <c r="AX600" s="805">
        <f>AX595/AX581-1</f>
        <v>8.0551668998600778E-2</v>
      </c>
      <c r="AY600" s="1196">
        <f>AY595/AX581-1</f>
        <v>8.0551668998600778E-2</v>
      </c>
      <c r="AZ600" s="805">
        <f>AZ595/AZ581-1</f>
        <v>0.13513513513513509</v>
      </c>
      <c r="BA600" s="805">
        <f>BA595/BA581-1</f>
        <v>6.5928999538958033E-2</v>
      </c>
      <c r="BB600" s="805">
        <f>BB595/BB581-1</f>
        <v>6.264958468252857E-2</v>
      </c>
      <c r="BC600" s="805">
        <f>BC595/BC581-1</f>
        <v>8.0989140389899239E-2</v>
      </c>
      <c r="BD600" s="1196">
        <f>BD595/BC581-1</f>
        <v>8.0989140389899239E-2</v>
      </c>
      <c r="BE600" s="805">
        <f>BE595/BE581-1</f>
        <v>-3.1370656370656169E-3</v>
      </c>
      <c r="BF600" s="805">
        <f>BF595/BF581-1</f>
        <v>-0.10232696897374705</v>
      </c>
      <c r="BG600" s="805">
        <f>BG595/BG581-1</f>
        <v>3.1866464339908918E-2</v>
      </c>
      <c r="BH600" s="805">
        <f>BH595/BH581-1</f>
        <v>9.5686663361427948E-2</v>
      </c>
      <c r="BI600" s="1196">
        <f>BI595/BH581-1</f>
        <v>9.5686663361427948E-2</v>
      </c>
      <c r="BJ600" s="805">
        <f>BJ595/BJ581-1</f>
        <v>0.56006674082313679</v>
      </c>
      <c r="BK600" s="805">
        <f>BK595/BK581-1</f>
        <v>0.20826238246834983</v>
      </c>
      <c r="BL600" s="805">
        <f>BL595/BL581-1</f>
        <v>0.1258278145695364</v>
      </c>
      <c r="BM600" s="805">
        <f>BM595/BM581-1</f>
        <v>0.10754196262950733</v>
      </c>
      <c r="BN600" s="1196">
        <f>BN595/BM581-1</f>
        <v>0.10754196262950733</v>
      </c>
      <c r="BO600" s="805">
        <f>BO595/BO581-1</f>
        <v>9.6605744125326298E-2</v>
      </c>
      <c r="BP600" s="805">
        <f>BP595/BP581-1</f>
        <v>0.10352862849533961</v>
      </c>
      <c r="BQ600" s="805">
        <f>BQ595/BQ581-1</f>
        <v>9.0302719343252846E-2</v>
      </c>
      <c r="BR600" s="805">
        <f>BR595/BR581-1</f>
        <v>0.11515089878213125</v>
      </c>
      <c r="BS600" s="1196">
        <f>BS595/BR581-1</f>
        <v>0.11515089878213125</v>
      </c>
      <c r="BT600" s="805">
        <f>BT595/BT581-1</f>
        <v>4.171394852707544E-2</v>
      </c>
      <c r="BU600" s="805">
        <f>BU595/BU581-1</f>
        <v>0.17835825685129314</v>
      </c>
      <c r="BV600" s="805">
        <f>BV595/BV581-1</f>
        <v>0.16303546995053142</v>
      </c>
      <c r="BW600" s="805">
        <f>BW595/BW581-1</f>
        <v>0.16781892641683904</v>
      </c>
      <c r="BX600" s="1196">
        <f>BX595/BW581-1</f>
        <v>0.16781892641683904</v>
      </c>
      <c r="BY600" s="928">
        <f>BY595/BY581-1</f>
        <v>0.13729093916559454</v>
      </c>
      <c r="BZ600" s="805"/>
      <c r="CA600" s="805"/>
      <c r="CB600" s="805"/>
      <c r="CC600" s="1196"/>
      <c r="CD600" s="805"/>
      <c r="CE600" s="805"/>
      <c r="CF600" s="805"/>
      <c r="CG600" s="805"/>
      <c r="CH600" s="1196"/>
      <c r="CI600" s="1196"/>
      <c r="CJ600" s="1196"/>
      <c r="CK600" s="1196"/>
      <c r="CL600" s="93"/>
    </row>
    <row r="601" spans="1:90" ht="15" hidden="1" customHeight="1" outlineLevel="2" collapsed="1" x14ac:dyDescent="0.3">
      <c r="A601" s="371" t="s">
        <v>1050</v>
      </c>
      <c r="B601" s="112"/>
      <c r="C601" s="1115"/>
      <c r="D601" s="1115"/>
      <c r="E601" s="1115"/>
      <c r="F601" s="1115"/>
      <c r="G601" s="90"/>
      <c r="H601" s="90"/>
      <c r="I601" s="90"/>
      <c r="J601" s="90"/>
      <c r="K601" s="1115"/>
      <c r="L601" s="90"/>
      <c r="M601" s="90"/>
      <c r="N601" s="90"/>
      <c r="O601" s="90"/>
      <c r="P601" s="1115"/>
      <c r="Q601" s="90"/>
      <c r="R601" s="90"/>
      <c r="S601" s="90"/>
      <c r="T601" s="90"/>
      <c r="U601" s="1115"/>
      <c r="V601" s="90"/>
      <c r="W601" s="90"/>
      <c r="X601" s="90"/>
      <c r="Y601" s="90"/>
      <c r="Z601" s="1115"/>
      <c r="AA601" s="90"/>
      <c r="AB601" s="90"/>
      <c r="AC601" s="90"/>
      <c r="AD601" s="90"/>
      <c r="AE601" s="1115"/>
      <c r="AF601" s="90"/>
      <c r="AG601" s="90"/>
      <c r="AH601" s="90">
        <f>AH596/AH581-1</f>
        <v>5.3110773899849306E-3</v>
      </c>
      <c r="AI601" s="90">
        <f>AI596/AI581-1</f>
        <v>-3.7787701820680697E-3</v>
      </c>
      <c r="AJ601" s="1115">
        <f>AJ596/AI581-1</f>
        <v>-3.7787701820680697E-3</v>
      </c>
      <c r="AK601" s="90">
        <f>AK596/AK581-1</f>
        <v>-3.336451512316807E-2</v>
      </c>
      <c r="AL601" s="90">
        <f>AL596/AL581-1</f>
        <v>4.0666026256804377E-2</v>
      </c>
      <c r="AM601" s="90">
        <f>AM596/AM581-1</f>
        <v>-0.15121031122288586</v>
      </c>
      <c r="AN601" s="90">
        <f>AN596/AN581-1</f>
        <v>-2.2675736961451642E-3</v>
      </c>
      <c r="AO601" s="1115">
        <f>AO596/AN581-1</f>
        <v>-2.2675736961451642E-3</v>
      </c>
      <c r="AP601" s="90">
        <f>AP596/AP581-1</f>
        <v>0.14864864864864868</v>
      </c>
      <c r="AQ601" s="90">
        <f>AQ596/AQ581-1</f>
        <v>0.12446684761535476</v>
      </c>
      <c r="AR601" s="90">
        <f>AR596/AR581-1</f>
        <v>-2.1234240212342437E-2</v>
      </c>
      <c r="AS601" s="90">
        <f>AS596/AS581-1</f>
        <v>-3.3816425120772986E-2</v>
      </c>
      <c r="AT601" s="1115">
        <f>AT596/AS581-1</f>
        <v>-3.3816425120772986E-2</v>
      </c>
      <c r="AU601" s="90">
        <f>AU596/AU581-1</f>
        <v>0.18506493506493515</v>
      </c>
      <c r="AV601" s="90">
        <f>AV596/AV581-1</f>
        <v>0.13812726332126224</v>
      </c>
      <c r="AW601" s="90">
        <f>AW596/AW581-1</f>
        <v>1.5658061785865485E-2</v>
      </c>
      <c r="AX601" s="90">
        <f>AX596/AX581-1</f>
        <v>5.9364381371177277E-2</v>
      </c>
      <c r="AY601" s="1115">
        <f>AY596/AX581-1</f>
        <v>5.9364381371177277E-2</v>
      </c>
      <c r="AZ601" s="90">
        <f>AZ596/AZ581-1</f>
        <v>0.11287758346581866</v>
      </c>
      <c r="BA601" s="90">
        <f>BA596/BA581-1</f>
        <v>4.5028430920547091E-2</v>
      </c>
      <c r="BB601" s="90">
        <f>BB596/BB581-1</f>
        <v>4.1813318316204384E-2</v>
      </c>
      <c r="BC601" s="90">
        <f>BC596/BC581-1</f>
        <v>5.979327489205799E-2</v>
      </c>
      <c r="BD601" s="1115">
        <f>BD596/BC581-1</f>
        <v>5.979327489205799E-2</v>
      </c>
      <c r="BE601" s="90">
        <f>BE596/BE581-1</f>
        <v>-2.2683397683397666E-2</v>
      </c>
      <c r="BF601" s="90">
        <f>BF596/BF581-1</f>
        <v>-0.11992840095465396</v>
      </c>
      <c r="BG601" s="90">
        <f>BG596/BG581-1</f>
        <v>1.163378856853825E-2</v>
      </c>
      <c r="BH601" s="90">
        <f>BH596/BH581-1</f>
        <v>7.4202611138654673E-2</v>
      </c>
      <c r="BI601" s="1115">
        <f>BI596/BH581-1</f>
        <v>7.4202611138654673E-2</v>
      </c>
      <c r="BJ601" s="90">
        <f>BJ596/BJ581-1</f>
        <v>0.52947719688542816</v>
      </c>
      <c r="BK601" s="90">
        <f>BK596/BK581-1</f>
        <v>0.18457096320426447</v>
      </c>
      <c r="BL601" s="90">
        <f>BL596/BL581-1</f>
        <v>0.10375275938189854</v>
      </c>
      <c r="BM601" s="90">
        <f>BM596/BM581-1</f>
        <v>8.5825453558340481E-2</v>
      </c>
      <c r="BN601" s="1115">
        <f>BN596/BM581-1</f>
        <v>8.5825453558340481E-2</v>
      </c>
      <c r="BO601" s="90">
        <f>BO596/BO581-1</f>
        <v>7.5103670711104353E-2</v>
      </c>
      <c r="BP601" s="90">
        <f>BP596/BP581-1</f>
        <v>8.189081225033279E-2</v>
      </c>
      <c r="BQ601" s="90">
        <f>BQ596/BQ581-1</f>
        <v>6.8924234650247884E-2</v>
      </c>
      <c r="BR601" s="90">
        <f>BR596/BR581-1</f>
        <v>9.3285194884442202E-2</v>
      </c>
      <c r="BS601" s="1115">
        <f>BS596/BR581-1</f>
        <v>9.3285194884442202E-2</v>
      </c>
      <c r="BT601" s="90">
        <f>BT596/BT581-1</f>
        <v>2.1288184830466239E-2</v>
      </c>
      <c r="BU601" s="90">
        <f>BU596/BU581-1</f>
        <v>0.15525319299146401</v>
      </c>
      <c r="BV601" s="90">
        <f>BV596/BV581-1</f>
        <v>0.14023085289267789</v>
      </c>
      <c r="BW601" s="90">
        <f>BW596/BW581-1</f>
        <v>0.14492051609494028</v>
      </c>
      <c r="BX601" s="1115">
        <f>BX596/BW581-1</f>
        <v>0.14492051609494028</v>
      </c>
      <c r="BY601" s="892">
        <f>BY596/BY581-1</f>
        <v>0.11499111682901431</v>
      </c>
      <c r="BZ601" s="90"/>
      <c r="CA601" s="90"/>
      <c r="CB601" s="90"/>
      <c r="CC601" s="1115"/>
      <c r="CD601" s="90"/>
      <c r="CE601" s="90"/>
      <c r="CF601" s="90"/>
      <c r="CG601" s="90"/>
      <c r="CH601" s="1115"/>
      <c r="CI601" s="1115"/>
      <c r="CJ601" s="1115"/>
      <c r="CK601" s="1115"/>
      <c r="CL601" s="93"/>
    </row>
    <row r="602" spans="1:90" ht="15" hidden="1" customHeight="1" outlineLevel="3" x14ac:dyDescent="0.3">
      <c r="A602" s="648" t="s">
        <v>1045</v>
      </c>
      <c r="B602" s="112"/>
      <c r="C602" s="1115"/>
      <c r="D602" s="1115"/>
      <c r="E602" s="1115"/>
      <c r="F602" s="1115"/>
      <c r="G602" s="90"/>
      <c r="H602" s="90"/>
      <c r="I602" s="90"/>
      <c r="J602" s="90"/>
      <c r="K602" s="1115"/>
      <c r="L602" s="90"/>
      <c r="M602" s="90"/>
      <c r="N602" s="90"/>
      <c r="O602" s="90"/>
      <c r="P602" s="1115"/>
      <c r="Q602" s="90"/>
      <c r="R602" s="90"/>
      <c r="S602" s="90"/>
      <c r="T602" s="90"/>
      <c r="U602" s="1115"/>
      <c r="V602" s="90"/>
      <c r="W602" s="90"/>
      <c r="X602" s="90"/>
      <c r="Y602" s="90"/>
      <c r="Z602" s="1115"/>
      <c r="AA602" s="90"/>
      <c r="AB602" s="90"/>
      <c r="AC602" s="90"/>
      <c r="AD602" s="90"/>
      <c r="AE602" s="1115"/>
      <c r="AF602" s="90"/>
      <c r="AG602" s="90"/>
      <c r="AH602" s="90">
        <f>AH594/AD581-1</f>
        <v>0.19512195121951215</v>
      </c>
      <c r="AI602" s="90">
        <f>AI594/AF581-1</f>
        <v>0.46721734641197732</v>
      </c>
      <c r="AJ602" s="1115">
        <f>AI602</f>
        <v>0.46721734641197732</v>
      </c>
      <c r="AK602" s="90">
        <f>AK594/AG581-1</f>
        <v>0.36233183856502249</v>
      </c>
      <c r="AL602" s="90">
        <f>AL594/AH581-1</f>
        <v>0.20827010622154774</v>
      </c>
      <c r="AM602" s="90">
        <f>AM594/AI581-1</f>
        <v>-9.1034008931638599E-2</v>
      </c>
      <c r="AN602" s="90">
        <f>AN594/AK581-1</f>
        <v>-0.32772061116308071</v>
      </c>
      <c r="AO602" s="1115">
        <f>AN602</f>
        <v>-0.32772061116308071</v>
      </c>
      <c r="AP602" s="90">
        <f>AP594/AL581-1</f>
        <v>-0.19980787704130643</v>
      </c>
      <c r="AQ602" s="90">
        <f>AQ594/AM581-1</f>
        <v>-0.10657026092423771</v>
      </c>
      <c r="AR602" s="90">
        <f>AR594/AN581-1</f>
        <v>0.31111111111111112</v>
      </c>
      <c r="AS602" s="90">
        <f>AS594/AP581-1</f>
        <v>0.32432432432432434</v>
      </c>
      <c r="AT602" s="1115">
        <f>AS602</f>
        <v>0.32432432432432434</v>
      </c>
      <c r="AU602" s="90">
        <f>AU594/AQ581-1</f>
        <v>0.38697169445521529</v>
      </c>
      <c r="AV602" s="90">
        <f>AV594/AR581-1</f>
        <v>0.43065693430656937</v>
      </c>
      <c r="AW602" s="90">
        <f>AW594/AS581-1</f>
        <v>0.51497584541062813</v>
      </c>
      <c r="AX602" s="90">
        <f>AX594/AU581-1</f>
        <v>0.68636363636363629</v>
      </c>
      <c r="AY602" s="1115">
        <f>AX602</f>
        <v>0.68636363636363629</v>
      </c>
      <c r="AZ602" s="90">
        <f>AZ594/AV581-1</f>
        <v>0.59699948266942582</v>
      </c>
      <c r="BA602" s="90">
        <f>BA594/AW581-1</f>
        <v>0.41007194244604306</v>
      </c>
      <c r="BB602" s="90">
        <f>BB594/AX581-1</f>
        <v>0.44953028183090149</v>
      </c>
      <c r="BC602" s="90">
        <f>BC594/AZ581-1</f>
        <v>0.40222575516693171</v>
      </c>
      <c r="BD602" s="1115">
        <f>BC602</f>
        <v>0.40222575516693171</v>
      </c>
      <c r="BE602" s="90">
        <f>BE594/BA581-1</f>
        <v>0.21991701244813289</v>
      </c>
      <c r="BF602" s="90">
        <f>BF594/BB581-1</f>
        <v>-0.18597775587779808</v>
      </c>
      <c r="BG602" s="90">
        <f>BG594/BC581-1</f>
        <v>-0.23066858563391335</v>
      </c>
      <c r="BH602" s="90">
        <f>BH594/BE581-1</f>
        <v>-0.23141891891891897</v>
      </c>
      <c r="BI602" s="1115">
        <f>BH602</f>
        <v>-0.23141891891891897</v>
      </c>
      <c r="BJ602" s="90">
        <f>BJ594/BF581-1</f>
        <v>0.60799522673031037</v>
      </c>
      <c r="BK602" s="90">
        <f>BK594/BG581-1</f>
        <v>1.6437363007924466</v>
      </c>
      <c r="BL602" s="90">
        <f>BL594/BH581-1</f>
        <v>2.2391340274334821</v>
      </c>
      <c r="BM602" s="90">
        <f>BM594/BJ581-1</f>
        <v>2.2703003337041157</v>
      </c>
      <c r="BN602" s="1115">
        <f>BM602</f>
        <v>2.2703003337041157</v>
      </c>
      <c r="BO602" s="90">
        <f>BO594/BK581-1</f>
        <v>1.0315392018953133</v>
      </c>
      <c r="BP602" s="90">
        <f>BP594/BL581-1</f>
        <v>0.75772626931567322</v>
      </c>
      <c r="BQ602" s="90">
        <f>BQ594/BM581-1</f>
        <v>0.66267022576120893</v>
      </c>
      <c r="BR602" s="90">
        <f>BR594/BO581-1</f>
        <v>0.61803102442021185</v>
      </c>
      <c r="BS602" s="1115">
        <f>BR602</f>
        <v>0.61803102442021185</v>
      </c>
      <c r="BT602" s="90">
        <f>BT594/BP581-1</f>
        <v>0.46804260985352863</v>
      </c>
      <c r="BU602" s="90">
        <f>BU594/BQ581-1</f>
        <v>0.50846587993843007</v>
      </c>
      <c r="BV602" s="90">
        <f>BV594/BR581-1</f>
        <v>0.61958760265439472</v>
      </c>
      <c r="BW602" s="90">
        <f>BW594/BT581-1</f>
        <v>0.73482819663201848</v>
      </c>
      <c r="BX602" s="1115">
        <f>BW602</f>
        <v>0.73482819663201848</v>
      </c>
      <c r="BY602" s="892">
        <f>BY594/BU581-1</f>
        <v>0.90787925464775476</v>
      </c>
      <c r="BZ602" s="90"/>
      <c r="CA602" s="90"/>
      <c r="CB602" s="90"/>
      <c r="CC602" s="1115"/>
      <c r="CD602" s="90"/>
      <c r="CE602" s="90"/>
      <c r="CF602" s="90"/>
      <c r="CG602" s="90"/>
      <c r="CH602" s="1115"/>
      <c r="CI602" s="1115"/>
      <c r="CJ602" s="1115"/>
      <c r="CK602" s="1115"/>
      <c r="CL602" s="93"/>
    </row>
    <row r="603" spans="1:90" ht="15" hidden="1" customHeight="1" outlineLevel="3" x14ac:dyDescent="0.3">
      <c r="A603" s="810" t="s">
        <v>1046</v>
      </c>
      <c r="B603" s="804"/>
      <c r="C603" s="1196"/>
      <c r="D603" s="1196"/>
      <c r="E603" s="1196"/>
      <c r="F603" s="1196"/>
      <c r="G603" s="805"/>
      <c r="H603" s="805"/>
      <c r="I603" s="805"/>
      <c r="J603" s="805"/>
      <c r="K603" s="1196"/>
      <c r="L603" s="805"/>
      <c r="M603" s="805"/>
      <c r="N603" s="805"/>
      <c r="O603" s="805"/>
      <c r="P603" s="1196"/>
      <c r="Q603" s="805"/>
      <c r="R603" s="805"/>
      <c r="S603" s="805"/>
      <c r="T603" s="805"/>
      <c r="U603" s="1196"/>
      <c r="V603" s="805"/>
      <c r="W603" s="805"/>
      <c r="X603" s="805"/>
      <c r="Y603" s="805"/>
      <c r="Z603" s="1196"/>
      <c r="AA603" s="805"/>
      <c r="AB603" s="805"/>
      <c r="AC603" s="805"/>
      <c r="AD603" s="805"/>
      <c r="AE603" s="1196"/>
      <c r="AF603" s="805"/>
      <c r="AG603" s="805"/>
      <c r="AH603" s="805">
        <f>AH595/AD581-1</f>
        <v>0.24390243902439024</v>
      </c>
      <c r="AI603" s="805">
        <f>AI595/AF581-1</f>
        <v>0.52710376871450704</v>
      </c>
      <c r="AJ603" s="1196">
        <f>AI603</f>
        <v>0.52710376871450704</v>
      </c>
      <c r="AK603" s="805">
        <f>AK595/AG581-1</f>
        <v>0.41793721973094167</v>
      </c>
      <c r="AL603" s="805">
        <f>AL595/AH581-1</f>
        <v>0.25758725341426403</v>
      </c>
      <c r="AM603" s="805">
        <f>AM595/AI581-1</f>
        <v>-5.3933356234970753E-2</v>
      </c>
      <c r="AN603" s="805">
        <f>AN595/AK581-1</f>
        <v>-0.30028063610851263</v>
      </c>
      <c r="AO603" s="1196">
        <f>AN603</f>
        <v>-0.30028063610851263</v>
      </c>
      <c r="AP603" s="805">
        <f>AP595/AL581-1</f>
        <v>-0.16714697406340062</v>
      </c>
      <c r="AQ603" s="805">
        <f>AQ595/AM581-1</f>
        <v>-7.0103740961961702E-2</v>
      </c>
      <c r="AR603" s="805">
        <f>AR595/AN581-1</f>
        <v>0.36462585034013606</v>
      </c>
      <c r="AS603" s="805">
        <f>AS595/AP581-1</f>
        <v>0.37837837837837829</v>
      </c>
      <c r="AT603" s="1196">
        <f>AS603</f>
        <v>0.37837837837837829</v>
      </c>
      <c r="AU603" s="805">
        <f>AU595/AQ581-1</f>
        <v>0.44358278402481588</v>
      </c>
      <c r="AV603" s="805">
        <f>AV595/AR581-1</f>
        <v>0.48905109489051091</v>
      </c>
      <c r="AW603" s="805">
        <f>AW595/AS581-1</f>
        <v>0.57681159420289863</v>
      </c>
      <c r="AX603" s="805">
        <f>AX595/AU581-1</f>
        <v>0.7551948051948052</v>
      </c>
      <c r="AY603" s="1196">
        <f>AX603</f>
        <v>0.7551948051948052</v>
      </c>
      <c r="AZ603" s="805">
        <f>AZ595/AV581-1</f>
        <v>0.66218313502327986</v>
      </c>
      <c r="BA603" s="805">
        <f>BA595/AW581-1</f>
        <v>0.46762589928057552</v>
      </c>
      <c r="BB603" s="805">
        <f>BB595/AX581-1</f>
        <v>0.50869478313012184</v>
      </c>
      <c r="BC603" s="805">
        <f>BC595/AZ581-1</f>
        <v>0.45945945945945943</v>
      </c>
      <c r="BD603" s="1196">
        <f>BC603</f>
        <v>0.45945945945945943</v>
      </c>
      <c r="BE603" s="805">
        <f>BE595/BA581-1</f>
        <v>0.26970954356846466</v>
      </c>
      <c r="BF603" s="805">
        <f>BF595/BB581-1</f>
        <v>-0.15275235815852461</v>
      </c>
      <c r="BG603" s="805">
        <f>BG595/BC581-1</f>
        <v>-0.19926730341488941</v>
      </c>
      <c r="BH603" s="805">
        <f>BH595/BE581-1</f>
        <v>-0.20004826254826258</v>
      </c>
      <c r="BI603" s="1196">
        <f>BH603</f>
        <v>-0.20004826254826258</v>
      </c>
      <c r="BJ603" s="805">
        <f>BJ595/BF581-1</f>
        <v>0.67362768496420045</v>
      </c>
      <c r="BK603" s="805">
        <f>BK595/BG581-1</f>
        <v>1.7516439049064241</v>
      </c>
      <c r="BL603" s="805">
        <f>BL595/BH581-1</f>
        <v>2.3713435795736242</v>
      </c>
      <c r="BM603" s="805">
        <f>BM595/BJ581-1</f>
        <v>2.4037819799777531</v>
      </c>
      <c r="BN603" s="1196">
        <f>BM603</f>
        <v>2.4037819799777531</v>
      </c>
      <c r="BO603" s="805">
        <f>BO595/BK581-1</f>
        <v>1.1144591693196122</v>
      </c>
      <c r="BP603" s="805">
        <f>BP595/BL581-1</f>
        <v>0.82947019867549665</v>
      </c>
      <c r="BQ603" s="805">
        <f>BQ595/BM581-1</f>
        <v>0.73053431660860513</v>
      </c>
      <c r="BR603" s="805">
        <f>BR595/BO581-1</f>
        <v>0.68407310704960844</v>
      </c>
      <c r="BS603" s="1196">
        <f>BR603</f>
        <v>0.68407310704960844</v>
      </c>
      <c r="BT603" s="805">
        <f>BT595/BP581-1</f>
        <v>0.52796271637816239</v>
      </c>
      <c r="BU603" s="805">
        <f>BU595/BQ581-1</f>
        <v>0.57003591585428426</v>
      </c>
      <c r="BV603" s="805">
        <f>BV595/BR581-1</f>
        <v>0.68569321908926795</v>
      </c>
      <c r="BW603" s="805">
        <f>BW595/BT581-1</f>
        <v>0.80563751078026424</v>
      </c>
      <c r="BX603" s="1196">
        <f>BW603</f>
        <v>0.80563751078026424</v>
      </c>
      <c r="BY603" s="928">
        <f>BY595/BU581-1</f>
        <v>0.98575187728643865</v>
      </c>
      <c r="BZ603" s="805"/>
      <c r="CA603" s="805"/>
      <c r="CB603" s="805"/>
      <c r="CC603" s="1196"/>
      <c r="CD603" s="805"/>
      <c r="CE603" s="805"/>
      <c r="CF603" s="805"/>
      <c r="CG603" s="805"/>
      <c r="CH603" s="1196"/>
      <c r="CI603" s="1196"/>
      <c r="CJ603" s="1196"/>
      <c r="CK603" s="1196"/>
      <c r="CL603" s="93"/>
    </row>
    <row r="604" spans="1:90" ht="15" hidden="1" customHeight="1" outlineLevel="2" collapsed="1" x14ac:dyDescent="0.3">
      <c r="A604" s="371" t="s">
        <v>1047</v>
      </c>
      <c r="B604" s="112"/>
      <c r="C604" s="1115"/>
      <c r="D604" s="1115"/>
      <c r="E604" s="1115"/>
      <c r="F604" s="1115"/>
      <c r="G604" s="90"/>
      <c r="H604" s="90"/>
      <c r="I604" s="90"/>
      <c r="J604" s="90"/>
      <c r="K604" s="1115"/>
      <c r="L604" s="90"/>
      <c r="M604" s="90"/>
      <c r="N604" s="90"/>
      <c r="O604" s="90"/>
      <c r="P604" s="1115"/>
      <c r="Q604" s="90"/>
      <c r="R604" s="90"/>
      <c r="S604" s="90"/>
      <c r="T604" s="90"/>
      <c r="U604" s="1115"/>
      <c r="V604" s="90"/>
      <c r="W604" s="90"/>
      <c r="X604" s="90"/>
      <c r="Y604" s="90"/>
      <c r="Z604" s="1115"/>
      <c r="AA604" s="90"/>
      <c r="AB604" s="90"/>
      <c r="AC604" s="90"/>
      <c r="AD604" s="90"/>
      <c r="AE604" s="1115"/>
      <c r="AF604" s="90"/>
      <c r="AG604" s="90"/>
      <c r="AH604" s="90">
        <f>AH596/AD581-1</f>
        <v>0.21951219512195119</v>
      </c>
      <c r="AI604" s="90">
        <f>AI596/AF581-1</f>
        <v>0.49716055756324207</v>
      </c>
      <c r="AJ604" s="1115">
        <f>AJ596/AF581-1</f>
        <v>0.49716055756324207</v>
      </c>
      <c r="AK604" s="90">
        <f>AK596/AG581-1</f>
        <v>0.39013452914798208</v>
      </c>
      <c r="AL604" s="90">
        <f>AL596/AH581-1</f>
        <v>0.23292867981790599</v>
      </c>
      <c r="AM604" s="90">
        <f>AM596/AI581-1</f>
        <v>-7.2483682583304732E-2</v>
      </c>
      <c r="AN604" s="90">
        <f>AN596/AK581-1</f>
        <v>-0.31400062363579673</v>
      </c>
      <c r="AO604" s="1115">
        <f>AO596/AK581-1</f>
        <v>-0.31400062363579673</v>
      </c>
      <c r="AP604" s="90">
        <f>AP596/AL581-1</f>
        <v>-0.18347742555235347</v>
      </c>
      <c r="AQ604" s="90">
        <f>AQ596/AM581-1</f>
        <v>-8.8337000943099708E-2</v>
      </c>
      <c r="AR604" s="90">
        <f>AR596/AN581-1</f>
        <v>0.33786848072562359</v>
      </c>
      <c r="AS604" s="90">
        <f>AS596/AP581-1</f>
        <v>0.35135135135135132</v>
      </c>
      <c r="AT604" s="1115">
        <f>AT596/AP581-1</f>
        <v>0.35135135135135132</v>
      </c>
      <c r="AU604" s="90">
        <f>AU596/AQ581-1</f>
        <v>0.41527723924001547</v>
      </c>
      <c r="AV604" s="90">
        <f>AV596/AR581-1</f>
        <v>0.45985401459854014</v>
      </c>
      <c r="AW604" s="90">
        <f>AW596/AS581-1</f>
        <v>0.54589371980676327</v>
      </c>
      <c r="AX604" s="90">
        <f>AX596/AU581-1</f>
        <v>0.72077922077922074</v>
      </c>
      <c r="AY604" s="1115">
        <f>AY596/AU581-1</f>
        <v>0.72077922077922074</v>
      </c>
      <c r="AZ604" s="90">
        <f>AZ596/AV581-1</f>
        <v>0.62959130884635273</v>
      </c>
      <c r="BA604" s="90">
        <f>BA596/AW581-1</f>
        <v>0.43884892086330929</v>
      </c>
      <c r="BB604" s="90">
        <f>BB596/AX581-1</f>
        <v>0.47911253248051167</v>
      </c>
      <c r="BC604" s="90">
        <f>BC596/AZ581-1</f>
        <v>0.43084260731319546</v>
      </c>
      <c r="BD604" s="1115">
        <f>BD596/AZ581-1</f>
        <v>0.43084260731319546</v>
      </c>
      <c r="BE604" s="90">
        <f>BE596/BA581-1</f>
        <v>0.24481327800829877</v>
      </c>
      <c r="BF604" s="90">
        <f>BF596/BB581-1</f>
        <v>-0.16936505701816129</v>
      </c>
      <c r="BG604" s="90">
        <f>BG596/BC581-1</f>
        <v>-0.21496794452440138</v>
      </c>
      <c r="BH604" s="90">
        <f>BH596/BE581-1</f>
        <v>-0.21573359073359077</v>
      </c>
      <c r="BI604" s="1115">
        <f>BI596/BE581-1</f>
        <v>-0.21573359073359077</v>
      </c>
      <c r="BJ604" s="90">
        <f>BJ596/BF581-1</f>
        <v>0.6408114558472553</v>
      </c>
      <c r="BK604" s="90">
        <f>BK596/BG581-1</f>
        <v>1.6976901028494353</v>
      </c>
      <c r="BL604" s="90">
        <f>BL596/BH581-1</f>
        <v>2.3052388035035531</v>
      </c>
      <c r="BM604" s="90">
        <f>BM596/BJ581-1</f>
        <v>2.3370411568409342</v>
      </c>
      <c r="BN604" s="1115">
        <f>BN596/BJ581-1</f>
        <v>2.3370411568409342</v>
      </c>
      <c r="BO604" s="90">
        <f>BO596/BK581-1</f>
        <v>1.072999185607463</v>
      </c>
      <c r="BP604" s="90">
        <f>BP596/BL581-1</f>
        <v>0.79359823399558493</v>
      </c>
      <c r="BQ604" s="90">
        <f>BQ596/BM581-1</f>
        <v>0.69660227118490692</v>
      </c>
      <c r="BR604" s="90">
        <f>BR596/BO581-1</f>
        <v>0.65105206573491015</v>
      </c>
      <c r="BS604" s="1115">
        <f>BS596/BO581-1</f>
        <v>0.65105206573491015</v>
      </c>
      <c r="BT604" s="90">
        <f>BT596/BP581-1</f>
        <v>0.49800266311584562</v>
      </c>
      <c r="BU604" s="90">
        <f>BU596/BQ581-1</f>
        <v>0.53925089789635705</v>
      </c>
      <c r="BV604" s="90">
        <f>BV596/BR581-1</f>
        <v>0.65264041087183133</v>
      </c>
      <c r="BW604" s="90">
        <f>BW596/BT581-1</f>
        <v>0.77023285370614136</v>
      </c>
      <c r="BX604" s="1115">
        <f>BX596/BT581-1</f>
        <v>0.77023285370614136</v>
      </c>
      <c r="BY604" s="892">
        <f>BY596/BU581-1</f>
        <v>0.94681556596709671</v>
      </c>
      <c r="BZ604" s="90"/>
      <c r="CA604" s="90"/>
      <c r="CB604" s="90"/>
      <c r="CC604" s="1115"/>
      <c r="CD604" s="90"/>
      <c r="CE604" s="90"/>
      <c r="CF604" s="90"/>
      <c r="CG604" s="90"/>
      <c r="CH604" s="1115"/>
      <c r="CI604" s="1115"/>
      <c r="CJ604" s="1115"/>
      <c r="CK604" s="1115"/>
      <c r="CL604" s="93"/>
    </row>
    <row r="605" spans="1:90" ht="15" hidden="1" customHeight="1" outlineLevel="2" x14ac:dyDescent="0.3">
      <c r="A605" s="799"/>
      <c r="B605" s="428"/>
      <c r="C605" s="1136"/>
      <c r="D605" s="1136"/>
      <c r="E605" s="1136"/>
      <c r="F605" s="1136"/>
      <c r="G605" s="93"/>
      <c r="H605" s="93"/>
      <c r="I605" s="93"/>
      <c r="J605" s="93"/>
      <c r="K605" s="1136"/>
      <c r="L605" s="93"/>
      <c r="M605" s="93"/>
      <c r="N605" s="93"/>
      <c r="O605" s="93"/>
      <c r="P605" s="1136"/>
      <c r="Q605" s="93"/>
      <c r="R605" s="93"/>
      <c r="S605" s="93"/>
      <c r="T605" s="93"/>
      <c r="U605" s="1136"/>
      <c r="V605" s="93"/>
      <c r="W605" s="93"/>
      <c r="X605" s="93"/>
      <c r="Y605" s="93"/>
      <c r="Z605" s="1136"/>
      <c r="AA605" s="93"/>
      <c r="AB605" s="93"/>
      <c r="AC605" s="93"/>
      <c r="AD605" s="93"/>
      <c r="AE605" s="1136"/>
      <c r="AF605" s="93"/>
      <c r="AG605" s="93"/>
      <c r="AH605" s="93"/>
      <c r="AI605" s="93"/>
      <c r="AJ605" s="1136"/>
      <c r="AK605" s="93"/>
      <c r="AL605" s="93"/>
      <c r="AM605" s="93"/>
      <c r="AN605" s="93"/>
      <c r="AO605" s="1136"/>
      <c r="AP605" s="93"/>
      <c r="AQ605" s="93"/>
      <c r="AR605" s="93"/>
      <c r="AS605" s="93"/>
      <c r="AT605" s="1136"/>
      <c r="AU605" s="93"/>
      <c r="AV605" s="93"/>
      <c r="AW605" s="93"/>
      <c r="AX605" s="93"/>
      <c r="AY605" s="1136"/>
      <c r="AZ605" s="93"/>
      <c r="BA605" s="93"/>
      <c r="BB605" s="93"/>
      <c r="BC605" s="93"/>
      <c r="BD605" s="1136"/>
      <c r="BE605" s="93"/>
      <c r="BF605" s="93"/>
      <c r="BG605" s="93"/>
      <c r="BH605" s="93"/>
      <c r="BI605" s="1136"/>
      <c r="BJ605" s="93"/>
      <c r="BK605" s="93"/>
      <c r="BL605" s="93"/>
      <c r="BM605" s="93"/>
      <c r="BN605" s="1136"/>
      <c r="BO605" s="93"/>
      <c r="BP605" s="93"/>
      <c r="BQ605" s="93"/>
      <c r="BR605" s="93"/>
      <c r="BS605" s="1136"/>
      <c r="BT605" s="93"/>
      <c r="BU605" s="93"/>
      <c r="BV605" s="93"/>
      <c r="BW605" s="93"/>
      <c r="BX605" s="1136"/>
      <c r="BY605" s="522"/>
      <c r="BZ605" s="93"/>
      <c r="CA605" s="93"/>
      <c r="CB605" s="93"/>
      <c r="CC605" s="1136"/>
      <c r="CD605" s="93"/>
      <c r="CE605" s="93"/>
      <c r="CF605" s="93"/>
      <c r="CG605" s="93"/>
      <c r="CH605" s="1136"/>
      <c r="CI605" s="1136"/>
      <c r="CJ605" s="1136"/>
      <c r="CK605" s="1136"/>
      <c r="CL605" s="93"/>
    </row>
    <row r="606" spans="1:90" ht="15" hidden="1" customHeight="1" outlineLevel="2" x14ac:dyDescent="0.3">
      <c r="A606" s="371" t="s">
        <v>1042</v>
      </c>
      <c r="B606" s="112"/>
      <c r="C606" s="1115"/>
      <c r="D606" s="1115"/>
      <c r="E606" s="1115"/>
      <c r="F606" s="1115"/>
      <c r="G606" s="90"/>
      <c r="H606" s="90"/>
      <c r="I606" s="90"/>
      <c r="J606" s="90"/>
      <c r="K606" s="1115"/>
      <c r="L606" s="90"/>
      <c r="M606" s="90"/>
      <c r="N606" s="90"/>
      <c r="O606" s="90"/>
      <c r="P606" s="1115"/>
      <c r="Q606" s="90"/>
      <c r="R606" s="90"/>
      <c r="S606" s="90"/>
      <c r="T606" s="90"/>
      <c r="U606" s="1115"/>
      <c r="V606" s="90"/>
      <c r="W606" s="90"/>
      <c r="X606" s="90"/>
      <c r="Y606" s="90"/>
      <c r="Z606" s="1115"/>
      <c r="AA606" s="90"/>
      <c r="AB606" s="90"/>
      <c r="AC606" s="90"/>
      <c r="AD606" s="90"/>
      <c r="AE606" s="1115"/>
      <c r="AF606" s="90"/>
      <c r="AG606" s="90"/>
      <c r="AH606" s="90" t="str">
        <f>IFERROR(IF(AJ578="","",AJ578/AE581-1),"")</f>
        <v/>
      </c>
      <c r="AI606" s="90" t="str">
        <f>IFERROR(IF(AJ579="","",AJ579/AE581-1),"")</f>
        <v/>
      </c>
      <c r="AJ606" s="1115" t="str">
        <f>IFERROR(IF(AJ579="","",AJ579/AE581-1),"")</f>
        <v/>
      </c>
      <c r="AK606" s="90" t="str">
        <f>IFERROR(IF(AO576="","",AO576/AJ581-1),"")</f>
        <v/>
      </c>
      <c r="AL606" s="90" t="str">
        <f>IFERROR(IF(AO577="","",AO577/AJ581-1),"")</f>
        <v/>
      </c>
      <c r="AM606" s="90" t="str">
        <f>IFERROR(IF(AO578="","",AO578/AJ581-1),"")</f>
        <v/>
      </c>
      <c r="AN606" s="90" t="str">
        <f>IFERROR(IF(AO579="","",AO579/AJ581-1),"")</f>
        <v/>
      </c>
      <c r="AO606" s="1115" t="str">
        <f>IFERROR(IF(AO579="","",AO579/AJ581-1),"")</f>
        <v/>
      </c>
      <c r="AP606" s="90" t="str">
        <f>IFERROR(IF(AT576="","",AT576/AO581-1),"")</f>
        <v/>
      </c>
      <c r="AQ606" s="90" t="str">
        <f>IFERROR(IF(AT577="","",AT577/AO581-1),"")</f>
        <v/>
      </c>
      <c r="AR606" s="90" t="str">
        <f>IFERROR(IF(AT578="","",AT578/AO581-1),"")</f>
        <v/>
      </c>
      <c r="AS606" s="90" t="str">
        <f>IFERROR(IF(AT579="","",AT579/AO581-1),"")</f>
        <v/>
      </c>
      <c r="AT606" s="1115" t="str">
        <f>IFERROR(IF(AT579="","",AT579/AO581-1),"")</f>
        <v/>
      </c>
      <c r="AU606" s="90" t="str">
        <f>IFERROR(IF(AY576="","",AY576/AT581-1),"")</f>
        <v/>
      </c>
      <c r="AV606" s="90" t="str">
        <f>IFERROR(IF(AY577="","",AY577/AT581-1),"")</f>
        <v/>
      </c>
      <c r="AW606" s="90" t="str">
        <f>IFERROR(IF(AY578="","",AY578/AT581-1),"")</f>
        <v/>
      </c>
      <c r="AX606" s="90" t="str">
        <f>IFERROR(IF(AY579="","",AY579/AT581-1),"")</f>
        <v/>
      </c>
      <c r="AY606" s="1115" t="str">
        <f>IFERROR(IF(AY579="","",AY579/AT581-1),"")</f>
        <v/>
      </c>
      <c r="AZ606" s="90" t="str">
        <f>IFERROR(IF(BD576="","",BD576/AY581-1),"")</f>
        <v/>
      </c>
      <c r="BA606" s="90" t="str">
        <f>IFERROR(IF(BD577="","",BD577/AY581-1),"")</f>
        <v/>
      </c>
      <c r="BB606" s="90" t="str">
        <f>IFERROR(IF(BD578="","",BD578/AY581-1),"")</f>
        <v/>
      </c>
      <c r="BC606" s="90" t="str">
        <f>IFERROR(IF(BD579="","",BD579/AY581-1),"")</f>
        <v/>
      </c>
      <c r="BD606" s="1115" t="str">
        <f>IFERROR(IF(BD579="","",BD579/AY581-1),"")</f>
        <v/>
      </c>
      <c r="BE606" s="90" t="str">
        <f>IFERROR(IF(BI576="","",BI576/BD581-1),"")</f>
        <v/>
      </c>
      <c r="BF606" s="90" t="str">
        <f>IFERROR(IF(BI577="","",BI577/BD581-1),"")</f>
        <v/>
      </c>
      <c r="BG606" s="90" t="str">
        <f>IFERROR(IF(BI578="","",BI578/BD581-1),"")</f>
        <v/>
      </c>
      <c r="BH606" s="90" t="str">
        <f>IFERROR(IF(BI579="","",BI579/BD581-1),"")</f>
        <v/>
      </c>
      <c r="BI606" s="1115" t="str">
        <f>IFERROR(IF(BI579="","",BI579/BD581-1),"")</f>
        <v/>
      </c>
      <c r="BJ606" s="90" t="str">
        <f>IFERROR(IF(BN576="","",BN576/BI581-1),"")</f>
        <v/>
      </c>
      <c r="BK606" s="90" t="str">
        <f>IFERROR(IF(BN577="","",BN577/BI581-1),"")</f>
        <v/>
      </c>
      <c r="BL606" s="90" t="str">
        <f>IFERROR(IF(BN578="","",BN578/BI581-1),"")</f>
        <v/>
      </c>
      <c r="BM606" s="90" t="str">
        <f>IFERROR(IF(BN579="","",BN579/BI581-1),"")</f>
        <v/>
      </c>
      <c r="BN606" s="1115" t="str">
        <f>IFERROR(IF(BN579="","",BN579/BI581-1),"")</f>
        <v/>
      </c>
      <c r="BO606" s="90" t="str">
        <f>IFERROR(IF(BS576="","",BS576/BN581-1),"")</f>
        <v/>
      </c>
      <c r="BP606" s="90" t="str">
        <f>IFERROR(IF(BS577="","",BS577/BN581-1),"")</f>
        <v/>
      </c>
      <c r="BQ606" s="90" t="str">
        <f>IFERROR(IF(BS578="","",BS578/BN581-1),"")</f>
        <v/>
      </c>
      <c r="BR606" s="90" t="str">
        <f>IFERROR(IF(BS579="","",BS579/BN581-1),"")</f>
        <v/>
      </c>
      <c r="BS606" s="1115" t="str">
        <f>IFERROR(IF(BS579="","",BS579/BN581-1),"")</f>
        <v/>
      </c>
      <c r="BT606" s="90" t="str">
        <f>IFERROR(IF(BX576="","",BX576/BS581-1),"")</f>
        <v/>
      </c>
      <c r="BU606" s="90" t="str">
        <f>IFERROR(IF(BX577="","",BX577/BS581-1),"")</f>
        <v/>
      </c>
      <c r="BV606" s="90" t="str">
        <f>IFERROR(IF(BX578="","",BX578/BS581-1),"")</f>
        <v/>
      </c>
      <c r="BW606" s="90" t="str">
        <f>IFERROR(IF(BX579="","",BX579/BS581-1),"")</f>
        <v/>
      </c>
      <c r="BX606" s="1115" t="str">
        <f>IFERROR(IF(BX579="","",BX579/BS581-1),"")</f>
        <v/>
      </c>
      <c r="BY606" s="892" t="str">
        <f>IFERROR(IF(CC576="","",CC576/BX581-1),"")</f>
        <v/>
      </c>
      <c r="BZ606" s="90" t="str">
        <f>IFERROR(IF(CC577="","",CC577/BX581-1),"")</f>
        <v/>
      </c>
      <c r="CA606" s="90" t="str">
        <f>IFERROR(IF(CC578="","",CC578/BX581-1),"")</f>
        <v/>
      </c>
      <c r="CB606" s="90" t="str">
        <f>IFERROR(IF(CC579="","",CC579/BX581-1),"")</f>
        <v/>
      </c>
      <c r="CC606" s="1115" t="str">
        <f>IFERROR(IF(CC579="","",CC579/BX581-1),"")</f>
        <v/>
      </c>
      <c r="CD606" s="90" t="str">
        <f>IFERROR(IF(CH576="","",CH576/CC581-1),"")</f>
        <v/>
      </c>
      <c r="CE606" s="90" t="str">
        <f>IFERROR(IF(CH577="","",CH577/CC581-1),"")</f>
        <v/>
      </c>
      <c r="CF606" s="90" t="str">
        <f>IFERROR(IF(CH578="","",CH578/CC581-1),"")</f>
        <v/>
      </c>
      <c r="CG606" s="90" t="str">
        <f>IFERROR(IF(CH579="","",CH579/CC581-1),"")</f>
        <v/>
      </c>
      <c r="CH606" s="1115" t="str">
        <f>IFERROR(IF(CH579="","",CH579/CC581-1),"")</f>
        <v/>
      </c>
      <c r="CI606" s="1115"/>
      <c r="CJ606" s="1115"/>
      <c r="CK606" s="1115"/>
      <c r="CL606" s="93"/>
    </row>
    <row r="607" spans="1:90" ht="15" hidden="1" customHeight="1" outlineLevel="2" x14ac:dyDescent="0.3">
      <c r="A607" s="806" t="s">
        <v>1043</v>
      </c>
      <c r="B607" s="804"/>
      <c r="C607" s="1196"/>
      <c r="D607" s="1196"/>
      <c r="E607" s="1196"/>
      <c r="F607" s="1196"/>
      <c r="G607" s="805"/>
      <c r="H607" s="805"/>
      <c r="I607" s="805"/>
      <c r="J607" s="805"/>
      <c r="K607" s="1196"/>
      <c r="L607" s="805"/>
      <c r="M607" s="805"/>
      <c r="N607" s="805"/>
      <c r="O607" s="805"/>
      <c r="P607" s="1196"/>
      <c r="Q607" s="805"/>
      <c r="R607" s="805"/>
      <c r="S607" s="805"/>
      <c r="T607" s="805"/>
      <c r="U607" s="1196"/>
      <c r="V607" s="805"/>
      <c r="W607" s="805"/>
      <c r="X607" s="805"/>
      <c r="Y607" s="805"/>
      <c r="Z607" s="1196"/>
      <c r="AA607" s="805"/>
      <c r="AB607" s="805"/>
      <c r="AC607" s="805"/>
      <c r="AD607" s="805"/>
      <c r="AE607" s="1196"/>
      <c r="AF607" s="805"/>
      <c r="AG607" s="805"/>
      <c r="AH607" s="805" t="str">
        <f>IFERROR(IF(AJ578="","",(AJ581-AJ578)/AE581),"")</f>
        <v/>
      </c>
      <c r="AI607" s="805" t="str">
        <f>IFERROR(IF(AJ579="","",(AJ581-AJ579)/AE581),"")</f>
        <v/>
      </c>
      <c r="AJ607" s="1196" t="str">
        <f>IFERROR(IF(AJ579="","",(AJ581-AJ579)/AE581),"")</f>
        <v/>
      </c>
      <c r="AK607" s="805" t="str">
        <f>IFERROR(IF(AO576="","",(AO581-AO576)/AJ581),"")</f>
        <v/>
      </c>
      <c r="AL607" s="805" t="str">
        <f>IFERROR(IF(AO577="","",(AO581-AO577)/AJ581),"")</f>
        <v/>
      </c>
      <c r="AM607" s="805" t="str">
        <f>IFERROR(IF(AO578="","",(AO581-AO578)/AJ581),"")</f>
        <v/>
      </c>
      <c r="AN607" s="805" t="str">
        <f>IFERROR(IF(AO579="","",(AO581-AO579)/AJ581),"")</f>
        <v/>
      </c>
      <c r="AO607" s="1196" t="str">
        <f>IFERROR(IF(AO579="","",(AO581-AO579)/AJ581),"")</f>
        <v/>
      </c>
      <c r="AP607" s="805" t="str">
        <f>IFERROR(IF(AT576="","",(AT581-AT576)/AO581),"")</f>
        <v/>
      </c>
      <c r="AQ607" s="805" t="str">
        <f>IFERROR(IF(AT577="","",(AT581-AT577)/AO581),"")</f>
        <v/>
      </c>
      <c r="AR607" s="805" t="str">
        <f>IFERROR(IF(AT578="","",(AT581-AT578)/AO581),"")</f>
        <v/>
      </c>
      <c r="AS607" s="805" t="str">
        <f>IFERROR(IF(AT579="","",(AT581-AT579)/AO581),"")</f>
        <v/>
      </c>
      <c r="AT607" s="1196" t="str">
        <f>IFERROR(IF(AT579="","",(AT581-AT579)/AO581),"")</f>
        <v/>
      </c>
      <c r="AU607" s="805" t="str">
        <f>IFERROR(IF(AY576="","",(AY581-AY576)/AT581),"")</f>
        <v/>
      </c>
      <c r="AV607" s="805" t="str">
        <f>IFERROR(IF(AY577="","",(AY581-AY577)/AT581),"")</f>
        <v/>
      </c>
      <c r="AW607" s="805" t="str">
        <f>IFERROR(IF(AY578="","",(AY581-AY578)/AT581),"")</f>
        <v/>
      </c>
      <c r="AX607" s="805" t="str">
        <f>IFERROR(IF(AY579="","",(AY581-AY579)/AT581),"")</f>
        <v/>
      </c>
      <c r="AY607" s="1196" t="str">
        <f>IFERROR(IF(AY579="","",(AY581-AY579)/AT581),"")</f>
        <v/>
      </c>
      <c r="AZ607" s="805" t="str">
        <f>IFERROR(IF(BD576="","",(BD581-BD576)/AY581),"")</f>
        <v/>
      </c>
      <c r="BA607" s="805" t="str">
        <f>IFERROR(IF(BD577="","",(BD581-BD577)/AY581),"")</f>
        <v/>
      </c>
      <c r="BB607" s="805" t="str">
        <f>IFERROR(IF(BD578="","",(BD581-BD578)/AY581),"")</f>
        <v/>
      </c>
      <c r="BC607" s="805" t="str">
        <f>IFERROR(IF(BD579="","",(BD581-BD579)/AY581),"")</f>
        <v/>
      </c>
      <c r="BD607" s="1196" t="str">
        <f>IFERROR(IF(BD579="","",(BD581-BD579)/AY581),"")</f>
        <v/>
      </c>
      <c r="BE607" s="805" t="str">
        <f>IFERROR(IF(BI576="","",(BI581-BI576)/BD581),"")</f>
        <v/>
      </c>
      <c r="BF607" s="805" t="str">
        <f>IFERROR(IF(BI577="","",(BI581-BI577)/BD581),"")</f>
        <v/>
      </c>
      <c r="BG607" s="805" t="str">
        <f>IFERROR(IF(BI578="","",(BI581-BI578)/BD581),"")</f>
        <v/>
      </c>
      <c r="BH607" s="805" t="str">
        <f>IFERROR(IF(BI579="","",(BI581-BI579)/BD581),"")</f>
        <v/>
      </c>
      <c r="BI607" s="1196" t="str">
        <f>IFERROR(IF(BI579="","",(BI581-BI579)/BD581),"")</f>
        <v/>
      </c>
      <c r="BJ607" s="805" t="str">
        <f>IFERROR(IF(BN576="","",(BN581-BN576)/BI581),"")</f>
        <v/>
      </c>
      <c r="BK607" s="805" t="str">
        <f>IFERROR(IF(BN577="","",(BN581-BN577)/BI581),"")</f>
        <v/>
      </c>
      <c r="BL607" s="805" t="str">
        <f>IFERROR(IF(BN578="","",(BN581-BN578)/BI581),"")</f>
        <v/>
      </c>
      <c r="BM607" s="805" t="str">
        <f>IFERROR(IF(BN579="","",(BN581-BN579)/BI581),"")</f>
        <v/>
      </c>
      <c r="BN607" s="1196" t="str">
        <f>IFERROR(IF(BN579="","",(BN581-BN579)/BI581),"")</f>
        <v/>
      </c>
      <c r="BO607" s="805" t="str">
        <f>IFERROR(IF(BS576="","",(BS581-BS576)/BN581),"")</f>
        <v/>
      </c>
      <c r="BP607" s="805" t="str">
        <f>IFERROR(IF(BS577="","",(BS581-BS577)/BN581),"")</f>
        <v/>
      </c>
      <c r="BQ607" s="805" t="str">
        <f>IFERROR(IF(BS578="","",(BS581-BS578)/BN581),"")</f>
        <v/>
      </c>
      <c r="BR607" s="805" t="str">
        <f>IFERROR(IF(BS579="","",(BS581-BS579)/BN581),"")</f>
        <v/>
      </c>
      <c r="BS607" s="1196" t="str">
        <f>IFERROR(IF(BS579="","",(BS581-BS579)/BN581),"")</f>
        <v/>
      </c>
      <c r="BT607" s="805" t="str">
        <f>IFERROR(IF(BX576="","",(BX581-BX576)/BS581),"")</f>
        <v/>
      </c>
      <c r="BU607" s="805" t="str">
        <f>IFERROR(IF(BX577="","",(BX581-BX577)/BS581),"")</f>
        <v/>
      </c>
      <c r="BV607" s="805" t="str">
        <f>IFERROR(IF(BX578="","",(BX581-BX578)/BS581),"")</f>
        <v/>
      </c>
      <c r="BW607" s="805" t="str">
        <f>IFERROR(IF(BX579="","",(BX581-BX579)/BS581),"")</f>
        <v/>
      </c>
      <c r="BX607" s="1196" t="str">
        <f>IFERROR(IF(BX579="","",(BX581-BX579)/BS581),"")</f>
        <v/>
      </c>
      <c r="BY607" s="928" t="str">
        <f>IFERROR(IF(CC576="","",(CC581-CC576)/BX581),"")</f>
        <v/>
      </c>
      <c r="BZ607" s="805" t="str">
        <f>IFERROR(IF(CC577="","",(CC581-CC577)/BX581),"")</f>
        <v/>
      </c>
      <c r="CA607" s="805" t="str">
        <f>IFERROR(IF(CC578="","",(CC581-CC578)/BX581),"")</f>
        <v/>
      </c>
      <c r="CB607" s="805" t="str">
        <f>IFERROR(IF(CC579="","",(CC581-CC579)/BX581),"")</f>
        <v/>
      </c>
      <c r="CC607" s="1196" t="str">
        <f>IFERROR(IF(CC579="","",(CC581-CC579)/BX581),"")</f>
        <v/>
      </c>
      <c r="CD607" s="805" t="str">
        <f>IFERROR(IF(CH576="","",(CH581-CH576)/CC581),"")</f>
        <v/>
      </c>
      <c r="CE607" s="805" t="str">
        <f>IFERROR(IF(CH577="","",(CH581-CH577)/CC581),"")</f>
        <v/>
      </c>
      <c r="CF607" s="805" t="str">
        <f>IFERROR(IF(CH578="","",(CH581-CH578)/CC581),"")</f>
        <v/>
      </c>
      <c r="CG607" s="805" t="str">
        <f>IFERROR(IF(CH579="","",(CH581-CH579)/CC581),"")</f>
        <v/>
      </c>
      <c r="CH607" s="1196" t="str">
        <f>IFERROR(IF(CH579="","",(CH581-CH579)/CC581),"")</f>
        <v/>
      </c>
      <c r="CI607" s="1196"/>
      <c r="CJ607" s="1196"/>
      <c r="CK607" s="1196"/>
      <c r="CL607" s="93"/>
    </row>
    <row r="608" spans="1:90" ht="15" hidden="1" customHeight="1" outlineLevel="2" x14ac:dyDescent="0.3">
      <c r="A608" s="809" t="s">
        <v>1044</v>
      </c>
      <c r="B608" s="807"/>
      <c r="C608" s="1197"/>
      <c r="D608" s="1197"/>
      <c r="E608" s="1197"/>
      <c r="F608" s="1197"/>
      <c r="G608" s="808"/>
      <c r="H608" s="808"/>
      <c r="I608" s="808"/>
      <c r="J608" s="808"/>
      <c r="K608" s="1197"/>
      <c r="L608" s="808"/>
      <c r="M608" s="808"/>
      <c r="N608" s="808"/>
      <c r="O608" s="808"/>
      <c r="P608" s="1197"/>
      <c r="Q608" s="808"/>
      <c r="R608" s="808"/>
      <c r="S608" s="808"/>
      <c r="T608" s="808"/>
      <c r="U608" s="1197"/>
      <c r="V608" s="808"/>
      <c r="W608" s="808"/>
      <c r="X608" s="808"/>
      <c r="Y608" s="808"/>
      <c r="Z608" s="1197"/>
      <c r="AA608" s="808"/>
      <c r="AB608" s="808"/>
      <c r="AC608" s="808"/>
      <c r="AD608" s="808"/>
      <c r="AE608" s="1197"/>
      <c r="AF608" s="808"/>
      <c r="AG608" s="808"/>
      <c r="AH608" s="808">
        <f>AJ581/AE581-1</f>
        <v>0.40578871201157751</v>
      </c>
      <c r="AI608" s="808">
        <f>AJ581/AE581-1</f>
        <v>0.40578871201157751</v>
      </c>
      <c r="AJ608" s="1197">
        <f>AJ581/AE581-1</f>
        <v>0.40578871201157751</v>
      </c>
      <c r="AK608" s="808">
        <f>AO581/AJ581-1</f>
        <v>0.20609429689108505</v>
      </c>
      <c r="AL608" s="808">
        <f>AO581/AJ581-1</f>
        <v>0.20609429689108505</v>
      </c>
      <c r="AM608" s="808">
        <f>AO581/AJ581-1</f>
        <v>0.20609429689108505</v>
      </c>
      <c r="AN608" s="808">
        <f>AO581/AJ581-1</f>
        <v>0.20609429689108505</v>
      </c>
      <c r="AO608" s="1197">
        <f>AO581/AJ581-1</f>
        <v>0.20609429689108505</v>
      </c>
      <c r="AP608" s="808">
        <f>AT581/AO581-1</f>
        <v>-6.8111983612154314E-2</v>
      </c>
      <c r="AQ608" s="808">
        <f>AT581/AO581-1</f>
        <v>-6.8111983612154314E-2</v>
      </c>
      <c r="AR608" s="808">
        <f>AT581/AO581-1</f>
        <v>-6.8111983612154314E-2</v>
      </c>
      <c r="AS608" s="808">
        <f>AT581/AO581-1</f>
        <v>-6.8111983612154314E-2</v>
      </c>
      <c r="AT608" s="1197">
        <f>AT581/AO581-1</f>
        <v>-6.8111983612154314E-2</v>
      </c>
      <c r="AU608" s="808">
        <f>AY581/AT581-1</f>
        <v>0.52729437625938824</v>
      </c>
      <c r="AV608" s="808">
        <f>AY581/AT581-1</f>
        <v>0.52729437625938824</v>
      </c>
      <c r="AW608" s="808">
        <f>AY581/AT581-1</f>
        <v>0.52729437625938824</v>
      </c>
      <c r="AX608" s="808">
        <f>AY581/AT581-1</f>
        <v>0.52729437625938824</v>
      </c>
      <c r="AY608" s="1197">
        <f>AY581/AT581-1</f>
        <v>0.52729437625938824</v>
      </c>
      <c r="AZ608" s="808">
        <f>BD581/AY581-1</f>
        <v>0.61403298350824587</v>
      </c>
      <c r="BA608" s="808">
        <f>BD581/AY581-1</f>
        <v>0.61403298350824587</v>
      </c>
      <c r="BB608" s="808">
        <f>BD581/AY581-1</f>
        <v>0.61403298350824587</v>
      </c>
      <c r="BC608" s="808">
        <f>BD581/AY581-1</f>
        <v>0.61403298350824587</v>
      </c>
      <c r="BD608" s="1197">
        <f>BD581/AY581-1</f>
        <v>0.61403298350824587</v>
      </c>
      <c r="BE608" s="808">
        <f>BI581/BD581-1</f>
        <v>2.2293230289069932E-3</v>
      </c>
      <c r="BF608" s="808">
        <f>BI581/BD581-1</f>
        <v>2.2293230289069932E-3</v>
      </c>
      <c r="BG608" s="808">
        <f>BI581/BD581-1</f>
        <v>2.2293230289069932E-3</v>
      </c>
      <c r="BH608" s="808">
        <f>BI581/BD581-1</f>
        <v>2.2293230289069932E-3</v>
      </c>
      <c r="BI608" s="1197">
        <f>BI581/BD581-1</f>
        <v>2.2293230289069932E-3</v>
      </c>
      <c r="BJ608" s="808">
        <f>BN581/BI581-1</f>
        <v>1.2585452658115224</v>
      </c>
      <c r="BK608" s="808">
        <f>BN581/BI581-1</f>
        <v>1.2585452658115224</v>
      </c>
      <c r="BL608" s="808">
        <f>BN581/BI581-1</f>
        <v>1.2585452658115224</v>
      </c>
      <c r="BM608" s="808">
        <f>BN581/BI581-1</f>
        <v>1.2585452658115224</v>
      </c>
      <c r="BN608" s="1197">
        <f>BN581/BI581-1</f>
        <v>1.2585452658115224</v>
      </c>
      <c r="BO608" s="808">
        <f>BS581/BN581-1</f>
        <v>1.1420340763599355</v>
      </c>
      <c r="BP608" s="808">
        <f>BS581/BN581-1</f>
        <v>1.1420340763599355</v>
      </c>
      <c r="BQ608" s="808">
        <f>BS581/BN581-1</f>
        <v>1.1420340763599355</v>
      </c>
      <c r="BR608" s="808">
        <f>BS581/BN581-1</f>
        <v>1.1420340763599355</v>
      </c>
      <c r="BS608" s="1197">
        <f>BS581/BN581-1</f>
        <v>1.1420340763599355</v>
      </c>
      <c r="BT608" s="808">
        <f>BX581/BS581-1</f>
        <v>0.65473535790094783</v>
      </c>
      <c r="BU608" s="808">
        <f>BX581/BS581-1</f>
        <v>0.65473535790094783</v>
      </c>
      <c r="BV608" s="808">
        <f>BX581/BS581-1</f>
        <v>0.65473535790094783</v>
      </c>
      <c r="BW608" s="808">
        <f>BX581/BS581-1</f>
        <v>0.65473535790094783</v>
      </c>
      <c r="BX608" s="1197">
        <f>BX581/BS581-1</f>
        <v>0.65473535790094783</v>
      </c>
      <c r="BY608" s="929">
        <f>CC581/BX581-1</f>
        <v>0.65827802424770065</v>
      </c>
      <c r="BZ608" s="808">
        <f>CC581/BX581-1</f>
        <v>0.65827802424770065</v>
      </c>
      <c r="CA608" s="808">
        <f>CC581/BX581-1</f>
        <v>0.65827802424770065</v>
      </c>
      <c r="CB608" s="808">
        <f>CC581/BX581-1</f>
        <v>0.65827802424770065</v>
      </c>
      <c r="CC608" s="1197">
        <f>CC581/BX581-1</f>
        <v>0.65827802424770065</v>
      </c>
      <c r="CD608" s="808">
        <f>CH581/CC581-1</f>
        <v>0.26876372229137391</v>
      </c>
      <c r="CE608" s="808">
        <f>CH581/CC581-1</f>
        <v>0.26876372229137391</v>
      </c>
      <c r="CF608" s="808">
        <f>CH581/CC581-1</f>
        <v>0.26876372229137391</v>
      </c>
      <c r="CG608" s="808">
        <f>CH581/CC581-1</f>
        <v>0.26876372229137391</v>
      </c>
      <c r="CH608" s="1197">
        <f>CH581/CC581-1</f>
        <v>0.26876372229137391</v>
      </c>
      <c r="CI608" s="1197">
        <f>CI581/CH581-1</f>
        <v>0.19277198219808733</v>
      </c>
      <c r="CJ608" s="1197">
        <f>CJ581/CI581-1</f>
        <v>0.17466733310254168</v>
      </c>
      <c r="CK608" s="1197">
        <f>CK581/CJ581-1</f>
        <v>0.17500630227648339</v>
      </c>
      <c r="CL608" s="93"/>
    </row>
    <row r="609" spans="1:90" ht="15" hidden="1" customHeight="1" outlineLevel="2" x14ac:dyDescent="0.3">
      <c r="A609" s="799"/>
      <c r="B609" s="428"/>
      <c r="C609" s="1136"/>
      <c r="D609" s="1136"/>
      <c r="E609" s="1136"/>
      <c r="F609" s="1136"/>
      <c r="G609" s="93"/>
      <c r="H609" s="93"/>
      <c r="I609" s="93"/>
      <c r="J609" s="93"/>
      <c r="K609" s="1136"/>
      <c r="L609" s="93"/>
      <c r="M609" s="93"/>
      <c r="N609" s="93"/>
      <c r="O609" s="93"/>
      <c r="P609" s="1136"/>
      <c r="Q609" s="93"/>
      <c r="R609" s="93"/>
      <c r="S609" s="93"/>
      <c r="T609" s="93"/>
      <c r="U609" s="1136"/>
      <c r="V609" s="93"/>
      <c r="W609" s="93"/>
      <c r="X609" s="93"/>
      <c r="Y609" s="93"/>
      <c r="Z609" s="1136"/>
      <c r="AA609" s="93"/>
      <c r="AB609" s="93"/>
      <c r="AC609" s="93"/>
      <c r="AD609" s="93"/>
      <c r="AE609" s="1136"/>
      <c r="AF609" s="93"/>
      <c r="AG609" s="93"/>
      <c r="AH609" s="93"/>
      <c r="AI609" s="93"/>
      <c r="AJ609" s="1136"/>
      <c r="AK609" s="93"/>
      <c r="AL609" s="93"/>
      <c r="AM609" s="93"/>
      <c r="AN609" s="93"/>
      <c r="AO609" s="1136"/>
      <c r="AP609" s="93"/>
      <c r="AQ609" s="93"/>
      <c r="AR609" s="93"/>
      <c r="AS609" s="93"/>
      <c r="AT609" s="1136"/>
      <c r="AU609" s="93"/>
      <c r="AV609" s="93"/>
      <c r="AW609" s="93"/>
      <c r="AX609" s="93"/>
      <c r="AY609" s="1136"/>
      <c r="AZ609" s="93"/>
      <c r="BA609" s="93"/>
      <c r="BB609" s="93"/>
      <c r="BC609" s="93"/>
      <c r="BD609" s="1136"/>
      <c r="BE609" s="93"/>
      <c r="BF609" s="93"/>
      <c r="BG609" s="93"/>
      <c r="BH609" s="93"/>
      <c r="BI609" s="1136"/>
      <c r="BJ609" s="93"/>
      <c r="BK609" s="93"/>
      <c r="BL609" s="93"/>
      <c r="BM609" s="93"/>
      <c r="BN609" s="1136"/>
      <c r="BO609" s="93"/>
      <c r="BP609" s="93"/>
      <c r="BQ609" s="93"/>
      <c r="BR609" s="93"/>
      <c r="BS609" s="1136"/>
      <c r="BT609" s="93"/>
      <c r="BU609" s="93"/>
      <c r="BV609" s="93"/>
      <c r="BW609" s="93"/>
      <c r="BX609" s="1136"/>
      <c r="BY609" s="522"/>
      <c r="BZ609" s="93"/>
      <c r="CA609" s="93"/>
      <c r="CB609" s="93"/>
      <c r="CC609" s="1136"/>
      <c r="CD609" s="93"/>
      <c r="CE609" s="93"/>
      <c r="CF609" s="93"/>
      <c r="CG609" s="93"/>
      <c r="CH609" s="1136"/>
      <c r="CI609" s="1136"/>
      <c r="CJ609" s="1136"/>
      <c r="CK609" s="1136"/>
      <c r="CL609" s="93"/>
    </row>
    <row r="610" spans="1:90" ht="15" hidden="1" customHeight="1" outlineLevel="2" x14ac:dyDescent="0.3">
      <c r="A610" s="803" t="s">
        <v>969</v>
      </c>
      <c r="B610" s="801"/>
      <c r="C610" s="1195"/>
      <c r="D610" s="1195"/>
      <c r="E610" s="1195"/>
      <c r="F610" s="1195"/>
      <c r="G610" s="802"/>
      <c r="H610" s="802"/>
      <c r="I610" s="802"/>
      <c r="J610" s="802"/>
      <c r="K610" s="1195"/>
      <c r="L610" s="802"/>
      <c r="M610" s="802"/>
      <c r="N610" s="802"/>
      <c r="O610" s="802"/>
      <c r="P610" s="1195"/>
      <c r="Q610" s="802"/>
      <c r="R610" s="802"/>
      <c r="S610" s="802"/>
      <c r="T610" s="802"/>
      <c r="U610" s="1195"/>
      <c r="V610" s="802"/>
      <c r="W610" s="802"/>
      <c r="X610" s="802"/>
      <c r="Y610" s="802"/>
      <c r="Z610" s="1195"/>
      <c r="AA610" s="802"/>
      <c r="AB610" s="802"/>
      <c r="AC610" s="802"/>
      <c r="AD610" s="802"/>
      <c r="AE610" s="1195"/>
      <c r="AF610" s="802"/>
      <c r="AG610" s="802"/>
      <c r="AH610" s="802" t="str">
        <f>AJ5</f>
        <v>FY2018</v>
      </c>
      <c r="AI610" s="802" t="str">
        <f>AO5</f>
        <v>FY2019</v>
      </c>
      <c r="AJ610" s="1195" t="str">
        <f>AO5</f>
        <v>FY2019</v>
      </c>
      <c r="AK610" s="802" t="str">
        <f>AO5</f>
        <v>FY2019</v>
      </c>
      <c r="AL610" s="802" t="str">
        <f>AO5</f>
        <v>FY2019</v>
      </c>
      <c r="AM610" s="802" t="str">
        <f>AO5</f>
        <v>FY2019</v>
      </c>
      <c r="AN610" s="802" t="str">
        <f>AT5</f>
        <v>FY2020</v>
      </c>
      <c r="AO610" s="1195" t="str">
        <f>AT5</f>
        <v>FY2020</v>
      </c>
      <c r="AP610" s="802" t="str">
        <f>AT5</f>
        <v>FY2020</v>
      </c>
      <c r="AQ610" s="802" t="str">
        <f>AT5</f>
        <v>FY2020</v>
      </c>
      <c r="AR610" s="802" t="str">
        <f>AT5</f>
        <v>FY2020</v>
      </c>
      <c r="AS610" s="802" t="str">
        <f>AY5</f>
        <v>FY2021</v>
      </c>
      <c r="AT610" s="1195" t="str">
        <f>AY5</f>
        <v>FY2021</v>
      </c>
      <c r="AU610" s="802" t="str">
        <f>AY5</f>
        <v>FY2021</v>
      </c>
      <c r="AV610" s="802" t="str">
        <f>AY5</f>
        <v>FY2021</v>
      </c>
      <c r="AW610" s="802" t="str">
        <f>AY5</f>
        <v>FY2021</v>
      </c>
      <c r="AX610" s="802" t="str">
        <f>BD5</f>
        <v>FY2022</v>
      </c>
      <c r="AY610" s="1195" t="str">
        <f>BD5</f>
        <v>FY2022</v>
      </c>
      <c r="AZ610" s="802" t="str">
        <f>BD5</f>
        <v>FY2022</v>
      </c>
      <c r="BA610" s="802" t="str">
        <f>BD5</f>
        <v>FY2022</v>
      </c>
      <c r="BB610" s="802" t="str">
        <f>BD5</f>
        <v>FY2022</v>
      </c>
      <c r="BC610" s="802" t="str">
        <f>BI5</f>
        <v>FY2023</v>
      </c>
      <c r="BD610" s="1195" t="str">
        <f>BI5</f>
        <v>FY2023</v>
      </c>
      <c r="BE610" s="802" t="str">
        <f>BI5</f>
        <v>FY2023</v>
      </c>
      <c r="BF610" s="802" t="str">
        <f>BI5</f>
        <v>FY2023</v>
      </c>
      <c r="BG610" s="802" t="str">
        <f>BI5</f>
        <v>FY2023</v>
      </c>
      <c r="BH610" s="802" t="str">
        <f>BN5</f>
        <v>FY2024</v>
      </c>
      <c r="BI610" s="1195" t="str">
        <f>BN5</f>
        <v>FY2024</v>
      </c>
      <c r="BJ610" s="802" t="str">
        <f>BN5</f>
        <v>FY2024</v>
      </c>
      <c r="BK610" s="802" t="str">
        <f>BN5</f>
        <v>FY2024</v>
      </c>
      <c r="BL610" s="802" t="str">
        <f>BN5</f>
        <v>FY2024</v>
      </c>
      <c r="BM610" s="802" t="str">
        <f>BS5</f>
        <v>FY2025</v>
      </c>
      <c r="BN610" s="1195" t="str">
        <f>BS5</f>
        <v>FY2025</v>
      </c>
      <c r="BO610" s="802" t="str">
        <f>BS5</f>
        <v>FY2025</v>
      </c>
      <c r="BP610" s="802" t="str">
        <f>BS5</f>
        <v>FY2025</v>
      </c>
      <c r="BQ610" s="802" t="str">
        <f>BS5</f>
        <v>FY2025</v>
      </c>
      <c r="BR610" s="802" t="str">
        <f>BX5</f>
        <v>FY2026</v>
      </c>
      <c r="BS610" s="1195" t="str">
        <f>BX5</f>
        <v>FY2026</v>
      </c>
      <c r="BT610" s="802" t="str">
        <f>BX5</f>
        <v>FY2026</v>
      </c>
      <c r="BU610" s="802" t="str">
        <f>BX5</f>
        <v>FY2026</v>
      </c>
      <c r="BV610" s="802" t="str">
        <f>BX5</f>
        <v>FY2026</v>
      </c>
      <c r="BW610" s="802" t="str">
        <f>CC5</f>
        <v>FY2027</v>
      </c>
      <c r="BX610" s="1195" t="str">
        <f>CC5</f>
        <v>FY2027</v>
      </c>
      <c r="BY610" s="927" t="str">
        <f>CC5</f>
        <v>FY2027</v>
      </c>
      <c r="BZ610" s="802"/>
      <c r="CA610" s="802"/>
      <c r="CB610" s="802"/>
      <c r="CC610" s="1195"/>
      <c r="CD610" s="802"/>
      <c r="CE610" s="802"/>
      <c r="CF610" s="802"/>
      <c r="CG610" s="802"/>
      <c r="CH610" s="1195"/>
      <c r="CI610" s="1195"/>
      <c r="CJ610" s="1195"/>
      <c r="CK610" s="1195"/>
      <c r="CL610" s="93"/>
    </row>
    <row r="611" spans="1:90" ht="15" hidden="1" customHeight="1" outlineLevel="3" x14ac:dyDescent="0.3">
      <c r="A611" s="492" t="s">
        <v>1031</v>
      </c>
      <c r="B611" s="428"/>
      <c r="C611" s="1136"/>
      <c r="D611" s="1136"/>
      <c r="E611" s="1136"/>
      <c r="F611" s="1136"/>
      <c r="G611" s="93"/>
      <c r="H611" s="93"/>
      <c r="I611" s="93"/>
      <c r="J611" s="93"/>
      <c r="K611" s="1136"/>
      <c r="L611" s="93"/>
      <c r="M611" s="93"/>
      <c r="N611" s="93"/>
      <c r="O611" s="93"/>
      <c r="P611" s="1136"/>
      <c r="Q611" s="93"/>
      <c r="R611" s="93"/>
      <c r="S611" s="93"/>
      <c r="T611" s="93"/>
      <c r="U611" s="1136"/>
      <c r="V611" s="93"/>
      <c r="W611" s="93"/>
      <c r="X611" s="93"/>
      <c r="Y611" s="93"/>
      <c r="Z611" s="1136"/>
      <c r="AA611" s="93"/>
      <c r="AB611" s="93"/>
      <c r="AC611" s="93"/>
      <c r="AD611" s="93"/>
      <c r="AE611" s="1136"/>
      <c r="AF611" s="93"/>
      <c r="AG611" s="93"/>
      <c r="AH611" s="93" t="str">
        <f t="shared" ref="AH611" si="1496">+AH1113</f>
        <v>NR</v>
      </c>
      <c r="AI611" s="93" t="str">
        <f t="shared" ref="AI611:BL611" si="1497">+AI1113</f>
        <v>NR</v>
      </c>
      <c r="AJ611" s="1136" t="str">
        <f t="shared" si="1497"/>
        <v>NR</v>
      </c>
      <c r="AK611" s="93" t="str">
        <f t="shared" si="1497"/>
        <v>NR</v>
      </c>
      <c r="AL611" s="93" t="str">
        <f t="shared" si="1497"/>
        <v>NR</v>
      </c>
      <c r="AM611" s="93" t="str">
        <f t="shared" si="1497"/>
        <v>NR</v>
      </c>
      <c r="AN611" s="93" t="str">
        <f t="shared" si="1497"/>
        <v>NR</v>
      </c>
      <c r="AO611" s="1136" t="str">
        <f t="shared" si="1497"/>
        <v>NR</v>
      </c>
      <c r="AP611" s="93" t="str">
        <f t="shared" si="1497"/>
        <v>NR</v>
      </c>
      <c r="AQ611" s="93" t="str">
        <f t="shared" si="1497"/>
        <v>NR</v>
      </c>
      <c r="AR611" s="93" t="str">
        <f t="shared" si="1497"/>
        <v>NR</v>
      </c>
      <c r="AS611" s="93" t="str">
        <f t="shared" si="1497"/>
        <v>NR</v>
      </c>
      <c r="AT611" s="1136" t="str">
        <f t="shared" si="1497"/>
        <v>NR</v>
      </c>
      <c r="AU611" s="93" t="str">
        <f t="shared" si="1497"/>
        <v>NR</v>
      </c>
      <c r="AV611" s="93" t="str">
        <f t="shared" si="1497"/>
        <v>NR</v>
      </c>
      <c r="AW611" s="93" t="str">
        <f t="shared" si="1497"/>
        <v>NR</v>
      </c>
      <c r="AX611" s="93" t="str">
        <f t="shared" si="1497"/>
        <v>NR</v>
      </c>
      <c r="AY611" s="1136" t="str">
        <f t="shared" si="1497"/>
        <v>NR</v>
      </c>
      <c r="AZ611" s="93" t="str">
        <f t="shared" si="1497"/>
        <v>NR</v>
      </c>
      <c r="BA611" s="93" t="str">
        <f t="shared" si="1497"/>
        <v>NR</v>
      </c>
      <c r="BB611" s="93" t="str">
        <f t="shared" si="1497"/>
        <v>NR</v>
      </c>
      <c r="BC611" s="93" t="str">
        <f t="shared" si="1497"/>
        <v>NR</v>
      </c>
      <c r="BD611" s="1136" t="str">
        <f t="shared" si="1497"/>
        <v>NR</v>
      </c>
      <c r="BE611" s="93" t="str">
        <f t="shared" si="1497"/>
        <v>NR</v>
      </c>
      <c r="BF611" s="93" t="str">
        <f t="shared" si="1497"/>
        <v>NR</v>
      </c>
      <c r="BG611" s="93" t="str">
        <f t="shared" si="1497"/>
        <v>NR</v>
      </c>
      <c r="BH611" s="93" t="str">
        <f t="shared" si="1497"/>
        <v>NR</v>
      </c>
      <c r="BI611" s="1136" t="str">
        <f t="shared" si="1497"/>
        <v>NR</v>
      </c>
      <c r="BJ611" s="93" t="str">
        <f t="shared" si="1497"/>
        <v>NR</v>
      </c>
      <c r="BK611" s="93" t="str">
        <f t="shared" si="1497"/>
        <v>NR</v>
      </c>
      <c r="BL611" s="93" t="str">
        <f t="shared" si="1497"/>
        <v>NR</v>
      </c>
      <c r="BM611" s="93" t="str">
        <f t="shared" ref="BM611:BO612" si="1498">+BM1113</f>
        <v>NR</v>
      </c>
      <c r="BN611" s="1136" t="str">
        <f t="shared" si="1498"/>
        <v>NR</v>
      </c>
      <c r="BO611" s="93" t="str">
        <f t="shared" si="1498"/>
        <v>NR</v>
      </c>
      <c r="BP611" s="93" t="str">
        <f t="shared" ref="BP611:BS612" si="1499">+BP1113</f>
        <v>NR</v>
      </c>
      <c r="BQ611" s="93" t="str">
        <f t="shared" si="1499"/>
        <v>NR</v>
      </c>
      <c r="BR611" s="93" t="str">
        <f t="shared" si="1499"/>
        <v>NR</v>
      </c>
      <c r="BS611" s="1136" t="str">
        <f t="shared" si="1499"/>
        <v>NR</v>
      </c>
      <c r="BT611" s="93" t="str">
        <f t="shared" ref="BT611:BV612" si="1500">+BT1113</f>
        <v>NR</v>
      </c>
      <c r="BU611" s="93" t="str">
        <f t="shared" si="1500"/>
        <v>NR</v>
      </c>
      <c r="BV611" s="93" t="str">
        <f t="shared" si="1500"/>
        <v>NR</v>
      </c>
      <c r="BW611" s="93" t="str">
        <f t="shared" ref="BW611:BY612" si="1501">+BW1113</f>
        <v>NR</v>
      </c>
      <c r="BX611" s="1136" t="str">
        <f t="shared" si="1501"/>
        <v>NR</v>
      </c>
      <c r="BY611" s="522" t="str">
        <f t="shared" si="1501"/>
        <v>NR</v>
      </c>
      <c r="BZ611" s="93"/>
      <c r="CA611" s="93"/>
      <c r="CB611" s="93"/>
      <c r="CC611" s="1136"/>
      <c r="CD611" s="93"/>
      <c r="CE611" s="93"/>
      <c r="CF611" s="93"/>
      <c r="CG611" s="93"/>
      <c r="CH611" s="1136"/>
      <c r="CI611" s="1136"/>
      <c r="CJ611" s="1136"/>
      <c r="CK611" s="1136"/>
      <c r="CL611" s="93"/>
    </row>
    <row r="612" spans="1:90" ht="15" hidden="1" customHeight="1" outlineLevel="3" x14ac:dyDescent="0.3">
      <c r="A612" s="812" t="s">
        <v>1032</v>
      </c>
      <c r="B612" s="718"/>
      <c r="C612" s="1131"/>
      <c r="D612" s="1131"/>
      <c r="E612" s="1131"/>
      <c r="F612" s="1131"/>
      <c r="G612" s="882"/>
      <c r="H612" s="882"/>
      <c r="I612" s="882"/>
      <c r="J612" s="882"/>
      <c r="K612" s="1131"/>
      <c r="L612" s="882"/>
      <c r="M612" s="882"/>
      <c r="N612" s="882"/>
      <c r="O612" s="882"/>
      <c r="P612" s="1131"/>
      <c r="Q612" s="882"/>
      <c r="R612" s="882"/>
      <c r="S612" s="882"/>
      <c r="T612" s="882"/>
      <c r="U612" s="1131"/>
      <c r="V612" s="882"/>
      <c r="W612" s="882"/>
      <c r="X612" s="882"/>
      <c r="Y612" s="882"/>
      <c r="Z612" s="1131"/>
      <c r="AA612" s="882"/>
      <c r="AB612" s="882"/>
      <c r="AC612" s="882"/>
      <c r="AD612" s="882"/>
      <c r="AE612" s="1131"/>
      <c r="AF612" s="882"/>
      <c r="AG612" s="882"/>
      <c r="AH612" s="882" t="str">
        <f t="shared" ref="AH612" si="1502">+AH1114</f>
        <v>NR</v>
      </c>
      <c r="AI612" s="882" t="str">
        <f t="shared" ref="AI612:BL612" si="1503">+AI1114</f>
        <v>NR</v>
      </c>
      <c r="AJ612" s="1131" t="str">
        <f t="shared" si="1503"/>
        <v>NR</v>
      </c>
      <c r="AK612" s="882" t="str">
        <f t="shared" si="1503"/>
        <v>NR</v>
      </c>
      <c r="AL612" s="882" t="str">
        <f t="shared" si="1503"/>
        <v>NR</v>
      </c>
      <c r="AM612" s="882" t="str">
        <f t="shared" si="1503"/>
        <v>NR</v>
      </c>
      <c r="AN612" s="882" t="str">
        <f t="shared" si="1503"/>
        <v>NR</v>
      </c>
      <c r="AO612" s="1131" t="str">
        <f t="shared" si="1503"/>
        <v>NR</v>
      </c>
      <c r="AP612" s="882" t="str">
        <f t="shared" si="1503"/>
        <v>NR</v>
      </c>
      <c r="AQ612" s="882" t="str">
        <f t="shared" si="1503"/>
        <v>NR</v>
      </c>
      <c r="AR612" s="882" t="str">
        <f t="shared" si="1503"/>
        <v>NR</v>
      </c>
      <c r="AS612" s="882" t="str">
        <f t="shared" si="1503"/>
        <v>NR</v>
      </c>
      <c r="AT612" s="1131" t="str">
        <f t="shared" si="1503"/>
        <v>NR</v>
      </c>
      <c r="AU612" s="882" t="str">
        <f t="shared" si="1503"/>
        <v>NR</v>
      </c>
      <c r="AV612" s="882" t="str">
        <f t="shared" si="1503"/>
        <v>NR</v>
      </c>
      <c r="AW612" s="882" t="str">
        <f t="shared" si="1503"/>
        <v>NR</v>
      </c>
      <c r="AX612" s="882" t="str">
        <f t="shared" si="1503"/>
        <v>NR</v>
      </c>
      <c r="AY612" s="1131" t="str">
        <f t="shared" si="1503"/>
        <v>NR</v>
      </c>
      <c r="AZ612" s="882" t="str">
        <f t="shared" si="1503"/>
        <v>NR</v>
      </c>
      <c r="BA612" s="882" t="str">
        <f t="shared" si="1503"/>
        <v>NR</v>
      </c>
      <c r="BB612" s="882" t="str">
        <f t="shared" si="1503"/>
        <v>NR</v>
      </c>
      <c r="BC612" s="882" t="str">
        <f t="shared" si="1503"/>
        <v>NR</v>
      </c>
      <c r="BD612" s="1131" t="str">
        <f t="shared" si="1503"/>
        <v>NR</v>
      </c>
      <c r="BE612" s="882" t="str">
        <f t="shared" si="1503"/>
        <v>NR</v>
      </c>
      <c r="BF612" s="882" t="str">
        <f t="shared" si="1503"/>
        <v>NR</v>
      </c>
      <c r="BG612" s="882" t="str">
        <f t="shared" si="1503"/>
        <v>NR</v>
      </c>
      <c r="BH612" s="882" t="str">
        <f t="shared" si="1503"/>
        <v>NR</v>
      </c>
      <c r="BI612" s="1131" t="str">
        <f t="shared" si="1503"/>
        <v>NR</v>
      </c>
      <c r="BJ612" s="882" t="str">
        <f t="shared" si="1503"/>
        <v>NR</v>
      </c>
      <c r="BK612" s="882" t="str">
        <f t="shared" si="1503"/>
        <v>NR</v>
      </c>
      <c r="BL612" s="882" t="str">
        <f t="shared" si="1503"/>
        <v>NR</v>
      </c>
      <c r="BM612" s="882" t="str">
        <f t="shared" si="1498"/>
        <v>NR</v>
      </c>
      <c r="BN612" s="1131" t="str">
        <f t="shared" si="1498"/>
        <v>NR</v>
      </c>
      <c r="BO612" s="882" t="str">
        <f t="shared" si="1498"/>
        <v>NR</v>
      </c>
      <c r="BP612" s="882" t="str">
        <f t="shared" si="1499"/>
        <v>NR</v>
      </c>
      <c r="BQ612" s="882" t="str">
        <f t="shared" si="1499"/>
        <v>NR</v>
      </c>
      <c r="BR612" s="882" t="str">
        <f t="shared" si="1499"/>
        <v>NR</v>
      </c>
      <c r="BS612" s="1131" t="str">
        <f t="shared" si="1499"/>
        <v>NR</v>
      </c>
      <c r="BT612" s="882" t="str">
        <f t="shared" si="1500"/>
        <v>NR</v>
      </c>
      <c r="BU612" s="882" t="str">
        <f t="shared" si="1500"/>
        <v>NR</v>
      </c>
      <c r="BV612" s="882" t="str">
        <f t="shared" si="1500"/>
        <v>NR</v>
      </c>
      <c r="BW612" s="882" t="str">
        <f t="shared" si="1501"/>
        <v>NR</v>
      </c>
      <c r="BX612" s="1131" t="str">
        <f t="shared" si="1501"/>
        <v>NR</v>
      </c>
      <c r="BY612" s="877" t="str">
        <f t="shared" si="1501"/>
        <v>NR</v>
      </c>
      <c r="BZ612" s="882"/>
      <c r="CA612" s="882"/>
      <c r="CB612" s="882"/>
      <c r="CC612" s="1131"/>
      <c r="CD612" s="882"/>
      <c r="CE612" s="882"/>
      <c r="CF612" s="882"/>
      <c r="CG612" s="882"/>
      <c r="CH612" s="1131"/>
      <c r="CI612" s="1131"/>
      <c r="CJ612" s="1131"/>
      <c r="CK612" s="1131"/>
      <c r="CL612" s="93"/>
    </row>
    <row r="613" spans="1:90" ht="15" hidden="1" customHeight="1" outlineLevel="2" collapsed="1" x14ac:dyDescent="0.3">
      <c r="A613" s="609" t="s">
        <v>1033</v>
      </c>
      <c r="B613" s="610"/>
      <c r="C613" s="1161"/>
      <c r="D613" s="1161"/>
      <c r="E613" s="1161"/>
      <c r="F613" s="1161"/>
      <c r="G613" s="378"/>
      <c r="H613" s="378"/>
      <c r="I613" s="378"/>
      <c r="J613" s="378"/>
      <c r="K613" s="1161"/>
      <c r="L613" s="378"/>
      <c r="M613" s="378"/>
      <c r="N613" s="378"/>
      <c r="O613" s="378"/>
      <c r="P613" s="1161"/>
      <c r="Q613" s="378"/>
      <c r="R613" s="378"/>
      <c r="S613" s="378"/>
      <c r="T613" s="378"/>
      <c r="U613" s="1161"/>
      <c r="V613" s="378"/>
      <c r="W613" s="378"/>
      <c r="X613" s="378"/>
      <c r="Y613" s="378"/>
      <c r="Z613" s="1161"/>
      <c r="AA613" s="378"/>
      <c r="AB613" s="378"/>
      <c r="AC613" s="378"/>
      <c r="AD613" s="378"/>
      <c r="AE613" s="1161"/>
      <c r="AF613" s="378"/>
      <c r="AG613" s="378"/>
      <c r="AH613" s="378" t="str">
        <f t="shared" ref="AH613" si="1504">IFERROR(AVERAGE(AH611,AH612),"")</f>
        <v/>
      </c>
      <c r="AI613" s="378" t="str">
        <f t="shared" ref="AI613:BL613" si="1505">IFERROR(AVERAGE(AI611,AI612),"")</f>
        <v/>
      </c>
      <c r="AJ613" s="1161" t="str">
        <f t="shared" si="1505"/>
        <v/>
      </c>
      <c r="AK613" s="378" t="str">
        <f t="shared" si="1505"/>
        <v/>
      </c>
      <c r="AL613" s="378" t="str">
        <f t="shared" si="1505"/>
        <v/>
      </c>
      <c r="AM613" s="378" t="str">
        <f t="shared" si="1505"/>
        <v/>
      </c>
      <c r="AN613" s="378" t="str">
        <f t="shared" si="1505"/>
        <v/>
      </c>
      <c r="AO613" s="1161" t="str">
        <f t="shared" si="1505"/>
        <v/>
      </c>
      <c r="AP613" s="378" t="str">
        <f t="shared" si="1505"/>
        <v/>
      </c>
      <c r="AQ613" s="378" t="str">
        <f t="shared" si="1505"/>
        <v/>
      </c>
      <c r="AR613" s="378" t="str">
        <f t="shared" si="1505"/>
        <v/>
      </c>
      <c r="AS613" s="378" t="str">
        <f t="shared" si="1505"/>
        <v/>
      </c>
      <c r="AT613" s="1161" t="str">
        <f t="shared" si="1505"/>
        <v/>
      </c>
      <c r="AU613" s="378" t="str">
        <f t="shared" si="1505"/>
        <v/>
      </c>
      <c r="AV613" s="378" t="str">
        <f t="shared" si="1505"/>
        <v/>
      </c>
      <c r="AW613" s="378" t="str">
        <f t="shared" si="1505"/>
        <v/>
      </c>
      <c r="AX613" s="378" t="str">
        <f t="shared" si="1505"/>
        <v/>
      </c>
      <c r="AY613" s="1161" t="str">
        <f t="shared" si="1505"/>
        <v/>
      </c>
      <c r="AZ613" s="378" t="str">
        <f t="shared" si="1505"/>
        <v/>
      </c>
      <c r="BA613" s="378" t="str">
        <f t="shared" si="1505"/>
        <v/>
      </c>
      <c r="BB613" s="378" t="str">
        <f t="shared" si="1505"/>
        <v/>
      </c>
      <c r="BC613" s="378" t="str">
        <f t="shared" si="1505"/>
        <v/>
      </c>
      <c r="BD613" s="1161" t="str">
        <f t="shared" si="1505"/>
        <v/>
      </c>
      <c r="BE613" s="378" t="str">
        <f t="shared" si="1505"/>
        <v/>
      </c>
      <c r="BF613" s="378" t="str">
        <f t="shared" si="1505"/>
        <v/>
      </c>
      <c r="BG613" s="378" t="str">
        <f t="shared" si="1505"/>
        <v/>
      </c>
      <c r="BH613" s="378" t="str">
        <f t="shared" si="1505"/>
        <v/>
      </c>
      <c r="BI613" s="1161" t="str">
        <f t="shared" si="1505"/>
        <v/>
      </c>
      <c r="BJ613" s="378" t="str">
        <f t="shared" si="1505"/>
        <v/>
      </c>
      <c r="BK613" s="378" t="str">
        <f t="shared" si="1505"/>
        <v/>
      </c>
      <c r="BL613" s="378" t="str">
        <f t="shared" si="1505"/>
        <v/>
      </c>
      <c r="BM613" s="378" t="str">
        <f t="shared" ref="BM613:BS613" si="1506">IFERROR(AVERAGE(BM611,BM612),"")</f>
        <v/>
      </c>
      <c r="BN613" s="1161" t="str">
        <f t="shared" si="1506"/>
        <v/>
      </c>
      <c r="BO613" s="378" t="str">
        <f t="shared" si="1506"/>
        <v/>
      </c>
      <c r="BP613" s="378" t="str">
        <f t="shared" si="1506"/>
        <v/>
      </c>
      <c r="BQ613" s="378" t="str">
        <f t="shared" si="1506"/>
        <v/>
      </c>
      <c r="BR613" s="378" t="str">
        <f t="shared" si="1506"/>
        <v/>
      </c>
      <c r="BS613" s="1161" t="str">
        <f t="shared" si="1506"/>
        <v/>
      </c>
      <c r="BT613" s="378" t="str">
        <f t="shared" ref="BT613:BY613" si="1507">IFERROR(AVERAGE(BT611,BT612),"")</f>
        <v/>
      </c>
      <c r="BU613" s="378" t="str">
        <f t="shared" si="1507"/>
        <v/>
      </c>
      <c r="BV613" s="378" t="str">
        <f t="shared" si="1507"/>
        <v/>
      </c>
      <c r="BW613" s="378" t="str">
        <f t="shared" si="1507"/>
        <v/>
      </c>
      <c r="BX613" s="1161" t="str">
        <f t="shared" si="1507"/>
        <v/>
      </c>
      <c r="BY613" s="1006" t="str">
        <f t="shared" si="1507"/>
        <v/>
      </c>
      <c r="BZ613" s="378"/>
      <c r="CA613" s="378"/>
      <c r="CB613" s="378"/>
      <c r="CC613" s="1161"/>
      <c r="CD613" s="378"/>
      <c r="CE613" s="378"/>
      <c r="CF613" s="378"/>
      <c r="CG613" s="378"/>
      <c r="CH613" s="1161"/>
      <c r="CI613" s="1161"/>
      <c r="CJ613" s="1161"/>
      <c r="CK613" s="1161"/>
      <c r="CL613" s="93"/>
    </row>
    <row r="614" spans="1:90" ht="15" hidden="1" customHeight="1" outlineLevel="2" x14ac:dyDescent="0.3">
      <c r="A614" s="492" t="s">
        <v>1034</v>
      </c>
      <c r="B614" s="428"/>
      <c r="C614" s="1136"/>
      <c r="D614" s="1136"/>
      <c r="E614" s="1136"/>
      <c r="F614" s="1136"/>
      <c r="G614" s="93"/>
      <c r="H614" s="93"/>
      <c r="I614" s="93"/>
      <c r="J614" s="93"/>
      <c r="K614" s="1136"/>
      <c r="L614" s="93"/>
      <c r="M614" s="93"/>
      <c r="N614" s="93"/>
      <c r="O614" s="93"/>
      <c r="P614" s="1136"/>
      <c r="Q614" s="93"/>
      <c r="R614" s="93"/>
      <c r="S614" s="93"/>
      <c r="T614" s="93"/>
      <c r="U614" s="1136"/>
      <c r="V614" s="93"/>
      <c r="W614" s="93"/>
      <c r="X614" s="93"/>
      <c r="Y614" s="93"/>
      <c r="Z614" s="1136"/>
      <c r="AA614" s="93"/>
      <c r="AB614" s="93"/>
      <c r="AC614" s="93"/>
      <c r="AD614" s="93"/>
      <c r="AE614" s="1136"/>
      <c r="AF614" s="93"/>
      <c r="AG614" s="93"/>
      <c r="AH614" s="93" t="str">
        <f t="shared" ref="AH614" si="1508">IFERROR(ABS(AH612-AH611),"")</f>
        <v/>
      </c>
      <c r="AI614" s="93" t="str">
        <f t="shared" ref="AI614:BL614" si="1509">IFERROR(ABS(AI612-AI611),"")</f>
        <v/>
      </c>
      <c r="AJ614" s="1136" t="str">
        <f t="shared" si="1509"/>
        <v/>
      </c>
      <c r="AK614" s="93" t="str">
        <f t="shared" si="1509"/>
        <v/>
      </c>
      <c r="AL614" s="93" t="str">
        <f t="shared" si="1509"/>
        <v/>
      </c>
      <c r="AM614" s="93" t="str">
        <f t="shared" si="1509"/>
        <v/>
      </c>
      <c r="AN614" s="93" t="str">
        <f t="shared" si="1509"/>
        <v/>
      </c>
      <c r="AO614" s="1136" t="str">
        <f t="shared" si="1509"/>
        <v/>
      </c>
      <c r="AP614" s="93" t="str">
        <f t="shared" si="1509"/>
        <v/>
      </c>
      <c r="AQ614" s="93" t="str">
        <f t="shared" si="1509"/>
        <v/>
      </c>
      <c r="AR614" s="93" t="str">
        <f t="shared" si="1509"/>
        <v/>
      </c>
      <c r="AS614" s="93" t="str">
        <f t="shared" si="1509"/>
        <v/>
      </c>
      <c r="AT614" s="1136" t="str">
        <f t="shared" si="1509"/>
        <v/>
      </c>
      <c r="AU614" s="93" t="str">
        <f t="shared" si="1509"/>
        <v/>
      </c>
      <c r="AV614" s="93" t="str">
        <f t="shared" si="1509"/>
        <v/>
      </c>
      <c r="AW614" s="93" t="str">
        <f t="shared" si="1509"/>
        <v/>
      </c>
      <c r="AX614" s="93" t="str">
        <f t="shared" si="1509"/>
        <v/>
      </c>
      <c r="AY614" s="1136" t="str">
        <f t="shared" si="1509"/>
        <v/>
      </c>
      <c r="AZ614" s="93" t="str">
        <f t="shared" si="1509"/>
        <v/>
      </c>
      <c r="BA614" s="93" t="str">
        <f t="shared" si="1509"/>
        <v/>
      </c>
      <c r="BB614" s="93" t="str">
        <f t="shared" si="1509"/>
        <v/>
      </c>
      <c r="BC614" s="93" t="str">
        <f t="shared" si="1509"/>
        <v/>
      </c>
      <c r="BD614" s="1136" t="str">
        <f t="shared" si="1509"/>
        <v/>
      </c>
      <c r="BE614" s="93" t="str">
        <f t="shared" si="1509"/>
        <v/>
      </c>
      <c r="BF614" s="93" t="str">
        <f t="shared" si="1509"/>
        <v/>
      </c>
      <c r="BG614" s="93" t="str">
        <f t="shared" si="1509"/>
        <v/>
      </c>
      <c r="BH614" s="93" t="str">
        <f t="shared" si="1509"/>
        <v/>
      </c>
      <c r="BI614" s="1136" t="str">
        <f t="shared" si="1509"/>
        <v/>
      </c>
      <c r="BJ614" s="93" t="str">
        <f t="shared" si="1509"/>
        <v/>
      </c>
      <c r="BK614" s="93" t="str">
        <f t="shared" si="1509"/>
        <v/>
      </c>
      <c r="BL614" s="93" t="str">
        <f t="shared" si="1509"/>
        <v/>
      </c>
      <c r="BM614" s="93" t="str">
        <f t="shared" ref="BM614:BS614" si="1510">IFERROR(ABS(BM612-BM611),"")</f>
        <v/>
      </c>
      <c r="BN614" s="1136" t="str">
        <f t="shared" si="1510"/>
        <v/>
      </c>
      <c r="BO614" s="93" t="str">
        <f t="shared" si="1510"/>
        <v/>
      </c>
      <c r="BP614" s="93" t="str">
        <f t="shared" si="1510"/>
        <v/>
      </c>
      <c r="BQ614" s="93" t="str">
        <f t="shared" si="1510"/>
        <v/>
      </c>
      <c r="BR614" s="93" t="str">
        <f t="shared" si="1510"/>
        <v/>
      </c>
      <c r="BS614" s="1136" t="str">
        <f t="shared" si="1510"/>
        <v/>
      </c>
      <c r="BT614" s="93" t="str">
        <f t="shared" ref="BT614:BY614" si="1511">IFERROR(ABS(BT612-BT611),"")</f>
        <v/>
      </c>
      <c r="BU614" s="93" t="str">
        <f t="shared" si="1511"/>
        <v/>
      </c>
      <c r="BV614" s="93" t="str">
        <f t="shared" si="1511"/>
        <v/>
      </c>
      <c r="BW614" s="93" t="str">
        <f t="shared" si="1511"/>
        <v/>
      </c>
      <c r="BX614" s="1136" t="str">
        <f t="shared" si="1511"/>
        <v/>
      </c>
      <c r="BY614" s="522" t="str">
        <f t="shared" si="1511"/>
        <v/>
      </c>
      <c r="BZ614" s="93"/>
      <c r="CA614" s="93"/>
      <c r="CB614" s="93"/>
      <c r="CC614" s="1136"/>
      <c r="CD614" s="93"/>
      <c r="CE614" s="93"/>
      <c r="CF614" s="93"/>
      <c r="CG614" s="93"/>
      <c r="CH614" s="1136"/>
      <c r="CI614" s="1136"/>
      <c r="CJ614" s="1136"/>
      <c r="CK614" s="1136"/>
      <c r="CL614" s="93"/>
    </row>
    <row r="615" spans="1:90" ht="15" hidden="1" customHeight="1" outlineLevel="2" x14ac:dyDescent="0.3">
      <c r="A615" s="647" t="s">
        <v>1035</v>
      </c>
      <c r="B615" s="428"/>
      <c r="C615" s="1128"/>
      <c r="D615" s="1128"/>
      <c r="E615" s="1128"/>
      <c r="F615" s="1128"/>
      <c r="G615" s="315"/>
      <c r="H615" s="315"/>
      <c r="I615" s="315"/>
      <c r="J615" s="315"/>
      <c r="K615" s="1128"/>
      <c r="L615" s="315"/>
      <c r="M615" s="315"/>
      <c r="N615" s="315"/>
      <c r="O615" s="315"/>
      <c r="P615" s="1128"/>
      <c r="Q615" s="315"/>
      <c r="R615" s="315"/>
      <c r="S615" s="315"/>
      <c r="T615" s="315"/>
      <c r="U615" s="1128"/>
      <c r="V615" s="315"/>
      <c r="W615" s="315"/>
      <c r="X615" s="315"/>
      <c r="Y615" s="315"/>
      <c r="Z615" s="1128"/>
      <c r="AA615" s="315"/>
      <c r="AB615" s="315"/>
      <c r="AC615" s="315"/>
      <c r="AD615" s="315"/>
      <c r="AE615" s="1128"/>
      <c r="AF615" s="315"/>
      <c r="AG615" s="315"/>
      <c r="AH615" s="315" t="str">
        <f t="shared" ref="AH615" si="1512">IFERROR(ABS((AH612-AH613)/AH613),"")</f>
        <v/>
      </c>
      <c r="AI615" s="315" t="str">
        <f t="shared" ref="AI615:BL615" si="1513">IFERROR(ABS((AI612-AI613)/AI613),"")</f>
        <v/>
      </c>
      <c r="AJ615" s="1128" t="str">
        <f t="shared" si="1513"/>
        <v/>
      </c>
      <c r="AK615" s="315" t="str">
        <f t="shared" si="1513"/>
        <v/>
      </c>
      <c r="AL615" s="315" t="str">
        <f t="shared" si="1513"/>
        <v/>
      </c>
      <c r="AM615" s="315" t="str">
        <f t="shared" si="1513"/>
        <v/>
      </c>
      <c r="AN615" s="315" t="str">
        <f t="shared" si="1513"/>
        <v/>
      </c>
      <c r="AO615" s="1128" t="str">
        <f t="shared" si="1513"/>
        <v/>
      </c>
      <c r="AP615" s="315" t="str">
        <f t="shared" si="1513"/>
        <v/>
      </c>
      <c r="AQ615" s="315" t="str">
        <f t="shared" si="1513"/>
        <v/>
      </c>
      <c r="AR615" s="315" t="str">
        <f t="shared" si="1513"/>
        <v/>
      </c>
      <c r="AS615" s="315" t="str">
        <f t="shared" si="1513"/>
        <v/>
      </c>
      <c r="AT615" s="1128" t="str">
        <f t="shared" si="1513"/>
        <v/>
      </c>
      <c r="AU615" s="315" t="str">
        <f t="shared" si="1513"/>
        <v/>
      </c>
      <c r="AV615" s="315" t="str">
        <f t="shared" si="1513"/>
        <v/>
      </c>
      <c r="AW615" s="315" t="str">
        <f t="shared" si="1513"/>
        <v/>
      </c>
      <c r="AX615" s="315" t="str">
        <f t="shared" si="1513"/>
        <v/>
      </c>
      <c r="AY615" s="1128" t="str">
        <f t="shared" si="1513"/>
        <v/>
      </c>
      <c r="AZ615" s="315" t="str">
        <f t="shared" si="1513"/>
        <v/>
      </c>
      <c r="BA615" s="315" t="str">
        <f t="shared" si="1513"/>
        <v/>
      </c>
      <c r="BB615" s="315" t="str">
        <f t="shared" si="1513"/>
        <v/>
      </c>
      <c r="BC615" s="315" t="str">
        <f t="shared" si="1513"/>
        <v/>
      </c>
      <c r="BD615" s="1128" t="str">
        <f t="shared" si="1513"/>
        <v/>
      </c>
      <c r="BE615" s="315" t="str">
        <f t="shared" si="1513"/>
        <v/>
      </c>
      <c r="BF615" s="315" t="str">
        <f t="shared" si="1513"/>
        <v/>
      </c>
      <c r="BG615" s="315" t="str">
        <f t="shared" si="1513"/>
        <v/>
      </c>
      <c r="BH615" s="315" t="str">
        <f t="shared" si="1513"/>
        <v/>
      </c>
      <c r="BI615" s="1128" t="str">
        <f t="shared" si="1513"/>
        <v/>
      </c>
      <c r="BJ615" s="315" t="str">
        <f t="shared" si="1513"/>
        <v/>
      </c>
      <c r="BK615" s="315" t="str">
        <f t="shared" si="1513"/>
        <v/>
      </c>
      <c r="BL615" s="315" t="str">
        <f t="shared" si="1513"/>
        <v/>
      </c>
      <c r="BM615" s="315" t="str">
        <f t="shared" ref="BM615:BS615" si="1514">IFERROR(ABS((BM612-BM613)/BM613),"")</f>
        <v/>
      </c>
      <c r="BN615" s="1128" t="str">
        <f t="shared" si="1514"/>
        <v/>
      </c>
      <c r="BO615" s="315" t="str">
        <f t="shared" si="1514"/>
        <v/>
      </c>
      <c r="BP615" s="315" t="str">
        <f t="shared" si="1514"/>
        <v/>
      </c>
      <c r="BQ615" s="315" t="str">
        <f t="shared" si="1514"/>
        <v/>
      </c>
      <c r="BR615" s="315" t="str">
        <f t="shared" si="1514"/>
        <v/>
      </c>
      <c r="BS615" s="1128" t="str">
        <f t="shared" si="1514"/>
        <v/>
      </c>
      <c r="BT615" s="315" t="str">
        <f t="shared" ref="BT615:BY615" si="1515">IFERROR(ABS((BT612-BT613)/BT613),"")</f>
        <v/>
      </c>
      <c r="BU615" s="315" t="str">
        <f t="shared" si="1515"/>
        <v/>
      </c>
      <c r="BV615" s="315" t="str">
        <f t="shared" si="1515"/>
        <v/>
      </c>
      <c r="BW615" s="315" t="str">
        <f t="shared" si="1515"/>
        <v/>
      </c>
      <c r="BX615" s="1128" t="str">
        <f t="shared" si="1515"/>
        <v/>
      </c>
      <c r="BY615" s="897" t="str">
        <f t="shared" si="1515"/>
        <v/>
      </c>
      <c r="BZ615" s="315"/>
      <c r="CA615" s="315"/>
      <c r="CB615" s="315"/>
      <c r="CC615" s="1128"/>
      <c r="CD615" s="315"/>
      <c r="CE615" s="315"/>
      <c r="CF615" s="315"/>
      <c r="CG615" s="315"/>
      <c r="CH615" s="1128"/>
      <c r="CI615" s="1128"/>
      <c r="CJ615" s="1128"/>
      <c r="CK615" s="1128"/>
      <c r="CL615" s="93"/>
    </row>
    <row r="616" spans="1:90" ht="15" hidden="1" customHeight="1" outlineLevel="3" x14ac:dyDescent="0.3">
      <c r="A616" s="648" t="s">
        <v>1051</v>
      </c>
      <c r="B616" s="112"/>
      <c r="C616" s="1115"/>
      <c r="D616" s="1115"/>
      <c r="E616" s="1115"/>
      <c r="F616" s="1115"/>
      <c r="G616" s="90"/>
      <c r="H616" s="90"/>
      <c r="I616" s="90"/>
      <c r="J616" s="90"/>
      <c r="K616" s="1115"/>
      <c r="L616" s="90"/>
      <c r="M616" s="90"/>
      <c r="N616" s="90"/>
      <c r="O616" s="90"/>
      <c r="P616" s="1115"/>
      <c r="Q616" s="90"/>
      <c r="R616" s="90"/>
      <c r="S616" s="90"/>
      <c r="T616" s="90"/>
      <c r="U616" s="1115"/>
      <c r="V616" s="90"/>
      <c r="W616" s="90"/>
      <c r="X616" s="90"/>
      <c r="Y616" s="90"/>
      <c r="Z616" s="1115"/>
      <c r="AA616" s="90"/>
      <c r="AB616" s="90"/>
      <c r="AC616" s="90"/>
      <c r="AD616" s="90"/>
      <c r="AE616" s="1115"/>
      <c r="AF616" s="90"/>
      <c r="AG616" s="90"/>
      <c r="AH616" s="90" t="str">
        <f>IFERROR(AH611/AE581-1,"")</f>
        <v/>
      </c>
      <c r="AI616" s="90" t="str">
        <f>IFERROR(AI611/AJ581-1,"")</f>
        <v/>
      </c>
      <c r="AJ616" s="1115" t="str">
        <f>IFERROR(AJ611/AJ581-1,"")</f>
        <v/>
      </c>
      <c r="AK616" s="90" t="str">
        <f>IFERROR(AK611/AJ581-1,"")</f>
        <v/>
      </c>
      <c r="AL616" s="90" t="str">
        <f>IFERROR(AL611/AJ581-1,"")</f>
        <v/>
      </c>
      <c r="AM616" s="90" t="str">
        <f>IFERROR(AM611/AJ581-1,"")</f>
        <v/>
      </c>
      <c r="AN616" s="90" t="str">
        <f>IFERROR(AN611/AO581-1,"")</f>
        <v/>
      </c>
      <c r="AO616" s="1115" t="str">
        <f>IFERROR(AO611/AO581-1,"")</f>
        <v/>
      </c>
      <c r="AP616" s="90" t="str">
        <f>IFERROR(AP611/AO581-1,"")</f>
        <v/>
      </c>
      <c r="AQ616" s="90" t="str">
        <f>IFERROR(AQ611/AO581-1,"")</f>
        <v/>
      </c>
      <c r="AR616" s="90" t="str">
        <f>IFERROR(AR611/AO581-1,"")</f>
        <v/>
      </c>
      <c r="AS616" s="90" t="str">
        <f>IFERROR(AS611/AT581-1,"")</f>
        <v/>
      </c>
      <c r="AT616" s="1115" t="str">
        <f>IFERROR(AT611/AT581-1,"")</f>
        <v/>
      </c>
      <c r="AU616" s="90" t="str">
        <f>IFERROR(AU611/AT581-1,"")</f>
        <v/>
      </c>
      <c r="AV616" s="90" t="str">
        <f>IFERROR(AV611/AT581-1,"")</f>
        <v/>
      </c>
      <c r="AW616" s="90" t="str">
        <f>IFERROR(AW611/AT581-1,"")</f>
        <v/>
      </c>
      <c r="AX616" s="90" t="str">
        <f>IFERROR(AX611/AY581-1,"")</f>
        <v/>
      </c>
      <c r="AY616" s="1115" t="str">
        <f>IFERROR(AY611/AY581-1,"")</f>
        <v/>
      </c>
      <c r="AZ616" s="90" t="str">
        <f>IFERROR(AZ611/AY581-1,"")</f>
        <v/>
      </c>
      <c r="BA616" s="90" t="str">
        <f>IFERROR(BA611/AY581-1,"")</f>
        <v/>
      </c>
      <c r="BB616" s="90" t="str">
        <f>IFERROR(BB611/AY581-1,"")</f>
        <v/>
      </c>
      <c r="BC616" s="90" t="str">
        <f>IFERROR(BC611/BD581-1,"")</f>
        <v/>
      </c>
      <c r="BD616" s="1115" t="str">
        <f>IFERROR(BD611/BD581-1,"")</f>
        <v/>
      </c>
      <c r="BE616" s="90" t="str">
        <f>IFERROR(BE611/BD581-1,"")</f>
        <v/>
      </c>
      <c r="BF616" s="90" t="str">
        <f>IFERROR(BF611/BD581-1,"")</f>
        <v/>
      </c>
      <c r="BG616" s="90" t="str">
        <f>IFERROR(BG611/BD581-1,"")</f>
        <v/>
      </c>
      <c r="BH616" s="90" t="str">
        <f>IFERROR(BH611/BI581-1,"")</f>
        <v/>
      </c>
      <c r="BI616" s="1115" t="str">
        <f>IFERROR(BI611/BI581-1,"")</f>
        <v/>
      </c>
      <c r="BJ616" s="90" t="str">
        <f>IFERROR(BJ611/BI581-1,"")</f>
        <v/>
      </c>
      <c r="BK616" s="90" t="str">
        <f>IFERROR(BK611/BI581-1,"")</f>
        <v/>
      </c>
      <c r="BL616" s="90" t="str">
        <f>IFERROR(BL611/BI581-1,"")</f>
        <v/>
      </c>
      <c r="BM616" s="90" t="str">
        <f>IFERROR(BM611/BN581-1,"")</f>
        <v/>
      </c>
      <c r="BN616" s="1115" t="str">
        <f>IFERROR(BN611/BN581-1,"")</f>
        <v/>
      </c>
      <c r="BO616" s="90" t="str">
        <f>IFERROR(BO611/BN581-1,"")</f>
        <v/>
      </c>
      <c r="BP616" s="90" t="str">
        <f>IFERROR(BP611/BN581-1,"")</f>
        <v/>
      </c>
      <c r="BQ616" s="90" t="str">
        <f>IFERROR(BQ611/BN581-1,"")</f>
        <v/>
      </c>
      <c r="BR616" s="90" t="str">
        <f>IFERROR(BR611/BS581-1,"")</f>
        <v/>
      </c>
      <c r="BS616" s="1115" t="str">
        <f>IFERROR(BS611/BS581-1,"")</f>
        <v/>
      </c>
      <c r="BT616" s="90" t="str">
        <f>IFERROR(BT611/BS581-1,"")</f>
        <v/>
      </c>
      <c r="BU616" s="90" t="str">
        <f>IFERROR(BU611/BS581-1,"")</f>
        <v/>
      </c>
      <c r="BV616" s="90" t="str">
        <f>IFERROR(BV611/BS581-1,"")</f>
        <v/>
      </c>
      <c r="BW616" s="90" t="str">
        <f>IFERROR(BW611/BX581-1,"")</f>
        <v/>
      </c>
      <c r="BX616" s="1115" t="str">
        <f>IFERROR(BX611/BX581-1,"")</f>
        <v/>
      </c>
      <c r="BY616" s="892" t="str">
        <f>IFERROR(BY611/BX581-1,"")</f>
        <v/>
      </c>
      <c r="BZ616" s="90"/>
      <c r="CA616" s="90"/>
      <c r="CB616" s="90"/>
      <c r="CC616" s="1115"/>
      <c r="CD616" s="90"/>
      <c r="CE616" s="90"/>
      <c r="CF616" s="90"/>
      <c r="CG616" s="90"/>
      <c r="CH616" s="1115"/>
      <c r="CI616" s="1115"/>
      <c r="CJ616" s="1115"/>
      <c r="CK616" s="1115"/>
      <c r="CL616" s="93"/>
    </row>
    <row r="617" spans="1:90" ht="15" hidden="1" customHeight="1" outlineLevel="3" x14ac:dyDescent="0.3">
      <c r="A617" s="810" t="s">
        <v>1052</v>
      </c>
      <c r="B617" s="804"/>
      <c r="C617" s="1196"/>
      <c r="D617" s="1196"/>
      <c r="E617" s="1196"/>
      <c r="F617" s="1196"/>
      <c r="G617" s="805"/>
      <c r="H617" s="805"/>
      <c r="I617" s="805"/>
      <c r="J617" s="805"/>
      <c r="K617" s="1196"/>
      <c r="L617" s="805"/>
      <c r="M617" s="805"/>
      <c r="N617" s="805"/>
      <c r="O617" s="805"/>
      <c r="P617" s="1196"/>
      <c r="Q617" s="805"/>
      <c r="R617" s="805"/>
      <c r="S617" s="805"/>
      <c r="T617" s="805"/>
      <c r="U617" s="1196"/>
      <c r="V617" s="805"/>
      <c r="W617" s="805"/>
      <c r="X617" s="805"/>
      <c r="Y617" s="805"/>
      <c r="Z617" s="1196"/>
      <c r="AA617" s="805"/>
      <c r="AB617" s="805"/>
      <c r="AC617" s="805"/>
      <c r="AD617" s="805"/>
      <c r="AE617" s="1196"/>
      <c r="AF617" s="805"/>
      <c r="AG617" s="805"/>
      <c r="AH617" s="805" t="str">
        <f>IFERROR(AH612/AE581-1,"")</f>
        <v/>
      </c>
      <c r="AI617" s="805" t="str">
        <f>IFERROR(AI612/AJ581-1,"")</f>
        <v/>
      </c>
      <c r="AJ617" s="1196" t="str">
        <f>IFERROR(AJ612/AJ581-1,"")</f>
        <v/>
      </c>
      <c r="AK617" s="805" t="str">
        <f>IFERROR(AK612/AJ581-1,"")</f>
        <v/>
      </c>
      <c r="AL617" s="805" t="str">
        <f>IFERROR(AL612/AJ581-1,"")</f>
        <v/>
      </c>
      <c r="AM617" s="805" t="str">
        <f>IFERROR(AM612/AJ581-1,"")</f>
        <v/>
      </c>
      <c r="AN617" s="805" t="str">
        <f>IFERROR(AN612/AO581-1,"")</f>
        <v/>
      </c>
      <c r="AO617" s="1196" t="str">
        <f>IFERROR(AO612/AO581-1,"")</f>
        <v/>
      </c>
      <c r="AP617" s="805" t="str">
        <f>IFERROR(AP612/AO581-1,"")</f>
        <v/>
      </c>
      <c r="AQ617" s="805" t="str">
        <f>IFERROR(AQ612/AO581-1,"")</f>
        <v/>
      </c>
      <c r="AR617" s="805" t="str">
        <f>IFERROR(AR612/AO581-1,"")</f>
        <v/>
      </c>
      <c r="AS617" s="805" t="str">
        <f>IFERROR(AS612/AT581-1,"")</f>
        <v/>
      </c>
      <c r="AT617" s="1196" t="str">
        <f>IFERROR(AT612/AT581-1,"")</f>
        <v/>
      </c>
      <c r="AU617" s="805" t="str">
        <f>IFERROR(AU612/AT581-1,"")</f>
        <v/>
      </c>
      <c r="AV617" s="805" t="str">
        <f>IFERROR(AV612/AT581-1,"")</f>
        <v/>
      </c>
      <c r="AW617" s="805" t="str">
        <f>IFERROR(AW612/AT581-1,"")</f>
        <v/>
      </c>
      <c r="AX617" s="805" t="str">
        <f>IFERROR(AX612/AY581-1,"")</f>
        <v/>
      </c>
      <c r="AY617" s="1196" t="str">
        <f>IFERROR(AY612/AY581-1,"")</f>
        <v/>
      </c>
      <c r="AZ617" s="805" t="str">
        <f>IFERROR(AZ612/AY581-1,"")</f>
        <v/>
      </c>
      <c r="BA617" s="805" t="str">
        <f>IFERROR(BA612/AY581-1,"")</f>
        <v/>
      </c>
      <c r="BB617" s="805" t="str">
        <f>IFERROR(BB612/AY581-1,"")</f>
        <v/>
      </c>
      <c r="BC617" s="805" t="str">
        <f>IFERROR(BC612/BD581-1,"")</f>
        <v/>
      </c>
      <c r="BD617" s="1196" t="str">
        <f>IFERROR(BD612/BD581-1,"")</f>
        <v/>
      </c>
      <c r="BE617" s="805" t="str">
        <f>IFERROR(BE612/BD581-1,"")</f>
        <v/>
      </c>
      <c r="BF617" s="805" t="str">
        <f>IFERROR(BF612/BD581-1,"")</f>
        <v/>
      </c>
      <c r="BG617" s="805" t="str">
        <f>IFERROR(BG612/BD581-1,"")</f>
        <v/>
      </c>
      <c r="BH617" s="805" t="str">
        <f>IFERROR(BH612/BI581-1,"")</f>
        <v/>
      </c>
      <c r="BI617" s="1196" t="str">
        <f>IFERROR(BI612/BI581-1,"")</f>
        <v/>
      </c>
      <c r="BJ617" s="805" t="str">
        <f>IFERROR(BJ612/BI581-1,"")</f>
        <v/>
      </c>
      <c r="BK617" s="805" t="str">
        <f>IFERROR(BK612/BI581-1,"")</f>
        <v/>
      </c>
      <c r="BL617" s="805" t="str">
        <f>IFERROR(BL612/BI581-1,"")</f>
        <v/>
      </c>
      <c r="BM617" s="805" t="str">
        <f>IFERROR(BM612/BN581-1,"")</f>
        <v/>
      </c>
      <c r="BN617" s="1196" t="str">
        <f>IFERROR(BN612/BN581-1,"")</f>
        <v/>
      </c>
      <c r="BO617" s="805" t="str">
        <f>IFERROR(BO612/BN581-1,"")</f>
        <v/>
      </c>
      <c r="BP617" s="805" t="str">
        <f>IFERROR(BP612/BN581-1,"")</f>
        <v/>
      </c>
      <c r="BQ617" s="805" t="str">
        <f>IFERROR(BQ612/BN581-1,"")</f>
        <v/>
      </c>
      <c r="BR617" s="805" t="str">
        <f>IFERROR(BR612/BS581-1,"")</f>
        <v/>
      </c>
      <c r="BS617" s="1196" t="str">
        <f>IFERROR(BS612/BS581-1,"")</f>
        <v/>
      </c>
      <c r="BT617" s="805" t="str">
        <f>IFERROR(BT612/BS581-1,"")</f>
        <v/>
      </c>
      <c r="BU617" s="805" t="str">
        <f>IFERROR(BU612/BS581-1,"")</f>
        <v/>
      </c>
      <c r="BV617" s="805" t="str">
        <f>IFERROR(BV612/BS581-1,"")</f>
        <v/>
      </c>
      <c r="BW617" s="805" t="str">
        <f>IFERROR(BW612/BX581-1,"")</f>
        <v/>
      </c>
      <c r="BX617" s="1196" t="str">
        <f>IFERROR(BX612/BX581-1,"")</f>
        <v/>
      </c>
      <c r="BY617" s="928" t="str">
        <f>IFERROR(BY612/BX581-1,"")</f>
        <v/>
      </c>
      <c r="BZ617" s="805"/>
      <c r="CA617" s="805"/>
      <c r="CB617" s="805"/>
      <c r="CC617" s="1196"/>
      <c r="CD617" s="805"/>
      <c r="CE617" s="805"/>
      <c r="CF617" s="805"/>
      <c r="CG617" s="805"/>
      <c r="CH617" s="1196"/>
      <c r="CI617" s="1196"/>
      <c r="CJ617" s="1196"/>
      <c r="CK617" s="1196"/>
      <c r="CL617" s="93"/>
    </row>
    <row r="618" spans="1:90" ht="15" hidden="1" customHeight="1" outlineLevel="2" collapsed="1" x14ac:dyDescent="0.3">
      <c r="A618" s="371" t="s">
        <v>1053</v>
      </c>
      <c r="B618" s="112"/>
      <c r="C618" s="1115"/>
      <c r="D618" s="1115"/>
      <c r="E618" s="1115"/>
      <c r="F618" s="1115"/>
      <c r="G618" s="90"/>
      <c r="H618" s="90"/>
      <c r="I618" s="90"/>
      <c r="J618" s="90"/>
      <c r="K618" s="1115"/>
      <c r="L618" s="90"/>
      <c r="M618" s="90"/>
      <c r="N618" s="90"/>
      <c r="O618" s="90"/>
      <c r="P618" s="1115"/>
      <c r="Q618" s="90"/>
      <c r="R618" s="90"/>
      <c r="S618" s="90"/>
      <c r="T618" s="90"/>
      <c r="U618" s="1115"/>
      <c r="V618" s="90"/>
      <c r="W618" s="90"/>
      <c r="X618" s="90"/>
      <c r="Y618" s="90"/>
      <c r="Z618" s="1115"/>
      <c r="AA618" s="90"/>
      <c r="AB618" s="90"/>
      <c r="AC618" s="90"/>
      <c r="AD618" s="90"/>
      <c r="AE618" s="1115"/>
      <c r="AF618" s="90"/>
      <c r="AG618" s="90"/>
      <c r="AH618" s="90" t="str">
        <f>IFERROR(AH613/AE581-1,"")</f>
        <v/>
      </c>
      <c r="AI618" s="90" t="str">
        <f>IFERROR(AI613/AJ581-1,"")</f>
        <v/>
      </c>
      <c r="AJ618" s="1115" t="str">
        <f>IFERROR(AJ613/AJ581-1,"")</f>
        <v/>
      </c>
      <c r="AK618" s="90" t="str">
        <f>IFERROR(AK613/AJ581-1,"")</f>
        <v/>
      </c>
      <c r="AL618" s="90" t="str">
        <f>IFERROR(AL613/AJ581-1,"")</f>
        <v/>
      </c>
      <c r="AM618" s="90" t="str">
        <f>IFERROR(AM613/AJ581-1,"")</f>
        <v/>
      </c>
      <c r="AN618" s="90" t="str">
        <f>IFERROR(AN613/AO581-1,"")</f>
        <v/>
      </c>
      <c r="AO618" s="1115" t="str">
        <f>IFERROR(AO613/AO581-1,"")</f>
        <v/>
      </c>
      <c r="AP618" s="90" t="str">
        <f>IFERROR(AP613/AO581-1,"")</f>
        <v/>
      </c>
      <c r="AQ618" s="90" t="str">
        <f>IFERROR(AQ613/AO581-1,"")</f>
        <v/>
      </c>
      <c r="AR618" s="90" t="str">
        <f>IFERROR(AR613/AO581-1,"")</f>
        <v/>
      </c>
      <c r="AS618" s="90" t="str">
        <f>IFERROR(AS613/AT581-1,"")</f>
        <v/>
      </c>
      <c r="AT618" s="1115" t="str">
        <f>IFERROR(AT613/AT581-1,"")</f>
        <v/>
      </c>
      <c r="AU618" s="90" t="str">
        <f>IFERROR(AU613/AT581-1,"")</f>
        <v/>
      </c>
      <c r="AV618" s="90" t="str">
        <f>IFERROR(AV613/AT581-1,"")</f>
        <v/>
      </c>
      <c r="AW618" s="90" t="str">
        <f>IFERROR(AW613/AT581-1,"")</f>
        <v/>
      </c>
      <c r="AX618" s="90" t="str">
        <f>IFERROR(AX613/AY581-1,"")</f>
        <v/>
      </c>
      <c r="AY618" s="1115" t="str">
        <f>IFERROR(AY613/AY581-1,"")</f>
        <v/>
      </c>
      <c r="AZ618" s="90" t="str">
        <f>IFERROR(AZ613/AY581-1,"")</f>
        <v/>
      </c>
      <c r="BA618" s="90" t="str">
        <f>IFERROR(BA613/AY581-1,"")</f>
        <v/>
      </c>
      <c r="BB618" s="90" t="str">
        <f>IFERROR(BB613/AY581-1,"")</f>
        <v/>
      </c>
      <c r="BC618" s="90" t="str">
        <f>IFERROR(BC613/BD581-1,"")</f>
        <v/>
      </c>
      <c r="BD618" s="1115" t="str">
        <f>IFERROR(BD613/BD581-1,"")</f>
        <v/>
      </c>
      <c r="BE618" s="90" t="str">
        <f>IFERROR(BE613/BD581-1,"")</f>
        <v/>
      </c>
      <c r="BF618" s="90" t="str">
        <f>IFERROR(BF613/BD581-1,"")</f>
        <v/>
      </c>
      <c r="BG618" s="90" t="str">
        <f>IFERROR(BG613/BD581-1,"")</f>
        <v/>
      </c>
      <c r="BH618" s="90" t="str">
        <f>IFERROR(BH613/BI581-1,"")</f>
        <v/>
      </c>
      <c r="BI618" s="1115" t="str">
        <f>IFERROR(BI613/BI581-1,"")</f>
        <v/>
      </c>
      <c r="BJ618" s="90" t="str">
        <f>IFERROR(BJ613/BI581-1,"")</f>
        <v/>
      </c>
      <c r="BK618" s="90" t="str">
        <f>IFERROR(BK613/BI581-1,"")</f>
        <v/>
      </c>
      <c r="BL618" s="90" t="str">
        <f>IFERROR(BL613/BI581-1,"")</f>
        <v/>
      </c>
      <c r="BM618" s="90" t="str">
        <f>IFERROR(BM613/BN581-1,"")</f>
        <v/>
      </c>
      <c r="BN618" s="1115" t="str">
        <f>IFERROR(BN613/BN581-1,"")</f>
        <v/>
      </c>
      <c r="BO618" s="90" t="str">
        <f>IFERROR(BO613/BN581-1,"")</f>
        <v/>
      </c>
      <c r="BP618" s="90" t="str">
        <f>IFERROR(BP613/BN581-1,"")</f>
        <v/>
      </c>
      <c r="BQ618" s="90" t="str">
        <f>IFERROR(BQ613/BN581-1,"")</f>
        <v/>
      </c>
      <c r="BR618" s="90" t="str">
        <f>IFERROR(BR613/BS581-1,"")</f>
        <v/>
      </c>
      <c r="BS618" s="1115" t="str">
        <f>IFERROR(BS613/BS581-1,"")</f>
        <v/>
      </c>
      <c r="BT618" s="90" t="str">
        <f>IFERROR(BT613/BS581-1,"")</f>
        <v/>
      </c>
      <c r="BU618" s="90" t="str">
        <f>IFERROR(BU613/BS581-1,"")</f>
        <v/>
      </c>
      <c r="BV618" s="90" t="str">
        <f>IFERROR(BV613/BS581-1,"")</f>
        <v/>
      </c>
      <c r="BW618" s="90" t="str">
        <f>IFERROR(BW613/BX581-1,"")</f>
        <v/>
      </c>
      <c r="BX618" s="1115" t="str">
        <f>IFERROR(BX613/BX581-1,"")</f>
        <v/>
      </c>
      <c r="BY618" s="892" t="str">
        <f>IFERROR(BY613/BX581-1,"")</f>
        <v/>
      </c>
      <c r="BZ618" s="90"/>
      <c r="CA618" s="90"/>
      <c r="CB618" s="90"/>
      <c r="CC618" s="1115"/>
      <c r="CD618" s="90"/>
      <c r="CE618" s="90"/>
      <c r="CF618" s="90"/>
      <c r="CG618" s="90"/>
      <c r="CH618" s="1115"/>
      <c r="CI618" s="1115"/>
      <c r="CJ618" s="1115"/>
      <c r="CK618" s="1115"/>
      <c r="CL618" s="93"/>
    </row>
    <row r="619" spans="1:90" ht="15" hidden="1" customHeight="1" outlineLevel="2" x14ac:dyDescent="0.3">
      <c r="A619" s="799"/>
      <c r="B619" s="428"/>
      <c r="C619" s="1136"/>
      <c r="D619" s="1136"/>
      <c r="E619" s="1136"/>
      <c r="F619" s="1136"/>
      <c r="G619" s="93"/>
      <c r="H619" s="93"/>
      <c r="I619" s="93"/>
      <c r="J619" s="93"/>
      <c r="K619" s="1136"/>
      <c r="L619" s="93"/>
      <c r="M619" s="93"/>
      <c r="N619" s="93"/>
      <c r="O619" s="93"/>
      <c r="P619" s="1136"/>
      <c r="Q619" s="93"/>
      <c r="R619" s="93"/>
      <c r="S619" s="93"/>
      <c r="T619" s="93"/>
      <c r="U619" s="1136"/>
      <c r="V619" s="93"/>
      <c r="W619" s="93"/>
      <c r="X619" s="93"/>
      <c r="Y619" s="93"/>
      <c r="Z619" s="1136"/>
      <c r="AA619" s="93"/>
      <c r="AB619" s="93"/>
      <c r="AC619" s="93"/>
      <c r="AD619" s="93"/>
      <c r="AE619" s="1136"/>
      <c r="AF619" s="93"/>
      <c r="AG619" s="93"/>
      <c r="AH619" s="93"/>
      <c r="AI619" s="93"/>
      <c r="AJ619" s="1136"/>
      <c r="AK619" s="93"/>
      <c r="AL619" s="93"/>
      <c r="AM619" s="93"/>
      <c r="AN619" s="93"/>
      <c r="AO619" s="1136"/>
      <c r="AP619" s="93"/>
      <c r="AQ619" s="93"/>
      <c r="AR619" s="93"/>
      <c r="AS619" s="93"/>
      <c r="AT619" s="1136"/>
      <c r="AU619" s="93"/>
      <c r="AV619" s="93"/>
      <c r="AW619" s="93"/>
      <c r="AX619" s="93"/>
      <c r="AY619" s="1136"/>
      <c r="AZ619" s="93"/>
      <c r="BA619" s="93"/>
      <c r="BB619" s="93"/>
      <c r="BC619" s="93"/>
      <c r="BD619" s="1136"/>
      <c r="BE619" s="93"/>
      <c r="BF619" s="93"/>
      <c r="BG619" s="93"/>
      <c r="BH619" s="93"/>
      <c r="BI619" s="1136"/>
      <c r="BJ619" s="93"/>
      <c r="BK619" s="93"/>
      <c r="BL619" s="93"/>
      <c r="BM619" s="93"/>
      <c r="BN619" s="1136"/>
      <c r="BO619" s="93"/>
      <c r="BP619" s="93"/>
      <c r="BQ619" s="93"/>
      <c r="BR619" s="93"/>
      <c r="BS619" s="1136"/>
      <c r="BT619" s="93"/>
      <c r="BU619" s="93"/>
      <c r="BV619" s="93"/>
      <c r="BW619" s="93"/>
      <c r="BX619" s="1136"/>
      <c r="BY619" s="522"/>
      <c r="BZ619" s="93"/>
      <c r="CA619" s="93"/>
      <c r="CB619" s="93"/>
      <c r="CC619" s="1136"/>
      <c r="CD619" s="93"/>
      <c r="CE619" s="93"/>
      <c r="CF619" s="93"/>
      <c r="CG619" s="93"/>
      <c r="CH619" s="1136"/>
      <c r="CI619" s="1136"/>
      <c r="CJ619" s="1136"/>
      <c r="CK619" s="1136"/>
      <c r="CL619" s="93"/>
    </row>
    <row r="620" spans="1:90" ht="15" hidden="1" customHeight="1" outlineLevel="2" x14ac:dyDescent="0.3">
      <c r="A620" s="492" t="s">
        <v>1054</v>
      </c>
      <c r="B620" s="428"/>
      <c r="C620" s="1136"/>
      <c r="D620" s="1136"/>
      <c r="E620" s="1136"/>
      <c r="F620" s="1136"/>
      <c r="G620" s="93"/>
      <c r="H620" s="93"/>
      <c r="I620" s="93"/>
      <c r="J620" s="93"/>
      <c r="K620" s="1136"/>
      <c r="L620" s="93"/>
      <c r="M620" s="93"/>
      <c r="N620" s="93"/>
      <c r="O620" s="93"/>
      <c r="P620" s="1136"/>
      <c r="Q620" s="93"/>
      <c r="R620" s="93"/>
      <c r="S620" s="93"/>
      <c r="T620" s="93"/>
      <c r="U620" s="1136"/>
      <c r="V620" s="93"/>
      <c r="W620" s="93"/>
      <c r="X620" s="93"/>
      <c r="Y620" s="93"/>
      <c r="Z620" s="1136"/>
      <c r="AA620" s="93"/>
      <c r="AB620" s="93"/>
      <c r="AC620" s="93"/>
      <c r="AD620" s="93"/>
      <c r="AE620" s="1136"/>
      <c r="AF620" s="93"/>
      <c r="AG620" s="93"/>
      <c r="AH620" s="93" t="str">
        <f>AH582</f>
        <v/>
      </c>
      <c r="AI620" s="93"/>
      <c r="AJ620" s="1136"/>
      <c r="AK620" s="93">
        <f>AK582</f>
        <v>307</v>
      </c>
      <c r="AL620" s="93">
        <f>AL582</f>
        <v>23</v>
      </c>
      <c r="AM620" s="93">
        <f>AM582</f>
        <v>-69</v>
      </c>
      <c r="AN620" s="93"/>
      <c r="AO620" s="1136"/>
      <c r="AP620" s="93">
        <f>AP582</f>
        <v>20</v>
      </c>
      <c r="AQ620" s="93">
        <f>AQ582</f>
        <v>29</v>
      </c>
      <c r="AR620" s="93">
        <f>AR582</f>
        <v>114</v>
      </c>
      <c r="AS620" s="93"/>
      <c r="AT620" s="1136"/>
      <c r="AU620" s="93">
        <f>AU582</f>
        <v>80</v>
      </c>
      <c r="AV620" s="93">
        <f>AV582</f>
        <v>216</v>
      </c>
      <c r="AW620" s="93">
        <f>AW582</f>
        <v>326</v>
      </c>
      <c r="AX620" s="93"/>
      <c r="AY620" s="1136"/>
      <c r="AZ620" s="93">
        <f>AZ582</f>
        <v>361</v>
      </c>
      <c r="BA620" s="93">
        <f>BA582</f>
        <v>207</v>
      </c>
      <c r="BB620" s="93">
        <f>BB582</f>
        <v>303</v>
      </c>
      <c r="BC620" s="93"/>
      <c r="BD620" s="1136"/>
      <c r="BE620" s="93">
        <f>BE582</f>
        <v>188</v>
      </c>
      <c r="BF620" s="93">
        <f>BF582</f>
        <v>-1396</v>
      </c>
      <c r="BG620" s="93">
        <f>BG582</f>
        <v>31</v>
      </c>
      <c r="BH620" s="93">
        <f>BH582</f>
        <v>51</v>
      </c>
      <c r="BI620" s="1136"/>
      <c r="BJ620" s="93">
        <f>BJ582</f>
        <v>692</v>
      </c>
      <c r="BK620" s="93">
        <f>BK582</f>
        <v>2507</v>
      </c>
      <c r="BL620" s="93">
        <f>BL582</f>
        <v>2120</v>
      </c>
      <c r="BM620" s="93">
        <f>BM582</f>
        <v>2103</v>
      </c>
      <c r="BN620" s="1136"/>
      <c r="BO620" s="93">
        <f>BO582</f>
        <v>2044</v>
      </c>
      <c r="BP620" s="93">
        <f>BP582</f>
        <v>2040</v>
      </c>
      <c r="BQ620" s="93">
        <f>BQ582</f>
        <v>2582</v>
      </c>
      <c r="BR620" s="93">
        <f>BR582</f>
        <v>1831</v>
      </c>
      <c r="BS620" s="1136"/>
      <c r="BT620" s="93">
        <f>BT582</f>
        <v>1062</v>
      </c>
      <c r="BU620" s="93">
        <f>BU582</f>
        <v>1743</v>
      </c>
      <c r="BV620" s="93">
        <f>BV582</f>
        <v>3006</v>
      </c>
      <c r="BW620" s="93">
        <f>BW582</f>
        <v>3127</v>
      </c>
      <c r="BX620" s="1136"/>
      <c r="BY620" s="522">
        <f>BY582</f>
        <v>3615</v>
      </c>
      <c r="BZ620" s="93"/>
      <c r="CA620" s="93"/>
      <c r="CB620" s="93"/>
      <c r="CC620" s="1136"/>
      <c r="CD620" s="93"/>
      <c r="CE620" s="93"/>
      <c r="CF620" s="93"/>
      <c r="CG620" s="93"/>
      <c r="CH620" s="1136"/>
      <c r="CI620" s="1136"/>
      <c r="CJ620" s="1136"/>
      <c r="CK620" s="1136"/>
      <c r="CL620" s="93"/>
    </row>
    <row r="621" spans="1:90" ht="15" hidden="1" customHeight="1" outlineLevel="2" x14ac:dyDescent="0.3">
      <c r="A621" s="812" t="s">
        <v>1055</v>
      </c>
      <c r="B621" s="718"/>
      <c r="C621" s="1131"/>
      <c r="D621" s="1131"/>
      <c r="E621" s="1131"/>
      <c r="F621" s="1131"/>
      <c r="G621" s="882"/>
      <c r="H621" s="882"/>
      <c r="I621" s="882"/>
      <c r="J621" s="882"/>
      <c r="K621" s="1131"/>
      <c r="L621" s="882"/>
      <c r="M621" s="882"/>
      <c r="N621" s="882"/>
      <c r="O621" s="882"/>
      <c r="P621" s="1131"/>
      <c r="Q621" s="882"/>
      <c r="R621" s="882"/>
      <c r="S621" s="882"/>
      <c r="T621" s="882"/>
      <c r="U621" s="1131"/>
      <c r="V621" s="882"/>
      <c r="W621" s="882"/>
      <c r="X621" s="882"/>
      <c r="Y621" s="882"/>
      <c r="Z621" s="1131"/>
      <c r="AA621" s="882"/>
      <c r="AB621" s="882"/>
      <c r="AC621" s="882"/>
      <c r="AD621" s="882"/>
      <c r="AE621" s="1131"/>
      <c r="AF621" s="882"/>
      <c r="AG621" s="882"/>
      <c r="AH621" s="882" t="str">
        <f>IFERROR(AH622-AH620,"")</f>
        <v/>
      </c>
      <c r="AI621" s="882"/>
      <c r="AJ621" s="1131"/>
      <c r="AK621" s="882" t="str">
        <f>IFERROR(AK622-AK620,"")</f>
        <v/>
      </c>
      <c r="AL621" s="882" t="str">
        <f>IFERROR(AL622-AL620,"")</f>
        <v/>
      </c>
      <c r="AM621" s="882" t="str">
        <f>IFERROR(AM622-AM620,"")</f>
        <v/>
      </c>
      <c r="AN621" s="882"/>
      <c r="AO621" s="1131"/>
      <c r="AP621" s="882" t="str">
        <f>IFERROR(AP622-AP620,"")</f>
        <v/>
      </c>
      <c r="AQ621" s="882" t="str">
        <f>IFERROR(AQ622-AQ620,"")</f>
        <v/>
      </c>
      <c r="AR621" s="882" t="str">
        <f>IFERROR(AR622-AR620,"")</f>
        <v/>
      </c>
      <c r="AS621" s="882"/>
      <c r="AT621" s="1131"/>
      <c r="AU621" s="882" t="str">
        <f>IFERROR(AU622-AU620,"")</f>
        <v/>
      </c>
      <c r="AV621" s="882" t="str">
        <f>IFERROR(AV622-AV620,"")</f>
        <v/>
      </c>
      <c r="AW621" s="882" t="str">
        <f>IFERROR(AW622-AW620,"")</f>
        <v/>
      </c>
      <c r="AX621" s="882"/>
      <c r="AY621" s="1131"/>
      <c r="AZ621" s="882" t="str">
        <f>IFERROR(AZ622-AZ620,"")</f>
        <v/>
      </c>
      <c r="BA621" s="882" t="str">
        <f>IFERROR(BA622-BA620,"")</f>
        <v/>
      </c>
      <c r="BB621" s="882" t="str">
        <f>IFERROR(BB622-BB620,"")</f>
        <v/>
      </c>
      <c r="BC621" s="882"/>
      <c r="BD621" s="1131"/>
      <c r="BE621" s="882" t="str">
        <f>IFERROR(BE622-BE620,"")</f>
        <v/>
      </c>
      <c r="BF621" s="882" t="str">
        <f>IFERROR(BF622-BF620,"")</f>
        <v/>
      </c>
      <c r="BG621" s="882" t="str">
        <f>IFERROR(BG622-BG620,"")</f>
        <v/>
      </c>
      <c r="BH621" s="882"/>
      <c r="BI621" s="1131"/>
      <c r="BJ621" s="882" t="str">
        <f>IFERROR(BJ622-BJ620,"")</f>
        <v/>
      </c>
      <c r="BK621" s="882" t="str">
        <f>IFERROR(BK622-BK620,"")</f>
        <v/>
      </c>
      <c r="BL621" s="882" t="str">
        <f>IFERROR(BL622-BL620,"")</f>
        <v/>
      </c>
      <c r="BM621" s="882"/>
      <c r="BN621" s="1131"/>
      <c r="BO621" s="882" t="str">
        <f>IFERROR(BO622-BO620,"")</f>
        <v/>
      </c>
      <c r="BP621" s="882" t="str">
        <f>IFERROR(BP622-BP620,"")</f>
        <v/>
      </c>
      <c r="BQ621" s="882" t="str">
        <f>IFERROR(BQ622-BQ620,"")</f>
        <v/>
      </c>
      <c r="BR621" s="882"/>
      <c r="BS621" s="1131"/>
      <c r="BT621" s="882" t="str">
        <f>IFERROR(BT622-BT620,"")</f>
        <v/>
      </c>
      <c r="BU621" s="882" t="str">
        <f>IFERROR(BU622-BU620,"")</f>
        <v/>
      </c>
      <c r="BV621" s="882" t="str">
        <f>IFERROR(BV622-BV620,"")</f>
        <v/>
      </c>
      <c r="BW621" s="882"/>
      <c r="BX621" s="1131"/>
      <c r="BY621" s="877" t="str">
        <f>IFERROR(BY622-BY620,"")</f>
        <v/>
      </c>
      <c r="BZ621" s="882"/>
      <c r="CA621" s="882"/>
      <c r="CB621" s="882"/>
      <c r="CC621" s="1131"/>
      <c r="CD621" s="882"/>
      <c r="CE621" s="882"/>
      <c r="CF621" s="882"/>
      <c r="CG621" s="882"/>
      <c r="CH621" s="1131"/>
      <c r="CI621" s="1131"/>
      <c r="CJ621" s="1131"/>
      <c r="CK621" s="1131"/>
      <c r="CL621" s="93"/>
    </row>
    <row r="622" spans="1:90" ht="15" hidden="1" customHeight="1" outlineLevel="2" x14ac:dyDescent="0.3">
      <c r="A622" s="814" t="s">
        <v>1056</v>
      </c>
      <c r="B622" s="815"/>
      <c r="C622" s="1198"/>
      <c r="D622" s="1198"/>
      <c r="E622" s="1198"/>
      <c r="F622" s="1198"/>
      <c r="G622" s="351"/>
      <c r="H622" s="351"/>
      <c r="I622" s="351"/>
      <c r="J622" s="351"/>
      <c r="K622" s="1198"/>
      <c r="L622" s="351"/>
      <c r="M622" s="351"/>
      <c r="N622" s="351"/>
      <c r="O622" s="351"/>
      <c r="P622" s="1198"/>
      <c r="Q622" s="351"/>
      <c r="R622" s="351"/>
      <c r="S622" s="351"/>
      <c r="T622" s="351"/>
      <c r="U622" s="1198"/>
      <c r="V622" s="351"/>
      <c r="W622" s="351"/>
      <c r="X622" s="351"/>
      <c r="Y622" s="351"/>
      <c r="Z622" s="1198"/>
      <c r="AA622" s="351"/>
      <c r="AB622" s="351"/>
      <c r="AC622" s="351"/>
      <c r="AD622" s="351"/>
      <c r="AE622" s="1198"/>
      <c r="AF622" s="351"/>
      <c r="AG622" s="351"/>
      <c r="AH622" s="351" t="str">
        <f>IFERROR(AH613-AG613,"")</f>
        <v/>
      </c>
      <c r="AI622" s="351"/>
      <c r="AJ622" s="1198"/>
      <c r="AK622" s="351" t="str">
        <f>IFERROR(AK613-AI613,"")</f>
        <v/>
      </c>
      <c r="AL622" s="351" t="str">
        <f>IFERROR(AL613-AK613,"")</f>
        <v/>
      </c>
      <c r="AM622" s="351" t="str">
        <f>IFERROR(AM613-AL613,"")</f>
        <v/>
      </c>
      <c r="AN622" s="351"/>
      <c r="AO622" s="1198"/>
      <c r="AP622" s="351" t="str">
        <f>IFERROR(AP613-AN613,"")</f>
        <v/>
      </c>
      <c r="AQ622" s="351" t="str">
        <f>IFERROR(AQ613-AP613,"")</f>
        <v/>
      </c>
      <c r="AR622" s="351" t="str">
        <f>IFERROR(AR613-AQ613,"")</f>
        <v/>
      </c>
      <c r="AS622" s="351"/>
      <c r="AT622" s="1198"/>
      <c r="AU622" s="351" t="str">
        <f>IFERROR(AU613-AS613,"")</f>
        <v/>
      </c>
      <c r="AV622" s="351" t="str">
        <f>IFERROR(AV613-AU613,"")</f>
        <v/>
      </c>
      <c r="AW622" s="351" t="str">
        <f>IFERROR(AW613-AV613,"")</f>
        <v/>
      </c>
      <c r="AX622" s="351"/>
      <c r="AY622" s="1198"/>
      <c r="AZ622" s="351" t="str">
        <f>IFERROR(AZ613-AX613,"")</f>
        <v/>
      </c>
      <c r="BA622" s="351" t="str">
        <f>IFERROR(BA613-AZ613,"")</f>
        <v/>
      </c>
      <c r="BB622" s="351" t="str">
        <f>IFERROR(BB613-BA613,"")</f>
        <v/>
      </c>
      <c r="BC622" s="351"/>
      <c r="BD622" s="1198"/>
      <c r="BE622" s="351" t="str">
        <f>IFERROR(BE613-BC613,"")</f>
        <v/>
      </c>
      <c r="BF622" s="351" t="str">
        <f>IFERROR(BF613-BE613,"")</f>
        <v/>
      </c>
      <c r="BG622" s="351" t="str">
        <f>IFERROR(BG613-BF613,"")</f>
        <v/>
      </c>
      <c r="BH622" s="351"/>
      <c r="BI622" s="1198"/>
      <c r="BJ622" s="351" t="str">
        <f>IFERROR(BJ613-BH613,"")</f>
        <v/>
      </c>
      <c r="BK622" s="351" t="str">
        <f>IFERROR(BK613-BJ613,"")</f>
        <v/>
      </c>
      <c r="BL622" s="351" t="str">
        <f>IFERROR(BL613-BK613,"")</f>
        <v/>
      </c>
      <c r="BM622" s="351"/>
      <c r="BN622" s="1198"/>
      <c r="BO622" s="351" t="str">
        <f>IFERROR(BO613-BM613,"")</f>
        <v/>
      </c>
      <c r="BP622" s="351" t="str">
        <f>IFERROR(BP613-BO613,"")</f>
        <v/>
      </c>
      <c r="BQ622" s="351" t="str">
        <f>IFERROR(BQ613-BP613,"")</f>
        <v/>
      </c>
      <c r="BR622" s="351"/>
      <c r="BS622" s="1198"/>
      <c r="BT622" s="351" t="str">
        <f>IFERROR(BT613-BR613,"")</f>
        <v/>
      </c>
      <c r="BU622" s="351" t="str">
        <f>IFERROR(BU613-BT613,"")</f>
        <v/>
      </c>
      <c r="BV622" s="351" t="str">
        <f>IFERROR(BV613-BU613,"")</f>
        <v/>
      </c>
      <c r="BW622" s="351"/>
      <c r="BX622" s="1198"/>
      <c r="BY622" s="1008" t="str">
        <f>IFERROR(BY613-BW613,"")</f>
        <v/>
      </c>
      <c r="BZ622" s="351"/>
      <c r="CA622" s="351"/>
      <c r="CB622" s="351"/>
      <c r="CC622" s="1198"/>
      <c r="CD622" s="351"/>
      <c r="CE622" s="351"/>
      <c r="CF622" s="351"/>
      <c r="CG622" s="351"/>
      <c r="CH622" s="1198"/>
      <c r="CI622" s="1198"/>
      <c r="CJ622" s="1198"/>
      <c r="CK622" s="1198"/>
      <c r="CL622" s="93"/>
    </row>
    <row r="623" spans="1:90" ht="15" hidden="1" customHeight="1" outlineLevel="2" x14ac:dyDescent="0.3">
      <c r="A623" s="371" t="s">
        <v>1057</v>
      </c>
      <c r="B623" s="112"/>
      <c r="C623" s="1115"/>
      <c r="D623" s="1115"/>
      <c r="E623" s="1115"/>
      <c r="F623" s="1115"/>
      <c r="G623" s="90"/>
      <c r="H623" s="90"/>
      <c r="I623" s="90"/>
      <c r="J623" s="90"/>
      <c r="K623" s="1115"/>
      <c r="L623" s="90"/>
      <c r="M623" s="90"/>
      <c r="N623" s="90"/>
      <c r="O623" s="90"/>
      <c r="P623" s="1115"/>
      <c r="Q623" s="90"/>
      <c r="R623" s="90"/>
      <c r="S623" s="90"/>
      <c r="T623" s="90"/>
      <c r="U623" s="1115"/>
      <c r="V623" s="90"/>
      <c r="W623" s="90"/>
      <c r="X623" s="90"/>
      <c r="Y623" s="90"/>
      <c r="Z623" s="1115"/>
      <c r="AA623" s="90"/>
      <c r="AB623" s="90"/>
      <c r="AC623" s="90"/>
      <c r="AD623" s="90"/>
      <c r="AE623" s="1115"/>
      <c r="AF623" s="90"/>
      <c r="AG623" s="90"/>
      <c r="AH623" s="90" t="str">
        <f>IFERROR(AH613/AG613-1,"")</f>
        <v/>
      </c>
      <c r="AI623" s="90"/>
      <c r="AJ623" s="1115"/>
      <c r="AK623" s="90" t="str">
        <f>IFERROR(AK613/AI613-1,"")</f>
        <v/>
      </c>
      <c r="AL623" s="90" t="str">
        <f>IFERROR(AL613/AK613-1,"")</f>
        <v/>
      </c>
      <c r="AM623" s="90" t="str">
        <f>IFERROR(AM613/AL613-1,"")</f>
        <v/>
      </c>
      <c r="AN623" s="90"/>
      <c r="AO623" s="1115"/>
      <c r="AP623" s="90" t="str">
        <f>IFERROR(AP613/AN613-1,"")</f>
        <v/>
      </c>
      <c r="AQ623" s="90" t="str">
        <f>IFERROR(AQ613/AP613-1,"")</f>
        <v/>
      </c>
      <c r="AR623" s="90" t="str">
        <f>IFERROR(AR613/AQ613-1,"")</f>
        <v/>
      </c>
      <c r="AS623" s="90"/>
      <c r="AT623" s="1115"/>
      <c r="AU623" s="90" t="str">
        <f>IFERROR(AU613/AS613-1,"")</f>
        <v/>
      </c>
      <c r="AV623" s="90" t="str">
        <f>IFERROR(AV613/AU613-1,"")</f>
        <v/>
      </c>
      <c r="AW623" s="90" t="str">
        <f>IFERROR(AW613/AV613-1,"")</f>
        <v/>
      </c>
      <c r="AX623" s="90"/>
      <c r="AY623" s="1115"/>
      <c r="AZ623" s="90" t="str">
        <f>IFERROR(AZ613/AX613-1,"")</f>
        <v/>
      </c>
      <c r="BA623" s="90" t="str">
        <f>IFERROR(BA613/AZ613-1,"")</f>
        <v/>
      </c>
      <c r="BB623" s="90" t="str">
        <f>IFERROR(BB613/BA613-1,"")</f>
        <v/>
      </c>
      <c r="BC623" s="90"/>
      <c r="BD623" s="1115"/>
      <c r="BE623" s="90" t="str">
        <f>IFERROR(BE613/BC613-1,"")</f>
        <v/>
      </c>
      <c r="BF623" s="90" t="str">
        <f>IFERROR(BF613/BE613-1,"")</f>
        <v/>
      </c>
      <c r="BG623" s="90" t="str">
        <f>IFERROR(BG613/BF613-1,"")</f>
        <v/>
      </c>
      <c r="BH623" s="90"/>
      <c r="BI623" s="1115"/>
      <c r="BJ623" s="90" t="str">
        <f>IFERROR(BJ613/BH613-1,"")</f>
        <v/>
      </c>
      <c r="BK623" s="90" t="str">
        <f>IFERROR(BK613/BJ613-1,"")</f>
        <v/>
      </c>
      <c r="BL623" s="90" t="str">
        <f>IFERROR(BL613/BK613-1,"")</f>
        <v/>
      </c>
      <c r="BM623" s="90"/>
      <c r="BN623" s="1115"/>
      <c r="BO623" s="90" t="str">
        <f>IFERROR(BO613/BM613-1,"")</f>
        <v/>
      </c>
      <c r="BP623" s="90" t="str">
        <f>IFERROR(BP613/BO613-1,"")</f>
        <v/>
      </c>
      <c r="BQ623" s="90" t="str">
        <f>IFERROR(BQ613/BP613-1,"")</f>
        <v/>
      </c>
      <c r="BR623" s="90"/>
      <c r="BS623" s="1115"/>
      <c r="BT623" s="90" t="str">
        <f>IFERROR(BT613/BR613-1,"")</f>
        <v/>
      </c>
      <c r="BU623" s="90" t="str">
        <f>IFERROR(BU613/BT613-1,"")</f>
        <v/>
      </c>
      <c r="BV623" s="90" t="str">
        <f>IFERROR(BV613/BU613-1,"")</f>
        <v/>
      </c>
      <c r="BW623" s="90"/>
      <c r="BX623" s="1115"/>
      <c r="BY623" s="892" t="str">
        <f>IFERROR(BY613/BW613-1,"")</f>
        <v/>
      </c>
      <c r="BZ623" s="90"/>
      <c r="CA623" s="90"/>
      <c r="CB623" s="90"/>
      <c r="CC623" s="1115"/>
      <c r="CD623" s="90"/>
      <c r="CE623" s="90"/>
      <c r="CF623" s="90"/>
      <c r="CG623" s="90"/>
      <c r="CH623" s="1115"/>
      <c r="CI623" s="1115"/>
      <c r="CJ623" s="1115"/>
      <c r="CK623" s="1115"/>
      <c r="CL623" s="93"/>
    </row>
    <row r="624" spans="1:90" ht="15" hidden="1" customHeight="1" outlineLevel="2" x14ac:dyDescent="0.3">
      <c r="A624" s="799"/>
      <c r="B624" s="428"/>
      <c r="C624" s="1136"/>
      <c r="D624" s="1136"/>
      <c r="E624" s="1136"/>
      <c r="F624" s="1136"/>
      <c r="G624" s="93"/>
      <c r="H624" s="93"/>
      <c r="I624" s="93"/>
      <c r="J624" s="93"/>
      <c r="K624" s="1136"/>
      <c r="L624" s="93"/>
      <c r="M624" s="93"/>
      <c r="N624" s="93"/>
      <c r="O624" s="93"/>
      <c r="P624" s="1136"/>
      <c r="Q624" s="93"/>
      <c r="R624" s="93"/>
      <c r="S624" s="93"/>
      <c r="T624" s="93"/>
      <c r="U624" s="1136"/>
      <c r="V624" s="93"/>
      <c r="W624" s="93"/>
      <c r="X624" s="93"/>
      <c r="Y624" s="93"/>
      <c r="Z624" s="1136"/>
      <c r="AA624" s="93"/>
      <c r="AB624" s="93"/>
      <c r="AC624" s="93"/>
      <c r="AD624" s="93"/>
      <c r="AE624" s="1136"/>
      <c r="AF624" s="93"/>
      <c r="AG624" s="93"/>
      <c r="AH624" s="93"/>
      <c r="AI624" s="93"/>
      <c r="AJ624" s="1136"/>
      <c r="AK624" s="93"/>
      <c r="AL624" s="93"/>
      <c r="AM624" s="93"/>
      <c r="AN624" s="93"/>
      <c r="AO624" s="1136"/>
      <c r="AP624" s="93"/>
      <c r="AQ624" s="93"/>
      <c r="AR624" s="93"/>
      <c r="AS624" s="93"/>
      <c r="AT624" s="1136"/>
      <c r="AU624" s="93"/>
      <c r="AV624" s="93"/>
      <c r="AW624" s="93"/>
      <c r="AX624" s="93"/>
      <c r="AY624" s="1136"/>
      <c r="AZ624" s="93"/>
      <c r="BA624" s="93"/>
      <c r="BB624" s="93"/>
      <c r="BC624" s="93"/>
      <c r="BD624" s="1136"/>
      <c r="BE624" s="93"/>
      <c r="BF624" s="93"/>
      <c r="BG624" s="93"/>
      <c r="BH624" s="93"/>
      <c r="BI624" s="1136"/>
      <c r="BJ624" s="93"/>
      <c r="BK624" s="93"/>
      <c r="BL624" s="93"/>
      <c r="BM624" s="93"/>
      <c r="BN624" s="1136"/>
      <c r="BO624" s="93"/>
      <c r="BP624" s="93"/>
      <c r="BQ624" s="93"/>
      <c r="BR624" s="93"/>
      <c r="BS624" s="1136"/>
      <c r="BT624" s="93"/>
      <c r="BU624" s="93"/>
      <c r="BV624" s="93"/>
      <c r="BW624" s="93"/>
      <c r="BX624" s="1136"/>
      <c r="BY624" s="522"/>
      <c r="BZ624" s="93"/>
      <c r="CA624" s="93"/>
      <c r="CB624" s="93"/>
      <c r="CC624" s="1136"/>
      <c r="CD624" s="93"/>
      <c r="CE624" s="93"/>
      <c r="CF624" s="93"/>
      <c r="CG624" s="93"/>
      <c r="CH624" s="1136"/>
      <c r="CI624" s="1136"/>
      <c r="CJ624" s="1136"/>
      <c r="CK624" s="1136"/>
      <c r="CL624" s="93"/>
    </row>
    <row r="625" spans="1:90" ht="15" hidden="1" customHeight="1" outlineLevel="2" x14ac:dyDescent="0.3">
      <c r="A625" s="636" t="s">
        <v>1058</v>
      </c>
      <c r="B625" s="428"/>
      <c r="C625" s="1112"/>
      <c r="D625" s="1112"/>
      <c r="E625" s="1112"/>
      <c r="F625" s="1112"/>
      <c r="G625" s="68"/>
      <c r="H625" s="68"/>
      <c r="I625" s="68"/>
      <c r="J625" s="68"/>
      <c r="K625" s="1112"/>
      <c r="L625" s="68"/>
      <c r="M625" s="68"/>
      <c r="N625" s="68"/>
      <c r="O625" s="68"/>
      <c r="P625" s="1112"/>
      <c r="Q625" s="68"/>
      <c r="R625" s="68"/>
      <c r="S625" s="68"/>
      <c r="T625" s="68"/>
      <c r="U625" s="1112"/>
      <c r="V625" s="68"/>
      <c r="W625" s="68"/>
      <c r="X625" s="68"/>
      <c r="Y625" s="68"/>
      <c r="Z625" s="1112"/>
      <c r="AA625" s="68"/>
      <c r="AB625" s="68"/>
      <c r="AC625" s="68"/>
      <c r="AD625" s="68"/>
      <c r="AE625" s="1112"/>
      <c r="AF625" s="68"/>
      <c r="AG625" s="68"/>
      <c r="AH625" s="68">
        <f>IFERROR(AG626-AG596,"")</f>
        <v>0</v>
      </c>
      <c r="AI625" s="68"/>
      <c r="AJ625" s="1112"/>
      <c r="AK625" s="68" t="str">
        <f>IFERROR(AI613-AI596,"")</f>
        <v/>
      </c>
      <c r="AL625" s="68" t="str">
        <f>IFERROR(AK626-AK596,"")</f>
        <v/>
      </c>
      <c r="AM625" s="68" t="str">
        <f>IFERROR(AL626-AL596,"")</f>
        <v/>
      </c>
      <c r="AN625" s="68"/>
      <c r="AO625" s="1112"/>
      <c r="AP625" s="68" t="str">
        <f>IFERROR(AN613-AN596,"")</f>
        <v/>
      </c>
      <c r="AQ625" s="68" t="str">
        <f>IFERROR(AP626-AP596,"")</f>
        <v/>
      </c>
      <c r="AR625" s="68" t="str">
        <f>IFERROR(AQ626-AQ596,"")</f>
        <v/>
      </c>
      <c r="AS625" s="68"/>
      <c r="AT625" s="1112"/>
      <c r="AU625" s="68" t="str">
        <f>IFERROR(AS613-AS596,"")</f>
        <v/>
      </c>
      <c r="AV625" s="68" t="str">
        <f>IFERROR(AU626-AU596,"")</f>
        <v/>
      </c>
      <c r="AW625" s="68" t="str">
        <f>IFERROR(AV626-AV596,"")</f>
        <v/>
      </c>
      <c r="AX625" s="68"/>
      <c r="AY625" s="1112"/>
      <c r="AZ625" s="68" t="str">
        <f>IFERROR(AX613-AX596,"")</f>
        <v/>
      </c>
      <c r="BA625" s="68" t="str">
        <f>IFERROR(AZ626-AZ596,"")</f>
        <v/>
      </c>
      <c r="BB625" s="68" t="str">
        <f>IFERROR(BA626-BA596,"")</f>
        <v/>
      </c>
      <c r="BC625" s="68"/>
      <c r="BD625" s="1112"/>
      <c r="BE625" s="68" t="str">
        <f>IFERROR(BC613-BC596,"")</f>
        <v/>
      </c>
      <c r="BF625" s="68" t="str">
        <f>IFERROR(BE626-BE596,"")</f>
        <v/>
      </c>
      <c r="BG625" s="68" t="str">
        <f>IFERROR(BF626-BF596,"")</f>
        <v/>
      </c>
      <c r="BH625" s="68"/>
      <c r="BI625" s="1112"/>
      <c r="BJ625" s="68" t="str">
        <f>IFERROR(BH613-BH596,"")</f>
        <v/>
      </c>
      <c r="BK625" s="68" t="str">
        <f>IFERROR(BJ626-BJ596,"")</f>
        <v/>
      </c>
      <c r="BL625" s="68" t="str">
        <f>IFERROR(BK626-BK596,"")</f>
        <v/>
      </c>
      <c r="BM625" s="68"/>
      <c r="BN625" s="1112"/>
      <c r="BO625" s="68" t="str">
        <f>IFERROR(BM613-BM596,"")</f>
        <v/>
      </c>
      <c r="BP625" s="68" t="str">
        <f>IFERROR(BO626-BO596,"")</f>
        <v/>
      </c>
      <c r="BQ625" s="68" t="str">
        <f>IFERROR(BP626-BP596,"")</f>
        <v/>
      </c>
      <c r="BR625" s="68"/>
      <c r="BS625" s="1112"/>
      <c r="BT625" s="68" t="str">
        <f>IFERROR(BR613-BR596,"")</f>
        <v/>
      </c>
      <c r="BU625" s="68" t="str">
        <f>IFERROR(BT626-BT596,"")</f>
        <v/>
      </c>
      <c r="BV625" s="68" t="str">
        <f>IFERROR(BU626-BU596,"")</f>
        <v/>
      </c>
      <c r="BW625" s="68"/>
      <c r="BX625" s="1112"/>
      <c r="BY625" s="588" t="str">
        <f>IFERROR(BW613-BW596,"")</f>
        <v/>
      </c>
      <c r="BZ625" s="68"/>
      <c r="CA625" s="68"/>
      <c r="CB625" s="68"/>
      <c r="CC625" s="1112"/>
      <c r="CD625" s="68"/>
      <c r="CE625" s="68"/>
      <c r="CF625" s="68"/>
      <c r="CG625" s="68"/>
      <c r="CH625" s="1112"/>
      <c r="CI625" s="1112"/>
      <c r="CJ625" s="1112"/>
      <c r="CK625" s="1112"/>
      <c r="CL625" s="93"/>
    </row>
    <row r="626" spans="1:90" ht="15" hidden="1" customHeight="1" outlineLevel="2" x14ac:dyDescent="0.3">
      <c r="A626" s="636" t="s">
        <v>1059</v>
      </c>
      <c r="B626" s="428"/>
      <c r="C626" s="1112"/>
      <c r="D626" s="1112"/>
      <c r="E626" s="1112"/>
      <c r="F626" s="1112"/>
      <c r="G626" s="68"/>
      <c r="H626" s="68"/>
      <c r="I626" s="68"/>
      <c r="J626" s="68"/>
      <c r="K626" s="1112"/>
      <c r="L626" s="68"/>
      <c r="M626" s="68"/>
      <c r="N626" s="68"/>
      <c r="O626" s="68"/>
      <c r="P626" s="1112"/>
      <c r="Q626" s="68"/>
      <c r="R626" s="68"/>
      <c r="S626" s="68"/>
      <c r="T626" s="68"/>
      <c r="U626" s="1112"/>
      <c r="V626" s="68"/>
      <c r="W626" s="68"/>
      <c r="X626" s="68"/>
      <c r="Y626" s="68"/>
      <c r="Z626" s="1112"/>
      <c r="AA626" s="68"/>
      <c r="AB626" s="68"/>
      <c r="AC626" s="68"/>
      <c r="AD626" s="68"/>
      <c r="AE626" s="1112"/>
      <c r="AF626" s="68"/>
      <c r="AG626" s="68"/>
      <c r="AH626" s="68" t="str">
        <f>IFERROR(AH613-SUM(AH581,AG581,AF581),"")</f>
        <v/>
      </c>
      <c r="AI626" s="68"/>
      <c r="AJ626" s="1112"/>
      <c r="AK626" s="68" t="str">
        <f>IFERROR(AK613-SUM(AK581),"")</f>
        <v/>
      </c>
      <c r="AL626" s="68" t="str">
        <f>IFERROR(AL613-SUM(AL581,AK581),"")</f>
        <v/>
      </c>
      <c r="AM626" s="68" t="str">
        <f>IFERROR(AM613-SUM(AM581,AL581,AK581),"")</f>
        <v/>
      </c>
      <c r="AN626" s="68"/>
      <c r="AO626" s="1112"/>
      <c r="AP626" s="68" t="str">
        <f>IFERROR(AP613-SUM(AP581),"")</f>
        <v/>
      </c>
      <c r="AQ626" s="68" t="str">
        <f>IFERROR(AQ613-SUM(AQ581,AP581),"")</f>
        <v/>
      </c>
      <c r="AR626" s="68" t="str">
        <f>IFERROR(AR613-SUM(AR581,AQ581,AP581),"")</f>
        <v/>
      </c>
      <c r="AS626" s="68"/>
      <c r="AT626" s="1112"/>
      <c r="AU626" s="68" t="str">
        <f>IFERROR(AU613-SUM(AU581),"")</f>
        <v/>
      </c>
      <c r="AV626" s="68" t="str">
        <f>IFERROR(AV613-SUM(AV581,AU581),"")</f>
        <v/>
      </c>
      <c r="AW626" s="68" t="str">
        <f>IFERROR(AW613-SUM(AW581,AV581,AU581),"")</f>
        <v/>
      </c>
      <c r="AX626" s="68"/>
      <c r="AY626" s="1112"/>
      <c r="AZ626" s="68" t="str">
        <f>IFERROR(AZ613-SUM(AZ581),"")</f>
        <v/>
      </c>
      <c r="BA626" s="68" t="str">
        <f>IFERROR(BA613-SUM(BA581,AZ581),"")</f>
        <v/>
      </c>
      <c r="BB626" s="68" t="str">
        <f>IFERROR(BB613-SUM(BB581,BA581,AZ581),"")</f>
        <v/>
      </c>
      <c r="BC626" s="68"/>
      <c r="BD626" s="1112"/>
      <c r="BE626" s="68" t="str">
        <f>IFERROR(BE613-SUM(BE581),"")</f>
        <v/>
      </c>
      <c r="BF626" s="68" t="str">
        <f>IFERROR(BF613-SUM(BF581,BE581),"")</f>
        <v/>
      </c>
      <c r="BG626" s="68" t="str">
        <f>IFERROR(BG613-SUM(BG581,BF581,BE581),"")</f>
        <v/>
      </c>
      <c r="BH626" s="68"/>
      <c r="BI626" s="1112"/>
      <c r="BJ626" s="68" t="str">
        <f>IFERROR(BJ613-SUM(BJ581),"")</f>
        <v/>
      </c>
      <c r="BK626" s="68" t="str">
        <f>IFERROR(BK613-SUM(BK581,BJ581),"")</f>
        <v/>
      </c>
      <c r="BL626" s="68" t="str">
        <f>IFERROR(BL613-SUM(BL581,BK581,BJ581),"")</f>
        <v/>
      </c>
      <c r="BM626" s="68"/>
      <c r="BN626" s="1112"/>
      <c r="BO626" s="68" t="str">
        <f>IFERROR(BO613-SUM(BO581),"")</f>
        <v/>
      </c>
      <c r="BP626" s="68" t="str">
        <f>IFERROR(BP613-SUM(BP581,BO581),"")</f>
        <v/>
      </c>
      <c r="BQ626" s="68" t="str">
        <f>IFERROR(BQ613-SUM(BQ581,BP581,BO581),"")</f>
        <v/>
      </c>
      <c r="BR626" s="68"/>
      <c r="BS626" s="1112"/>
      <c r="BT626" s="68" t="str">
        <f>IFERROR(BT613-SUM(BT581),"")</f>
        <v/>
      </c>
      <c r="BU626" s="68" t="str">
        <f>IFERROR(BU613-SUM(BU581,BT581),"")</f>
        <v/>
      </c>
      <c r="BV626" s="68" t="str">
        <f>IFERROR(BV613-SUM(BV581,BU581,BT581),"")</f>
        <v/>
      </c>
      <c r="BW626" s="68"/>
      <c r="BX626" s="1112"/>
      <c r="BY626" s="588" t="str">
        <f>IFERROR(BY613-SUM(BY581),"")</f>
        <v/>
      </c>
      <c r="BZ626" s="68"/>
      <c r="CA626" s="68"/>
      <c r="CB626" s="68"/>
      <c r="CC626" s="1112"/>
      <c r="CD626" s="68"/>
      <c r="CE626" s="68"/>
      <c r="CF626" s="68"/>
      <c r="CG626" s="68"/>
      <c r="CH626" s="1112"/>
      <c r="CI626" s="1112"/>
      <c r="CJ626" s="1112"/>
      <c r="CK626" s="1112"/>
      <c r="CL626" s="93"/>
    </row>
    <row r="627" spans="1:90" ht="15" hidden="1" customHeight="1" outlineLevel="2" x14ac:dyDescent="0.3">
      <c r="A627" s="371" t="s">
        <v>1060</v>
      </c>
      <c r="B627" s="112"/>
      <c r="C627" s="1115"/>
      <c r="D627" s="1115"/>
      <c r="E627" s="1115"/>
      <c r="F627" s="1115"/>
      <c r="G627" s="90"/>
      <c r="H627" s="90"/>
      <c r="I627" s="90"/>
      <c r="J627" s="90"/>
      <c r="K627" s="1115"/>
      <c r="L627" s="90"/>
      <c r="M627" s="90"/>
      <c r="N627" s="90"/>
      <c r="O627" s="90"/>
      <c r="P627" s="1115"/>
      <c r="Q627" s="90"/>
      <c r="R627" s="90"/>
      <c r="S627" s="90"/>
      <c r="T627" s="90"/>
      <c r="U627" s="1115"/>
      <c r="V627" s="90"/>
      <c r="W627" s="90"/>
      <c r="X627" s="90"/>
      <c r="Y627" s="90"/>
      <c r="Z627" s="1115"/>
      <c r="AA627" s="90"/>
      <c r="AB627" s="90"/>
      <c r="AC627" s="90"/>
      <c r="AD627" s="90"/>
      <c r="AE627" s="1115"/>
      <c r="AF627" s="90"/>
      <c r="AG627" s="90"/>
      <c r="AH627" s="90" t="str">
        <f>IFERROR(AH626/AH625-1,"")</f>
        <v/>
      </c>
      <c r="AI627" s="90"/>
      <c r="AJ627" s="1115"/>
      <c r="AK627" s="90" t="str">
        <f>IFERROR(AK626/AK625-1,"")</f>
        <v/>
      </c>
      <c r="AL627" s="90" t="str">
        <f>IFERROR(AL626/AL625-1,"")</f>
        <v/>
      </c>
      <c r="AM627" s="90" t="str">
        <f>IFERROR(AM626/AM625-1,"")</f>
        <v/>
      </c>
      <c r="AN627" s="90"/>
      <c r="AO627" s="1115"/>
      <c r="AP627" s="90" t="str">
        <f>IFERROR(AP626/AP625-1,"")</f>
        <v/>
      </c>
      <c r="AQ627" s="90" t="str">
        <f>IFERROR(AQ626/AQ625-1,"")</f>
        <v/>
      </c>
      <c r="AR627" s="90" t="str">
        <f>IFERROR(AR626/AR625-1,"")</f>
        <v/>
      </c>
      <c r="AS627" s="90"/>
      <c r="AT627" s="1115"/>
      <c r="AU627" s="90" t="str">
        <f>IFERROR(AU626/AU625-1,"")</f>
        <v/>
      </c>
      <c r="AV627" s="90" t="str">
        <f>IFERROR(AV626/AV625-1,"")</f>
        <v/>
      </c>
      <c r="AW627" s="90" t="str">
        <f>IFERROR(AW626/AW625-1,"")</f>
        <v/>
      </c>
      <c r="AX627" s="90"/>
      <c r="AY627" s="1115"/>
      <c r="AZ627" s="90" t="str">
        <f>IFERROR(AZ626/AZ625-1,"")</f>
        <v/>
      </c>
      <c r="BA627" s="90" t="str">
        <f>IFERROR(BA626/BA625-1,"")</f>
        <v/>
      </c>
      <c r="BB627" s="90" t="str">
        <f>IFERROR(BB626/BB625-1,"")</f>
        <v/>
      </c>
      <c r="BC627" s="90"/>
      <c r="BD627" s="1115"/>
      <c r="BE627" s="90" t="str">
        <f>IFERROR(BE626/BE625-1,"")</f>
        <v/>
      </c>
      <c r="BF627" s="90" t="str">
        <f>IFERROR(BF626/BF625-1,"")</f>
        <v/>
      </c>
      <c r="BG627" s="90" t="str">
        <f>IFERROR(BG626/BG625-1,"")</f>
        <v/>
      </c>
      <c r="BH627" s="90"/>
      <c r="BI627" s="1115"/>
      <c r="BJ627" s="90" t="str">
        <f>IFERROR(BJ626/BJ625-1,"")</f>
        <v/>
      </c>
      <c r="BK627" s="90" t="str">
        <f>IFERROR(BK626/BK625-1,"")</f>
        <v/>
      </c>
      <c r="BL627" s="90" t="str">
        <f>IFERROR(BL626/BL625-1,"")</f>
        <v/>
      </c>
      <c r="BM627" s="90"/>
      <c r="BN627" s="1115"/>
      <c r="BO627" s="90" t="str">
        <f>IFERROR(BO626/BO625-1,"")</f>
        <v/>
      </c>
      <c r="BP627" s="90" t="str">
        <f>IFERROR(BP626/BP625-1,"")</f>
        <v/>
      </c>
      <c r="BQ627" s="90" t="str">
        <f>IFERROR(BQ626/BQ625-1,"")</f>
        <v/>
      </c>
      <c r="BR627" s="90"/>
      <c r="BS627" s="1115"/>
      <c r="BT627" s="90" t="str">
        <f>IFERROR(BT626/BT625-1,"")</f>
        <v/>
      </c>
      <c r="BU627" s="90" t="str">
        <f>IFERROR(BU626/BU625-1,"")</f>
        <v/>
      </c>
      <c r="BV627" s="90" t="str">
        <f>IFERROR(BV626/BV625-1,"")</f>
        <v/>
      </c>
      <c r="BW627" s="90"/>
      <c r="BX627" s="1115"/>
      <c r="BY627" s="892" t="str">
        <f>IFERROR(BY626/BY625-1,"")</f>
        <v/>
      </c>
      <c r="BZ627" s="90"/>
      <c r="CA627" s="90"/>
      <c r="CB627" s="90"/>
      <c r="CC627" s="1115"/>
      <c r="CD627" s="90"/>
      <c r="CE627" s="90"/>
      <c r="CF627" s="90"/>
      <c r="CG627" s="90"/>
      <c r="CH627" s="1115"/>
      <c r="CI627" s="1115"/>
      <c r="CJ627" s="1115"/>
      <c r="CK627" s="1115"/>
      <c r="CL627" s="93"/>
    </row>
    <row r="628" spans="1:90" ht="15" hidden="1" customHeight="1" outlineLevel="1" collapsed="1" x14ac:dyDescent="0.3">
      <c r="A628" s="799"/>
      <c r="B628" s="428"/>
      <c r="C628" s="1136"/>
      <c r="D628" s="1136"/>
      <c r="E628" s="1136"/>
      <c r="F628" s="1136"/>
      <c r="G628" s="93"/>
      <c r="H628" s="93"/>
      <c r="I628" s="93"/>
      <c r="J628" s="93"/>
      <c r="K628" s="1136"/>
      <c r="L628" s="93"/>
      <c r="M628" s="93"/>
      <c r="N628" s="93"/>
      <c r="O628" s="93"/>
      <c r="P628" s="1136"/>
      <c r="Q628" s="93"/>
      <c r="R628" s="93"/>
      <c r="S628" s="93"/>
      <c r="T628" s="93"/>
      <c r="U628" s="1136"/>
      <c r="V628" s="93"/>
      <c r="W628" s="93"/>
      <c r="X628" s="93"/>
      <c r="Y628" s="93"/>
      <c r="Z628" s="1136"/>
      <c r="AA628" s="93"/>
      <c r="AB628" s="93"/>
      <c r="AC628" s="93"/>
      <c r="AD628" s="93"/>
      <c r="AE628" s="1136"/>
      <c r="AF628" s="93"/>
      <c r="AG628" s="93"/>
      <c r="AH628" s="93"/>
      <c r="AI628" s="93"/>
      <c r="AJ628" s="1136"/>
      <c r="AK628" s="93"/>
      <c r="AL628" s="93"/>
      <c r="AM628" s="93"/>
      <c r="AN628" s="93"/>
      <c r="AO628" s="1136"/>
      <c r="AP628" s="93"/>
      <c r="AQ628" s="93"/>
      <c r="AR628" s="93"/>
      <c r="AS628" s="93"/>
      <c r="AT628" s="1136"/>
      <c r="AU628" s="93"/>
      <c r="AV628" s="93"/>
      <c r="AW628" s="93"/>
      <c r="AX628" s="93"/>
      <c r="AY628" s="1136"/>
      <c r="AZ628" s="93"/>
      <c r="BA628" s="93"/>
      <c r="BB628" s="93"/>
      <c r="BC628" s="93"/>
      <c r="BD628" s="1136"/>
      <c r="BE628" s="93"/>
      <c r="BF628" s="93"/>
      <c r="BG628" s="93"/>
      <c r="BH628" s="93"/>
      <c r="BI628" s="1136"/>
      <c r="BJ628" s="93"/>
      <c r="BK628" s="93"/>
      <c r="BL628" s="93"/>
      <c r="BM628" s="93"/>
      <c r="BN628" s="1136"/>
      <c r="BO628" s="93"/>
      <c r="BP628" s="93"/>
      <c r="BQ628" s="93"/>
      <c r="BR628" s="93"/>
      <c r="BS628" s="1136"/>
      <c r="BT628" s="93"/>
      <c r="BU628" s="93"/>
      <c r="BV628" s="93"/>
      <c r="BW628" s="93"/>
      <c r="BX628" s="1136"/>
      <c r="BY628" s="522"/>
      <c r="BZ628" s="93"/>
      <c r="CA628" s="93"/>
      <c r="CB628" s="93"/>
      <c r="CC628" s="1136"/>
      <c r="CD628" s="93"/>
      <c r="CE628" s="93"/>
      <c r="CF628" s="93"/>
      <c r="CG628" s="93"/>
      <c r="CH628" s="1136"/>
      <c r="CI628" s="1136"/>
      <c r="CJ628" s="1136"/>
      <c r="CK628" s="1136"/>
      <c r="CL628" s="93"/>
    </row>
    <row r="629" spans="1:90" ht="15" hidden="1" customHeight="1" outlineLevel="1" x14ac:dyDescent="0.3">
      <c r="A629" s="493" t="s">
        <v>953</v>
      </c>
      <c r="B629" s="494"/>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c r="AY629" s="45"/>
      <c r="AZ629" s="45"/>
      <c r="BA629" s="45"/>
      <c r="BB629" s="45"/>
      <c r="BC629" s="45"/>
      <c r="BD629" s="45"/>
      <c r="BE629" s="45"/>
      <c r="BF629" s="45"/>
      <c r="BG629" s="45"/>
      <c r="BH629" s="45"/>
      <c r="BI629" s="45"/>
      <c r="BJ629" s="45"/>
      <c r="BK629" s="45"/>
      <c r="BL629" s="45"/>
      <c r="BM629" s="45"/>
      <c r="BN629" s="45"/>
      <c r="BO629" s="45"/>
      <c r="BP629" s="45"/>
      <c r="BQ629" s="45"/>
      <c r="BR629" s="45"/>
      <c r="BS629" s="45"/>
      <c r="BT629" s="45"/>
      <c r="BU629" s="45"/>
      <c r="BV629" s="45"/>
      <c r="BW629" s="45"/>
      <c r="BX629" s="45"/>
      <c r="BY629" s="881"/>
      <c r="BZ629" s="45"/>
      <c r="CA629" s="45"/>
      <c r="CB629" s="45"/>
      <c r="CC629" s="45"/>
      <c r="CD629" s="45"/>
      <c r="CE629" s="45"/>
      <c r="CF629" s="45"/>
      <c r="CG629" s="45"/>
      <c r="CH629" s="45"/>
      <c r="CI629" s="45"/>
      <c r="CJ629" s="45"/>
      <c r="CK629" s="45"/>
      <c r="CL629" s="228"/>
    </row>
    <row r="630" spans="1:90" ht="15" hidden="1" customHeight="1" outlineLevel="2" x14ac:dyDescent="0.3">
      <c r="A630" s="492" t="s">
        <v>954</v>
      </c>
      <c r="B630" s="428"/>
      <c r="C630" s="1136"/>
      <c r="D630" s="1136"/>
      <c r="E630" s="1136"/>
      <c r="F630" s="1136"/>
      <c r="G630" s="93"/>
      <c r="H630" s="93" t="str">
        <f>IF(ISBLANK(G658),"",G658)</f>
        <v/>
      </c>
      <c r="I630" s="93" t="str">
        <f>IF(ISBLANK(H658),"",H658)</f>
        <v/>
      </c>
      <c r="J630" s="93" t="str">
        <f>IF(ISBLANK(I658),"",I658)</f>
        <v/>
      </c>
      <c r="K630" s="1136"/>
      <c r="L630" s="93" t="str">
        <f>IF(ISBLANK(J658),"",J658)</f>
        <v/>
      </c>
      <c r="M630" s="93" t="str">
        <f>IF(ISBLANK(L658),"",L658)</f>
        <v/>
      </c>
      <c r="N630" s="93" t="str">
        <f>IF(ISBLANK(M658),"",M658)</f>
        <v/>
      </c>
      <c r="O630" s="93" t="str">
        <f>IF(ISBLANK(N658),"",N658)</f>
        <v/>
      </c>
      <c r="P630" s="1136"/>
      <c r="Q630" s="93"/>
      <c r="R630" s="93"/>
      <c r="S630" s="93"/>
      <c r="T630" s="93"/>
      <c r="U630" s="1136"/>
      <c r="V630" s="93"/>
      <c r="W630" s="93"/>
      <c r="X630" s="93"/>
      <c r="Y630" s="93"/>
      <c r="Z630" s="1136"/>
      <c r="AA630" s="93"/>
      <c r="AB630" s="93"/>
      <c r="AC630" s="93"/>
      <c r="AD630" s="93"/>
      <c r="AE630" s="1136"/>
      <c r="AF630" s="93"/>
      <c r="AG630" s="93"/>
      <c r="AH630" s="93"/>
      <c r="AI630" s="93">
        <f>IF(ISBLANK(AH658),"",AH658)</f>
        <v>1590</v>
      </c>
      <c r="AJ630" s="1136" t="str">
        <f>IF(ISBLANK(AD686),"",AD686)</f>
        <v/>
      </c>
      <c r="AK630" s="93">
        <f>IF(ISBLANK(AI658),"",AI658)</f>
        <v>1827.29</v>
      </c>
      <c r="AL630" s="93">
        <f>IF(ISBLANK(AK658),"",AK658)</f>
        <v>1968.81</v>
      </c>
      <c r="AM630" s="93">
        <f>IF(ISBLANK(AL658),"",AL658)</f>
        <v>2041.3249999999998</v>
      </c>
      <c r="AN630" s="93">
        <f>IF(ISBLANK(AM658),"",AM658)</f>
        <v>1687.77</v>
      </c>
      <c r="AO630" s="1136" t="str">
        <f>IF(ISBLANK(AI686),"",AI686)</f>
        <v/>
      </c>
      <c r="AP630" s="93">
        <f>IF(ISBLANK(AN658),"",AN658)</f>
        <v>1298.2199999999998</v>
      </c>
      <c r="AQ630" s="93">
        <f>IF(ISBLANK(AP658),"",AP658)</f>
        <v>1517.5049999999999</v>
      </c>
      <c r="AR630" s="93">
        <f>IF(ISBLANK(AQ658),"",AQ658)</f>
        <v>1812.79</v>
      </c>
      <c r="AS630" s="93">
        <f>IF(ISBLANK(AR658),"",AR658)</f>
        <v>1903.0450000000001</v>
      </c>
      <c r="AT630" s="1136" t="str">
        <f>IF(ISBLANK(AN686),"",AN686)</f>
        <v/>
      </c>
      <c r="AU630" s="93">
        <f>IF(ISBLANK(AS658),"",AS658)</f>
        <v>1962.3000000000002</v>
      </c>
      <c r="AV630" s="93">
        <f>IF(ISBLANK(AU658),"",AU658)</f>
        <v>2409.3649999999998</v>
      </c>
      <c r="AW630" s="93">
        <f>IF(ISBLANK(AV658),"",AV658)</f>
        <v>2882.44</v>
      </c>
      <c r="AX630" s="93">
        <f>IF(ISBLANK(AW658),"",AW658)</f>
        <v>3144.48</v>
      </c>
      <c r="AY630" s="1136" t="str">
        <f>IF(ISBLANK(AS686),"",AS686)</f>
        <v/>
      </c>
      <c r="AZ630" s="93">
        <f>IF(ISBLANK(AX658),"",AX658)</f>
        <v>3498.53</v>
      </c>
      <c r="BA630" s="93">
        <f>IF(ISBLANK(AZ658),"",AZ658)</f>
        <v>4190.13</v>
      </c>
      <c r="BB630" s="93">
        <f>IF(ISBLANK(BA658),"",BA658)</f>
        <v>4556.68</v>
      </c>
      <c r="BC630" s="93">
        <f>IF(ISBLANK(BB658),"",BB658)</f>
        <v>4958.74</v>
      </c>
      <c r="BD630" s="1136" t="str">
        <f>IF(ISBLANK(AX686),"",AX686)</f>
        <v/>
      </c>
      <c r="BE630" s="93">
        <f>IF(ISBLANK(BC658),"",BC658)</f>
        <v>5427.81</v>
      </c>
      <c r="BF630" s="93">
        <f>IF(ISBLANK(BE658),"",BE658)</f>
        <v>5435.91</v>
      </c>
      <c r="BG630" s="93">
        <f>IF(ISBLANK(BF658),"",BF658)</f>
        <v>3835</v>
      </c>
      <c r="BH630" s="93">
        <f>IF(ISBLANK(BG658),"",BG658)</f>
        <v>3960.6000000000004</v>
      </c>
      <c r="BI630" s="1136" t="str">
        <f>IF(ISBLANK(BC686),"",BC686)</f>
        <v/>
      </c>
      <c r="BJ630" s="93">
        <f>IF(ISBLANK(BH658),"",BH658)</f>
        <v>4323.1499999999996</v>
      </c>
      <c r="BK630" s="93">
        <f>IF(ISBLANK(BJ658),"",BJ658)</f>
        <v>7701.0999999999995</v>
      </c>
      <c r="BL630" s="93">
        <f>IF(ISBLANK(BK658),"",BK658)</f>
        <v>11601.6</v>
      </c>
      <c r="BM630" s="93">
        <f>IF(ISBLANK(BL658),"",BL658)</f>
        <v>15102</v>
      </c>
      <c r="BN630" s="1136" t="str">
        <f>IF(ISBLANK(BH686),"",BH686)</f>
        <v/>
      </c>
      <c r="BO630" s="93">
        <f>IF(ISBLANK(BM658),"",BM658)</f>
        <v>18482.400000000001</v>
      </c>
      <c r="BP630" s="93">
        <f>IF(ISBLANK(BO658),"",BO658)</f>
        <v>21142.799999999999</v>
      </c>
      <c r="BQ630" s="93">
        <f>IF(ISBLANK(BP658),"",BP658)</f>
        <v>24378.25</v>
      </c>
      <c r="BR630" s="93">
        <f>IF(ISBLANK(BQ658),"",BQ658)</f>
        <v>27566.25</v>
      </c>
      <c r="BS630" s="1136" t="str">
        <f>IF(ISBLANK(BM686),"",BM686)</f>
        <v/>
      </c>
      <c r="BT630" s="93">
        <f>IF(ISBLANK(BR658),"",BR658)</f>
        <v>30534.299999999996</v>
      </c>
      <c r="BU630" s="93">
        <f>IF(ISBLANK(BT658),"",BT658)</f>
        <v>32404.5</v>
      </c>
      <c r="BV630" s="93">
        <f>IF(ISBLANK(BU658),"",BU658)</f>
        <v>39695.399999999994</v>
      </c>
      <c r="BW630" s="93">
        <f>IF(ISBLANK(BV658),"",BV658)</f>
        <v>48756.5</v>
      </c>
      <c r="BX630" s="1136" t="str">
        <f>IF(ISBLANK(BR686),"",BR686)</f>
        <v/>
      </c>
      <c r="BY630" s="522">
        <f>IF(ISBLANK(BW658),"",BW658)</f>
        <v>58500</v>
      </c>
      <c r="BZ630" s="93">
        <f>IF(ISBLANK(BY658),"",BY658)</f>
        <v>68259.100000000006</v>
      </c>
      <c r="CA630" s="93" t="str">
        <f>IF(ISBLANK(BZ658),"",BZ658)</f>
        <v/>
      </c>
      <c r="CB630" s="93" t="str">
        <f>IF(ISBLANK(CA658),"",CA658)</f>
        <v/>
      </c>
      <c r="CC630" s="1136" t="str">
        <f>IF(ISBLANK(BW686),"",BW686)</f>
        <v/>
      </c>
      <c r="CD630" s="93" t="str">
        <f>IF(ISBLANK(CB658),"",CB658)</f>
        <v/>
      </c>
      <c r="CE630" s="93" t="str">
        <f>IF(ISBLANK(CD658),"",CD658)</f>
        <v/>
      </c>
      <c r="CF630" s="93" t="str">
        <f>IF(ISBLANK(CE658),"",CE658)</f>
        <v/>
      </c>
      <c r="CG630" s="93" t="str">
        <f>IF(ISBLANK(CF658),"",CF658)</f>
        <v/>
      </c>
      <c r="CH630" s="1136" t="str">
        <f>IF(ISBLANK(CB686),"",CB686)</f>
        <v/>
      </c>
      <c r="CI630" s="1136"/>
      <c r="CJ630" s="1136"/>
      <c r="CK630" s="1136"/>
      <c r="CL630" s="93"/>
    </row>
    <row r="631" spans="1:90" ht="15" hidden="1" customHeight="1" outlineLevel="2" x14ac:dyDescent="0.3">
      <c r="A631" s="492" t="s">
        <v>955</v>
      </c>
      <c r="B631" s="428"/>
      <c r="C631" s="1136"/>
      <c r="D631" s="1136"/>
      <c r="E631" s="1136"/>
      <c r="F631" s="1136"/>
      <c r="G631" s="93"/>
      <c r="H631" s="93"/>
      <c r="I631" s="93"/>
      <c r="J631" s="93"/>
      <c r="K631" s="1136" t="str">
        <f>IF(ISBLANK(G686),"",G686)</f>
        <v/>
      </c>
      <c r="L631" s="93"/>
      <c r="M631" s="93"/>
      <c r="N631" s="93"/>
      <c r="O631" s="93"/>
      <c r="P631" s="1136"/>
      <c r="Q631" s="93"/>
      <c r="R631" s="93"/>
      <c r="S631" s="93"/>
      <c r="T631" s="93"/>
      <c r="U631" s="1136"/>
      <c r="V631" s="93"/>
      <c r="W631" s="93"/>
      <c r="X631" s="93"/>
      <c r="Y631" s="93"/>
      <c r="Z631" s="1136"/>
      <c r="AA631" s="93"/>
      <c r="AB631" s="93"/>
      <c r="AC631" s="93"/>
      <c r="AD631" s="93"/>
      <c r="AE631" s="1136"/>
      <c r="AF631" s="93"/>
      <c r="AG631" s="93"/>
      <c r="AH631" s="93"/>
      <c r="AI631" s="93"/>
      <c r="AJ631" s="1136" t="str">
        <f>IF(ISBLANK(AF686),"",AF686)</f>
        <v/>
      </c>
      <c r="AK631" s="93"/>
      <c r="AL631" s="93"/>
      <c r="AM631" s="93"/>
      <c r="AN631" s="93"/>
      <c r="AO631" s="1136" t="str">
        <f>IF(ISBLANK(AK686),"",AK686)</f>
        <v/>
      </c>
      <c r="AP631" s="93"/>
      <c r="AQ631" s="93"/>
      <c r="AR631" s="93"/>
      <c r="AS631" s="93"/>
      <c r="AT631" s="1136" t="str">
        <f>IF(ISBLANK(AP686),"",AP686)</f>
        <v/>
      </c>
      <c r="AU631" s="93"/>
      <c r="AV631" s="93"/>
      <c r="AW631" s="93"/>
      <c r="AX631" s="93"/>
      <c r="AY631" s="1136" t="str">
        <f>IF(ISBLANK(AU686),"",AU686)</f>
        <v/>
      </c>
      <c r="AZ631" s="93"/>
      <c r="BA631" s="93"/>
      <c r="BB631" s="93"/>
      <c r="BC631" s="93"/>
      <c r="BD631" s="1136" t="str">
        <f>IF(ISBLANK(AZ686),"",AZ686)</f>
        <v/>
      </c>
      <c r="BE631" s="93"/>
      <c r="BF631" s="93"/>
      <c r="BG631" s="93"/>
      <c r="BH631" s="93"/>
      <c r="BI631" s="1136" t="str">
        <f>IF(ISBLANK(BE686),"",BE686)</f>
        <v/>
      </c>
      <c r="BJ631" s="93"/>
      <c r="BK631" s="93"/>
      <c r="BL631" s="93"/>
      <c r="BM631" s="93"/>
      <c r="BN631" s="1136" t="str">
        <f>IF(ISBLANK(BJ686),"",BJ686)</f>
        <v/>
      </c>
      <c r="BO631" s="93"/>
      <c r="BP631" s="93"/>
      <c r="BQ631" s="93"/>
      <c r="BR631" s="93"/>
      <c r="BS631" s="1136" t="str">
        <f>IF(ISBLANK(BO686),"",BO686)</f>
        <v/>
      </c>
      <c r="BT631" s="93"/>
      <c r="BU631" s="93"/>
      <c r="BV631" s="93"/>
      <c r="BW631" s="93"/>
      <c r="BX631" s="1136" t="str">
        <f>IF(ISBLANK(BT686),"",BT686)</f>
        <v/>
      </c>
      <c r="BY631" s="522"/>
      <c r="BZ631" s="93"/>
      <c r="CA631" s="93"/>
      <c r="CB631" s="93"/>
      <c r="CC631" s="1136" t="str">
        <f>IF(ISBLANK(BY686),"",BY686)</f>
        <v/>
      </c>
      <c r="CD631" s="93"/>
      <c r="CE631" s="93"/>
      <c r="CF631" s="93"/>
      <c r="CG631" s="93"/>
      <c r="CH631" s="1136" t="str">
        <f>IF(ISBLANK(CD686),"",CD686)</f>
        <v/>
      </c>
      <c r="CI631" s="1136"/>
      <c r="CJ631" s="1136"/>
      <c r="CK631" s="1136"/>
      <c r="CL631" s="93"/>
    </row>
    <row r="632" spans="1:90" ht="15" hidden="1" customHeight="1" outlineLevel="2" x14ac:dyDescent="0.3">
      <c r="A632" s="492" t="s">
        <v>956</v>
      </c>
      <c r="B632" s="428"/>
      <c r="C632" s="1136"/>
      <c r="D632" s="1136"/>
      <c r="E632" s="1136"/>
      <c r="F632" s="1136"/>
      <c r="G632" s="93"/>
      <c r="H632" s="93"/>
      <c r="I632" s="93"/>
      <c r="J632" s="93"/>
      <c r="K632" s="1136" t="str">
        <f>IF(ISBLANK(H686),"",H686)</f>
        <v/>
      </c>
      <c r="L632" s="93"/>
      <c r="M632" s="93"/>
      <c r="N632" s="93"/>
      <c r="O632" s="93"/>
      <c r="P632" s="1136"/>
      <c r="Q632" s="93"/>
      <c r="R632" s="93"/>
      <c r="S632" s="93"/>
      <c r="T632" s="93"/>
      <c r="U632" s="1136"/>
      <c r="V632" s="93"/>
      <c r="W632" s="93"/>
      <c r="X632" s="93"/>
      <c r="Y632" s="93"/>
      <c r="Z632" s="1136"/>
      <c r="AA632" s="93"/>
      <c r="AB632" s="93"/>
      <c r="AC632" s="93"/>
      <c r="AD632" s="93"/>
      <c r="AE632" s="1136"/>
      <c r="AF632" s="93"/>
      <c r="AG632" s="93"/>
      <c r="AH632" s="93"/>
      <c r="AI632" s="93"/>
      <c r="AJ632" s="1136" t="str">
        <f>IF(ISBLANK(AG686),"",AG686)</f>
        <v/>
      </c>
      <c r="AK632" s="93"/>
      <c r="AL632" s="93"/>
      <c r="AM632" s="93"/>
      <c r="AN632" s="93"/>
      <c r="AO632" s="1136" t="str">
        <f>IF(ISBLANK(AL686),"",AL686)</f>
        <v/>
      </c>
      <c r="AP632" s="93"/>
      <c r="AQ632" s="93"/>
      <c r="AR632" s="93"/>
      <c r="AS632" s="93"/>
      <c r="AT632" s="1136" t="str">
        <f>IF(ISBLANK(AQ686),"",AQ686)</f>
        <v/>
      </c>
      <c r="AU632" s="93"/>
      <c r="AV632" s="93"/>
      <c r="AW632" s="93"/>
      <c r="AX632" s="93"/>
      <c r="AY632" s="1136" t="str">
        <f>IF(ISBLANK(AV686),"",AV686)</f>
        <v/>
      </c>
      <c r="AZ632" s="93"/>
      <c r="BA632" s="93"/>
      <c r="BB632" s="93"/>
      <c r="BC632" s="93"/>
      <c r="BD632" s="1136" t="str">
        <f>IF(ISBLANK(BA686),"",BA686)</f>
        <v/>
      </c>
      <c r="BE632" s="93"/>
      <c r="BF632" s="93"/>
      <c r="BG632" s="93"/>
      <c r="BH632" s="93"/>
      <c r="BI632" s="1136" t="str">
        <f>IF(ISBLANK(BF686),"",BF686)</f>
        <v/>
      </c>
      <c r="BJ632" s="93"/>
      <c r="BK632" s="93"/>
      <c r="BL632" s="93"/>
      <c r="BM632" s="93"/>
      <c r="BN632" s="1136" t="str">
        <f>IF(ISBLANK(BK686),"",BK686)</f>
        <v/>
      </c>
      <c r="BO632" s="93"/>
      <c r="BP632" s="93"/>
      <c r="BQ632" s="93"/>
      <c r="BR632" s="93"/>
      <c r="BS632" s="1136" t="str">
        <f>IF(ISBLANK(BP686),"",BP686)</f>
        <v/>
      </c>
      <c r="BT632" s="93"/>
      <c r="BU632" s="93"/>
      <c r="BV632" s="93"/>
      <c r="BW632" s="93"/>
      <c r="BX632" s="1136" t="str">
        <f>IF(ISBLANK(BU686),"",BU686)</f>
        <v/>
      </c>
      <c r="BY632" s="522"/>
      <c r="BZ632" s="93"/>
      <c r="CA632" s="93"/>
      <c r="CB632" s="93"/>
      <c r="CC632" s="1136" t="str">
        <f>IF(ISBLANK(BZ686),"",BZ686)</f>
        <v/>
      </c>
      <c r="CD632" s="93"/>
      <c r="CE632" s="93"/>
      <c r="CF632" s="93"/>
      <c r="CG632" s="93"/>
      <c r="CH632" s="1136" t="str">
        <f>IF(ISBLANK(CE686),"",CE686)</f>
        <v/>
      </c>
      <c r="CI632" s="1136"/>
      <c r="CJ632" s="1136"/>
      <c r="CK632" s="1136"/>
      <c r="CL632" s="93"/>
    </row>
    <row r="633" spans="1:90" ht="15" hidden="1" customHeight="1" outlineLevel="2" x14ac:dyDescent="0.3">
      <c r="A633" s="812" t="s">
        <v>957</v>
      </c>
      <c r="B633" s="718"/>
      <c r="C633" s="1131"/>
      <c r="D633" s="1131"/>
      <c r="E633" s="1131"/>
      <c r="F633" s="1131"/>
      <c r="G633" s="882"/>
      <c r="H633" s="882"/>
      <c r="I633" s="882"/>
      <c r="J633" s="882"/>
      <c r="K633" s="1131" t="str">
        <f>IF(ISBLANK(I686),"",I686)</f>
        <v/>
      </c>
      <c r="L633" s="882"/>
      <c r="M633" s="882"/>
      <c r="N633" s="882"/>
      <c r="O633" s="882"/>
      <c r="P633" s="1131"/>
      <c r="Q633" s="882"/>
      <c r="R633" s="882"/>
      <c r="S633" s="882"/>
      <c r="T633" s="882"/>
      <c r="U633" s="1131"/>
      <c r="V633" s="882"/>
      <c r="W633" s="882"/>
      <c r="X633" s="882"/>
      <c r="Y633" s="882"/>
      <c r="Z633" s="1131"/>
      <c r="AA633" s="882"/>
      <c r="AB633" s="882"/>
      <c r="AC633" s="882"/>
      <c r="AD633" s="882"/>
      <c r="AE633" s="1131"/>
      <c r="AF633" s="882"/>
      <c r="AG633" s="882"/>
      <c r="AH633" s="882"/>
      <c r="AI633" s="882"/>
      <c r="AJ633" s="1131" t="str">
        <f>IF(ISBLANK(AH686),"",AH686)</f>
        <v/>
      </c>
      <c r="AK633" s="882"/>
      <c r="AL633" s="882"/>
      <c r="AM633" s="882"/>
      <c r="AN633" s="882"/>
      <c r="AO633" s="1131" t="str">
        <f>IF(ISBLANK(AM686),"",AM686)</f>
        <v/>
      </c>
      <c r="AP633" s="882"/>
      <c r="AQ633" s="882"/>
      <c r="AR633" s="882"/>
      <c r="AS633" s="882"/>
      <c r="AT633" s="1131" t="str">
        <f>IF(ISBLANK(AR686),"",AR686)</f>
        <v/>
      </c>
      <c r="AU633" s="882"/>
      <c r="AV633" s="882"/>
      <c r="AW633" s="882"/>
      <c r="AX633" s="882"/>
      <c r="AY633" s="1131" t="str">
        <f>IF(ISBLANK(AW686),"",AW686)</f>
        <v/>
      </c>
      <c r="AZ633" s="882"/>
      <c r="BA633" s="882"/>
      <c r="BB633" s="882"/>
      <c r="BC633" s="882"/>
      <c r="BD633" s="1131" t="str">
        <f>IF(ISBLANK(BB686),"",BB686)</f>
        <v/>
      </c>
      <c r="BE633" s="882"/>
      <c r="BF633" s="882"/>
      <c r="BG633" s="882"/>
      <c r="BH633" s="882"/>
      <c r="BI633" s="1131" t="str">
        <f>IF(ISBLANK(BG686),"",BG686)</f>
        <v/>
      </c>
      <c r="BJ633" s="882"/>
      <c r="BK633" s="882"/>
      <c r="BL633" s="882"/>
      <c r="BM633" s="882"/>
      <c r="BN633" s="1131" t="str">
        <f>IF(ISBLANK(BL686),"",BL686)</f>
        <v/>
      </c>
      <c r="BO633" s="882"/>
      <c r="BP633" s="882"/>
      <c r="BQ633" s="882"/>
      <c r="BR633" s="882"/>
      <c r="BS633" s="1131" t="str">
        <f>IF(ISBLANK(BQ686),"",BQ686)</f>
        <v/>
      </c>
      <c r="BT633" s="882"/>
      <c r="BU633" s="882"/>
      <c r="BV633" s="882"/>
      <c r="BW633" s="882"/>
      <c r="BX633" s="1131" t="str">
        <f>IF(ISBLANK(BV686),"",BV686)</f>
        <v/>
      </c>
      <c r="BY633" s="877"/>
      <c r="BZ633" s="882"/>
      <c r="CA633" s="882"/>
      <c r="CB633" s="882"/>
      <c r="CC633" s="1131" t="str">
        <f>IF(ISBLANK(CA686),"",CA686)</f>
        <v/>
      </c>
      <c r="CD633" s="882"/>
      <c r="CE633" s="882"/>
      <c r="CF633" s="882"/>
      <c r="CG633" s="882"/>
      <c r="CH633" s="1131" t="str">
        <f>IF(ISBLANK(CF686),"",CF686)</f>
        <v/>
      </c>
      <c r="CI633" s="1131"/>
      <c r="CJ633" s="1131"/>
      <c r="CK633" s="1131"/>
      <c r="CL633" s="93"/>
    </row>
    <row r="634" spans="1:90" ht="15" hidden="1" customHeight="1" outlineLevel="1" collapsed="1" x14ac:dyDescent="0.3">
      <c r="A634" s="605" t="s">
        <v>958</v>
      </c>
      <c r="B634" s="428"/>
      <c r="C634" s="1136"/>
      <c r="D634" s="1136"/>
      <c r="E634" s="1136"/>
      <c r="F634" s="1136"/>
      <c r="G634" s="93" t="str">
        <f t="shared" ref="G634:O634" si="1516">IF(G633="",IF(G632="",IF(G631="",IF(G630="","",G630),G631),G632),G633)</f>
        <v/>
      </c>
      <c r="H634" s="93" t="str">
        <f t="shared" si="1516"/>
        <v/>
      </c>
      <c r="I634" s="93" t="str">
        <f t="shared" si="1516"/>
        <v/>
      </c>
      <c r="J634" s="93" t="str">
        <f t="shared" si="1516"/>
        <v/>
      </c>
      <c r="K634" s="1136" t="str">
        <f t="shared" si="1516"/>
        <v/>
      </c>
      <c r="L634" s="93" t="str">
        <f t="shared" si="1516"/>
        <v/>
      </c>
      <c r="M634" s="93" t="str">
        <f t="shared" si="1516"/>
        <v/>
      </c>
      <c r="N634" s="93" t="str">
        <f t="shared" si="1516"/>
        <v/>
      </c>
      <c r="O634" s="93" t="str">
        <f t="shared" si="1516"/>
        <v/>
      </c>
      <c r="P634" s="1136"/>
      <c r="Q634" s="93"/>
      <c r="R634" s="93"/>
      <c r="S634" s="93"/>
      <c r="T634" s="93"/>
      <c r="U634" s="1136"/>
      <c r="V634" s="93"/>
      <c r="W634" s="93"/>
      <c r="X634" s="93"/>
      <c r="Y634" s="93"/>
      <c r="Z634" s="1136"/>
      <c r="AA634" s="93"/>
      <c r="AB634" s="93"/>
      <c r="AC634" s="93"/>
      <c r="AD634" s="93"/>
      <c r="AE634" s="1136"/>
      <c r="AF634" s="93"/>
      <c r="AG634" s="93"/>
      <c r="AH634" s="93"/>
      <c r="AI634" s="93">
        <f t="shared" ref="AI634:AR634" si="1517">IF(AI633="",IF(AI632="",IF(AI631="",IF(AI630="","",AI630),AI631),AI632),AI633)</f>
        <v>1590</v>
      </c>
      <c r="AJ634" s="1136" t="str">
        <f t="shared" si="1517"/>
        <v/>
      </c>
      <c r="AK634" s="93">
        <f t="shared" si="1517"/>
        <v>1827.29</v>
      </c>
      <c r="AL634" s="93">
        <f t="shared" si="1517"/>
        <v>1968.81</v>
      </c>
      <c r="AM634" s="93">
        <f t="shared" si="1517"/>
        <v>2041.3249999999998</v>
      </c>
      <c r="AN634" s="93">
        <f t="shared" si="1517"/>
        <v>1687.77</v>
      </c>
      <c r="AO634" s="1136" t="str">
        <f t="shared" si="1517"/>
        <v/>
      </c>
      <c r="AP634" s="93">
        <f t="shared" si="1517"/>
        <v>1298.2199999999998</v>
      </c>
      <c r="AQ634" s="93">
        <f t="shared" si="1517"/>
        <v>1517.5049999999999</v>
      </c>
      <c r="AR634" s="93">
        <f t="shared" si="1517"/>
        <v>1812.79</v>
      </c>
      <c r="AS634" s="93">
        <f t="shared" ref="AS634:BL634" si="1518">IF(AS633="",IF(AS632="",IF(AS631="",IF(AS630="","",AS630),AS631),AS632),AS633)</f>
        <v>1903.0450000000001</v>
      </c>
      <c r="AT634" s="1136" t="str">
        <f t="shared" si="1518"/>
        <v/>
      </c>
      <c r="AU634" s="93">
        <f t="shared" si="1518"/>
        <v>1962.3000000000002</v>
      </c>
      <c r="AV634" s="93">
        <f t="shared" si="1518"/>
        <v>2409.3649999999998</v>
      </c>
      <c r="AW634" s="93">
        <f t="shared" si="1518"/>
        <v>2882.44</v>
      </c>
      <c r="AX634" s="93">
        <f t="shared" si="1518"/>
        <v>3144.48</v>
      </c>
      <c r="AY634" s="1136" t="str">
        <f t="shared" si="1518"/>
        <v/>
      </c>
      <c r="AZ634" s="93">
        <f t="shared" si="1518"/>
        <v>3498.53</v>
      </c>
      <c r="BA634" s="93">
        <f t="shared" si="1518"/>
        <v>4190.13</v>
      </c>
      <c r="BB634" s="93">
        <f t="shared" si="1518"/>
        <v>4556.68</v>
      </c>
      <c r="BC634" s="93">
        <f t="shared" si="1518"/>
        <v>4958.74</v>
      </c>
      <c r="BD634" s="1136" t="str">
        <f t="shared" si="1518"/>
        <v/>
      </c>
      <c r="BE634" s="93">
        <f t="shared" si="1518"/>
        <v>5427.81</v>
      </c>
      <c r="BF634" s="93">
        <f t="shared" si="1518"/>
        <v>5435.91</v>
      </c>
      <c r="BG634" s="93">
        <f t="shared" si="1518"/>
        <v>3835</v>
      </c>
      <c r="BH634" s="93">
        <f t="shared" si="1518"/>
        <v>3960.6000000000004</v>
      </c>
      <c r="BI634" s="1136" t="str">
        <f t="shared" si="1518"/>
        <v/>
      </c>
      <c r="BJ634" s="93">
        <f t="shared" si="1518"/>
        <v>4323.1499999999996</v>
      </c>
      <c r="BK634" s="93">
        <f t="shared" si="1518"/>
        <v>7701.0999999999995</v>
      </c>
      <c r="BL634" s="93">
        <f t="shared" si="1518"/>
        <v>11601.6</v>
      </c>
      <c r="BM634" s="93">
        <f t="shared" ref="BM634:BO634" si="1519">IF(BM633="",IF(BM632="",IF(BM631="",IF(BM630="","",BM630),BM631),BM632),BM633)</f>
        <v>15102</v>
      </c>
      <c r="BN634" s="1136" t="str">
        <f t="shared" si="1519"/>
        <v/>
      </c>
      <c r="BO634" s="93">
        <f t="shared" si="1519"/>
        <v>18482.400000000001</v>
      </c>
      <c r="BP634" s="93">
        <f t="shared" ref="BP634:CC634" si="1520">IF(BP633="",IF(BP632="",IF(BP631="",IF(BP630="","",BP630),BP631),BP632),BP633)</f>
        <v>21142.799999999999</v>
      </c>
      <c r="BQ634" s="93">
        <f t="shared" si="1520"/>
        <v>24378.25</v>
      </c>
      <c r="BR634" s="93">
        <f t="shared" si="1520"/>
        <v>27566.25</v>
      </c>
      <c r="BS634" s="1136" t="str">
        <f t="shared" si="1520"/>
        <v/>
      </c>
      <c r="BT634" s="93">
        <f t="shared" ref="BT634:CB634" si="1521">IF(BT633="",IF(BT632="",IF(BT631="",IF(BT630="","",BT630),BT631),BT632),BT633)</f>
        <v>30534.299999999996</v>
      </c>
      <c r="BU634" s="93">
        <f t="shared" si="1521"/>
        <v>32404.5</v>
      </c>
      <c r="BV634" s="93">
        <f t="shared" si="1521"/>
        <v>39695.399999999994</v>
      </c>
      <c r="BW634" s="93">
        <f t="shared" si="1521"/>
        <v>48756.5</v>
      </c>
      <c r="BX634" s="1136" t="str">
        <f t="shared" si="1521"/>
        <v/>
      </c>
      <c r="BY634" s="522">
        <f>IF(BY633="",IF(BY632="",IF(BY631="",IF(BY630="","",BY630),BY631),BY632),BY633)</f>
        <v>58500</v>
      </c>
      <c r="BZ634" s="93">
        <f t="shared" si="1521"/>
        <v>68259.100000000006</v>
      </c>
      <c r="CA634" s="93" t="str">
        <f t="shared" si="1521"/>
        <v/>
      </c>
      <c r="CB634" s="93" t="str">
        <f t="shared" si="1521"/>
        <v/>
      </c>
      <c r="CC634" s="1136" t="str">
        <f t="shared" si="1520"/>
        <v/>
      </c>
      <c r="CD634" s="93" t="str">
        <f>IF(CD633="",IF(CD632="",IF(CD631="",IF(CD630="","",CD630),CD631),CD632),CD633)</f>
        <v/>
      </c>
      <c r="CE634" s="93" t="str">
        <f>IF(CE633="",IF(CE632="",IF(CE631="",IF(CE630="","",CE630),CE631),CE632),CE633)</f>
        <v/>
      </c>
      <c r="CF634" s="93" t="str">
        <f>IF(CF633="",IF(CF632="",IF(CF631="",IF(CF630="","",CF630),CF631),CF632),CF633)</f>
        <v/>
      </c>
      <c r="CG634" s="93" t="str">
        <f>IF(CG633="",IF(CG632="",IF(CG631="",IF(CG630="","",CG630),CG631),CG632),CG633)</f>
        <v/>
      </c>
      <c r="CH634" s="1136" t="str">
        <f>IF(CH633="",IF(CH632="",IF(CH631="",IF(CH630="","",CH630),CH631),CH632),CH633)</f>
        <v/>
      </c>
      <c r="CI634" s="1136"/>
      <c r="CJ634" s="1136"/>
      <c r="CK634" s="1136"/>
      <c r="CL634" s="93"/>
    </row>
    <row r="635" spans="1:90" ht="15" hidden="1" customHeight="1" outlineLevel="1" x14ac:dyDescent="0.3">
      <c r="A635" s="811" t="s">
        <v>959</v>
      </c>
      <c r="B635" s="718"/>
      <c r="C635" s="1131">
        <f t="shared" ref="C635:AH635" si="1522">+C378</f>
        <v>1368.0579999999998</v>
      </c>
      <c r="D635" s="1131">
        <f t="shared" si="1522"/>
        <v>1284.2130000000002</v>
      </c>
      <c r="E635" s="1131">
        <f t="shared" si="1522"/>
        <v>1598.5910000000001</v>
      </c>
      <c r="F635" s="1131">
        <f t="shared" si="1522"/>
        <v>2075.1390000000001</v>
      </c>
      <c r="G635" s="882">
        <f t="shared" si="1522"/>
        <v>465.89</v>
      </c>
      <c r="H635" s="882">
        <f t="shared" si="1522"/>
        <v>543.36800000000005</v>
      </c>
      <c r="I635" s="882">
        <f t="shared" si="1522"/>
        <v>639.14699999999993</v>
      </c>
      <c r="J635" s="882">
        <f t="shared" si="1522"/>
        <v>588.42799999999988</v>
      </c>
      <c r="K635" s="1131">
        <f t="shared" si="1522"/>
        <v>2236.8329999999996</v>
      </c>
      <c r="L635" s="882">
        <f t="shared" si="1522"/>
        <v>521.221</v>
      </c>
      <c r="M635" s="882">
        <f t="shared" si="1522"/>
        <v>549.99599999999998</v>
      </c>
      <c r="N635" s="882">
        <f t="shared" si="1522"/>
        <v>587.50500000000011</v>
      </c>
      <c r="O635" s="882">
        <f t="shared" si="1522"/>
        <v>615.68700000000058</v>
      </c>
      <c r="P635" s="1131">
        <f t="shared" si="1522"/>
        <v>2274.4090000000006</v>
      </c>
      <c r="Q635" s="882">
        <f t="shared" si="1522"/>
        <v>607</v>
      </c>
      <c r="R635" s="882">
        <f t="shared" si="1522"/>
        <v>622</v>
      </c>
      <c r="S635" s="882">
        <f t="shared" si="1522"/>
        <v>680</v>
      </c>
      <c r="T635" s="882">
        <f t="shared" si="1522"/>
        <v>704</v>
      </c>
      <c r="U635" s="1131">
        <f t="shared" si="1522"/>
        <v>2611</v>
      </c>
      <c r="V635" s="882">
        <f t="shared" si="1522"/>
        <v>655</v>
      </c>
      <c r="W635" s="882">
        <f t="shared" si="1522"/>
        <v>652</v>
      </c>
      <c r="X635" s="882">
        <f t="shared" si="1522"/>
        <v>738</v>
      </c>
      <c r="Y635" s="882">
        <f t="shared" si="1522"/>
        <v>801</v>
      </c>
      <c r="Z635" s="1131">
        <f t="shared" si="1522"/>
        <v>2846</v>
      </c>
      <c r="AA635" s="882">
        <f t="shared" si="1522"/>
        <v>765</v>
      </c>
      <c r="AB635" s="882">
        <f t="shared" si="1522"/>
        <v>830</v>
      </c>
      <c r="AC635" s="882">
        <f t="shared" si="1522"/>
        <v>1186</v>
      </c>
      <c r="AD635" s="882">
        <f t="shared" si="1522"/>
        <v>1307</v>
      </c>
      <c r="AE635" s="1131">
        <f t="shared" si="1522"/>
        <v>4088</v>
      </c>
      <c r="AF635" s="882">
        <f t="shared" si="1522"/>
        <v>1154</v>
      </c>
      <c r="AG635" s="882">
        <f t="shared" si="1522"/>
        <v>1306</v>
      </c>
      <c r="AH635" s="882">
        <f t="shared" si="1522"/>
        <v>1575</v>
      </c>
      <c r="AI635" s="882">
        <f t="shared" ref="AI635:BL635" si="1523">+AI378</f>
        <v>1809</v>
      </c>
      <c r="AJ635" s="1131">
        <f t="shared" si="1523"/>
        <v>5844</v>
      </c>
      <c r="AK635" s="882">
        <f t="shared" si="1523"/>
        <v>2076</v>
      </c>
      <c r="AL635" s="882">
        <f t="shared" si="1523"/>
        <v>1983</v>
      </c>
      <c r="AM635" s="882">
        <f t="shared" si="1523"/>
        <v>1940</v>
      </c>
      <c r="AN635" s="882">
        <f t="shared" si="1523"/>
        <v>1234</v>
      </c>
      <c r="AO635" s="1131">
        <f t="shared" si="1523"/>
        <v>7233</v>
      </c>
      <c r="AP635" s="882">
        <f t="shared" si="1523"/>
        <v>1310</v>
      </c>
      <c r="AQ635" s="882">
        <f t="shared" si="1523"/>
        <v>1551</v>
      </c>
      <c r="AR635" s="882">
        <f t="shared" si="1523"/>
        <v>1931</v>
      </c>
      <c r="AS635" s="882">
        <f t="shared" si="1523"/>
        <v>2030</v>
      </c>
      <c r="AT635" s="1131">
        <f t="shared" si="1523"/>
        <v>6821</v>
      </c>
      <c r="AU635" s="882">
        <f t="shared" si="1523"/>
        <v>2026</v>
      </c>
      <c r="AV635" s="882">
        <f t="shared" si="1523"/>
        <v>2551</v>
      </c>
      <c r="AW635" s="882">
        <f t="shared" si="1523"/>
        <v>3095</v>
      </c>
      <c r="AX635" s="882">
        <f t="shared" si="1523"/>
        <v>3276</v>
      </c>
      <c r="AY635" s="1131">
        <f t="shared" si="1523"/>
        <v>10947</v>
      </c>
      <c r="AZ635" s="882">
        <f t="shared" si="1523"/>
        <v>3746</v>
      </c>
      <c r="BA635" s="882">
        <f t="shared" si="1523"/>
        <v>4337</v>
      </c>
      <c r="BB635" s="882">
        <f t="shared" si="1523"/>
        <v>4761</v>
      </c>
      <c r="BC635" s="882">
        <f t="shared" si="1523"/>
        <v>5124</v>
      </c>
      <c r="BD635" s="1131">
        <f t="shared" si="1523"/>
        <v>17969</v>
      </c>
      <c r="BE635" s="882">
        <f t="shared" si="1523"/>
        <v>5563</v>
      </c>
      <c r="BF635" s="882">
        <f t="shared" si="1523"/>
        <v>3074</v>
      </c>
      <c r="BG635" s="882">
        <f t="shared" si="1523"/>
        <v>3329</v>
      </c>
      <c r="BH635" s="882">
        <f t="shared" si="1523"/>
        <v>3999</v>
      </c>
      <c r="BI635" s="1131">
        <f t="shared" si="1523"/>
        <v>15965</v>
      </c>
      <c r="BJ635" s="882">
        <f t="shared" si="1523"/>
        <v>4802</v>
      </c>
      <c r="BK635" s="882">
        <f t="shared" si="1523"/>
        <v>9614</v>
      </c>
      <c r="BL635" s="882">
        <f t="shared" si="1523"/>
        <v>13583</v>
      </c>
      <c r="BM635" s="882">
        <f t="shared" ref="BM635:BS635" si="1524">+BM378</f>
        <v>16959</v>
      </c>
      <c r="BN635" s="1131">
        <f t="shared" si="1524"/>
        <v>44959</v>
      </c>
      <c r="BO635" s="882">
        <f t="shared" si="1524"/>
        <v>20560</v>
      </c>
      <c r="BP635" s="882">
        <f t="shared" si="1524"/>
        <v>22729</v>
      </c>
      <c r="BQ635" s="882">
        <f t="shared" si="1524"/>
        <v>26322</v>
      </c>
      <c r="BR635" s="882">
        <f t="shared" si="1524"/>
        <v>28894</v>
      </c>
      <c r="BS635" s="1131">
        <f t="shared" si="1524"/>
        <v>98505</v>
      </c>
      <c r="BT635" s="882">
        <f t="shared" ref="BT635:CK635" si="1525">+BT378</f>
        <v>26858</v>
      </c>
      <c r="BU635" s="882">
        <f t="shared" si="1525"/>
        <v>33960</v>
      </c>
      <c r="BV635" s="882">
        <f t="shared" si="1525"/>
        <v>41967</v>
      </c>
      <c r="BW635" s="882">
        <f t="shared" si="1525"/>
        <v>51209</v>
      </c>
      <c r="BX635" s="1131">
        <f t="shared" si="1525"/>
        <v>153994</v>
      </c>
      <c r="BY635" s="877">
        <f>+BY378</f>
        <v>61232</v>
      </c>
      <c r="BZ635" s="882">
        <f t="shared" si="1525"/>
        <v>68157.005652838066</v>
      </c>
      <c r="CA635" s="882">
        <f t="shared" si="1525"/>
        <v>68302.70176381433</v>
      </c>
      <c r="CB635" s="882">
        <f t="shared" si="1525"/>
        <v>71597.673106939983</v>
      </c>
      <c r="CC635" s="1131">
        <f t="shared" si="1525"/>
        <v>269289.38052359241</v>
      </c>
      <c r="CD635" s="882">
        <f t="shared" si="1525"/>
        <v>79169.491069043681</v>
      </c>
      <c r="CE635" s="882">
        <f t="shared" si="1525"/>
        <v>88195.767513859086</v>
      </c>
      <c r="CF635" s="882">
        <f t="shared" si="1525"/>
        <v>85211.35846744552</v>
      </c>
      <c r="CG635" s="882">
        <f t="shared" si="1525"/>
        <v>89067.635362046974</v>
      </c>
      <c r="CH635" s="1131">
        <f t="shared" si="1525"/>
        <v>341644.25241239526</v>
      </c>
      <c r="CI635" s="1131">
        <f t="shared" si="1525"/>
        <v>407503.69215651642</v>
      </c>
      <c r="CJ635" s="1131">
        <f t="shared" si="1525"/>
        <v>478681.27529493428</v>
      </c>
      <c r="CK635" s="1131">
        <f t="shared" si="1525"/>
        <v>562453.51525329216</v>
      </c>
      <c r="CL635" s="93"/>
    </row>
    <row r="636" spans="1:90" ht="15" hidden="1" customHeight="1" outlineLevel="1" x14ac:dyDescent="0.3">
      <c r="A636" s="813" t="s">
        <v>960</v>
      </c>
      <c r="B636" s="396"/>
      <c r="C636" s="1192"/>
      <c r="D636" s="1192"/>
      <c r="E636" s="1192"/>
      <c r="F636" s="1192"/>
      <c r="G636" s="398" t="str">
        <f t="shared" ref="G636:O636" si="1526">IFERROR(G635-G634,"")</f>
        <v/>
      </c>
      <c r="H636" s="398" t="str">
        <f t="shared" si="1526"/>
        <v/>
      </c>
      <c r="I636" s="398" t="str">
        <f t="shared" si="1526"/>
        <v/>
      </c>
      <c r="J636" s="398" t="str">
        <f t="shared" si="1526"/>
        <v/>
      </c>
      <c r="K636" s="1192" t="str">
        <f t="shared" si="1526"/>
        <v/>
      </c>
      <c r="L636" s="398" t="str">
        <f t="shared" si="1526"/>
        <v/>
      </c>
      <c r="M636" s="398" t="str">
        <f t="shared" si="1526"/>
        <v/>
      </c>
      <c r="N636" s="398" t="str">
        <f t="shared" si="1526"/>
        <v/>
      </c>
      <c r="O636" s="398" t="str">
        <f t="shared" si="1526"/>
        <v/>
      </c>
      <c r="P636" s="1192"/>
      <c r="Q636" s="398"/>
      <c r="R636" s="398"/>
      <c r="S636" s="398"/>
      <c r="T636" s="398"/>
      <c r="U636" s="1192"/>
      <c r="V636" s="398"/>
      <c r="W636" s="398"/>
      <c r="X636" s="398"/>
      <c r="Y636" s="398"/>
      <c r="Z636" s="1192"/>
      <c r="AA636" s="398"/>
      <c r="AB636" s="398"/>
      <c r="AC636" s="398"/>
      <c r="AD636" s="398"/>
      <c r="AE636" s="1192"/>
      <c r="AF636" s="398"/>
      <c r="AG636" s="398"/>
      <c r="AH636" s="398"/>
      <c r="AI636" s="398">
        <f t="shared" ref="AI636:AR636" si="1527">IFERROR(AI635-AI634,"")</f>
        <v>219</v>
      </c>
      <c r="AJ636" s="1192" t="str">
        <f t="shared" si="1527"/>
        <v/>
      </c>
      <c r="AK636" s="398">
        <f t="shared" si="1527"/>
        <v>248.71000000000004</v>
      </c>
      <c r="AL636" s="398">
        <f t="shared" si="1527"/>
        <v>14.190000000000055</v>
      </c>
      <c r="AM636" s="398">
        <f t="shared" si="1527"/>
        <v>-101.32499999999982</v>
      </c>
      <c r="AN636" s="398">
        <f t="shared" si="1527"/>
        <v>-453.77</v>
      </c>
      <c r="AO636" s="1192" t="str">
        <f t="shared" si="1527"/>
        <v/>
      </c>
      <c r="AP636" s="398">
        <f t="shared" si="1527"/>
        <v>11.7800000000002</v>
      </c>
      <c r="AQ636" s="398">
        <f t="shared" si="1527"/>
        <v>33.495000000000118</v>
      </c>
      <c r="AR636" s="398">
        <f t="shared" si="1527"/>
        <v>118.21000000000004</v>
      </c>
      <c r="AS636" s="398">
        <f t="shared" ref="AS636:BL636" si="1528">IFERROR(AS635-AS634,"")</f>
        <v>126.95499999999993</v>
      </c>
      <c r="AT636" s="1192" t="str">
        <f t="shared" si="1528"/>
        <v/>
      </c>
      <c r="AU636" s="398">
        <f t="shared" si="1528"/>
        <v>63.699999999999818</v>
      </c>
      <c r="AV636" s="398">
        <f t="shared" si="1528"/>
        <v>141.63500000000022</v>
      </c>
      <c r="AW636" s="398">
        <f t="shared" si="1528"/>
        <v>212.55999999999995</v>
      </c>
      <c r="AX636" s="398">
        <f t="shared" si="1528"/>
        <v>131.51999999999998</v>
      </c>
      <c r="AY636" s="1192" t="str">
        <f t="shared" si="1528"/>
        <v/>
      </c>
      <c r="AZ636" s="398">
        <f t="shared" si="1528"/>
        <v>247.4699999999998</v>
      </c>
      <c r="BA636" s="398">
        <f t="shared" si="1528"/>
        <v>146.86999999999989</v>
      </c>
      <c r="BB636" s="398">
        <f t="shared" si="1528"/>
        <v>204.31999999999971</v>
      </c>
      <c r="BC636" s="398">
        <f t="shared" si="1528"/>
        <v>165.26000000000022</v>
      </c>
      <c r="BD636" s="1192" t="str">
        <f t="shared" si="1528"/>
        <v/>
      </c>
      <c r="BE636" s="398">
        <f t="shared" si="1528"/>
        <v>135.1899999999996</v>
      </c>
      <c r="BF636" s="398">
        <f t="shared" si="1528"/>
        <v>-2361.91</v>
      </c>
      <c r="BG636" s="398">
        <f t="shared" si="1528"/>
        <v>-506</v>
      </c>
      <c r="BH636" s="398">
        <f t="shared" si="1528"/>
        <v>38.399999999999636</v>
      </c>
      <c r="BI636" s="1192" t="str">
        <f t="shared" si="1528"/>
        <v/>
      </c>
      <c r="BJ636" s="398">
        <f t="shared" si="1528"/>
        <v>478.85000000000036</v>
      </c>
      <c r="BK636" s="398">
        <f t="shared" si="1528"/>
        <v>1912.9000000000005</v>
      </c>
      <c r="BL636" s="398">
        <f t="shared" si="1528"/>
        <v>1981.3999999999996</v>
      </c>
      <c r="BM636" s="398">
        <f t="shared" ref="BM636:BO636" si="1529">IFERROR(BM635-BM634,"")</f>
        <v>1857</v>
      </c>
      <c r="BN636" s="1192" t="str">
        <f t="shared" si="1529"/>
        <v/>
      </c>
      <c r="BO636" s="398">
        <f t="shared" si="1529"/>
        <v>2077.5999999999985</v>
      </c>
      <c r="BP636" s="398">
        <f t="shared" ref="BP636:CC636" si="1530">IFERROR(BP635-BP634,"")</f>
        <v>1586.2000000000007</v>
      </c>
      <c r="BQ636" s="398">
        <f t="shared" si="1530"/>
        <v>1943.75</v>
      </c>
      <c r="BR636" s="398">
        <f t="shared" si="1530"/>
        <v>1327.75</v>
      </c>
      <c r="BS636" s="1192" t="str">
        <f t="shared" si="1530"/>
        <v/>
      </c>
      <c r="BT636" s="398">
        <f t="shared" ref="BT636:CB636" si="1531">IFERROR(BT635-BT634,"")</f>
        <v>-3676.2999999999956</v>
      </c>
      <c r="BU636" s="398">
        <f t="shared" si="1531"/>
        <v>1555.5</v>
      </c>
      <c r="BV636" s="398">
        <f t="shared" si="1531"/>
        <v>2271.6000000000058</v>
      </c>
      <c r="BW636" s="398">
        <f t="shared" si="1531"/>
        <v>2452.5</v>
      </c>
      <c r="BX636" s="1192" t="str">
        <f t="shared" si="1531"/>
        <v/>
      </c>
      <c r="BY636" s="1007">
        <f>IFERROR(BY635-BY634,"")</f>
        <v>2732</v>
      </c>
      <c r="BZ636" s="398">
        <f t="shared" si="1531"/>
        <v>-102.09434716193937</v>
      </c>
      <c r="CA636" s="398" t="str">
        <f t="shared" si="1531"/>
        <v/>
      </c>
      <c r="CB636" s="398" t="str">
        <f t="shared" si="1531"/>
        <v/>
      </c>
      <c r="CC636" s="1192" t="str">
        <f t="shared" si="1530"/>
        <v/>
      </c>
      <c r="CD636" s="398" t="str">
        <f>IFERROR(CD635-CD634,"")</f>
        <v/>
      </c>
      <c r="CE636" s="398" t="str">
        <f>IFERROR(CE635-CE634,"")</f>
        <v/>
      </c>
      <c r="CF636" s="398" t="str">
        <f>IFERROR(CF635-CF634,"")</f>
        <v/>
      </c>
      <c r="CG636" s="398" t="str">
        <f>IFERROR(CG635-CG634,"")</f>
        <v/>
      </c>
      <c r="CH636" s="1192" t="str">
        <f>IFERROR(CH635-CH634,"")</f>
        <v/>
      </c>
      <c r="CI636" s="1192"/>
      <c r="CJ636" s="1192"/>
      <c r="CK636" s="1192"/>
      <c r="CL636" s="93"/>
    </row>
    <row r="637" spans="1:90" ht="15" hidden="1" customHeight="1" outlineLevel="1" x14ac:dyDescent="0.3">
      <c r="A637" s="798" t="s">
        <v>961</v>
      </c>
      <c r="B637" s="797"/>
      <c r="C637" s="1193"/>
      <c r="D637" s="1193"/>
      <c r="E637" s="1193"/>
      <c r="F637" s="1193"/>
      <c r="G637" s="792" t="str">
        <f t="shared" ref="G637:O637" si="1532">IFERROR(G636/ABS(G634),"")</f>
        <v/>
      </c>
      <c r="H637" s="792" t="str">
        <f t="shared" si="1532"/>
        <v/>
      </c>
      <c r="I637" s="792" t="str">
        <f t="shared" si="1532"/>
        <v/>
      </c>
      <c r="J637" s="792" t="str">
        <f t="shared" si="1532"/>
        <v/>
      </c>
      <c r="K637" s="1193" t="str">
        <f t="shared" si="1532"/>
        <v/>
      </c>
      <c r="L637" s="792" t="str">
        <f t="shared" si="1532"/>
        <v/>
      </c>
      <c r="M637" s="792" t="str">
        <f t="shared" si="1532"/>
        <v/>
      </c>
      <c r="N637" s="792" t="str">
        <f t="shared" si="1532"/>
        <v/>
      </c>
      <c r="O637" s="792" t="str">
        <f t="shared" si="1532"/>
        <v/>
      </c>
      <c r="P637" s="1193"/>
      <c r="Q637" s="792"/>
      <c r="R637" s="792"/>
      <c r="S637" s="792"/>
      <c r="T637" s="792"/>
      <c r="U637" s="1193"/>
      <c r="V637" s="792"/>
      <c r="W637" s="792"/>
      <c r="X637" s="792"/>
      <c r="Y637" s="792"/>
      <c r="Z637" s="1193"/>
      <c r="AA637" s="792"/>
      <c r="AB637" s="792"/>
      <c r="AC637" s="792"/>
      <c r="AD637" s="792"/>
      <c r="AE637" s="1193"/>
      <c r="AF637" s="792"/>
      <c r="AG637" s="792"/>
      <c r="AH637" s="792"/>
      <c r="AI637" s="792">
        <f t="shared" ref="AI637:AR637" si="1533">IFERROR(AI636/ABS(AI634),"")</f>
        <v>0.13773584905660377</v>
      </c>
      <c r="AJ637" s="1193" t="str">
        <f t="shared" si="1533"/>
        <v/>
      </c>
      <c r="AK637" s="792">
        <f t="shared" si="1533"/>
        <v>0.13610866364944813</v>
      </c>
      <c r="AL637" s="792">
        <f t="shared" si="1533"/>
        <v>7.20739939354232E-3</v>
      </c>
      <c r="AM637" s="792">
        <f t="shared" si="1533"/>
        <v>-4.9636878008156381E-2</v>
      </c>
      <c r="AN637" s="792">
        <f t="shared" si="1533"/>
        <v>-0.26885772350497994</v>
      </c>
      <c r="AO637" s="1193" t="str">
        <f t="shared" si="1533"/>
        <v/>
      </c>
      <c r="AP637" s="792">
        <f t="shared" si="1533"/>
        <v>9.0739628106177705E-3</v>
      </c>
      <c r="AQ637" s="792">
        <f t="shared" si="1533"/>
        <v>2.2072414917908092E-2</v>
      </c>
      <c r="AR637" s="792">
        <f t="shared" si="1533"/>
        <v>6.5208876924519682E-2</v>
      </c>
      <c r="AS637" s="792">
        <f t="shared" ref="AS637:BL637" si="1534">IFERROR(AS636/ABS(AS634),"")</f>
        <v>6.6711507084698432E-2</v>
      </c>
      <c r="AT637" s="1193" t="str">
        <f t="shared" si="1534"/>
        <v/>
      </c>
      <c r="AU637" s="792">
        <f t="shared" si="1534"/>
        <v>3.2461906945930701E-2</v>
      </c>
      <c r="AV637" s="792">
        <f t="shared" si="1534"/>
        <v>5.878519858966999E-2</v>
      </c>
      <c r="AW637" s="792">
        <f t="shared" si="1534"/>
        <v>7.3743078780477631E-2</v>
      </c>
      <c r="AX637" s="792">
        <f t="shared" si="1534"/>
        <v>4.1825675469393982E-2</v>
      </c>
      <c r="AY637" s="1193" t="str">
        <f t="shared" si="1534"/>
        <v/>
      </c>
      <c r="AZ637" s="792">
        <f t="shared" si="1534"/>
        <v>7.0735423163442876E-2</v>
      </c>
      <c r="BA637" s="792">
        <f t="shared" si="1534"/>
        <v>3.5051418452410756E-2</v>
      </c>
      <c r="BB637" s="792">
        <f t="shared" si="1534"/>
        <v>4.4839663965869823E-2</v>
      </c>
      <c r="BC637" s="792">
        <f t="shared" si="1534"/>
        <v>3.3327014523850861E-2</v>
      </c>
      <c r="BD637" s="1193" t="str">
        <f t="shared" si="1534"/>
        <v/>
      </c>
      <c r="BE637" s="792">
        <f t="shared" si="1534"/>
        <v>2.4906914575123226E-2</v>
      </c>
      <c r="BF637" s="792">
        <f t="shared" si="1534"/>
        <v>-0.43450130704886575</v>
      </c>
      <c r="BG637" s="792">
        <f t="shared" si="1534"/>
        <v>-0.13194263363754888</v>
      </c>
      <c r="BH637" s="792">
        <f t="shared" si="1534"/>
        <v>9.6955006817147985E-3</v>
      </c>
      <c r="BI637" s="1193" t="str">
        <f t="shared" si="1534"/>
        <v/>
      </c>
      <c r="BJ637" s="792">
        <f t="shared" si="1534"/>
        <v>0.11076414188728136</v>
      </c>
      <c r="BK637" s="792">
        <f t="shared" si="1534"/>
        <v>0.24839308670189983</v>
      </c>
      <c r="BL637" s="792">
        <f t="shared" si="1534"/>
        <v>0.1707867880292373</v>
      </c>
      <c r="BM637" s="792">
        <f t="shared" ref="BM637:BO637" si="1535">IFERROR(BM636/ABS(BM634),"")</f>
        <v>0.12296384584823203</v>
      </c>
      <c r="BN637" s="1193" t="str">
        <f t="shared" si="1535"/>
        <v/>
      </c>
      <c r="BO637" s="792">
        <f t="shared" si="1535"/>
        <v>0.11240964376920737</v>
      </c>
      <c r="BP637" s="792">
        <f t="shared" ref="BP637:CC637" si="1536">IFERROR(BP636/ABS(BP634),"")</f>
        <v>7.5023175738312839E-2</v>
      </c>
      <c r="BQ637" s="792">
        <f t="shared" si="1536"/>
        <v>7.973295868243209E-2</v>
      </c>
      <c r="BR637" s="792">
        <f t="shared" si="1536"/>
        <v>4.816578243322904E-2</v>
      </c>
      <c r="BS637" s="1193" t="str">
        <f t="shared" si="1536"/>
        <v/>
      </c>
      <c r="BT637" s="792">
        <f t="shared" ref="BT637:CB637" si="1537">IFERROR(BT636/ABS(BT634),"")</f>
        <v>-0.12039902666836955</v>
      </c>
      <c r="BU637" s="792">
        <f t="shared" si="1537"/>
        <v>4.8002592232560294E-2</v>
      </c>
      <c r="BV637" s="792">
        <f t="shared" si="1537"/>
        <v>5.7225774271074385E-2</v>
      </c>
      <c r="BW637" s="792">
        <f t="shared" si="1537"/>
        <v>5.0300985509624356E-2</v>
      </c>
      <c r="BX637" s="1193" t="str">
        <f t="shared" si="1537"/>
        <v/>
      </c>
      <c r="BY637" s="925">
        <f>IFERROR(BY636/ABS(BY634),"")</f>
        <v>4.6700854700854701E-2</v>
      </c>
      <c r="BZ637" s="792">
        <f t="shared" si="1537"/>
        <v>-1.4956884453785554E-3</v>
      </c>
      <c r="CA637" s="792" t="str">
        <f t="shared" si="1537"/>
        <v/>
      </c>
      <c r="CB637" s="792" t="str">
        <f t="shared" si="1537"/>
        <v/>
      </c>
      <c r="CC637" s="1193" t="str">
        <f t="shared" si="1536"/>
        <v/>
      </c>
      <c r="CD637" s="792" t="str">
        <f>IFERROR(CD636/ABS(CD634),"")</f>
        <v/>
      </c>
      <c r="CE637" s="792" t="str">
        <f>IFERROR(CE636/ABS(CE634),"")</f>
        <v/>
      </c>
      <c r="CF637" s="792" t="str">
        <f>IFERROR(CF636/ABS(CF634),"")</f>
        <v/>
      </c>
      <c r="CG637" s="792" t="str">
        <f>IFERROR(CG636/ABS(CG634),"")</f>
        <v/>
      </c>
      <c r="CH637" s="1193" t="str">
        <f>IFERROR(CH636/ABS(CH634),"")</f>
        <v/>
      </c>
      <c r="CI637" s="1193"/>
      <c r="CJ637" s="1193"/>
      <c r="CK637" s="1193"/>
      <c r="CL637" s="93"/>
    </row>
    <row r="638" spans="1:90" ht="15" hidden="1" customHeight="1" outlineLevel="1" x14ac:dyDescent="0.3">
      <c r="A638" s="799"/>
      <c r="B638" s="428"/>
      <c r="C638" s="1136"/>
      <c r="D638" s="1136"/>
      <c r="E638" s="1136"/>
      <c r="F638" s="1136"/>
      <c r="G638" s="93"/>
      <c r="H638" s="93"/>
      <c r="I638" s="93"/>
      <c r="J638" s="93"/>
      <c r="K638" s="1136"/>
      <c r="L638" s="93"/>
      <c r="M638" s="93"/>
      <c r="N638" s="93"/>
      <c r="O638" s="93"/>
      <c r="P638" s="1136"/>
      <c r="Q638" s="93"/>
      <c r="R638" s="93"/>
      <c r="S638" s="93"/>
      <c r="T638" s="93"/>
      <c r="U638" s="1136"/>
      <c r="V638" s="93"/>
      <c r="W638" s="93"/>
      <c r="X638" s="93"/>
      <c r="Y638" s="93"/>
      <c r="Z638" s="1136"/>
      <c r="AA638" s="93"/>
      <c r="AB638" s="93"/>
      <c r="AC638" s="93"/>
      <c r="AD638" s="93"/>
      <c r="AE638" s="1136"/>
      <c r="AF638" s="93"/>
      <c r="AG638" s="93"/>
      <c r="AH638" s="93"/>
      <c r="AI638" s="93"/>
      <c r="AJ638" s="1136"/>
      <c r="AK638" s="93"/>
      <c r="AL638" s="93"/>
      <c r="AM638" s="93"/>
      <c r="AN638" s="93"/>
      <c r="AO638" s="1136"/>
      <c r="AP638" s="93"/>
      <c r="AQ638" s="93"/>
      <c r="AR638" s="93"/>
      <c r="AS638" s="93"/>
      <c r="AT638" s="1136"/>
      <c r="AU638" s="93"/>
      <c r="AV638" s="93"/>
      <c r="AW638" s="93"/>
      <c r="AX638" s="93"/>
      <c r="AY638" s="1136"/>
      <c r="AZ638" s="93"/>
      <c r="BA638" s="93"/>
      <c r="BB638" s="93"/>
      <c r="BC638" s="93"/>
      <c r="BD638" s="1136"/>
      <c r="BE638" s="93"/>
      <c r="BF638" s="93"/>
      <c r="BG638" s="93"/>
      <c r="BH638" s="93"/>
      <c r="BI638" s="1136"/>
      <c r="BJ638" s="93"/>
      <c r="BK638" s="93"/>
      <c r="BL638" s="93"/>
      <c r="BM638" s="93"/>
      <c r="BN638" s="1136"/>
      <c r="BO638" s="93"/>
      <c r="BP638" s="93"/>
      <c r="BQ638" s="93"/>
      <c r="BR638" s="93"/>
      <c r="BS638" s="1136"/>
      <c r="BT638" s="93"/>
      <c r="BU638" s="93"/>
      <c r="BV638" s="93"/>
      <c r="BW638" s="93"/>
      <c r="BX638" s="1136"/>
      <c r="BY638" s="522"/>
      <c r="BZ638" s="93"/>
      <c r="CA638" s="93"/>
      <c r="CB638" s="93"/>
      <c r="CC638" s="1136"/>
      <c r="CD638" s="93"/>
      <c r="CE638" s="93"/>
      <c r="CF638" s="93"/>
      <c r="CG638" s="93"/>
      <c r="CH638" s="1136"/>
      <c r="CI638" s="1136"/>
      <c r="CJ638" s="1136"/>
      <c r="CK638" s="1136"/>
      <c r="CL638" s="93"/>
    </row>
    <row r="639" spans="1:90" ht="15" hidden="1" customHeight="1" outlineLevel="1" x14ac:dyDescent="0.3">
      <c r="A639" s="371" t="s">
        <v>1005</v>
      </c>
      <c r="B639" s="112"/>
      <c r="C639" s="1115"/>
      <c r="D639" s="1115"/>
      <c r="E639" s="1115"/>
      <c r="F639" s="1115"/>
      <c r="G639" s="90"/>
      <c r="H639" s="90"/>
      <c r="I639" s="90"/>
      <c r="J639" s="90"/>
      <c r="K639" s="1115"/>
      <c r="L639" s="90"/>
      <c r="M639" s="90"/>
      <c r="N639" s="90"/>
      <c r="O639" s="90"/>
      <c r="P639" s="1115"/>
      <c r="Q639" s="90"/>
      <c r="R639" s="90"/>
      <c r="S639" s="90"/>
      <c r="T639" s="90"/>
      <c r="U639" s="1115"/>
      <c r="V639" s="90"/>
      <c r="W639" s="90"/>
      <c r="X639" s="90"/>
      <c r="Y639" s="90"/>
      <c r="Z639" s="1115"/>
      <c r="AA639" s="90"/>
      <c r="AB639" s="90"/>
      <c r="AC639" s="90"/>
      <c r="AD639" s="90"/>
      <c r="AE639" s="1115"/>
      <c r="AF639" s="90"/>
      <c r="AG639" s="90"/>
      <c r="AH639" s="90"/>
      <c r="AI639" s="90">
        <f>IF(AI634="","",AI634/AH635-1)</f>
        <v>9.52380952380949E-3</v>
      </c>
      <c r="AJ639" s="1115"/>
      <c r="AK639" s="90">
        <f>IF(AK634="","",AK634/AI635-1)</f>
        <v>1.0110558319513574E-2</v>
      </c>
      <c r="AL639" s="90">
        <f>IF(AL634="","",AL634/AK635-1)</f>
        <v>-5.1632947976878674E-2</v>
      </c>
      <c r="AM639" s="90">
        <f>IF(AM634="","",AM634/AL635-1)</f>
        <v>2.9412506303580388E-2</v>
      </c>
      <c r="AN639" s="90">
        <f>IF(AN634="","",AN634/AM635-1)</f>
        <v>-0.13001546391752583</v>
      </c>
      <c r="AO639" s="1115"/>
      <c r="AP639" s="90">
        <f>IF(AP634="","",AP634/AN635-1)</f>
        <v>5.2042139384116615E-2</v>
      </c>
      <c r="AQ639" s="90">
        <f>IF(AQ634="","",AQ634/AP635-1)</f>
        <v>0.15840076335877851</v>
      </c>
      <c r="AR639" s="90">
        <f>IF(AR634="","",AR634/AQ635-1)</f>
        <v>0.16878787878787871</v>
      </c>
      <c r="AS639" s="90">
        <f>IF(AS634="","",AS634/AR635-1)</f>
        <v>-1.4476954945623954E-2</v>
      </c>
      <c r="AT639" s="1115"/>
      <c r="AU639" s="90">
        <f>IF(AU634="","",AU634/AS635-1)</f>
        <v>-3.3349753694581152E-2</v>
      </c>
      <c r="AV639" s="90">
        <f>IF(AV634="","",AV634/AU635-1)</f>
        <v>0.18922260612043429</v>
      </c>
      <c r="AW639" s="90">
        <f>IF(AW634="","",AW634/AV635-1)</f>
        <v>0.12992551940415531</v>
      </c>
      <c r="AX639" s="90">
        <f>IF(AX634="","",AX634/AW635-1)</f>
        <v>1.5987075928917571E-2</v>
      </c>
      <c r="AY639" s="1115"/>
      <c r="AZ639" s="90">
        <f>IF(AZ634="","",AZ634/AX635-1)</f>
        <v>6.7927350427350541E-2</v>
      </c>
      <c r="BA639" s="90">
        <f>IF(BA634="","",BA634/AZ635-1)</f>
        <v>0.11856113187399897</v>
      </c>
      <c r="BB639" s="90">
        <f>IF(BB634="","",BB634/BA635-1)</f>
        <v>5.0652524786718889E-2</v>
      </c>
      <c r="BC639" s="90">
        <f>IF(BC634="","",BC634/BB635-1)</f>
        <v>4.1533291325351662E-2</v>
      </c>
      <c r="BD639" s="1115"/>
      <c r="BE639" s="90">
        <f>IF(BE634="","",BE634/BC635-1)</f>
        <v>5.9291569086651119E-2</v>
      </c>
      <c r="BF639" s="90">
        <f>IF(BF634="","",BF634/BE635-1)</f>
        <v>-2.2845586913535887E-2</v>
      </c>
      <c r="BG639" s="90">
        <f>IF(BG634="","",BG634/BF635-1)</f>
        <v>0.24756018217306441</v>
      </c>
      <c r="BH639" s="90">
        <f>IF(BH634="","",BH634/BG635-1)</f>
        <v>0.18972664463802946</v>
      </c>
      <c r="BI639" s="1115"/>
      <c r="BJ639" s="90">
        <f>IF(BJ634="","",BJ634/BH635-1)</f>
        <v>8.1057764441110125E-2</v>
      </c>
      <c r="BK639" s="90">
        <f>IF(BK634="","",BK634/BJ635-1)</f>
        <v>0.6037276134943772</v>
      </c>
      <c r="BL639" s="90">
        <f>IF(BL634="","",BL634/BK635-1)</f>
        <v>0.20674017058456418</v>
      </c>
      <c r="BM639" s="90">
        <f>IF(BM634="","",BM634/BL635-1)</f>
        <v>0.11183096517705948</v>
      </c>
      <c r="BN639" s="1115"/>
      <c r="BO639" s="90">
        <f>IF(BO634="","",BO634/BM635-1)</f>
        <v>8.9828409693967881E-2</v>
      </c>
      <c r="BP639" s="90">
        <f>IF(BP634="","",BP634/BO635-1)</f>
        <v>2.8346303501945558E-2</v>
      </c>
      <c r="BQ639" s="90">
        <f>IF(BQ634="","",BQ634/BP635-1)</f>
        <v>7.2561485327115038E-2</v>
      </c>
      <c r="BR639" s="90">
        <f>IF(BR634="","",BR634/BQ635-1)</f>
        <v>4.7270344198769187E-2</v>
      </c>
      <c r="BS639" s="1115"/>
      <c r="BT639" s="90">
        <f>IF(BT634="","",BT634/BR635-1)</f>
        <v>5.67695715373433E-2</v>
      </c>
      <c r="BU639" s="90">
        <f>IF(BU634="","",BU634/BT635-1)</f>
        <v>0.20651202621192932</v>
      </c>
      <c r="BV639" s="90">
        <f>IF(BV634="","",BV634/BU635-1)</f>
        <v>0.16888692579505293</v>
      </c>
      <c r="BW639" s="90">
        <f>IF(BW634="","",BW634/BV635-1)</f>
        <v>0.16178187623609031</v>
      </c>
      <c r="BX639" s="1115"/>
      <c r="BY639" s="892">
        <f>IF(BY634="","",BY634/BW635-1)</f>
        <v>0.14237731648733631</v>
      </c>
      <c r="BZ639" s="90"/>
      <c r="CA639" s="90"/>
      <c r="CB639" s="90"/>
      <c r="CC639" s="1115"/>
      <c r="CD639" s="90"/>
      <c r="CE639" s="90"/>
      <c r="CF639" s="90"/>
      <c r="CG639" s="90"/>
      <c r="CH639" s="1115"/>
      <c r="CI639" s="1115"/>
      <c r="CJ639" s="1115"/>
      <c r="CK639" s="1115"/>
      <c r="CL639" s="93"/>
    </row>
    <row r="640" spans="1:90" ht="15" hidden="1" customHeight="1" outlineLevel="1" x14ac:dyDescent="0.3">
      <c r="A640" s="806" t="s">
        <v>1006</v>
      </c>
      <c r="B640" s="804"/>
      <c r="C640" s="1196"/>
      <c r="D640" s="1196"/>
      <c r="E640" s="1196"/>
      <c r="F640" s="1196"/>
      <c r="G640" s="805"/>
      <c r="H640" s="805"/>
      <c r="I640" s="805"/>
      <c r="J640" s="805"/>
      <c r="K640" s="1196"/>
      <c r="L640" s="805"/>
      <c r="M640" s="805"/>
      <c r="N640" s="805"/>
      <c r="O640" s="805"/>
      <c r="P640" s="1196"/>
      <c r="Q640" s="805"/>
      <c r="R640" s="805"/>
      <c r="S640" s="805"/>
      <c r="T640" s="805"/>
      <c r="U640" s="1196"/>
      <c r="V640" s="805"/>
      <c r="W640" s="805"/>
      <c r="X640" s="805"/>
      <c r="Y640" s="805"/>
      <c r="Z640" s="1196"/>
      <c r="AA640" s="805"/>
      <c r="AB640" s="805"/>
      <c r="AC640" s="805"/>
      <c r="AD640" s="805"/>
      <c r="AE640" s="1196"/>
      <c r="AF640" s="805"/>
      <c r="AG640" s="805"/>
      <c r="AH640" s="805"/>
      <c r="AI640" s="805">
        <f>IF(AI636="","",AI636/AH635)</f>
        <v>0.13904761904761906</v>
      </c>
      <c r="AJ640" s="1196"/>
      <c r="AK640" s="805">
        <f>IF(AK636="","",AK636/AI635)</f>
        <v>0.13748479823106691</v>
      </c>
      <c r="AL640" s="805">
        <f>IF(AL636="","",AL636/AK635)</f>
        <v>6.8352601156069625E-3</v>
      </c>
      <c r="AM640" s="805">
        <f>IF(AM636="","",AM636/AL635)</f>
        <v>-5.1096822995461331E-2</v>
      </c>
      <c r="AN640" s="805">
        <f>IF(AN636="","",AN636/AM635)</f>
        <v>-0.23390206185567008</v>
      </c>
      <c r="AO640" s="1196"/>
      <c r="AP640" s="805">
        <f>IF(AP636="","",AP636/AN635)</f>
        <v>9.5461912479742304E-3</v>
      </c>
      <c r="AQ640" s="805">
        <f>IF(AQ636="","",AQ636/AP635)</f>
        <v>2.5568702290076427E-2</v>
      </c>
      <c r="AR640" s="805">
        <f>IF(AR636="","",AR636/AQ635)</f>
        <v>7.6215344938749222E-2</v>
      </c>
      <c r="AS640" s="805">
        <f>IF(AS636="","",AS636/AR635)</f>
        <v>6.5745727602278578E-2</v>
      </c>
      <c r="AT640" s="1196"/>
      <c r="AU640" s="805">
        <f>IF(AU636="","",AU636/AS635)</f>
        <v>3.1379310344827493E-2</v>
      </c>
      <c r="AV640" s="805">
        <f>IF(AV636="","",AV636/AU635)</f>
        <v>6.9908687068114622E-2</v>
      </c>
      <c r="AW640" s="805">
        <f>IF(AW636="","",AW636/AV635)</f>
        <v>8.3324186593492722E-2</v>
      </c>
      <c r="AX640" s="805">
        <f>IF(AX636="","",AX636/AW635)</f>
        <v>4.2494345718901448E-2</v>
      </c>
      <c r="AY640" s="1196"/>
      <c r="AZ640" s="805">
        <f>IF(AZ636="","",AZ636/AX635)</f>
        <v>7.5540293040292986E-2</v>
      </c>
      <c r="BA640" s="805">
        <f>IF(BA636="","",BA636/AZ635)</f>
        <v>3.9207154297917747E-2</v>
      </c>
      <c r="BB640" s="805">
        <f>IF(BB636="","",BB636/BA635)</f>
        <v>4.7110906156329194E-2</v>
      </c>
      <c r="BC640" s="805">
        <f>IF(BC636="","",BC636/BB635)</f>
        <v>3.4711195127074192E-2</v>
      </c>
      <c r="BD640" s="1196"/>
      <c r="BE640" s="805">
        <f>IF(BE636="","",BE636/BC635)</f>
        <v>2.6383684621389462E-2</v>
      </c>
      <c r="BF640" s="805">
        <f>IF(BF636="","",BF636/BE635)</f>
        <v>-0.42457486967463598</v>
      </c>
      <c r="BG640" s="805">
        <f>IF(BG636="","",BG636/BF635)</f>
        <v>-0.16460637605725439</v>
      </c>
      <c r="BH640" s="805">
        <f>IF(BH636="","",BH636/BG635)</f>
        <v>1.1534995494142275E-2</v>
      </c>
      <c r="BI640" s="1196"/>
      <c r="BJ640" s="805">
        <f>IF(BJ636="","",BJ636/BH635)</f>
        <v>0.11974243560890231</v>
      </c>
      <c r="BK640" s="805">
        <f>IF(BK636="","",BK636/BJ635)</f>
        <v>0.39835485214493971</v>
      </c>
      <c r="BL640" s="805">
        <f>IF(BL636="","",BL636/BK635)</f>
        <v>0.20609527771999164</v>
      </c>
      <c r="BM640" s="805">
        <f>IF(BM636="","",BM636/BL635)</f>
        <v>0.13671501141132297</v>
      </c>
      <c r="BN640" s="1196"/>
      <c r="BO640" s="805">
        <f>IF(BO636="","",BO636/BM635)</f>
        <v>0.12250722330326072</v>
      </c>
      <c r="BP640" s="805">
        <f>IF(BP636="","",BP636/BO635)</f>
        <v>7.7149805447470854E-2</v>
      </c>
      <c r="BQ640" s="805">
        <f>IF(BQ636="","",BQ636/BP635)</f>
        <v>8.5518500593954855E-2</v>
      </c>
      <c r="BR640" s="805">
        <f>IF(BR636="","",BR636/BQ635)</f>
        <v>5.04425955474508E-2</v>
      </c>
      <c r="BS640" s="1196"/>
      <c r="BT640" s="805">
        <f>IF(BT636="","",BT636/BR635)</f>
        <v>-0.12723402782584606</v>
      </c>
      <c r="BU640" s="805">
        <f>IF(BU636="","",BU636/BT635)</f>
        <v>5.7915704817931346E-2</v>
      </c>
      <c r="BV640" s="805">
        <f>IF(BV636="","",BV636/BU635)</f>
        <v>6.6890459363957766E-2</v>
      </c>
      <c r="BW640" s="805">
        <f>IF(BW636="","",BW636/BV635)</f>
        <v>5.8438773321895773E-2</v>
      </c>
      <c r="BX640" s="1196"/>
      <c r="BY640" s="928">
        <f>IF(BY636="","",BY636/BW635)</f>
        <v>5.3349997070827396E-2</v>
      </c>
      <c r="BZ640" s="805"/>
      <c r="CA640" s="805"/>
      <c r="CB640" s="805"/>
      <c r="CC640" s="1196"/>
      <c r="CD640" s="805"/>
      <c r="CE640" s="805"/>
      <c r="CF640" s="805"/>
      <c r="CG640" s="805"/>
      <c r="CH640" s="1196"/>
      <c r="CI640" s="1196"/>
      <c r="CJ640" s="1196"/>
      <c r="CK640" s="1196"/>
      <c r="CL640" s="93"/>
    </row>
    <row r="641" spans="1:90" ht="15" hidden="1" customHeight="1" outlineLevel="1" x14ac:dyDescent="0.3">
      <c r="A641" s="809" t="s">
        <v>1007</v>
      </c>
      <c r="B641" s="807"/>
      <c r="C641" s="1197"/>
      <c r="D641" s="1197"/>
      <c r="E641" s="1197"/>
      <c r="F641" s="1197"/>
      <c r="G641" s="808"/>
      <c r="H641" s="808"/>
      <c r="I641" s="808"/>
      <c r="J641" s="808"/>
      <c r="K641" s="1197"/>
      <c r="L641" s="808"/>
      <c r="M641" s="808"/>
      <c r="N641" s="808"/>
      <c r="O641" s="808"/>
      <c r="P641" s="1197"/>
      <c r="Q641" s="808"/>
      <c r="R641" s="808"/>
      <c r="S641" s="808"/>
      <c r="T641" s="808"/>
      <c r="U641" s="1197"/>
      <c r="V641" s="808"/>
      <c r="W641" s="808"/>
      <c r="X641" s="808"/>
      <c r="Y641" s="808"/>
      <c r="Z641" s="1197"/>
      <c r="AA641" s="808"/>
      <c r="AB641" s="808"/>
      <c r="AC641" s="808"/>
      <c r="AD641" s="808"/>
      <c r="AE641" s="1197"/>
      <c r="AF641" s="808"/>
      <c r="AG641" s="808"/>
      <c r="AH641" s="808"/>
      <c r="AI641" s="808">
        <f>AI635/AH635-1</f>
        <v>0.14857142857142858</v>
      </c>
      <c r="AJ641" s="1197"/>
      <c r="AK641" s="808">
        <f>AK635/AI635-1</f>
        <v>0.14759535655058054</v>
      </c>
      <c r="AL641" s="808">
        <f>AL635/AK635-1</f>
        <v>-4.4797687861271696E-2</v>
      </c>
      <c r="AM641" s="808">
        <f>AM635/AL635-1</f>
        <v>-2.1684316691880978E-2</v>
      </c>
      <c r="AN641" s="808">
        <f>AN635/AM635-1</f>
        <v>-0.36391752577319592</v>
      </c>
      <c r="AO641" s="1197"/>
      <c r="AP641" s="808">
        <f>AP635/AN635-1</f>
        <v>6.1588330632090793E-2</v>
      </c>
      <c r="AQ641" s="808">
        <f>AQ635/AP635-1</f>
        <v>0.18396946564885486</v>
      </c>
      <c r="AR641" s="808">
        <f>AR635/AQ635-1</f>
        <v>0.24500322372662797</v>
      </c>
      <c r="AS641" s="808">
        <f>AS635/AR635-1</f>
        <v>5.1268772656654527E-2</v>
      </c>
      <c r="AT641" s="1197"/>
      <c r="AU641" s="808">
        <f>AU635/AS635-1</f>
        <v>-1.9704433497537144E-3</v>
      </c>
      <c r="AV641" s="808">
        <f>AV635/AU635-1</f>
        <v>0.25913129318854877</v>
      </c>
      <c r="AW641" s="808">
        <f>AW635/AV635-1</f>
        <v>0.21324970599764792</v>
      </c>
      <c r="AX641" s="808">
        <f>AX635/AW635-1</f>
        <v>5.848142164781911E-2</v>
      </c>
      <c r="AY641" s="1197"/>
      <c r="AZ641" s="808">
        <f>AZ635/AX635-1</f>
        <v>0.1434676434676434</v>
      </c>
      <c r="BA641" s="808">
        <f>BA635/AZ635-1</f>
        <v>0.15776828617191674</v>
      </c>
      <c r="BB641" s="808">
        <f>BB635/BA635-1</f>
        <v>9.776343094304818E-2</v>
      </c>
      <c r="BC641" s="808">
        <f>BC635/BB635-1</f>
        <v>7.6244486452425875E-2</v>
      </c>
      <c r="BD641" s="1197"/>
      <c r="BE641" s="808">
        <f>BE635/BC635-1</f>
        <v>8.5675253708040522E-2</v>
      </c>
      <c r="BF641" s="808">
        <f>BF635/BE635-1</f>
        <v>-0.44742045658817187</v>
      </c>
      <c r="BG641" s="808">
        <f>BG635/BF635-1</f>
        <v>8.2953806115809936E-2</v>
      </c>
      <c r="BH641" s="808">
        <f>BH635/BG635-1</f>
        <v>0.20126164013217185</v>
      </c>
      <c r="BI641" s="1197"/>
      <c r="BJ641" s="808">
        <f>BJ635/BH635-1</f>
        <v>0.20080020005001242</v>
      </c>
      <c r="BK641" s="808">
        <f>BK635/BJ635-1</f>
        <v>1.002082465639317</v>
      </c>
      <c r="BL641" s="808">
        <f>BL635/BK635-1</f>
        <v>0.41283544830455576</v>
      </c>
      <c r="BM641" s="808">
        <f>BM635/BL635-1</f>
        <v>0.24854597658838262</v>
      </c>
      <c r="BN641" s="1197"/>
      <c r="BO641" s="808">
        <f>BO635/BM635-1</f>
        <v>0.21233563299722857</v>
      </c>
      <c r="BP641" s="808">
        <f>BP635/BO635-1</f>
        <v>0.10549610894941641</v>
      </c>
      <c r="BQ641" s="808">
        <f>BQ635/BP635-1</f>
        <v>0.15807998592106998</v>
      </c>
      <c r="BR641" s="808">
        <f>BR635/BQ635-1</f>
        <v>9.7712939746219973E-2</v>
      </c>
      <c r="BS641" s="1197"/>
      <c r="BT641" s="808">
        <f>BT635/BR635-1</f>
        <v>-7.0464456288502841E-2</v>
      </c>
      <c r="BU641" s="808">
        <f>BU635/BT635-1</f>
        <v>0.26442773102986084</v>
      </c>
      <c r="BV641" s="808">
        <f>BV635/BU635-1</f>
        <v>0.23577738515901059</v>
      </c>
      <c r="BW641" s="808">
        <f>BW635/BV635-1</f>
        <v>0.22022064955798593</v>
      </c>
      <c r="BX641" s="1197"/>
      <c r="BY641" s="929">
        <f>BY635/BW635-1</f>
        <v>0.19572731355816364</v>
      </c>
      <c r="BZ641" s="808"/>
      <c r="CA641" s="808"/>
      <c r="CB641" s="808"/>
      <c r="CC641" s="1197"/>
      <c r="CD641" s="808"/>
      <c r="CE641" s="808"/>
      <c r="CF641" s="808"/>
      <c r="CG641" s="808"/>
      <c r="CH641" s="1197"/>
      <c r="CI641" s="1197"/>
      <c r="CJ641" s="1197"/>
      <c r="CK641" s="1197"/>
      <c r="CL641" s="93"/>
    </row>
    <row r="642" spans="1:90" ht="15" hidden="1" customHeight="1" outlineLevel="1" x14ac:dyDescent="0.3">
      <c r="A642" s="371" t="s">
        <v>1002</v>
      </c>
      <c r="B642" s="112"/>
      <c r="C642" s="1115"/>
      <c r="D642" s="1115"/>
      <c r="E642" s="1115"/>
      <c r="F642" s="1115"/>
      <c r="G642" s="90"/>
      <c r="H642" s="90"/>
      <c r="I642" s="90"/>
      <c r="J642" s="90"/>
      <c r="K642" s="1115"/>
      <c r="L642" s="90"/>
      <c r="M642" s="90"/>
      <c r="N642" s="90"/>
      <c r="O642" s="90"/>
      <c r="P642" s="1115"/>
      <c r="Q642" s="90"/>
      <c r="R642" s="90"/>
      <c r="S642" s="90"/>
      <c r="T642" s="90"/>
      <c r="U642" s="1115"/>
      <c r="V642" s="90"/>
      <c r="W642" s="90"/>
      <c r="X642" s="90"/>
      <c r="Y642" s="90"/>
      <c r="Z642" s="1115"/>
      <c r="AA642" s="90"/>
      <c r="AB642" s="90"/>
      <c r="AC642" s="90"/>
      <c r="AD642" s="90"/>
      <c r="AE642" s="1115"/>
      <c r="AF642" s="90"/>
      <c r="AG642" s="90"/>
      <c r="AH642" s="90"/>
      <c r="AI642" s="90">
        <f t="shared" ref="AI642:AR642" si="1538">IF(AI634="","",AI634/AD635-1)</f>
        <v>0.21652639632746751</v>
      </c>
      <c r="AJ642" s="1115" t="str">
        <f t="shared" si="1538"/>
        <v/>
      </c>
      <c r="AK642" s="90">
        <f t="shared" si="1538"/>
        <v>0.58344020797227025</v>
      </c>
      <c r="AL642" s="90">
        <f t="shared" si="1538"/>
        <v>0.50751148545176106</v>
      </c>
      <c r="AM642" s="90">
        <f t="shared" si="1538"/>
        <v>0.29607936507936494</v>
      </c>
      <c r="AN642" s="90">
        <f t="shared" si="1538"/>
        <v>-6.701492537313436E-2</v>
      </c>
      <c r="AO642" s="1115" t="str">
        <f t="shared" si="1538"/>
        <v/>
      </c>
      <c r="AP642" s="90">
        <f t="shared" si="1538"/>
        <v>-0.37465317919075158</v>
      </c>
      <c r="AQ642" s="90">
        <f t="shared" si="1538"/>
        <v>-0.23474281391830565</v>
      </c>
      <c r="AR642" s="90">
        <f t="shared" si="1538"/>
        <v>-6.5572164948453637E-2</v>
      </c>
      <c r="AS642" s="90">
        <f t="shared" ref="AS642:BL642" si="1539">IF(AS634="","",AS634/AN635-1)</f>
        <v>0.54217585089141007</v>
      </c>
      <c r="AT642" s="1115" t="str">
        <f t="shared" si="1539"/>
        <v/>
      </c>
      <c r="AU642" s="90">
        <f t="shared" si="1539"/>
        <v>0.49793893129771005</v>
      </c>
      <c r="AV642" s="90">
        <f t="shared" si="1539"/>
        <v>0.55342682140554467</v>
      </c>
      <c r="AW642" s="90">
        <f t="shared" si="1539"/>
        <v>0.49271879854997414</v>
      </c>
      <c r="AX642" s="90">
        <f t="shared" si="1539"/>
        <v>0.54900492610837448</v>
      </c>
      <c r="AY642" s="1115" t="str">
        <f t="shared" si="1539"/>
        <v/>
      </c>
      <c r="AZ642" s="90">
        <f t="shared" si="1539"/>
        <v>0.72681638696939799</v>
      </c>
      <c r="BA642" s="90">
        <f t="shared" si="1539"/>
        <v>0.64254410035280296</v>
      </c>
      <c r="BB642" s="90">
        <f t="shared" si="1539"/>
        <v>0.47227140549273039</v>
      </c>
      <c r="BC642" s="90">
        <f t="shared" si="1539"/>
        <v>0.51365689865689856</v>
      </c>
      <c r="BD642" s="1115" t="str">
        <f t="shared" si="1539"/>
        <v/>
      </c>
      <c r="BE642" s="90">
        <f t="shared" si="1539"/>
        <v>0.44896155899626278</v>
      </c>
      <c r="BF642" s="90">
        <f t="shared" si="1539"/>
        <v>0.2533802167396817</v>
      </c>
      <c r="BG642" s="90">
        <f t="shared" si="1539"/>
        <v>-0.19449695442134007</v>
      </c>
      <c r="BH642" s="90">
        <f t="shared" si="1539"/>
        <v>-0.2270491803278688</v>
      </c>
      <c r="BI642" s="1115" t="str">
        <f t="shared" si="1539"/>
        <v/>
      </c>
      <c r="BJ642" s="90">
        <f t="shared" si="1539"/>
        <v>-0.22287434837317999</v>
      </c>
      <c r="BK642" s="90">
        <f t="shared" si="1539"/>
        <v>1.5052374756018216</v>
      </c>
      <c r="BL642" s="90">
        <f t="shared" si="1539"/>
        <v>2.4850105136677683</v>
      </c>
      <c r="BM642" s="90">
        <f t="shared" ref="BM642:BS642" si="1540">IF(BM634="","",BM634/BH635-1)</f>
        <v>2.7764441110277569</v>
      </c>
      <c r="BN642" s="1115" t="str">
        <f t="shared" si="1540"/>
        <v/>
      </c>
      <c r="BO642" s="90">
        <f t="shared" si="1540"/>
        <v>2.8488962932111623</v>
      </c>
      <c r="BP642" s="90">
        <f t="shared" si="1540"/>
        <v>1.1991678801747452</v>
      </c>
      <c r="BQ642" s="90">
        <f t="shared" si="1540"/>
        <v>0.79476183464624905</v>
      </c>
      <c r="BR642" s="90">
        <f t="shared" si="1540"/>
        <v>0.62546435520962329</v>
      </c>
      <c r="BS642" s="1115" t="str">
        <f t="shared" si="1540"/>
        <v/>
      </c>
      <c r="BT642" s="90">
        <f t="shared" ref="BT642:BY642" si="1541">IF(BT634="","",BT634/BO635-1)</f>
        <v>0.4851313229571983</v>
      </c>
      <c r="BU642" s="90">
        <f t="shared" si="1541"/>
        <v>0.42568964758678352</v>
      </c>
      <c r="BV642" s="90">
        <f t="shared" si="1541"/>
        <v>0.50806929564622716</v>
      </c>
      <c r="BW642" s="90">
        <f t="shared" si="1541"/>
        <v>0.68742645531944357</v>
      </c>
      <c r="BX642" s="1115" t="str">
        <f t="shared" si="1541"/>
        <v/>
      </c>
      <c r="BY642" s="892">
        <f t="shared" si="1541"/>
        <v>1.1781219748305904</v>
      </c>
      <c r="BZ642" s="90"/>
      <c r="CA642" s="90"/>
      <c r="CB642" s="90"/>
      <c r="CC642" s="1115"/>
      <c r="CD642" s="90"/>
      <c r="CE642" s="90"/>
      <c r="CF642" s="90"/>
      <c r="CG642" s="90"/>
      <c r="CH642" s="1115"/>
      <c r="CI642" s="1115"/>
      <c r="CJ642" s="1115"/>
      <c r="CK642" s="1115"/>
      <c r="CL642" s="93"/>
    </row>
    <row r="643" spans="1:90" ht="15" hidden="1" customHeight="1" outlineLevel="1" x14ac:dyDescent="0.3">
      <c r="A643" s="806" t="s">
        <v>1003</v>
      </c>
      <c r="B643" s="804"/>
      <c r="C643" s="1196"/>
      <c r="D643" s="1196"/>
      <c r="E643" s="1196"/>
      <c r="F643" s="1196"/>
      <c r="G643" s="805"/>
      <c r="H643" s="805"/>
      <c r="I643" s="805"/>
      <c r="J643" s="805"/>
      <c r="K643" s="1196"/>
      <c r="L643" s="805"/>
      <c r="M643" s="805"/>
      <c r="N643" s="805"/>
      <c r="O643" s="805"/>
      <c r="P643" s="1196"/>
      <c r="Q643" s="805"/>
      <c r="R643" s="805"/>
      <c r="S643" s="805"/>
      <c r="T643" s="805"/>
      <c r="U643" s="1196"/>
      <c r="V643" s="805"/>
      <c r="W643" s="805"/>
      <c r="X643" s="805"/>
      <c r="Y643" s="805"/>
      <c r="Z643" s="1196"/>
      <c r="AA643" s="805"/>
      <c r="AB643" s="805"/>
      <c r="AC643" s="805"/>
      <c r="AD643" s="805"/>
      <c r="AE643" s="1196"/>
      <c r="AF643" s="805"/>
      <c r="AG643" s="805"/>
      <c r="AH643" s="805"/>
      <c r="AI643" s="805">
        <f t="shared" ref="AI643:AR643" si="1542">IF(AI636="","",AI636/AD635)</f>
        <v>0.16755929609793421</v>
      </c>
      <c r="AJ643" s="1196" t="str">
        <f t="shared" si="1542"/>
        <v/>
      </c>
      <c r="AK643" s="805">
        <f t="shared" si="1542"/>
        <v>0.21551993067590991</v>
      </c>
      <c r="AL643" s="805">
        <f t="shared" si="1542"/>
        <v>1.0865237366003104E-2</v>
      </c>
      <c r="AM643" s="805">
        <f t="shared" si="1542"/>
        <v>-6.4333333333333215E-2</v>
      </c>
      <c r="AN643" s="805">
        <f t="shared" si="1542"/>
        <v>-0.25084024322830289</v>
      </c>
      <c r="AO643" s="1196" t="str">
        <f t="shared" si="1542"/>
        <v/>
      </c>
      <c r="AP643" s="805">
        <f t="shared" si="1542"/>
        <v>5.6743737957611756E-3</v>
      </c>
      <c r="AQ643" s="805">
        <f t="shared" si="1542"/>
        <v>1.689107413010596E-2</v>
      </c>
      <c r="AR643" s="805">
        <f t="shared" si="1542"/>
        <v>6.0932989690721667E-2</v>
      </c>
      <c r="AS643" s="805">
        <f t="shared" ref="AS643:BL643" si="1543">IF(AS636="","",AS636/AN635)</f>
        <v>0.10288087520259313</v>
      </c>
      <c r="AT643" s="1196" t="str">
        <f t="shared" si="1543"/>
        <v/>
      </c>
      <c r="AU643" s="805">
        <f t="shared" si="1543"/>
        <v>4.8625954198473147E-2</v>
      </c>
      <c r="AV643" s="805">
        <f t="shared" si="1543"/>
        <v>9.1318504190844751E-2</v>
      </c>
      <c r="AW643" s="805">
        <f t="shared" si="1543"/>
        <v>0.11007767995857067</v>
      </c>
      <c r="AX643" s="805">
        <f t="shared" si="1543"/>
        <v>6.478817733990147E-2</v>
      </c>
      <c r="AY643" s="1196" t="str">
        <f t="shared" si="1543"/>
        <v/>
      </c>
      <c r="AZ643" s="805">
        <f t="shared" si="1543"/>
        <v>0.12214708785784788</v>
      </c>
      <c r="BA643" s="805">
        <f t="shared" si="1543"/>
        <v>5.7573500588004659E-2</v>
      </c>
      <c r="BB643" s="805">
        <f t="shared" si="1543"/>
        <v>6.601615508885289E-2</v>
      </c>
      <c r="BC643" s="805">
        <f t="shared" si="1543"/>
        <v>5.0445665445665512E-2</v>
      </c>
      <c r="BD643" s="1196" t="str">
        <f t="shared" si="1543"/>
        <v/>
      </c>
      <c r="BE643" s="805">
        <f t="shared" si="1543"/>
        <v>3.6089161772557291E-2</v>
      </c>
      <c r="BF643" s="805">
        <f t="shared" si="1543"/>
        <v>-0.54459534240258245</v>
      </c>
      <c r="BG643" s="805">
        <f t="shared" si="1543"/>
        <v>-0.10628019323671498</v>
      </c>
      <c r="BH643" s="805">
        <f t="shared" si="1543"/>
        <v>7.4941451990631607E-3</v>
      </c>
      <c r="BI643" s="1196" t="str">
        <f t="shared" si="1543"/>
        <v/>
      </c>
      <c r="BJ643" s="805">
        <f t="shared" si="1543"/>
        <v>8.6077655941039069E-2</v>
      </c>
      <c r="BK643" s="805">
        <f t="shared" si="1543"/>
        <v>0.62228366948601188</v>
      </c>
      <c r="BL643" s="805">
        <f t="shared" si="1543"/>
        <v>0.59519375187744061</v>
      </c>
      <c r="BM643" s="805">
        <f t="shared" ref="BM643:BS643" si="1544">IF(BM636="","",BM636/BH635)</f>
        <v>0.46436609152288072</v>
      </c>
      <c r="BN643" s="1196" t="str">
        <f t="shared" si="1544"/>
        <v/>
      </c>
      <c r="BO643" s="805">
        <f t="shared" si="1544"/>
        <v>0.43265306122448949</v>
      </c>
      <c r="BP643" s="805">
        <f t="shared" si="1544"/>
        <v>0.16498855835240281</v>
      </c>
      <c r="BQ643" s="805">
        <f t="shared" si="1544"/>
        <v>0.14310167120665537</v>
      </c>
      <c r="BR643" s="805">
        <f t="shared" si="1544"/>
        <v>7.8291762485995633E-2</v>
      </c>
      <c r="BS643" s="1196" t="str">
        <f t="shared" si="1544"/>
        <v/>
      </c>
      <c r="BT643" s="805">
        <f t="shared" ref="BT643:BY643" si="1545">IF(BT636="","",BT636/BO635)</f>
        <v>-0.17880836575875464</v>
      </c>
      <c r="BU643" s="805">
        <f t="shared" si="1545"/>
        <v>6.8436798803290955E-2</v>
      </c>
      <c r="BV643" s="805">
        <f t="shared" si="1545"/>
        <v>8.6300433097789148E-2</v>
      </c>
      <c r="BW643" s="805">
        <f t="shared" si="1545"/>
        <v>8.4879213677580126E-2</v>
      </c>
      <c r="BX643" s="1196" t="str">
        <f t="shared" si="1545"/>
        <v/>
      </c>
      <c r="BY643" s="928">
        <f t="shared" si="1545"/>
        <v>0.10172015786730211</v>
      </c>
      <c r="BZ643" s="805"/>
      <c r="CA643" s="805"/>
      <c r="CB643" s="805"/>
      <c r="CC643" s="1196"/>
      <c r="CD643" s="805"/>
      <c r="CE643" s="805"/>
      <c r="CF643" s="805"/>
      <c r="CG643" s="805"/>
      <c r="CH643" s="1196"/>
      <c r="CI643" s="1196"/>
      <c r="CJ643" s="1196"/>
      <c r="CK643" s="1196"/>
      <c r="CL643" s="93"/>
    </row>
    <row r="644" spans="1:90" ht="15" hidden="1" customHeight="1" outlineLevel="1" x14ac:dyDescent="0.3">
      <c r="A644" s="809" t="s">
        <v>1004</v>
      </c>
      <c r="B644" s="807"/>
      <c r="C644" s="1197"/>
      <c r="D644" s="1197"/>
      <c r="E644" s="1197"/>
      <c r="F644" s="1197"/>
      <c r="G644" s="808"/>
      <c r="H644" s="808"/>
      <c r="I644" s="808"/>
      <c r="J644" s="808"/>
      <c r="K644" s="1197"/>
      <c r="L644" s="808"/>
      <c r="M644" s="808"/>
      <c r="N644" s="808"/>
      <c r="O644" s="808"/>
      <c r="P644" s="1197"/>
      <c r="Q644" s="808"/>
      <c r="R644" s="808"/>
      <c r="S644" s="808"/>
      <c r="T644" s="808"/>
      <c r="U644" s="1197"/>
      <c r="V644" s="808"/>
      <c r="W644" s="808"/>
      <c r="X644" s="808"/>
      <c r="Y644" s="808"/>
      <c r="Z644" s="1197"/>
      <c r="AA644" s="808"/>
      <c r="AB644" s="808"/>
      <c r="AC644" s="808"/>
      <c r="AD644" s="808"/>
      <c r="AE644" s="1197"/>
      <c r="AF644" s="808"/>
      <c r="AG644" s="808"/>
      <c r="AH644" s="808"/>
      <c r="AI644" s="808">
        <f t="shared" ref="AI644:AR644" si="1546">AI635/AD635-1</f>
        <v>0.38408569242540169</v>
      </c>
      <c r="AJ644" s="1197">
        <f t="shared" si="1546"/>
        <v>0.42954990215264188</v>
      </c>
      <c r="AK644" s="808">
        <f t="shared" si="1546"/>
        <v>0.79896013864818016</v>
      </c>
      <c r="AL644" s="808">
        <f t="shared" si="1546"/>
        <v>0.51837672281776426</v>
      </c>
      <c r="AM644" s="808">
        <f t="shared" si="1546"/>
        <v>0.23174603174603181</v>
      </c>
      <c r="AN644" s="808">
        <f t="shared" si="1546"/>
        <v>-0.31785516860143725</v>
      </c>
      <c r="AO644" s="1197">
        <f t="shared" si="1546"/>
        <v>0.23767967145790547</v>
      </c>
      <c r="AP644" s="808">
        <f t="shared" si="1546"/>
        <v>-0.36897880539499039</v>
      </c>
      <c r="AQ644" s="808">
        <f t="shared" si="1546"/>
        <v>-0.21785173978819972</v>
      </c>
      <c r="AR644" s="808">
        <f t="shared" si="1546"/>
        <v>-4.6391752577319423E-3</v>
      </c>
      <c r="AS644" s="808">
        <f t="shared" ref="AS644:BL644" si="1547">AS635/AN635-1</f>
        <v>0.64505672609400322</v>
      </c>
      <c r="AT644" s="1197">
        <f t="shared" si="1547"/>
        <v>-5.696115028342319E-2</v>
      </c>
      <c r="AU644" s="808">
        <f t="shared" si="1547"/>
        <v>0.54656488549618332</v>
      </c>
      <c r="AV644" s="808">
        <f t="shared" si="1547"/>
        <v>0.64474532559638953</v>
      </c>
      <c r="AW644" s="808">
        <f t="shared" si="1547"/>
        <v>0.6027964785085449</v>
      </c>
      <c r="AX644" s="808">
        <f t="shared" si="1547"/>
        <v>0.61379310344827576</v>
      </c>
      <c r="AY644" s="1197">
        <f t="shared" si="1547"/>
        <v>0.60489664272100874</v>
      </c>
      <c r="AZ644" s="808">
        <f t="shared" si="1547"/>
        <v>0.84896347482724588</v>
      </c>
      <c r="BA644" s="808">
        <f t="shared" si="1547"/>
        <v>0.70011760094080744</v>
      </c>
      <c r="BB644" s="808">
        <f t="shared" si="1547"/>
        <v>0.53828756058158311</v>
      </c>
      <c r="BC644" s="808">
        <f t="shared" si="1547"/>
        <v>0.5641025641025641</v>
      </c>
      <c r="BD644" s="1197">
        <f t="shared" si="1547"/>
        <v>0.64145427971133651</v>
      </c>
      <c r="BE644" s="808">
        <f t="shared" si="1547"/>
        <v>0.48505072076882016</v>
      </c>
      <c r="BF644" s="808">
        <f t="shared" si="1547"/>
        <v>-0.29121512566290064</v>
      </c>
      <c r="BG644" s="808">
        <f t="shared" si="1547"/>
        <v>-0.30077714765805508</v>
      </c>
      <c r="BH644" s="808">
        <f t="shared" si="1547"/>
        <v>-0.21955503512880559</v>
      </c>
      <c r="BI644" s="1197">
        <f t="shared" si="1547"/>
        <v>-0.11152540486393236</v>
      </c>
      <c r="BJ644" s="808">
        <f t="shared" si="1547"/>
        <v>-0.13679669243214088</v>
      </c>
      <c r="BK644" s="808">
        <f t="shared" si="1547"/>
        <v>2.1275211450878335</v>
      </c>
      <c r="BL644" s="808">
        <f t="shared" si="1547"/>
        <v>3.0802042655452091</v>
      </c>
      <c r="BM644" s="808">
        <f t="shared" ref="BM644:BS644" si="1548">BM635/BH635-1</f>
        <v>3.2408102025506373</v>
      </c>
      <c r="BN644" s="1197">
        <f t="shared" si="1548"/>
        <v>1.8160977137488254</v>
      </c>
      <c r="BO644" s="808">
        <f t="shared" si="1548"/>
        <v>3.2815493544356515</v>
      </c>
      <c r="BP644" s="808">
        <f t="shared" si="1548"/>
        <v>1.3641564385271479</v>
      </c>
      <c r="BQ644" s="808">
        <f t="shared" si="1548"/>
        <v>0.93786350585290434</v>
      </c>
      <c r="BR644" s="808">
        <f t="shared" si="1548"/>
        <v>0.70375611769561885</v>
      </c>
      <c r="BS644" s="1197">
        <f t="shared" si="1548"/>
        <v>1.1909962410195956</v>
      </c>
      <c r="BT644" s="808">
        <f t="shared" ref="BT644:BY644" si="1549">BT635/BO635-1</f>
        <v>0.3063229571984436</v>
      </c>
      <c r="BU644" s="808">
        <f t="shared" si="1549"/>
        <v>0.4941264463900743</v>
      </c>
      <c r="BV644" s="808">
        <f t="shared" si="1549"/>
        <v>0.59436972874401639</v>
      </c>
      <c r="BW644" s="808">
        <f t="shared" si="1549"/>
        <v>0.77230566899702358</v>
      </c>
      <c r="BX644" s="1197">
        <f t="shared" si="1549"/>
        <v>0.56331150703010002</v>
      </c>
      <c r="BY644" s="929">
        <f t="shared" si="1549"/>
        <v>1.2798421326978926</v>
      </c>
      <c r="BZ644" s="808"/>
      <c r="CA644" s="808"/>
      <c r="CB644" s="808"/>
      <c r="CC644" s="1197"/>
      <c r="CD644" s="808"/>
      <c r="CE644" s="808"/>
      <c r="CF644" s="808"/>
      <c r="CG644" s="808"/>
      <c r="CH644" s="1197"/>
      <c r="CI644" s="1197"/>
      <c r="CJ644" s="1197"/>
      <c r="CK644" s="1197"/>
      <c r="CL644" s="93"/>
    </row>
    <row r="645" spans="1:90" ht="15" hidden="1" customHeight="1" outlineLevel="1" x14ac:dyDescent="0.3">
      <c r="A645" s="799"/>
      <c r="B645" s="428"/>
      <c r="C645" s="1136"/>
      <c r="D645" s="1136"/>
      <c r="E645" s="1136"/>
      <c r="F645" s="1136"/>
      <c r="G645" s="93"/>
      <c r="H645" s="93"/>
      <c r="I645" s="93"/>
      <c r="J645" s="93"/>
      <c r="K645" s="1136"/>
      <c r="L645" s="93"/>
      <c r="M645" s="93"/>
      <c r="N645" s="93"/>
      <c r="O645" s="93"/>
      <c r="P645" s="1136"/>
      <c r="Q645" s="93"/>
      <c r="R645" s="93"/>
      <c r="S645" s="93"/>
      <c r="T645" s="93"/>
      <c r="U645" s="1136"/>
      <c r="V645" s="93"/>
      <c r="W645" s="93"/>
      <c r="X645" s="93"/>
      <c r="Y645" s="93"/>
      <c r="Z645" s="1136"/>
      <c r="AA645" s="93"/>
      <c r="AB645" s="93"/>
      <c r="AC645" s="93"/>
      <c r="AD645" s="93"/>
      <c r="AE645" s="1136"/>
      <c r="AF645" s="93"/>
      <c r="AG645" s="93"/>
      <c r="AH645" s="93"/>
      <c r="AI645" s="93"/>
      <c r="AJ645" s="1136"/>
      <c r="AK645" s="93"/>
      <c r="AL645" s="93"/>
      <c r="AM645" s="93"/>
      <c r="AN645" s="93"/>
      <c r="AO645" s="1136"/>
      <c r="AP645" s="93"/>
      <c r="AQ645" s="93"/>
      <c r="AR645" s="93"/>
      <c r="AS645" s="93"/>
      <c r="AT645" s="1136"/>
      <c r="AU645" s="93"/>
      <c r="AV645" s="93"/>
      <c r="AW645" s="93"/>
      <c r="AX645" s="93"/>
      <c r="AY645" s="1136"/>
      <c r="AZ645" s="93"/>
      <c r="BA645" s="93"/>
      <c r="BB645" s="93"/>
      <c r="BC645" s="93"/>
      <c r="BD645" s="1136"/>
      <c r="BE645" s="93"/>
      <c r="BF645" s="93"/>
      <c r="BG645" s="93"/>
      <c r="BH645" s="93"/>
      <c r="BI645" s="1136"/>
      <c r="BJ645" s="93"/>
      <c r="BK645" s="93"/>
      <c r="BL645" s="93"/>
      <c r="BM645" s="93"/>
      <c r="BN645" s="1136"/>
      <c r="BO645" s="93"/>
      <c r="BP645" s="93"/>
      <c r="BQ645" s="93"/>
      <c r="BR645" s="93"/>
      <c r="BS645" s="1136"/>
      <c r="BT645" s="93"/>
      <c r="BU645" s="93"/>
      <c r="BV645" s="93"/>
      <c r="BW645" s="93"/>
      <c r="BX645" s="1136"/>
      <c r="BY645" s="522"/>
      <c r="BZ645" s="93"/>
      <c r="CA645" s="93"/>
      <c r="CB645" s="93"/>
      <c r="CC645" s="1136"/>
      <c r="CD645" s="93"/>
      <c r="CE645" s="93"/>
      <c r="CF645" s="93"/>
      <c r="CG645" s="93"/>
      <c r="CH645" s="1136"/>
      <c r="CI645" s="1136"/>
      <c r="CJ645" s="1136"/>
      <c r="CK645" s="1136"/>
      <c r="CL645" s="93"/>
    </row>
    <row r="646" spans="1:90" ht="15" hidden="1" customHeight="1" outlineLevel="2" x14ac:dyDescent="0.3">
      <c r="A646" s="647" t="s">
        <v>978</v>
      </c>
      <c r="B646" s="428"/>
      <c r="C646" s="1128"/>
      <c r="D646" s="1128"/>
      <c r="E646" s="1128"/>
      <c r="F646" s="1128"/>
      <c r="G646" s="315"/>
      <c r="H646" s="315"/>
      <c r="I646" s="315"/>
      <c r="J646" s="315"/>
      <c r="K646" s="1128"/>
      <c r="L646" s="315"/>
      <c r="M646" s="315"/>
      <c r="N646" s="315"/>
      <c r="O646" s="315"/>
      <c r="P646" s="1128"/>
      <c r="Q646" s="315"/>
      <c r="R646" s="315"/>
      <c r="S646" s="315"/>
      <c r="T646" s="315"/>
      <c r="U646" s="1128"/>
      <c r="V646" s="315"/>
      <c r="W646" s="315"/>
      <c r="X646" s="315"/>
      <c r="Y646" s="315"/>
      <c r="Z646" s="1128"/>
      <c r="AA646" s="315"/>
      <c r="AB646" s="315"/>
      <c r="AC646" s="315"/>
      <c r="AD646" s="315"/>
      <c r="AE646" s="1128"/>
      <c r="AF646" s="315"/>
      <c r="AG646" s="315"/>
      <c r="AH646" s="315"/>
      <c r="AI646" s="315">
        <f>IF(ISBLANK(AH670),"",AH670)</f>
        <v>0.6</v>
      </c>
      <c r="AJ646" s="1128" t="str">
        <f>IF(ISBLANK(AD695),"",AD695)</f>
        <v/>
      </c>
      <c r="AK646" s="315">
        <f>IF(ISBLANK(AI670),"",AI670)</f>
        <v>0.63</v>
      </c>
      <c r="AL646" s="315">
        <f>IF(ISBLANK(AK670),"",AK670)</f>
        <v>0.63500000000000001</v>
      </c>
      <c r="AM646" s="315">
        <f>IF(ISBLANK(AL670),"",AL670)</f>
        <v>0.628</v>
      </c>
      <c r="AN646" s="315">
        <f>IF(ISBLANK(AM670),"",AM670)</f>
        <v>0.625</v>
      </c>
      <c r="AO646" s="1128" t="str">
        <f>IF(ISBLANK(AI695),"",AI695)</f>
        <v/>
      </c>
      <c r="AP646" s="315">
        <f>IF(ISBLANK(AN670),"",AN670)</f>
        <v>0.59</v>
      </c>
      <c r="AQ646" s="315">
        <f>IF(ISBLANK(AP670),"",AP670)</f>
        <v>0.59499999999999997</v>
      </c>
      <c r="AR646" s="315">
        <f>IF(ISBLANK(AQ670),"",AQ670)</f>
        <v>0.625</v>
      </c>
      <c r="AS646" s="315">
        <f>IF(ISBLANK(AR670),"",AR670)</f>
        <v>0.64500000000000002</v>
      </c>
      <c r="AT646" s="1128" t="str">
        <f>IF(ISBLANK(AN695),"",AN695)</f>
        <v/>
      </c>
      <c r="AU646" s="315">
        <f>IF(ISBLANK(AS670),"",AS670)</f>
        <v>0.65400000000000003</v>
      </c>
      <c r="AV646" s="315">
        <f>IF(ISBLANK(AU670),"",AU670)</f>
        <v>0.66</v>
      </c>
      <c r="AW646" s="315">
        <f>IF(ISBLANK(AV670),"",AV670)</f>
        <v>0.65500000000000003</v>
      </c>
      <c r="AX646" s="315">
        <f>IF(ISBLANK(AW670),"",AW670)</f>
        <v>0.65500000000000003</v>
      </c>
      <c r="AY646" s="1128" t="str">
        <f>IF(ISBLANK(AS695),"",AS695)</f>
        <v/>
      </c>
      <c r="AZ646" s="315">
        <f>IF(ISBLANK(AX670),"",AX670)</f>
        <v>0.66</v>
      </c>
      <c r="BA646" s="315">
        <f>IF(ISBLANK(AZ670),"",AZ670)</f>
        <v>0.66500000000000004</v>
      </c>
      <c r="BB646" s="315">
        <f>IF(ISBLANK(BA670),"",BA670)</f>
        <v>0.67</v>
      </c>
      <c r="BC646" s="315">
        <f>IF(ISBLANK(BB670),"",BB670)</f>
        <v>0.67</v>
      </c>
      <c r="BD646" s="1128" t="str">
        <f>IF(ISBLANK(AX695),"",AX695)</f>
        <v/>
      </c>
      <c r="BE646" s="315">
        <f>IF(ISBLANK(BC670),"",BC670)</f>
        <v>0.67</v>
      </c>
      <c r="BF646" s="315">
        <f>IF(ISBLANK(BE670),"",BE670)</f>
        <v>0.67099999999999993</v>
      </c>
      <c r="BG646" s="315">
        <f>IF(ISBLANK(BF670),"",BF670)</f>
        <v>0.65</v>
      </c>
      <c r="BH646" s="315">
        <f>IF(ISBLANK(BG670),"",BG670)</f>
        <v>0.66</v>
      </c>
      <c r="BI646" s="1128" t="str">
        <f>IF(ISBLANK(BC695),"",BC695)</f>
        <v/>
      </c>
      <c r="BJ646" s="315">
        <f>IF(ISBLANK(BH670),"",BH670)</f>
        <v>0.66500000000000004</v>
      </c>
      <c r="BK646" s="315">
        <f>IF(ISBLANK(BJ670),"",BJ670)</f>
        <v>0.7</v>
      </c>
      <c r="BL646" s="315">
        <f>IF(ISBLANK(BK670),"",BK670)</f>
        <v>0.72499999999999998</v>
      </c>
      <c r="BM646" s="315">
        <f>IF(ISBLANK(BL670),"",BL670)</f>
        <v>0.755</v>
      </c>
      <c r="BN646" s="1128" t="str">
        <f>IF(ISBLANK(BH695),"",BH695)</f>
        <v/>
      </c>
      <c r="BO646" s="315">
        <f>IF(ISBLANK(BM670),"",BM670)</f>
        <v>0.77</v>
      </c>
      <c r="BP646" s="315">
        <f>IF(ISBLANK(BO670),"",BO670)</f>
        <v>0.755</v>
      </c>
      <c r="BQ646" s="315">
        <f>IF(ISBLANK(BP670),"",BP670)</f>
        <v>0.75</v>
      </c>
      <c r="BR646" s="315">
        <f>IF(ISBLANK(BQ670),"",BQ670)</f>
        <v>0.73499999999999999</v>
      </c>
      <c r="BS646" s="1128" t="str">
        <f>IF(ISBLANK(BM695),"",BM695)</f>
        <v/>
      </c>
      <c r="BT646" s="315">
        <f>IF(ISBLANK(BR670),"",BR670)</f>
        <v>0.71</v>
      </c>
      <c r="BU646" s="315">
        <f>IF(ISBLANK(BT670),"",BT670)</f>
        <v>0.72</v>
      </c>
      <c r="BV646" s="315">
        <f>IF(ISBLANK(BU670),"",BU670)</f>
        <v>0.73499999999999999</v>
      </c>
      <c r="BW646" s="315">
        <f>IF(ISBLANK(BV670),"",BV670)</f>
        <v>0.75</v>
      </c>
      <c r="BX646" s="1128" t="str">
        <f>IF(ISBLANK(BR695),"",BR695)</f>
        <v/>
      </c>
      <c r="BY646" s="897">
        <f>IF(ISBLANK(BW670),"",BW670)</f>
        <v>0.75</v>
      </c>
      <c r="BZ646" s="315">
        <f>IF(ISBLANK(BY670),"",BY670)</f>
        <v>0.75</v>
      </c>
      <c r="CA646" s="315" t="str">
        <f>IF(ISBLANK(BZ670),"",BZ670)</f>
        <v/>
      </c>
      <c r="CB646" s="315" t="str">
        <f>IF(ISBLANK(CA670),"",CA670)</f>
        <v/>
      </c>
      <c r="CC646" s="1128" t="str">
        <f>IF(ISBLANK(BW695),"",BW695)</f>
        <v/>
      </c>
      <c r="CD646" s="315" t="str">
        <f>IF(ISBLANK(CB670),"",CB670)</f>
        <v/>
      </c>
      <c r="CE646" s="315" t="str">
        <f>IF(ISBLANK(CD670),"",CD670)</f>
        <v/>
      </c>
      <c r="CF646" s="315" t="str">
        <f>IF(ISBLANK(CE670),"",CE670)</f>
        <v/>
      </c>
      <c r="CG646" s="315" t="str">
        <f>IF(ISBLANK(CF670),"",CF670)</f>
        <v/>
      </c>
      <c r="CH646" s="1128" t="str">
        <f>IF(ISBLANK(CB695),"",CB695)</f>
        <v/>
      </c>
      <c r="CI646" s="1128"/>
      <c r="CJ646" s="1128"/>
      <c r="CK646" s="1128"/>
      <c r="CL646" s="93"/>
    </row>
    <row r="647" spans="1:90" ht="15" hidden="1" customHeight="1" outlineLevel="2" x14ac:dyDescent="0.3">
      <c r="A647" s="647" t="s">
        <v>979</v>
      </c>
      <c r="B647" s="428"/>
      <c r="C647" s="1128"/>
      <c r="D647" s="1128"/>
      <c r="E647" s="1128"/>
      <c r="F647" s="1128"/>
      <c r="G647" s="315"/>
      <c r="H647" s="315"/>
      <c r="I647" s="315"/>
      <c r="J647" s="315"/>
      <c r="K647" s="1128"/>
      <c r="L647" s="315"/>
      <c r="M647" s="315"/>
      <c r="N647" s="315"/>
      <c r="O647" s="315"/>
      <c r="P647" s="1128"/>
      <c r="Q647" s="315"/>
      <c r="R647" s="315"/>
      <c r="S647" s="315"/>
      <c r="T647" s="315"/>
      <c r="U647" s="1128"/>
      <c r="V647" s="315"/>
      <c r="W647" s="315"/>
      <c r="X647" s="315"/>
      <c r="Y647" s="315"/>
      <c r="Z647" s="1128"/>
      <c r="AA647" s="315"/>
      <c r="AB647" s="315"/>
      <c r="AC647" s="315"/>
      <c r="AD647" s="315"/>
      <c r="AE647" s="1128"/>
      <c r="AF647" s="315"/>
      <c r="AG647" s="315"/>
      <c r="AH647" s="315"/>
      <c r="AI647" s="315"/>
      <c r="AJ647" s="1128" t="str">
        <f>IF(ISBLANK(AF695),"",AF695)</f>
        <v/>
      </c>
      <c r="AK647" s="315"/>
      <c r="AL647" s="315"/>
      <c r="AM647" s="315"/>
      <c r="AN647" s="315"/>
      <c r="AO647" s="1128" t="str">
        <f>IF(ISBLANK(AK695),"",AK695)</f>
        <v/>
      </c>
      <c r="AP647" s="315"/>
      <c r="AQ647" s="315"/>
      <c r="AR647" s="315"/>
      <c r="AS647" s="315"/>
      <c r="AT647" s="1128" t="str">
        <f>IF(ISBLANK(AP695),"",AP695)</f>
        <v/>
      </c>
      <c r="AU647" s="315"/>
      <c r="AV647" s="315"/>
      <c r="AW647" s="315"/>
      <c r="AX647" s="315"/>
      <c r="AY647" s="1128" t="str">
        <f>IF(ISBLANK(AU695),"",AU695)</f>
        <v/>
      </c>
      <c r="AZ647" s="315"/>
      <c r="BA647" s="315"/>
      <c r="BB647" s="315"/>
      <c r="BC647" s="315"/>
      <c r="BD647" s="1128" t="str">
        <f>IF(ISBLANK(AZ695),"",AZ695)</f>
        <v/>
      </c>
      <c r="BE647" s="315"/>
      <c r="BF647" s="315"/>
      <c r="BG647" s="315"/>
      <c r="BH647" s="315"/>
      <c r="BI647" s="1128" t="str">
        <f>IF(ISBLANK(BE695),"",BE695)</f>
        <v/>
      </c>
      <c r="BJ647" s="315"/>
      <c r="BK647" s="315"/>
      <c r="BL647" s="315"/>
      <c r="BM647" s="315"/>
      <c r="BN647" s="1128" t="str">
        <f>IF(ISBLANK(BJ695),"",BJ695)</f>
        <v/>
      </c>
      <c r="BO647" s="315"/>
      <c r="BP647" s="315"/>
      <c r="BQ647" s="315"/>
      <c r="BR647" s="315"/>
      <c r="BS647" s="1128">
        <f>IF(ISBLANK(BO695),"",BO695)</f>
        <v>0.75</v>
      </c>
      <c r="BT647" s="315"/>
      <c r="BU647" s="315"/>
      <c r="BV647" s="315"/>
      <c r="BW647" s="315"/>
      <c r="BX647" s="1128" t="str">
        <f>IF(ISBLANK(BT695),"",BT695)</f>
        <v/>
      </c>
      <c r="BY647" s="897"/>
      <c r="BZ647" s="315"/>
      <c r="CA647" s="315"/>
      <c r="CB647" s="315"/>
      <c r="CC647" s="1128" t="str">
        <f>IF(ISBLANK(BY695),"",BY695)</f>
        <v/>
      </c>
      <c r="CD647" s="315"/>
      <c r="CE647" s="315"/>
      <c r="CF647" s="315"/>
      <c r="CG647" s="315"/>
      <c r="CH647" s="1128" t="str">
        <f>IF(ISBLANK(CD695),"",CD695)</f>
        <v/>
      </c>
      <c r="CI647" s="1128"/>
      <c r="CJ647" s="1128"/>
      <c r="CK647" s="1128"/>
      <c r="CL647" s="93"/>
    </row>
    <row r="648" spans="1:90" ht="15" hidden="1" customHeight="1" outlineLevel="2" x14ac:dyDescent="0.3">
      <c r="A648" s="647" t="s">
        <v>980</v>
      </c>
      <c r="B648" s="428"/>
      <c r="C648" s="1128"/>
      <c r="D648" s="1128"/>
      <c r="E648" s="1128"/>
      <c r="F648" s="1128"/>
      <c r="G648" s="315"/>
      <c r="H648" s="315"/>
      <c r="I648" s="315"/>
      <c r="J648" s="315"/>
      <c r="K648" s="1128"/>
      <c r="L648" s="315"/>
      <c r="M648" s="315"/>
      <c r="N648" s="315"/>
      <c r="O648" s="315"/>
      <c r="P648" s="1128"/>
      <c r="Q648" s="315"/>
      <c r="R648" s="315"/>
      <c r="S648" s="315"/>
      <c r="T648" s="315"/>
      <c r="U648" s="1128"/>
      <c r="V648" s="315"/>
      <c r="W648" s="315"/>
      <c r="X648" s="315"/>
      <c r="Y648" s="315"/>
      <c r="Z648" s="1128"/>
      <c r="AA648" s="315"/>
      <c r="AB648" s="315"/>
      <c r="AC648" s="315"/>
      <c r="AD648" s="315"/>
      <c r="AE648" s="1128"/>
      <c r="AF648" s="315"/>
      <c r="AG648" s="315"/>
      <c r="AH648" s="315"/>
      <c r="AI648" s="315"/>
      <c r="AJ648" s="1128" t="str">
        <f>IF(ISBLANK(AG695),"",AG695)</f>
        <v/>
      </c>
      <c r="AK648" s="315"/>
      <c r="AL648" s="315"/>
      <c r="AM648" s="315"/>
      <c r="AN648" s="315"/>
      <c r="AO648" s="1128" t="str">
        <f>IF(ISBLANK(AL695),"",AL695)</f>
        <v/>
      </c>
      <c r="AP648" s="315"/>
      <c r="AQ648" s="315"/>
      <c r="AR648" s="315"/>
      <c r="AS648" s="315"/>
      <c r="AT648" s="1128" t="str">
        <f>IF(ISBLANK(AQ695),"",AQ695)</f>
        <v/>
      </c>
      <c r="AU648" s="315"/>
      <c r="AV648" s="315"/>
      <c r="AW648" s="315"/>
      <c r="AX648" s="315"/>
      <c r="AY648" s="1128" t="str">
        <f>IF(ISBLANK(AV695),"",AV695)</f>
        <v/>
      </c>
      <c r="AZ648" s="315"/>
      <c r="BA648" s="315"/>
      <c r="BB648" s="315"/>
      <c r="BC648" s="315"/>
      <c r="BD648" s="1128" t="str">
        <f>IF(ISBLANK(BA695),"",BA695)</f>
        <v/>
      </c>
      <c r="BE648" s="315"/>
      <c r="BF648" s="315"/>
      <c r="BG648" s="315"/>
      <c r="BH648" s="315"/>
      <c r="BI648" s="1128" t="str">
        <f>IF(ISBLANK(BF695),"",BF695)</f>
        <v/>
      </c>
      <c r="BJ648" s="315"/>
      <c r="BK648" s="315"/>
      <c r="BL648" s="315"/>
      <c r="BM648" s="315"/>
      <c r="BN648" s="1128" t="str">
        <f>IF(ISBLANK(BK695),"",BK695)</f>
        <v/>
      </c>
      <c r="BO648" s="315"/>
      <c r="BP648" s="315"/>
      <c r="BQ648" s="315"/>
      <c r="BR648" s="315"/>
      <c r="BS648" s="1128">
        <f>IF(ISBLANK(BP695),"",BP695)</f>
        <v>0.75</v>
      </c>
      <c r="BT648" s="315"/>
      <c r="BU648" s="315"/>
      <c r="BV648" s="315"/>
      <c r="BW648" s="315"/>
      <c r="BX648" s="1128" t="str">
        <f>IF(ISBLANK(BU695),"",BU695)</f>
        <v/>
      </c>
      <c r="BY648" s="897"/>
      <c r="BZ648" s="315"/>
      <c r="CA648" s="315"/>
      <c r="CB648" s="315"/>
      <c r="CC648" s="1128" t="str">
        <f>IF(ISBLANK(BZ695),"",BZ695)</f>
        <v/>
      </c>
      <c r="CD648" s="315"/>
      <c r="CE648" s="315"/>
      <c r="CF648" s="315"/>
      <c r="CG648" s="315"/>
      <c r="CH648" s="1128" t="str">
        <f>IF(ISBLANK(CE695),"",CE695)</f>
        <v/>
      </c>
      <c r="CI648" s="1128"/>
      <c r="CJ648" s="1128"/>
      <c r="CK648" s="1128"/>
      <c r="CL648" s="93"/>
    </row>
    <row r="649" spans="1:90" ht="15" hidden="1" customHeight="1" outlineLevel="2" x14ac:dyDescent="0.3">
      <c r="A649" s="816" t="s">
        <v>981</v>
      </c>
      <c r="B649" s="718"/>
      <c r="C649" s="1138"/>
      <c r="D649" s="1138"/>
      <c r="E649" s="1138"/>
      <c r="F649" s="1138"/>
      <c r="G649" s="699"/>
      <c r="H649" s="699"/>
      <c r="I649" s="699"/>
      <c r="J649" s="699"/>
      <c r="K649" s="1138"/>
      <c r="L649" s="699"/>
      <c r="M649" s="699"/>
      <c r="N649" s="699"/>
      <c r="O649" s="699"/>
      <c r="P649" s="1138"/>
      <c r="Q649" s="699"/>
      <c r="R649" s="699"/>
      <c r="S649" s="699"/>
      <c r="T649" s="699"/>
      <c r="U649" s="1138"/>
      <c r="V649" s="699"/>
      <c r="W649" s="699"/>
      <c r="X649" s="699"/>
      <c r="Y649" s="699"/>
      <c r="Z649" s="1138"/>
      <c r="AA649" s="699"/>
      <c r="AB649" s="699"/>
      <c r="AC649" s="699"/>
      <c r="AD649" s="699"/>
      <c r="AE649" s="1138"/>
      <c r="AF649" s="699"/>
      <c r="AG649" s="699"/>
      <c r="AH649" s="699"/>
      <c r="AI649" s="699"/>
      <c r="AJ649" s="1138" t="str">
        <f>IF(ISBLANK(AH695),"",AH695)</f>
        <v/>
      </c>
      <c r="AK649" s="699"/>
      <c r="AL649" s="699"/>
      <c r="AM649" s="699"/>
      <c r="AN649" s="699"/>
      <c r="AO649" s="1138" t="str">
        <f>IF(ISBLANK(AM695),"",AM695)</f>
        <v/>
      </c>
      <c r="AP649" s="699"/>
      <c r="AQ649" s="699"/>
      <c r="AR649" s="699"/>
      <c r="AS649" s="699"/>
      <c r="AT649" s="1138" t="str">
        <f>IF(ISBLANK(AR695),"",AR695)</f>
        <v/>
      </c>
      <c r="AU649" s="699"/>
      <c r="AV649" s="699"/>
      <c r="AW649" s="699"/>
      <c r="AX649" s="699"/>
      <c r="AY649" s="1138" t="str">
        <f>IF(ISBLANK(AW695),"",AW695)</f>
        <v/>
      </c>
      <c r="AZ649" s="699"/>
      <c r="BA649" s="699"/>
      <c r="BB649" s="699"/>
      <c r="BC649" s="699"/>
      <c r="BD649" s="1138" t="str">
        <f>IF(ISBLANK(BB695),"",BB695)</f>
        <v/>
      </c>
      <c r="BE649" s="699"/>
      <c r="BF649" s="699"/>
      <c r="BG649" s="699"/>
      <c r="BH649" s="699"/>
      <c r="BI649" s="1138" t="str">
        <f>IF(ISBLANK(BG695),"",BG695)</f>
        <v/>
      </c>
      <c r="BJ649" s="699"/>
      <c r="BK649" s="699"/>
      <c r="BL649" s="699"/>
      <c r="BM649" s="699"/>
      <c r="BN649" s="1138" t="str">
        <f>IF(ISBLANK(BL695),"",BL695)</f>
        <v/>
      </c>
      <c r="BO649" s="699"/>
      <c r="BP649" s="699"/>
      <c r="BQ649" s="699"/>
      <c r="BR649" s="699"/>
      <c r="BS649" s="1138" t="str">
        <f>IF(ISBLANK(BQ695),"",BQ695)</f>
        <v/>
      </c>
      <c r="BT649" s="699"/>
      <c r="BU649" s="699"/>
      <c r="BV649" s="699"/>
      <c r="BW649" s="699"/>
      <c r="BX649" s="1138" t="str">
        <f>IF(ISBLANK(BV695),"",BV695)</f>
        <v/>
      </c>
      <c r="BY649" s="901"/>
      <c r="BZ649" s="699"/>
      <c r="CA649" s="699"/>
      <c r="CB649" s="699"/>
      <c r="CC649" s="1138" t="str">
        <f>IF(ISBLANK(CA695),"",CA695)</f>
        <v/>
      </c>
      <c r="CD649" s="699"/>
      <c r="CE649" s="699"/>
      <c r="CF649" s="699"/>
      <c r="CG649" s="699"/>
      <c r="CH649" s="1138" t="str">
        <f>IF(ISBLANK(CF695),"",CF695)</f>
        <v/>
      </c>
      <c r="CI649" s="1138"/>
      <c r="CJ649" s="1138"/>
      <c r="CK649" s="1138"/>
      <c r="CL649" s="93"/>
    </row>
    <row r="650" spans="1:90" ht="15" hidden="1" customHeight="1" outlineLevel="1" collapsed="1" x14ac:dyDescent="0.3">
      <c r="A650" s="621" t="s">
        <v>982</v>
      </c>
      <c r="B650" s="428"/>
      <c r="C650" s="1128"/>
      <c r="D650" s="1128"/>
      <c r="E650" s="1128"/>
      <c r="F650" s="1128"/>
      <c r="G650" s="315"/>
      <c r="H650" s="315"/>
      <c r="I650" s="315"/>
      <c r="J650" s="315"/>
      <c r="K650" s="1128"/>
      <c r="L650" s="315"/>
      <c r="M650" s="315"/>
      <c r="N650" s="315"/>
      <c r="O650" s="315"/>
      <c r="P650" s="1128"/>
      <c r="Q650" s="315"/>
      <c r="R650" s="315"/>
      <c r="S650" s="315"/>
      <c r="T650" s="315"/>
      <c r="U650" s="1128"/>
      <c r="V650" s="315"/>
      <c r="W650" s="315"/>
      <c r="X650" s="315"/>
      <c r="Y650" s="315"/>
      <c r="Z650" s="1128"/>
      <c r="AA650" s="315"/>
      <c r="AB650" s="315"/>
      <c r="AC650" s="315"/>
      <c r="AD650" s="315"/>
      <c r="AE650" s="1128"/>
      <c r="AF650" s="315"/>
      <c r="AG650" s="315"/>
      <c r="AH650" s="315"/>
      <c r="AI650" s="315">
        <f t="shared" ref="AI650:AL650" si="1550">IF(AI649="",IF(AI648="",IF(AI647="",IF(AI646="","",AI646),AI647),AI648),AI649)</f>
        <v>0.6</v>
      </c>
      <c r="AJ650" s="1128" t="str">
        <f t="shared" si="1550"/>
        <v/>
      </c>
      <c r="AK650" s="315">
        <f t="shared" si="1550"/>
        <v>0.63</v>
      </c>
      <c r="AL650" s="315">
        <f t="shared" si="1550"/>
        <v>0.63500000000000001</v>
      </c>
      <c r="AM650" s="315">
        <f t="shared" ref="AM650:BL650" si="1551">IF(AM649="",IF(AM648="",IF(AM647="",IF(AM646="","",AM646),AM647),AM648),AM649)</f>
        <v>0.628</v>
      </c>
      <c r="AN650" s="315">
        <f t="shared" si="1551"/>
        <v>0.625</v>
      </c>
      <c r="AO650" s="1128" t="str">
        <f t="shared" si="1551"/>
        <v/>
      </c>
      <c r="AP650" s="315">
        <f t="shared" si="1551"/>
        <v>0.59</v>
      </c>
      <c r="AQ650" s="315">
        <f t="shared" si="1551"/>
        <v>0.59499999999999997</v>
      </c>
      <c r="AR650" s="315">
        <f t="shared" si="1551"/>
        <v>0.625</v>
      </c>
      <c r="AS650" s="315">
        <f t="shared" si="1551"/>
        <v>0.64500000000000002</v>
      </c>
      <c r="AT650" s="1128" t="str">
        <f t="shared" si="1551"/>
        <v/>
      </c>
      <c r="AU650" s="315">
        <f t="shared" si="1551"/>
        <v>0.65400000000000003</v>
      </c>
      <c r="AV650" s="315">
        <f t="shared" si="1551"/>
        <v>0.66</v>
      </c>
      <c r="AW650" s="315">
        <f t="shared" si="1551"/>
        <v>0.65500000000000003</v>
      </c>
      <c r="AX650" s="315">
        <f t="shared" si="1551"/>
        <v>0.65500000000000003</v>
      </c>
      <c r="AY650" s="1128" t="str">
        <f t="shared" si="1551"/>
        <v/>
      </c>
      <c r="AZ650" s="315">
        <f t="shared" si="1551"/>
        <v>0.66</v>
      </c>
      <c r="BA650" s="315">
        <f t="shared" si="1551"/>
        <v>0.66500000000000004</v>
      </c>
      <c r="BB650" s="315">
        <f t="shared" si="1551"/>
        <v>0.67</v>
      </c>
      <c r="BC650" s="315">
        <f t="shared" si="1551"/>
        <v>0.67</v>
      </c>
      <c r="BD650" s="1128" t="str">
        <f t="shared" si="1551"/>
        <v/>
      </c>
      <c r="BE650" s="315">
        <f t="shared" si="1551"/>
        <v>0.67</v>
      </c>
      <c r="BF650" s="315">
        <f t="shared" si="1551"/>
        <v>0.67099999999999993</v>
      </c>
      <c r="BG650" s="315">
        <f t="shared" si="1551"/>
        <v>0.65</v>
      </c>
      <c r="BH650" s="315">
        <f t="shared" si="1551"/>
        <v>0.66</v>
      </c>
      <c r="BI650" s="1128" t="str">
        <f t="shared" si="1551"/>
        <v/>
      </c>
      <c r="BJ650" s="315">
        <f t="shared" si="1551"/>
        <v>0.66500000000000004</v>
      </c>
      <c r="BK650" s="315">
        <f t="shared" si="1551"/>
        <v>0.7</v>
      </c>
      <c r="BL650" s="315">
        <f t="shared" si="1551"/>
        <v>0.72499999999999998</v>
      </c>
      <c r="BM650" s="315">
        <f t="shared" ref="BM650:BN650" si="1552">IF(BM649="",IF(BM648="",IF(BM647="",IF(BM646="","",BM646),BM647),BM648),BM649)</f>
        <v>0.755</v>
      </c>
      <c r="BN650" s="1128" t="str">
        <f t="shared" si="1552"/>
        <v/>
      </c>
      <c r="BO650" s="315">
        <f t="shared" ref="BO650:CC650" si="1553">IF(BO649="",IF(BO648="",IF(BO647="",IF(BO646="","",BO646),BO647),BO648),BO649)</f>
        <v>0.77</v>
      </c>
      <c r="BP650" s="315">
        <f t="shared" si="1553"/>
        <v>0.755</v>
      </c>
      <c r="BQ650" s="315">
        <f t="shared" si="1553"/>
        <v>0.75</v>
      </c>
      <c r="BR650" s="315">
        <f t="shared" si="1553"/>
        <v>0.73499999999999999</v>
      </c>
      <c r="BS650" s="1128">
        <f t="shared" si="1553"/>
        <v>0.75</v>
      </c>
      <c r="BT650" s="315">
        <f t="shared" ref="BT650:CB650" si="1554">IF(BT649="",IF(BT648="",IF(BT647="",IF(BT646="","",BT646),BT647),BT648),BT649)</f>
        <v>0.71</v>
      </c>
      <c r="BU650" s="315">
        <f t="shared" si="1554"/>
        <v>0.72</v>
      </c>
      <c r="BV650" s="315">
        <f t="shared" si="1554"/>
        <v>0.73499999999999999</v>
      </c>
      <c r="BW650" s="315">
        <f t="shared" si="1554"/>
        <v>0.75</v>
      </c>
      <c r="BX650" s="1128" t="str">
        <f t="shared" si="1554"/>
        <v/>
      </c>
      <c r="BY650" s="897">
        <f>IF(BY649="",IF(BY648="",IF(BY647="",IF(BY646="","",BY646),BY647),BY648),BY649)</f>
        <v>0.75</v>
      </c>
      <c r="BZ650" s="315">
        <f t="shared" si="1554"/>
        <v>0.75</v>
      </c>
      <c r="CA650" s="315" t="str">
        <f t="shared" si="1554"/>
        <v/>
      </c>
      <c r="CB650" s="315" t="str">
        <f t="shared" si="1554"/>
        <v/>
      </c>
      <c r="CC650" s="1128" t="str">
        <f t="shared" si="1553"/>
        <v/>
      </c>
      <c r="CD650" s="315" t="str">
        <f>IF(CD649="",IF(CD648="",IF(CD647="",IF(CD646="","",CD646),CD647),CD648),CD649)</f>
        <v/>
      </c>
      <c r="CE650" s="315" t="str">
        <f>IF(CE649="",IF(CE648="",IF(CE647="",IF(CE646="","",CE646),CE647),CE648),CE649)</f>
        <v/>
      </c>
      <c r="CF650" s="315" t="str">
        <f>IF(CF649="",IF(CF648="",IF(CF647="",IF(CF646="","",CF646),CF647),CF648),CF649)</f>
        <v/>
      </c>
      <c r="CG650" s="315" t="str">
        <f>IF(CG649="",IF(CG648="",IF(CG647="",IF(CG646="","",CG646),CG647),CG648),CG649)</f>
        <v/>
      </c>
      <c r="CH650" s="1128" t="str">
        <f>IF(CH649="",IF(CH648="",IF(CH647="",IF(CH646="","",CH646),CH647),CH648),CH649)</f>
        <v/>
      </c>
      <c r="CI650" s="1128"/>
      <c r="CJ650" s="1128"/>
      <c r="CK650" s="1128"/>
      <c r="CL650" s="93"/>
    </row>
    <row r="651" spans="1:90" ht="15" hidden="1" customHeight="1" outlineLevel="1" x14ac:dyDescent="0.3">
      <c r="A651" s="817" t="s">
        <v>983</v>
      </c>
      <c r="B651" s="718"/>
      <c r="C651" s="1138">
        <f t="shared" ref="C651:AH651" si="1555">+C278</f>
        <v>0.34286637785672336</v>
      </c>
      <c r="D651" s="1138">
        <f t="shared" si="1555"/>
        <v>0.35380804432359481</v>
      </c>
      <c r="E651" s="1138">
        <f t="shared" si="1555"/>
        <v>0.39767629636591106</v>
      </c>
      <c r="F651" s="1138">
        <f t="shared" si="1555"/>
        <v>0.51439544964519135</v>
      </c>
      <c r="G651" s="699">
        <f t="shared" si="1555"/>
        <v>0.50100067360308453</v>
      </c>
      <c r="H651" s="699">
        <f t="shared" si="1555"/>
        <v>0.51779616382736271</v>
      </c>
      <c r="I651" s="699">
        <f t="shared" si="1555"/>
        <v>0.52873740771192002</v>
      </c>
      <c r="J651" s="699">
        <f t="shared" si="1555"/>
        <v>0.5290459317988403</v>
      </c>
      <c r="K651" s="1138">
        <f t="shared" si="1555"/>
        <v>0.52015427464260089</v>
      </c>
      <c r="L651" s="699">
        <f t="shared" si="1555"/>
        <v>0.54315158383600126</v>
      </c>
      <c r="M651" s="699">
        <f t="shared" si="1555"/>
        <v>0.55824476739545537</v>
      </c>
      <c r="N651" s="699">
        <f t="shared" si="1555"/>
        <v>0.55449079525260281</v>
      </c>
      <c r="O651" s="699">
        <f t="shared" si="1555"/>
        <v>0.54119232523872229</v>
      </c>
      <c r="P651" s="1138">
        <f t="shared" si="1555"/>
        <v>0.54907361987253767</v>
      </c>
      <c r="Q651" s="699">
        <f t="shared" si="1555"/>
        <v>0.54759746146872168</v>
      </c>
      <c r="R651" s="699">
        <f t="shared" si="1555"/>
        <v>0.56119673617407073</v>
      </c>
      <c r="S651" s="699">
        <f t="shared" si="1555"/>
        <v>0.55183673469387751</v>
      </c>
      <c r="T651" s="699">
        <f t="shared" si="1555"/>
        <v>0.55955235811350912</v>
      </c>
      <c r="U651" s="1138">
        <f t="shared" si="1555"/>
        <v>0.55510465612985904</v>
      </c>
      <c r="V651" s="699">
        <f t="shared" si="1555"/>
        <v>0.56733275412684625</v>
      </c>
      <c r="W651" s="699">
        <f t="shared" si="1555"/>
        <v>0.54986990459670426</v>
      </c>
      <c r="X651" s="699">
        <f t="shared" si="1555"/>
        <v>0.56245210727969353</v>
      </c>
      <c r="Y651" s="699">
        <f t="shared" si="1555"/>
        <v>0.56459671663097788</v>
      </c>
      <c r="Z651" s="1138">
        <f t="shared" si="1555"/>
        <v>0.56107784431137731</v>
      </c>
      <c r="AA651" s="699">
        <f t="shared" si="1555"/>
        <v>0.57547892720306515</v>
      </c>
      <c r="AB651" s="699">
        <f t="shared" si="1555"/>
        <v>0.57843137254901955</v>
      </c>
      <c r="AC651" s="699">
        <f t="shared" si="1555"/>
        <v>0.59031936127744511</v>
      </c>
      <c r="AD651" s="699">
        <f t="shared" si="1555"/>
        <v>0.59963184537505754</v>
      </c>
      <c r="AE651" s="1138">
        <f t="shared" si="1555"/>
        <v>0.58798842257597683</v>
      </c>
      <c r="AF651" s="699">
        <f t="shared" si="1555"/>
        <v>0.59370160041300979</v>
      </c>
      <c r="AG651" s="699">
        <f t="shared" si="1555"/>
        <v>0.58385650224215246</v>
      </c>
      <c r="AH651" s="699">
        <f t="shared" si="1555"/>
        <v>0.59522003034901361</v>
      </c>
      <c r="AI651" s="699">
        <f t="shared" ref="AI651:BL651" si="1556">+AI278</f>
        <v>0.61868773617313644</v>
      </c>
      <c r="AJ651" s="1138">
        <f t="shared" si="1556"/>
        <v>0.59934115709285574</v>
      </c>
      <c r="AK651" s="699">
        <f t="shared" si="1556"/>
        <v>0.6448394137823511</v>
      </c>
      <c r="AL651" s="699">
        <f t="shared" si="1556"/>
        <v>0.63240473903298111</v>
      </c>
      <c r="AM651" s="699">
        <f t="shared" si="1556"/>
        <v>0.60389814523734675</v>
      </c>
      <c r="AN651" s="699">
        <f t="shared" si="1556"/>
        <v>0.54739229024943303</v>
      </c>
      <c r="AO651" s="1138">
        <f t="shared" si="1556"/>
        <v>0.61206896551724133</v>
      </c>
      <c r="AP651" s="699">
        <f t="shared" si="1556"/>
        <v>0.58378378378378382</v>
      </c>
      <c r="AQ651" s="699">
        <f t="shared" si="1556"/>
        <v>0.59751841799146954</v>
      </c>
      <c r="AR651" s="699">
        <f t="shared" si="1556"/>
        <v>0.63570006635700071</v>
      </c>
      <c r="AS651" s="699">
        <f t="shared" si="1556"/>
        <v>0.64895330112721417</v>
      </c>
      <c r="AT651" s="1138">
        <f t="shared" si="1556"/>
        <v>0.61989375343469499</v>
      </c>
      <c r="AU651" s="699">
        <f t="shared" si="1556"/>
        <v>0.6506493506493507</v>
      </c>
      <c r="AV651" s="699">
        <f t="shared" si="1556"/>
        <v>0.58846352819451631</v>
      </c>
      <c r="AW651" s="699">
        <f t="shared" si="1556"/>
        <v>0.62632247143461695</v>
      </c>
      <c r="AX651" s="699">
        <f t="shared" si="1556"/>
        <v>0.6310213871676994</v>
      </c>
      <c r="AY651" s="1138">
        <f t="shared" si="1556"/>
        <v>0.62344827586206897</v>
      </c>
      <c r="AZ651" s="699">
        <f t="shared" si="1556"/>
        <v>0.64105281752340582</v>
      </c>
      <c r="BA651" s="699">
        <f t="shared" si="1556"/>
        <v>0.64776394651913316</v>
      </c>
      <c r="BB651" s="699">
        <f t="shared" si="1556"/>
        <v>0.65197803744896521</v>
      </c>
      <c r="BC651" s="699">
        <f t="shared" si="1556"/>
        <v>0.65406254088708615</v>
      </c>
      <c r="BD651" s="1138">
        <f t="shared" si="1556"/>
        <v>0.64929033216913123</v>
      </c>
      <c r="BE651" s="699">
        <f t="shared" si="1556"/>
        <v>0.65528474903474909</v>
      </c>
      <c r="BF651" s="699">
        <f t="shared" si="1556"/>
        <v>0.43481503579952263</v>
      </c>
      <c r="BG651" s="699">
        <f t="shared" si="1556"/>
        <v>0.53566009104704104</v>
      </c>
      <c r="BH651" s="699">
        <f t="shared" si="1556"/>
        <v>0.63344901669145592</v>
      </c>
      <c r="BI651" s="1138">
        <f t="shared" si="1556"/>
        <v>0.56928894490991322</v>
      </c>
      <c r="BJ651" s="699">
        <f t="shared" si="1556"/>
        <v>0.64627363737486099</v>
      </c>
      <c r="BK651" s="699">
        <f t="shared" si="1556"/>
        <v>0.7005256533649219</v>
      </c>
      <c r="BL651" s="699">
        <f t="shared" si="1556"/>
        <v>0.73951434878587197</v>
      </c>
      <c r="BM651" s="699">
        <f t="shared" ref="BM651:BN651" si="1557">+BM278</f>
        <v>0.75967063294575399</v>
      </c>
      <c r="BN651" s="1138">
        <f t="shared" si="1557"/>
        <v>0.72717573290436954</v>
      </c>
      <c r="BO651" s="699">
        <f t="shared" ref="BO651:BS651" si="1558">+BO278</f>
        <v>0.78352019659038552</v>
      </c>
      <c r="BP651" s="699">
        <f t="shared" si="1558"/>
        <v>0.75146471371504664</v>
      </c>
      <c r="BQ651" s="699">
        <f t="shared" si="1558"/>
        <v>0.74556752750698363</v>
      </c>
      <c r="BR651" s="699">
        <f t="shared" si="1558"/>
        <v>0.73028908494571709</v>
      </c>
      <c r="BS651" s="1138">
        <f t="shared" si="1558"/>
        <v>0.74988697058169917</v>
      </c>
      <c r="BT651" s="699">
        <f t="shared" ref="BT651:CK651" si="1559">+BT278</f>
        <v>0.60523807362353055</v>
      </c>
      <c r="BU651" s="699">
        <f t="shared" si="1559"/>
        <v>0.72423678411740799</v>
      </c>
      <c r="BV651" s="699">
        <f t="shared" si="1559"/>
        <v>0.7341157071185489</v>
      </c>
      <c r="BW651" s="699">
        <f t="shared" si="1559"/>
        <v>0.74996697344665109</v>
      </c>
      <c r="BX651" s="1138">
        <f t="shared" si="1559"/>
        <v>0.71068084357547079</v>
      </c>
      <c r="BY651" s="901">
        <f>+BY278</f>
        <v>0.74933529375727503</v>
      </c>
      <c r="BZ651" s="699">
        <f t="shared" si="1559"/>
        <v>0.7485258969257429</v>
      </c>
      <c r="CA651" s="699">
        <f t="shared" si="1559"/>
        <v>0.74518566466687719</v>
      </c>
      <c r="CB651" s="699">
        <f t="shared" si="1559"/>
        <v>0.76066967575263855</v>
      </c>
      <c r="CC651" s="1138">
        <f t="shared" si="1559"/>
        <v>0.75104438899406301</v>
      </c>
      <c r="CD651" s="699">
        <f t="shared" si="1559"/>
        <v>0.74925424247993622</v>
      </c>
      <c r="CE651" s="699">
        <f t="shared" si="1559"/>
        <v>0.7485258969257429</v>
      </c>
      <c r="CF651" s="699">
        <f t="shared" si="1559"/>
        <v>0.74518566466687719</v>
      </c>
      <c r="CG651" s="699">
        <f t="shared" si="1559"/>
        <v>0.76066967575263855</v>
      </c>
      <c r="CH651" s="1138">
        <f t="shared" si="1559"/>
        <v>0.75098113640895092</v>
      </c>
      <c r="CI651" s="1138">
        <f t="shared" si="1559"/>
        <v>0.74998113640895103</v>
      </c>
      <c r="CJ651" s="1138">
        <f t="shared" si="1559"/>
        <v>0.74998113640895103</v>
      </c>
      <c r="CK651" s="1138">
        <f t="shared" si="1559"/>
        <v>0.74998113640895103</v>
      </c>
      <c r="CL651" s="93"/>
    </row>
    <row r="652" spans="1:90" ht="15" hidden="1" customHeight="1" outlineLevel="1" x14ac:dyDescent="0.3">
      <c r="A652" s="818" t="s">
        <v>984</v>
      </c>
      <c r="B652" s="807"/>
      <c r="C652" s="1199"/>
      <c r="D652" s="1199"/>
      <c r="E652" s="1199"/>
      <c r="F652" s="1199"/>
      <c r="G652" s="819">
        <f t="shared" ref="G652:AL652" si="1560">IFERROR((G651-G650)*10000,"")</f>
        <v>5010.0067360308458</v>
      </c>
      <c r="H652" s="819">
        <f t="shared" si="1560"/>
        <v>5177.9616382736267</v>
      </c>
      <c r="I652" s="819">
        <f t="shared" si="1560"/>
        <v>5287.3740771192006</v>
      </c>
      <c r="J652" s="819">
        <f t="shared" si="1560"/>
        <v>5290.4593179884032</v>
      </c>
      <c r="K652" s="1199">
        <f t="shared" si="1560"/>
        <v>5201.5427464260092</v>
      </c>
      <c r="L652" s="819">
        <f t="shared" si="1560"/>
        <v>5431.5158383600128</v>
      </c>
      <c r="M652" s="819">
        <f t="shared" si="1560"/>
        <v>5582.4476739545535</v>
      </c>
      <c r="N652" s="819">
        <f t="shared" si="1560"/>
        <v>5544.9079525260277</v>
      </c>
      <c r="O652" s="819">
        <f t="shared" si="1560"/>
        <v>5411.9232523872233</v>
      </c>
      <c r="P652" s="1199"/>
      <c r="Q652" s="819"/>
      <c r="R652" s="819"/>
      <c r="S652" s="819"/>
      <c r="T652" s="819"/>
      <c r="U652" s="1199"/>
      <c r="V652" s="819"/>
      <c r="W652" s="819"/>
      <c r="X652" s="819"/>
      <c r="Y652" s="819"/>
      <c r="Z652" s="1199"/>
      <c r="AA652" s="819"/>
      <c r="AB652" s="819"/>
      <c r="AC652" s="819"/>
      <c r="AD652" s="819"/>
      <c r="AE652" s="1199"/>
      <c r="AF652" s="819"/>
      <c r="AG652" s="819"/>
      <c r="AH652" s="819"/>
      <c r="AI652" s="819">
        <f t="shared" si="1560"/>
        <v>186.8773617313646</v>
      </c>
      <c r="AJ652" s="1199" t="str">
        <f t="shared" si="1560"/>
        <v/>
      </c>
      <c r="AK652" s="819">
        <f t="shared" si="1560"/>
        <v>148.39413782351096</v>
      </c>
      <c r="AL652" s="819">
        <f t="shared" si="1560"/>
        <v>-25.952609670188977</v>
      </c>
      <c r="AM652" s="819">
        <f t="shared" ref="AM652:BL652" si="1561">IFERROR((AM651-AM650)*10000,"")</f>
        <v>-241.01854762653252</v>
      </c>
      <c r="AN652" s="819">
        <f t="shared" si="1561"/>
        <v>-776.07709750566971</v>
      </c>
      <c r="AO652" s="1199" t="str">
        <f t="shared" si="1561"/>
        <v/>
      </c>
      <c r="AP652" s="819">
        <f t="shared" si="1561"/>
        <v>-62.162162162161529</v>
      </c>
      <c r="AQ652" s="819">
        <f t="shared" si="1561"/>
        <v>25.184179914695683</v>
      </c>
      <c r="AR652" s="819">
        <f t="shared" si="1561"/>
        <v>107.00066357000715</v>
      </c>
      <c r="AS652" s="819">
        <f t="shared" si="1561"/>
        <v>39.533011272141479</v>
      </c>
      <c r="AT652" s="1199" t="str">
        <f t="shared" si="1561"/>
        <v/>
      </c>
      <c r="AU652" s="819">
        <f t="shared" si="1561"/>
        <v>-33.506493506493264</v>
      </c>
      <c r="AV652" s="819">
        <f t="shared" si="1561"/>
        <v>-715.36471805483723</v>
      </c>
      <c r="AW652" s="819">
        <f t="shared" si="1561"/>
        <v>-286.77528565383079</v>
      </c>
      <c r="AX652" s="819">
        <f t="shared" si="1561"/>
        <v>-239.78612832300627</v>
      </c>
      <c r="AY652" s="1199" t="str">
        <f t="shared" si="1561"/>
        <v/>
      </c>
      <c r="AZ652" s="819">
        <f t="shared" si="1561"/>
        <v>-189.47182476594216</v>
      </c>
      <c r="BA652" s="819">
        <f t="shared" si="1561"/>
        <v>-172.36053480866875</v>
      </c>
      <c r="BB652" s="819">
        <f t="shared" si="1561"/>
        <v>-180.21962551034832</v>
      </c>
      <c r="BC652" s="819">
        <f t="shared" si="1561"/>
        <v>-159.37459112913888</v>
      </c>
      <c r="BD652" s="1199" t="str">
        <f t="shared" si="1561"/>
        <v/>
      </c>
      <c r="BE652" s="819">
        <f t="shared" si="1561"/>
        <v>-147.15250965250948</v>
      </c>
      <c r="BF652" s="819">
        <f t="shared" si="1561"/>
        <v>-2361.8496420047732</v>
      </c>
      <c r="BG652" s="819">
        <f t="shared" si="1561"/>
        <v>-1143.3990895295899</v>
      </c>
      <c r="BH652" s="819">
        <f t="shared" si="1561"/>
        <v>-265.50983308544107</v>
      </c>
      <c r="BI652" s="1199" t="str">
        <f t="shared" si="1561"/>
        <v/>
      </c>
      <c r="BJ652" s="819">
        <f t="shared" si="1561"/>
        <v>-187.26362625139049</v>
      </c>
      <c r="BK652" s="819">
        <f t="shared" si="1561"/>
        <v>5.2565336492194081</v>
      </c>
      <c r="BL652" s="819">
        <f t="shared" si="1561"/>
        <v>145.14348785871988</v>
      </c>
      <c r="BM652" s="819">
        <f t="shared" ref="BM652:BN652" si="1562">IFERROR((BM651-BM650)*10000,"")</f>
        <v>46.70632945753983</v>
      </c>
      <c r="BN652" s="1199" t="str">
        <f t="shared" si="1562"/>
        <v/>
      </c>
      <c r="BO652" s="819">
        <f t="shared" ref="BO652:CC652" si="1563">IFERROR((BO651-BO650)*10000,"")</f>
        <v>135.20196590385501</v>
      </c>
      <c r="BP652" s="819">
        <f t="shared" si="1563"/>
        <v>-35.352862849533651</v>
      </c>
      <c r="BQ652" s="819">
        <f t="shared" si="1563"/>
        <v>-44.324724930163704</v>
      </c>
      <c r="BR652" s="819">
        <f t="shared" si="1563"/>
        <v>-47.109150542828935</v>
      </c>
      <c r="BS652" s="1199">
        <f t="shared" si="1563"/>
        <v>-1.1302941830082514</v>
      </c>
      <c r="BT652" s="819">
        <f t="shared" ref="BT652:CB652" si="1564">IFERROR((BT651-BT650)*10000,"")</f>
        <v>-1047.6192637646941</v>
      </c>
      <c r="BU652" s="819">
        <f t="shared" si="1564"/>
        <v>42.367841174080212</v>
      </c>
      <c r="BV652" s="819">
        <f t="shared" si="1564"/>
        <v>-8.8429288145108753</v>
      </c>
      <c r="BW652" s="819">
        <f t="shared" si="1564"/>
        <v>-0.33026553348913801</v>
      </c>
      <c r="BX652" s="1199" t="str">
        <f t="shared" si="1564"/>
        <v/>
      </c>
      <c r="BY652" s="930">
        <f>IFERROR((BY651-BY650)*10000,"")</f>
        <v>-6.6470624272496615</v>
      </c>
      <c r="BZ652" s="819">
        <f t="shared" si="1564"/>
        <v>-14.741030742571049</v>
      </c>
      <c r="CA652" s="819" t="str">
        <f t="shared" si="1564"/>
        <v/>
      </c>
      <c r="CB652" s="819" t="str">
        <f t="shared" si="1564"/>
        <v/>
      </c>
      <c r="CC652" s="1199" t="str">
        <f t="shared" si="1563"/>
        <v/>
      </c>
      <c r="CD652" s="819" t="str">
        <f>IFERROR((CD651-CD650)*10000,"")</f>
        <v/>
      </c>
      <c r="CE652" s="819" t="str">
        <f>IFERROR((CE651-CE650)*10000,"")</f>
        <v/>
      </c>
      <c r="CF652" s="819" t="str">
        <f>IFERROR((CF651-CF650)*10000,"")</f>
        <v/>
      </c>
      <c r="CG652" s="819" t="str">
        <f>IFERROR((CG651-CG650)*10000,"")</f>
        <v/>
      </c>
      <c r="CH652" s="1199" t="str">
        <f>IFERROR((CH651-CH650)*10000,"")</f>
        <v/>
      </c>
      <c r="CI652" s="1199"/>
      <c r="CJ652" s="1199"/>
      <c r="CK652" s="1199"/>
      <c r="CL652" s="93"/>
    </row>
    <row r="653" spans="1:90" ht="15" hidden="1" customHeight="1" outlineLevel="2" x14ac:dyDescent="0.3">
      <c r="A653" s="799"/>
      <c r="B653" s="428"/>
      <c r="C653" s="1136"/>
      <c r="D653" s="1136"/>
      <c r="E653" s="1136"/>
      <c r="F653" s="1136"/>
      <c r="G653" s="93"/>
      <c r="H653" s="93"/>
      <c r="I653" s="93"/>
      <c r="J653" s="93"/>
      <c r="K653" s="1136"/>
      <c r="L653" s="93"/>
      <c r="M653" s="93"/>
      <c r="N653" s="93"/>
      <c r="O653" s="93"/>
      <c r="P653" s="1136"/>
      <c r="Q653" s="93"/>
      <c r="R653" s="93"/>
      <c r="S653" s="93"/>
      <c r="T653" s="93"/>
      <c r="U653" s="1136"/>
      <c r="V653" s="93"/>
      <c r="W653" s="93"/>
      <c r="X653" s="93"/>
      <c r="Y653" s="93"/>
      <c r="Z653" s="1136"/>
      <c r="AA653" s="93"/>
      <c r="AB653" s="93"/>
      <c r="AC653" s="93"/>
      <c r="AD653" s="93"/>
      <c r="AE653" s="1136"/>
      <c r="AF653" s="93"/>
      <c r="AG653" s="93"/>
      <c r="AH653" s="93"/>
      <c r="AI653" s="93"/>
      <c r="AJ653" s="1136"/>
      <c r="AK653" s="93"/>
      <c r="AL653" s="93"/>
      <c r="AM653" s="93"/>
      <c r="AN653" s="93"/>
      <c r="AO653" s="1136"/>
      <c r="AP653" s="93"/>
      <c r="AQ653" s="93"/>
      <c r="AR653" s="93"/>
      <c r="AS653" s="93"/>
      <c r="AT653" s="1136"/>
      <c r="AU653" s="93"/>
      <c r="AV653" s="93"/>
      <c r="AW653" s="93"/>
      <c r="AX653" s="93"/>
      <c r="AY653" s="1136"/>
      <c r="AZ653" s="93"/>
      <c r="BA653" s="93"/>
      <c r="BB653" s="93"/>
      <c r="BC653" s="93"/>
      <c r="BD653" s="1136"/>
      <c r="BE653" s="93"/>
      <c r="BF653" s="93"/>
      <c r="BG653" s="93"/>
      <c r="BH653" s="93"/>
      <c r="BI653" s="1136"/>
      <c r="BJ653" s="93"/>
      <c r="BK653" s="93"/>
      <c r="BL653" s="93"/>
      <c r="BM653" s="93"/>
      <c r="BN653" s="1136"/>
      <c r="BO653" s="93"/>
      <c r="BP653" s="93"/>
      <c r="BQ653" s="93"/>
      <c r="BR653" s="93"/>
      <c r="BS653" s="1136"/>
      <c r="BT653" s="93"/>
      <c r="BU653" s="93"/>
      <c r="BV653" s="93"/>
      <c r="BW653" s="93"/>
      <c r="BX653" s="1136"/>
      <c r="BY653" s="522"/>
      <c r="BZ653" s="93"/>
      <c r="CA653" s="93"/>
      <c r="CB653" s="93"/>
      <c r="CC653" s="1136"/>
      <c r="CD653" s="93"/>
      <c r="CE653" s="93"/>
      <c r="CF653" s="93"/>
      <c r="CG653" s="93"/>
      <c r="CH653" s="1136"/>
      <c r="CI653" s="1136"/>
      <c r="CJ653" s="1136"/>
      <c r="CK653" s="1136"/>
      <c r="CL653" s="93"/>
    </row>
    <row r="654" spans="1:90" ht="15" hidden="1" customHeight="1" outlineLevel="2" x14ac:dyDescent="0.3">
      <c r="A654" s="605" t="s">
        <v>962</v>
      </c>
      <c r="B654" s="428"/>
      <c r="C654" s="1194"/>
      <c r="D654" s="1194"/>
      <c r="E654" s="1194"/>
      <c r="F654" s="1194"/>
      <c r="G654" s="800"/>
      <c r="H654" s="800"/>
      <c r="I654" s="800"/>
      <c r="J654" s="800"/>
      <c r="K654" s="1194"/>
      <c r="L654" s="800"/>
      <c r="M654" s="800"/>
      <c r="N654" s="800"/>
      <c r="O654" s="800"/>
      <c r="P654" s="1194"/>
      <c r="Q654" s="800"/>
      <c r="R654" s="800"/>
      <c r="S654" s="800"/>
      <c r="T654" s="800"/>
      <c r="U654" s="1194"/>
      <c r="V654" s="800"/>
      <c r="W654" s="800"/>
      <c r="X654" s="800"/>
      <c r="Y654" s="800"/>
      <c r="Z654" s="1194"/>
      <c r="AA654" s="800"/>
      <c r="AB654" s="800"/>
      <c r="AC654" s="800"/>
      <c r="AD654" s="800"/>
      <c r="AE654" s="1194"/>
      <c r="AF654" s="800"/>
      <c r="AG654" s="800"/>
      <c r="AH654" s="800"/>
      <c r="AI654" s="800">
        <f t="shared" ref="AI654:BL654" si="1565">AI1093</f>
        <v>43139</v>
      </c>
      <c r="AJ654" s="1194">
        <f t="shared" si="1565"/>
        <v>43139</v>
      </c>
      <c r="AK654" s="800">
        <f t="shared" si="1565"/>
        <v>43230</v>
      </c>
      <c r="AL654" s="800">
        <f t="shared" si="1565"/>
        <v>43328</v>
      </c>
      <c r="AM654" s="800">
        <f t="shared" si="1565"/>
        <v>43419</v>
      </c>
      <c r="AN654" s="800">
        <f t="shared" si="1565"/>
        <v>43510</v>
      </c>
      <c r="AO654" s="1194">
        <f t="shared" si="1565"/>
        <v>43510</v>
      </c>
      <c r="AP654" s="800">
        <f t="shared" si="1565"/>
        <v>43601</v>
      </c>
      <c r="AQ654" s="800">
        <f t="shared" si="1565"/>
        <v>43692</v>
      </c>
      <c r="AR654" s="800">
        <f t="shared" si="1565"/>
        <v>43783</v>
      </c>
      <c r="AS654" s="800">
        <f t="shared" si="1565"/>
        <v>43874</v>
      </c>
      <c r="AT654" s="1194">
        <f t="shared" si="1565"/>
        <v>43874</v>
      </c>
      <c r="AU654" s="800">
        <f t="shared" si="1565"/>
        <v>43972</v>
      </c>
      <c r="AV654" s="800">
        <f t="shared" si="1565"/>
        <v>44062</v>
      </c>
      <c r="AW654" s="800">
        <f t="shared" si="1565"/>
        <v>44153</v>
      </c>
      <c r="AX654" s="800">
        <f t="shared" si="1565"/>
        <v>44251</v>
      </c>
      <c r="AY654" s="1194">
        <f t="shared" si="1565"/>
        <v>44251</v>
      </c>
      <c r="AZ654" s="800">
        <f t="shared" si="1565"/>
        <v>44342</v>
      </c>
      <c r="BA654" s="800">
        <f t="shared" si="1565"/>
        <v>44426</v>
      </c>
      <c r="BB654" s="800">
        <f t="shared" si="1565"/>
        <v>44517</v>
      </c>
      <c r="BC654" s="800">
        <f t="shared" si="1565"/>
        <v>44608</v>
      </c>
      <c r="BD654" s="1194">
        <f t="shared" si="1565"/>
        <v>44608</v>
      </c>
      <c r="BE654" s="800">
        <f t="shared" si="1565"/>
        <v>44706</v>
      </c>
      <c r="BF654" s="800">
        <f t="shared" si="1565"/>
        <v>44797</v>
      </c>
      <c r="BG654" s="800">
        <f t="shared" si="1565"/>
        <v>44881</v>
      </c>
      <c r="BH654" s="800">
        <f t="shared" si="1565"/>
        <v>44979</v>
      </c>
      <c r="BI654" s="1194">
        <f t="shared" si="1565"/>
        <v>44979</v>
      </c>
      <c r="BJ654" s="800">
        <f t="shared" si="1565"/>
        <v>45070</v>
      </c>
      <c r="BK654" s="800">
        <f t="shared" si="1565"/>
        <v>45161</v>
      </c>
      <c r="BL654" s="800">
        <f t="shared" si="1565"/>
        <v>45251</v>
      </c>
      <c r="BM654" s="800">
        <f t="shared" ref="BM654:BS654" si="1566">BM1093</f>
        <v>45343</v>
      </c>
      <c r="BN654" s="1194">
        <f t="shared" si="1566"/>
        <v>45343</v>
      </c>
      <c r="BO654" s="800">
        <f t="shared" si="1566"/>
        <v>45434</v>
      </c>
      <c r="BP654" s="800">
        <f t="shared" si="1566"/>
        <v>45532</v>
      </c>
      <c r="BQ654" s="800">
        <f t="shared" si="1566"/>
        <v>45616</v>
      </c>
      <c r="BR654" s="800">
        <f t="shared" si="1566"/>
        <v>45714</v>
      </c>
      <c r="BS654" s="1194">
        <f t="shared" si="1566"/>
        <v>45714</v>
      </c>
      <c r="BT654" s="800">
        <f t="shared" ref="BT654:BY654" si="1567">BT1093</f>
        <v>45805</v>
      </c>
      <c r="BU654" s="800">
        <f t="shared" si="1567"/>
        <v>45896</v>
      </c>
      <c r="BV654" s="800">
        <f t="shared" si="1567"/>
        <v>45980</v>
      </c>
      <c r="BW654" s="800">
        <f t="shared" si="1567"/>
        <v>46078</v>
      </c>
      <c r="BX654" s="1194">
        <f t="shared" si="1567"/>
        <v>46078</v>
      </c>
      <c r="BY654" s="926">
        <f t="shared" si="1567"/>
        <v>46162</v>
      </c>
      <c r="BZ654" s="800"/>
      <c r="CA654" s="800"/>
      <c r="CB654" s="800"/>
      <c r="CC654" s="1194"/>
      <c r="CD654" s="800"/>
      <c r="CE654" s="800"/>
      <c r="CF654" s="800"/>
      <c r="CG654" s="800"/>
      <c r="CH654" s="1194"/>
      <c r="CI654" s="1194"/>
      <c r="CJ654" s="1194"/>
      <c r="CK654" s="1194"/>
      <c r="CL654" s="93"/>
    </row>
    <row r="655" spans="1:90" ht="15" hidden="1" customHeight="1" outlineLevel="2" x14ac:dyDescent="0.3">
      <c r="A655" s="803" t="s">
        <v>963</v>
      </c>
      <c r="B655" s="801"/>
      <c r="C655" s="1195"/>
      <c r="D655" s="1195"/>
      <c r="E655" s="1195"/>
      <c r="F655" s="1195"/>
      <c r="G655" s="802"/>
      <c r="H655" s="802"/>
      <c r="I655" s="802"/>
      <c r="J655" s="802"/>
      <c r="K655" s="1195"/>
      <c r="L655" s="802" t="str">
        <f>M5</f>
        <v>Q2-2014</v>
      </c>
      <c r="M655" s="802" t="str">
        <f>N5</f>
        <v>Q3-2014</v>
      </c>
      <c r="N655" s="802" t="str">
        <f>O5</f>
        <v>Q4-2014</v>
      </c>
      <c r="O655" s="802" t="str">
        <f>Q5</f>
        <v>Q1-2015</v>
      </c>
      <c r="P655" s="1195"/>
      <c r="Q655" s="802"/>
      <c r="R655" s="802"/>
      <c r="S655" s="802"/>
      <c r="T655" s="802"/>
      <c r="U655" s="1195"/>
      <c r="V655" s="802"/>
      <c r="W655" s="802"/>
      <c r="X655" s="802"/>
      <c r="Y655" s="802"/>
      <c r="Z655" s="1195"/>
      <c r="AA655" s="802"/>
      <c r="AB655" s="802"/>
      <c r="AC655" s="802"/>
      <c r="AD655" s="802"/>
      <c r="AE655" s="1195"/>
      <c r="AF655" s="802"/>
      <c r="AG655" s="802"/>
      <c r="AH655" s="802"/>
      <c r="AI655" s="802" t="str">
        <f>AK5</f>
        <v>Q1-2019</v>
      </c>
      <c r="AJ655" s="1195" t="str">
        <f>AK5</f>
        <v>Q1-2019</v>
      </c>
      <c r="AK655" s="802" t="str">
        <f>AL5</f>
        <v>Q2-2019</v>
      </c>
      <c r="AL655" s="802" t="str">
        <f>AM5</f>
        <v>Q3-2019</v>
      </c>
      <c r="AM655" s="802" t="str">
        <f>AN5</f>
        <v>Q4-2019</v>
      </c>
      <c r="AN655" s="802" t="str">
        <f>AP5</f>
        <v>Q1-2020</v>
      </c>
      <c r="AO655" s="1195" t="str">
        <f>AP5</f>
        <v>Q1-2020</v>
      </c>
      <c r="AP655" s="802" t="str">
        <f>AQ5</f>
        <v>Q2-2020</v>
      </c>
      <c r="AQ655" s="802" t="str">
        <f>AR5</f>
        <v>Q3-2020</v>
      </c>
      <c r="AR655" s="802" t="str">
        <f>AS5</f>
        <v>Q4-2020</v>
      </c>
      <c r="AS655" s="802" t="str">
        <f>AU5</f>
        <v>Q1-2021</v>
      </c>
      <c r="AT655" s="1195" t="str">
        <f>AU5</f>
        <v>Q1-2021</v>
      </c>
      <c r="AU655" s="802" t="str">
        <f>AV5</f>
        <v>Q2-2021</v>
      </c>
      <c r="AV655" s="802" t="str">
        <f>AW5</f>
        <v>Q3-2021</v>
      </c>
      <c r="AW655" s="802" t="str">
        <f>AX5</f>
        <v>Q4-2021</v>
      </c>
      <c r="AX655" s="802" t="str">
        <f>AZ5</f>
        <v>Q1-2022</v>
      </c>
      <c r="AY655" s="1195" t="str">
        <f>AZ5</f>
        <v>Q1-2022</v>
      </c>
      <c r="AZ655" s="802" t="str">
        <f>BA5</f>
        <v>Q2-2022</v>
      </c>
      <c r="BA655" s="802" t="str">
        <f>BB5</f>
        <v>Q3-2022</v>
      </c>
      <c r="BB655" s="802" t="str">
        <f>BC5</f>
        <v>Q4-2022</v>
      </c>
      <c r="BC655" s="802" t="str">
        <f>BE5</f>
        <v>Q1-2023</v>
      </c>
      <c r="BD655" s="1195" t="str">
        <f>BE5</f>
        <v>Q1-2023</v>
      </c>
      <c r="BE655" s="802" t="str">
        <f>BF5</f>
        <v>Q2-2023</v>
      </c>
      <c r="BF655" s="802" t="str">
        <f>BG5</f>
        <v>Q3-2023</v>
      </c>
      <c r="BG655" s="802" t="str">
        <f>BH5</f>
        <v>Q4-2023</v>
      </c>
      <c r="BH655" s="802" t="str">
        <f>BJ5</f>
        <v>Q1-2024</v>
      </c>
      <c r="BI655" s="1195" t="str">
        <f>BJ5</f>
        <v>Q1-2024</v>
      </c>
      <c r="BJ655" s="802" t="str">
        <f>BK5</f>
        <v>Q2-2024</v>
      </c>
      <c r="BK655" s="802" t="str">
        <f>BL5</f>
        <v>Q3-2024</v>
      </c>
      <c r="BL655" s="802" t="str">
        <f>BM5</f>
        <v>Q4-2024</v>
      </c>
      <c r="BM655" s="802" t="str">
        <f>BO5</f>
        <v>Q1-2025</v>
      </c>
      <c r="BN655" s="1195" t="str">
        <f>BO5</f>
        <v>Q1-2025</v>
      </c>
      <c r="BO655" s="802" t="str">
        <f>BP5</f>
        <v>Q2-2025</v>
      </c>
      <c r="BP655" s="802" t="str">
        <f>BQ5</f>
        <v>Q3-2025</v>
      </c>
      <c r="BQ655" s="802" t="str">
        <f>BR5</f>
        <v>Q4-2025</v>
      </c>
      <c r="BR655" s="802" t="str">
        <f>BT5</f>
        <v>Q1-2026</v>
      </c>
      <c r="BS655" s="1195" t="str">
        <f>BT5</f>
        <v>Q1-2026</v>
      </c>
      <c r="BT655" s="802" t="str">
        <f>BU5</f>
        <v>Q2-2026</v>
      </c>
      <c r="BU655" s="802" t="str">
        <f>BV5</f>
        <v>Q3-2026</v>
      </c>
      <c r="BV655" s="802" t="str">
        <f>BW5</f>
        <v>Q4-2026</v>
      </c>
      <c r="BW655" s="802" t="str">
        <f>BY5</f>
        <v>Q1-2027</v>
      </c>
      <c r="BX655" s="1195" t="str">
        <f>BY5</f>
        <v>Q1-2027</v>
      </c>
      <c r="BY655" s="927" t="str">
        <f>BZ5</f>
        <v>Q2-2027</v>
      </c>
      <c r="BZ655" s="802"/>
      <c r="CA655" s="802"/>
      <c r="CB655" s="802"/>
      <c r="CC655" s="1195"/>
      <c r="CD655" s="802"/>
      <c r="CE655" s="802"/>
      <c r="CF655" s="802"/>
      <c r="CG655" s="802"/>
      <c r="CH655" s="1195"/>
      <c r="CI655" s="1195"/>
      <c r="CJ655" s="1195"/>
      <c r="CK655" s="1195"/>
      <c r="CL655" s="93"/>
    </row>
    <row r="656" spans="1:90" ht="15" hidden="1" customHeight="1" outlineLevel="3" x14ac:dyDescent="0.3">
      <c r="A656" s="492" t="s">
        <v>964</v>
      </c>
      <c r="B656" s="428"/>
      <c r="C656" s="1136"/>
      <c r="D656" s="1136"/>
      <c r="E656" s="1136"/>
      <c r="F656" s="1136"/>
      <c r="G656" s="93"/>
      <c r="H656" s="93"/>
      <c r="I656" s="93"/>
      <c r="J656" s="93"/>
      <c r="K656" s="1136"/>
      <c r="L656" s="93"/>
      <c r="M656" s="93"/>
      <c r="N656" s="93"/>
      <c r="O656" s="93"/>
      <c r="P656" s="1136"/>
      <c r="Q656" s="93"/>
      <c r="R656" s="93"/>
      <c r="S656" s="93"/>
      <c r="T656" s="93"/>
      <c r="U656" s="1136"/>
      <c r="V656" s="93"/>
      <c r="W656" s="93"/>
      <c r="X656" s="93"/>
      <c r="Y656" s="93"/>
      <c r="Z656" s="1136"/>
      <c r="AA656" s="93"/>
      <c r="AB656" s="93"/>
      <c r="AC656" s="93"/>
      <c r="AD656" s="93"/>
      <c r="AE656" s="1136"/>
      <c r="AF656" s="93"/>
      <c r="AG656" s="93"/>
      <c r="AH656" s="93">
        <f t="shared" ref="AH656:BL656" si="1568">+AH668*AH594</f>
        <v>1558.2</v>
      </c>
      <c r="AI656" s="93">
        <f t="shared" si="1568"/>
        <v>1776.25</v>
      </c>
      <c r="AJ656" s="1136">
        <f t="shared" si="1568"/>
        <v>1776.25</v>
      </c>
      <c r="AK656" s="93">
        <f t="shared" si="1568"/>
        <v>1913.94</v>
      </c>
      <c r="AL656" s="93">
        <f t="shared" si="1568"/>
        <v>1984.2549999999999</v>
      </c>
      <c r="AM656" s="93">
        <f t="shared" si="1568"/>
        <v>1640.52</v>
      </c>
      <c r="AN656" s="93">
        <f t="shared" si="1568"/>
        <v>1261.26</v>
      </c>
      <c r="AO656" s="1136">
        <f t="shared" si="1568"/>
        <v>1261.26</v>
      </c>
      <c r="AP656" s="93">
        <f t="shared" si="1568"/>
        <v>1474.4099999999999</v>
      </c>
      <c r="AQ656" s="93">
        <f t="shared" si="1568"/>
        <v>1762.04</v>
      </c>
      <c r="AR656" s="93">
        <f t="shared" si="1568"/>
        <v>1850.24</v>
      </c>
      <c r="AS656" s="93">
        <f t="shared" si="1568"/>
        <v>1908.0600000000002</v>
      </c>
      <c r="AT656" s="1136">
        <f t="shared" si="1568"/>
        <v>1908.0600000000002</v>
      </c>
      <c r="AU656" s="93">
        <f t="shared" si="1568"/>
        <v>2342.9349999999999</v>
      </c>
      <c r="AV656" s="93">
        <f t="shared" si="1568"/>
        <v>2802.8</v>
      </c>
      <c r="AW656" s="93">
        <f t="shared" si="1568"/>
        <v>3057.6</v>
      </c>
      <c r="AX656" s="93">
        <f t="shared" si="1568"/>
        <v>3402.07</v>
      </c>
      <c r="AY656" s="1136">
        <f t="shared" si="1568"/>
        <v>3402.07</v>
      </c>
      <c r="AZ656" s="93">
        <f t="shared" si="1568"/>
        <v>4074.84</v>
      </c>
      <c r="BA656" s="93">
        <f t="shared" si="1568"/>
        <v>4431.5600000000004</v>
      </c>
      <c r="BB656" s="93">
        <f t="shared" si="1568"/>
        <v>4822.58</v>
      </c>
      <c r="BC656" s="93">
        <f t="shared" si="1568"/>
        <v>5278.77</v>
      </c>
      <c r="BD656" s="1136">
        <f t="shared" si="1568"/>
        <v>5278.77</v>
      </c>
      <c r="BE656" s="93">
        <f t="shared" si="1568"/>
        <v>5286.7079999999996</v>
      </c>
      <c r="BF656" s="93">
        <f t="shared" si="1568"/>
        <v>3758.3</v>
      </c>
      <c r="BG656" s="93">
        <f t="shared" si="1568"/>
        <v>3851.4</v>
      </c>
      <c r="BH656" s="93">
        <f t="shared" si="1568"/>
        <v>4204.2</v>
      </c>
      <c r="BI656" s="1136">
        <f t="shared" si="1568"/>
        <v>4204.2</v>
      </c>
      <c r="BJ656" s="93">
        <f t="shared" si="1568"/>
        <v>7492.0999999999995</v>
      </c>
      <c r="BK656" s="93">
        <f t="shared" si="1568"/>
        <v>11289.6</v>
      </c>
      <c r="BL656" s="93">
        <f t="shared" si="1568"/>
        <v>14700</v>
      </c>
      <c r="BM656" s="93">
        <f t="shared" ref="BM656:BO657" si="1569">+BM668*BM594</f>
        <v>17992.8</v>
      </c>
      <c r="BN656" s="1136">
        <f t="shared" si="1569"/>
        <v>17992.8</v>
      </c>
      <c r="BO656" s="93">
        <f t="shared" si="1569"/>
        <v>20580</v>
      </c>
      <c r="BP656" s="93">
        <f t="shared" ref="BP656:BS657" si="1570">+BP668*BP594</f>
        <v>23728.25</v>
      </c>
      <c r="BQ656" s="93">
        <f t="shared" si="1570"/>
        <v>26827.5</v>
      </c>
      <c r="BR656" s="93">
        <f t="shared" si="1570"/>
        <v>29708.699999999997</v>
      </c>
      <c r="BS656" s="1136">
        <f t="shared" si="1570"/>
        <v>29708.699999999997</v>
      </c>
      <c r="BT656" s="93">
        <f t="shared" ref="BT656:BV657" si="1571">+BT668*BT594</f>
        <v>31531.5</v>
      </c>
      <c r="BU656" s="93">
        <f t="shared" si="1571"/>
        <v>38631.599999999999</v>
      </c>
      <c r="BV656" s="93">
        <f t="shared" si="1571"/>
        <v>47456.5</v>
      </c>
      <c r="BW656" s="93">
        <f t="shared" ref="BW656:BY657" si="1572">+BW668*BW594</f>
        <v>57330</v>
      </c>
      <c r="BX656" s="1136">
        <f t="shared" si="1572"/>
        <v>57330</v>
      </c>
      <c r="BY656" s="522">
        <f t="shared" si="1572"/>
        <v>66439.100000000006</v>
      </c>
      <c r="BZ656" s="93"/>
      <c r="CA656" s="93"/>
      <c r="CB656" s="93"/>
      <c r="CC656" s="1136"/>
      <c r="CD656" s="93"/>
      <c r="CE656" s="93"/>
      <c r="CF656" s="93"/>
      <c r="CG656" s="93"/>
      <c r="CH656" s="1136"/>
      <c r="CI656" s="1136"/>
      <c r="CJ656" s="1136"/>
      <c r="CK656" s="1136"/>
      <c r="CL656" s="93"/>
    </row>
    <row r="657" spans="1:90" ht="15" hidden="1" customHeight="1" outlineLevel="3" x14ac:dyDescent="0.3">
      <c r="A657" s="812" t="s">
        <v>965</v>
      </c>
      <c r="B657" s="718"/>
      <c r="C657" s="1131"/>
      <c r="D657" s="1131"/>
      <c r="E657" s="1131"/>
      <c r="F657" s="1131"/>
      <c r="G657" s="882"/>
      <c r="H657" s="882"/>
      <c r="I657" s="882"/>
      <c r="J657" s="882"/>
      <c r="K657" s="1131"/>
      <c r="L657" s="882"/>
      <c r="M657" s="882"/>
      <c r="N657" s="882"/>
      <c r="O657" s="882"/>
      <c r="P657" s="1131"/>
      <c r="Q657" s="882"/>
      <c r="R657" s="882"/>
      <c r="S657" s="882"/>
      <c r="T657" s="882"/>
      <c r="U657" s="1131"/>
      <c r="V657" s="882"/>
      <c r="W657" s="882"/>
      <c r="X657" s="882"/>
      <c r="Y657" s="882"/>
      <c r="Z657" s="1131"/>
      <c r="AA657" s="882"/>
      <c r="AB657" s="882"/>
      <c r="AC657" s="882"/>
      <c r="AD657" s="882"/>
      <c r="AE657" s="1131"/>
      <c r="AF657" s="882"/>
      <c r="AG657" s="882"/>
      <c r="AH657" s="882">
        <f t="shared" ref="AH657:BL657" si="1573">+AH669*AH595</f>
        <v>1621.8</v>
      </c>
      <c r="AI657" s="882">
        <f t="shared" si="1573"/>
        <v>1878.33</v>
      </c>
      <c r="AJ657" s="1131">
        <f t="shared" si="1573"/>
        <v>1878.33</v>
      </c>
      <c r="AK657" s="882">
        <f t="shared" si="1573"/>
        <v>2023.68</v>
      </c>
      <c r="AL657" s="882">
        <f t="shared" si="1573"/>
        <v>2098.395</v>
      </c>
      <c r="AM657" s="882">
        <f t="shared" si="1573"/>
        <v>1735.02</v>
      </c>
      <c r="AN657" s="882">
        <f t="shared" si="1573"/>
        <v>1335.1799999999998</v>
      </c>
      <c r="AO657" s="1131">
        <f t="shared" si="1573"/>
        <v>1335.1799999999998</v>
      </c>
      <c r="AP657" s="882">
        <f t="shared" si="1573"/>
        <v>1560.6</v>
      </c>
      <c r="AQ657" s="882">
        <f t="shared" si="1573"/>
        <v>1863.54</v>
      </c>
      <c r="AR657" s="882">
        <f t="shared" si="1573"/>
        <v>1955.8500000000001</v>
      </c>
      <c r="AS657" s="882">
        <f t="shared" si="1573"/>
        <v>2016.5400000000002</v>
      </c>
      <c r="AT657" s="1131">
        <f t="shared" si="1573"/>
        <v>2016.5400000000002</v>
      </c>
      <c r="AU657" s="882">
        <f t="shared" si="1573"/>
        <v>2475.7950000000001</v>
      </c>
      <c r="AV657" s="882">
        <f t="shared" si="1573"/>
        <v>2962.08</v>
      </c>
      <c r="AW657" s="882">
        <f t="shared" si="1573"/>
        <v>3231.36</v>
      </c>
      <c r="AX657" s="882">
        <f t="shared" si="1573"/>
        <v>3594.9900000000002</v>
      </c>
      <c r="AY657" s="1131">
        <f t="shared" si="1573"/>
        <v>3594.9900000000002</v>
      </c>
      <c r="AZ657" s="882">
        <f t="shared" si="1573"/>
        <v>4305.42</v>
      </c>
      <c r="BA657" s="882">
        <f t="shared" si="1573"/>
        <v>4681.8</v>
      </c>
      <c r="BB657" s="882">
        <f t="shared" si="1573"/>
        <v>5094.9000000000005</v>
      </c>
      <c r="BC657" s="882">
        <f t="shared" si="1573"/>
        <v>5576.85</v>
      </c>
      <c r="BD657" s="1131">
        <f t="shared" si="1573"/>
        <v>5576.85</v>
      </c>
      <c r="BE657" s="882">
        <f t="shared" si="1573"/>
        <v>5585.1119999999992</v>
      </c>
      <c r="BF657" s="882">
        <f t="shared" si="1573"/>
        <v>3911.7000000000003</v>
      </c>
      <c r="BG657" s="882">
        <f t="shared" si="1573"/>
        <v>4069.8</v>
      </c>
      <c r="BH657" s="882">
        <f t="shared" si="1573"/>
        <v>4442.1000000000004</v>
      </c>
      <c r="BI657" s="1131">
        <f t="shared" si="1573"/>
        <v>4442.1000000000004</v>
      </c>
      <c r="BJ657" s="882">
        <f t="shared" si="1573"/>
        <v>7910.0999999999995</v>
      </c>
      <c r="BK657" s="882">
        <f t="shared" si="1573"/>
        <v>11913.6</v>
      </c>
      <c r="BL657" s="882">
        <f t="shared" si="1573"/>
        <v>15504</v>
      </c>
      <c r="BM657" s="882">
        <f t="shared" si="1569"/>
        <v>18972</v>
      </c>
      <c r="BN657" s="1131">
        <f t="shared" si="1569"/>
        <v>18972</v>
      </c>
      <c r="BO657" s="882">
        <f t="shared" si="1569"/>
        <v>21705.599999999999</v>
      </c>
      <c r="BP657" s="882">
        <f t="shared" si="1570"/>
        <v>25028.25</v>
      </c>
      <c r="BQ657" s="882">
        <f t="shared" si="1570"/>
        <v>28305</v>
      </c>
      <c r="BR657" s="882">
        <f t="shared" si="1570"/>
        <v>31359.899999999998</v>
      </c>
      <c r="BS657" s="1131">
        <f t="shared" si="1570"/>
        <v>31359.899999999998</v>
      </c>
      <c r="BT657" s="882">
        <f t="shared" si="1571"/>
        <v>33277.5</v>
      </c>
      <c r="BU657" s="882">
        <f t="shared" si="1571"/>
        <v>40759.199999999997</v>
      </c>
      <c r="BV657" s="882">
        <f t="shared" si="1571"/>
        <v>50056.5</v>
      </c>
      <c r="BW657" s="882">
        <f t="shared" si="1572"/>
        <v>59670</v>
      </c>
      <c r="BX657" s="1131">
        <f t="shared" si="1572"/>
        <v>59670</v>
      </c>
      <c r="BY657" s="877">
        <f t="shared" si="1572"/>
        <v>70079.100000000006</v>
      </c>
      <c r="BZ657" s="882"/>
      <c r="CA657" s="882"/>
      <c r="CB657" s="882"/>
      <c r="CC657" s="1131"/>
      <c r="CD657" s="882"/>
      <c r="CE657" s="882"/>
      <c r="CF657" s="882"/>
      <c r="CG657" s="882"/>
      <c r="CH657" s="1131"/>
      <c r="CI657" s="1131"/>
      <c r="CJ657" s="1131"/>
      <c r="CK657" s="1131"/>
      <c r="CL657" s="93"/>
    </row>
    <row r="658" spans="1:90" ht="15" hidden="1" customHeight="1" outlineLevel="2" collapsed="1" x14ac:dyDescent="0.3">
      <c r="A658" s="609" t="s">
        <v>966</v>
      </c>
      <c r="B658" s="610"/>
      <c r="C658" s="1161"/>
      <c r="D658" s="1161"/>
      <c r="E658" s="1161"/>
      <c r="F658" s="1161"/>
      <c r="G658" s="378"/>
      <c r="H658" s="378"/>
      <c r="I658" s="378"/>
      <c r="J658" s="378"/>
      <c r="K658" s="1161"/>
      <c r="L658" s="378"/>
      <c r="M658" s="378"/>
      <c r="N658" s="378"/>
      <c r="O658" s="378"/>
      <c r="P658" s="1161"/>
      <c r="Q658" s="378"/>
      <c r="R658" s="378"/>
      <c r="S658" s="378"/>
      <c r="T658" s="378"/>
      <c r="U658" s="1161"/>
      <c r="V658" s="378"/>
      <c r="W658" s="378"/>
      <c r="X658" s="378"/>
      <c r="Y658" s="378"/>
      <c r="Z658" s="1161"/>
      <c r="AA658" s="378"/>
      <c r="AB658" s="378"/>
      <c r="AC658" s="378"/>
      <c r="AD658" s="378"/>
      <c r="AE658" s="1161"/>
      <c r="AF658" s="378"/>
      <c r="AG658" s="378"/>
      <c r="AH658" s="378">
        <f t="shared" ref="AH658:BL658" si="1574">IFERROR(AVERAGE(AH656,AH657),"")</f>
        <v>1590</v>
      </c>
      <c r="AI658" s="378">
        <f t="shared" si="1574"/>
        <v>1827.29</v>
      </c>
      <c r="AJ658" s="1161">
        <f t="shared" si="1574"/>
        <v>1827.29</v>
      </c>
      <c r="AK658" s="378">
        <f t="shared" si="1574"/>
        <v>1968.81</v>
      </c>
      <c r="AL658" s="378">
        <f t="shared" si="1574"/>
        <v>2041.3249999999998</v>
      </c>
      <c r="AM658" s="378">
        <f t="shared" si="1574"/>
        <v>1687.77</v>
      </c>
      <c r="AN658" s="378">
        <f t="shared" si="1574"/>
        <v>1298.2199999999998</v>
      </c>
      <c r="AO658" s="1161">
        <f t="shared" si="1574"/>
        <v>1298.2199999999998</v>
      </c>
      <c r="AP658" s="378">
        <f t="shared" si="1574"/>
        <v>1517.5049999999999</v>
      </c>
      <c r="AQ658" s="378">
        <f t="shared" si="1574"/>
        <v>1812.79</v>
      </c>
      <c r="AR658" s="378">
        <f t="shared" si="1574"/>
        <v>1903.0450000000001</v>
      </c>
      <c r="AS658" s="378">
        <f t="shared" si="1574"/>
        <v>1962.3000000000002</v>
      </c>
      <c r="AT658" s="1161">
        <f t="shared" si="1574"/>
        <v>1962.3000000000002</v>
      </c>
      <c r="AU658" s="378">
        <f t="shared" si="1574"/>
        <v>2409.3649999999998</v>
      </c>
      <c r="AV658" s="378">
        <f t="shared" si="1574"/>
        <v>2882.44</v>
      </c>
      <c r="AW658" s="378">
        <f t="shared" si="1574"/>
        <v>3144.48</v>
      </c>
      <c r="AX658" s="378">
        <f t="shared" si="1574"/>
        <v>3498.53</v>
      </c>
      <c r="AY658" s="1161">
        <f t="shared" si="1574"/>
        <v>3498.53</v>
      </c>
      <c r="AZ658" s="378">
        <f t="shared" si="1574"/>
        <v>4190.13</v>
      </c>
      <c r="BA658" s="378">
        <f t="shared" si="1574"/>
        <v>4556.68</v>
      </c>
      <c r="BB658" s="378">
        <f t="shared" si="1574"/>
        <v>4958.74</v>
      </c>
      <c r="BC658" s="378">
        <f t="shared" si="1574"/>
        <v>5427.81</v>
      </c>
      <c r="BD658" s="1161">
        <f t="shared" si="1574"/>
        <v>5427.81</v>
      </c>
      <c r="BE658" s="378">
        <f t="shared" si="1574"/>
        <v>5435.91</v>
      </c>
      <c r="BF658" s="378">
        <f t="shared" si="1574"/>
        <v>3835</v>
      </c>
      <c r="BG658" s="378">
        <f t="shared" si="1574"/>
        <v>3960.6000000000004</v>
      </c>
      <c r="BH658" s="378">
        <f t="shared" si="1574"/>
        <v>4323.1499999999996</v>
      </c>
      <c r="BI658" s="1161">
        <f t="shared" si="1574"/>
        <v>4323.1499999999996</v>
      </c>
      <c r="BJ658" s="378">
        <f t="shared" si="1574"/>
        <v>7701.0999999999995</v>
      </c>
      <c r="BK658" s="378">
        <f t="shared" si="1574"/>
        <v>11601.6</v>
      </c>
      <c r="BL658" s="378">
        <f t="shared" si="1574"/>
        <v>15102</v>
      </c>
      <c r="BM658" s="378">
        <f t="shared" ref="BM658:BS658" si="1575">IFERROR(AVERAGE(BM656,BM657),"")</f>
        <v>18482.400000000001</v>
      </c>
      <c r="BN658" s="1161">
        <f t="shared" si="1575"/>
        <v>18482.400000000001</v>
      </c>
      <c r="BO658" s="378">
        <f t="shared" si="1575"/>
        <v>21142.799999999999</v>
      </c>
      <c r="BP658" s="378">
        <f t="shared" si="1575"/>
        <v>24378.25</v>
      </c>
      <c r="BQ658" s="378">
        <f t="shared" si="1575"/>
        <v>27566.25</v>
      </c>
      <c r="BR658" s="378">
        <f t="shared" si="1575"/>
        <v>30534.299999999996</v>
      </c>
      <c r="BS658" s="1161">
        <f t="shared" si="1575"/>
        <v>30534.299999999996</v>
      </c>
      <c r="BT658" s="378">
        <f t="shared" ref="BT658:BY658" si="1576">IFERROR(AVERAGE(BT656,BT657),"")</f>
        <v>32404.5</v>
      </c>
      <c r="BU658" s="378">
        <f t="shared" si="1576"/>
        <v>39695.399999999994</v>
      </c>
      <c r="BV658" s="378">
        <f t="shared" si="1576"/>
        <v>48756.5</v>
      </c>
      <c r="BW658" s="378">
        <f t="shared" si="1576"/>
        <v>58500</v>
      </c>
      <c r="BX658" s="1161">
        <f t="shared" si="1576"/>
        <v>58500</v>
      </c>
      <c r="BY658" s="1006">
        <f t="shared" si="1576"/>
        <v>68259.100000000006</v>
      </c>
      <c r="BZ658" s="378"/>
      <c r="CA658" s="378"/>
      <c r="CB658" s="378"/>
      <c r="CC658" s="1161"/>
      <c r="CD658" s="378"/>
      <c r="CE658" s="378"/>
      <c r="CF658" s="378"/>
      <c r="CG658" s="378"/>
      <c r="CH658" s="1161"/>
      <c r="CI658" s="1161"/>
      <c r="CJ658" s="1161"/>
      <c r="CK658" s="1161"/>
      <c r="CL658" s="93"/>
    </row>
    <row r="659" spans="1:90" ht="15" hidden="1" customHeight="1" outlineLevel="2" x14ac:dyDescent="0.3">
      <c r="A659" s="492" t="s">
        <v>967</v>
      </c>
      <c r="B659" s="428"/>
      <c r="C659" s="1136"/>
      <c r="D659" s="1136"/>
      <c r="E659" s="1136"/>
      <c r="F659" s="1136"/>
      <c r="G659" s="93"/>
      <c r="H659" s="93"/>
      <c r="I659" s="93"/>
      <c r="J659" s="93"/>
      <c r="K659" s="1136"/>
      <c r="L659" s="93"/>
      <c r="M659" s="93"/>
      <c r="N659" s="93"/>
      <c r="O659" s="93"/>
      <c r="P659" s="1136"/>
      <c r="Q659" s="93"/>
      <c r="R659" s="93"/>
      <c r="S659" s="93"/>
      <c r="T659" s="93"/>
      <c r="U659" s="1136"/>
      <c r="V659" s="93"/>
      <c r="W659" s="93"/>
      <c r="X659" s="93"/>
      <c r="Y659" s="93"/>
      <c r="Z659" s="1136"/>
      <c r="AA659" s="93"/>
      <c r="AB659" s="93"/>
      <c r="AC659" s="93"/>
      <c r="AD659" s="93"/>
      <c r="AE659" s="1136"/>
      <c r="AF659" s="93"/>
      <c r="AG659" s="93"/>
      <c r="AH659" s="93">
        <f t="shared" ref="AH659:BL659" si="1577">IFERROR(ABS(AH657-AH656),"")</f>
        <v>63.599999999999909</v>
      </c>
      <c r="AI659" s="93">
        <f t="shared" si="1577"/>
        <v>102.07999999999993</v>
      </c>
      <c r="AJ659" s="1136">
        <f t="shared" si="1577"/>
        <v>102.07999999999993</v>
      </c>
      <c r="AK659" s="93">
        <f t="shared" si="1577"/>
        <v>109.74000000000001</v>
      </c>
      <c r="AL659" s="93">
        <f t="shared" si="1577"/>
        <v>114.1400000000001</v>
      </c>
      <c r="AM659" s="93">
        <f t="shared" si="1577"/>
        <v>94.5</v>
      </c>
      <c r="AN659" s="93">
        <f t="shared" si="1577"/>
        <v>73.919999999999845</v>
      </c>
      <c r="AO659" s="1136">
        <f t="shared" si="1577"/>
        <v>73.919999999999845</v>
      </c>
      <c r="AP659" s="93">
        <f t="shared" si="1577"/>
        <v>86.190000000000055</v>
      </c>
      <c r="AQ659" s="93">
        <f t="shared" si="1577"/>
        <v>101.5</v>
      </c>
      <c r="AR659" s="93">
        <f t="shared" si="1577"/>
        <v>105.61000000000013</v>
      </c>
      <c r="AS659" s="93">
        <f t="shared" si="1577"/>
        <v>108.48000000000002</v>
      </c>
      <c r="AT659" s="1136">
        <f t="shared" si="1577"/>
        <v>108.48000000000002</v>
      </c>
      <c r="AU659" s="93">
        <f t="shared" si="1577"/>
        <v>132.86000000000013</v>
      </c>
      <c r="AV659" s="93">
        <f t="shared" si="1577"/>
        <v>159.27999999999975</v>
      </c>
      <c r="AW659" s="93">
        <f t="shared" si="1577"/>
        <v>173.76000000000022</v>
      </c>
      <c r="AX659" s="93">
        <f t="shared" si="1577"/>
        <v>192.92000000000007</v>
      </c>
      <c r="AY659" s="1136">
        <f t="shared" si="1577"/>
        <v>192.92000000000007</v>
      </c>
      <c r="AZ659" s="93">
        <f t="shared" si="1577"/>
        <v>230.57999999999993</v>
      </c>
      <c r="BA659" s="93">
        <f t="shared" si="1577"/>
        <v>250.23999999999978</v>
      </c>
      <c r="BB659" s="93">
        <f t="shared" si="1577"/>
        <v>272.32000000000062</v>
      </c>
      <c r="BC659" s="93">
        <f t="shared" si="1577"/>
        <v>298.07999999999993</v>
      </c>
      <c r="BD659" s="1136">
        <f t="shared" si="1577"/>
        <v>298.07999999999993</v>
      </c>
      <c r="BE659" s="93">
        <f t="shared" si="1577"/>
        <v>298.40399999999954</v>
      </c>
      <c r="BF659" s="93">
        <f t="shared" si="1577"/>
        <v>153.40000000000009</v>
      </c>
      <c r="BG659" s="93">
        <f t="shared" si="1577"/>
        <v>218.40000000000009</v>
      </c>
      <c r="BH659" s="93">
        <f t="shared" si="1577"/>
        <v>237.90000000000055</v>
      </c>
      <c r="BI659" s="1136">
        <f t="shared" si="1577"/>
        <v>237.90000000000055</v>
      </c>
      <c r="BJ659" s="93">
        <f t="shared" si="1577"/>
        <v>418</v>
      </c>
      <c r="BK659" s="93">
        <f t="shared" si="1577"/>
        <v>624</v>
      </c>
      <c r="BL659" s="93">
        <f t="shared" si="1577"/>
        <v>804</v>
      </c>
      <c r="BM659" s="93">
        <f t="shared" ref="BM659:BS659" si="1578">IFERROR(ABS(BM657-BM656),"")</f>
        <v>979.20000000000073</v>
      </c>
      <c r="BN659" s="1136">
        <f t="shared" si="1578"/>
        <v>979.20000000000073</v>
      </c>
      <c r="BO659" s="93">
        <f t="shared" si="1578"/>
        <v>1125.5999999999985</v>
      </c>
      <c r="BP659" s="93">
        <f t="shared" si="1578"/>
        <v>1300</v>
      </c>
      <c r="BQ659" s="93">
        <f t="shared" si="1578"/>
        <v>1477.5</v>
      </c>
      <c r="BR659" s="93">
        <f t="shared" si="1578"/>
        <v>1651.2000000000007</v>
      </c>
      <c r="BS659" s="1136">
        <f t="shared" si="1578"/>
        <v>1651.2000000000007</v>
      </c>
      <c r="BT659" s="93">
        <f t="shared" ref="BT659:BY659" si="1579">IFERROR(ABS(BT657-BT656),"")</f>
        <v>1746</v>
      </c>
      <c r="BU659" s="93">
        <f t="shared" si="1579"/>
        <v>2127.5999999999985</v>
      </c>
      <c r="BV659" s="93">
        <f t="shared" si="1579"/>
        <v>2600</v>
      </c>
      <c r="BW659" s="93">
        <f t="shared" si="1579"/>
        <v>2340</v>
      </c>
      <c r="BX659" s="1136">
        <f t="shared" si="1579"/>
        <v>2340</v>
      </c>
      <c r="BY659" s="522">
        <f t="shared" si="1579"/>
        <v>3640</v>
      </c>
      <c r="BZ659" s="93"/>
      <c r="CA659" s="93"/>
      <c r="CB659" s="93"/>
      <c r="CC659" s="1136"/>
      <c r="CD659" s="93"/>
      <c r="CE659" s="93"/>
      <c r="CF659" s="93"/>
      <c r="CG659" s="93"/>
      <c r="CH659" s="1136"/>
      <c r="CI659" s="1136"/>
      <c r="CJ659" s="1136"/>
      <c r="CK659" s="1136"/>
      <c r="CL659" s="93"/>
    </row>
    <row r="660" spans="1:90" ht="15" hidden="1" customHeight="1" outlineLevel="2" x14ac:dyDescent="0.3">
      <c r="A660" s="647" t="s">
        <v>968</v>
      </c>
      <c r="B660" s="428"/>
      <c r="C660" s="1128"/>
      <c r="D660" s="1128"/>
      <c r="E660" s="1128"/>
      <c r="F660" s="1128"/>
      <c r="G660" s="315"/>
      <c r="H660" s="315"/>
      <c r="I660" s="315"/>
      <c r="J660" s="315"/>
      <c r="K660" s="1128"/>
      <c r="L660" s="315"/>
      <c r="M660" s="315"/>
      <c r="N660" s="315"/>
      <c r="O660" s="315"/>
      <c r="P660" s="1128"/>
      <c r="Q660" s="315"/>
      <c r="R660" s="315"/>
      <c r="S660" s="315"/>
      <c r="T660" s="315"/>
      <c r="U660" s="1128"/>
      <c r="V660" s="315"/>
      <c r="W660" s="315"/>
      <c r="X660" s="315"/>
      <c r="Y660" s="315"/>
      <c r="Z660" s="1128"/>
      <c r="AA660" s="315"/>
      <c r="AB660" s="315"/>
      <c r="AC660" s="315"/>
      <c r="AD660" s="315"/>
      <c r="AE660" s="1128"/>
      <c r="AF660" s="315"/>
      <c r="AG660" s="315"/>
      <c r="AH660" s="315">
        <f t="shared" ref="AH660:BL660" si="1580">IFERROR(ABS((AH657-AH658)/AH658),"")</f>
        <v>1.9999999999999973E-2</v>
      </c>
      <c r="AI660" s="315">
        <f t="shared" si="1580"/>
        <v>2.7932074273924756E-2</v>
      </c>
      <c r="AJ660" s="1128">
        <f t="shared" si="1580"/>
        <v>2.7932074273924756E-2</v>
      </c>
      <c r="AK660" s="315">
        <f t="shared" si="1580"/>
        <v>2.7869626830420467E-2</v>
      </c>
      <c r="AL660" s="315">
        <f t="shared" si="1580"/>
        <v>2.7957331635090038E-2</v>
      </c>
      <c r="AM660" s="315">
        <f t="shared" si="1580"/>
        <v>2.7995520716685332E-2</v>
      </c>
      <c r="AN660" s="315">
        <f t="shared" si="1580"/>
        <v>2.8469750889679749E-2</v>
      </c>
      <c r="AO660" s="1128">
        <f t="shared" si="1580"/>
        <v>2.8469750889679749E-2</v>
      </c>
      <c r="AP660" s="315">
        <f t="shared" si="1580"/>
        <v>2.8398588472525646E-2</v>
      </c>
      <c r="AQ660" s="315">
        <f t="shared" si="1580"/>
        <v>2.7995520716685332E-2</v>
      </c>
      <c r="AR660" s="315">
        <f t="shared" si="1580"/>
        <v>2.7747636025422448E-2</v>
      </c>
      <c r="AS660" s="315">
        <f t="shared" si="1580"/>
        <v>2.7641033481119098E-2</v>
      </c>
      <c r="AT660" s="1128">
        <f t="shared" si="1580"/>
        <v>2.7641033481119098E-2</v>
      </c>
      <c r="AU660" s="315">
        <f t="shared" si="1580"/>
        <v>2.7571580063626845E-2</v>
      </c>
      <c r="AV660" s="315">
        <f t="shared" si="1580"/>
        <v>2.7629369561898903E-2</v>
      </c>
      <c r="AW660" s="315">
        <f t="shared" si="1580"/>
        <v>2.762936956189898E-2</v>
      </c>
      <c r="AX660" s="315">
        <f t="shared" si="1580"/>
        <v>2.7571580063626731E-2</v>
      </c>
      <c r="AY660" s="1128">
        <f t="shared" si="1580"/>
        <v>2.7571580063626731E-2</v>
      </c>
      <c r="AZ660" s="315">
        <f t="shared" si="1580"/>
        <v>2.75146594497068E-2</v>
      </c>
      <c r="BA660" s="315">
        <f t="shared" si="1580"/>
        <v>2.7458588270407376E-2</v>
      </c>
      <c r="BB660" s="315">
        <f t="shared" si="1580"/>
        <v>2.7458588270407557E-2</v>
      </c>
      <c r="BC660" s="315">
        <f t="shared" si="1580"/>
        <v>2.7458588270407393E-2</v>
      </c>
      <c r="BD660" s="1128">
        <f t="shared" si="1580"/>
        <v>2.7458588270407393E-2</v>
      </c>
      <c r="BE660" s="315">
        <f t="shared" si="1580"/>
        <v>2.7447474295931928E-2</v>
      </c>
      <c r="BF660" s="315">
        <f t="shared" si="1580"/>
        <v>2.000000000000007E-2</v>
      </c>
      <c r="BG660" s="315">
        <f t="shared" si="1580"/>
        <v>2.7571580063626675E-2</v>
      </c>
      <c r="BH660" s="315">
        <f t="shared" si="1580"/>
        <v>2.751465944970698E-2</v>
      </c>
      <c r="BI660" s="1128">
        <f t="shared" si="1580"/>
        <v>2.751465944970698E-2</v>
      </c>
      <c r="BJ660" s="315">
        <f t="shared" si="1580"/>
        <v>2.7138980145693475E-2</v>
      </c>
      <c r="BK660" s="315">
        <f t="shared" si="1580"/>
        <v>2.6892842366570129E-2</v>
      </c>
      <c r="BL660" s="315">
        <f t="shared" si="1580"/>
        <v>2.6618990862137464E-2</v>
      </c>
      <c r="BM660" s="315">
        <f t="shared" ref="BM660:BS660" si="1581">IFERROR(ABS((BM657-BM658)/BM658),"")</f>
        <v>2.6490066225165483E-2</v>
      </c>
      <c r="BN660" s="1128">
        <f t="shared" si="1581"/>
        <v>2.6490066225165483E-2</v>
      </c>
      <c r="BO660" s="315">
        <f t="shared" si="1581"/>
        <v>2.6618990862137433E-2</v>
      </c>
      <c r="BP660" s="315">
        <f t="shared" si="1581"/>
        <v>2.6663111585121985E-2</v>
      </c>
      <c r="BQ660" s="315">
        <f t="shared" si="1581"/>
        <v>2.679907495578833E-2</v>
      </c>
      <c r="BR660" s="315">
        <f t="shared" si="1581"/>
        <v>2.7038445289395936E-2</v>
      </c>
      <c r="BS660" s="1128">
        <f t="shared" si="1581"/>
        <v>2.7038445289395936E-2</v>
      </c>
      <c r="BT660" s="315">
        <f t="shared" ref="BT660:BY660" si="1582">IFERROR(ABS((BT657-BT658)/BT658),"")</f>
        <v>2.6940702680183309E-2</v>
      </c>
      <c r="BU660" s="315">
        <f t="shared" si="1582"/>
        <v>2.6799074955788406E-2</v>
      </c>
      <c r="BV660" s="315">
        <f t="shared" si="1582"/>
        <v>2.6663111585121985E-2</v>
      </c>
      <c r="BW660" s="315">
        <f t="shared" si="1582"/>
        <v>0.02</v>
      </c>
      <c r="BX660" s="1128">
        <f t="shared" si="1582"/>
        <v>0.02</v>
      </c>
      <c r="BY660" s="897">
        <f t="shared" si="1582"/>
        <v>2.6663111585121982E-2</v>
      </c>
      <c r="BZ660" s="315"/>
      <c r="CA660" s="315"/>
      <c r="CB660" s="315"/>
      <c r="CC660" s="1128"/>
      <c r="CD660" s="315"/>
      <c r="CE660" s="315"/>
      <c r="CF660" s="315"/>
      <c r="CG660" s="315"/>
      <c r="CH660" s="1128"/>
      <c r="CI660" s="1128"/>
      <c r="CJ660" s="1128"/>
      <c r="CK660" s="1128"/>
      <c r="CL660" s="93"/>
    </row>
    <row r="661" spans="1:90" ht="15" hidden="1" customHeight="1" outlineLevel="3" x14ac:dyDescent="0.3">
      <c r="A661" s="648" t="s">
        <v>1011</v>
      </c>
      <c r="B661" s="112"/>
      <c r="C661" s="1115"/>
      <c r="D661" s="1115"/>
      <c r="E661" s="1115"/>
      <c r="F661" s="1115"/>
      <c r="G661" s="90"/>
      <c r="H661" s="90"/>
      <c r="I661" s="90"/>
      <c r="J661" s="90"/>
      <c r="K661" s="1115"/>
      <c r="L661" s="90"/>
      <c r="M661" s="90"/>
      <c r="N661" s="90"/>
      <c r="O661" s="90"/>
      <c r="P661" s="1115"/>
      <c r="Q661" s="90"/>
      <c r="R661" s="90"/>
      <c r="S661" s="90"/>
      <c r="T661" s="90"/>
      <c r="U661" s="1115"/>
      <c r="V661" s="90"/>
      <c r="W661" s="90"/>
      <c r="X661" s="90"/>
      <c r="Y661" s="90"/>
      <c r="Z661" s="1115"/>
      <c r="AA661" s="90"/>
      <c r="AB661" s="90"/>
      <c r="AC661" s="90"/>
      <c r="AD661" s="90"/>
      <c r="AE661" s="1115"/>
      <c r="AF661" s="90"/>
      <c r="AG661" s="90"/>
      <c r="AH661" s="90">
        <f>AH656/AH635-1</f>
        <v>-1.0666666666666602E-2</v>
      </c>
      <c r="AI661" s="90">
        <f>AI656/AI635-1</f>
        <v>-1.8103924820342732E-2</v>
      </c>
      <c r="AJ661" s="1115">
        <f>AJ656/AI635-1</f>
        <v>-1.8103924820342732E-2</v>
      </c>
      <c r="AK661" s="90">
        <f>AK656/AK635-1</f>
        <v>-7.806358381502887E-2</v>
      </c>
      <c r="AL661" s="90">
        <f>AL656/AL635-1</f>
        <v>6.328794755421363E-4</v>
      </c>
      <c r="AM661" s="90">
        <f>AM656/AM635-1</f>
        <v>-0.15437113402061853</v>
      </c>
      <c r="AN661" s="90">
        <f>AN656/AN635-1</f>
        <v>2.2090761750405141E-2</v>
      </c>
      <c r="AO661" s="1115">
        <f>AO656/AN635-1</f>
        <v>2.2090761750405141E-2</v>
      </c>
      <c r="AP661" s="90">
        <f>AP656/AP635-1</f>
        <v>0.12550381679389311</v>
      </c>
      <c r="AQ661" s="90">
        <f>AQ656/AQ635-1</f>
        <v>0.13606705351386195</v>
      </c>
      <c r="AR661" s="90">
        <f>AR656/AR635-1</f>
        <v>-4.1822889694458798E-2</v>
      </c>
      <c r="AS661" s="90">
        <f>AS656/AS635-1</f>
        <v>-6.006896551724128E-2</v>
      </c>
      <c r="AT661" s="1115">
        <f>AT656/AS635-1</f>
        <v>-6.006896551724128E-2</v>
      </c>
      <c r="AU661" s="90">
        <f>AU656/AU635-1</f>
        <v>0.15643385982230984</v>
      </c>
      <c r="AV661" s="90">
        <f>AV656/AV635-1</f>
        <v>9.8706389651117332E-2</v>
      </c>
      <c r="AW661" s="90">
        <f>AW656/AW635-1</f>
        <v>-1.2084006462035557E-2</v>
      </c>
      <c r="AX661" s="90">
        <f>AX656/AX635-1</f>
        <v>3.8482905982905935E-2</v>
      </c>
      <c r="AY661" s="1115">
        <f>AY656/AX635-1</f>
        <v>3.8482905982905935E-2</v>
      </c>
      <c r="AZ661" s="90">
        <f>AZ656/AZ635-1</f>
        <v>8.7784303256807306E-2</v>
      </c>
      <c r="BA661" s="90">
        <f>BA656/BA635-1</f>
        <v>2.1803089693336553E-2</v>
      </c>
      <c r="BB661" s="90">
        <f>BB656/BB635-1</f>
        <v>1.2934257508926628E-2</v>
      </c>
      <c r="BC661" s="90">
        <f>BC656/BC635-1</f>
        <v>3.020491803278702E-2</v>
      </c>
      <c r="BD661" s="1115">
        <f>BD656/BC635-1</f>
        <v>3.020491803278702E-2</v>
      </c>
      <c r="BE661" s="90">
        <f>BE656/BE635-1</f>
        <v>-4.9666007549883262E-2</v>
      </c>
      <c r="BF661" s="90">
        <f>BF656/BF635-1</f>
        <v>0.22260897852960326</v>
      </c>
      <c r="BG661" s="90">
        <f>BG656/BG635-1</f>
        <v>0.15692400120156202</v>
      </c>
      <c r="BH661" s="90">
        <f>BH656/BH635-1</f>
        <v>5.1312828207051631E-2</v>
      </c>
      <c r="BI661" s="1115">
        <f>BI656/BH635-1</f>
        <v>5.1312828207051631E-2</v>
      </c>
      <c r="BJ661" s="90">
        <f>BJ656/BJ635-1</f>
        <v>0.56020408163265301</v>
      </c>
      <c r="BK661" s="90">
        <f>BK656/BK635-1</f>
        <v>0.17428749739962557</v>
      </c>
      <c r="BL661" s="90">
        <f>BL656/BL635-1</f>
        <v>8.223514687476996E-2</v>
      </c>
      <c r="BM661" s="90">
        <f>BM656/BM635-1</f>
        <v>6.0958782947107659E-2</v>
      </c>
      <c r="BN661" s="1115">
        <f>BN656/BM635-1</f>
        <v>6.0958782947107659E-2</v>
      </c>
      <c r="BO661" s="90">
        <f>BO656/BO635-1</f>
        <v>9.7276264591439343E-4</v>
      </c>
      <c r="BP661" s="90">
        <f>BP656/BP635-1</f>
        <v>4.3963658761934088E-2</v>
      </c>
      <c r="BQ661" s="90">
        <f>BQ656/BQ635-1</f>
        <v>1.9204467745612019E-2</v>
      </c>
      <c r="BR661" s="90">
        <f>BR656/BR635-1</f>
        <v>2.8196165293832509E-2</v>
      </c>
      <c r="BS661" s="1115">
        <f>BS656/BR635-1</f>
        <v>2.8196165293832509E-2</v>
      </c>
      <c r="BT661" s="90">
        <f>BT656/BT635-1</f>
        <v>0.17400774443368827</v>
      </c>
      <c r="BU661" s="90">
        <f>BU656/BU635-1</f>
        <v>0.13756183745583028</v>
      </c>
      <c r="BV661" s="90">
        <f>BV656/BV635-1</f>
        <v>0.13080515643243507</v>
      </c>
      <c r="BW661" s="90">
        <f>BW656/BW635-1</f>
        <v>0.11952977015758948</v>
      </c>
      <c r="BX661" s="1115">
        <f>BX656/BW635-1</f>
        <v>0.11952977015758948</v>
      </c>
      <c r="BY661" s="892">
        <f>BY656/BY635-1</f>
        <v>8.5038868565456172E-2</v>
      </c>
      <c r="BZ661" s="90"/>
      <c r="CA661" s="90"/>
      <c r="CB661" s="90"/>
      <c r="CC661" s="1115"/>
      <c r="CD661" s="90"/>
      <c r="CE661" s="90"/>
      <c r="CF661" s="90"/>
      <c r="CG661" s="90"/>
      <c r="CH661" s="1115"/>
      <c r="CI661" s="1115"/>
      <c r="CJ661" s="1115"/>
      <c r="CK661" s="1115"/>
      <c r="CL661" s="93"/>
    </row>
    <row r="662" spans="1:90" ht="15" hidden="1" customHeight="1" outlineLevel="3" x14ac:dyDescent="0.3">
      <c r="A662" s="810" t="s">
        <v>1012</v>
      </c>
      <c r="B662" s="804"/>
      <c r="C662" s="1196"/>
      <c r="D662" s="1196"/>
      <c r="E662" s="1196"/>
      <c r="F662" s="1196"/>
      <c r="G662" s="805"/>
      <c r="H662" s="805"/>
      <c r="I662" s="805"/>
      <c r="J662" s="805"/>
      <c r="K662" s="1196"/>
      <c r="L662" s="805"/>
      <c r="M662" s="805"/>
      <c r="N662" s="805"/>
      <c r="O662" s="805"/>
      <c r="P662" s="1196"/>
      <c r="Q662" s="805"/>
      <c r="R662" s="805"/>
      <c r="S662" s="805"/>
      <c r="T662" s="805"/>
      <c r="U662" s="1196"/>
      <c r="V662" s="805"/>
      <c r="W662" s="805"/>
      <c r="X662" s="805"/>
      <c r="Y662" s="805"/>
      <c r="Z662" s="1196"/>
      <c r="AA662" s="805"/>
      <c r="AB662" s="805"/>
      <c r="AC662" s="805"/>
      <c r="AD662" s="805"/>
      <c r="AE662" s="1196"/>
      <c r="AF662" s="805"/>
      <c r="AG662" s="805"/>
      <c r="AH662" s="805">
        <f>AH657/AH635-1</f>
        <v>2.9714285714285582E-2</v>
      </c>
      <c r="AI662" s="805">
        <f>AI657/AI635-1</f>
        <v>3.832504145936988E-2</v>
      </c>
      <c r="AJ662" s="1196">
        <f>AJ657/AI635-1</f>
        <v>3.832504145936988E-2</v>
      </c>
      <c r="AK662" s="805">
        <f>AK657/AK635-1</f>
        <v>-2.5202312138728256E-2</v>
      </c>
      <c r="AL662" s="805">
        <f>AL657/AL635-1</f>
        <v>5.819213313161864E-2</v>
      </c>
      <c r="AM662" s="805">
        <f>AM657/AM635-1</f>
        <v>-0.10565979381443302</v>
      </c>
      <c r="AN662" s="805">
        <f>AN657/AN635-1</f>
        <v>8.1993517017828088E-2</v>
      </c>
      <c r="AO662" s="1196">
        <f>AO657/AN635-1</f>
        <v>8.1993517017828088E-2</v>
      </c>
      <c r="AP662" s="805">
        <f>AP657/AP635-1</f>
        <v>0.19129770992366413</v>
      </c>
      <c r="AQ662" s="805">
        <f>AQ657/AQ635-1</f>
        <v>0.20150870406189547</v>
      </c>
      <c r="AR662" s="805">
        <f>AR657/AR635-1</f>
        <v>1.2868979803210889E-2</v>
      </c>
      <c r="AS662" s="805">
        <f>AS657/AS635-1</f>
        <v>-6.6305418719211362E-3</v>
      </c>
      <c r="AT662" s="1196">
        <f>AT657/AS635-1</f>
        <v>-6.6305418719211362E-3</v>
      </c>
      <c r="AU662" s="805">
        <f>AU657/AU635-1</f>
        <v>0.22201135241855874</v>
      </c>
      <c r="AV662" s="805">
        <f>AV657/AV635-1</f>
        <v>0.16114464915719329</v>
      </c>
      <c r="AW662" s="805">
        <f>AW657/AW635-1</f>
        <v>4.4058158319870699E-2</v>
      </c>
      <c r="AX662" s="805">
        <f>AX657/AX635-1</f>
        <v>9.7371794871794926E-2</v>
      </c>
      <c r="AY662" s="1196">
        <f>AY657/AX635-1</f>
        <v>9.7371794871794926E-2</v>
      </c>
      <c r="AZ662" s="805">
        <f>AZ657/AZ635-1</f>
        <v>0.14933796049119064</v>
      </c>
      <c r="BA662" s="805">
        <f>BA657/BA635-1</f>
        <v>7.9501959880101447E-2</v>
      </c>
      <c r="BB662" s="805">
        <f>BB657/BB635-1</f>
        <v>7.0132325141777141E-2</v>
      </c>
      <c r="BC662" s="805">
        <f>BC657/BC635-1</f>
        <v>8.8378220140515218E-2</v>
      </c>
      <c r="BD662" s="1196">
        <f>BD657/BC635-1</f>
        <v>8.8378220140515218E-2</v>
      </c>
      <c r="BE662" s="805">
        <f>BE657/BE635-1</f>
        <v>3.9748337228113773E-3</v>
      </c>
      <c r="BF662" s="805">
        <f>BF657/BF635-1</f>
        <v>0.27251138581652579</v>
      </c>
      <c r="BG662" s="805">
        <f>BG657/BG635-1</f>
        <v>0.2225292880744969</v>
      </c>
      <c r="BH662" s="805">
        <f>BH657/BH635-1</f>
        <v>0.11080270067516884</v>
      </c>
      <c r="BI662" s="1196">
        <f>BI657/BH635-1</f>
        <v>0.11080270067516884</v>
      </c>
      <c r="BJ662" s="805">
        <f>BJ657/BJ635-1</f>
        <v>0.64725114535610162</v>
      </c>
      <c r="BK662" s="805">
        <f>BK657/BK635-1</f>
        <v>0.23919284376950278</v>
      </c>
      <c r="BL662" s="805">
        <f>BL657/BL635-1</f>
        <v>0.14142678347934923</v>
      </c>
      <c r="BM662" s="805">
        <f>BM657/BM635-1</f>
        <v>0.11869803644082788</v>
      </c>
      <c r="BN662" s="1196">
        <f>BN657/BM635-1</f>
        <v>0.11869803644082788</v>
      </c>
      <c r="BO662" s="805">
        <f>BO657/BO635-1</f>
        <v>5.57198443579765E-2</v>
      </c>
      <c r="BP662" s="805">
        <f>BP657/BP635-1</f>
        <v>0.10115931189229621</v>
      </c>
      <c r="BQ662" s="805">
        <f>BQ657/BQ635-1</f>
        <v>7.5336220651926133E-2</v>
      </c>
      <c r="BR662" s="805">
        <f>BR657/BR635-1</f>
        <v>8.534297778085409E-2</v>
      </c>
      <c r="BS662" s="1196">
        <f>BS657/BR635-1</f>
        <v>8.534297778085409E-2</v>
      </c>
      <c r="BT662" s="805">
        <f>BT657/BT635-1</f>
        <v>0.2390163079901706</v>
      </c>
      <c r="BU662" s="805">
        <f>BU657/BU635-1</f>
        <v>0.20021201413427558</v>
      </c>
      <c r="BV662" s="805">
        <f>BV657/BV635-1</f>
        <v>0.19275859603974554</v>
      </c>
      <c r="BW662" s="805">
        <f>BW657/BW635-1</f>
        <v>0.16522486281708293</v>
      </c>
      <c r="BX662" s="1196">
        <f>BX657/BW635-1</f>
        <v>0.16522486281708293</v>
      </c>
      <c r="BY662" s="928">
        <f>BY657/BY635-1</f>
        <v>0.14448490985105833</v>
      </c>
      <c r="BZ662" s="805"/>
      <c r="CA662" s="805"/>
      <c r="CB662" s="805"/>
      <c r="CC662" s="1196"/>
      <c r="CD662" s="805"/>
      <c r="CE662" s="805"/>
      <c r="CF662" s="805"/>
      <c r="CG662" s="805"/>
      <c r="CH662" s="1196"/>
      <c r="CI662" s="1196"/>
      <c r="CJ662" s="1196"/>
      <c r="CK662" s="1196"/>
      <c r="CL662" s="93"/>
    </row>
    <row r="663" spans="1:90" ht="15" hidden="1" customHeight="1" outlineLevel="2" collapsed="1" x14ac:dyDescent="0.3">
      <c r="A663" s="371" t="s">
        <v>1013</v>
      </c>
      <c r="B663" s="112"/>
      <c r="C663" s="1115"/>
      <c r="D663" s="1115"/>
      <c r="E663" s="1115"/>
      <c r="F663" s="1115"/>
      <c r="G663" s="90"/>
      <c r="H663" s="90"/>
      <c r="I663" s="90"/>
      <c r="J663" s="90"/>
      <c r="K663" s="1115"/>
      <c r="L663" s="90"/>
      <c r="M663" s="90"/>
      <c r="N663" s="90"/>
      <c r="O663" s="90"/>
      <c r="P663" s="1115"/>
      <c r="Q663" s="90"/>
      <c r="R663" s="90"/>
      <c r="S663" s="90"/>
      <c r="T663" s="90"/>
      <c r="U663" s="1115"/>
      <c r="V663" s="90"/>
      <c r="W663" s="90"/>
      <c r="X663" s="90"/>
      <c r="Y663" s="90"/>
      <c r="Z663" s="1115"/>
      <c r="AA663" s="90"/>
      <c r="AB663" s="90"/>
      <c r="AC663" s="90"/>
      <c r="AD663" s="90"/>
      <c r="AE663" s="1115"/>
      <c r="AF663" s="90"/>
      <c r="AG663" s="90"/>
      <c r="AH663" s="90">
        <f>AH658/AH635-1</f>
        <v>9.52380952380949E-3</v>
      </c>
      <c r="AI663" s="90">
        <f>AI658/AI635-1</f>
        <v>1.0110558319513574E-2</v>
      </c>
      <c r="AJ663" s="1115">
        <f>AJ658/AI635-1</f>
        <v>1.0110558319513574E-2</v>
      </c>
      <c r="AK663" s="90">
        <f>AK658/AK635-1</f>
        <v>-5.1632947976878674E-2</v>
      </c>
      <c r="AL663" s="90">
        <f>AL658/AL635-1</f>
        <v>2.9412506303580388E-2</v>
      </c>
      <c r="AM663" s="90">
        <f>AM658/AM635-1</f>
        <v>-0.13001546391752583</v>
      </c>
      <c r="AN663" s="90">
        <f>AN658/AN635-1</f>
        <v>5.2042139384116615E-2</v>
      </c>
      <c r="AO663" s="1115">
        <f>AO658/AN635-1</f>
        <v>5.2042139384116615E-2</v>
      </c>
      <c r="AP663" s="90">
        <f>AP658/AP635-1</f>
        <v>0.15840076335877851</v>
      </c>
      <c r="AQ663" s="90">
        <f>AQ658/AQ635-1</f>
        <v>0.16878787878787871</v>
      </c>
      <c r="AR663" s="90">
        <f>AR658/AR635-1</f>
        <v>-1.4476954945623954E-2</v>
      </c>
      <c r="AS663" s="90">
        <f>AS658/AS635-1</f>
        <v>-3.3349753694581152E-2</v>
      </c>
      <c r="AT663" s="1115">
        <f>AT658/AS635-1</f>
        <v>-3.3349753694581152E-2</v>
      </c>
      <c r="AU663" s="90">
        <f>AU658/AU635-1</f>
        <v>0.18922260612043429</v>
      </c>
      <c r="AV663" s="90">
        <f>AV658/AV635-1</f>
        <v>0.12992551940415531</v>
      </c>
      <c r="AW663" s="90">
        <f>AW658/AW635-1</f>
        <v>1.5987075928917571E-2</v>
      </c>
      <c r="AX663" s="90">
        <f>AX658/AX635-1</f>
        <v>6.7927350427350541E-2</v>
      </c>
      <c r="AY663" s="1115">
        <f>AY658/AX635-1</f>
        <v>6.7927350427350541E-2</v>
      </c>
      <c r="AZ663" s="90">
        <f>AZ658/AZ635-1</f>
        <v>0.11856113187399897</v>
      </c>
      <c r="BA663" s="90">
        <f>BA658/BA635-1</f>
        <v>5.0652524786718889E-2</v>
      </c>
      <c r="BB663" s="90">
        <f>BB658/BB635-1</f>
        <v>4.1533291325351662E-2</v>
      </c>
      <c r="BC663" s="90">
        <f>BC658/BC635-1</f>
        <v>5.9291569086651119E-2</v>
      </c>
      <c r="BD663" s="1115">
        <f>BD658/BC635-1</f>
        <v>5.9291569086651119E-2</v>
      </c>
      <c r="BE663" s="90">
        <f>BE658/BE635-1</f>
        <v>-2.2845586913535887E-2</v>
      </c>
      <c r="BF663" s="90">
        <f>BF658/BF635-1</f>
        <v>0.24756018217306441</v>
      </c>
      <c r="BG663" s="90">
        <f>BG658/BG635-1</f>
        <v>0.18972664463802946</v>
      </c>
      <c r="BH663" s="90">
        <f>BH658/BH635-1</f>
        <v>8.1057764441110125E-2</v>
      </c>
      <c r="BI663" s="1115">
        <f>BI658/BH635-1</f>
        <v>8.1057764441110125E-2</v>
      </c>
      <c r="BJ663" s="90">
        <f>BJ658/BJ635-1</f>
        <v>0.6037276134943772</v>
      </c>
      <c r="BK663" s="90">
        <f>BK658/BK635-1</f>
        <v>0.20674017058456418</v>
      </c>
      <c r="BL663" s="90">
        <f>BL658/BL635-1</f>
        <v>0.11183096517705948</v>
      </c>
      <c r="BM663" s="90">
        <f>BM658/BM635-1</f>
        <v>8.9828409693967881E-2</v>
      </c>
      <c r="BN663" s="1115">
        <f>BN658/BM635-1</f>
        <v>8.9828409693967881E-2</v>
      </c>
      <c r="BO663" s="90">
        <f>BO658/BO635-1</f>
        <v>2.8346303501945558E-2</v>
      </c>
      <c r="BP663" s="90">
        <f>BP658/BP635-1</f>
        <v>7.2561485327115038E-2</v>
      </c>
      <c r="BQ663" s="90">
        <f>BQ658/BQ635-1</f>
        <v>4.7270344198769187E-2</v>
      </c>
      <c r="BR663" s="90">
        <f>BR658/BR635-1</f>
        <v>5.67695715373433E-2</v>
      </c>
      <c r="BS663" s="1115">
        <f>BS658/BR635-1</f>
        <v>5.67695715373433E-2</v>
      </c>
      <c r="BT663" s="90">
        <f>BT658/BT635-1</f>
        <v>0.20651202621192932</v>
      </c>
      <c r="BU663" s="90">
        <f>BU658/BU635-1</f>
        <v>0.16888692579505293</v>
      </c>
      <c r="BV663" s="90">
        <f>BV658/BV635-1</f>
        <v>0.16178187623609031</v>
      </c>
      <c r="BW663" s="90">
        <f>BW658/BW635-1</f>
        <v>0.14237731648733631</v>
      </c>
      <c r="BX663" s="1115">
        <f>BX658/BW635-1</f>
        <v>0.14237731648733631</v>
      </c>
      <c r="BY663" s="892">
        <f>BY658/BY635-1</f>
        <v>0.11476188920825714</v>
      </c>
      <c r="BZ663" s="90"/>
      <c r="CA663" s="90"/>
      <c r="CB663" s="90"/>
      <c r="CC663" s="1115"/>
      <c r="CD663" s="90"/>
      <c r="CE663" s="90"/>
      <c r="CF663" s="90"/>
      <c r="CG663" s="90"/>
      <c r="CH663" s="1115"/>
      <c r="CI663" s="1115"/>
      <c r="CJ663" s="1115"/>
      <c r="CK663" s="1115"/>
      <c r="CL663" s="93"/>
    </row>
    <row r="664" spans="1:90" ht="15" hidden="1" customHeight="1" outlineLevel="3" x14ac:dyDescent="0.3">
      <c r="A664" s="648" t="s">
        <v>1008</v>
      </c>
      <c r="B664" s="112"/>
      <c r="C664" s="1115"/>
      <c r="D664" s="1115"/>
      <c r="E664" s="1115"/>
      <c r="F664" s="1115"/>
      <c r="G664" s="90"/>
      <c r="H664" s="90"/>
      <c r="I664" s="90"/>
      <c r="J664" s="90"/>
      <c r="K664" s="1115"/>
      <c r="L664" s="90"/>
      <c r="M664" s="90"/>
      <c r="N664" s="90"/>
      <c r="O664" s="90"/>
      <c r="P664" s="1115"/>
      <c r="Q664" s="90"/>
      <c r="R664" s="90"/>
      <c r="S664" s="90"/>
      <c r="T664" s="90"/>
      <c r="U664" s="1115"/>
      <c r="V664" s="90"/>
      <c r="W664" s="90"/>
      <c r="X664" s="90"/>
      <c r="Y664" s="90"/>
      <c r="Z664" s="1115"/>
      <c r="AA664" s="90"/>
      <c r="AB664" s="90"/>
      <c r="AC664" s="90"/>
      <c r="AD664" s="90"/>
      <c r="AE664" s="1115"/>
      <c r="AF664" s="90"/>
      <c r="AG664" s="90"/>
      <c r="AH664" s="90">
        <f>AH656/AD635-1</f>
        <v>0.19219586840091818</v>
      </c>
      <c r="AI664" s="90">
        <f>AI656/AF635-1</f>
        <v>0.53921143847487008</v>
      </c>
      <c r="AJ664" s="1115">
        <f>AI664</f>
        <v>0.53921143847487008</v>
      </c>
      <c r="AK664" s="90">
        <f>AK656/AG635-1</f>
        <v>0.46549770290964787</v>
      </c>
      <c r="AL664" s="90">
        <f>AL656/AH635-1</f>
        <v>0.25984444444444432</v>
      </c>
      <c r="AM664" s="90">
        <f>AM656/AI635-1</f>
        <v>-9.3134328358209006E-2</v>
      </c>
      <c r="AN664" s="90">
        <f>AN656/AK635-1</f>
        <v>-0.39245664739884389</v>
      </c>
      <c r="AO664" s="1115">
        <f>AN664</f>
        <v>-0.39245664739884389</v>
      </c>
      <c r="AP664" s="90">
        <f>AP656/AL635-1</f>
        <v>-0.25647503782148262</v>
      </c>
      <c r="AQ664" s="90">
        <f>AQ656/AM635-1</f>
        <v>-9.1731958762886645E-2</v>
      </c>
      <c r="AR664" s="90">
        <f>AR656/AN635-1</f>
        <v>0.49938411669367899</v>
      </c>
      <c r="AS664" s="90">
        <f>AS656/AP635-1</f>
        <v>0.45653435114503838</v>
      </c>
      <c r="AT664" s="1115">
        <f>AS664</f>
        <v>0.45653435114503838</v>
      </c>
      <c r="AU664" s="90">
        <f>AU656/AQ635-1</f>
        <v>0.51059638942617669</v>
      </c>
      <c r="AV664" s="90">
        <f>AV656/AR635-1</f>
        <v>0.45147591921284325</v>
      </c>
      <c r="AW664" s="90">
        <f>AW656/AS635-1</f>
        <v>0.50620689655172413</v>
      </c>
      <c r="AX664" s="90">
        <f>AX656/AU635-1</f>
        <v>0.67920533070088851</v>
      </c>
      <c r="AY664" s="1115">
        <f>AX664</f>
        <v>0.67920533070088851</v>
      </c>
      <c r="AZ664" s="90">
        <f>AZ656/AV635-1</f>
        <v>0.59735005880047054</v>
      </c>
      <c r="BA664" s="90">
        <f>BA656/AW635-1</f>
        <v>0.43184491114701151</v>
      </c>
      <c r="BB664" s="90">
        <f>BB656/AX635-1</f>
        <v>0.4720940170940171</v>
      </c>
      <c r="BC664" s="90">
        <f>BC656/AZ635-1</f>
        <v>0.40917512012813684</v>
      </c>
      <c r="BD664" s="1115">
        <f>BC664</f>
        <v>0.40917512012813684</v>
      </c>
      <c r="BE664" s="90">
        <f>BE656/BA635-1</f>
        <v>0.21897809545768965</v>
      </c>
      <c r="BF664" s="90">
        <f>BF656/BB635-1</f>
        <v>-0.21060701533291326</v>
      </c>
      <c r="BG664" s="90">
        <f>BG656/BC635-1</f>
        <v>-0.24836065573770494</v>
      </c>
      <c r="BH664" s="90">
        <f>BH656/BE635-1</f>
        <v>-0.24425669602732347</v>
      </c>
      <c r="BI664" s="1115">
        <f>BH664</f>
        <v>-0.24425669602732347</v>
      </c>
      <c r="BJ664" s="90">
        <f>BJ656/BF635-1</f>
        <v>1.4372478854912165</v>
      </c>
      <c r="BK664" s="90">
        <f>BK656/BG635-1</f>
        <v>2.3912886752778615</v>
      </c>
      <c r="BL664" s="90">
        <f>BL656/BH635-1</f>
        <v>2.6759189797449361</v>
      </c>
      <c r="BM664" s="90">
        <f>BM656/BJ635-1</f>
        <v>2.7469387755102037</v>
      </c>
      <c r="BN664" s="1115">
        <f>BM664</f>
        <v>2.7469387755102037</v>
      </c>
      <c r="BO664" s="90">
        <f>BO656/BK635-1</f>
        <v>1.1406282504680676</v>
      </c>
      <c r="BP664" s="90">
        <f>BP656/BL635-1</f>
        <v>0.74690789958035775</v>
      </c>
      <c r="BQ664" s="90">
        <f>BQ656/BM635-1</f>
        <v>0.58190341411639834</v>
      </c>
      <c r="BR664" s="90">
        <f>BR656/BO635-1</f>
        <v>0.44497568093385209</v>
      </c>
      <c r="BS664" s="1115">
        <f>BR664</f>
        <v>0.44497568093385209</v>
      </c>
      <c r="BT664" s="90">
        <f>BT656/BP635-1</f>
        <v>0.38728056667693256</v>
      </c>
      <c r="BU664" s="90">
        <f>BU656/BQ635-1</f>
        <v>0.46765443355368119</v>
      </c>
      <c r="BV664" s="90">
        <f>BV656/BR635-1</f>
        <v>0.64243441544957425</v>
      </c>
      <c r="BW664" s="90">
        <f>BW656/BT635-1</f>
        <v>1.1345595353339788</v>
      </c>
      <c r="BX664" s="1115">
        <f>BW664</f>
        <v>1.1345595353339788</v>
      </c>
      <c r="BY664" s="892">
        <f>BY656/BU635-1</f>
        <v>0.95639281507656082</v>
      </c>
      <c r="BZ664" s="90"/>
      <c r="CA664" s="90"/>
      <c r="CB664" s="90"/>
      <c r="CC664" s="1115"/>
      <c r="CD664" s="90"/>
      <c r="CE664" s="90"/>
      <c r="CF664" s="90"/>
      <c r="CG664" s="90"/>
      <c r="CH664" s="1115"/>
      <c r="CI664" s="1115"/>
      <c r="CJ664" s="1115"/>
      <c r="CK664" s="1115"/>
      <c r="CL664" s="93"/>
    </row>
    <row r="665" spans="1:90" ht="15" hidden="1" customHeight="1" outlineLevel="3" x14ac:dyDescent="0.3">
      <c r="A665" s="810" t="s">
        <v>1009</v>
      </c>
      <c r="B665" s="804"/>
      <c r="C665" s="1196"/>
      <c r="D665" s="1196"/>
      <c r="E665" s="1196"/>
      <c r="F665" s="1196"/>
      <c r="G665" s="805"/>
      <c r="H665" s="805"/>
      <c r="I665" s="805"/>
      <c r="J665" s="805"/>
      <c r="K665" s="1196"/>
      <c r="L665" s="805"/>
      <c r="M665" s="805"/>
      <c r="N665" s="805"/>
      <c r="O665" s="805"/>
      <c r="P665" s="1196"/>
      <c r="Q665" s="805"/>
      <c r="R665" s="805"/>
      <c r="S665" s="805"/>
      <c r="T665" s="805"/>
      <c r="U665" s="1196"/>
      <c r="V665" s="805"/>
      <c r="W665" s="805"/>
      <c r="X665" s="805"/>
      <c r="Y665" s="805"/>
      <c r="Z665" s="1196"/>
      <c r="AA665" s="805"/>
      <c r="AB665" s="805"/>
      <c r="AC665" s="805"/>
      <c r="AD665" s="805"/>
      <c r="AE665" s="1196"/>
      <c r="AF665" s="805"/>
      <c r="AG665" s="805"/>
      <c r="AH665" s="805">
        <f>AH657/AD635-1</f>
        <v>0.24085692425401684</v>
      </c>
      <c r="AI665" s="805">
        <f>AI657/AF635-1</f>
        <v>0.62766897746967065</v>
      </c>
      <c r="AJ665" s="1196">
        <f>AI665</f>
        <v>0.62766897746967065</v>
      </c>
      <c r="AK665" s="805">
        <f>AK657/AG635-1</f>
        <v>0.54952526799387447</v>
      </c>
      <c r="AL665" s="805">
        <f>AL657/AH635-1</f>
        <v>0.33231428571428578</v>
      </c>
      <c r="AM665" s="805">
        <f>AM657/AI635-1</f>
        <v>-4.0895522388059713E-2</v>
      </c>
      <c r="AN665" s="805">
        <f>AN657/AK635-1</f>
        <v>-0.35684971098265905</v>
      </c>
      <c r="AO665" s="1196">
        <f>AN665</f>
        <v>-0.35684971098265905</v>
      </c>
      <c r="AP665" s="805">
        <f>AP657/AL635-1</f>
        <v>-0.21301059001512868</v>
      </c>
      <c r="AQ665" s="805">
        <f>AQ657/AM635-1</f>
        <v>-3.941237113402063E-2</v>
      </c>
      <c r="AR665" s="805">
        <f>AR657/AN635-1</f>
        <v>0.58496758508914115</v>
      </c>
      <c r="AS665" s="805">
        <f>AS657/AP635-1</f>
        <v>0.53934351145038173</v>
      </c>
      <c r="AT665" s="1196">
        <f>AS665</f>
        <v>0.53934351145038173</v>
      </c>
      <c r="AU665" s="805">
        <f>AU657/AQ635-1</f>
        <v>0.59625725338491309</v>
      </c>
      <c r="AV665" s="805">
        <f>AV657/AR635-1</f>
        <v>0.53396167788710502</v>
      </c>
      <c r="AW665" s="805">
        <f>AW657/AS635-1</f>
        <v>0.59180295566502461</v>
      </c>
      <c r="AX665" s="805">
        <f>AX657/AU635-1</f>
        <v>0.77442744323790724</v>
      </c>
      <c r="AY665" s="1196">
        <f>AX665</f>
        <v>0.77442744323790724</v>
      </c>
      <c r="AZ665" s="805">
        <f>AZ657/AV635-1</f>
        <v>0.68773814190513516</v>
      </c>
      <c r="BA665" s="805">
        <f>BA657/AW635-1</f>
        <v>0.51269789983844927</v>
      </c>
      <c r="BB665" s="805">
        <f>BB657/AX635-1</f>
        <v>0.55521978021978047</v>
      </c>
      <c r="BC665" s="805">
        <f>BC657/AZ635-1</f>
        <v>0.48874799786438872</v>
      </c>
      <c r="BD665" s="1196">
        <f>BC665</f>
        <v>0.48874799786438872</v>
      </c>
      <c r="BE665" s="805">
        <f>BE657/BA635-1</f>
        <v>0.28778233802167374</v>
      </c>
      <c r="BF665" s="805">
        <f>BF657/BB635-1</f>
        <v>-0.17838689350976678</v>
      </c>
      <c r="BG665" s="805">
        <f>BG657/BC635-1</f>
        <v>-0.20573770491803278</v>
      </c>
      <c r="BH665" s="805">
        <f>BH657/BE635-1</f>
        <v>-0.20149200071903639</v>
      </c>
      <c r="BI665" s="1196">
        <f>BH665</f>
        <v>-0.20149200071903639</v>
      </c>
      <c r="BJ665" s="805">
        <f>BJ657/BF635-1</f>
        <v>1.5732270657124268</v>
      </c>
      <c r="BK665" s="805">
        <f>BK657/BG635-1</f>
        <v>2.578732352057675</v>
      </c>
      <c r="BL665" s="805">
        <f>BL657/BH635-1</f>
        <v>2.8769692423105777</v>
      </c>
      <c r="BM665" s="805">
        <f>BM657/BJ635-1</f>
        <v>2.9508538109121201</v>
      </c>
      <c r="BN665" s="1196">
        <f>BM665</f>
        <v>2.9508538109121201</v>
      </c>
      <c r="BO665" s="805">
        <f>BO657/BK635-1</f>
        <v>1.2577075098814228</v>
      </c>
      <c r="BP665" s="805">
        <f>BP657/BL635-1</f>
        <v>0.84261576971214014</v>
      </c>
      <c r="BQ665" s="805">
        <f>BQ657/BM635-1</f>
        <v>0.66902529630284802</v>
      </c>
      <c r="BR665" s="805">
        <f>BR657/BO635-1</f>
        <v>0.52528696498054472</v>
      </c>
      <c r="BS665" s="1196">
        <f>BR665</f>
        <v>0.52528696498054472</v>
      </c>
      <c r="BT665" s="805">
        <f>BT657/BP635-1</f>
        <v>0.46409872849663425</v>
      </c>
      <c r="BU665" s="805">
        <f>BU657/BQ635-1</f>
        <v>0.54848415773877357</v>
      </c>
      <c r="BV665" s="805">
        <f>BV657/BR635-1</f>
        <v>0.73241849518931268</v>
      </c>
      <c r="BW665" s="805">
        <f>BW657/BT635-1</f>
        <v>1.2216844143272025</v>
      </c>
      <c r="BX665" s="1196">
        <f>BW665</f>
        <v>1.2216844143272025</v>
      </c>
      <c r="BY665" s="928">
        <f>BY657/BU635-1</f>
        <v>1.0635777385159013</v>
      </c>
      <c r="BZ665" s="805"/>
      <c r="CA665" s="805"/>
      <c r="CB665" s="805"/>
      <c r="CC665" s="1196"/>
      <c r="CD665" s="805"/>
      <c r="CE665" s="805"/>
      <c r="CF665" s="805"/>
      <c r="CG665" s="805"/>
      <c r="CH665" s="1196"/>
      <c r="CI665" s="1196"/>
      <c r="CJ665" s="1196"/>
      <c r="CK665" s="1196"/>
      <c r="CL665" s="93"/>
    </row>
    <row r="666" spans="1:90" ht="15" hidden="1" customHeight="1" outlineLevel="2" collapsed="1" x14ac:dyDescent="0.3">
      <c r="A666" s="371" t="s">
        <v>1010</v>
      </c>
      <c r="B666" s="112"/>
      <c r="C666" s="1115"/>
      <c r="D666" s="1115"/>
      <c r="E666" s="1115"/>
      <c r="F666" s="1115"/>
      <c r="G666" s="90"/>
      <c r="H666" s="90"/>
      <c r="I666" s="90"/>
      <c r="J666" s="90"/>
      <c r="K666" s="1115"/>
      <c r="L666" s="90"/>
      <c r="M666" s="90"/>
      <c r="N666" s="90"/>
      <c r="O666" s="90"/>
      <c r="P666" s="1115"/>
      <c r="Q666" s="90"/>
      <c r="R666" s="90"/>
      <c r="S666" s="90"/>
      <c r="T666" s="90"/>
      <c r="U666" s="1115"/>
      <c r="V666" s="90"/>
      <c r="W666" s="90"/>
      <c r="X666" s="90"/>
      <c r="Y666" s="90"/>
      <c r="Z666" s="1115"/>
      <c r="AA666" s="90"/>
      <c r="AB666" s="90"/>
      <c r="AC666" s="90"/>
      <c r="AD666" s="90"/>
      <c r="AE666" s="1115"/>
      <c r="AF666" s="90"/>
      <c r="AG666" s="90"/>
      <c r="AH666" s="90">
        <f>AH658/AD635-1</f>
        <v>0.21652639632746751</v>
      </c>
      <c r="AI666" s="90">
        <f>AI658/AF635-1</f>
        <v>0.58344020797227025</v>
      </c>
      <c r="AJ666" s="1115">
        <f>AJ658/AF635-1</f>
        <v>0.58344020797227025</v>
      </c>
      <c r="AK666" s="90">
        <f>AK658/AG635-1</f>
        <v>0.50751148545176106</v>
      </c>
      <c r="AL666" s="90">
        <f>AL658/AH635-1</f>
        <v>0.29607936507936494</v>
      </c>
      <c r="AM666" s="90">
        <f>AM658/AI635-1</f>
        <v>-6.701492537313436E-2</v>
      </c>
      <c r="AN666" s="90">
        <f>AN658/AK635-1</f>
        <v>-0.37465317919075158</v>
      </c>
      <c r="AO666" s="1115">
        <f>AO658/AK635-1</f>
        <v>-0.37465317919075158</v>
      </c>
      <c r="AP666" s="90">
        <f>AP658/AL635-1</f>
        <v>-0.23474281391830565</v>
      </c>
      <c r="AQ666" s="90">
        <f>AQ658/AM635-1</f>
        <v>-6.5572164948453637E-2</v>
      </c>
      <c r="AR666" s="90">
        <f>AR658/AN635-1</f>
        <v>0.54217585089141007</v>
      </c>
      <c r="AS666" s="90">
        <f>AS658/AP635-1</f>
        <v>0.49793893129771005</v>
      </c>
      <c r="AT666" s="1115">
        <f>AT658/AP635-1</f>
        <v>0.49793893129771005</v>
      </c>
      <c r="AU666" s="90">
        <f>AU658/AQ635-1</f>
        <v>0.55342682140554467</v>
      </c>
      <c r="AV666" s="90">
        <f>AV658/AR635-1</f>
        <v>0.49271879854997414</v>
      </c>
      <c r="AW666" s="90">
        <f>AW658/AS635-1</f>
        <v>0.54900492610837448</v>
      </c>
      <c r="AX666" s="90">
        <f>AX658/AU635-1</f>
        <v>0.72681638696939799</v>
      </c>
      <c r="AY666" s="1115">
        <f>AY658/AU635-1</f>
        <v>0.72681638696939799</v>
      </c>
      <c r="AZ666" s="90">
        <f>AZ658/AV635-1</f>
        <v>0.64254410035280296</v>
      </c>
      <c r="BA666" s="90">
        <f>BA658/AW635-1</f>
        <v>0.47227140549273039</v>
      </c>
      <c r="BB666" s="90">
        <f>BB658/AX635-1</f>
        <v>0.51365689865689856</v>
      </c>
      <c r="BC666" s="90">
        <f>BC658/AZ635-1</f>
        <v>0.44896155899626278</v>
      </c>
      <c r="BD666" s="1115">
        <f>BD658/AZ635-1</f>
        <v>0.44896155899626278</v>
      </c>
      <c r="BE666" s="90">
        <f>BE658/BA635-1</f>
        <v>0.2533802167396817</v>
      </c>
      <c r="BF666" s="90">
        <f>BF658/BB635-1</f>
        <v>-0.19449695442134007</v>
      </c>
      <c r="BG666" s="90">
        <f>BG658/BC635-1</f>
        <v>-0.2270491803278688</v>
      </c>
      <c r="BH666" s="90">
        <f>BH658/BE635-1</f>
        <v>-0.22287434837317999</v>
      </c>
      <c r="BI666" s="1115">
        <f>BI658/BE635-1</f>
        <v>-0.22287434837317999</v>
      </c>
      <c r="BJ666" s="90">
        <f>BJ658/BF635-1</f>
        <v>1.5052374756018216</v>
      </c>
      <c r="BK666" s="90">
        <f>BK658/BG635-1</f>
        <v>2.4850105136677683</v>
      </c>
      <c r="BL666" s="90">
        <f>BL658/BH635-1</f>
        <v>2.7764441110277569</v>
      </c>
      <c r="BM666" s="90">
        <f>BM658/BJ635-1</f>
        <v>2.8488962932111623</v>
      </c>
      <c r="BN666" s="1115">
        <f>BN658/BJ635-1</f>
        <v>2.8488962932111623</v>
      </c>
      <c r="BO666" s="90">
        <f>BO658/BK635-1</f>
        <v>1.1991678801747452</v>
      </c>
      <c r="BP666" s="90">
        <f>BP658/BL635-1</f>
        <v>0.79476183464624905</v>
      </c>
      <c r="BQ666" s="90">
        <f>BQ658/BM635-1</f>
        <v>0.62546435520962329</v>
      </c>
      <c r="BR666" s="90">
        <f>BR658/BO635-1</f>
        <v>0.4851313229571983</v>
      </c>
      <c r="BS666" s="1115">
        <f>BS658/BO635-1</f>
        <v>0.4851313229571983</v>
      </c>
      <c r="BT666" s="90">
        <f>BT658/BP635-1</f>
        <v>0.42568964758678352</v>
      </c>
      <c r="BU666" s="90">
        <f>BU658/BQ635-1</f>
        <v>0.50806929564622716</v>
      </c>
      <c r="BV666" s="90">
        <f>BV658/BR635-1</f>
        <v>0.68742645531944357</v>
      </c>
      <c r="BW666" s="90">
        <f>BW658/BT635-1</f>
        <v>1.1781219748305904</v>
      </c>
      <c r="BX666" s="1115">
        <f>BX658/BT635-1</f>
        <v>1.1781219748305904</v>
      </c>
      <c r="BY666" s="892">
        <f>BY658/BU635-1</f>
        <v>1.0099852767962312</v>
      </c>
      <c r="BZ666" s="90"/>
      <c r="CA666" s="90"/>
      <c r="CB666" s="90"/>
      <c r="CC666" s="1115"/>
      <c r="CD666" s="90"/>
      <c r="CE666" s="90"/>
      <c r="CF666" s="90"/>
      <c r="CG666" s="90"/>
      <c r="CH666" s="1115"/>
      <c r="CI666" s="1115"/>
      <c r="CJ666" s="1115"/>
      <c r="CK666" s="1115"/>
      <c r="CL666" s="93"/>
    </row>
    <row r="667" spans="1:90" ht="15" hidden="1" customHeight="1" outlineLevel="2" x14ac:dyDescent="0.3">
      <c r="A667" s="799"/>
      <c r="B667" s="428"/>
      <c r="C667" s="1136"/>
      <c r="D667" s="1136"/>
      <c r="E667" s="1136"/>
      <c r="F667" s="1136"/>
      <c r="G667" s="93"/>
      <c r="H667" s="93"/>
      <c r="I667" s="93"/>
      <c r="J667" s="93"/>
      <c r="K667" s="1136"/>
      <c r="L667" s="93"/>
      <c r="M667" s="93"/>
      <c r="N667" s="93"/>
      <c r="O667" s="93"/>
      <c r="P667" s="1136"/>
      <c r="Q667" s="93"/>
      <c r="R667" s="93"/>
      <c r="S667" s="93"/>
      <c r="T667" s="93"/>
      <c r="U667" s="1136"/>
      <c r="V667" s="93"/>
      <c r="W667" s="93"/>
      <c r="X667" s="93"/>
      <c r="Y667" s="93"/>
      <c r="Z667" s="1136"/>
      <c r="AA667" s="93"/>
      <c r="AB667" s="93"/>
      <c r="AC667" s="93"/>
      <c r="AD667" s="93"/>
      <c r="AE667" s="1136"/>
      <c r="AF667" s="93"/>
      <c r="AG667" s="93"/>
      <c r="AH667" s="93"/>
      <c r="AI667" s="93"/>
      <c r="AJ667" s="1136"/>
      <c r="AK667" s="93"/>
      <c r="AL667" s="93"/>
      <c r="AM667" s="93"/>
      <c r="AN667" s="93"/>
      <c r="AO667" s="1136"/>
      <c r="AP667" s="93"/>
      <c r="AQ667" s="93"/>
      <c r="AR667" s="93"/>
      <c r="AS667" s="93"/>
      <c r="AT667" s="1136"/>
      <c r="AU667" s="93"/>
      <c r="AV667" s="93"/>
      <c r="AW667" s="93"/>
      <c r="AX667" s="93"/>
      <c r="AY667" s="1136"/>
      <c r="AZ667" s="93"/>
      <c r="BA667" s="93"/>
      <c r="BB667" s="93"/>
      <c r="BC667" s="93"/>
      <c r="BD667" s="1136"/>
      <c r="BE667" s="93"/>
      <c r="BF667" s="93"/>
      <c r="BG667" s="93"/>
      <c r="BH667" s="93"/>
      <c r="BI667" s="1136"/>
      <c r="BJ667" s="93"/>
      <c r="BK667" s="93"/>
      <c r="BL667" s="93"/>
      <c r="BM667" s="93"/>
      <c r="BN667" s="1136"/>
      <c r="BO667" s="93"/>
      <c r="BP667" s="93"/>
      <c r="BQ667" s="93"/>
      <c r="BR667" s="93"/>
      <c r="BS667" s="1136"/>
      <c r="BT667" s="93"/>
      <c r="BU667" s="93"/>
      <c r="BV667" s="93"/>
      <c r="BW667" s="93"/>
      <c r="BX667" s="1136"/>
      <c r="BY667" s="522"/>
      <c r="BZ667" s="93"/>
      <c r="CA667" s="93"/>
      <c r="CB667" s="93"/>
      <c r="CC667" s="1136"/>
      <c r="CD667" s="93"/>
      <c r="CE667" s="93"/>
      <c r="CF667" s="93"/>
      <c r="CG667" s="93"/>
      <c r="CH667" s="1136"/>
      <c r="CI667" s="1136"/>
      <c r="CJ667" s="1136"/>
      <c r="CK667" s="1136"/>
      <c r="CL667" s="93"/>
    </row>
    <row r="668" spans="1:90" ht="15" hidden="1" customHeight="1" outlineLevel="3" x14ac:dyDescent="0.3">
      <c r="A668" s="647" t="s">
        <v>985</v>
      </c>
      <c r="B668" s="428"/>
      <c r="C668" s="1128"/>
      <c r="D668" s="1128"/>
      <c r="E668" s="1128"/>
      <c r="F668" s="1128"/>
      <c r="G668" s="315"/>
      <c r="H668" s="315"/>
      <c r="I668" s="315"/>
      <c r="J668" s="315"/>
      <c r="K668" s="1128"/>
      <c r="L668" s="315"/>
      <c r="M668" s="315"/>
      <c r="N668" s="315"/>
      <c r="O668" s="315"/>
      <c r="P668" s="1128"/>
      <c r="Q668" s="315"/>
      <c r="R668" s="315"/>
      <c r="S668" s="315"/>
      <c r="T668" s="315"/>
      <c r="U668" s="1128"/>
      <c r="V668" s="315"/>
      <c r="W668" s="315"/>
      <c r="X668" s="315"/>
      <c r="Y668" s="315"/>
      <c r="Z668" s="1128"/>
      <c r="AA668" s="315"/>
      <c r="AB668" s="315"/>
      <c r="AC668" s="315"/>
      <c r="AD668" s="315"/>
      <c r="AE668" s="1128"/>
      <c r="AF668" s="315"/>
      <c r="AG668" s="315"/>
      <c r="AH668" s="315">
        <f t="shared" ref="AH668" si="1583">+AH1098</f>
        <v>0.6</v>
      </c>
      <c r="AI668" s="315">
        <f t="shared" ref="AI668:BL668" si="1584">+AI1098</f>
        <v>0.625</v>
      </c>
      <c r="AJ668" s="1128">
        <f t="shared" si="1584"/>
        <v>0.625</v>
      </c>
      <c r="AK668" s="315">
        <f t="shared" si="1584"/>
        <v>0.63</v>
      </c>
      <c r="AL668" s="315">
        <f t="shared" si="1584"/>
        <v>0.623</v>
      </c>
      <c r="AM668" s="315">
        <f t="shared" si="1584"/>
        <v>0.62</v>
      </c>
      <c r="AN668" s="315">
        <f t="shared" si="1584"/>
        <v>0.58499999999999996</v>
      </c>
      <c r="AO668" s="1128">
        <f t="shared" si="1584"/>
        <v>0.58499999999999996</v>
      </c>
      <c r="AP668" s="315">
        <f t="shared" si="1584"/>
        <v>0.59</v>
      </c>
      <c r="AQ668" s="315">
        <f t="shared" si="1584"/>
        <v>0.62</v>
      </c>
      <c r="AR668" s="315">
        <f t="shared" si="1584"/>
        <v>0.64</v>
      </c>
      <c r="AS668" s="315">
        <f t="shared" si="1584"/>
        <v>0.64900000000000002</v>
      </c>
      <c r="AT668" s="1128">
        <f t="shared" si="1584"/>
        <v>0.64900000000000002</v>
      </c>
      <c r="AU668" s="315">
        <f t="shared" si="1584"/>
        <v>0.65500000000000003</v>
      </c>
      <c r="AV668" s="315">
        <f t="shared" si="1584"/>
        <v>0.65</v>
      </c>
      <c r="AW668" s="315">
        <f t="shared" si="1584"/>
        <v>0.65</v>
      </c>
      <c r="AX668" s="315">
        <f t="shared" si="1584"/>
        <v>0.65500000000000003</v>
      </c>
      <c r="AY668" s="1128">
        <f t="shared" si="1584"/>
        <v>0.65500000000000003</v>
      </c>
      <c r="AZ668" s="315">
        <f t="shared" si="1584"/>
        <v>0.66</v>
      </c>
      <c r="BA668" s="315">
        <f t="shared" si="1584"/>
        <v>0.66500000000000004</v>
      </c>
      <c r="BB668" s="315">
        <f t="shared" si="1584"/>
        <v>0.66500000000000004</v>
      </c>
      <c r="BC668" s="315">
        <f t="shared" si="1584"/>
        <v>0.66500000000000004</v>
      </c>
      <c r="BD668" s="1128">
        <f t="shared" si="1584"/>
        <v>0.66500000000000004</v>
      </c>
      <c r="BE668" s="315">
        <f t="shared" si="1584"/>
        <v>0.66599999999999993</v>
      </c>
      <c r="BF668" s="315">
        <f t="shared" si="1584"/>
        <v>0.65</v>
      </c>
      <c r="BG668" s="315">
        <f t="shared" si="1584"/>
        <v>0.65500000000000003</v>
      </c>
      <c r="BH668" s="315">
        <f t="shared" si="1584"/>
        <v>0.66</v>
      </c>
      <c r="BI668" s="1128">
        <f t="shared" si="1584"/>
        <v>0.66</v>
      </c>
      <c r="BJ668" s="315">
        <f t="shared" si="1584"/>
        <v>0.69499999999999995</v>
      </c>
      <c r="BK668" s="315">
        <f t="shared" si="1584"/>
        <v>0.72</v>
      </c>
      <c r="BL668" s="315">
        <f t="shared" si="1584"/>
        <v>0.75</v>
      </c>
      <c r="BM668" s="315">
        <f t="shared" ref="BM668:BO669" si="1585">+BM1098</f>
        <v>0.76500000000000001</v>
      </c>
      <c r="BN668" s="1128">
        <f t="shared" si="1585"/>
        <v>0.76500000000000001</v>
      </c>
      <c r="BO668" s="315">
        <f t="shared" si="1585"/>
        <v>0.75</v>
      </c>
      <c r="BP668" s="315">
        <f t="shared" ref="BP668:BS669" si="1586">+BP1098</f>
        <v>0.745</v>
      </c>
      <c r="BQ668" s="315">
        <f t="shared" si="1586"/>
        <v>0.73</v>
      </c>
      <c r="BR668" s="315">
        <f t="shared" si="1586"/>
        <v>0.70499999999999996</v>
      </c>
      <c r="BS668" s="1128">
        <f t="shared" si="1586"/>
        <v>0.70499999999999996</v>
      </c>
      <c r="BT668" s="315">
        <f t="shared" ref="BT668:BV669" si="1587">+BT1098</f>
        <v>0.71499999999999997</v>
      </c>
      <c r="BU668" s="315">
        <f t="shared" si="1587"/>
        <v>0.73</v>
      </c>
      <c r="BV668" s="315">
        <f t="shared" si="1587"/>
        <v>0.745</v>
      </c>
      <c r="BW668" s="315">
        <f t="shared" ref="BW668:BY669" si="1588">+BW1098</f>
        <v>0.75</v>
      </c>
      <c r="BX668" s="1128">
        <f t="shared" si="1588"/>
        <v>0.75</v>
      </c>
      <c r="BY668" s="897">
        <f t="shared" si="1588"/>
        <v>0.745</v>
      </c>
      <c r="BZ668" s="315"/>
      <c r="CA668" s="315"/>
      <c r="CB668" s="315"/>
      <c r="CC668" s="1128"/>
      <c r="CD668" s="315"/>
      <c r="CE668" s="315"/>
      <c r="CF668" s="315"/>
      <c r="CG668" s="315"/>
      <c r="CH668" s="1128"/>
      <c r="CI668" s="1128"/>
      <c r="CJ668" s="1128"/>
      <c r="CK668" s="1128"/>
      <c r="CL668" s="93"/>
    </row>
    <row r="669" spans="1:90" ht="15" hidden="1" customHeight="1" outlineLevel="3" x14ac:dyDescent="0.3">
      <c r="A669" s="816" t="s">
        <v>986</v>
      </c>
      <c r="B669" s="718"/>
      <c r="C669" s="1138"/>
      <c r="D669" s="1138"/>
      <c r="E669" s="1138"/>
      <c r="F669" s="1138"/>
      <c r="G669" s="699"/>
      <c r="H669" s="699"/>
      <c r="I669" s="699"/>
      <c r="J669" s="699"/>
      <c r="K669" s="1138"/>
      <c r="L669" s="699"/>
      <c r="M669" s="699"/>
      <c r="N669" s="699"/>
      <c r="O669" s="699"/>
      <c r="P669" s="1138"/>
      <c r="Q669" s="699"/>
      <c r="R669" s="699"/>
      <c r="S669" s="699"/>
      <c r="T669" s="699"/>
      <c r="U669" s="1138"/>
      <c r="V669" s="699"/>
      <c r="W669" s="699"/>
      <c r="X669" s="699"/>
      <c r="Y669" s="699"/>
      <c r="Z669" s="1138"/>
      <c r="AA669" s="699"/>
      <c r="AB669" s="699"/>
      <c r="AC669" s="699"/>
      <c r="AD669" s="699"/>
      <c r="AE669" s="1138"/>
      <c r="AF669" s="699"/>
      <c r="AG669" s="699"/>
      <c r="AH669" s="699">
        <f t="shared" ref="AH669" si="1589">+AH1099</f>
        <v>0.6</v>
      </c>
      <c r="AI669" s="699">
        <f t="shared" ref="AI669:BL669" si="1590">+AI1099</f>
        <v>0.63500000000000001</v>
      </c>
      <c r="AJ669" s="1138">
        <f t="shared" si="1590"/>
        <v>0.63500000000000001</v>
      </c>
      <c r="AK669" s="699">
        <f t="shared" si="1590"/>
        <v>0.64</v>
      </c>
      <c r="AL669" s="699">
        <f t="shared" si="1590"/>
        <v>0.63300000000000001</v>
      </c>
      <c r="AM669" s="699">
        <f t="shared" si="1590"/>
        <v>0.63</v>
      </c>
      <c r="AN669" s="699">
        <f t="shared" si="1590"/>
        <v>0.59499999999999997</v>
      </c>
      <c r="AO669" s="1138">
        <f t="shared" si="1590"/>
        <v>0.59499999999999997</v>
      </c>
      <c r="AP669" s="699">
        <f t="shared" si="1590"/>
        <v>0.6</v>
      </c>
      <c r="AQ669" s="699">
        <f t="shared" si="1590"/>
        <v>0.63</v>
      </c>
      <c r="AR669" s="699">
        <f t="shared" si="1590"/>
        <v>0.65</v>
      </c>
      <c r="AS669" s="699">
        <f t="shared" si="1590"/>
        <v>0.65900000000000003</v>
      </c>
      <c r="AT669" s="1138">
        <f t="shared" si="1590"/>
        <v>0.65900000000000003</v>
      </c>
      <c r="AU669" s="699">
        <f t="shared" si="1590"/>
        <v>0.66500000000000004</v>
      </c>
      <c r="AV669" s="699">
        <f t="shared" si="1590"/>
        <v>0.66</v>
      </c>
      <c r="AW669" s="699">
        <f t="shared" si="1590"/>
        <v>0.66</v>
      </c>
      <c r="AX669" s="699">
        <f t="shared" si="1590"/>
        <v>0.66500000000000004</v>
      </c>
      <c r="AY669" s="1138">
        <f t="shared" si="1590"/>
        <v>0.66500000000000004</v>
      </c>
      <c r="AZ669" s="699">
        <f t="shared" si="1590"/>
        <v>0.67</v>
      </c>
      <c r="BA669" s="699">
        <f t="shared" si="1590"/>
        <v>0.67500000000000004</v>
      </c>
      <c r="BB669" s="699">
        <f t="shared" si="1590"/>
        <v>0.67500000000000004</v>
      </c>
      <c r="BC669" s="699">
        <f t="shared" si="1590"/>
        <v>0.67500000000000004</v>
      </c>
      <c r="BD669" s="1138">
        <f t="shared" si="1590"/>
        <v>0.67500000000000004</v>
      </c>
      <c r="BE669" s="699">
        <f t="shared" si="1590"/>
        <v>0.67599999999999993</v>
      </c>
      <c r="BF669" s="699">
        <f t="shared" si="1590"/>
        <v>0.65</v>
      </c>
      <c r="BG669" s="699">
        <f t="shared" si="1590"/>
        <v>0.66500000000000004</v>
      </c>
      <c r="BH669" s="699">
        <f t="shared" si="1590"/>
        <v>0.67</v>
      </c>
      <c r="BI669" s="1138">
        <f t="shared" si="1590"/>
        <v>0.67</v>
      </c>
      <c r="BJ669" s="699">
        <f t="shared" si="1590"/>
        <v>0.70499999999999996</v>
      </c>
      <c r="BK669" s="699">
        <f t="shared" si="1590"/>
        <v>0.73</v>
      </c>
      <c r="BL669" s="699">
        <f t="shared" si="1590"/>
        <v>0.76</v>
      </c>
      <c r="BM669" s="699">
        <f t="shared" si="1585"/>
        <v>0.77500000000000002</v>
      </c>
      <c r="BN669" s="1138">
        <f t="shared" si="1585"/>
        <v>0.77500000000000002</v>
      </c>
      <c r="BO669" s="699">
        <f t="shared" si="1585"/>
        <v>0.76</v>
      </c>
      <c r="BP669" s="699">
        <f t="shared" si="1586"/>
        <v>0.755</v>
      </c>
      <c r="BQ669" s="699">
        <f t="shared" si="1586"/>
        <v>0.74</v>
      </c>
      <c r="BR669" s="699">
        <f t="shared" si="1586"/>
        <v>0.71499999999999997</v>
      </c>
      <c r="BS669" s="1138">
        <f t="shared" si="1586"/>
        <v>0.71499999999999997</v>
      </c>
      <c r="BT669" s="699">
        <f t="shared" si="1587"/>
        <v>0.72499999999999998</v>
      </c>
      <c r="BU669" s="699">
        <f t="shared" si="1587"/>
        <v>0.74</v>
      </c>
      <c r="BV669" s="699">
        <f t="shared" si="1587"/>
        <v>0.755</v>
      </c>
      <c r="BW669" s="699">
        <f t="shared" si="1588"/>
        <v>0.75</v>
      </c>
      <c r="BX669" s="1138">
        <f t="shared" si="1588"/>
        <v>0.75</v>
      </c>
      <c r="BY669" s="901">
        <f t="shared" si="1588"/>
        <v>0.755</v>
      </c>
      <c r="BZ669" s="699"/>
      <c r="CA669" s="699"/>
      <c r="CB669" s="699"/>
      <c r="CC669" s="1138"/>
      <c r="CD669" s="699"/>
      <c r="CE669" s="699"/>
      <c r="CF669" s="699"/>
      <c r="CG669" s="699"/>
      <c r="CH669" s="1138"/>
      <c r="CI669" s="1138"/>
      <c r="CJ669" s="1138"/>
      <c r="CK669" s="1138"/>
      <c r="CL669" s="93"/>
    </row>
    <row r="670" spans="1:90" ht="15" hidden="1" customHeight="1" outlineLevel="2" collapsed="1" x14ac:dyDescent="0.3">
      <c r="A670" s="581" t="s">
        <v>987</v>
      </c>
      <c r="B670" s="610"/>
      <c r="C670" s="1147"/>
      <c r="D670" s="1147"/>
      <c r="E670" s="1147"/>
      <c r="F670" s="1147"/>
      <c r="G670" s="238"/>
      <c r="H670" s="238"/>
      <c r="I670" s="238"/>
      <c r="J670" s="238"/>
      <c r="K670" s="1147"/>
      <c r="L670" s="238"/>
      <c r="M670" s="238"/>
      <c r="N670" s="238"/>
      <c r="O670" s="238"/>
      <c r="P670" s="1147"/>
      <c r="Q670" s="238"/>
      <c r="R670" s="238"/>
      <c r="S670" s="238"/>
      <c r="T670" s="238"/>
      <c r="U670" s="1147"/>
      <c r="V670" s="238"/>
      <c r="W670" s="238"/>
      <c r="X670" s="238"/>
      <c r="Y670" s="238"/>
      <c r="Z670" s="1147"/>
      <c r="AA670" s="238"/>
      <c r="AB670" s="238"/>
      <c r="AC670" s="238"/>
      <c r="AD670" s="238"/>
      <c r="AE670" s="1147"/>
      <c r="AF670" s="238"/>
      <c r="AG670" s="238"/>
      <c r="AH670" s="238">
        <f t="shared" ref="AH670:AL670" si="1591">IFERROR(AVERAGE(AH669,AH668),"")</f>
        <v>0.6</v>
      </c>
      <c r="AI670" s="238">
        <f t="shared" si="1591"/>
        <v>0.63</v>
      </c>
      <c r="AJ670" s="1147">
        <f t="shared" si="1591"/>
        <v>0.63</v>
      </c>
      <c r="AK670" s="238">
        <f t="shared" si="1591"/>
        <v>0.63500000000000001</v>
      </c>
      <c r="AL670" s="238">
        <f t="shared" si="1591"/>
        <v>0.628</v>
      </c>
      <c r="AM670" s="238">
        <f t="shared" ref="AM670:BL670" si="1592">IFERROR(AVERAGE(AM669,AM668),"")</f>
        <v>0.625</v>
      </c>
      <c r="AN670" s="238">
        <f t="shared" si="1592"/>
        <v>0.59</v>
      </c>
      <c r="AO670" s="1147">
        <f t="shared" si="1592"/>
        <v>0.59</v>
      </c>
      <c r="AP670" s="238">
        <f t="shared" si="1592"/>
        <v>0.59499999999999997</v>
      </c>
      <c r="AQ670" s="238">
        <f t="shared" si="1592"/>
        <v>0.625</v>
      </c>
      <c r="AR670" s="238">
        <f t="shared" si="1592"/>
        <v>0.64500000000000002</v>
      </c>
      <c r="AS670" s="238">
        <f t="shared" si="1592"/>
        <v>0.65400000000000003</v>
      </c>
      <c r="AT670" s="1147">
        <f t="shared" si="1592"/>
        <v>0.65400000000000003</v>
      </c>
      <c r="AU670" s="238">
        <f t="shared" si="1592"/>
        <v>0.66</v>
      </c>
      <c r="AV670" s="238">
        <f t="shared" si="1592"/>
        <v>0.65500000000000003</v>
      </c>
      <c r="AW670" s="238">
        <f t="shared" si="1592"/>
        <v>0.65500000000000003</v>
      </c>
      <c r="AX670" s="238">
        <f t="shared" si="1592"/>
        <v>0.66</v>
      </c>
      <c r="AY670" s="1147">
        <f t="shared" si="1592"/>
        <v>0.66</v>
      </c>
      <c r="AZ670" s="238">
        <f t="shared" si="1592"/>
        <v>0.66500000000000004</v>
      </c>
      <c r="BA670" s="238">
        <f t="shared" si="1592"/>
        <v>0.67</v>
      </c>
      <c r="BB670" s="238">
        <f t="shared" si="1592"/>
        <v>0.67</v>
      </c>
      <c r="BC670" s="238">
        <f t="shared" si="1592"/>
        <v>0.67</v>
      </c>
      <c r="BD670" s="1147">
        <f t="shared" si="1592"/>
        <v>0.67</v>
      </c>
      <c r="BE670" s="238">
        <f t="shared" si="1592"/>
        <v>0.67099999999999993</v>
      </c>
      <c r="BF670" s="238">
        <f t="shared" si="1592"/>
        <v>0.65</v>
      </c>
      <c r="BG670" s="238">
        <f t="shared" si="1592"/>
        <v>0.66</v>
      </c>
      <c r="BH670" s="238">
        <f t="shared" si="1592"/>
        <v>0.66500000000000004</v>
      </c>
      <c r="BI670" s="1147">
        <f t="shared" si="1592"/>
        <v>0.66500000000000004</v>
      </c>
      <c r="BJ670" s="238">
        <f t="shared" si="1592"/>
        <v>0.7</v>
      </c>
      <c r="BK670" s="238">
        <f t="shared" si="1592"/>
        <v>0.72499999999999998</v>
      </c>
      <c r="BL670" s="238">
        <f t="shared" si="1592"/>
        <v>0.755</v>
      </c>
      <c r="BM670" s="238">
        <f t="shared" ref="BM670:BS670" si="1593">IFERROR(AVERAGE(BM669,BM668),"")</f>
        <v>0.77</v>
      </c>
      <c r="BN670" s="1147">
        <f t="shared" si="1593"/>
        <v>0.77</v>
      </c>
      <c r="BO670" s="238">
        <f t="shared" si="1593"/>
        <v>0.755</v>
      </c>
      <c r="BP670" s="238">
        <f t="shared" si="1593"/>
        <v>0.75</v>
      </c>
      <c r="BQ670" s="238">
        <f t="shared" si="1593"/>
        <v>0.73499999999999999</v>
      </c>
      <c r="BR670" s="238">
        <f t="shared" si="1593"/>
        <v>0.71</v>
      </c>
      <c r="BS670" s="1147">
        <f t="shared" si="1593"/>
        <v>0.71</v>
      </c>
      <c r="BT670" s="238">
        <f t="shared" ref="BT670:BY670" si="1594">IFERROR(AVERAGE(BT669,BT668),"")</f>
        <v>0.72</v>
      </c>
      <c r="BU670" s="238">
        <f t="shared" si="1594"/>
        <v>0.73499999999999999</v>
      </c>
      <c r="BV670" s="238">
        <f t="shared" si="1594"/>
        <v>0.75</v>
      </c>
      <c r="BW670" s="238">
        <f t="shared" si="1594"/>
        <v>0.75</v>
      </c>
      <c r="BX670" s="1147">
        <f t="shared" si="1594"/>
        <v>0.75</v>
      </c>
      <c r="BY670" s="931">
        <f t="shared" si="1594"/>
        <v>0.75</v>
      </c>
      <c r="BZ670" s="238"/>
      <c r="CA670" s="238"/>
      <c r="CB670" s="238"/>
      <c r="CC670" s="1147"/>
      <c r="CD670" s="238"/>
      <c r="CE670" s="238"/>
      <c r="CF670" s="238"/>
      <c r="CG670" s="238"/>
      <c r="CH670" s="1147"/>
      <c r="CI670" s="1147"/>
      <c r="CJ670" s="1147"/>
      <c r="CK670" s="1147"/>
      <c r="CL670" s="93"/>
    </row>
    <row r="671" spans="1:90" ht="15" hidden="1" customHeight="1" outlineLevel="2" x14ac:dyDescent="0.3">
      <c r="A671" s="99" t="s">
        <v>988</v>
      </c>
      <c r="B671" s="428"/>
      <c r="C671" s="1112"/>
      <c r="D671" s="1112"/>
      <c r="E671" s="1112"/>
      <c r="F671" s="1112"/>
      <c r="G671" s="68"/>
      <c r="H671" s="68"/>
      <c r="I671" s="68"/>
      <c r="J671" s="68"/>
      <c r="K671" s="1112"/>
      <c r="L671" s="68"/>
      <c r="M671" s="68"/>
      <c r="N671" s="68"/>
      <c r="O671" s="68"/>
      <c r="P671" s="1112"/>
      <c r="Q671" s="68"/>
      <c r="R671" s="68"/>
      <c r="S671" s="68"/>
      <c r="T671" s="68"/>
      <c r="U671" s="1112"/>
      <c r="V671" s="68"/>
      <c r="W671" s="68"/>
      <c r="X671" s="68"/>
      <c r="Y671" s="68"/>
      <c r="Z671" s="1112"/>
      <c r="AA671" s="68"/>
      <c r="AB671" s="68"/>
      <c r="AC671" s="68"/>
      <c r="AD671" s="68"/>
      <c r="AE671" s="1112"/>
      <c r="AF671" s="68"/>
      <c r="AG671" s="68"/>
      <c r="AH671" s="68">
        <f t="shared" ref="AH671:AL671" si="1595">IFERROR(ABS(AH669-AH670)*10000,"")</f>
        <v>0</v>
      </c>
      <c r="AI671" s="68">
        <f t="shared" si="1595"/>
        <v>50.000000000000043</v>
      </c>
      <c r="AJ671" s="1112">
        <f t="shared" si="1595"/>
        <v>50.000000000000043</v>
      </c>
      <c r="AK671" s="68">
        <f t="shared" si="1595"/>
        <v>50.000000000000043</v>
      </c>
      <c r="AL671" s="68">
        <f t="shared" si="1595"/>
        <v>50.000000000000043</v>
      </c>
      <c r="AM671" s="68">
        <f t="shared" ref="AM671:BL671" si="1596">IFERROR(ABS(AM669-AM670)*10000,"")</f>
        <v>50.000000000000043</v>
      </c>
      <c r="AN671" s="68">
        <f t="shared" si="1596"/>
        <v>50.000000000000043</v>
      </c>
      <c r="AO671" s="1112">
        <f t="shared" si="1596"/>
        <v>50.000000000000043</v>
      </c>
      <c r="AP671" s="68">
        <f t="shared" si="1596"/>
        <v>50.000000000000043</v>
      </c>
      <c r="AQ671" s="68">
        <f t="shared" si="1596"/>
        <v>50.000000000000043</v>
      </c>
      <c r="AR671" s="68">
        <f t="shared" si="1596"/>
        <v>50.000000000000043</v>
      </c>
      <c r="AS671" s="68">
        <f t="shared" si="1596"/>
        <v>50.000000000000043</v>
      </c>
      <c r="AT671" s="1112">
        <f t="shared" si="1596"/>
        <v>50.000000000000043</v>
      </c>
      <c r="AU671" s="68">
        <f t="shared" si="1596"/>
        <v>50.000000000000043</v>
      </c>
      <c r="AV671" s="68">
        <f t="shared" si="1596"/>
        <v>50.000000000000043</v>
      </c>
      <c r="AW671" s="68">
        <f t="shared" si="1596"/>
        <v>50.000000000000043</v>
      </c>
      <c r="AX671" s="68">
        <f t="shared" si="1596"/>
        <v>50.000000000000043</v>
      </c>
      <c r="AY671" s="1112">
        <f t="shared" si="1596"/>
        <v>50.000000000000043</v>
      </c>
      <c r="AZ671" s="68">
        <f t="shared" si="1596"/>
        <v>50.000000000000043</v>
      </c>
      <c r="BA671" s="68">
        <f t="shared" si="1596"/>
        <v>50.000000000000043</v>
      </c>
      <c r="BB671" s="68">
        <f t="shared" si="1596"/>
        <v>50.000000000000043</v>
      </c>
      <c r="BC671" s="68">
        <f t="shared" si="1596"/>
        <v>50.000000000000043</v>
      </c>
      <c r="BD671" s="1112">
        <f t="shared" si="1596"/>
        <v>50.000000000000043</v>
      </c>
      <c r="BE671" s="68">
        <f t="shared" si="1596"/>
        <v>50.000000000000043</v>
      </c>
      <c r="BF671" s="68">
        <f t="shared" si="1596"/>
        <v>0</v>
      </c>
      <c r="BG671" s="68">
        <f t="shared" si="1596"/>
        <v>50.000000000000043</v>
      </c>
      <c r="BH671" s="68">
        <f t="shared" si="1596"/>
        <v>50.000000000000043</v>
      </c>
      <c r="BI671" s="1112">
        <f t="shared" si="1596"/>
        <v>50.000000000000043</v>
      </c>
      <c r="BJ671" s="68">
        <f t="shared" si="1596"/>
        <v>50.000000000000043</v>
      </c>
      <c r="BK671" s="68">
        <f t="shared" si="1596"/>
        <v>50.000000000000043</v>
      </c>
      <c r="BL671" s="68">
        <f t="shared" si="1596"/>
        <v>50.000000000000043</v>
      </c>
      <c r="BM671" s="68">
        <f t="shared" ref="BM671:BS671" si="1597">IFERROR(ABS(BM669-BM670)*10000,"")</f>
        <v>50.000000000000043</v>
      </c>
      <c r="BN671" s="1112">
        <f t="shared" si="1597"/>
        <v>50.000000000000043</v>
      </c>
      <c r="BO671" s="68">
        <f t="shared" si="1597"/>
        <v>50.000000000000043</v>
      </c>
      <c r="BP671" s="68">
        <f t="shared" si="1597"/>
        <v>50.000000000000043</v>
      </c>
      <c r="BQ671" s="68">
        <f t="shared" si="1597"/>
        <v>50.000000000000043</v>
      </c>
      <c r="BR671" s="68">
        <f t="shared" si="1597"/>
        <v>50.000000000000043</v>
      </c>
      <c r="BS671" s="1112">
        <f t="shared" si="1597"/>
        <v>50.000000000000043</v>
      </c>
      <c r="BT671" s="68">
        <f t="shared" ref="BT671:BY671" si="1598">IFERROR(ABS(BT669-BT670)*10000,"")</f>
        <v>50.000000000000043</v>
      </c>
      <c r="BU671" s="68">
        <f t="shared" si="1598"/>
        <v>50.000000000000043</v>
      </c>
      <c r="BV671" s="68">
        <f t="shared" si="1598"/>
        <v>50.000000000000043</v>
      </c>
      <c r="BW671" s="68">
        <f t="shared" si="1598"/>
        <v>0</v>
      </c>
      <c r="BX671" s="1112">
        <f t="shared" si="1598"/>
        <v>0</v>
      </c>
      <c r="BY671" s="588">
        <f t="shared" si="1598"/>
        <v>50.000000000000043</v>
      </c>
      <c r="BZ671" s="68"/>
      <c r="CA671" s="68"/>
      <c r="CB671" s="68"/>
      <c r="CC671" s="1112"/>
      <c r="CD671" s="68"/>
      <c r="CE671" s="68"/>
      <c r="CF671" s="68"/>
      <c r="CG671" s="68"/>
      <c r="CH671" s="1112"/>
      <c r="CI671" s="1112"/>
      <c r="CJ671" s="1112"/>
      <c r="CK671" s="1112"/>
      <c r="CL671" s="93"/>
    </row>
    <row r="672" spans="1:90" ht="15" hidden="1" customHeight="1" outlineLevel="3" x14ac:dyDescent="0.3">
      <c r="A672" s="820" t="s">
        <v>989</v>
      </c>
      <c r="B672" s="112"/>
      <c r="C672" s="1119"/>
      <c r="D672" s="1119"/>
      <c r="E672" s="1119"/>
      <c r="F672" s="1119"/>
      <c r="G672" s="76"/>
      <c r="H672" s="76"/>
      <c r="I672" s="76"/>
      <c r="J672" s="76"/>
      <c r="K672" s="1119"/>
      <c r="L672" s="76"/>
      <c r="M672" s="76"/>
      <c r="N672" s="76"/>
      <c r="O672" s="76"/>
      <c r="P672" s="1119"/>
      <c r="Q672" s="76"/>
      <c r="R672" s="76"/>
      <c r="S672" s="76"/>
      <c r="T672" s="76"/>
      <c r="U672" s="1119"/>
      <c r="V672" s="76"/>
      <c r="W672" s="76"/>
      <c r="X672" s="76"/>
      <c r="Y672" s="76"/>
      <c r="Z672" s="1119"/>
      <c r="AA672" s="76"/>
      <c r="AB672" s="76"/>
      <c r="AC672" s="76"/>
      <c r="AD672" s="76"/>
      <c r="AE672" s="1119"/>
      <c r="AF672" s="76"/>
      <c r="AG672" s="76"/>
      <c r="AH672" s="76">
        <f>IFERROR((AH668-AH651)*10000,"")</f>
        <v>47.799696509863708</v>
      </c>
      <c r="AI672" s="76">
        <f>IFERROR((AI668-AI651)*10000,"")</f>
        <v>63.122638268635626</v>
      </c>
      <c r="AJ672" s="1119">
        <f t="shared" ref="AJ672:AJ677" si="1599">AI672</f>
        <v>63.122638268635626</v>
      </c>
      <c r="AK672" s="76">
        <f>IFERROR((AK668-AK651)*10000,"")</f>
        <v>-148.39413782351096</v>
      </c>
      <c r="AL672" s="76">
        <f>IFERROR((AL668-AL651)*10000,"")</f>
        <v>-94.047390329811137</v>
      </c>
      <c r="AM672" s="76">
        <f>IFERROR((AM668-AM651)*10000,"")</f>
        <v>161.01854762653244</v>
      </c>
      <c r="AN672" s="76">
        <f>IFERROR((AN668-AN651)*10000,"")</f>
        <v>376.07709750566931</v>
      </c>
      <c r="AO672" s="1119">
        <f t="shared" ref="AO672:AO677" si="1600">AN672</f>
        <v>376.07709750566931</v>
      </c>
      <c r="AP672" s="76">
        <f>IFERROR((AP668-AP651)*10000,"")</f>
        <v>62.162162162161529</v>
      </c>
      <c r="AQ672" s="76">
        <f>IFERROR((AQ668-AQ651)*10000,"")</f>
        <v>224.81582008530455</v>
      </c>
      <c r="AR672" s="76">
        <f>IFERROR((AR668-AR651)*10000,"")</f>
        <v>42.999336429992987</v>
      </c>
      <c r="AS672" s="76">
        <f>IFERROR((AS668-AS651)*10000,"")</f>
        <v>0.46698872785855272</v>
      </c>
      <c r="AT672" s="1119">
        <f t="shared" ref="AT672:AT677" si="1601">AS672</f>
        <v>0.46698872785855272</v>
      </c>
      <c r="AU672" s="76">
        <f>IFERROR((AU668-AU651)*10000,"")</f>
        <v>43.506493506493271</v>
      </c>
      <c r="AV672" s="76">
        <f>IFERROR((AV668-AV651)*10000,"")</f>
        <v>615.36471805483711</v>
      </c>
      <c r="AW672" s="76">
        <f>IFERROR((AW668-AW651)*10000,"")</f>
        <v>236.77528565383076</v>
      </c>
      <c r="AX672" s="76">
        <f>IFERROR((AX668-AX651)*10000,"")</f>
        <v>239.78612832300627</v>
      </c>
      <c r="AY672" s="1119">
        <f t="shared" ref="AY672:AY677" si="1602">AX672</f>
        <v>239.78612832300627</v>
      </c>
      <c r="AZ672" s="76">
        <f>IFERROR((AZ668-AZ651)*10000,"")</f>
        <v>189.47182476594216</v>
      </c>
      <c r="BA672" s="76">
        <f>IFERROR((BA668-BA651)*10000,"")</f>
        <v>172.36053480866875</v>
      </c>
      <c r="BB672" s="76">
        <f>IFERROR((BB668-BB651)*10000,"")</f>
        <v>130.21962551034827</v>
      </c>
      <c r="BC672" s="76">
        <f>IFERROR((BC668-BC651)*10000,"")</f>
        <v>109.37459112913884</v>
      </c>
      <c r="BD672" s="1119">
        <f t="shared" ref="BD672:BD677" si="1603">BC672</f>
        <v>109.37459112913884</v>
      </c>
      <c r="BE672" s="76">
        <f>IFERROR((BE668-BE651)*10000,"")</f>
        <v>107.15250965250833</v>
      </c>
      <c r="BF672" s="76">
        <f>IFERROR((BF668-BF651)*10000,"")</f>
        <v>2151.8496420047741</v>
      </c>
      <c r="BG672" s="76">
        <f>IFERROR((BG668-BG651)*10000,"")</f>
        <v>1193.3990895295899</v>
      </c>
      <c r="BH672" s="76">
        <f>IFERROR((BH668-BH651)*10000,"")</f>
        <v>265.50983308544107</v>
      </c>
      <c r="BI672" s="1119">
        <f t="shared" ref="BI672:BI677" si="1604">BH672</f>
        <v>265.50983308544107</v>
      </c>
      <c r="BJ672" s="76">
        <f>IFERROR((BJ668-BJ651)*10000,"")</f>
        <v>487.26362625138961</v>
      </c>
      <c r="BK672" s="76">
        <f>IFERROR((BK668-BK651)*10000,"")</f>
        <v>194.74346635078078</v>
      </c>
      <c r="BL672" s="76">
        <f>IFERROR((BL668-BL651)*10000,"")</f>
        <v>104.85651214128033</v>
      </c>
      <c r="BM672" s="76">
        <f>IFERROR((BM668-BM651)*10000,"")</f>
        <v>53.293670542460262</v>
      </c>
      <c r="BN672" s="1119">
        <f t="shared" ref="BN672:BN677" si="1605">BM672</f>
        <v>53.293670542460262</v>
      </c>
      <c r="BO672" s="76">
        <f>IFERROR((BO668-BO651)*10000,"")</f>
        <v>-335.20196590385518</v>
      </c>
      <c r="BP672" s="76">
        <f>IFERROR((BP668-BP651)*10000,"")</f>
        <v>-64.647137150466435</v>
      </c>
      <c r="BQ672" s="76">
        <f>IFERROR((BQ668-BQ651)*10000,"")</f>
        <v>-155.67527506983646</v>
      </c>
      <c r="BR672" s="76">
        <f>IFERROR((BR668-BR651)*10000,"")</f>
        <v>-252.89084945717133</v>
      </c>
      <c r="BS672" s="1119">
        <f t="shared" ref="BS672:BS677" si="1606">BR672</f>
        <v>-252.89084945717133</v>
      </c>
      <c r="BT672" s="76">
        <f>IFERROR((BT668-BT651)*10000,"")</f>
        <v>1097.6192637646941</v>
      </c>
      <c r="BU672" s="76">
        <f>IFERROR((BU668-BU651)*10000,"")</f>
        <v>57.632158825919873</v>
      </c>
      <c r="BV672" s="76">
        <f>IFERROR((BV668-BV651)*10000,"")</f>
        <v>108.84292881451097</v>
      </c>
      <c r="BW672" s="76">
        <f>IFERROR((BW668-BW651)*10000,"")</f>
        <v>0.33026553348913801</v>
      </c>
      <c r="BX672" s="1119">
        <f t="shared" ref="BX672:BX677" si="1607">BW672</f>
        <v>0.33026553348913801</v>
      </c>
      <c r="BY672" s="893">
        <f>IFERROR((BY668-BY651)*10000,"")</f>
        <v>-43.352937572750385</v>
      </c>
      <c r="BZ672" s="76"/>
      <c r="CA672" s="76"/>
      <c r="CB672" s="76"/>
      <c r="CC672" s="1119"/>
      <c r="CD672" s="76"/>
      <c r="CE672" s="76"/>
      <c r="CF672" s="76"/>
      <c r="CG672" s="76"/>
      <c r="CH672" s="1119"/>
      <c r="CI672" s="1119"/>
      <c r="CJ672" s="1119"/>
      <c r="CK672" s="1119"/>
      <c r="CL672" s="93"/>
    </row>
    <row r="673" spans="1:90" ht="15" hidden="1" customHeight="1" outlineLevel="3" x14ac:dyDescent="0.3">
      <c r="A673" s="821" t="s">
        <v>990</v>
      </c>
      <c r="B673" s="804"/>
      <c r="C673" s="1200"/>
      <c r="D673" s="1200"/>
      <c r="E673" s="1200"/>
      <c r="F673" s="1200"/>
      <c r="G673" s="822"/>
      <c r="H673" s="822"/>
      <c r="I673" s="822"/>
      <c r="J673" s="822"/>
      <c r="K673" s="1200"/>
      <c r="L673" s="822"/>
      <c r="M673" s="822"/>
      <c r="N673" s="822"/>
      <c r="O673" s="822"/>
      <c r="P673" s="1200"/>
      <c r="Q673" s="822"/>
      <c r="R673" s="822"/>
      <c r="S673" s="822"/>
      <c r="T673" s="822"/>
      <c r="U673" s="1200"/>
      <c r="V673" s="822"/>
      <c r="W673" s="822"/>
      <c r="X673" s="822"/>
      <c r="Y673" s="822"/>
      <c r="Z673" s="1200"/>
      <c r="AA673" s="822"/>
      <c r="AB673" s="822"/>
      <c r="AC673" s="822"/>
      <c r="AD673" s="822"/>
      <c r="AE673" s="1200"/>
      <c r="AF673" s="822"/>
      <c r="AG673" s="822"/>
      <c r="AH673" s="822">
        <f>IFERROR((AH669-AH651)*10000,"")</f>
        <v>47.799696509863708</v>
      </c>
      <c r="AI673" s="822">
        <f>IFERROR((AI669-AI651)*10000,"")</f>
        <v>163.12263826863571</v>
      </c>
      <c r="AJ673" s="1200">
        <f t="shared" si="1599"/>
        <v>163.12263826863571</v>
      </c>
      <c r="AK673" s="822">
        <f>IFERROR((AK669-AK651)*10000,"")</f>
        <v>-48.394137823510874</v>
      </c>
      <c r="AL673" s="822">
        <f>IFERROR((AL669-AL651)*10000,"")</f>
        <v>5.9526096701889575</v>
      </c>
      <c r="AM673" s="822">
        <f>IFERROR((AM669-AM651)*10000,"")</f>
        <v>261.01854762653255</v>
      </c>
      <c r="AN673" s="822">
        <f>IFERROR((AN669-AN651)*10000,"")</f>
        <v>476.07709750566937</v>
      </c>
      <c r="AO673" s="1200">
        <f t="shared" si="1600"/>
        <v>476.07709750566937</v>
      </c>
      <c r="AP673" s="822">
        <f>IFERROR((AP669-AP651)*10000,"")</f>
        <v>162.16216216216162</v>
      </c>
      <c r="AQ673" s="822">
        <f>IFERROR((AQ669-AQ651)*10000,"")</f>
        <v>324.81582008530461</v>
      </c>
      <c r="AR673" s="822">
        <f>IFERROR((AR669-AR651)*10000,"")</f>
        <v>142.99933642999306</v>
      </c>
      <c r="AS673" s="822">
        <f>IFERROR((AS669-AS651)*10000,"")</f>
        <v>100.46698872785865</v>
      </c>
      <c r="AT673" s="1200">
        <f t="shared" si="1601"/>
        <v>100.46698872785865</v>
      </c>
      <c r="AU673" s="822">
        <f>IFERROR((AU669-AU651)*10000,"")</f>
        <v>143.50649350649337</v>
      </c>
      <c r="AV673" s="822">
        <f>IFERROR((AV669-AV651)*10000,"")</f>
        <v>715.36471805483723</v>
      </c>
      <c r="AW673" s="822">
        <f>IFERROR((AW669-AW651)*10000,"")</f>
        <v>336.77528565383085</v>
      </c>
      <c r="AX673" s="822">
        <f>IFERROR((AX669-AX651)*10000,"")</f>
        <v>339.78612832300638</v>
      </c>
      <c r="AY673" s="1200">
        <f t="shared" si="1602"/>
        <v>339.78612832300638</v>
      </c>
      <c r="AZ673" s="822">
        <f>IFERROR((AZ669-AZ651)*10000,"")</f>
        <v>289.47182476594224</v>
      </c>
      <c r="BA673" s="822">
        <f>IFERROR((BA669-BA651)*10000,"")</f>
        <v>272.36053480866883</v>
      </c>
      <c r="BB673" s="822">
        <f>IFERROR((BB669-BB651)*10000,"")</f>
        <v>230.21962551034835</v>
      </c>
      <c r="BC673" s="822">
        <f>IFERROR((BC669-BC651)*10000,"")</f>
        <v>209.37459112913893</v>
      </c>
      <c r="BD673" s="1200">
        <f t="shared" si="1603"/>
        <v>209.37459112913893</v>
      </c>
      <c r="BE673" s="822">
        <f>IFERROR((BE669-BE651)*10000,"")</f>
        <v>207.15250965250843</v>
      </c>
      <c r="BF673" s="822">
        <f>IFERROR((BF669-BF651)*10000,"")</f>
        <v>2151.8496420047741</v>
      </c>
      <c r="BG673" s="822">
        <f>IFERROR((BG669-BG651)*10000,"")</f>
        <v>1293.3990895295899</v>
      </c>
      <c r="BH673" s="822">
        <f>IFERROR((BH669-BH651)*10000,"")</f>
        <v>365.50983308544119</v>
      </c>
      <c r="BI673" s="1200">
        <f t="shared" si="1604"/>
        <v>365.50983308544119</v>
      </c>
      <c r="BJ673" s="822">
        <f>IFERROR((BJ669-BJ651)*10000,"")</f>
        <v>587.26362625138972</v>
      </c>
      <c r="BK673" s="822">
        <f>IFERROR((BK669-BK651)*10000,"")</f>
        <v>294.74346635078086</v>
      </c>
      <c r="BL673" s="822">
        <f>IFERROR((BL669-BL651)*10000,"")</f>
        <v>204.85651214128043</v>
      </c>
      <c r="BM673" s="822">
        <f>IFERROR((BM669-BM651)*10000,"")</f>
        <v>153.29367054246035</v>
      </c>
      <c r="BN673" s="1200">
        <f t="shared" si="1605"/>
        <v>153.29367054246035</v>
      </c>
      <c r="BO673" s="822">
        <f>IFERROR((BO669-BO651)*10000,"")</f>
        <v>-235.20196590385513</v>
      </c>
      <c r="BP673" s="822">
        <f>IFERROR((BP669-BP651)*10000,"")</f>
        <v>35.352862849533651</v>
      </c>
      <c r="BQ673" s="822">
        <f>IFERROR((BQ669-BQ651)*10000,"")</f>
        <v>-55.675275069836381</v>
      </c>
      <c r="BR673" s="822">
        <f>IFERROR((BR669-BR651)*10000,"")</f>
        <v>-152.89084945717124</v>
      </c>
      <c r="BS673" s="1200">
        <f t="shared" si="1606"/>
        <v>-152.89084945717124</v>
      </c>
      <c r="BT673" s="822">
        <f>IFERROR((BT669-BT651)*10000,"")</f>
        <v>1197.6192637646943</v>
      </c>
      <c r="BU673" s="822">
        <f>IFERROR((BU669-BU651)*10000,"")</f>
        <v>157.63215882591996</v>
      </c>
      <c r="BV673" s="822">
        <f>IFERROR((BV669-BV651)*10000,"")</f>
        <v>208.84292881451105</v>
      </c>
      <c r="BW673" s="822">
        <f>IFERROR((BW669-BW651)*10000,"")</f>
        <v>0.33026553348913801</v>
      </c>
      <c r="BX673" s="1200">
        <f t="shared" si="1607"/>
        <v>0.33026553348913801</v>
      </c>
      <c r="BY673" s="932">
        <f>IFERROR((BY669-BY651)*10000,"")</f>
        <v>56.647062427249708</v>
      </c>
      <c r="BZ673" s="822"/>
      <c r="CA673" s="822"/>
      <c r="CB673" s="822"/>
      <c r="CC673" s="1200"/>
      <c r="CD673" s="822"/>
      <c r="CE673" s="822"/>
      <c r="CF673" s="822"/>
      <c r="CG673" s="822"/>
      <c r="CH673" s="1200"/>
      <c r="CI673" s="1200"/>
      <c r="CJ673" s="1200"/>
      <c r="CK673" s="1200"/>
      <c r="CL673" s="93"/>
    </row>
    <row r="674" spans="1:90" ht="15" hidden="1" customHeight="1" outlineLevel="2" collapsed="1" x14ac:dyDescent="0.3">
      <c r="A674" s="656" t="s">
        <v>991</v>
      </c>
      <c r="B674" s="112"/>
      <c r="C674" s="1119"/>
      <c r="D674" s="1119"/>
      <c r="E674" s="1119"/>
      <c r="F674" s="1119"/>
      <c r="G674" s="76"/>
      <c r="H674" s="76"/>
      <c r="I674" s="76"/>
      <c r="J674" s="76"/>
      <c r="K674" s="1119"/>
      <c r="L674" s="76"/>
      <c r="M674" s="76"/>
      <c r="N674" s="76"/>
      <c r="O674" s="76"/>
      <c r="P674" s="1119"/>
      <c r="Q674" s="76"/>
      <c r="R674" s="76"/>
      <c r="S674" s="76"/>
      <c r="T674" s="76"/>
      <c r="U674" s="1119"/>
      <c r="V674" s="76"/>
      <c r="W674" s="76"/>
      <c r="X674" s="76"/>
      <c r="Y674" s="76"/>
      <c r="Z674" s="1119"/>
      <c r="AA674" s="76"/>
      <c r="AB674" s="76"/>
      <c r="AC674" s="76"/>
      <c r="AD674" s="76"/>
      <c r="AE674" s="1119"/>
      <c r="AF674" s="76"/>
      <c r="AG674" s="76"/>
      <c r="AH674" s="76">
        <f>IFERROR((AH670-AH651)*10000,"")</f>
        <v>47.799696509863708</v>
      </c>
      <c r="AI674" s="76">
        <f>IFERROR((AI670-AI651)*10000,"")</f>
        <v>113.12263826863567</v>
      </c>
      <c r="AJ674" s="1119">
        <f t="shared" si="1599"/>
        <v>113.12263826863567</v>
      </c>
      <c r="AK674" s="76">
        <f>IFERROR((AK670-AK651)*10000,"")</f>
        <v>-98.394137823510917</v>
      </c>
      <c r="AL674" s="76">
        <f>IFERROR((AL670-AL651)*10000,"")</f>
        <v>-44.047390329811087</v>
      </c>
      <c r="AM674" s="76">
        <f>IFERROR((AM670-AM651)*10000,"")</f>
        <v>211.0185476265325</v>
      </c>
      <c r="AN674" s="76">
        <f>IFERROR((AN670-AN651)*10000,"")</f>
        <v>426.07709750566937</v>
      </c>
      <c r="AO674" s="1119">
        <f t="shared" si="1600"/>
        <v>426.07709750566937</v>
      </c>
      <c r="AP674" s="76">
        <f>IFERROR((AP670-AP651)*10000,"")</f>
        <v>112.16216216216156</v>
      </c>
      <c r="AQ674" s="76">
        <f>IFERROR((AQ670-AQ651)*10000,"")</f>
        <v>274.81582008530461</v>
      </c>
      <c r="AR674" s="76">
        <f>IFERROR((AR670-AR651)*10000,"")</f>
        <v>92.999336429993036</v>
      </c>
      <c r="AS674" s="76">
        <f>IFERROR((AS670-AS651)*10000,"")</f>
        <v>50.466988727858599</v>
      </c>
      <c r="AT674" s="1119">
        <f t="shared" si="1601"/>
        <v>50.466988727858599</v>
      </c>
      <c r="AU674" s="76">
        <f>IFERROR((AU670-AU651)*10000,"")</f>
        <v>93.506493506493314</v>
      </c>
      <c r="AV674" s="76">
        <f>IFERROR((AV670-AV651)*10000,"")</f>
        <v>665.36471805483723</v>
      </c>
      <c r="AW674" s="76">
        <f>IFERROR((AW670-AW651)*10000,"")</f>
        <v>286.77528565383079</v>
      </c>
      <c r="AX674" s="76">
        <f>IFERROR((AX670-AX651)*10000,"")</f>
        <v>289.78612832300632</v>
      </c>
      <c r="AY674" s="1119">
        <f t="shared" si="1602"/>
        <v>289.78612832300632</v>
      </c>
      <c r="AZ674" s="76">
        <f>IFERROR((AZ670-AZ651)*10000,"")</f>
        <v>239.47182476594219</v>
      </c>
      <c r="BA674" s="76">
        <f>IFERROR((BA670-BA651)*10000,"")</f>
        <v>222.3605348086688</v>
      </c>
      <c r="BB674" s="76">
        <f>IFERROR((BB670-BB651)*10000,"")</f>
        <v>180.21962551034832</v>
      </c>
      <c r="BC674" s="76">
        <f>IFERROR((BC670-BC651)*10000,"")</f>
        <v>159.37459112913888</v>
      </c>
      <c r="BD674" s="1119">
        <f t="shared" si="1603"/>
        <v>159.37459112913888</v>
      </c>
      <c r="BE674" s="76">
        <f>IFERROR((BE670-BE651)*10000,"")</f>
        <v>157.15250965250837</v>
      </c>
      <c r="BF674" s="76">
        <f>IFERROR((BF670-BF651)*10000,"")</f>
        <v>2151.8496420047741</v>
      </c>
      <c r="BG674" s="76">
        <f>IFERROR((BG670-BG651)*10000,"")</f>
        <v>1243.3990895295899</v>
      </c>
      <c r="BH674" s="76">
        <f>IFERROR((BH670-BH651)*10000,"")</f>
        <v>315.50983308544113</v>
      </c>
      <c r="BI674" s="1119">
        <f t="shared" si="1604"/>
        <v>315.50983308544113</v>
      </c>
      <c r="BJ674" s="76">
        <f>IFERROR((BJ670-BJ651)*10000,"")</f>
        <v>537.26362625138972</v>
      </c>
      <c r="BK674" s="76">
        <f>IFERROR((BK670-BK651)*10000,"")</f>
        <v>244.74346635078081</v>
      </c>
      <c r="BL674" s="76">
        <f>IFERROR((BL670-BL651)*10000,"")</f>
        <v>154.85651214128038</v>
      </c>
      <c r="BM674" s="76">
        <f>IFERROR((BM670-BM651)*10000,"")</f>
        <v>103.2936705424603</v>
      </c>
      <c r="BN674" s="1119">
        <f t="shared" si="1605"/>
        <v>103.2936705424603</v>
      </c>
      <c r="BO674" s="76">
        <f>IFERROR((BO670-BO651)*10000,"")</f>
        <v>-285.20196590385518</v>
      </c>
      <c r="BP674" s="76">
        <f>IFERROR((BP670-BP651)*10000,"")</f>
        <v>-14.647137150466394</v>
      </c>
      <c r="BQ674" s="76">
        <f>IFERROR((BQ670-BQ651)*10000,"")</f>
        <v>-105.67527506983643</v>
      </c>
      <c r="BR674" s="76">
        <f>IFERROR((BR670-BR651)*10000,"")</f>
        <v>-202.89084945717127</v>
      </c>
      <c r="BS674" s="1119">
        <f t="shared" si="1606"/>
        <v>-202.89084945717127</v>
      </c>
      <c r="BT674" s="76">
        <f>IFERROR((BT670-BT651)*10000,"")</f>
        <v>1147.6192637646943</v>
      </c>
      <c r="BU674" s="76">
        <f>IFERROR((BU670-BU651)*10000,"")</f>
        <v>107.63215882591992</v>
      </c>
      <c r="BV674" s="76">
        <f>IFERROR((BV670-BV651)*10000,"")</f>
        <v>158.842928814511</v>
      </c>
      <c r="BW674" s="76">
        <f>IFERROR((BW670-BW651)*10000,"")</f>
        <v>0.33026553348913801</v>
      </c>
      <c r="BX674" s="1119">
        <f t="shared" si="1607"/>
        <v>0.33026553348913801</v>
      </c>
      <c r="BY674" s="893">
        <f>IFERROR((BY670-BY651)*10000,"")</f>
        <v>6.6470624272496615</v>
      </c>
      <c r="BZ674" s="76"/>
      <c r="CA674" s="76"/>
      <c r="CB674" s="76"/>
      <c r="CC674" s="1119"/>
      <c r="CD674" s="76"/>
      <c r="CE674" s="76"/>
      <c r="CF674" s="76"/>
      <c r="CG674" s="76"/>
      <c r="CH674" s="1119"/>
      <c r="CI674" s="1119"/>
      <c r="CJ674" s="1119"/>
      <c r="CK674" s="1119"/>
      <c r="CL674" s="93"/>
    </row>
    <row r="675" spans="1:90" ht="15" hidden="1" customHeight="1" outlineLevel="3" x14ac:dyDescent="0.3">
      <c r="A675" s="820" t="s">
        <v>992</v>
      </c>
      <c r="B675" s="112"/>
      <c r="C675" s="1119"/>
      <c r="D675" s="1119"/>
      <c r="E675" s="1119"/>
      <c r="F675" s="1119"/>
      <c r="G675" s="76"/>
      <c r="H675" s="76"/>
      <c r="I675" s="76"/>
      <c r="J675" s="76"/>
      <c r="K675" s="1119"/>
      <c r="L675" s="76"/>
      <c r="M675" s="76"/>
      <c r="N675" s="76"/>
      <c r="O675" s="76"/>
      <c r="P675" s="1119"/>
      <c r="Q675" s="76"/>
      <c r="R675" s="76"/>
      <c r="S675" s="76"/>
      <c r="T675" s="76"/>
      <c r="U675" s="1119"/>
      <c r="V675" s="76"/>
      <c r="W675" s="76"/>
      <c r="X675" s="76"/>
      <c r="Y675" s="76"/>
      <c r="Z675" s="1119"/>
      <c r="AA675" s="76"/>
      <c r="AB675" s="76"/>
      <c r="AC675" s="76"/>
      <c r="AD675" s="76"/>
      <c r="AE675" s="1119"/>
      <c r="AF675" s="76"/>
      <c r="AG675" s="76"/>
      <c r="AH675" s="76">
        <f>IFERROR((AH668-AD651)*10000,"")</f>
        <v>3.6815462494244056</v>
      </c>
      <c r="AI675" s="76">
        <f>IFERROR((AI668-AF651)*10000,"")</f>
        <v>312.98399586990212</v>
      </c>
      <c r="AJ675" s="1119">
        <f t="shared" si="1599"/>
        <v>312.98399586990212</v>
      </c>
      <c r="AK675" s="76">
        <f>IFERROR((AK668-AG651)*10000,"")</f>
        <v>461.43497757847541</v>
      </c>
      <c r="AL675" s="76">
        <f>IFERROR((AL668-AH651)*10000,"")</f>
        <v>277.79969650986391</v>
      </c>
      <c r="AM675" s="76">
        <f>IFERROR((AM668-AI651)*10000,"")</f>
        <v>13.122638268635578</v>
      </c>
      <c r="AN675" s="76">
        <f>IFERROR((AN668-AK651)*10000,"")</f>
        <v>-598.39413782351141</v>
      </c>
      <c r="AO675" s="1119">
        <f t="shared" si="1600"/>
        <v>-598.39413782351141</v>
      </c>
      <c r="AP675" s="76">
        <f>IFERROR((AP668-AL651)*10000,"")</f>
        <v>-424.04739032981144</v>
      </c>
      <c r="AQ675" s="76">
        <f>IFERROR((AQ668-AM651)*10000,"")</f>
        <v>161.01854762653244</v>
      </c>
      <c r="AR675" s="76">
        <f>IFERROR((AR668-AN651)*10000,"")</f>
        <v>926.07709750566983</v>
      </c>
      <c r="AS675" s="76">
        <f>IFERROR((AS668-AP651)*10000,"")</f>
        <v>652.16216216216208</v>
      </c>
      <c r="AT675" s="1119">
        <f t="shared" si="1601"/>
        <v>652.16216216216208</v>
      </c>
      <c r="AU675" s="76">
        <f>IFERROR((AU668-AQ651)*10000,"")</f>
        <v>574.81582008530484</v>
      </c>
      <c r="AV675" s="76">
        <f>IFERROR((AV668-AR651)*10000,"")</f>
        <v>142.99933642999306</v>
      </c>
      <c r="AW675" s="76">
        <f>IFERROR((AW668-AS651)*10000,"")</f>
        <v>10.466988727858562</v>
      </c>
      <c r="AX675" s="76">
        <f>IFERROR((AX668-AU651)*10000,"")</f>
        <v>43.506493506493271</v>
      </c>
      <c r="AY675" s="1119">
        <f t="shared" si="1602"/>
        <v>43.506493506493271</v>
      </c>
      <c r="AZ675" s="76">
        <f>IFERROR((AZ668-AV651)*10000,"")</f>
        <v>715.36471805483723</v>
      </c>
      <c r="BA675" s="76">
        <f>IFERROR((BA668-AW651)*10000,"")</f>
        <v>386.77528565383091</v>
      </c>
      <c r="BB675" s="76">
        <f>IFERROR((BB668-AX651)*10000,"")</f>
        <v>339.78612832300638</v>
      </c>
      <c r="BC675" s="76">
        <f>IFERROR((BC668-AZ651)*10000,"")</f>
        <v>239.47182476594219</v>
      </c>
      <c r="BD675" s="1119">
        <f t="shared" si="1603"/>
        <v>239.47182476594219</v>
      </c>
      <c r="BE675" s="76">
        <f>IFERROR((BE668-BA651)*10000,"")</f>
        <v>182.36053480866764</v>
      </c>
      <c r="BF675" s="76">
        <f>IFERROR((BF668-BB651)*10000,"")</f>
        <v>-19.780374489651862</v>
      </c>
      <c r="BG675" s="76">
        <f>IFERROR((BG668-BC651)*10000,"")</f>
        <v>9.3745911291387429</v>
      </c>
      <c r="BH675" s="76">
        <f>IFERROR((BH668-BE651)*10000,"")</f>
        <v>47.152509652509387</v>
      </c>
      <c r="BI675" s="1119">
        <f t="shared" si="1604"/>
        <v>47.152509652509387</v>
      </c>
      <c r="BJ675" s="76">
        <f>IFERROR((BJ668-BF651)*10000,"")</f>
        <v>2601.8496420047732</v>
      </c>
      <c r="BK675" s="76">
        <f>IFERROR((BK668-BG651)*10000,"")</f>
        <v>1843.3990895295892</v>
      </c>
      <c r="BL675" s="76">
        <f>IFERROR((BL668-BH651)*10000,"")</f>
        <v>1165.5098330854407</v>
      </c>
      <c r="BM675" s="76">
        <f>IFERROR((BM668-BJ651)*10000,"")</f>
        <v>1187.2636262513902</v>
      </c>
      <c r="BN675" s="1119">
        <f t="shared" si="1605"/>
        <v>1187.2636262513902</v>
      </c>
      <c r="BO675" s="76">
        <f>IFERROR((BO668-BK651)*10000,"")</f>
        <v>494.74346635078103</v>
      </c>
      <c r="BP675" s="76">
        <f>IFERROR((BP668-BL651)*10000,"")</f>
        <v>54.856512141280291</v>
      </c>
      <c r="BQ675" s="76">
        <f>IFERROR((BQ668-BM651)*10000,"")</f>
        <v>-296.70632945754005</v>
      </c>
      <c r="BR675" s="76">
        <f>IFERROR((BR668-BO651)*10000,"")</f>
        <v>-785.20196590385558</v>
      </c>
      <c r="BS675" s="1119">
        <f t="shared" si="1606"/>
        <v>-785.20196590385558</v>
      </c>
      <c r="BT675" s="76">
        <f>IFERROR((BT668-BP651)*10000,"")</f>
        <v>-364.64713715046673</v>
      </c>
      <c r="BU675" s="76">
        <f>IFERROR((BU668-BQ651)*10000,"")</f>
        <v>-155.67527506983646</v>
      </c>
      <c r="BV675" s="76">
        <f>IFERROR((BV668-BR651)*10000,"")</f>
        <v>147.10915054282901</v>
      </c>
      <c r="BW675" s="76">
        <f>IFERROR((BW668-BT651)*10000,"")</f>
        <v>1447.6192637646946</v>
      </c>
      <c r="BX675" s="1119">
        <f t="shared" si="1607"/>
        <v>1447.6192637646946</v>
      </c>
      <c r="BY675" s="893">
        <f>IFERROR((BY668-BU651)*10000,"")</f>
        <v>207.63215882592002</v>
      </c>
      <c r="BZ675" s="76"/>
      <c r="CA675" s="76"/>
      <c r="CB675" s="76"/>
      <c r="CC675" s="1119"/>
      <c r="CD675" s="76"/>
      <c r="CE675" s="76"/>
      <c r="CF675" s="76"/>
      <c r="CG675" s="76"/>
      <c r="CH675" s="1119"/>
      <c r="CI675" s="1119"/>
      <c r="CJ675" s="1119"/>
      <c r="CK675" s="1119"/>
      <c r="CL675" s="93"/>
    </row>
    <row r="676" spans="1:90" ht="15" hidden="1" customHeight="1" outlineLevel="3" x14ac:dyDescent="0.3">
      <c r="A676" s="821" t="s">
        <v>993</v>
      </c>
      <c r="B676" s="804"/>
      <c r="C676" s="1200"/>
      <c r="D676" s="1200"/>
      <c r="E676" s="1200"/>
      <c r="F676" s="1200"/>
      <c r="G676" s="822"/>
      <c r="H676" s="822"/>
      <c r="I676" s="822"/>
      <c r="J676" s="822"/>
      <c r="K676" s="1200"/>
      <c r="L676" s="822"/>
      <c r="M676" s="822"/>
      <c r="N676" s="822"/>
      <c r="O676" s="822"/>
      <c r="P676" s="1200"/>
      <c r="Q676" s="822"/>
      <c r="R676" s="822"/>
      <c r="S676" s="822"/>
      <c r="T676" s="822"/>
      <c r="U676" s="1200"/>
      <c r="V676" s="822"/>
      <c r="W676" s="822"/>
      <c r="X676" s="822"/>
      <c r="Y676" s="822"/>
      <c r="Z676" s="1200"/>
      <c r="AA676" s="822"/>
      <c r="AB676" s="822"/>
      <c r="AC676" s="822"/>
      <c r="AD676" s="822"/>
      <c r="AE676" s="1200"/>
      <c r="AF676" s="822"/>
      <c r="AG676" s="822"/>
      <c r="AH676" s="822">
        <f>IFERROR((AH669-AD651)*10000,"")</f>
        <v>3.6815462494244056</v>
      </c>
      <c r="AI676" s="822">
        <f>IFERROR((AI669-AF651)*10000,"")</f>
        <v>412.98399586990217</v>
      </c>
      <c r="AJ676" s="1200">
        <f t="shared" si="1599"/>
        <v>412.98399586990217</v>
      </c>
      <c r="AK676" s="822">
        <f>IFERROR((AK669-AG651)*10000,"")</f>
        <v>561.43497757847547</v>
      </c>
      <c r="AL676" s="822">
        <f>IFERROR((AL669-AH651)*10000,"")</f>
        <v>377.79969650986402</v>
      </c>
      <c r="AM676" s="822">
        <f>IFERROR((AM669-AI651)*10000,"")</f>
        <v>113.12263826863567</v>
      </c>
      <c r="AN676" s="822">
        <f>IFERROR((AN669-AK651)*10000,"")</f>
        <v>-498.3941378235113</v>
      </c>
      <c r="AO676" s="1200">
        <f t="shared" si="1600"/>
        <v>-498.3941378235113</v>
      </c>
      <c r="AP676" s="822">
        <f>IFERROR((AP669-AL651)*10000,"")</f>
        <v>-324.04739032981132</v>
      </c>
      <c r="AQ676" s="822">
        <f>IFERROR((AQ669-AM651)*10000,"")</f>
        <v>261.01854762653255</v>
      </c>
      <c r="AR676" s="822">
        <f>IFERROR((AR669-AN651)*10000,"")</f>
        <v>1026.0770975056698</v>
      </c>
      <c r="AS676" s="822">
        <f>IFERROR((AS669-AP651)*10000,"")</f>
        <v>752.16216216216219</v>
      </c>
      <c r="AT676" s="1200">
        <f t="shared" si="1601"/>
        <v>752.16216216216219</v>
      </c>
      <c r="AU676" s="822">
        <f>IFERROR((AU669-AQ651)*10000,"")</f>
        <v>674.81582008530495</v>
      </c>
      <c r="AV676" s="822">
        <f>IFERROR((AV669-AR651)*10000,"")</f>
        <v>242.99933642999315</v>
      </c>
      <c r="AW676" s="822">
        <f>IFERROR((AW669-AS651)*10000,"")</f>
        <v>110.46698872785865</v>
      </c>
      <c r="AX676" s="822">
        <f>IFERROR((AX669-AU651)*10000,"")</f>
        <v>143.50649350649337</v>
      </c>
      <c r="AY676" s="1200">
        <f t="shared" si="1602"/>
        <v>143.50649350649337</v>
      </c>
      <c r="AZ676" s="822">
        <f>IFERROR((AZ669-AV651)*10000,"")</f>
        <v>815.36471805483734</v>
      </c>
      <c r="BA676" s="822">
        <f>IFERROR((BA669-AW651)*10000,"")</f>
        <v>486.77528565383102</v>
      </c>
      <c r="BB676" s="822">
        <f>IFERROR((BB669-AX651)*10000,"")</f>
        <v>439.78612832300644</v>
      </c>
      <c r="BC676" s="822">
        <f>IFERROR((BC669-AZ651)*10000,"")</f>
        <v>339.4718247659423</v>
      </c>
      <c r="BD676" s="1200">
        <f t="shared" si="1603"/>
        <v>339.4718247659423</v>
      </c>
      <c r="BE676" s="822">
        <f>IFERROR((BE669-BA651)*10000,"")</f>
        <v>282.36053480866775</v>
      </c>
      <c r="BF676" s="822">
        <f>IFERROR((BF669-BB651)*10000,"")</f>
        <v>-19.780374489651862</v>
      </c>
      <c r="BG676" s="822">
        <f>IFERROR((BG669-BC651)*10000,"")</f>
        <v>109.37459112913884</v>
      </c>
      <c r="BH676" s="822">
        <f>IFERROR((BH669-BE651)*10000,"")</f>
        <v>147.15250965250948</v>
      </c>
      <c r="BI676" s="1200">
        <f t="shared" si="1604"/>
        <v>147.15250965250948</v>
      </c>
      <c r="BJ676" s="822">
        <f>IFERROR((BJ669-BF651)*10000,"")</f>
        <v>2701.8496420047732</v>
      </c>
      <c r="BK676" s="822">
        <f>IFERROR((BK669-BG651)*10000,"")</f>
        <v>1943.3990895295894</v>
      </c>
      <c r="BL676" s="822">
        <f>IFERROR((BL669-BH651)*10000,"")</f>
        <v>1265.509833085441</v>
      </c>
      <c r="BM676" s="822">
        <f>IFERROR((BM669-BJ651)*10000,"")</f>
        <v>1287.2636262513904</v>
      </c>
      <c r="BN676" s="1200">
        <f t="shared" si="1605"/>
        <v>1287.2636262513904</v>
      </c>
      <c r="BO676" s="822">
        <f>IFERROR((BO669-BK651)*10000,"")</f>
        <v>594.74346635078109</v>
      </c>
      <c r="BP676" s="822">
        <f>IFERROR((BP669-BL651)*10000,"")</f>
        <v>154.85651214128038</v>
      </c>
      <c r="BQ676" s="822">
        <f>IFERROR((BQ669-BM651)*10000,"")</f>
        <v>-196.70632945753997</v>
      </c>
      <c r="BR676" s="822">
        <f>IFERROR((BR669-BO651)*10000,"")</f>
        <v>-685.20196590385547</v>
      </c>
      <c r="BS676" s="1200">
        <f t="shared" si="1606"/>
        <v>-685.20196590385547</v>
      </c>
      <c r="BT676" s="822">
        <f>IFERROR((BT669-BP651)*10000,"")</f>
        <v>-264.64713715046662</v>
      </c>
      <c r="BU676" s="822">
        <f>IFERROR((BU669-BQ651)*10000,"")</f>
        <v>-55.675275069836381</v>
      </c>
      <c r="BV676" s="822">
        <f>IFERROR((BV669-BR651)*10000,"")</f>
        <v>247.10915054282913</v>
      </c>
      <c r="BW676" s="822">
        <f>IFERROR((BW669-BT651)*10000,"")</f>
        <v>1447.6192637646946</v>
      </c>
      <c r="BX676" s="1200">
        <f t="shared" si="1607"/>
        <v>1447.6192637646946</v>
      </c>
      <c r="BY676" s="932">
        <f>IFERROR((BY669-BU651)*10000,"")</f>
        <v>307.6321588259201</v>
      </c>
      <c r="BZ676" s="822"/>
      <c r="CA676" s="822"/>
      <c r="CB676" s="822"/>
      <c r="CC676" s="1200"/>
      <c r="CD676" s="822"/>
      <c r="CE676" s="822"/>
      <c r="CF676" s="822"/>
      <c r="CG676" s="822"/>
      <c r="CH676" s="1200"/>
      <c r="CI676" s="1200"/>
      <c r="CJ676" s="1200"/>
      <c r="CK676" s="1200"/>
      <c r="CL676" s="93"/>
    </row>
    <row r="677" spans="1:90" ht="15" hidden="1" customHeight="1" outlineLevel="2" collapsed="1" x14ac:dyDescent="0.3">
      <c r="A677" s="656" t="s">
        <v>994</v>
      </c>
      <c r="B677" s="112"/>
      <c r="C677" s="1119"/>
      <c r="D677" s="1119"/>
      <c r="E677" s="1119"/>
      <c r="F677" s="1119"/>
      <c r="G677" s="76"/>
      <c r="H677" s="76"/>
      <c r="I677" s="76"/>
      <c r="J677" s="76"/>
      <c r="K677" s="1119"/>
      <c r="L677" s="76"/>
      <c r="M677" s="76"/>
      <c r="N677" s="76"/>
      <c r="O677" s="76"/>
      <c r="P677" s="1119"/>
      <c r="Q677" s="76"/>
      <c r="R677" s="76"/>
      <c r="S677" s="76"/>
      <c r="T677" s="76"/>
      <c r="U677" s="1119"/>
      <c r="V677" s="76"/>
      <c r="W677" s="76"/>
      <c r="X677" s="76"/>
      <c r="Y677" s="76"/>
      <c r="Z677" s="1119"/>
      <c r="AA677" s="76"/>
      <c r="AB677" s="76"/>
      <c r="AC677" s="76"/>
      <c r="AD677" s="76"/>
      <c r="AE677" s="1119"/>
      <c r="AF677" s="76"/>
      <c r="AG677" s="76"/>
      <c r="AH677" s="76">
        <f>IFERROR((AH670-AD651)*10000,"")</f>
        <v>3.6815462494244056</v>
      </c>
      <c r="AI677" s="76">
        <f>IFERROR((AI670-AF651)*10000,"")</f>
        <v>362.98399586990217</v>
      </c>
      <c r="AJ677" s="1119">
        <f t="shared" si="1599"/>
        <v>362.98399586990217</v>
      </c>
      <c r="AK677" s="76">
        <f>IFERROR((AK670-AG651)*10000,"")</f>
        <v>511.43497757847547</v>
      </c>
      <c r="AL677" s="76">
        <f>IFERROR((AL670-AH651)*10000,"")</f>
        <v>327.79969650986396</v>
      </c>
      <c r="AM677" s="76">
        <f>IFERROR((AM670-AI651)*10000,"")</f>
        <v>63.122638268635626</v>
      </c>
      <c r="AN677" s="76">
        <f>IFERROR((AN670-AK651)*10000,"")</f>
        <v>-548.3941378235113</v>
      </c>
      <c r="AO677" s="1119">
        <f t="shared" si="1600"/>
        <v>-548.3941378235113</v>
      </c>
      <c r="AP677" s="76">
        <f>IFERROR((AP670-AL651)*10000,"")</f>
        <v>-374.04739032981138</v>
      </c>
      <c r="AQ677" s="76">
        <f>IFERROR((AQ670-AM651)*10000,"")</f>
        <v>211.0185476265325</v>
      </c>
      <c r="AR677" s="76">
        <f>IFERROR((AR670-AN651)*10000,"")</f>
        <v>976.07709750566983</v>
      </c>
      <c r="AS677" s="76">
        <f>IFERROR((AS670-AP651)*10000,"")</f>
        <v>702.16216216216208</v>
      </c>
      <c r="AT677" s="1119">
        <f t="shared" si="1601"/>
        <v>702.16216216216208</v>
      </c>
      <c r="AU677" s="76">
        <f>IFERROR((AU670-AQ651)*10000,"")</f>
        <v>624.81582008530495</v>
      </c>
      <c r="AV677" s="76">
        <f>IFERROR((AV670-AR651)*10000,"")</f>
        <v>192.99933642999312</v>
      </c>
      <c r="AW677" s="76">
        <f>IFERROR((AW670-AS651)*10000,"")</f>
        <v>60.466988727858606</v>
      </c>
      <c r="AX677" s="76">
        <f>IFERROR((AX670-AU651)*10000,"")</f>
        <v>93.506493506493314</v>
      </c>
      <c r="AY677" s="1119">
        <f t="shared" si="1602"/>
        <v>93.506493506493314</v>
      </c>
      <c r="AZ677" s="76">
        <f>IFERROR((AZ670-AV651)*10000,"")</f>
        <v>765.36471805483734</v>
      </c>
      <c r="BA677" s="76">
        <f>IFERROR((BA670-AW651)*10000,"")</f>
        <v>436.77528565383096</v>
      </c>
      <c r="BB677" s="76">
        <f>IFERROR((BB670-AX651)*10000,"")</f>
        <v>389.78612832300644</v>
      </c>
      <c r="BC677" s="76">
        <f>IFERROR((BC670-AZ651)*10000,"")</f>
        <v>289.47182476594224</v>
      </c>
      <c r="BD677" s="1119">
        <f t="shared" si="1603"/>
        <v>289.47182476594224</v>
      </c>
      <c r="BE677" s="76">
        <f>IFERROR((BE670-BA651)*10000,"")</f>
        <v>232.36053480866769</v>
      </c>
      <c r="BF677" s="76">
        <f>IFERROR((BF670-BB651)*10000,"")</f>
        <v>-19.780374489651862</v>
      </c>
      <c r="BG677" s="76">
        <f>IFERROR((BG670-BC651)*10000,"")</f>
        <v>59.374591129138786</v>
      </c>
      <c r="BH677" s="76">
        <f>IFERROR((BH670-BE651)*10000,"")</f>
        <v>97.152509652509437</v>
      </c>
      <c r="BI677" s="1119">
        <f t="shared" si="1604"/>
        <v>97.152509652509437</v>
      </c>
      <c r="BJ677" s="76">
        <f>IFERROR((BJ670-BF651)*10000,"")</f>
        <v>2651.8496420047732</v>
      </c>
      <c r="BK677" s="76">
        <f>IFERROR((BK670-BG651)*10000,"")</f>
        <v>1893.3990895295894</v>
      </c>
      <c r="BL677" s="76">
        <f>IFERROR((BL670-BH651)*10000,"")</f>
        <v>1215.5098330854407</v>
      </c>
      <c r="BM677" s="76">
        <f>IFERROR((BM670-BJ651)*10000,"")</f>
        <v>1237.2636262513904</v>
      </c>
      <c r="BN677" s="1119">
        <f t="shared" si="1605"/>
        <v>1237.2636262513904</v>
      </c>
      <c r="BO677" s="76">
        <f>IFERROR((BO670-BK651)*10000,"")</f>
        <v>544.74346635078109</v>
      </c>
      <c r="BP677" s="76">
        <f>IFERROR((BP670-BL651)*10000,"")</f>
        <v>104.85651214128033</v>
      </c>
      <c r="BQ677" s="76">
        <f>IFERROR((BQ670-BM651)*10000,"")</f>
        <v>-246.70632945753999</v>
      </c>
      <c r="BR677" s="76">
        <f>IFERROR((BR670-BO651)*10000,"")</f>
        <v>-735.20196590385558</v>
      </c>
      <c r="BS677" s="1119">
        <f t="shared" si="1606"/>
        <v>-735.20196590385558</v>
      </c>
      <c r="BT677" s="76">
        <f>IFERROR((BT670-BP651)*10000,"")</f>
        <v>-314.64713715046668</v>
      </c>
      <c r="BU677" s="76">
        <f>IFERROR((BU670-BQ651)*10000,"")</f>
        <v>-105.67527506983643</v>
      </c>
      <c r="BV677" s="76">
        <f>IFERROR((BV670-BR651)*10000,"")</f>
        <v>197.10915054282907</v>
      </c>
      <c r="BW677" s="76">
        <f>IFERROR((BW670-BT651)*10000,"")</f>
        <v>1447.6192637646946</v>
      </c>
      <c r="BX677" s="1119">
        <f t="shared" si="1607"/>
        <v>1447.6192637646946</v>
      </c>
      <c r="BY677" s="893">
        <f>IFERROR((BY670-BU651)*10000,"")</f>
        <v>257.63215882592004</v>
      </c>
      <c r="BZ677" s="76"/>
      <c r="CA677" s="76"/>
      <c r="CB677" s="76"/>
      <c r="CC677" s="1119"/>
      <c r="CD677" s="76"/>
      <c r="CE677" s="76"/>
      <c r="CF677" s="76"/>
      <c r="CG677" s="76"/>
      <c r="CH677" s="1119"/>
      <c r="CI677" s="1119"/>
      <c r="CJ677" s="1119"/>
      <c r="CK677" s="1119"/>
      <c r="CL677" s="93"/>
    </row>
    <row r="678" spans="1:90" ht="15" hidden="1" customHeight="1" outlineLevel="2" x14ac:dyDescent="0.3">
      <c r="A678" s="799"/>
      <c r="B678" s="428"/>
      <c r="C678" s="1136"/>
      <c r="D678" s="1136"/>
      <c r="E678" s="1136"/>
      <c r="F678" s="1136"/>
      <c r="G678" s="93"/>
      <c r="H678" s="93"/>
      <c r="I678" s="93"/>
      <c r="J678" s="93"/>
      <c r="K678" s="1136"/>
      <c r="L678" s="93"/>
      <c r="M678" s="93"/>
      <c r="N678" s="93"/>
      <c r="O678" s="93"/>
      <c r="P678" s="1136"/>
      <c r="Q678" s="93"/>
      <c r="R678" s="93"/>
      <c r="S678" s="93"/>
      <c r="T678" s="93"/>
      <c r="U678" s="1136"/>
      <c r="V678" s="93"/>
      <c r="W678" s="93"/>
      <c r="X678" s="93"/>
      <c r="Y678" s="93"/>
      <c r="Z678" s="1136"/>
      <c r="AA678" s="93"/>
      <c r="AB678" s="93"/>
      <c r="AC678" s="93"/>
      <c r="AD678" s="93"/>
      <c r="AE678" s="1136"/>
      <c r="AF678" s="93"/>
      <c r="AG678" s="93"/>
      <c r="AH678" s="93"/>
      <c r="AI678" s="93"/>
      <c r="AJ678" s="1136"/>
      <c r="AK678" s="93"/>
      <c r="AL678" s="93"/>
      <c r="AM678" s="93"/>
      <c r="AN678" s="93"/>
      <c r="AO678" s="1136"/>
      <c r="AP678" s="93"/>
      <c r="AQ678" s="93"/>
      <c r="AR678" s="93"/>
      <c r="AS678" s="93"/>
      <c r="AT678" s="1136"/>
      <c r="AU678" s="93"/>
      <c r="AV678" s="93"/>
      <c r="AW678" s="93"/>
      <c r="AX678" s="93"/>
      <c r="AY678" s="1136"/>
      <c r="AZ678" s="93"/>
      <c r="BA678" s="93"/>
      <c r="BB678" s="93"/>
      <c r="BC678" s="93"/>
      <c r="BD678" s="1136"/>
      <c r="BE678" s="93"/>
      <c r="BF678" s="93"/>
      <c r="BG678" s="93"/>
      <c r="BH678" s="93"/>
      <c r="BI678" s="1136"/>
      <c r="BJ678" s="93"/>
      <c r="BK678" s="93"/>
      <c r="BL678" s="93"/>
      <c r="BM678" s="93"/>
      <c r="BN678" s="1136"/>
      <c r="BO678" s="93"/>
      <c r="BP678" s="93"/>
      <c r="BQ678" s="93"/>
      <c r="BR678" s="93"/>
      <c r="BS678" s="1136"/>
      <c r="BT678" s="93"/>
      <c r="BU678" s="93"/>
      <c r="BV678" s="93"/>
      <c r="BW678" s="93"/>
      <c r="BX678" s="1136"/>
      <c r="BY678" s="522"/>
      <c r="BZ678" s="93"/>
      <c r="CA678" s="93"/>
      <c r="CB678" s="93"/>
      <c r="CC678" s="1136"/>
      <c r="CD678" s="93"/>
      <c r="CE678" s="93"/>
      <c r="CF678" s="93"/>
      <c r="CG678" s="93"/>
      <c r="CH678" s="1136"/>
      <c r="CI678" s="1136"/>
      <c r="CJ678" s="1136"/>
      <c r="CK678" s="1136"/>
      <c r="CL678" s="93"/>
    </row>
    <row r="679" spans="1:90" ht="15" hidden="1" customHeight="1" outlineLevel="2" x14ac:dyDescent="0.3">
      <c r="A679" s="371" t="s">
        <v>975</v>
      </c>
      <c r="B679" s="112"/>
      <c r="C679" s="1115"/>
      <c r="D679" s="1115"/>
      <c r="E679" s="1115"/>
      <c r="F679" s="1115"/>
      <c r="G679" s="90"/>
      <c r="H679" s="90"/>
      <c r="I679" s="90"/>
      <c r="J679" s="90"/>
      <c r="K679" s="1115"/>
      <c r="L679" s="90"/>
      <c r="M679" s="90"/>
      <c r="N679" s="90"/>
      <c r="O679" s="90"/>
      <c r="P679" s="1115"/>
      <c r="Q679" s="90"/>
      <c r="R679" s="90"/>
      <c r="S679" s="90"/>
      <c r="T679" s="90"/>
      <c r="U679" s="1115"/>
      <c r="V679" s="90"/>
      <c r="W679" s="90"/>
      <c r="X679" s="90"/>
      <c r="Y679" s="90"/>
      <c r="Z679" s="1115"/>
      <c r="AA679" s="90"/>
      <c r="AB679" s="90"/>
      <c r="AC679" s="90"/>
      <c r="AD679" s="90"/>
      <c r="AE679" s="1115"/>
      <c r="AF679" s="90"/>
      <c r="AG679" s="90"/>
      <c r="AH679" s="90"/>
      <c r="AI679" s="90"/>
      <c r="AJ679" s="1115"/>
      <c r="AK679" s="90"/>
      <c r="AL679" s="90"/>
      <c r="AM679" s="90"/>
      <c r="AN679" s="90"/>
      <c r="AO679" s="1115"/>
      <c r="AP679" s="90"/>
      <c r="AQ679" s="90"/>
      <c r="AR679" s="90"/>
      <c r="AS679" s="90"/>
      <c r="AT679" s="1115"/>
      <c r="AU679" s="90"/>
      <c r="AV679" s="90"/>
      <c r="AW679" s="90"/>
      <c r="AX679" s="90"/>
      <c r="AY679" s="1115"/>
      <c r="AZ679" s="90"/>
      <c r="BA679" s="90"/>
      <c r="BB679" s="90"/>
      <c r="BC679" s="90"/>
      <c r="BD679" s="1115"/>
      <c r="BE679" s="90"/>
      <c r="BF679" s="90"/>
      <c r="BG679" s="90"/>
      <c r="BH679" s="90"/>
      <c r="BI679" s="1115"/>
      <c r="BJ679" s="90"/>
      <c r="BK679" s="90"/>
      <c r="BL679" s="90"/>
      <c r="BM679" s="90"/>
      <c r="BN679" s="1115"/>
      <c r="BO679" s="90"/>
      <c r="BP679" s="90"/>
      <c r="BQ679" s="90"/>
      <c r="BR679" s="90"/>
      <c r="BS679" s="1115"/>
      <c r="BT679" s="90"/>
      <c r="BU679" s="90"/>
      <c r="BV679" s="90"/>
      <c r="BW679" s="90"/>
      <c r="BX679" s="1115"/>
      <c r="BY679" s="892"/>
      <c r="BZ679" s="90"/>
      <c r="CA679" s="90"/>
      <c r="CB679" s="90"/>
      <c r="CC679" s="1115"/>
      <c r="CD679" s="90"/>
      <c r="CE679" s="90"/>
      <c r="CF679" s="90"/>
      <c r="CG679" s="90"/>
      <c r="CH679" s="1115"/>
      <c r="CI679" s="1115"/>
      <c r="CJ679" s="1115"/>
      <c r="CK679" s="1115"/>
      <c r="CL679" s="93"/>
    </row>
    <row r="680" spans="1:90" ht="15" hidden="1" customHeight="1" outlineLevel="2" x14ac:dyDescent="0.3">
      <c r="A680" s="806" t="s">
        <v>976</v>
      </c>
      <c r="B680" s="804"/>
      <c r="C680" s="1196"/>
      <c r="D680" s="1196"/>
      <c r="E680" s="1196"/>
      <c r="F680" s="1196"/>
      <c r="G680" s="805"/>
      <c r="H680" s="805"/>
      <c r="I680" s="805"/>
      <c r="J680" s="805"/>
      <c r="K680" s="1196"/>
      <c r="L680" s="805"/>
      <c r="M680" s="805"/>
      <c r="N680" s="805"/>
      <c r="O680" s="805"/>
      <c r="P680" s="1196"/>
      <c r="Q680" s="805"/>
      <c r="R680" s="805"/>
      <c r="S680" s="805"/>
      <c r="T680" s="805"/>
      <c r="U680" s="1196"/>
      <c r="V680" s="805"/>
      <c r="W680" s="805"/>
      <c r="X680" s="805"/>
      <c r="Y680" s="805"/>
      <c r="Z680" s="1196"/>
      <c r="AA680" s="805"/>
      <c r="AB680" s="805"/>
      <c r="AC680" s="805"/>
      <c r="AD680" s="805"/>
      <c r="AE680" s="1196"/>
      <c r="AF680" s="805"/>
      <c r="AG680" s="805"/>
      <c r="AH680" s="805"/>
      <c r="AI680" s="805"/>
      <c r="AJ680" s="1196"/>
      <c r="AK680" s="805"/>
      <c r="AL680" s="805"/>
      <c r="AM680" s="805"/>
      <c r="AN680" s="805"/>
      <c r="AO680" s="1196"/>
      <c r="AP680" s="805"/>
      <c r="AQ680" s="805"/>
      <c r="AR680" s="805"/>
      <c r="AS680" s="805"/>
      <c r="AT680" s="1196"/>
      <c r="AU680" s="805"/>
      <c r="AV680" s="805"/>
      <c r="AW680" s="805"/>
      <c r="AX680" s="805"/>
      <c r="AY680" s="1196"/>
      <c r="AZ680" s="805"/>
      <c r="BA680" s="805"/>
      <c r="BB680" s="805"/>
      <c r="BC680" s="805"/>
      <c r="BD680" s="1196"/>
      <c r="BE680" s="805"/>
      <c r="BF680" s="805"/>
      <c r="BG680" s="805"/>
      <c r="BH680" s="805"/>
      <c r="BI680" s="1196"/>
      <c r="BJ680" s="805"/>
      <c r="BK680" s="805"/>
      <c r="BL680" s="805"/>
      <c r="BM680" s="805"/>
      <c r="BN680" s="1196"/>
      <c r="BO680" s="805"/>
      <c r="BP680" s="805"/>
      <c r="BQ680" s="805"/>
      <c r="BR680" s="805"/>
      <c r="BS680" s="1196"/>
      <c r="BT680" s="805"/>
      <c r="BU680" s="805"/>
      <c r="BV680" s="805"/>
      <c r="BW680" s="805"/>
      <c r="BX680" s="1196"/>
      <c r="BY680" s="928"/>
      <c r="BZ680" s="805"/>
      <c r="CA680" s="805"/>
      <c r="CB680" s="805"/>
      <c r="CC680" s="1196"/>
      <c r="CD680" s="805"/>
      <c r="CE680" s="805"/>
      <c r="CF680" s="805"/>
      <c r="CG680" s="805"/>
      <c r="CH680" s="1196"/>
      <c r="CI680" s="1196"/>
      <c r="CJ680" s="1196"/>
      <c r="CK680" s="1196"/>
      <c r="CL680" s="93"/>
    </row>
    <row r="681" spans="1:90" ht="15" hidden="1" customHeight="1" outlineLevel="2" x14ac:dyDescent="0.3">
      <c r="A681" s="809" t="s">
        <v>977</v>
      </c>
      <c r="B681" s="807"/>
      <c r="C681" s="1197"/>
      <c r="D681" s="1197"/>
      <c r="E681" s="1197"/>
      <c r="F681" s="1197"/>
      <c r="G681" s="808"/>
      <c r="H681" s="808"/>
      <c r="I681" s="808"/>
      <c r="J681" s="808"/>
      <c r="K681" s="1197"/>
      <c r="L681" s="808"/>
      <c r="M681" s="808"/>
      <c r="N681" s="808"/>
      <c r="O681" s="808"/>
      <c r="P681" s="1197"/>
      <c r="Q681" s="808"/>
      <c r="R681" s="808"/>
      <c r="S681" s="808"/>
      <c r="T681" s="808"/>
      <c r="U681" s="1197"/>
      <c r="V681" s="808"/>
      <c r="W681" s="808"/>
      <c r="X681" s="808"/>
      <c r="Y681" s="808"/>
      <c r="Z681" s="1197"/>
      <c r="AA681" s="808"/>
      <c r="AB681" s="808"/>
      <c r="AC681" s="808"/>
      <c r="AD681" s="808"/>
      <c r="AE681" s="1197"/>
      <c r="AF681" s="808"/>
      <c r="AG681" s="808"/>
      <c r="AH681" s="808"/>
      <c r="AI681" s="808"/>
      <c r="AJ681" s="1197"/>
      <c r="AK681" s="808"/>
      <c r="AL681" s="808"/>
      <c r="AM681" s="808"/>
      <c r="AN681" s="808"/>
      <c r="AO681" s="1197"/>
      <c r="AP681" s="808"/>
      <c r="AQ681" s="808"/>
      <c r="AR681" s="808"/>
      <c r="AS681" s="808"/>
      <c r="AT681" s="1197"/>
      <c r="AU681" s="808"/>
      <c r="AV681" s="808"/>
      <c r="AW681" s="808"/>
      <c r="AX681" s="808"/>
      <c r="AY681" s="1197"/>
      <c r="AZ681" s="808"/>
      <c r="BA681" s="808"/>
      <c r="BB681" s="808"/>
      <c r="BC681" s="808"/>
      <c r="BD681" s="1197"/>
      <c r="BE681" s="808"/>
      <c r="BF681" s="808"/>
      <c r="BG681" s="808"/>
      <c r="BH681" s="808"/>
      <c r="BI681" s="1197"/>
      <c r="BJ681" s="808"/>
      <c r="BK681" s="808"/>
      <c r="BL681" s="808"/>
      <c r="BM681" s="808"/>
      <c r="BN681" s="1197"/>
      <c r="BO681" s="808"/>
      <c r="BP681" s="808"/>
      <c r="BQ681" s="808"/>
      <c r="BR681" s="808"/>
      <c r="BS681" s="1197"/>
      <c r="BT681" s="808"/>
      <c r="BU681" s="808"/>
      <c r="BV681" s="808"/>
      <c r="BW681" s="808"/>
      <c r="BX681" s="1197"/>
      <c r="BY681" s="929"/>
      <c r="BZ681" s="808"/>
      <c r="CA681" s="808"/>
      <c r="CB681" s="808"/>
      <c r="CC681" s="1197"/>
      <c r="CD681" s="808"/>
      <c r="CE681" s="808"/>
      <c r="CF681" s="808"/>
      <c r="CG681" s="808"/>
      <c r="CH681" s="1197"/>
      <c r="CI681" s="1197"/>
      <c r="CJ681" s="1197"/>
      <c r="CK681" s="1197"/>
      <c r="CL681" s="93"/>
    </row>
    <row r="682" spans="1:90" ht="15" hidden="1" customHeight="1" outlineLevel="2" x14ac:dyDescent="0.3">
      <c r="A682" s="799"/>
      <c r="B682" s="428"/>
      <c r="C682" s="1136"/>
      <c r="D682" s="1136"/>
      <c r="E682" s="1136"/>
      <c r="F682" s="1136"/>
      <c r="G682" s="93"/>
      <c r="H682" s="93"/>
      <c r="I682" s="93"/>
      <c r="J682" s="93"/>
      <c r="K682" s="1136"/>
      <c r="L682" s="93"/>
      <c r="M682" s="93"/>
      <c r="N682" s="93"/>
      <c r="O682" s="93"/>
      <c r="P682" s="1136"/>
      <c r="Q682" s="93"/>
      <c r="R682" s="93"/>
      <c r="S682" s="93"/>
      <c r="T682" s="93"/>
      <c r="U682" s="1136"/>
      <c r="V682" s="93"/>
      <c r="W682" s="93"/>
      <c r="X682" s="93"/>
      <c r="Y682" s="93"/>
      <c r="Z682" s="1136"/>
      <c r="AA682" s="93"/>
      <c r="AB682" s="93"/>
      <c r="AC682" s="93"/>
      <c r="AD682" s="93"/>
      <c r="AE682" s="1136"/>
      <c r="AF682" s="93"/>
      <c r="AG682" s="93"/>
      <c r="AH682" s="93"/>
      <c r="AI682" s="93"/>
      <c r="AJ682" s="1136"/>
      <c r="AK682" s="93"/>
      <c r="AL682" s="93"/>
      <c r="AM682" s="93"/>
      <c r="AN682" s="93"/>
      <c r="AO682" s="1136"/>
      <c r="AP682" s="93"/>
      <c r="AQ682" s="93"/>
      <c r="AR682" s="93"/>
      <c r="AS682" s="93"/>
      <c r="AT682" s="1136"/>
      <c r="AU682" s="93"/>
      <c r="AV682" s="93"/>
      <c r="AW682" s="93"/>
      <c r="AX682" s="93"/>
      <c r="AY682" s="1136"/>
      <c r="AZ682" s="93"/>
      <c r="BA682" s="93"/>
      <c r="BB682" s="93"/>
      <c r="BC682" s="93"/>
      <c r="BD682" s="1136"/>
      <c r="BE682" s="93"/>
      <c r="BF682" s="93"/>
      <c r="BG682" s="93"/>
      <c r="BH682" s="93"/>
      <c r="BI682" s="1136"/>
      <c r="BJ682" s="93"/>
      <c r="BK682" s="93"/>
      <c r="BL682" s="93"/>
      <c r="BM682" s="93"/>
      <c r="BN682" s="1136"/>
      <c r="BO682" s="93"/>
      <c r="BP682" s="93"/>
      <c r="BQ682" s="93"/>
      <c r="BR682" s="93"/>
      <c r="BS682" s="1136"/>
      <c r="BT682" s="93"/>
      <c r="BU682" s="93"/>
      <c r="BV682" s="93"/>
      <c r="BW682" s="93"/>
      <c r="BX682" s="1136"/>
      <c r="BY682" s="522"/>
      <c r="BZ682" s="93"/>
      <c r="CA682" s="93"/>
      <c r="CB682" s="93"/>
      <c r="CC682" s="1136"/>
      <c r="CD682" s="93"/>
      <c r="CE682" s="93"/>
      <c r="CF682" s="93"/>
      <c r="CG682" s="93"/>
      <c r="CH682" s="1136"/>
      <c r="CI682" s="1136"/>
      <c r="CJ682" s="1136"/>
      <c r="CK682" s="1136"/>
      <c r="CL682" s="93"/>
    </row>
    <row r="683" spans="1:90" ht="15" hidden="1" customHeight="1" outlineLevel="2" x14ac:dyDescent="0.3">
      <c r="A683" s="803" t="s">
        <v>969</v>
      </c>
      <c r="B683" s="801"/>
      <c r="C683" s="1195" t="str">
        <f>D5</f>
        <v>FY2010</v>
      </c>
      <c r="D683" s="1195" t="str">
        <f>E5</f>
        <v>FY2011</v>
      </c>
      <c r="E683" s="1195" t="str">
        <f>F5</f>
        <v>FY2012</v>
      </c>
      <c r="F683" s="1195" t="str">
        <f>K5</f>
        <v>FY2013</v>
      </c>
      <c r="G683" s="802" t="str">
        <f>K5</f>
        <v>FY2013</v>
      </c>
      <c r="H683" s="802" t="str">
        <f>K5</f>
        <v>FY2013</v>
      </c>
      <c r="I683" s="802" t="str">
        <f>K5</f>
        <v>FY2013</v>
      </c>
      <c r="J683" s="802" t="str">
        <f>P5</f>
        <v>FY2014</v>
      </c>
      <c r="K683" s="1195" t="str">
        <f>P5</f>
        <v>FY2014</v>
      </c>
      <c r="L683" s="802" t="str">
        <f>P5</f>
        <v>FY2014</v>
      </c>
      <c r="M683" s="802" t="str">
        <f>P5</f>
        <v>FY2014</v>
      </c>
      <c r="N683" s="802" t="str">
        <f>P5</f>
        <v>FY2014</v>
      </c>
      <c r="O683" s="802" t="str">
        <f>U5</f>
        <v>FY2015</v>
      </c>
      <c r="P683" s="1195" t="str">
        <f>U5</f>
        <v>FY2015</v>
      </c>
      <c r="Q683" s="802" t="str">
        <f>U5</f>
        <v>FY2015</v>
      </c>
      <c r="R683" s="802" t="str">
        <f>U5</f>
        <v>FY2015</v>
      </c>
      <c r="S683" s="802" t="str">
        <f>U5</f>
        <v>FY2015</v>
      </c>
      <c r="T683" s="802" t="str">
        <f>Z5</f>
        <v>FY2016</v>
      </c>
      <c r="U683" s="1195" t="str">
        <f>Z5</f>
        <v>FY2016</v>
      </c>
      <c r="V683" s="802" t="str">
        <f>Z5</f>
        <v>FY2016</v>
      </c>
      <c r="W683" s="802" t="str">
        <f>Z5</f>
        <v>FY2016</v>
      </c>
      <c r="X683" s="802" t="str">
        <f>Z5</f>
        <v>FY2016</v>
      </c>
      <c r="Y683" s="802" t="str">
        <f>AE5</f>
        <v>FY2017</v>
      </c>
      <c r="Z683" s="1195" t="str">
        <f>AE5</f>
        <v>FY2017</v>
      </c>
      <c r="AA683" s="802" t="str">
        <f>AE5</f>
        <v>FY2017</v>
      </c>
      <c r="AB683" s="802" t="str">
        <f>AE5</f>
        <v>FY2017</v>
      </c>
      <c r="AC683" s="802" t="str">
        <f>AE5</f>
        <v>FY2017</v>
      </c>
      <c r="AD683" s="802" t="str">
        <f>AJ5</f>
        <v>FY2018</v>
      </c>
      <c r="AE683" s="1195" t="str">
        <f>AJ5</f>
        <v>FY2018</v>
      </c>
      <c r="AF683" s="802" t="str">
        <f>AJ5</f>
        <v>FY2018</v>
      </c>
      <c r="AG683" s="802" t="str">
        <f>AJ5</f>
        <v>FY2018</v>
      </c>
      <c r="AH683" s="802" t="str">
        <f>AJ5</f>
        <v>FY2018</v>
      </c>
      <c r="AI683" s="802" t="str">
        <f>AO5</f>
        <v>FY2019</v>
      </c>
      <c r="AJ683" s="1195" t="str">
        <f>AO5</f>
        <v>FY2019</v>
      </c>
      <c r="AK683" s="802" t="str">
        <f>AO5</f>
        <v>FY2019</v>
      </c>
      <c r="AL683" s="802" t="str">
        <f>AO5</f>
        <v>FY2019</v>
      </c>
      <c r="AM683" s="802" t="str">
        <f>AO5</f>
        <v>FY2019</v>
      </c>
      <c r="AN683" s="802" t="str">
        <f>AT5</f>
        <v>FY2020</v>
      </c>
      <c r="AO683" s="1195" t="str">
        <f>AT5</f>
        <v>FY2020</v>
      </c>
      <c r="AP683" s="802" t="str">
        <f>AT5</f>
        <v>FY2020</v>
      </c>
      <c r="AQ683" s="802" t="str">
        <f>AT5</f>
        <v>FY2020</v>
      </c>
      <c r="AR683" s="802" t="str">
        <f>AT5</f>
        <v>FY2020</v>
      </c>
      <c r="AS683" s="802" t="str">
        <f>AY5</f>
        <v>FY2021</v>
      </c>
      <c r="AT683" s="1195" t="str">
        <f>AY5</f>
        <v>FY2021</v>
      </c>
      <c r="AU683" s="802" t="str">
        <f>AY5</f>
        <v>FY2021</v>
      </c>
      <c r="AV683" s="802" t="str">
        <f>AY5</f>
        <v>FY2021</v>
      </c>
      <c r="AW683" s="802" t="str">
        <f>AY5</f>
        <v>FY2021</v>
      </c>
      <c r="AX683" s="802" t="str">
        <f>BD5</f>
        <v>FY2022</v>
      </c>
      <c r="AY683" s="1195" t="str">
        <f>BD5</f>
        <v>FY2022</v>
      </c>
      <c r="AZ683" s="802" t="str">
        <f>BD5</f>
        <v>FY2022</v>
      </c>
      <c r="BA683" s="802" t="str">
        <f>BD5</f>
        <v>FY2022</v>
      </c>
      <c r="BB683" s="802" t="str">
        <f>BD5</f>
        <v>FY2022</v>
      </c>
      <c r="BC683" s="802" t="str">
        <f>BI5</f>
        <v>FY2023</v>
      </c>
      <c r="BD683" s="1195" t="str">
        <f>BI5</f>
        <v>FY2023</v>
      </c>
      <c r="BE683" s="802" t="str">
        <f>BI5</f>
        <v>FY2023</v>
      </c>
      <c r="BF683" s="802" t="str">
        <f>BI5</f>
        <v>FY2023</v>
      </c>
      <c r="BG683" s="802" t="str">
        <f>BI5</f>
        <v>FY2023</v>
      </c>
      <c r="BH683" s="802" t="str">
        <f>BN5</f>
        <v>FY2024</v>
      </c>
      <c r="BI683" s="1195" t="str">
        <f>BN5</f>
        <v>FY2024</v>
      </c>
      <c r="BJ683" s="802" t="str">
        <f>BN5</f>
        <v>FY2024</v>
      </c>
      <c r="BK683" s="802" t="str">
        <f>BN5</f>
        <v>FY2024</v>
      </c>
      <c r="BL683" s="802" t="str">
        <f>BN5</f>
        <v>FY2024</v>
      </c>
      <c r="BM683" s="802" t="str">
        <f>BS5</f>
        <v>FY2025</v>
      </c>
      <c r="BN683" s="1195" t="str">
        <f>BS5</f>
        <v>FY2025</v>
      </c>
      <c r="BO683" s="802" t="str">
        <f>BS5</f>
        <v>FY2025</v>
      </c>
      <c r="BP683" s="802" t="str">
        <f>BS5</f>
        <v>FY2025</v>
      </c>
      <c r="BQ683" s="802" t="str">
        <f>BS5</f>
        <v>FY2025</v>
      </c>
      <c r="BR683" s="802" t="str">
        <f>BX5</f>
        <v>FY2026</v>
      </c>
      <c r="BS683" s="1195" t="str">
        <f>BX5</f>
        <v>FY2026</v>
      </c>
      <c r="BT683" s="802" t="str">
        <f>BX5</f>
        <v>FY2026</v>
      </c>
      <c r="BU683" s="802" t="str">
        <f>BX5</f>
        <v>FY2026</v>
      </c>
      <c r="BV683" s="802" t="str">
        <f>BX5</f>
        <v>FY2026</v>
      </c>
      <c r="BW683" s="802" t="str">
        <f>CC5</f>
        <v>FY2027</v>
      </c>
      <c r="BX683" s="1195" t="str">
        <f>CC5</f>
        <v>FY2027</v>
      </c>
      <c r="BY683" s="927" t="str">
        <f>CC5</f>
        <v>FY2027</v>
      </c>
      <c r="BZ683" s="802"/>
      <c r="CA683" s="802"/>
      <c r="CB683" s="802"/>
      <c r="CC683" s="1195"/>
      <c r="CD683" s="802"/>
      <c r="CE683" s="802"/>
      <c r="CF683" s="802"/>
      <c r="CG683" s="802"/>
      <c r="CH683" s="1195"/>
      <c r="CI683" s="1195"/>
      <c r="CJ683" s="1195"/>
      <c r="CK683" s="1195"/>
      <c r="CL683" s="93"/>
    </row>
    <row r="684" spans="1:90" ht="15" hidden="1" customHeight="1" outlineLevel="3" x14ac:dyDescent="0.3">
      <c r="A684" s="492" t="s">
        <v>970</v>
      </c>
      <c r="B684" s="428"/>
      <c r="C684" s="1136"/>
      <c r="D684" s="1136"/>
      <c r="E684" s="1136"/>
      <c r="F684" s="1136"/>
      <c r="G684" s="93"/>
      <c r="H684" s="93"/>
      <c r="I684" s="93"/>
      <c r="J684" s="93"/>
      <c r="K684" s="1136"/>
      <c r="L684" s="93"/>
      <c r="M684" s="93"/>
      <c r="N684" s="93"/>
      <c r="O684" s="93"/>
      <c r="P684" s="1136"/>
      <c r="Q684" s="93"/>
      <c r="R684" s="93"/>
      <c r="S684" s="93"/>
      <c r="T684" s="93"/>
      <c r="U684" s="1136"/>
      <c r="V684" s="93"/>
      <c r="W684" s="93"/>
      <c r="X684" s="93"/>
      <c r="Y684" s="93"/>
      <c r="Z684" s="1136"/>
      <c r="AA684" s="93"/>
      <c r="AB684" s="93"/>
      <c r="AC684" s="93"/>
      <c r="AD684" s="93"/>
      <c r="AE684" s="1136"/>
      <c r="AF684" s="93"/>
      <c r="AG684" s="93"/>
      <c r="AH684" s="93" t="str">
        <f t="shared" ref="AH684:BL684" si="1608">IFERROR(+AH693*AH611,"N/A")</f>
        <v>N/A</v>
      </c>
      <c r="AI684" s="93" t="str">
        <f t="shared" si="1608"/>
        <v>N/A</v>
      </c>
      <c r="AJ684" s="1136" t="str">
        <f t="shared" si="1608"/>
        <v>N/A</v>
      </c>
      <c r="AK684" s="93" t="str">
        <f t="shared" si="1608"/>
        <v>N/A</v>
      </c>
      <c r="AL684" s="93" t="str">
        <f t="shared" si="1608"/>
        <v>N/A</v>
      </c>
      <c r="AM684" s="93" t="str">
        <f t="shared" si="1608"/>
        <v>N/A</v>
      </c>
      <c r="AN684" s="93" t="str">
        <f t="shared" si="1608"/>
        <v>N/A</v>
      </c>
      <c r="AO684" s="1136" t="str">
        <f t="shared" si="1608"/>
        <v>N/A</v>
      </c>
      <c r="AP684" s="93" t="str">
        <f t="shared" si="1608"/>
        <v>N/A</v>
      </c>
      <c r="AQ684" s="93" t="str">
        <f t="shared" si="1608"/>
        <v>N/A</v>
      </c>
      <c r="AR684" s="93" t="str">
        <f t="shared" si="1608"/>
        <v>N/A</v>
      </c>
      <c r="AS684" s="93" t="str">
        <f t="shared" si="1608"/>
        <v>N/A</v>
      </c>
      <c r="AT684" s="1136" t="str">
        <f t="shared" si="1608"/>
        <v>N/A</v>
      </c>
      <c r="AU684" s="93" t="str">
        <f t="shared" si="1608"/>
        <v>N/A</v>
      </c>
      <c r="AV684" s="93" t="str">
        <f t="shared" si="1608"/>
        <v>N/A</v>
      </c>
      <c r="AW684" s="93" t="str">
        <f t="shared" si="1608"/>
        <v>N/A</v>
      </c>
      <c r="AX684" s="93" t="str">
        <f t="shared" si="1608"/>
        <v>N/A</v>
      </c>
      <c r="AY684" s="1136" t="str">
        <f t="shared" si="1608"/>
        <v>N/A</v>
      </c>
      <c r="AZ684" s="93" t="str">
        <f t="shared" si="1608"/>
        <v>N/A</v>
      </c>
      <c r="BA684" s="93" t="str">
        <f t="shared" si="1608"/>
        <v>N/A</v>
      </c>
      <c r="BB684" s="93" t="str">
        <f t="shared" si="1608"/>
        <v>N/A</v>
      </c>
      <c r="BC684" s="93" t="str">
        <f t="shared" si="1608"/>
        <v>N/A</v>
      </c>
      <c r="BD684" s="1136" t="str">
        <f t="shared" si="1608"/>
        <v>N/A</v>
      </c>
      <c r="BE684" s="93" t="str">
        <f t="shared" si="1608"/>
        <v>N/A</v>
      </c>
      <c r="BF684" s="93" t="str">
        <f t="shared" si="1608"/>
        <v>N/A</v>
      </c>
      <c r="BG684" s="93" t="str">
        <f t="shared" si="1608"/>
        <v>N/A</v>
      </c>
      <c r="BH684" s="93" t="str">
        <f t="shared" si="1608"/>
        <v>N/A</v>
      </c>
      <c r="BI684" s="1136" t="str">
        <f t="shared" si="1608"/>
        <v>N/A</v>
      </c>
      <c r="BJ684" s="93" t="str">
        <f t="shared" si="1608"/>
        <v>N/A</v>
      </c>
      <c r="BK684" s="93" t="str">
        <f t="shared" si="1608"/>
        <v>N/A</v>
      </c>
      <c r="BL684" s="93" t="str">
        <f t="shared" si="1608"/>
        <v>N/A</v>
      </c>
      <c r="BM684" s="93" t="str">
        <f t="shared" ref="BM684:BO685" si="1609">IFERROR(+BM693*BM611,"N/A")</f>
        <v>N/A</v>
      </c>
      <c r="BN684" s="1136" t="str">
        <f t="shared" si="1609"/>
        <v>N/A</v>
      </c>
      <c r="BO684" s="93" t="str">
        <f t="shared" si="1609"/>
        <v>N/A</v>
      </c>
      <c r="BP684" s="93" t="str">
        <f t="shared" ref="BP684:BS685" si="1610">IFERROR(+BP693*BP611,"N/A")</f>
        <v>N/A</v>
      </c>
      <c r="BQ684" s="93" t="str">
        <f t="shared" si="1610"/>
        <v>N/A</v>
      </c>
      <c r="BR684" s="93" t="str">
        <f t="shared" si="1610"/>
        <v>N/A</v>
      </c>
      <c r="BS684" s="1136" t="str">
        <f t="shared" si="1610"/>
        <v>N/A</v>
      </c>
      <c r="BT684" s="93" t="str">
        <f t="shared" ref="BT684:BV685" si="1611">IFERROR(+BT693*BT611,"N/A")</f>
        <v>N/A</v>
      </c>
      <c r="BU684" s="93" t="str">
        <f t="shared" si="1611"/>
        <v>N/A</v>
      </c>
      <c r="BV684" s="93" t="str">
        <f t="shared" si="1611"/>
        <v>N/A</v>
      </c>
      <c r="BW684" s="93" t="str">
        <f t="shared" ref="BW684:BY685" si="1612">IFERROR(+BW693*BW611,"N/A")</f>
        <v>N/A</v>
      </c>
      <c r="BX684" s="1136" t="str">
        <f t="shared" si="1612"/>
        <v>N/A</v>
      </c>
      <c r="BY684" s="522" t="str">
        <f t="shared" si="1612"/>
        <v>N/A</v>
      </c>
      <c r="BZ684" s="93"/>
      <c r="CA684" s="93"/>
      <c r="CB684" s="93"/>
      <c r="CC684" s="1136"/>
      <c r="CD684" s="93"/>
      <c r="CE684" s="93"/>
      <c r="CF684" s="93"/>
      <c r="CG684" s="93"/>
      <c r="CH684" s="1136"/>
      <c r="CI684" s="1136"/>
      <c r="CJ684" s="1136"/>
      <c r="CK684" s="1136"/>
      <c r="CL684" s="93"/>
    </row>
    <row r="685" spans="1:90" ht="15" hidden="1" customHeight="1" outlineLevel="3" x14ac:dyDescent="0.3">
      <c r="A685" s="823" t="s">
        <v>971</v>
      </c>
      <c r="B685" s="824"/>
      <c r="C685" s="1201"/>
      <c r="D685" s="1201"/>
      <c r="E685" s="1201"/>
      <c r="F685" s="1201"/>
      <c r="G685" s="158"/>
      <c r="H685" s="158"/>
      <c r="I685" s="158"/>
      <c r="J685" s="158"/>
      <c r="K685" s="1201"/>
      <c r="L685" s="158"/>
      <c r="M685" s="158"/>
      <c r="N685" s="158"/>
      <c r="O685" s="158"/>
      <c r="P685" s="1201"/>
      <c r="Q685" s="158"/>
      <c r="R685" s="158"/>
      <c r="S685" s="158"/>
      <c r="T685" s="158"/>
      <c r="U685" s="1201"/>
      <c r="V685" s="158"/>
      <c r="W685" s="158"/>
      <c r="X685" s="158"/>
      <c r="Y685" s="158"/>
      <c r="Z685" s="1201"/>
      <c r="AA685" s="158"/>
      <c r="AB685" s="158"/>
      <c r="AC685" s="158"/>
      <c r="AD685" s="158"/>
      <c r="AE685" s="1201"/>
      <c r="AF685" s="158"/>
      <c r="AG685" s="158"/>
      <c r="AH685" s="158" t="str">
        <f t="shared" ref="AH685:BL685" si="1613">IFERROR(+AH694*AH612,"N/A")</f>
        <v>N/A</v>
      </c>
      <c r="AI685" s="158" t="str">
        <f t="shared" si="1613"/>
        <v>N/A</v>
      </c>
      <c r="AJ685" s="1201" t="str">
        <f t="shared" si="1613"/>
        <v>N/A</v>
      </c>
      <c r="AK685" s="158" t="str">
        <f t="shared" si="1613"/>
        <v>N/A</v>
      </c>
      <c r="AL685" s="158" t="str">
        <f t="shared" si="1613"/>
        <v>N/A</v>
      </c>
      <c r="AM685" s="158" t="str">
        <f t="shared" si="1613"/>
        <v>N/A</v>
      </c>
      <c r="AN685" s="158" t="str">
        <f t="shared" si="1613"/>
        <v>N/A</v>
      </c>
      <c r="AO685" s="1201" t="str">
        <f t="shared" si="1613"/>
        <v>N/A</v>
      </c>
      <c r="AP685" s="158" t="str">
        <f t="shared" si="1613"/>
        <v>N/A</v>
      </c>
      <c r="AQ685" s="158" t="str">
        <f t="shared" si="1613"/>
        <v>N/A</v>
      </c>
      <c r="AR685" s="158" t="str">
        <f t="shared" si="1613"/>
        <v>N/A</v>
      </c>
      <c r="AS685" s="158" t="str">
        <f t="shared" si="1613"/>
        <v>N/A</v>
      </c>
      <c r="AT685" s="1201" t="str">
        <f t="shared" si="1613"/>
        <v>N/A</v>
      </c>
      <c r="AU685" s="158" t="str">
        <f t="shared" si="1613"/>
        <v>N/A</v>
      </c>
      <c r="AV685" s="158" t="str">
        <f t="shared" si="1613"/>
        <v>N/A</v>
      </c>
      <c r="AW685" s="158" t="str">
        <f t="shared" si="1613"/>
        <v>N/A</v>
      </c>
      <c r="AX685" s="158" t="str">
        <f t="shared" si="1613"/>
        <v>N/A</v>
      </c>
      <c r="AY685" s="1201" t="str">
        <f t="shared" si="1613"/>
        <v>N/A</v>
      </c>
      <c r="AZ685" s="158" t="str">
        <f t="shared" si="1613"/>
        <v>N/A</v>
      </c>
      <c r="BA685" s="158" t="str">
        <f t="shared" si="1613"/>
        <v>N/A</v>
      </c>
      <c r="BB685" s="158" t="str">
        <f t="shared" si="1613"/>
        <v>N/A</v>
      </c>
      <c r="BC685" s="158" t="str">
        <f t="shared" si="1613"/>
        <v>N/A</v>
      </c>
      <c r="BD685" s="1201" t="str">
        <f t="shared" si="1613"/>
        <v>N/A</v>
      </c>
      <c r="BE685" s="158" t="str">
        <f t="shared" si="1613"/>
        <v>N/A</v>
      </c>
      <c r="BF685" s="158" t="str">
        <f t="shared" si="1613"/>
        <v>N/A</v>
      </c>
      <c r="BG685" s="158" t="str">
        <f t="shared" si="1613"/>
        <v>N/A</v>
      </c>
      <c r="BH685" s="158" t="str">
        <f t="shared" si="1613"/>
        <v>N/A</v>
      </c>
      <c r="BI685" s="1201" t="str">
        <f t="shared" si="1613"/>
        <v>N/A</v>
      </c>
      <c r="BJ685" s="158" t="str">
        <f t="shared" si="1613"/>
        <v>N/A</v>
      </c>
      <c r="BK685" s="158" t="str">
        <f t="shared" si="1613"/>
        <v>N/A</v>
      </c>
      <c r="BL685" s="158" t="str">
        <f t="shared" si="1613"/>
        <v>N/A</v>
      </c>
      <c r="BM685" s="158" t="str">
        <f t="shared" si="1609"/>
        <v>N/A</v>
      </c>
      <c r="BN685" s="1201" t="str">
        <f t="shared" si="1609"/>
        <v>N/A</v>
      </c>
      <c r="BO685" s="158" t="str">
        <f t="shared" si="1609"/>
        <v>N/A</v>
      </c>
      <c r="BP685" s="158" t="str">
        <f t="shared" si="1610"/>
        <v>N/A</v>
      </c>
      <c r="BQ685" s="158" t="str">
        <f t="shared" si="1610"/>
        <v>N/A</v>
      </c>
      <c r="BR685" s="158" t="str">
        <f t="shared" si="1610"/>
        <v>N/A</v>
      </c>
      <c r="BS685" s="1201" t="str">
        <f t="shared" si="1610"/>
        <v>N/A</v>
      </c>
      <c r="BT685" s="158" t="str">
        <f t="shared" si="1611"/>
        <v>N/A</v>
      </c>
      <c r="BU685" s="158" t="str">
        <f t="shared" si="1611"/>
        <v>N/A</v>
      </c>
      <c r="BV685" s="158" t="str">
        <f t="shared" si="1611"/>
        <v>N/A</v>
      </c>
      <c r="BW685" s="158" t="str">
        <f t="shared" si="1612"/>
        <v>N/A</v>
      </c>
      <c r="BX685" s="1201" t="str">
        <f t="shared" si="1612"/>
        <v>N/A</v>
      </c>
      <c r="BY685" s="537" t="str">
        <f t="shared" si="1612"/>
        <v>N/A</v>
      </c>
      <c r="BZ685" s="158"/>
      <c r="CA685" s="158"/>
      <c r="CB685" s="158"/>
      <c r="CC685" s="1201"/>
      <c r="CD685" s="158"/>
      <c r="CE685" s="158"/>
      <c r="CF685" s="158"/>
      <c r="CG685" s="158"/>
      <c r="CH685" s="1201"/>
      <c r="CI685" s="1201"/>
      <c r="CJ685" s="1201"/>
      <c r="CK685" s="1201"/>
      <c r="CL685" s="93"/>
    </row>
    <row r="686" spans="1:90" ht="15" hidden="1" customHeight="1" outlineLevel="2" collapsed="1" x14ac:dyDescent="0.3">
      <c r="A686" s="609" t="s">
        <v>972</v>
      </c>
      <c r="B686" s="610"/>
      <c r="C686" s="1161"/>
      <c r="D686" s="1161"/>
      <c r="E686" s="1161"/>
      <c r="F686" s="1161"/>
      <c r="G686" s="378"/>
      <c r="H686" s="378"/>
      <c r="I686" s="378"/>
      <c r="J686" s="378"/>
      <c r="K686" s="1161"/>
      <c r="L686" s="378"/>
      <c r="M686" s="378"/>
      <c r="N686" s="378"/>
      <c r="O686" s="378"/>
      <c r="P686" s="1161"/>
      <c r="Q686" s="378"/>
      <c r="R686" s="378"/>
      <c r="S686" s="378"/>
      <c r="T686" s="378"/>
      <c r="U686" s="1161"/>
      <c r="V686" s="378"/>
      <c r="W686" s="378"/>
      <c r="X686" s="378"/>
      <c r="Y686" s="378"/>
      <c r="Z686" s="1161"/>
      <c r="AA686" s="378"/>
      <c r="AB686" s="378"/>
      <c r="AC686" s="378"/>
      <c r="AD686" s="378"/>
      <c r="AE686" s="1161"/>
      <c r="AF686" s="378"/>
      <c r="AG686" s="378"/>
      <c r="AH686" s="378" t="str">
        <f t="shared" ref="AH686:BL686" si="1614">IFERROR(AVERAGE(AH684,AH685),"")</f>
        <v/>
      </c>
      <c r="AI686" s="378" t="str">
        <f t="shared" si="1614"/>
        <v/>
      </c>
      <c r="AJ686" s="1161" t="str">
        <f t="shared" si="1614"/>
        <v/>
      </c>
      <c r="AK686" s="378" t="str">
        <f t="shared" si="1614"/>
        <v/>
      </c>
      <c r="AL686" s="378" t="str">
        <f t="shared" si="1614"/>
        <v/>
      </c>
      <c r="AM686" s="378" t="str">
        <f t="shared" si="1614"/>
        <v/>
      </c>
      <c r="AN686" s="378" t="str">
        <f t="shared" si="1614"/>
        <v/>
      </c>
      <c r="AO686" s="1161" t="str">
        <f t="shared" si="1614"/>
        <v/>
      </c>
      <c r="AP686" s="378" t="str">
        <f t="shared" si="1614"/>
        <v/>
      </c>
      <c r="AQ686" s="378" t="str">
        <f t="shared" si="1614"/>
        <v/>
      </c>
      <c r="AR686" s="378" t="str">
        <f t="shared" si="1614"/>
        <v/>
      </c>
      <c r="AS686" s="378" t="str">
        <f t="shared" si="1614"/>
        <v/>
      </c>
      <c r="AT686" s="1161" t="str">
        <f t="shared" si="1614"/>
        <v/>
      </c>
      <c r="AU686" s="378" t="str">
        <f t="shared" si="1614"/>
        <v/>
      </c>
      <c r="AV686" s="378" t="str">
        <f t="shared" si="1614"/>
        <v/>
      </c>
      <c r="AW686" s="378" t="str">
        <f t="shared" si="1614"/>
        <v/>
      </c>
      <c r="AX686" s="378" t="str">
        <f t="shared" si="1614"/>
        <v/>
      </c>
      <c r="AY686" s="1161" t="str">
        <f t="shared" si="1614"/>
        <v/>
      </c>
      <c r="AZ686" s="378" t="str">
        <f t="shared" si="1614"/>
        <v/>
      </c>
      <c r="BA686" s="378" t="str">
        <f t="shared" si="1614"/>
        <v/>
      </c>
      <c r="BB686" s="378" t="str">
        <f t="shared" si="1614"/>
        <v/>
      </c>
      <c r="BC686" s="378" t="str">
        <f t="shared" si="1614"/>
        <v/>
      </c>
      <c r="BD686" s="1161" t="str">
        <f t="shared" si="1614"/>
        <v/>
      </c>
      <c r="BE686" s="378" t="str">
        <f t="shared" si="1614"/>
        <v/>
      </c>
      <c r="BF686" s="378" t="str">
        <f t="shared" si="1614"/>
        <v/>
      </c>
      <c r="BG686" s="378" t="str">
        <f t="shared" si="1614"/>
        <v/>
      </c>
      <c r="BH686" s="378" t="str">
        <f t="shared" si="1614"/>
        <v/>
      </c>
      <c r="BI686" s="1161" t="str">
        <f t="shared" si="1614"/>
        <v/>
      </c>
      <c r="BJ686" s="378" t="str">
        <f t="shared" si="1614"/>
        <v/>
      </c>
      <c r="BK686" s="378" t="str">
        <f t="shared" si="1614"/>
        <v/>
      </c>
      <c r="BL686" s="378" t="str">
        <f t="shared" si="1614"/>
        <v/>
      </c>
      <c r="BM686" s="378" t="str">
        <f t="shared" ref="BM686:BS686" si="1615">IFERROR(AVERAGE(BM684,BM685),"")</f>
        <v/>
      </c>
      <c r="BN686" s="1161" t="str">
        <f t="shared" si="1615"/>
        <v/>
      </c>
      <c r="BO686" s="378" t="str">
        <f t="shared" si="1615"/>
        <v/>
      </c>
      <c r="BP686" s="378" t="str">
        <f t="shared" si="1615"/>
        <v/>
      </c>
      <c r="BQ686" s="378" t="str">
        <f t="shared" si="1615"/>
        <v/>
      </c>
      <c r="BR686" s="378" t="str">
        <f t="shared" si="1615"/>
        <v/>
      </c>
      <c r="BS686" s="1161" t="str">
        <f t="shared" si="1615"/>
        <v/>
      </c>
      <c r="BT686" s="378" t="str">
        <f t="shared" ref="BT686:BY686" si="1616">IFERROR(AVERAGE(BT684,BT685),"")</f>
        <v/>
      </c>
      <c r="BU686" s="378" t="str">
        <f t="shared" si="1616"/>
        <v/>
      </c>
      <c r="BV686" s="378" t="str">
        <f t="shared" si="1616"/>
        <v/>
      </c>
      <c r="BW686" s="378" t="str">
        <f t="shared" si="1616"/>
        <v/>
      </c>
      <c r="BX686" s="1161" t="str">
        <f t="shared" si="1616"/>
        <v/>
      </c>
      <c r="BY686" s="1006" t="str">
        <f t="shared" si="1616"/>
        <v/>
      </c>
      <c r="BZ686" s="378"/>
      <c r="CA686" s="378"/>
      <c r="CB686" s="378"/>
      <c r="CC686" s="1161"/>
      <c r="CD686" s="378"/>
      <c r="CE686" s="378"/>
      <c r="CF686" s="378"/>
      <c r="CG686" s="378"/>
      <c r="CH686" s="1161"/>
      <c r="CI686" s="1161"/>
      <c r="CJ686" s="1161"/>
      <c r="CK686" s="1161"/>
      <c r="CL686" s="93"/>
    </row>
    <row r="687" spans="1:90" ht="15" hidden="1" customHeight="1" outlineLevel="2" x14ac:dyDescent="0.3">
      <c r="A687" s="492" t="s">
        <v>973</v>
      </c>
      <c r="B687" s="428"/>
      <c r="C687" s="1136"/>
      <c r="D687" s="1136"/>
      <c r="E687" s="1136"/>
      <c r="F687" s="1136"/>
      <c r="G687" s="93"/>
      <c r="H687" s="93"/>
      <c r="I687" s="93"/>
      <c r="J687" s="93"/>
      <c r="K687" s="1136"/>
      <c r="L687" s="93"/>
      <c r="M687" s="93"/>
      <c r="N687" s="93"/>
      <c r="O687" s="93"/>
      <c r="P687" s="1136"/>
      <c r="Q687" s="93"/>
      <c r="R687" s="93"/>
      <c r="S687" s="93"/>
      <c r="T687" s="93"/>
      <c r="U687" s="1136"/>
      <c r="V687" s="93"/>
      <c r="W687" s="93"/>
      <c r="X687" s="93"/>
      <c r="Y687" s="93"/>
      <c r="Z687" s="1136"/>
      <c r="AA687" s="93"/>
      <c r="AB687" s="93"/>
      <c r="AC687" s="93"/>
      <c r="AD687" s="93"/>
      <c r="AE687" s="1136"/>
      <c r="AF687" s="93"/>
      <c r="AG687" s="93"/>
      <c r="AH687" s="93" t="str">
        <f t="shared" ref="AH687:BL687" si="1617">IFERROR(ABS(AH685-AH684),"")</f>
        <v/>
      </c>
      <c r="AI687" s="93" t="str">
        <f t="shared" si="1617"/>
        <v/>
      </c>
      <c r="AJ687" s="1136" t="str">
        <f t="shared" si="1617"/>
        <v/>
      </c>
      <c r="AK687" s="93" t="str">
        <f t="shared" si="1617"/>
        <v/>
      </c>
      <c r="AL687" s="93" t="str">
        <f t="shared" si="1617"/>
        <v/>
      </c>
      <c r="AM687" s="93" t="str">
        <f t="shared" si="1617"/>
        <v/>
      </c>
      <c r="AN687" s="93" t="str">
        <f t="shared" si="1617"/>
        <v/>
      </c>
      <c r="AO687" s="1136" t="str">
        <f t="shared" si="1617"/>
        <v/>
      </c>
      <c r="AP687" s="93" t="str">
        <f t="shared" si="1617"/>
        <v/>
      </c>
      <c r="AQ687" s="93" t="str">
        <f t="shared" si="1617"/>
        <v/>
      </c>
      <c r="AR687" s="93" t="str">
        <f t="shared" si="1617"/>
        <v/>
      </c>
      <c r="AS687" s="93" t="str">
        <f t="shared" si="1617"/>
        <v/>
      </c>
      <c r="AT687" s="1136" t="str">
        <f t="shared" si="1617"/>
        <v/>
      </c>
      <c r="AU687" s="93" t="str">
        <f t="shared" si="1617"/>
        <v/>
      </c>
      <c r="AV687" s="93" t="str">
        <f t="shared" si="1617"/>
        <v/>
      </c>
      <c r="AW687" s="93" t="str">
        <f t="shared" si="1617"/>
        <v/>
      </c>
      <c r="AX687" s="93" t="str">
        <f t="shared" si="1617"/>
        <v/>
      </c>
      <c r="AY687" s="1136" t="str">
        <f t="shared" si="1617"/>
        <v/>
      </c>
      <c r="AZ687" s="93" t="str">
        <f t="shared" si="1617"/>
        <v/>
      </c>
      <c r="BA687" s="93" t="str">
        <f t="shared" si="1617"/>
        <v/>
      </c>
      <c r="BB687" s="93" t="str">
        <f t="shared" si="1617"/>
        <v/>
      </c>
      <c r="BC687" s="93" t="str">
        <f t="shared" si="1617"/>
        <v/>
      </c>
      <c r="BD687" s="1136" t="str">
        <f t="shared" si="1617"/>
        <v/>
      </c>
      <c r="BE687" s="93" t="str">
        <f t="shared" si="1617"/>
        <v/>
      </c>
      <c r="BF687" s="93" t="str">
        <f t="shared" si="1617"/>
        <v/>
      </c>
      <c r="BG687" s="93" t="str">
        <f t="shared" si="1617"/>
        <v/>
      </c>
      <c r="BH687" s="93" t="str">
        <f t="shared" si="1617"/>
        <v/>
      </c>
      <c r="BI687" s="1136" t="str">
        <f t="shared" si="1617"/>
        <v/>
      </c>
      <c r="BJ687" s="93" t="str">
        <f t="shared" si="1617"/>
        <v/>
      </c>
      <c r="BK687" s="93" t="str">
        <f t="shared" si="1617"/>
        <v/>
      </c>
      <c r="BL687" s="93" t="str">
        <f t="shared" si="1617"/>
        <v/>
      </c>
      <c r="BM687" s="93" t="str">
        <f t="shared" ref="BM687:BS687" si="1618">IFERROR(ABS(BM685-BM684),"")</f>
        <v/>
      </c>
      <c r="BN687" s="1136" t="str">
        <f t="shared" si="1618"/>
        <v/>
      </c>
      <c r="BO687" s="93" t="str">
        <f t="shared" si="1618"/>
        <v/>
      </c>
      <c r="BP687" s="93" t="str">
        <f t="shared" si="1618"/>
        <v/>
      </c>
      <c r="BQ687" s="93" t="str">
        <f t="shared" si="1618"/>
        <v/>
      </c>
      <c r="BR687" s="93" t="str">
        <f t="shared" si="1618"/>
        <v/>
      </c>
      <c r="BS687" s="1136" t="str">
        <f t="shared" si="1618"/>
        <v/>
      </c>
      <c r="BT687" s="93" t="str">
        <f t="shared" ref="BT687:BY687" si="1619">IFERROR(ABS(BT685-BT684),"")</f>
        <v/>
      </c>
      <c r="BU687" s="93" t="str">
        <f t="shared" si="1619"/>
        <v/>
      </c>
      <c r="BV687" s="93" t="str">
        <f t="shared" si="1619"/>
        <v/>
      </c>
      <c r="BW687" s="93" t="str">
        <f t="shared" si="1619"/>
        <v/>
      </c>
      <c r="BX687" s="1136" t="str">
        <f t="shared" si="1619"/>
        <v/>
      </c>
      <c r="BY687" s="522" t="str">
        <f t="shared" si="1619"/>
        <v/>
      </c>
      <c r="BZ687" s="93"/>
      <c r="CA687" s="93"/>
      <c r="CB687" s="93"/>
      <c r="CC687" s="1136"/>
      <c r="CD687" s="93"/>
      <c r="CE687" s="93"/>
      <c r="CF687" s="93"/>
      <c r="CG687" s="93"/>
      <c r="CH687" s="1136"/>
      <c r="CI687" s="1136"/>
      <c r="CJ687" s="1136"/>
      <c r="CK687" s="1136"/>
      <c r="CL687" s="93"/>
    </row>
    <row r="688" spans="1:90" ht="15" hidden="1" customHeight="1" outlineLevel="2" x14ac:dyDescent="0.3">
      <c r="A688" s="647" t="s">
        <v>974</v>
      </c>
      <c r="B688" s="428"/>
      <c r="C688" s="1128"/>
      <c r="D688" s="1128"/>
      <c r="E688" s="1128"/>
      <c r="F688" s="1128"/>
      <c r="G688" s="315"/>
      <c r="H688" s="315"/>
      <c r="I688" s="315"/>
      <c r="J688" s="315"/>
      <c r="K688" s="1128"/>
      <c r="L688" s="315"/>
      <c r="M688" s="315"/>
      <c r="N688" s="315"/>
      <c r="O688" s="315"/>
      <c r="P688" s="1128"/>
      <c r="Q688" s="315"/>
      <c r="R688" s="315"/>
      <c r="S688" s="315"/>
      <c r="T688" s="315"/>
      <c r="U688" s="1128"/>
      <c r="V688" s="315"/>
      <c r="W688" s="315"/>
      <c r="X688" s="315"/>
      <c r="Y688" s="315"/>
      <c r="Z688" s="1128"/>
      <c r="AA688" s="315"/>
      <c r="AB688" s="315"/>
      <c r="AC688" s="315"/>
      <c r="AD688" s="315"/>
      <c r="AE688" s="1128"/>
      <c r="AF688" s="315"/>
      <c r="AG688" s="315"/>
      <c r="AH688" s="315" t="str">
        <f t="shared" ref="AH688:BL688" si="1620">IFERROR(ABS((AH685-AH686)/AH686),"")</f>
        <v/>
      </c>
      <c r="AI688" s="315" t="str">
        <f t="shared" si="1620"/>
        <v/>
      </c>
      <c r="AJ688" s="1128" t="str">
        <f t="shared" si="1620"/>
        <v/>
      </c>
      <c r="AK688" s="315" t="str">
        <f t="shared" si="1620"/>
        <v/>
      </c>
      <c r="AL688" s="315" t="str">
        <f t="shared" si="1620"/>
        <v/>
      </c>
      <c r="AM688" s="315" t="str">
        <f t="shared" si="1620"/>
        <v/>
      </c>
      <c r="AN688" s="315" t="str">
        <f t="shared" si="1620"/>
        <v/>
      </c>
      <c r="AO688" s="1128" t="str">
        <f t="shared" si="1620"/>
        <v/>
      </c>
      <c r="AP688" s="315" t="str">
        <f t="shared" si="1620"/>
        <v/>
      </c>
      <c r="AQ688" s="315" t="str">
        <f t="shared" si="1620"/>
        <v/>
      </c>
      <c r="AR688" s="315" t="str">
        <f t="shared" si="1620"/>
        <v/>
      </c>
      <c r="AS688" s="315" t="str">
        <f t="shared" si="1620"/>
        <v/>
      </c>
      <c r="AT688" s="1128" t="str">
        <f t="shared" si="1620"/>
        <v/>
      </c>
      <c r="AU688" s="315" t="str">
        <f t="shared" si="1620"/>
        <v/>
      </c>
      <c r="AV688" s="315" t="str">
        <f t="shared" si="1620"/>
        <v/>
      </c>
      <c r="AW688" s="315" t="str">
        <f t="shared" si="1620"/>
        <v/>
      </c>
      <c r="AX688" s="315" t="str">
        <f t="shared" si="1620"/>
        <v/>
      </c>
      <c r="AY688" s="1128" t="str">
        <f t="shared" si="1620"/>
        <v/>
      </c>
      <c r="AZ688" s="315" t="str">
        <f t="shared" si="1620"/>
        <v/>
      </c>
      <c r="BA688" s="315" t="str">
        <f t="shared" si="1620"/>
        <v/>
      </c>
      <c r="BB688" s="315" t="str">
        <f t="shared" si="1620"/>
        <v/>
      </c>
      <c r="BC688" s="315" t="str">
        <f t="shared" si="1620"/>
        <v/>
      </c>
      <c r="BD688" s="1128" t="str">
        <f t="shared" si="1620"/>
        <v/>
      </c>
      <c r="BE688" s="315" t="str">
        <f t="shared" si="1620"/>
        <v/>
      </c>
      <c r="BF688" s="315" t="str">
        <f t="shared" si="1620"/>
        <v/>
      </c>
      <c r="BG688" s="315" t="str">
        <f t="shared" si="1620"/>
        <v/>
      </c>
      <c r="BH688" s="315" t="str">
        <f t="shared" si="1620"/>
        <v/>
      </c>
      <c r="BI688" s="1128" t="str">
        <f t="shared" si="1620"/>
        <v/>
      </c>
      <c r="BJ688" s="315" t="str">
        <f t="shared" si="1620"/>
        <v/>
      </c>
      <c r="BK688" s="315" t="str">
        <f t="shared" si="1620"/>
        <v/>
      </c>
      <c r="BL688" s="315" t="str">
        <f t="shared" si="1620"/>
        <v/>
      </c>
      <c r="BM688" s="315" t="str">
        <f t="shared" ref="BM688:BS688" si="1621">IFERROR(ABS((BM685-BM686)/BM686),"")</f>
        <v/>
      </c>
      <c r="BN688" s="1128" t="str">
        <f t="shared" si="1621"/>
        <v/>
      </c>
      <c r="BO688" s="315" t="str">
        <f t="shared" si="1621"/>
        <v/>
      </c>
      <c r="BP688" s="315" t="str">
        <f t="shared" si="1621"/>
        <v/>
      </c>
      <c r="BQ688" s="315" t="str">
        <f t="shared" si="1621"/>
        <v/>
      </c>
      <c r="BR688" s="315" t="str">
        <f t="shared" si="1621"/>
        <v/>
      </c>
      <c r="BS688" s="1128" t="str">
        <f t="shared" si="1621"/>
        <v/>
      </c>
      <c r="BT688" s="315" t="str">
        <f t="shared" ref="BT688:BY688" si="1622">IFERROR(ABS((BT685-BT686)/BT686),"")</f>
        <v/>
      </c>
      <c r="BU688" s="315" t="str">
        <f t="shared" si="1622"/>
        <v/>
      </c>
      <c r="BV688" s="315" t="str">
        <f t="shared" si="1622"/>
        <v/>
      </c>
      <c r="BW688" s="315" t="str">
        <f t="shared" si="1622"/>
        <v/>
      </c>
      <c r="BX688" s="1128" t="str">
        <f t="shared" si="1622"/>
        <v/>
      </c>
      <c r="BY688" s="897" t="str">
        <f t="shared" si="1622"/>
        <v/>
      </c>
      <c r="BZ688" s="315"/>
      <c r="CA688" s="315"/>
      <c r="CB688" s="315"/>
      <c r="CC688" s="1128"/>
      <c r="CD688" s="315"/>
      <c r="CE688" s="315"/>
      <c r="CF688" s="315"/>
      <c r="CG688" s="315"/>
      <c r="CH688" s="1128"/>
      <c r="CI688" s="1128"/>
      <c r="CJ688" s="1128"/>
      <c r="CK688" s="1128"/>
      <c r="CL688" s="93"/>
    </row>
    <row r="689" spans="1:90" ht="15" hidden="1" customHeight="1" outlineLevel="3" x14ac:dyDescent="0.3">
      <c r="A689" s="648" t="s">
        <v>1014</v>
      </c>
      <c r="B689" s="112"/>
      <c r="C689" s="1115"/>
      <c r="D689" s="1115"/>
      <c r="E689" s="1115"/>
      <c r="F689" s="1115"/>
      <c r="G689" s="90"/>
      <c r="H689" s="90"/>
      <c r="I689" s="90"/>
      <c r="J689" s="90"/>
      <c r="K689" s="1115"/>
      <c r="L689" s="90"/>
      <c r="M689" s="90"/>
      <c r="N689" s="90"/>
      <c r="O689" s="90"/>
      <c r="P689" s="1115"/>
      <c r="Q689" s="90"/>
      <c r="R689" s="90"/>
      <c r="S689" s="90"/>
      <c r="T689" s="90"/>
      <c r="U689" s="1115"/>
      <c r="V689" s="90"/>
      <c r="W689" s="90"/>
      <c r="X689" s="90"/>
      <c r="Y689" s="90"/>
      <c r="Z689" s="1115"/>
      <c r="AA689" s="90"/>
      <c r="AB689" s="90"/>
      <c r="AC689" s="90"/>
      <c r="AD689" s="90"/>
      <c r="AE689" s="1115"/>
      <c r="AF689" s="90"/>
      <c r="AG689" s="90"/>
      <c r="AH689" s="90" t="str">
        <f>IFERROR(AH684/AE635-1,"")</f>
        <v/>
      </c>
      <c r="AI689" s="90" t="str">
        <f>IFERROR(AI684/AJ635-1,"")</f>
        <v/>
      </c>
      <c r="AJ689" s="1115" t="str">
        <f>IFERROR(AJ684/AJ635-1,"")</f>
        <v/>
      </c>
      <c r="AK689" s="90" t="str">
        <f>IFERROR(AK684/AJ635-1,"")</f>
        <v/>
      </c>
      <c r="AL689" s="90" t="str">
        <f>IFERROR(AL684/AJ635-1,"")</f>
        <v/>
      </c>
      <c r="AM689" s="90" t="str">
        <f>IFERROR(AM684/AJ635-1,"")</f>
        <v/>
      </c>
      <c r="AN689" s="90" t="str">
        <f>IFERROR(AN684/AO635-1,"")</f>
        <v/>
      </c>
      <c r="AO689" s="1115" t="str">
        <f>IFERROR(AO684/AO635-1,"")</f>
        <v/>
      </c>
      <c r="AP689" s="90" t="str">
        <f>IFERROR(AP684/AO635-1,"")</f>
        <v/>
      </c>
      <c r="AQ689" s="90" t="str">
        <f>IFERROR(AQ684/AO635-1,"")</f>
        <v/>
      </c>
      <c r="AR689" s="90" t="str">
        <f>IFERROR(AR684/AO635-1,"")</f>
        <v/>
      </c>
      <c r="AS689" s="90" t="str">
        <f>IFERROR(AS684/AT635-1,"")</f>
        <v/>
      </c>
      <c r="AT689" s="1115" t="str">
        <f>IFERROR(AT684/AT635-1,"")</f>
        <v/>
      </c>
      <c r="AU689" s="90" t="str">
        <f>IFERROR(AU684/AT635-1,"")</f>
        <v/>
      </c>
      <c r="AV689" s="90" t="str">
        <f>IFERROR(AV684/AT635-1,"")</f>
        <v/>
      </c>
      <c r="AW689" s="90" t="str">
        <f>IFERROR(AW684/AT635-1,"")</f>
        <v/>
      </c>
      <c r="AX689" s="90" t="str">
        <f>IFERROR(AX684/AY635-1,"")</f>
        <v/>
      </c>
      <c r="AY689" s="1115" t="str">
        <f>IFERROR(AY684/AY635-1,"")</f>
        <v/>
      </c>
      <c r="AZ689" s="90" t="str">
        <f>IFERROR(AZ684/AY635-1,"")</f>
        <v/>
      </c>
      <c r="BA689" s="90" t="str">
        <f>IFERROR(BA684/AY635-1,"")</f>
        <v/>
      </c>
      <c r="BB689" s="90" t="str">
        <f>IFERROR(BB684/AY635-1,"")</f>
        <v/>
      </c>
      <c r="BC689" s="90" t="str">
        <f>IFERROR(BC684/BD635-1,"")</f>
        <v/>
      </c>
      <c r="BD689" s="1115" t="str">
        <f>IFERROR(BD684/BD635-1,"")</f>
        <v/>
      </c>
      <c r="BE689" s="90" t="str">
        <f>IFERROR(BE684/BD635-1,"")</f>
        <v/>
      </c>
      <c r="BF689" s="90" t="str">
        <f>IFERROR(BF684/BD635-1,"")</f>
        <v/>
      </c>
      <c r="BG689" s="90" t="str">
        <f>IFERROR(BG684/BD635-1,"")</f>
        <v/>
      </c>
      <c r="BH689" s="90" t="str">
        <f>IFERROR(BH684/BI635-1,"")</f>
        <v/>
      </c>
      <c r="BI689" s="1115" t="str">
        <f>IFERROR(BI684/BI635-1,"")</f>
        <v/>
      </c>
      <c r="BJ689" s="90" t="str">
        <f>IFERROR(BJ684/BI635-1,"")</f>
        <v/>
      </c>
      <c r="BK689" s="90" t="str">
        <f>IFERROR(BK684/BI635-1,"")</f>
        <v/>
      </c>
      <c r="BL689" s="90" t="str">
        <f>IFERROR(BL684/BI635-1,"")</f>
        <v/>
      </c>
      <c r="BM689" s="90" t="str">
        <f>IFERROR(BM684/BN635-1,"")</f>
        <v/>
      </c>
      <c r="BN689" s="1115" t="str">
        <f>IFERROR(BN684/BN635-1,"")</f>
        <v/>
      </c>
      <c r="BO689" s="90" t="str">
        <f>IFERROR(BO684/BN635-1,"")</f>
        <v/>
      </c>
      <c r="BP689" s="90" t="str">
        <f>IFERROR(BP684/BN635-1,"")</f>
        <v/>
      </c>
      <c r="BQ689" s="90" t="str">
        <f>IFERROR(BQ684/BN635-1,"")</f>
        <v/>
      </c>
      <c r="BR689" s="90" t="str">
        <f>IFERROR(BR684/BS635-1,"")</f>
        <v/>
      </c>
      <c r="BS689" s="1115" t="str">
        <f>IFERROR(BS684/BS635-1,"")</f>
        <v/>
      </c>
      <c r="BT689" s="90" t="str">
        <f>IFERROR(BT684/BS635-1,"")</f>
        <v/>
      </c>
      <c r="BU689" s="90" t="str">
        <f>IFERROR(BU684/BS635-1,"")</f>
        <v/>
      </c>
      <c r="BV689" s="90" t="str">
        <f>IFERROR(BV684/BS635-1,"")</f>
        <v/>
      </c>
      <c r="BW689" s="90" t="str">
        <f>IFERROR(BW684/BX635-1,"")</f>
        <v/>
      </c>
      <c r="BX689" s="1115" t="str">
        <f>IFERROR(BX684/BX635-1,"")</f>
        <v/>
      </c>
      <c r="BY689" s="892" t="str">
        <f>IFERROR(BY684/BX635-1,"")</f>
        <v/>
      </c>
      <c r="BZ689" s="90"/>
      <c r="CA689" s="90"/>
      <c r="CB689" s="90"/>
      <c r="CC689" s="1115"/>
      <c r="CD689" s="90"/>
      <c r="CE689" s="90"/>
      <c r="CF689" s="90"/>
      <c r="CG689" s="90"/>
      <c r="CH689" s="1115"/>
      <c r="CI689" s="1115"/>
      <c r="CJ689" s="1115"/>
      <c r="CK689" s="1115"/>
      <c r="CL689" s="93"/>
    </row>
    <row r="690" spans="1:90" ht="15" hidden="1" customHeight="1" outlineLevel="3" x14ac:dyDescent="0.3">
      <c r="A690" s="810" t="s">
        <v>1015</v>
      </c>
      <c r="B690" s="804"/>
      <c r="C690" s="1196"/>
      <c r="D690" s="1196"/>
      <c r="E690" s="1196"/>
      <c r="F690" s="1196"/>
      <c r="G690" s="805"/>
      <c r="H690" s="805"/>
      <c r="I690" s="805"/>
      <c r="J690" s="805"/>
      <c r="K690" s="1196"/>
      <c r="L690" s="805"/>
      <c r="M690" s="805"/>
      <c r="N690" s="805"/>
      <c r="O690" s="805"/>
      <c r="P690" s="1196"/>
      <c r="Q690" s="805"/>
      <c r="R690" s="805"/>
      <c r="S690" s="805"/>
      <c r="T690" s="805"/>
      <c r="U690" s="1196"/>
      <c r="V690" s="805"/>
      <c r="W690" s="805"/>
      <c r="X690" s="805"/>
      <c r="Y690" s="805"/>
      <c r="Z690" s="1196"/>
      <c r="AA690" s="805"/>
      <c r="AB690" s="805"/>
      <c r="AC690" s="805"/>
      <c r="AD690" s="805"/>
      <c r="AE690" s="1196"/>
      <c r="AF690" s="805"/>
      <c r="AG690" s="805"/>
      <c r="AH690" s="805" t="str">
        <f>IFERROR(AH685/AE635-1,"")</f>
        <v/>
      </c>
      <c r="AI690" s="805" t="str">
        <f>IFERROR(AI685/AJ635-1,"")</f>
        <v/>
      </c>
      <c r="AJ690" s="1196" t="str">
        <f>IFERROR(AJ685/AJ635-1,"")</f>
        <v/>
      </c>
      <c r="AK690" s="805" t="str">
        <f>IFERROR(AK685/AJ635-1,"")</f>
        <v/>
      </c>
      <c r="AL690" s="805" t="str">
        <f>IFERROR(AL685/AJ635-1,"")</f>
        <v/>
      </c>
      <c r="AM690" s="805" t="str">
        <f>IFERROR(AM685/AJ635-1,"")</f>
        <v/>
      </c>
      <c r="AN690" s="805" t="str">
        <f>IFERROR(AN685/AO635-1,"")</f>
        <v/>
      </c>
      <c r="AO690" s="1196" t="str">
        <f>IFERROR(AO685/AO635-1,"")</f>
        <v/>
      </c>
      <c r="AP690" s="805" t="str">
        <f>IFERROR(AP685/AO635-1,"")</f>
        <v/>
      </c>
      <c r="AQ690" s="805" t="str">
        <f>IFERROR(AQ685/AO635-1,"")</f>
        <v/>
      </c>
      <c r="AR690" s="805" t="str">
        <f>IFERROR(AR685/AO635-1,"")</f>
        <v/>
      </c>
      <c r="AS690" s="805" t="str">
        <f>IFERROR(AS685/AT635-1,"")</f>
        <v/>
      </c>
      <c r="AT690" s="1196" t="str">
        <f>IFERROR(AT685/AT635-1,"")</f>
        <v/>
      </c>
      <c r="AU690" s="805" t="str">
        <f>IFERROR(AU685/AT635-1,"")</f>
        <v/>
      </c>
      <c r="AV690" s="805" t="str">
        <f>IFERROR(AV685/AT635-1,"")</f>
        <v/>
      </c>
      <c r="AW690" s="805" t="str">
        <f>IFERROR(AW685/AT635-1,"")</f>
        <v/>
      </c>
      <c r="AX690" s="805" t="str">
        <f>IFERROR(AX685/AY635-1,"")</f>
        <v/>
      </c>
      <c r="AY690" s="1196" t="str">
        <f>IFERROR(AY685/AY635-1,"")</f>
        <v/>
      </c>
      <c r="AZ690" s="805" t="str">
        <f>IFERROR(AZ685/AY635-1,"")</f>
        <v/>
      </c>
      <c r="BA690" s="805" t="str">
        <f>IFERROR(BA685/AY635-1,"")</f>
        <v/>
      </c>
      <c r="BB690" s="805" t="str">
        <f>IFERROR(BB685/AY635-1,"")</f>
        <v/>
      </c>
      <c r="BC690" s="805" t="str">
        <f>IFERROR(BC685/BD635-1,"")</f>
        <v/>
      </c>
      <c r="BD690" s="1196" t="str">
        <f>IFERROR(BD685/BD635-1,"")</f>
        <v/>
      </c>
      <c r="BE690" s="805" t="str">
        <f>IFERROR(BE685/BD635-1,"")</f>
        <v/>
      </c>
      <c r="BF690" s="805" t="str">
        <f>IFERROR(BF685/BD635-1,"")</f>
        <v/>
      </c>
      <c r="BG690" s="805" t="str">
        <f>IFERROR(BG685/BD635-1,"")</f>
        <v/>
      </c>
      <c r="BH690" s="805" t="str">
        <f>IFERROR(BH685/BI635-1,"")</f>
        <v/>
      </c>
      <c r="BI690" s="1196" t="str">
        <f>IFERROR(BI685/BI635-1,"")</f>
        <v/>
      </c>
      <c r="BJ690" s="805" t="str">
        <f>IFERROR(BJ685/BI635-1,"")</f>
        <v/>
      </c>
      <c r="BK690" s="805" t="str">
        <f>IFERROR(BK685/BI635-1,"")</f>
        <v/>
      </c>
      <c r="BL690" s="805" t="str">
        <f>IFERROR(BL685/BI635-1,"")</f>
        <v/>
      </c>
      <c r="BM690" s="805" t="str">
        <f>IFERROR(BM685/BN635-1,"")</f>
        <v/>
      </c>
      <c r="BN690" s="1196" t="str">
        <f>IFERROR(BN685/BN635-1,"")</f>
        <v/>
      </c>
      <c r="BO690" s="805" t="str">
        <f>IFERROR(BO685/BN635-1,"")</f>
        <v/>
      </c>
      <c r="BP690" s="805" t="str">
        <f>IFERROR(BP685/BN635-1,"")</f>
        <v/>
      </c>
      <c r="BQ690" s="805" t="str">
        <f>IFERROR(BQ685/BN635-1,"")</f>
        <v/>
      </c>
      <c r="BR690" s="805" t="str">
        <f>IFERROR(BR685/BS635-1,"")</f>
        <v/>
      </c>
      <c r="BS690" s="1196" t="str">
        <f>IFERROR(BS685/BS635-1,"")</f>
        <v/>
      </c>
      <c r="BT690" s="805" t="str">
        <f>IFERROR(BT685/BS635-1,"")</f>
        <v/>
      </c>
      <c r="BU690" s="805" t="str">
        <f>IFERROR(BU685/BS635-1,"")</f>
        <v/>
      </c>
      <c r="BV690" s="805" t="str">
        <f>IFERROR(BV685/BS635-1,"")</f>
        <v/>
      </c>
      <c r="BW690" s="805" t="str">
        <f>IFERROR(BW685/BX635-1,"")</f>
        <v/>
      </c>
      <c r="BX690" s="1196" t="str">
        <f>IFERROR(BX685/BX635-1,"")</f>
        <v/>
      </c>
      <c r="BY690" s="928" t="str">
        <f>IFERROR(BY685/BX635-1,"")</f>
        <v/>
      </c>
      <c r="BZ690" s="805"/>
      <c r="CA690" s="805"/>
      <c r="CB690" s="805"/>
      <c r="CC690" s="1196"/>
      <c r="CD690" s="805"/>
      <c r="CE690" s="805"/>
      <c r="CF690" s="805"/>
      <c r="CG690" s="805"/>
      <c r="CH690" s="1196"/>
      <c r="CI690" s="1196"/>
      <c r="CJ690" s="1196"/>
      <c r="CK690" s="1196"/>
      <c r="CL690" s="93"/>
    </row>
    <row r="691" spans="1:90" ht="15" hidden="1" customHeight="1" outlineLevel="2" collapsed="1" x14ac:dyDescent="0.3">
      <c r="A691" s="371" t="s">
        <v>1016</v>
      </c>
      <c r="B691" s="112"/>
      <c r="C691" s="1115"/>
      <c r="D691" s="1115"/>
      <c r="E691" s="1115"/>
      <c r="F691" s="1115"/>
      <c r="G691" s="90"/>
      <c r="H691" s="90"/>
      <c r="I691" s="90"/>
      <c r="J691" s="90"/>
      <c r="K691" s="1115"/>
      <c r="L691" s="90"/>
      <c r="M691" s="90"/>
      <c r="N691" s="90"/>
      <c r="O691" s="90"/>
      <c r="P691" s="1115"/>
      <c r="Q691" s="90"/>
      <c r="R691" s="90"/>
      <c r="S691" s="90"/>
      <c r="T691" s="90"/>
      <c r="U691" s="1115"/>
      <c r="V691" s="90"/>
      <c r="W691" s="90"/>
      <c r="X691" s="90"/>
      <c r="Y691" s="90"/>
      <c r="Z691" s="1115"/>
      <c r="AA691" s="90"/>
      <c r="AB691" s="90"/>
      <c r="AC691" s="90"/>
      <c r="AD691" s="90"/>
      <c r="AE691" s="1115"/>
      <c r="AF691" s="90"/>
      <c r="AG691" s="90"/>
      <c r="AH691" s="90" t="str">
        <f>IFERROR(AH686/AE635-1,"")</f>
        <v/>
      </c>
      <c r="AI691" s="90" t="str">
        <f>IFERROR(AI686/AJ635-1,"")</f>
        <v/>
      </c>
      <c r="AJ691" s="1115" t="str">
        <f>IFERROR(AJ686/AJ635-1,"")</f>
        <v/>
      </c>
      <c r="AK691" s="90" t="str">
        <f>IFERROR(AK686/AJ635-1,"")</f>
        <v/>
      </c>
      <c r="AL691" s="90" t="str">
        <f>IFERROR(AL686/AJ635-1,"")</f>
        <v/>
      </c>
      <c r="AM691" s="90" t="str">
        <f>IFERROR(AM686/AJ635-1,"")</f>
        <v/>
      </c>
      <c r="AN691" s="90" t="str">
        <f>IFERROR(AN686/AO635-1,"")</f>
        <v/>
      </c>
      <c r="AO691" s="1115" t="str">
        <f>IFERROR(AO686/AO635-1,"")</f>
        <v/>
      </c>
      <c r="AP691" s="90" t="str">
        <f>IFERROR(AP686/AO635-1,"")</f>
        <v/>
      </c>
      <c r="AQ691" s="90" t="str">
        <f>IFERROR(AQ686/AO635-1,"")</f>
        <v/>
      </c>
      <c r="AR691" s="90" t="str">
        <f>IFERROR(AR686/AO635-1,"")</f>
        <v/>
      </c>
      <c r="AS691" s="90" t="str">
        <f>IFERROR(AS686/AT635-1,"")</f>
        <v/>
      </c>
      <c r="AT691" s="1115" t="str">
        <f>IFERROR(AT686/AT635-1,"")</f>
        <v/>
      </c>
      <c r="AU691" s="90" t="str">
        <f>IFERROR(AU686/AT635-1,"")</f>
        <v/>
      </c>
      <c r="AV691" s="90" t="str">
        <f>IFERROR(AV686/AT635-1,"")</f>
        <v/>
      </c>
      <c r="AW691" s="90" t="str">
        <f>IFERROR(AW686/AT635-1,"")</f>
        <v/>
      </c>
      <c r="AX691" s="90" t="str">
        <f>IFERROR(AX686/AY635-1,"")</f>
        <v/>
      </c>
      <c r="AY691" s="1115" t="str">
        <f>IFERROR(AY686/AY635-1,"")</f>
        <v/>
      </c>
      <c r="AZ691" s="90" t="str">
        <f>IFERROR(AZ686/AY635-1,"")</f>
        <v/>
      </c>
      <c r="BA691" s="90" t="str">
        <f>IFERROR(BA686/AY635-1,"")</f>
        <v/>
      </c>
      <c r="BB691" s="90" t="str">
        <f>IFERROR(BB686/AY635-1,"")</f>
        <v/>
      </c>
      <c r="BC691" s="90" t="str">
        <f>IFERROR(BC686/BD635-1,"")</f>
        <v/>
      </c>
      <c r="BD691" s="1115" t="str">
        <f>IFERROR(BD686/BD635-1,"")</f>
        <v/>
      </c>
      <c r="BE691" s="90" t="str">
        <f>IFERROR(BE686/BD635-1,"")</f>
        <v/>
      </c>
      <c r="BF691" s="90" t="str">
        <f>IFERROR(BF686/BD635-1,"")</f>
        <v/>
      </c>
      <c r="BG691" s="90" t="str">
        <f>IFERROR(BG686/BD635-1,"")</f>
        <v/>
      </c>
      <c r="BH691" s="90" t="str">
        <f>IFERROR(BH686/BI635-1,"")</f>
        <v/>
      </c>
      <c r="BI691" s="1115" t="str">
        <f>IFERROR(BI686/BI635-1,"")</f>
        <v/>
      </c>
      <c r="BJ691" s="90" t="str">
        <f>IFERROR(BJ686/BI635-1,"")</f>
        <v/>
      </c>
      <c r="BK691" s="90" t="str">
        <f>IFERROR(BK686/BI635-1,"")</f>
        <v/>
      </c>
      <c r="BL691" s="90" t="str">
        <f>IFERROR(BL686/BI635-1,"")</f>
        <v/>
      </c>
      <c r="BM691" s="90" t="str">
        <f>IFERROR(BM686/BN635-1,"")</f>
        <v/>
      </c>
      <c r="BN691" s="1115" t="str">
        <f>IFERROR(BN686/BN635-1,"")</f>
        <v/>
      </c>
      <c r="BO691" s="90" t="str">
        <f>IFERROR(BO686/BN635-1,"")</f>
        <v/>
      </c>
      <c r="BP691" s="90" t="str">
        <f>IFERROR(BP686/BN635-1,"")</f>
        <v/>
      </c>
      <c r="BQ691" s="90" t="str">
        <f>IFERROR(BQ686/BN635-1,"")</f>
        <v/>
      </c>
      <c r="BR691" s="90" t="str">
        <f>IFERROR(BR686/BS635-1,"")</f>
        <v/>
      </c>
      <c r="BS691" s="1115" t="str">
        <f>IFERROR(BS686/BS635-1,"")</f>
        <v/>
      </c>
      <c r="BT691" s="90" t="str">
        <f>IFERROR(BT686/BS635-1,"")</f>
        <v/>
      </c>
      <c r="BU691" s="90" t="str">
        <f>IFERROR(BU686/BS635-1,"")</f>
        <v/>
      </c>
      <c r="BV691" s="90" t="str">
        <f>IFERROR(BV686/BS635-1,"")</f>
        <v/>
      </c>
      <c r="BW691" s="90" t="str">
        <f>IFERROR(BW686/BX635-1,"")</f>
        <v/>
      </c>
      <c r="BX691" s="1115" t="str">
        <f>IFERROR(BX686/BX635-1,"")</f>
        <v/>
      </c>
      <c r="BY691" s="892" t="str">
        <f>IFERROR(BY686/BX635-1,"")</f>
        <v/>
      </c>
      <c r="BZ691" s="90"/>
      <c r="CA691" s="90"/>
      <c r="CB691" s="90"/>
      <c r="CC691" s="1115"/>
      <c r="CD691" s="90"/>
      <c r="CE691" s="90"/>
      <c r="CF691" s="90"/>
      <c r="CG691" s="90"/>
      <c r="CH691" s="1115"/>
      <c r="CI691" s="1115"/>
      <c r="CJ691" s="1115"/>
      <c r="CK691" s="1115"/>
      <c r="CL691" s="93"/>
    </row>
    <row r="692" spans="1:90" ht="15" hidden="1" customHeight="1" outlineLevel="2" x14ac:dyDescent="0.3">
      <c r="A692" s="799"/>
      <c r="B692" s="428"/>
      <c r="C692" s="1136"/>
      <c r="D692" s="1136"/>
      <c r="E692" s="1136"/>
      <c r="F692" s="1136"/>
      <c r="G692" s="93"/>
      <c r="H692" s="93"/>
      <c r="I692" s="93"/>
      <c r="J692" s="93"/>
      <c r="K692" s="1136"/>
      <c r="L692" s="93"/>
      <c r="M692" s="93"/>
      <c r="N692" s="93"/>
      <c r="O692" s="93"/>
      <c r="P692" s="1136"/>
      <c r="Q692" s="93"/>
      <c r="R692" s="93"/>
      <c r="S692" s="93"/>
      <c r="T692" s="93"/>
      <c r="U692" s="1136"/>
      <c r="V692" s="93"/>
      <c r="W692" s="93"/>
      <c r="X692" s="93"/>
      <c r="Y692" s="93"/>
      <c r="Z692" s="1136"/>
      <c r="AA692" s="93"/>
      <c r="AB692" s="93"/>
      <c r="AC692" s="93"/>
      <c r="AD692" s="93"/>
      <c r="AE692" s="1136"/>
      <c r="AF692" s="93"/>
      <c r="AG692" s="93"/>
      <c r="AH692" s="93"/>
      <c r="AI692" s="93"/>
      <c r="AJ692" s="1136"/>
      <c r="AK692" s="93"/>
      <c r="AL692" s="93"/>
      <c r="AM692" s="93"/>
      <c r="AN692" s="93"/>
      <c r="AO692" s="1136"/>
      <c r="AP692" s="93"/>
      <c r="AQ692" s="93"/>
      <c r="AR692" s="93"/>
      <c r="AS692" s="93"/>
      <c r="AT692" s="1136"/>
      <c r="AU692" s="93"/>
      <c r="AV692" s="93"/>
      <c r="AW692" s="93"/>
      <c r="AX692" s="93"/>
      <c r="AY692" s="1136"/>
      <c r="AZ692" s="93"/>
      <c r="BA692" s="93"/>
      <c r="BB692" s="93"/>
      <c r="BC692" s="93"/>
      <c r="BD692" s="1136"/>
      <c r="BE692" s="93"/>
      <c r="BF692" s="93"/>
      <c r="BG692" s="93"/>
      <c r="BH692" s="93"/>
      <c r="BI692" s="1136"/>
      <c r="BJ692" s="93"/>
      <c r="BK692" s="93"/>
      <c r="BL692" s="93"/>
      <c r="BM692" s="93"/>
      <c r="BN692" s="1136"/>
      <c r="BO692" s="93"/>
      <c r="BP692" s="93"/>
      <c r="BQ692" s="93"/>
      <c r="BR692" s="93"/>
      <c r="BS692" s="1136"/>
      <c r="BT692" s="93"/>
      <c r="BU692" s="93"/>
      <c r="BV692" s="93"/>
      <c r="BW692" s="93"/>
      <c r="BX692" s="1136"/>
      <c r="BY692" s="522"/>
      <c r="BZ692" s="93"/>
      <c r="CA692" s="93"/>
      <c r="CB692" s="93"/>
      <c r="CC692" s="1136"/>
      <c r="CD692" s="93"/>
      <c r="CE692" s="93"/>
      <c r="CF692" s="93"/>
      <c r="CG692" s="93"/>
      <c r="CH692" s="1136"/>
      <c r="CI692" s="1136"/>
      <c r="CJ692" s="1136"/>
      <c r="CK692" s="1136"/>
      <c r="CL692" s="93"/>
    </row>
    <row r="693" spans="1:90" ht="15" hidden="1" customHeight="1" outlineLevel="3" x14ac:dyDescent="0.3">
      <c r="A693" s="647" t="s">
        <v>995</v>
      </c>
      <c r="B693" s="428"/>
      <c r="C693" s="1128"/>
      <c r="D693" s="1128"/>
      <c r="E693" s="1128"/>
      <c r="F693" s="1128"/>
      <c r="G693" s="315"/>
      <c r="H693" s="315"/>
      <c r="I693" s="315"/>
      <c r="J693" s="315"/>
      <c r="K693" s="1128"/>
      <c r="L693" s="315"/>
      <c r="M693" s="315"/>
      <c r="N693" s="315"/>
      <c r="O693" s="315"/>
      <c r="P693" s="1128"/>
      <c r="Q693" s="315"/>
      <c r="R693" s="315"/>
      <c r="S693" s="315"/>
      <c r="T693" s="315"/>
      <c r="U693" s="1128"/>
      <c r="V693" s="315"/>
      <c r="W693" s="315"/>
      <c r="X693" s="315"/>
      <c r="Y693" s="315"/>
      <c r="Z693" s="1128"/>
      <c r="AA693" s="315"/>
      <c r="AB693" s="315"/>
      <c r="AC693" s="315"/>
      <c r="AD693" s="315"/>
      <c r="AE693" s="1128"/>
      <c r="AF693" s="315"/>
      <c r="AG693" s="315"/>
      <c r="AH693" s="315" t="str">
        <f t="shared" ref="AH693" si="1623">+AH1116</f>
        <v>NR</v>
      </c>
      <c r="AI693" s="315" t="str">
        <f t="shared" ref="AI693:BL693" si="1624">+AI1116</f>
        <v>NR</v>
      </c>
      <c r="AJ693" s="1128" t="str">
        <f t="shared" si="1624"/>
        <v>NR</v>
      </c>
      <c r="AK693" s="315" t="str">
        <f t="shared" si="1624"/>
        <v>NR</v>
      </c>
      <c r="AL693" s="315" t="str">
        <f t="shared" si="1624"/>
        <v>NR</v>
      </c>
      <c r="AM693" s="315" t="str">
        <f t="shared" si="1624"/>
        <v>NR</v>
      </c>
      <c r="AN693" s="315" t="str">
        <f t="shared" si="1624"/>
        <v>NR</v>
      </c>
      <c r="AO693" s="1128" t="str">
        <f t="shared" si="1624"/>
        <v>NR</v>
      </c>
      <c r="AP693" s="315" t="str">
        <f t="shared" si="1624"/>
        <v>NR</v>
      </c>
      <c r="AQ693" s="315" t="str">
        <f t="shared" si="1624"/>
        <v>NR</v>
      </c>
      <c r="AR693" s="315" t="str">
        <f t="shared" si="1624"/>
        <v>NR</v>
      </c>
      <c r="AS693" s="315" t="str">
        <f t="shared" si="1624"/>
        <v>NR</v>
      </c>
      <c r="AT693" s="1128" t="str">
        <f t="shared" si="1624"/>
        <v>NR</v>
      </c>
      <c r="AU693" s="315" t="str">
        <f t="shared" si="1624"/>
        <v>NR</v>
      </c>
      <c r="AV693" s="315" t="str">
        <f t="shared" si="1624"/>
        <v>NR</v>
      </c>
      <c r="AW693" s="315" t="str">
        <f t="shared" si="1624"/>
        <v>NR</v>
      </c>
      <c r="AX693" s="315" t="str">
        <f t="shared" si="1624"/>
        <v>NR</v>
      </c>
      <c r="AY693" s="1128" t="str">
        <f t="shared" si="1624"/>
        <v>NR</v>
      </c>
      <c r="AZ693" s="315" t="str">
        <f t="shared" si="1624"/>
        <v>NR</v>
      </c>
      <c r="BA693" s="315" t="str">
        <f t="shared" si="1624"/>
        <v>NR</v>
      </c>
      <c r="BB693" s="315" t="str">
        <f t="shared" si="1624"/>
        <v>NR</v>
      </c>
      <c r="BC693" s="315" t="str">
        <f t="shared" si="1624"/>
        <v>NR</v>
      </c>
      <c r="BD693" s="1128" t="str">
        <f t="shared" si="1624"/>
        <v>NR</v>
      </c>
      <c r="BE693" s="315" t="str">
        <f t="shared" si="1624"/>
        <v>NR</v>
      </c>
      <c r="BF693" s="315" t="str">
        <f t="shared" si="1624"/>
        <v>NR</v>
      </c>
      <c r="BG693" s="315" t="str">
        <f t="shared" si="1624"/>
        <v>NR</v>
      </c>
      <c r="BH693" s="315" t="str">
        <f t="shared" si="1624"/>
        <v>NR</v>
      </c>
      <c r="BI693" s="1128" t="str">
        <f t="shared" si="1624"/>
        <v>NR</v>
      </c>
      <c r="BJ693" s="315" t="str">
        <f t="shared" si="1624"/>
        <v>NR</v>
      </c>
      <c r="BK693" s="315" t="str">
        <f t="shared" si="1624"/>
        <v>NR</v>
      </c>
      <c r="BL693" s="315" t="str">
        <f t="shared" si="1624"/>
        <v>NR</v>
      </c>
      <c r="BM693" s="315" t="str">
        <f t="shared" ref="BM693:BO694" si="1625">+BM1116</f>
        <v>NR</v>
      </c>
      <c r="BN693" s="1128" t="str">
        <f t="shared" si="1625"/>
        <v>NR</v>
      </c>
      <c r="BO693" s="315">
        <f t="shared" si="1625"/>
        <v>0.74</v>
      </c>
      <c r="BP693" s="315">
        <f t="shared" ref="BP693:BS694" si="1626">+BP1116</f>
        <v>0.74</v>
      </c>
      <c r="BQ693" s="315" t="str">
        <f t="shared" si="1626"/>
        <v>NR</v>
      </c>
      <c r="BR693" s="315" t="str">
        <f t="shared" si="1626"/>
        <v>NR</v>
      </c>
      <c r="BS693" s="1128" t="str">
        <f t="shared" si="1626"/>
        <v>NR</v>
      </c>
      <c r="BT693" s="315" t="str">
        <f t="shared" ref="BT693:BV694" si="1627">+BT1116</f>
        <v>NR</v>
      </c>
      <c r="BU693" s="315" t="str">
        <f t="shared" si="1627"/>
        <v>NR</v>
      </c>
      <c r="BV693" s="315" t="str">
        <f t="shared" si="1627"/>
        <v>NR</v>
      </c>
      <c r="BW693" s="315" t="str">
        <f t="shared" ref="BW693:BY694" si="1628">+BW1116</f>
        <v>NR</v>
      </c>
      <c r="BX693" s="1128" t="str">
        <f t="shared" si="1628"/>
        <v>NR</v>
      </c>
      <c r="BY693" s="897" t="str">
        <f t="shared" si="1628"/>
        <v>NR</v>
      </c>
      <c r="BZ693" s="315"/>
      <c r="CA693" s="315"/>
      <c r="CB693" s="315"/>
      <c r="CC693" s="1128"/>
      <c r="CD693" s="315"/>
      <c r="CE693" s="315"/>
      <c r="CF693" s="315"/>
      <c r="CG693" s="315"/>
      <c r="CH693" s="1128"/>
      <c r="CI693" s="1128"/>
      <c r="CJ693" s="1128"/>
      <c r="CK693" s="1128"/>
      <c r="CL693" s="93"/>
    </row>
    <row r="694" spans="1:90" ht="15" hidden="1" customHeight="1" outlineLevel="3" x14ac:dyDescent="0.3">
      <c r="A694" s="816" t="s">
        <v>996</v>
      </c>
      <c r="B694" s="718"/>
      <c r="C694" s="1138"/>
      <c r="D694" s="1138"/>
      <c r="E694" s="1138"/>
      <c r="F694" s="1138"/>
      <c r="G694" s="699"/>
      <c r="H694" s="699"/>
      <c r="I694" s="699"/>
      <c r="J694" s="699"/>
      <c r="K694" s="1138"/>
      <c r="L694" s="699"/>
      <c r="M694" s="699"/>
      <c r="N694" s="699"/>
      <c r="O694" s="699"/>
      <c r="P694" s="1138"/>
      <c r="Q694" s="699"/>
      <c r="R694" s="699"/>
      <c r="S694" s="699"/>
      <c r="T694" s="699"/>
      <c r="U694" s="1138"/>
      <c r="V694" s="699"/>
      <c r="W694" s="699"/>
      <c r="X694" s="699"/>
      <c r="Y694" s="699"/>
      <c r="Z694" s="1138"/>
      <c r="AA694" s="699"/>
      <c r="AB694" s="699"/>
      <c r="AC694" s="699"/>
      <c r="AD694" s="699"/>
      <c r="AE694" s="1138"/>
      <c r="AF694" s="699"/>
      <c r="AG694" s="699"/>
      <c r="AH694" s="699" t="str">
        <f t="shared" ref="AH694" si="1629">+AH1117</f>
        <v>NR</v>
      </c>
      <c r="AI694" s="699" t="str">
        <f t="shared" ref="AI694:BL694" si="1630">+AI1117</f>
        <v>NR</v>
      </c>
      <c r="AJ694" s="1138" t="str">
        <f t="shared" si="1630"/>
        <v>NR</v>
      </c>
      <c r="AK694" s="699" t="str">
        <f t="shared" si="1630"/>
        <v>NR</v>
      </c>
      <c r="AL694" s="699" t="str">
        <f t="shared" si="1630"/>
        <v>NR</v>
      </c>
      <c r="AM694" s="699" t="str">
        <f t="shared" si="1630"/>
        <v>NR</v>
      </c>
      <c r="AN694" s="699" t="str">
        <f t="shared" si="1630"/>
        <v>NR</v>
      </c>
      <c r="AO694" s="1138" t="str">
        <f t="shared" si="1630"/>
        <v>NR</v>
      </c>
      <c r="AP694" s="699" t="str">
        <f t="shared" si="1630"/>
        <v>NR</v>
      </c>
      <c r="AQ694" s="699" t="str">
        <f t="shared" si="1630"/>
        <v>NR</v>
      </c>
      <c r="AR694" s="699" t="str">
        <f t="shared" si="1630"/>
        <v>NR</v>
      </c>
      <c r="AS694" s="699" t="str">
        <f t="shared" si="1630"/>
        <v>NR</v>
      </c>
      <c r="AT694" s="1138" t="str">
        <f t="shared" si="1630"/>
        <v>NR</v>
      </c>
      <c r="AU694" s="699" t="str">
        <f t="shared" si="1630"/>
        <v>NR</v>
      </c>
      <c r="AV694" s="699" t="str">
        <f t="shared" si="1630"/>
        <v>NR</v>
      </c>
      <c r="AW694" s="699" t="str">
        <f t="shared" si="1630"/>
        <v>NR</v>
      </c>
      <c r="AX694" s="699" t="str">
        <f t="shared" si="1630"/>
        <v>NR</v>
      </c>
      <c r="AY694" s="1138" t="str">
        <f t="shared" si="1630"/>
        <v>NR</v>
      </c>
      <c r="AZ694" s="699" t="str">
        <f t="shared" si="1630"/>
        <v>NR</v>
      </c>
      <c r="BA694" s="699" t="str">
        <f t="shared" si="1630"/>
        <v>NR</v>
      </c>
      <c r="BB694" s="699" t="str">
        <f t="shared" si="1630"/>
        <v>NR</v>
      </c>
      <c r="BC694" s="699" t="str">
        <f t="shared" si="1630"/>
        <v>NR</v>
      </c>
      <c r="BD694" s="1138" t="str">
        <f t="shared" si="1630"/>
        <v>NR</v>
      </c>
      <c r="BE694" s="699" t="str">
        <f t="shared" si="1630"/>
        <v>NR</v>
      </c>
      <c r="BF694" s="699" t="str">
        <f t="shared" si="1630"/>
        <v>NR</v>
      </c>
      <c r="BG694" s="699" t="str">
        <f t="shared" si="1630"/>
        <v>NR</v>
      </c>
      <c r="BH694" s="699" t="str">
        <f t="shared" si="1630"/>
        <v>NR</v>
      </c>
      <c r="BI694" s="1138" t="str">
        <f t="shared" si="1630"/>
        <v>NR</v>
      </c>
      <c r="BJ694" s="699" t="str">
        <f t="shared" si="1630"/>
        <v>NR</v>
      </c>
      <c r="BK694" s="699" t="str">
        <f t="shared" si="1630"/>
        <v>NR</v>
      </c>
      <c r="BL694" s="699" t="str">
        <f t="shared" si="1630"/>
        <v>NR</v>
      </c>
      <c r="BM694" s="699" t="str">
        <f t="shared" si="1625"/>
        <v>NR</v>
      </c>
      <c r="BN694" s="1138" t="str">
        <f t="shared" si="1625"/>
        <v>NR</v>
      </c>
      <c r="BO694" s="699">
        <f t="shared" si="1625"/>
        <v>0.76</v>
      </c>
      <c r="BP694" s="699">
        <f t="shared" si="1626"/>
        <v>0.76</v>
      </c>
      <c r="BQ694" s="699" t="str">
        <f t="shared" si="1626"/>
        <v>NR</v>
      </c>
      <c r="BR694" s="699" t="str">
        <f t="shared" si="1626"/>
        <v>NR</v>
      </c>
      <c r="BS694" s="1138" t="str">
        <f t="shared" si="1626"/>
        <v>NR</v>
      </c>
      <c r="BT694" s="699" t="str">
        <f t="shared" si="1627"/>
        <v>NR</v>
      </c>
      <c r="BU694" s="699" t="str">
        <f t="shared" si="1627"/>
        <v>NR</v>
      </c>
      <c r="BV694" s="699" t="str">
        <f t="shared" si="1627"/>
        <v>NR</v>
      </c>
      <c r="BW694" s="699" t="str">
        <f t="shared" si="1628"/>
        <v>NR</v>
      </c>
      <c r="BX694" s="1138" t="str">
        <f t="shared" si="1628"/>
        <v>NR</v>
      </c>
      <c r="BY694" s="901" t="str">
        <f t="shared" si="1628"/>
        <v>NR</v>
      </c>
      <c r="BZ694" s="699"/>
      <c r="CA694" s="699"/>
      <c r="CB694" s="699"/>
      <c r="CC694" s="1138"/>
      <c r="CD694" s="699"/>
      <c r="CE694" s="699"/>
      <c r="CF694" s="699"/>
      <c r="CG694" s="699"/>
      <c r="CH694" s="1138"/>
      <c r="CI694" s="1138"/>
      <c r="CJ694" s="1138"/>
      <c r="CK694" s="1138"/>
      <c r="CL694" s="93"/>
    </row>
    <row r="695" spans="1:90" ht="15" hidden="1" customHeight="1" outlineLevel="2" collapsed="1" x14ac:dyDescent="0.3">
      <c r="A695" s="581" t="s">
        <v>997</v>
      </c>
      <c r="B695" s="610"/>
      <c r="C695" s="1147"/>
      <c r="D695" s="1147"/>
      <c r="E695" s="1147"/>
      <c r="F695" s="1147"/>
      <c r="G695" s="238"/>
      <c r="H695" s="238"/>
      <c r="I695" s="238"/>
      <c r="J695" s="238"/>
      <c r="K695" s="1147"/>
      <c r="L695" s="238"/>
      <c r="M695" s="238"/>
      <c r="N695" s="238"/>
      <c r="O695" s="238"/>
      <c r="P695" s="1147"/>
      <c r="Q695" s="238"/>
      <c r="R695" s="238"/>
      <c r="S695" s="238"/>
      <c r="T695" s="238"/>
      <c r="U695" s="1147"/>
      <c r="V695" s="238"/>
      <c r="W695" s="238"/>
      <c r="X695" s="238"/>
      <c r="Y695" s="238"/>
      <c r="Z695" s="1147"/>
      <c r="AA695" s="238"/>
      <c r="AB695" s="238"/>
      <c r="AC695" s="238"/>
      <c r="AD695" s="238"/>
      <c r="AE695" s="1147"/>
      <c r="AF695" s="238"/>
      <c r="AG695" s="238"/>
      <c r="AH695" s="238" t="str">
        <f t="shared" ref="AH695" si="1631">IFERROR(AVERAGE(AH694,AH693),"")</f>
        <v/>
      </c>
      <c r="AI695" s="238" t="str">
        <f t="shared" ref="AI695:AL695" si="1632">IFERROR(AVERAGE(AI694,AI693),"")</f>
        <v/>
      </c>
      <c r="AJ695" s="1147" t="str">
        <f t="shared" si="1632"/>
        <v/>
      </c>
      <c r="AK695" s="238" t="str">
        <f t="shared" si="1632"/>
        <v/>
      </c>
      <c r="AL695" s="238" t="str">
        <f t="shared" si="1632"/>
        <v/>
      </c>
      <c r="AM695" s="238" t="str">
        <f t="shared" ref="AM695:BL695" si="1633">IFERROR(AVERAGE(AM694,AM693),"")</f>
        <v/>
      </c>
      <c r="AN695" s="238" t="str">
        <f t="shared" si="1633"/>
        <v/>
      </c>
      <c r="AO695" s="1147" t="str">
        <f t="shared" si="1633"/>
        <v/>
      </c>
      <c r="AP695" s="238" t="str">
        <f t="shared" si="1633"/>
        <v/>
      </c>
      <c r="AQ695" s="238" t="str">
        <f t="shared" si="1633"/>
        <v/>
      </c>
      <c r="AR695" s="238" t="str">
        <f t="shared" si="1633"/>
        <v/>
      </c>
      <c r="AS695" s="238" t="str">
        <f t="shared" si="1633"/>
        <v/>
      </c>
      <c r="AT695" s="1147" t="str">
        <f t="shared" si="1633"/>
        <v/>
      </c>
      <c r="AU695" s="238" t="str">
        <f t="shared" si="1633"/>
        <v/>
      </c>
      <c r="AV695" s="238" t="str">
        <f t="shared" si="1633"/>
        <v/>
      </c>
      <c r="AW695" s="238" t="str">
        <f t="shared" si="1633"/>
        <v/>
      </c>
      <c r="AX695" s="238" t="str">
        <f t="shared" si="1633"/>
        <v/>
      </c>
      <c r="AY695" s="1147" t="str">
        <f t="shared" si="1633"/>
        <v/>
      </c>
      <c r="AZ695" s="238" t="str">
        <f t="shared" si="1633"/>
        <v/>
      </c>
      <c r="BA695" s="238" t="str">
        <f t="shared" si="1633"/>
        <v/>
      </c>
      <c r="BB695" s="238" t="str">
        <f t="shared" si="1633"/>
        <v/>
      </c>
      <c r="BC695" s="238" t="str">
        <f t="shared" si="1633"/>
        <v/>
      </c>
      <c r="BD695" s="1147" t="str">
        <f t="shared" si="1633"/>
        <v/>
      </c>
      <c r="BE695" s="238" t="str">
        <f t="shared" si="1633"/>
        <v/>
      </c>
      <c r="BF695" s="238" t="str">
        <f t="shared" si="1633"/>
        <v/>
      </c>
      <c r="BG695" s="238" t="str">
        <f t="shared" si="1633"/>
        <v/>
      </c>
      <c r="BH695" s="238" t="str">
        <f t="shared" si="1633"/>
        <v/>
      </c>
      <c r="BI695" s="1147" t="str">
        <f t="shared" si="1633"/>
        <v/>
      </c>
      <c r="BJ695" s="238" t="str">
        <f t="shared" si="1633"/>
        <v/>
      </c>
      <c r="BK695" s="238" t="str">
        <f t="shared" si="1633"/>
        <v/>
      </c>
      <c r="BL695" s="238" t="str">
        <f t="shared" si="1633"/>
        <v/>
      </c>
      <c r="BM695" s="238" t="str">
        <f t="shared" ref="BM695:BS695" si="1634">IFERROR(AVERAGE(BM694,BM693),"")</f>
        <v/>
      </c>
      <c r="BN695" s="1147" t="str">
        <f t="shared" si="1634"/>
        <v/>
      </c>
      <c r="BO695" s="238">
        <f t="shared" si="1634"/>
        <v>0.75</v>
      </c>
      <c r="BP695" s="238">
        <f t="shared" si="1634"/>
        <v>0.75</v>
      </c>
      <c r="BQ695" s="238" t="str">
        <f t="shared" si="1634"/>
        <v/>
      </c>
      <c r="BR695" s="238" t="str">
        <f t="shared" si="1634"/>
        <v/>
      </c>
      <c r="BS695" s="1147" t="str">
        <f t="shared" si="1634"/>
        <v/>
      </c>
      <c r="BT695" s="238" t="str">
        <f t="shared" ref="BT695:BY695" si="1635">IFERROR(AVERAGE(BT694,BT693),"")</f>
        <v/>
      </c>
      <c r="BU695" s="238" t="str">
        <f t="shared" si="1635"/>
        <v/>
      </c>
      <c r="BV695" s="238" t="str">
        <f t="shared" si="1635"/>
        <v/>
      </c>
      <c r="BW695" s="238" t="str">
        <f t="shared" si="1635"/>
        <v/>
      </c>
      <c r="BX695" s="1147" t="str">
        <f t="shared" si="1635"/>
        <v/>
      </c>
      <c r="BY695" s="931" t="str">
        <f t="shared" si="1635"/>
        <v/>
      </c>
      <c r="BZ695" s="238"/>
      <c r="CA695" s="238"/>
      <c r="CB695" s="238"/>
      <c r="CC695" s="1147"/>
      <c r="CD695" s="238"/>
      <c r="CE695" s="238"/>
      <c r="CF695" s="238"/>
      <c r="CG695" s="238"/>
      <c r="CH695" s="1147"/>
      <c r="CI695" s="1147"/>
      <c r="CJ695" s="1147"/>
      <c r="CK695" s="1147"/>
      <c r="CL695" s="93"/>
    </row>
    <row r="696" spans="1:90" ht="15" hidden="1" customHeight="1" outlineLevel="2" x14ac:dyDescent="0.3">
      <c r="A696" s="99" t="s">
        <v>998</v>
      </c>
      <c r="B696" s="428"/>
      <c r="C696" s="1112"/>
      <c r="D696" s="1112"/>
      <c r="E696" s="1112"/>
      <c r="F696" s="1112"/>
      <c r="G696" s="68"/>
      <c r="H696" s="68"/>
      <c r="I696" s="68"/>
      <c r="J696" s="68"/>
      <c r="K696" s="1112"/>
      <c r="L696" s="68"/>
      <c r="M696" s="68"/>
      <c r="N696" s="68"/>
      <c r="O696" s="68"/>
      <c r="P696" s="1112"/>
      <c r="Q696" s="68"/>
      <c r="R696" s="68"/>
      <c r="S696" s="68"/>
      <c r="T696" s="68"/>
      <c r="U696" s="1112"/>
      <c r="V696" s="68"/>
      <c r="W696" s="68"/>
      <c r="X696" s="68"/>
      <c r="Y696" s="68"/>
      <c r="Z696" s="1112"/>
      <c r="AA696" s="68"/>
      <c r="AB696" s="68"/>
      <c r="AC696" s="68"/>
      <c r="AD696" s="68"/>
      <c r="AE696" s="1112"/>
      <c r="AF696" s="68"/>
      <c r="AG696" s="68"/>
      <c r="AH696" s="68" t="str">
        <f t="shared" ref="AH696:BL696" si="1636">IFERROR(ABS(AH694-AH695)*10000,"")</f>
        <v/>
      </c>
      <c r="AI696" s="68" t="str">
        <f t="shared" si="1636"/>
        <v/>
      </c>
      <c r="AJ696" s="1112" t="str">
        <f t="shared" si="1636"/>
        <v/>
      </c>
      <c r="AK696" s="68" t="str">
        <f t="shared" si="1636"/>
        <v/>
      </c>
      <c r="AL696" s="68" t="str">
        <f t="shared" si="1636"/>
        <v/>
      </c>
      <c r="AM696" s="68" t="str">
        <f t="shared" si="1636"/>
        <v/>
      </c>
      <c r="AN696" s="68" t="str">
        <f t="shared" si="1636"/>
        <v/>
      </c>
      <c r="AO696" s="1112" t="str">
        <f t="shared" si="1636"/>
        <v/>
      </c>
      <c r="AP696" s="68" t="str">
        <f t="shared" si="1636"/>
        <v/>
      </c>
      <c r="AQ696" s="68" t="str">
        <f t="shared" si="1636"/>
        <v/>
      </c>
      <c r="AR696" s="68" t="str">
        <f t="shared" si="1636"/>
        <v/>
      </c>
      <c r="AS696" s="68" t="str">
        <f t="shared" si="1636"/>
        <v/>
      </c>
      <c r="AT696" s="1112" t="str">
        <f t="shared" si="1636"/>
        <v/>
      </c>
      <c r="AU696" s="68" t="str">
        <f t="shared" si="1636"/>
        <v/>
      </c>
      <c r="AV696" s="68" t="str">
        <f t="shared" si="1636"/>
        <v/>
      </c>
      <c r="AW696" s="68" t="str">
        <f t="shared" si="1636"/>
        <v/>
      </c>
      <c r="AX696" s="68" t="str">
        <f t="shared" si="1636"/>
        <v/>
      </c>
      <c r="AY696" s="1112" t="str">
        <f t="shared" si="1636"/>
        <v/>
      </c>
      <c r="AZ696" s="68" t="str">
        <f t="shared" si="1636"/>
        <v/>
      </c>
      <c r="BA696" s="68" t="str">
        <f t="shared" si="1636"/>
        <v/>
      </c>
      <c r="BB696" s="68" t="str">
        <f t="shared" si="1636"/>
        <v/>
      </c>
      <c r="BC696" s="68" t="str">
        <f t="shared" si="1636"/>
        <v/>
      </c>
      <c r="BD696" s="1112" t="str">
        <f t="shared" si="1636"/>
        <v/>
      </c>
      <c r="BE696" s="68" t="str">
        <f t="shared" si="1636"/>
        <v/>
      </c>
      <c r="BF696" s="68" t="str">
        <f t="shared" si="1636"/>
        <v/>
      </c>
      <c r="BG696" s="68" t="str">
        <f t="shared" si="1636"/>
        <v/>
      </c>
      <c r="BH696" s="68" t="str">
        <f t="shared" si="1636"/>
        <v/>
      </c>
      <c r="BI696" s="1112" t="str">
        <f t="shared" si="1636"/>
        <v/>
      </c>
      <c r="BJ696" s="68" t="str">
        <f t="shared" si="1636"/>
        <v/>
      </c>
      <c r="BK696" s="68" t="str">
        <f t="shared" si="1636"/>
        <v/>
      </c>
      <c r="BL696" s="68" t="str">
        <f t="shared" si="1636"/>
        <v/>
      </c>
      <c r="BM696" s="68" t="str">
        <f t="shared" ref="BM696:BS696" si="1637">IFERROR(ABS(BM694-BM695)*10000,"")</f>
        <v/>
      </c>
      <c r="BN696" s="1112" t="str">
        <f t="shared" si="1637"/>
        <v/>
      </c>
      <c r="BO696" s="68">
        <f t="shared" si="1637"/>
        <v>100.00000000000009</v>
      </c>
      <c r="BP696" s="68">
        <f t="shared" si="1637"/>
        <v>100.00000000000009</v>
      </c>
      <c r="BQ696" s="68" t="str">
        <f t="shared" si="1637"/>
        <v/>
      </c>
      <c r="BR696" s="68" t="str">
        <f t="shared" si="1637"/>
        <v/>
      </c>
      <c r="BS696" s="1112" t="str">
        <f t="shared" si="1637"/>
        <v/>
      </c>
      <c r="BT696" s="68" t="str">
        <f t="shared" ref="BT696:BY696" si="1638">IFERROR(ABS(BT694-BT695)*10000,"")</f>
        <v/>
      </c>
      <c r="BU696" s="68" t="str">
        <f t="shared" si="1638"/>
        <v/>
      </c>
      <c r="BV696" s="68" t="str">
        <f t="shared" si="1638"/>
        <v/>
      </c>
      <c r="BW696" s="68" t="str">
        <f t="shared" si="1638"/>
        <v/>
      </c>
      <c r="BX696" s="1112" t="str">
        <f t="shared" si="1638"/>
        <v/>
      </c>
      <c r="BY696" s="588" t="str">
        <f t="shared" si="1638"/>
        <v/>
      </c>
      <c r="BZ696" s="68"/>
      <c r="CA696" s="68"/>
      <c r="CB696" s="68"/>
      <c r="CC696" s="1112"/>
      <c r="CD696" s="68"/>
      <c r="CE696" s="68"/>
      <c r="CF696" s="68"/>
      <c r="CG696" s="68"/>
      <c r="CH696" s="1112"/>
      <c r="CI696" s="1112"/>
      <c r="CJ696" s="1112"/>
      <c r="CK696" s="1112"/>
      <c r="CL696" s="93"/>
    </row>
    <row r="697" spans="1:90" ht="15" hidden="1" customHeight="1" outlineLevel="3" x14ac:dyDescent="0.3">
      <c r="A697" s="820" t="s">
        <v>999</v>
      </c>
      <c r="B697" s="112"/>
      <c r="C697" s="1119"/>
      <c r="D697" s="1119"/>
      <c r="E697" s="1119"/>
      <c r="F697" s="1119"/>
      <c r="G697" s="76"/>
      <c r="H697" s="76"/>
      <c r="I697" s="76"/>
      <c r="J697" s="76"/>
      <c r="K697" s="1119"/>
      <c r="L697" s="76"/>
      <c r="M697" s="76"/>
      <c r="N697" s="76"/>
      <c r="O697" s="76"/>
      <c r="P697" s="1119"/>
      <c r="Q697" s="76"/>
      <c r="R697" s="76"/>
      <c r="S697" s="76"/>
      <c r="T697" s="76"/>
      <c r="U697" s="1119"/>
      <c r="V697" s="76"/>
      <c r="W697" s="76"/>
      <c r="X697" s="76"/>
      <c r="Y697" s="76"/>
      <c r="Z697" s="1119"/>
      <c r="AA697" s="76"/>
      <c r="AB697" s="76"/>
      <c r="AC697" s="76"/>
      <c r="AD697" s="76"/>
      <c r="AE697" s="1119"/>
      <c r="AF697" s="76"/>
      <c r="AG697" s="76"/>
      <c r="AH697" s="76" t="str">
        <f>IFERROR((AH693-AE651)*10000,"")</f>
        <v/>
      </c>
      <c r="AI697" s="76" t="str">
        <f>IFERROR((AI693-AJ651)*10000,"")</f>
        <v/>
      </c>
      <c r="AJ697" s="1119" t="str">
        <f>IFERROR((AJ693-AJ651)*10000,"")</f>
        <v/>
      </c>
      <c r="AK697" s="76" t="str">
        <f>IFERROR((AK693-AJ651)*10000,"")</f>
        <v/>
      </c>
      <c r="AL697" s="76" t="str">
        <f>IFERROR((AL693-AJ651)*10000,"")</f>
        <v/>
      </c>
      <c r="AM697" s="76" t="str">
        <f>IFERROR((AM693-AJ651)*10000,"")</f>
        <v/>
      </c>
      <c r="AN697" s="76" t="str">
        <f>IFERROR((AN693-AO651)*10000,"")</f>
        <v/>
      </c>
      <c r="AO697" s="1119" t="str">
        <f>IFERROR((AO693-AO651)*10000,"")</f>
        <v/>
      </c>
      <c r="AP697" s="76" t="str">
        <f>IFERROR((AP693-AO651)*10000,"")</f>
        <v/>
      </c>
      <c r="AQ697" s="76" t="str">
        <f>IFERROR((AQ693-AO651)*10000,"")</f>
        <v/>
      </c>
      <c r="AR697" s="76" t="str">
        <f>IFERROR((AR693-AO651)*10000,"")</f>
        <v/>
      </c>
      <c r="AS697" s="76" t="str">
        <f>IFERROR((AS693-AT651)*10000,"")</f>
        <v/>
      </c>
      <c r="AT697" s="1119" t="str">
        <f>IFERROR((AT693-AT651)*10000,"")</f>
        <v/>
      </c>
      <c r="AU697" s="76" t="str">
        <f>IFERROR((AU693-AT651)*10000,"")</f>
        <v/>
      </c>
      <c r="AV697" s="76" t="str">
        <f>IFERROR((AV693-AT651)*10000,"")</f>
        <v/>
      </c>
      <c r="AW697" s="76" t="str">
        <f>IFERROR((AW693-AT651)*10000,"")</f>
        <v/>
      </c>
      <c r="AX697" s="76" t="str">
        <f>IFERROR((AX693-AY651)*10000,"")</f>
        <v/>
      </c>
      <c r="AY697" s="1119" t="str">
        <f>IFERROR((AY693-AY651)*10000,"")</f>
        <v/>
      </c>
      <c r="AZ697" s="76" t="str">
        <f>IFERROR((AZ693-AY651)*10000,"")</f>
        <v/>
      </c>
      <c r="BA697" s="76" t="str">
        <f>IFERROR((BA693-AY651)*10000,"")</f>
        <v/>
      </c>
      <c r="BB697" s="76" t="str">
        <f>IFERROR((BB693-AY651)*10000,"")</f>
        <v/>
      </c>
      <c r="BC697" s="76" t="str">
        <f>IFERROR((BC693-BD651)*10000,"")</f>
        <v/>
      </c>
      <c r="BD697" s="1119" t="str">
        <f>IFERROR((BD693-BD651)*10000,"")</f>
        <v/>
      </c>
      <c r="BE697" s="76" t="str">
        <f>IFERROR((BE693-BD651)*10000,"")</f>
        <v/>
      </c>
      <c r="BF697" s="76" t="str">
        <f>IFERROR((BF693-BD651)*10000,"")</f>
        <v/>
      </c>
      <c r="BG697" s="76" t="str">
        <f>IFERROR((BG693-BD651)*10000,"")</f>
        <v/>
      </c>
      <c r="BH697" s="76" t="str">
        <f>IFERROR((BH693-BI651)*10000,"")</f>
        <v/>
      </c>
      <c r="BI697" s="1119" t="str">
        <f>IFERROR((BI693-BI651)*10000,"")</f>
        <v/>
      </c>
      <c r="BJ697" s="76" t="str">
        <f>IFERROR((BJ693-BI651)*10000,"")</f>
        <v/>
      </c>
      <c r="BK697" s="76" t="str">
        <f>IFERROR((BK693-BI651)*10000,"")</f>
        <v/>
      </c>
      <c r="BL697" s="76" t="str">
        <f>IFERROR((BL693-BI651)*10000,"")</f>
        <v/>
      </c>
      <c r="BM697" s="76" t="str">
        <f>IFERROR((BM693-BN651)*10000,"")</f>
        <v/>
      </c>
      <c r="BN697" s="1119" t="str">
        <f>IFERROR((BN693-BN651)*10000,"")</f>
        <v/>
      </c>
      <c r="BO697" s="76">
        <f>IFERROR((BO693-BN651)*10000,"")</f>
        <v>128.24267095630449</v>
      </c>
      <c r="BP697" s="76">
        <f>IFERROR((BP693-BN651)*10000,"")</f>
        <v>128.24267095630449</v>
      </c>
      <c r="BQ697" s="76" t="str">
        <f>IFERROR((BQ693-BN651)*10000,"")</f>
        <v/>
      </c>
      <c r="BR697" s="76" t="str">
        <f>IFERROR((BR693-BS651)*10000,"")</f>
        <v/>
      </c>
      <c r="BS697" s="1119" t="str">
        <f>IFERROR((BS693-BS651)*10000,"")</f>
        <v/>
      </c>
      <c r="BT697" s="76" t="str">
        <f>IFERROR((BT693-BS651)*10000,"")</f>
        <v/>
      </c>
      <c r="BU697" s="76" t="str">
        <f>IFERROR((BU693-BS651)*10000,"")</f>
        <v/>
      </c>
      <c r="BV697" s="76" t="str">
        <f>IFERROR((BV693-BS651)*10000,"")</f>
        <v/>
      </c>
      <c r="BW697" s="76" t="str">
        <f>IFERROR((BW693-BX651)*10000,"")</f>
        <v/>
      </c>
      <c r="BX697" s="1119" t="str">
        <f>IFERROR((BX693-BX651)*10000,"")</f>
        <v/>
      </c>
      <c r="BY697" s="893" t="str">
        <f>IFERROR((BY693-BX651)*10000,"")</f>
        <v/>
      </c>
      <c r="BZ697" s="76"/>
      <c r="CA697" s="76"/>
      <c r="CB697" s="76"/>
      <c r="CC697" s="1119"/>
      <c r="CD697" s="76"/>
      <c r="CE697" s="76"/>
      <c r="CF697" s="76"/>
      <c r="CG697" s="76"/>
      <c r="CH697" s="1119"/>
      <c r="CI697" s="1119"/>
      <c r="CJ697" s="1119"/>
      <c r="CK697" s="1119"/>
      <c r="CL697" s="93"/>
    </row>
    <row r="698" spans="1:90" ht="15" hidden="1" customHeight="1" outlineLevel="3" x14ac:dyDescent="0.3">
      <c r="A698" s="821" t="s">
        <v>1000</v>
      </c>
      <c r="B698" s="804"/>
      <c r="C698" s="1200"/>
      <c r="D698" s="1200"/>
      <c r="E698" s="1200"/>
      <c r="F698" s="1200"/>
      <c r="G698" s="822"/>
      <c r="H698" s="822"/>
      <c r="I698" s="822"/>
      <c r="J698" s="822"/>
      <c r="K698" s="1200"/>
      <c r="L698" s="822"/>
      <c r="M698" s="822"/>
      <c r="N698" s="822"/>
      <c r="O698" s="822"/>
      <c r="P698" s="1200"/>
      <c r="Q698" s="822"/>
      <c r="R698" s="822"/>
      <c r="S698" s="822"/>
      <c r="T698" s="822"/>
      <c r="U698" s="1200"/>
      <c r="V698" s="822"/>
      <c r="W698" s="822"/>
      <c r="X698" s="822"/>
      <c r="Y698" s="822"/>
      <c r="Z698" s="1200"/>
      <c r="AA698" s="822"/>
      <c r="AB698" s="822"/>
      <c r="AC698" s="822"/>
      <c r="AD698" s="822"/>
      <c r="AE698" s="1200"/>
      <c r="AF698" s="822"/>
      <c r="AG698" s="822"/>
      <c r="AH698" s="822" t="str">
        <f>IFERROR((AH694-AE651)*10000,"")</f>
        <v/>
      </c>
      <c r="AI698" s="822" t="str">
        <f>IFERROR((AI694-AJ651)*10000,"")</f>
        <v/>
      </c>
      <c r="AJ698" s="1200" t="str">
        <f>IFERROR((AJ694-AJ651)*10000,"")</f>
        <v/>
      </c>
      <c r="AK698" s="822" t="str">
        <f>IFERROR((AK694-AJ651)*10000,"")</f>
        <v/>
      </c>
      <c r="AL698" s="822" t="str">
        <f>IFERROR((AL694-AJ651)*10000,"")</f>
        <v/>
      </c>
      <c r="AM698" s="822" t="str">
        <f>IFERROR((AM694-AJ651)*10000,"")</f>
        <v/>
      </c>
      <c r="AN698" s="822" t="str">
        <f>IFERROR((AN694-AO651)*10000,"")</f>
        <v/>
      </c>
      <c r="AO698" s="1200" t="str">
        <f>IFERROR((AO694-AO651)*10000,"")</f>
        <v/>
      </c>
      <c r="AP698" s="822" t="str">
        <f>IFERROR((AP694-AO651)*10000,"")</f>
        <v/>
      </c>
      <c r="AQ698" s="822" t="str">
        <f>IFERROR((AQ694-AO651)*10000,"")</f>
        <v/>
      </c>
      <c r="AR698" s="822" t="str">
        <f>IFERROR((AR694-AO651)*10000,"")</f>
        <v/>
      </c>
      <c r="AS698" s="822" t="str">
        <f>IFERROR((AS694-AT651)*10000,"")</f>
        <v/>
      </c>
      <c r="AT698" s="1200" t="str">
        <f>IFERROR((AT694-AT651)*10000,"")</f>
        <v/>
      </c>
      <c r="AU698" s="822" t="str">
        <f>IFERROR((AU694-AT651)*10000,"")</f>
        <v/>
      </c>
      <c r="AV698" s="822" t="str">
        <f>IFERROR((AV694-AT651)*10000,"")</f>
        <v/>
      </c>
      <c r="AW698" s="822" t="str">
        <f>IFERROR((AW694-AT651)*10000,"")</f>
        <v/>
      </c>
      <c r="AX698" s="822" t="str">
        <f>IFERROR((AX694-AY651)*10000,"")</f>
        <v/>
      </c>
      <c r="AY698" s="1200" t="str">
        <f>IFERROR((AY694-AY651)*10000,"")</f>
        <v/>
      </c>
      <c r="AZ698" s="822" t="str">
        <f>IFERROR((AZ694-AY651)*10000,"")</f>
        <v/>
      </c>
      <c r="BA698" s="822" t="str">
        <f>IFERROR((BA694-AY651)*10000,"")</f>
        <v/>
      </c>
      <c r="BB698" s="822" t="str">
        <f>IFERROR((BB694-AY651)*10000,"")</f>
        <v/>
      </c>
      <c r="BC698" s="822" t="str">
        <f>IFERROR((BC694-BD651)*10000,"")</f>
        <v/>
      </c>
      <c r="BD698" s="1200" t="str">
        <f>IFERROR((BD694-BD651)*10000,"")</f>
        <v/>
      </c>
      <c r="BE698" s="822" t="str">
        <f>IFERROR((BE694-BD651)*10000,"")</f>
        <v/>
      </c>
      <c r="BF698" s="822" t="str">
        <f>IFERROR((BF694-BD651)*10000,"")</f>
        <v/>
      </c>
      <c r="BG698" s="822" t="str">
        <f>IFERROR((BG694-BD651)*10000,"")</f>
        <v/>
      </c>
      <c r="BH698" s="822" t="str">
        <f>IFERROR((BH694-BI651)*10000,"")</f>
        <v/>
      </c>
      <c r="BI698" s="1200" t="str">
        <f>IFERROR((BI694-BI651)*10000,"")</f>
        <v/>
      </c>
      <c r="BJ698" s="822" t="str">
        <f>IFERROR((BJ694-BI651)*10000,"")</f>
        <v/>
      </c>
      <c r="BK698" s="822" t="str">
        <f>IFERROR((BK694-BI651)*10000,"")</f>
        <v/>
      </c>
      <c r="BL698" s="822" t="str">
        <f>IFERROR((BL694-BI651)*10000,"")</f>
        <v/>
      </c>
      <c r="BM698" s="822" t="str">
        <f>IFERROR((BM694-BN651)*10000,"")</f>
        <v/>
      </c>
      <c r="BN698" s="1200" t="str">
        <f>IFERROR((BN694-BN651)*10000,"")</f>
        <v/>
      </c>
      <c r="BO698" s="822">
        <f>IFERROR((BO694-BN651)*10000,"")</f>
        <v>328.24267095630466</v>
      </c>
      <c r="BP698" s="822">
        <f>IFERROR((BP694-BN651)*10000,"")</f>
        <v>328.24267095630466</v>
      </c>
      <c r="BQ698" s="822" t="str">
        <f>IFERROR((BQ694-BN651)*10000,"")</f>
        <v/>
      </c>
      <c r="BR698" s="822" t="str">
        <f>IFERROR((BR694-BS651)*10000,"")</f>
        <v/>
      </c>
      <c r="BS698" s="1200" t="str">
        <f>IFERROR((BS694-BS651)*10000,"")</f>
        <v/>
      </c>
      <c r="BT698" s="822" t="str">
        <f>IFERROR((BT694-BS651)*10000,"")</f>
        <v/>
      </c>
      <c r="BU698" s="822" t="str">
        <f>IFERROR((BU694-BS651)*10000,"")</f>
        <v/>
      </c>
      <c r="BV698" s="822" t="str">
        <f>IFERROR((BV694-BS651)*10000,"")</f>
        <v/>
      </c>
      <c r="BW698" s="822" t="str">
        <f>IFERROR((BW694-BX651)*10000,"")</f>
        <v/>
      </c>
      <c r="BX698" s="1200" t="str">
        <f>IFERROR((BX694-BX651)*10000,"")</f>
        <v/>
      </c>
      <c r="BY698" s="932" t="str">
        <f>IFERROR((BY694-BX651)*10000,"")</f>
        <v/>
      </c>
      <c r="BZ698" s="822"/>
      <c r="CA698" s="822"/>
      <c r="CB698" s="822"/>
      <c r="CC698" s="1200"/>
      <c r="CD698" s="822"/>
      <c r="CE698" s="822"/>
      <c r="CF698" s="822"/>
      <c r="CG698" s="822"/>
      <c r="CH698" s="1200"/>
      <c r="CI698" s="1200"/>
      <c r="CJ698" s="1200"/>
      <c r="CK698" s="1200"/>
      <c r="CL698" s="93"/>
    </row>
    <row r="699" spans="1:90" ht="15" hidden="1" customHeight="1" outlineLevel="2" collapsed="1" x14ac:dyDescent="0.3">
      <c r="A699" s="656" t="s">
        <v>1001</v>
      </c>
      <c r="B699" s="112"/>
      <c r="C699" s="1119"/>
      <c r="D699" s="1119"/>
      <c r="E699" s="1119"/>
      <c r="F699" s="1119"/>
      <c r="G699" s="76"/>
      <c r="H699" s="76"/>
      <c r="I699" s="76"/>
      <c r="J699" s="76"/>
      <c r="K699" s="1119"/>
      <c r="L699" s="76"/>
      <c r="M699" s="76"/>
      <c r="N699" s="76"/>
      <c r="O699" s="76"/>
      <c r="P699" s="1119"/>
      <c r="Q699" s="76"/>
      <c r="R699" s="76"/>
      <c r="S699" s="76"/>
      <c r="T699" s="76"/>
      <c r="U699" s="1119"/>
      <c r="V699" s="76"/>
      <c r="W699" s="76"/>
      <c r="X699" s="76"/>
      <c r="Y699" s="76"/>
      <c r="Z699" s="1119"/>
      <c r="AA699" s="76"/>
      <c r="AB699" s="76"/>
      <c r="AC699" s="76"/>
      <c r="AD699" s="76"/>
      <c r="AE699" s="1119"/>
      <c r="AF699" s="76"/>
      <c r="AG699" s="76"/>
      <c r="AH699" s="76" t="str">
        <f>IFERROR((AH695-AE651)*10000,"")</f>
        <v/>
      </c>
      <c r="AI699" s="76" t="str">
        <f>IFERROR((AI695-AJ651)*10000,"")</f>
        <v/>
      </c>
      <c r="AJ699" s="1119" t="str">
        <f>IFERROR((AJ695-AJ651)*10000,"")</f>
        <v/>
      </c>
      <c r="AK699" s="76" t="str">
        <f>IFERROR((AK695-AJ651)*10000,"")</f>
        <v/>
      </c>
      <c r="AL699" s="76" t="str">
        <f>IFERROR((AL695-AJ651)*10000,"")</f>
        <v/>
      </c>
      <c r="AM699" s="76" t="str">
        <f>IFERROR((AM695-AJ651)*10000,"")</f>
        <v/>
      </c>
      <c r="AN699" s="76" t="str">
        <f>IFERROR((AN695-AO651)*10000,"")</f>
        <v/>
      </c>
      <c r="AO699" s="1119" t="str">
        <f>IFERROR((AO695-AO651)*10000,"")</f>
        <v/>
      </c>
      <c r="AP699" s="76" t="str">
        <f>IFERROR((AP695-AO651)*10000,"")</f>
        <v/>
      </c>
      <c r="AQ699" s="76" t="str">
        <f>IFERROR((AQ695-AO651)*10000,"")</f>
        <v/>
      </c>
      <c r="AR699" s="76" t="str">
        <f>IFERROR((AR695-AO651)*10000,"")</f>
        <v/>
      </c>
      <c r="AS699" s="76" t="str">
        <f>IFERROR((AS695-AT651)*10000,"")</f>
        <v/>
      </c>
      <c r="AT699" s="1119" t="str">
        <f>IFERROR((AT695-AT651)*10000,"")</f>
        <v/>
      </c>
      <c r="AU699" s="76" t="str">
        <f>IFERROR((AU695-AT651)*10000,"")</f>
        <v/>
      </c>
      <c r="AV699" s="76" t="str">
        <f>IFERROR((AV695-AT651)*10000,"")</f>
        <v/>
      </c>
      <c r="AW699" s="76" t="str">
        <f>IFERROR((AW695-AT651)*10000,"")</f>
        <v/>
      </c>
      <c r="AX699" s="76" t="str">
        <f>IFERROR((AX695-AY651)*10000,"")</f>
        <v/>
      </c>
      <c r="AY699" s="1119" t="str">
        <f>IFERROR((AY695-AY651)*10000,"")</f>
        <v/>
      </c>
      <c r="AZ699" s="76" t="str">
        <f>IFERROR((AZ695-AY651)*10000,"")</f>
        <v/>
      </c>
      <c r="BA699" s="76" t="str">
        <f>IFERROR((BA695-AY651)*10000,"")</f>
        <v/>
      </c>
      <c r="BB699" s="76" t="str">
        <f>IFERROR((BB695-AY651)*10000,"")</f>
        <v/>
      </c>
      <c r="BC699" s="76" t="str">
        <f>IFERROR((BC695-BD651)*10000,"")</f>
        <v/>
      </c>
      <c r="BD699" s="1119" t="str">
        <f>IFERROR((BD695-BD651)*10000,"")</f>
        <v/>
      </c>
      <c r="BE699" s="76" t="str">
        <f>IFERROR((BE695-BD651)*10000,"")</f>
        <v/>
      </c>
      <c r="BF699" s="76" t="str">
        <f>IFERROR((BF695-BD651)*10000,"")</f>
        <v/>
      </c>
      <c r="BG699" s="76" t="str">
        <f>IFERROR((BG695-BD651)*10000,"")</f>
        <v/>
      </c>
      <c r="BH699" s="76" t="str">
        <f>IFERROR((BH695-BI651)*10000,"")</f>
        <v/>
      </c>
      <c r="BI699" s="1119" t="str">
        <f>IFERROR((BI695-BI651)*10000,"")</f>
        <v/>
      </c>
      <c r="BJ699" s="76" t="str">
        <f>IFERROR((BJ695-BI651)*10000,"")</f>
        <v/>
      </c>
      <c r="BK699" s="76" t="str">
        <f>IFERROR((BK695-BI651)*10000,"")</f>
        <v/>
      </c>
      <c r="BL699" s="76" t="str">
        <f>IFERROR((BL695-BI651)*10000,"")</f>
        <v/>
      </c>
      <c r="BM699" s="76" t="str">
        <f>IFERROR((BM695-BN651)*10000,"")</f>
        <v/>
      </c>
      <c r="BN699" s="1119" t="str">
        <f>IFERROR((BN695-BN651)*10000,"")</f>
        <v/>
      </c>
      <c r="BO699" s="76">
        <f>IFERROR((BO695-BN651)*10000,"")</f>
        <v>228.24267095630458</v>
      </c>
      <c r="BP699" s="76">
        <f>IFERROR((BP695-BN651)*10000,"")</f>
        <v>228.24267095630458</v>
      </c>
      <c r="BQ699" s="76" t="str">
        <f>IFERROR((BQ695-BN651)*10000,"")</f>
        <v/>
      </c>
      <c r="BR699" s="76" t="str">
        <f>IFERROR((BR695-BS651)*10000,"")</f>
        <v/>
      </c>
      <c r="BS699" s="1119" t="str">
        <f>IFERROR((BS695-BS651)*10000,"")</f>
        <v/>
      </c>
      <c r="BT699" s="76" t="str">
        <f>IFERROR((BT695-BS651)*10000,"")</f>
        <v/>
      </c>
      <c r="BU699" s="76" t="str">
        <f>IFERROR((BU695-BS651)*10000,"")</f>
        <v/>
      </c>
      <c r="BV699" s="76" t="str">
        <f>IFERROR((BV695-BS651)*10000,"")</f>
        <v/>
      </c>
      <c r="BW699" s="76" t="str">
        <f>IFERROR((BW695-BX651)*10000,"")</f>
        <v/>
      </c>
      <c r="BX699" s="1119" t="str">
        <f>IFERROR((BX695-BX651)*10000,"")</f>
        <v/>
      </c>
      <c r="BY699" s="893" t="str">
        <f>IFERROR((BY695-BX651)*10000,"")</f>
        <v/>
      </c>
      <c r="BZ699" s="76"/>
      <c r="CA699" s="76"/>
      <c r="CB699" s="76"/>
      <c r="CC699" s="1119"/>
      <c r="CD699" s="76"/>
      <c r="CE699" s="76"/>
      <c r="CF699" s="76"/>
      <c r="CG699" s="76"/>
      <c r="CH699" s="1119"/>
      <c r="CI699" s="1119"/>
      <c r="CJ699" s="1119"/>
      <c r="CK699" s="1119"/>
      <c r="CL699" s="93"/>
    </row>
    <row r="700" spans="1:90" ht="15" hidden="1" customHeight="1" outlineLevel="1" collapsed="1" x14ac:dyDescent="0.3">
      <c r="A700" s="799"/>
      <c r="B700" s="428"/>
      <c r="C700" s="1136"/>
      <c r="D700" s="1136"/>
      <c r="E700" s="1136"/>
      <c r="F700" s="1136"/>
      <c r="G700" s="93"/>
      <c r="H700" s="93"/>
      <c r="I700" s="93"/>
      <c r="J700" s="93"/>
      <c r="K700" s="1136"/>
      <c r="L700" s="93"/>
      <c r="M700" s="93"/>
      <c r="N700" s="93"/>
      <c r="O700" s="93"/>
      <c r="P700" s="1136"/>
      <c r="Q700" s="93"/>
      <c r="R700" s="93"/>
      <c r="S700" s="93"/>
      <c r="T700" s="93"/>
      <c r="U700" s="1136"/>
      <c r="V700" s="93"/>
      <c r="W700" s="93"/>
      <c r="X700" s="93"/>
      <c r="Y700" s="93"/>
      <c r="Z700" s="1136"/>
      <c r="AA700" s="93"/>
      <c r="AB700" s="93"/>
      <c r="AC700" s="93"/>
      <c r="AD700" s="93"/>
      <c r="AE700" s="1136"/>
      <c r="AF700" s="93"/>
      <c r="AG700" s="93"/>
      <c r="AH700" s="93"/>
      <c r="AI700" s="93"/>
      <c r="AJ700" s="1136"/>
      <c r="AK700" s="93"/>
      <c r="AL700" s="93"/>
      <c r="AM700" s="93"/>
      <c r="AN700" s="93"/>
      <c r="AO700" s="1136"/>
      <c r="AP700" s="93"/>
      <c r="AQ700" s="93"/>
      <c r="AR700" s="93"/>
      <c r="AS700" s="93"/>
      <c r="AT700" s="1136"/>
      <c r="AU700" s="93"/>
      <c r="AV700" s="93"/>
      <c r="AW700" s="93"/>
      <c r="AX700" s="93"/>
      <c r="AY700" s="1136"/>
      <c r="AZ700" s="93"/>
      <c r="BA700" s="93"/>
      <c r="BB700" s="93"/>
      <c r="BC700" s="93"/>
      <c r="BD700" s="1136"/>
      <c r="BE700" s="93"/>
      <c r="BF700" s="93"/>
      <c r="BG700" s="93"/>
      <c r="BH700" s="93"/>
      <c r="BI700" s="1136"/>
      <c r="BJ700" s="93"/>
      <c r="BK700" s="93"/>
      <c r="BL700" s="93"/>
      <c r="BM700" s="93"/>
      <c r="BN700" s="1136"/>
      <c r="BO700" s="93"/>
      <c r="BP700" s="93"/>
      <c r="BQ700" s="93"/>
      <c r="BR700" s="93"/>
      <c r="BS700" s="1136"/>
      <c r="BT700" s="93"/>
      <c r="BU700" s="93"/>
      <c r="BV700" s="93"/>
      <c r="BW700" s="93"/>
      <c r="BX700" s="1136"/>
      <c r="BY700" s="522"/>
      <c r="BZ700" s="93"/>
      <c r="CA700" s="93"/>
      <c r="CB700" s="93"/>
      <c r="CC700" s="1136"/>
      <c r="CD700" s="93"/>
      <c r="CE700" s="93"/>
      <c r="CF700" s="93"/>
      <c r="CG700" s="93"/>
      <c r="CH700" s="1136"/>
      <c r="CI700" s="1136"/>
      <c r="CJ700" s="1136"/>
      <c r="CK700" s="1136"/>
      <c r="CL700" s="93"/>
    </row>
    <row r="701" spans="1:90" ht="15" customHeight="1" collapsed="1" x14ac:dyDescent="0.3">
      <c r="A701" s="605"/>
      <c r="B701" s="428"/>
      <c r="C701" s="1136"/>
      <c r="D701" s="1136"/>
      <c r="E701" s="1136"/>
      <c r="F701" s="1136"/>
      <c r="G701" s="93"/>
      <c r="H701" s="93"/>
      <c r="I701" s="93"/>
      <c r="J701" s="93"/>
      <c r="K701" s="1136"/>
      <c r="L701" s="93"/>
      <c r="M701" s="93"/>
      <c r="N701" s="93"/>
      <c r="O701" s="93"/>
      <c r="P701" s="1136"/>
      <c r="Q701" s="93"/>
      <c r="R701" s="93"/>
      <c r="S701" s="93"/>
      <c r="T701" s="93"/>
      <c r="U701" s="1136"/>
      <c r="V701" s="93"/>
      <c r="W701" s="93"/>
      <c r="X701" s="93"/>
      <c r="Y701" s="93"/>
      <c r="Z701" s="1136"/>
      <c r="AA701" s="93"/>
      <c r="AB701" s="93"/>
      <c r="AC701" s="93"/>
      <c r="AD701" s="93"/>
      <c r="AE701" s="1136"/>
      <c r="AF701" s="93"/>
      <c r="AG701" s="93"/>
      <c r="AH701" s="93"/>
      <c r="AI701" s="93"/>
      <c r="AJ701" s="1136"/>
      <c r="AK701" s="93"/>
      <c r="AL701" s="93"/>
      <c r="AM701" s="93"/>
      <c r="AN701" s="93"/>
      <c r="AO701" s="1136"/>
      <c r="AP701" s="93"/>
      <c r="AQ701" s="93"/>
      <c r="AR701" s="93"/>
      <c r="AS701" s="93"/>
      <c r="AT701" s="1136"/>
      <c r="AU701" s="93"/>
      <c r="AV701" s="93"/>
      <c r="AW701" s="93"/>
      <c r="AX701" s="93"/>
      <c r="AY701" s="1136"/>
      <c r="AZ701" s="93"/>
      <c r="BA701" s="93"/>
      <c r="BB701" s="93"/>
      <c r="BC701" s="93"/>
      <c r="BD701" s="1136"/>
      <c r="BE701" s="93"/>
      <c r="BF701" s="93"/>
      <c r="BG701" s="93"/>
      <c r="BH701" s="93"/>
      <c r="BI701" s="1136"/>
      <c r="BJ701" s="93"/>
      <c r="BK701" s="93"/>
      <c r="BL701" s="93"/>
      <c r="BM701" s="93"/>
      <c r="BN701" s="1136"/>
      <c r="BO701" s="93"/>
      <c r="BP701" s="93"/>
      <c r="BQ701" s="93"/>
      <c r="BR701" s="93"/>
      <c r="BS701" s="1136"/>
      <c r="BT701" s="93"/>
      <c r="BU701" s="93"/>
      <c r="BV701" s="93"/>
      <c r="BW701" s="93"/>
      <c r="BX701" s="1136"/>
      <c r="BY701" s="522"/>
      <c r="BZ701" s="93"/>
      <c r="CA701" s="93"/>
      <c r="CB701" s="93"/>
      <c r="CC701" s="1136"/>
      <c r="CD701" s="93"/>
      <c r="CE701" s="93"/>
      <c r="CF701" s="93"/>
      <c r="CG701" s="93"/>
      <c r="CH701" s="1136"/>
      <c r="CI701" s="1136"/>
      <c r="CJ701" s="1136"/>
      <c r="CK701" s="1136"/>
      <c r="CL701" s="228"/>
    </row>
    <row r="702" spans="1:90" x14ac:dyDescent="0.3">
      <c r="A702" s="45" t="s">
        <v>115</v>
      </c>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c r="AY702" s="45"/>
      <c r="AZ702" s="45"/>
      <c r="BA702" s="45"/>
      <c r="BB702" s="45"/>
      <c r="BC702" s="45"/>
      <c r="BD702" s="45"/>
      <c r="BE702" s="45"/>
      <c r="BF702" s="45"/>
      <c r="BG702" s="45"/>
      <c r="BH702" s="45"/>
      <c r="BI702" s="45"/>
      <c r="BJ702" s="45"/>
      <c r="BK702" s="45"/>
      <c r="BL702" s="45"/>
      <c r="BM702" s="45"/>
      <c r="BN702" s="45"/>
      <c r="BO702" s="45"/>
      <c r="BP702" s="45"/>
      <c r="BQ702" s="45"/>
      <c r="BR702" s="45"/>
      <c r="BS702" s="45"/>
      <c r="BT702" s="45"/>
      <c r="BU702" s="45"/>
      <c r="BV702" s="45"/>
      <c r="BW702" s="45"/>
      <c r="BX702" s="45"/>
      <c r="BY702" s="881"/>
      <c r="BZ702" s="45"/>
      <c r="CA702" s="45"/>
      <c r="CB702" s="45"/>
      <c r="CC702" s="45"/>
      <c r="CD702" s="45"/>
      <c r="CE702" s="45"/>
      <c r="CF702" s="45"/>
      <c r="CG702" s="45"/>
      <c r="CH702" s="45"/>
      <c r="CI702" s="45"/>
      <c r="CJ702" s="45"/>
      <c r="CK702" s="45"/>
      <c r="CL702" s="155"/>
    </row>
    <row r="703" spans="1:90" hidden="1" outlineLevel="1" x14ac:dyDescent="0.3">
      <c r="A703" s="27" t="s">
        <v>116</v>
      </c>
      <c r="B703" s="146"/>
      <c r="C703" s="1114">
        <f t="shared" ref="C703:AH703" si="1639">C868</f>
        <v>282.69299999999998</v>
      </c>
      <c r="D703" s="1114">
        <f t="shared" si="1639"/>
        <v>351.392</v>
      </c>
      <c r="E703" s="1114">
        <f t="shared" si="1639"/>
        <v>524.09799999999996</v>
      </c>
      <c r="F703" s="1114">
        <f t="shared" si="1639"/>
        <v>907.00700000000018</v>
      </c>
      <c r="G703" s="27">
        <f t="shared" si="1639"/>
        <v>150.90299999999999</v>
      </c>
      <c r="H703" s="27">
        <f t="shared" si="1639"/>
        <v>235.22300000000001</v>
      </c>
      <c r="I703" s="27">
        <f t="shared" si="1639"/>
        <v>328.17999999999995</v>
      </c>
      <c r="J703" s="27">
        <f t="shared" si="1639"/>
        <v>222.18799999999996</v>
      </c>
      <c r="K703" s="1114">
        <f t="shared" si="1639"/>
        <v>936.49399999999991</v>
      </c>
      <c r="L703" s="27">
        <f t="shared" si="1639"/>
        <v>162.83699999999999</v>
      </c>
      <c r="M703" s="27">
        <f t="shared" si="1639"/>
        <v>189.774</v>
      </c>
      <c r="N703" s="27">
        <f t="shared" si="1639"/>
        <v>220.34499999999994</v>
      </c>
      <c r="O703" s="27">
        <f t="shared" si="1639"/>
        <v>249.953</v>
      </c>
      <c r="P703" s="1114">
        <f t="shared" si="1639"/>
        <v>822.90899999999988</v>
      </c>
      <c r="Q703" s="27">
        <f t="shared" si="1639"/>
        <v>243</v>
      </c>
      <c r="R703" s="27">
        <f t="shared" si="1639"/>
        <v>252</v>
      </c>
      <c r="S703" s="27">
        <f t="shared" si="1639"/>
        <v>295</v>
      </c>
      <c r="T703" s="27">
        <f t="shared" si="1639"/>
        <v>319</v>
      </c>
      <c r="U703" s="1114">
        <f t="shared" si="1639"/>
        <v>1109</v>
      </c>
      <c r="V703" s="27">
        <f t="shared" si="1639"/>
        <v>266</v>
      </c>
      <c r="W703" s="27">
        <f t="shared" si="1639"/>
        <v>203</v>
      </c>
      <c r="X703" s="27">
        <f t="shared" si="1639"/>
        <v>403</v>
      </c>
      <c r="Y703" s="27">
        <f t="shared" si="1639"/>
        <v>354</v>
      </c>
      <c r="Z703" s="1114">
        <f t="shared" si="1639"/>
        <v>1226</v>
      </c>
      <c r="AA703" s="27">
        <f t="shared" si="1639"/>
        <v>337</v>
      </c>
      <c r="AB703" s="27">
        <f t="shared" si="1639"/>
        <v>430</v>
      </c>
      <c r="AC703" s="27">
        <f t="shared" si="1639"/>
        <v>748</v>
      </c>
      <c r="AD703" s="27">
        <f t="shared" si="1639"/>
        <v>836</v>
      </c>
      <c r="AE703" s="1114">
        <f t="shared" si="1639"/>
        <v>2351</v>
      </c>
      <c r="AF703" s="68">
        <f t="shared" si="1639"/>
        <v>673</v>
      </c>
      <c r="AG703" s="27">
        <f t="shared" si="1639"/>
        <v>815</v>
      </c>
      <c r="AH703" s="27">
        <f t="shared" si="1639"/>
        <v>1042</v>
      </c>
      <c r="AI703" s="27">
        <f t="shared" ref="AI703:AV703" si="1640">AI868</f>
        <v>787</v>
      </c>
      <c r="AJ703" s="1114">
        <f t="shared" si="1640"/>
        <v>3317</v>
      </c>
      <c r="AK703" s="27">
        <f t="shared" si="1640"/>
        <v>1473</v>
      </c>
      <c r="AL703" s="27">
        <f t="shared" si="1640"/>
        <v>1341</v>
      </c>
      <c r="AM703" s="27">
        <f t="shared" si="1640"/>
        <v>1340</v>
      </c>
      <c r="AN703" s="68">
        <f t="shared" si="1640"/>
        <v>446</v>
      </c>
      <c r="AO703" s="1112">
        <f t="shared" si="1640"/>
        <v>4600</v>
      </c>
      <c r="AP703" s="27">
        <f t="shared" si="1640"/>
        <v>619</v>
      </c>
      <c r="AQ703" s="68">
        <f t="shared" si="1640"/>
        <v>886</v>
      </c>
      <c r="AR703" s="27">
        <f t="shared" si="1640"/>
        <v>1239</v>
      </c>
      <c r="AS703" s="68">
        <f t="shared" si="1640"/>
        <v>1300</v>
      </c>
      <c r="AT703" s="1112">
        <f t="shared" si="1640"/>
        <v>4044</v>
      </c>
      <c r="AU703" s="27">
        <f t="shared" si="1640"/>
        <v>1268</v>
      </c>
      <c r="AV703" s="68">
        <f t="shared" si="1640"/>
        <v>1311</v>
      </c>
      <c r="AW703" s="27">
        <f t="shared" ref="AW703:BB703" si="1641">AW868</f>
        <v>1968</v>
      </c>
      <c r="AX703" s="68">
        <f t="shared" si="1641"/>
        <v>1978</v>
      </c>
      <c r="AY703" s="1112">
        <f t="shared" si="1641"/>
        <v>6525</v>
      </c>
      <c r="AZ703" s="27">
        <f t="shared" si="1641"/>
        <v>2510</v>
      </c>
      <c r="BA703" s="68">
        <f t="shared" si="1641"/>
        <v>2958</v>
      </c>
      <c r="BB703" s="27">
        <f t="shared" si="1641"/>
        <v>3290</v>
      </c>
      <c r="BC703" s="68">
        <f t="shared" ref="BC703:BD703" si="1642">BC868</f>
        <v>3713</v>
      </c>
      <c r="BD703" s="1112">
        <f t="shared" si="1642"/>
        <v>12471</v>
      </c>
      <c r="BE703" s="27">
        <f t="shared" ref="BE703:BI703" si="1643">BE868</f>
        <v>3381</v>
      </c>
      <c r="BF703" s="68">
        <f t="shared" si="1643"/>
        <v>1241</v>
      </c>
      <c r="BG703" s="27">
        <f t="shared" si="1643"/>
        <v>1265</v>
      </c>
      <c r="BH703" s="68">
        <f t="shared" si="1643"/>
        <v>1961</v>
      </c>
      <c r="BI703" s="1112">
        <f t="shared" si="1643"/>
        <v>7848</v>
      </c>
      <c r="BJ703" s="27">
        <f t="shared" ref="BJ703:BN703" si="1644">BJ868</f>
        <v>2007</v>
      </c>
      <c r="BK703" s="68">
        <f t="shared" si="1644"/>
        <v>6522</v>
      </c>
      <c r="BL703" s="27">
        <f t="shared" si="1644"/>
        <v>10065</v>
      </c>
      <c r="BM703" s="68">
        <f t="shared" si="1644"/>
        <v>13218</v>
      </c>
      <c r="BN703" s="1112">
        <f t="shared" si="1644"/>
        <v>31812</v>
      </c>
      <c r="BO703" s="27">
        <f t="shared" ref="BO703:BS703" si="1645">BO868</f>
        <v>14511</v>
      </c>
      <c r="BP703" s="68">
        <f t="shared" si="1645"/>
        <v>16148</v>
      </c>
      <c r="BQ703" s="27">
        <f t="shared" si="1645"/>
        <v>20321</v>
      </c>
      <c r="BR703" s="68">
        <f t="shared" si="1645"/>
        <v>22492</v>
      </c>
      <c r="BS703" s="1112">
        <f t="shared" si="1645"/>
        <v>73472</v>
      </c>
      <c r="BT703" s="27">
        <f t="shared" ref="BT703:CK703" si="1646">BT868</f>
        <v>18760</v>
      </c>
      <c r="BU703" s="68">
        <f t="shared" si="1646"/>
        <v>26387</v>
      </c>
      <c r="BV703" s="27">
        <f t="shared" si="1646"/>
        <v>33007</v>
      </c>
      <c r="BW703" s="68">
        <f t="shared" si="1646"/>
        <v>40513</v>
      </c>
      <c r="BX703" s="1112">
        <f t="shared" si="1646"/>
        <v>118667</v>
      </c>
      <c r="BY703" s="508">
        <f>BY868</f>
        <v>46800</v>
      </c>
      <c r="BZ703" s="68">
        <f t="shared" si="1646"/>
        <v>50326.424360240089</v>
      </c>
      <c r="CA703" s="68">
        <f t="shared" si="1646"/>
        <v>53227.920694567227</v>
      </c>
      <c r="CB703" s="68">
        <f t="shared" si="1646"/>
        <v>54595.701048874798</v>
      </c>
      <c r="CC703" s="1112">
        <f t="shared" si="1646"/>
        <v>204950.04610368211</v>
      </c>
      <c r="CD703" s="68">
        <f t="shared" si="1646"/>
        <v>60997.295016709992</v>
      </c>
      <c r="CE703" s="68">
        <f t="shared" si="1646"/>
        <v>68169.80860303386</v>
      </c>
      <c r="CF703" s="68">
        <f t="shared" si="1646"/>
        <v>68013.362283477647</v>
      </c>
      <c r="CG703" s="68">
        <f t="shared" si="1646"/>
        <v>69872.347512636916</v>
      </c>
      <c r="CH703" s="1112">
        <f t="shared" si="1646"/>
        <v>267052.81341585843</v>
      </c>
      <c r="CI703" s="1112">
        <f t="shared" si="1646"/>
        <v>324372.01708322542</v>
      </c>
      <c r="CJ703" s="1112">
        <f t="shared" si="1646"/>
        <v>387562.33505830675</v>
      </c>
      <c r="CK703" s="1112">
        <f t="shared" si="1646"/>
        <v>462583.33492849628</v>
      </c>
      <c r="CL703" s="155"/>
    </row>
    <row r="704" spans="1:90" hidden="1" outlineLevel="1" x14ac:dyDescent="0.3">
      <c r="A704" s="282" t="s">
        <v>855</v>
      </c>
      <c r="B704" s="149"/>
      <c r="C704" s="1123">
        <f t="shared" ref="C704:AH704" si="1647">C705-C703</f>
        <v>-33.332999999999885</v>
      </c>
      <c r="D704" s="1123">
        <f t="shared" si="1647"/>
        <v>136.41500000000002</v>
      </c>
      <c r="E704" s="1123">
        <f t="shared" si="1647"/>
        <v>151.69900000000007</v>
      </c>
      <c r="F704" s="1123">
        <f t="shared" si="1647"/>
        <v>2.1490000000000009</v>
      </c>
      <c r="G704" s="109">
        <f t="shared" si="1647"/>
        <v>-160.11099999999999</v>
      </c>
      <c r="H704" s="109">
        <f t="shared" si="1647"/>
        <v>-34.336999999999989</v>
      </c>
      <c r="I704" s="109">
        <f t="shared" si="1647"/>
        <v>-146.69499999999999</v>
      </c>
      <c r="J704" s="109">
        <f t="shared" si="1647"/>
        <v>228.82100000000005</v>
      </c>
      <c r="K704" s="1123">
        <f t="shared" si="1647"/>
        <v>-112.322</v>
      </c>
      <c r="L704" s="109">
        <f t="shared" si="1647"/>
        <v>12.812999999999988</v>
      </c>
      <c r="M704" s="109">
        <f t="shared" si="1647"/>
        <v>-93.305000000000007</v>
      </c>
      <c r="N704" s="109">
        <f t="shared" si="1647"/>
        <v>-58.03</v>
      </c>
      <c r="O704" s="109">
        <f t="shared" si="1647"/>
        <v>150.75899999999999</v>
      </c>
      <c r="P704" s="1123">
        <f t="shared" si="1647"/>
        <v>12.236999999999966</v>
      </c>
      <c r="Q704" s="109">
        <f t="shared" si="1647"/>
        <v>-92</v>
      </c>
      <c r="R704" s="109">
        <f t="shared" si="1647"/>
        <v>-156</v>
      </c>
      <c r="S704" s="109">
        <f t="shared" si="1647"/>
        <v>-79</v>
      </c>
      <c r="T704" s="109">
        <f t="shared" si="1647"/>
        <v>124</v>
      </c>
      <c r="U704" s="1123">
        <f t="shared" si="1647"/>
        <v>-203</v>
      </c>
      <c r="V704" s="109">
        <f t="shared" si="1647"/>
        <v>-20</v>
      </c>
      <c r="W704" s="109">
        <f t="shared" si="1647"/>
        <v>-40</v>
      </c>
      <c r="X704" s="109">
        <f t="shared" si="1647"/>
        <v>-148</v>
      </c>
      <c r="Y704" s="109">
        <f t="shared" si="1647"/>
        <v>157</v>
      </c>
      <c r="Z704" s="1123">
        <f t="shared" si="1647"/>
        <v>-51</v>
      </c>
      <c r="AA704" s="109">
        <f t="shared" si="1647"/>
        <v>-18</v>
      </c>
      <c r="AB704" s="109">
        <f t="shared" si="1647"/>
        <v>-230</v>
      </c>
      <c r="AC704" s="109">
        <f t="shared" si="1647"/>
        <v>-316</v>
      </c>
      <c r="AD704" s="109">
        <f t="shared" si="1647"/>
        <v>-115</v>
      </c>
      <c r="AE704" s="1123">
        <f t="shared" si="1647"/>
        <v>-679</v>
      </c>
      <c r="AF704" s="109">
        <f t="shared" si="1647"/>
        <v>-391</v>
      </c>
      <c r="AG704" s="109">
        <f t="shared" si="1647"/>
        <v>-110</v>
      </c>
      <c r="AH704" s="109">
        <f t="shared" si="1647"/>
        <v>115</v>
      </c>
      <c r="AI704" s="109">
        <f t="shared" ref="AI704:BG704" si="1648">AI705-AI703</f>
        <v>571</v>
      </c>
      <c r="AJ704" s="1123">
        <f t="shared" si="1648"/>
        <v>185</v>
      </c>
      <c r="AK704" s="109">
        <f t="shared" si="1648"/>
        <v>-28</v>
      </c>
      <c r="AL704" s="109">
        <f t="shared" si="1648"/>
        <v>-428</v>
      </c>
      <c r="AM704" s="109">
        <f t="shared" si="1648"/>
        <v>-853</v>
      </c>
      <c r="AN704" s="109">
        <f t="shared" si="1648"/>
        <v>452</v>
      </c>
      <c r="AO704" s="1123">
        <f t="shared" si="1648"/>
        <v>-857</v>
      </c>
      <c r="AP704" s="109">
        <f t="shared" si="1648"/>
        <v>101</v>
      </c>
      <c r="AQ704" s="109">
        <f t="shared" si="1648"/>
        <v>50</v>
      </c>
      <c r="AR704" s="109">
        <f t="shared" si="1648"/>
        <v>401</v>
      </c>
      <c r="AS704" s="109">
        <f t="shared" si="1648"/>
        <v>165</v>
      </c>
      <c r="AT704" s="1123">
        <f t="shared" si="1648"/>
        <v>717</v>
      </c>
      <c r="AU704" s="109">
        <f t="shared" si="1648"/>
        <v>-359</v>
      </c>
      <c r="AV704" s="109">
        <f t="shared" si="1648"/>
        <v>256</v>
      </c>
      <c r="AW704" s="109">
        <f t="shared" si="1648"/>
        <v>-689</v>
      </c>
      <c r="AX704" s="109">
        <f t="shared" si="1648"/>
        <v>89</v>
      </c>
      <c r="AY704" s="1123">
        <f t="shared" si="1648"/>
        <v>-703</v>
      </c>
      <c r="AZ704" s="109">
        <f t="shared" si="1648"/>
        <v>-636</v>
      </c>
      <c r="BA704" s="109">
        <f t="shared" si="1648"/>
        <v>-276</v>
      </c>
      <c r="BB704" s="109">
        <f t="shared" si="1648"/>
        <v>-1771</v>
      </c>
      <c r="BC704" s="109">
        <f t="shared" si="1648"/>
        <v>-680</v>
      </c>
      <c r="BD704" s="1123">
        <f t="shared" si="1648"/>
        <v>-3363</v>
      </c>
      <c r="BE704" s="109">
        <f t="shared" si="1648"/>
        <v>-1650</v>
      </c>
      <c r="BF704" s="109">
        <f t="shared" si="1648"/>
        <v>29</v>
      </c>
      <c r="BG704" s="109">
        <f t="shared" si="1648"/>
        <v>-873</v>
      </c>
      <c r="BH704" s="109">
        <f t="shared" ref="BH704:BI704" si="1649">BH705-BH703</f>
        <v>287</v>
      </c>
      <c r="BI704" s="1123">
        <f t="shared" si="1649"/>
        <v>-2207</v>
      </c>
      <c r="BJ704" s="109">
        <f t="shared" ref="BJ704:BN704" si="1650">BJ705-BJ703</f>
        <v>904</v>
      </c>
      <c r="BK704" s="109">
        <f t="shared" si="1650"/>
        <v>-174</v>
      </c>
      <c r="BL704" s="109">
        <f t="shared" si="1650"/>
        <v>-2733</v>
      </c>
      <c r="BM704" s="109">
        <f t="shared" si="1650"/>
        <v>-1719</v>
      </c>
      <c r="BN704" s="1123">
        <f t="shared" si="1650"/>
        <v>-3722</v>
      </c>
      <c r="BO704" s="109">
        <f t="shared" ref="BO704:BS704" si="1651">BO705-BO703</f>
        <v>834</v>
      </c>
      <c r="BP704" s="109">
        <f t="shared" si="1651"/>
        <v>-1660</v>
      </c>
      <c r="BQ704" s="109">
        <f t="shared" si="1651"/>
        <v>-2694</v>
      </c>
      <c r="BR704" s="109">
        <f t="shared" si="1651"/>
        <v>-5863</v>
      </c>
      <c r="BS704" s="1123">
        <f t="shared" si="1651"/>
        <v>-9383</v>
      </c>
      <c r="BT704" s="109">
        <f t="shared" ref="BT704:CK704" si="1652">BT705-BT703</f>
        <v>8654</v>
      </c>
      <c r="BU704" s="109">
        <f t="shared" si="1652"/>
        <v>-11022</v>
      </c>
      <c r="BV704" s="109">
        <f t="shared" si="1652"/>
        <v>-9256</v>
      </c>
      <c r="BW704" s="109">
        <f t="shared" si="1652"/>
        <v>-4325</v>
      </c>
      <c r="BX704" s="1123">
        <f t="shared" si="1652"/>
        <v>-15949</v>
      </c>
      <c r="BY704" s="730">
        <f>BY705-BY703</f>
        <v>3544</v>
      </c>
      <c r="BZ704" s="109">
        <f t="shared" si="1652"/>
        <v>-8122.8596779050713</v>
      </c>
      <c r="CA704" s="109">
        <f t="shared" si="1652"/>
        <v>-15125.758319584136</v>
      </c>
      <c r="CB704" s="109">
        <f t="shared" si="1652"/>
        <v>1801.4454764121838</v>
      </c>
      <c r="CC704" s="1123">
        <f t="shared" si="1652"/>
        <v>-17903.172521077009</v>
      </c>
      <c r="CD704" s="109">
        <f t="shared" si="1652"/>
        <v>9935.9777294524101</v>
      </c>
      <c r="CE704" s="109">
        <f t="shared" si="1652"/>
        <v>-8413.1409735733614</v>
      </c>
      <c r="CF704" s="109">
        <f t="shared" si="1652"/>
        <v>-17253.150527886777</v>
      </c>
      <c r="CG704" s="109">
        <f t="shared" si="1652"/>
        <v>3486.5109152334044</v>
      </c>
      <c r="CH704" s="1123">
        <f t="shared" si="1652"/>
        <v>-12243.802856774302</v>
      </c>
      <c r="CI704" s="1123">
        <f t="shared" si="1652"/>
        <v>-11238.900468692591</v>
      </c>
      <c r="CJ704" s="1123">
        <f t="shared" si="1652"/>
        <v>-12055.34297785128</v>
      </c>
      <c r="CK704" s="1123">
        <f t="shared" si="1652"/>
        <v>-14188.499246411899</v>
      </c>
      <c r="CL704" s="155"/>
    </row>
    <row r="705" spans="1:90" collapsed="1" x14ac:dyDescent="0.3">
      <c r="A705" s="600" t="s">
        <v>856</v>
      </c>
      <c r="B705" s="279"/>
      <c r="C705" s="1127">
        <f t="shared" ref="C705:AH705" si="1653">C877</f>
        <v>249.3600000000001</v>
      </c>
      <c r="D705" s="1127">
        <f t="shared" si="1653"/>
        <v>487.80700000000002</v>
      </c>
      <c r="E705" s="1127">
        <f t="shared" si="1653"/>
        <v>675.79700000000003</v>
      </c>
      <c r="F705" s="1127">
        <f t="shared" si="1653"/>
        <v>909.15600000000018</v>
      </c>
      <c r="G705" s="63">
        <f t="shared" si="1653"/>
        <v>-9.2080000000000126</v>
      </c>
      <c r="H705" s="63">
        <f t="shared" si="1653"/>
        <v>200.88600000000002</v>
      </c>
      <c r="I705" s="63">
        <f t="shared" si="1653"/>
        <v>181.48499999999996</v>
      </c>
      <c r="J705" s="63">
        <f t="shared" si="1653"/>
        <v>451.00900000000001</v>
      </c>
      <c r="K705" s="1127">
        <f t="shared" si="1653"/>
        <v>824.17199999999991</v>
      </c>
      <c r="L705" s="63">
        <f t="shared" si="1653"/>
        <v>175.64999999999998</v>
      </c>
      <c r="M705" s="63">
        <f t="shared" si="1653"/>
        <v>96.468999999999994</v>
      </c>
      <c r="N705" s="63">
        <f t="shared" si="1653"/>
        <v>162.31499999999994</v>
      </c>
      <c r="O705" s="63">
        <f t="shared" si="1653"/>
        <v>400.71199999999999</v>
      </c>
      <c r="P705" s="1127">
        <f t="shared" si="1653"/>
        <v>835.14599999999984</v>
      </c>
      <c r="Q705" s="63">
        <f t="shared" si="1653"/>
        <v>151</v>
      </c>
      <c r="R705" s="63">
        <f t="shared" si="1653"/>
        <v>96</v>
      </c>
      <c r="S705" s="63">
        <f t="shared" si="1653"/>
        <v>216</v>
      </c>
      <c r="T705" s="63">
        <f t="shared" si="1653"/>
        <v>443</v>
      </c>
      <c r="U705" s="1127">
        <f t="shared" si="1653"/>
        <v>906</v>
      </c>
      <c r="V705" s="63">
        <f t="shared" si="1653"/>
        <v>246</v>
      </c>
      <c r="W705" s="63">
        <f t="shared" si="1653"/>
        <v>163</v>
      </c>
      <c r="X705" s="63">
        <f t="shared" si="1653"/>
        <v>255</v>
      </c>
      <c r="Y705" s="63">
        <f t="shared" si="1653"/>
        <v>511</v>
      </c>
      <c r="Z705" s="1127">
        <f t="shared" si="1653"/>
        <v>1175</v>
      </c>
      <c r="AA705" s="63">
        <f t="shared" si="1653"/>
        <v>319</v>
      </c>
      <c r="AB705" s="63">
        <f t="shared" si="1653"/>
        <v>200</v>
      </c>
      <c r="AC705" s="63">
        <f t="shared" si="1653"/>
        <v>432</v>
      </c>
      <c r="AD705" s="63">
        <f t="shared" si="1653"/>
        <v>721</v>
      </c>
      <c r="AE705" s="1127">
        <f t="shared" si="1653"/>
        <v>1672</v>
      </c>
      <c r="AF705" s="63">
        <f t="shared" si="1653"/>
        <v>282</v>
      </c>
      <c r="AG705" s="63">
        <f t="shared" si="1653"/>
        <v>705</v>
      </c>
      <c r="AH705" s="63">
        <f t="shared" si="1653"/>
        <v>1157</v>
      </c>
      <c r="AI705" s="63">
        <f t="shared" ref="AI705:BG705" si="1654">AI877</f>
        <v>1358</v>
      </c>
      <c r="AJ705" s="1127">
        <f t="shared" si="1654"/>
        <v>3502</v>
      </c>
      <c r="AK705" s="63">
        <f t="shared" si="1654"/>
        <v>1445</v>
      </c>
      <c r="AL705" s="63">
        <f t="shared" si="1654"/>
        <v>913</v>
      </c>
      <c r="AM705" s="63">
        <f t="shared" si="1654"/>
        <v>487</v>
      </c>
      <c r="AN705" s="63">
        <f t="shared" si="1654"/>
        <v>898</v>
      </c>
      <c r="AO705" s="1127">
        <f t="shared" si="1654"/>
        <v>3743</v>
      </c>
      <c r="AP705" s="63">
        <f t="shared" si="1654"/>
        <v>720</v>
      </c>
      <c r="AQ705" s="63">
        <f t="shared" si="1654"/>
        <v>936</v>
      </c>
      <c r="AR705" s="63">
        <f t="shared" si="1654"/>
        <v>1640</v>
      </c>
      <c r="AS705" s="63">
        <f t="shared" si="1654"/>
        <v>1465</v>
      </c>
      <c r="AT705" s="1127">
        <f t="shared" si="1654"/>
        <v>4761</v>
      </c>
      <c r="AU705" s="63">
        <f t="shared" si="1654"/>
        <v>909</v>
      </c>
      <c r="AV705" s="63">
        <f t="shared" si="1654"/>
        <v>1567</v>
      </c>
      <c r="AW705" s="63">
        <f t="shared" si="1654"/>
        <v>1279</v>
      </c>
      <c r="AX705" s="63">
        <f t="shared" si="1654"/>
        <v>2067</v>
      </c>
      <c r="AY705" s="1127">
        <f t="shared" si="1654"/>
        <v>5822</v>
      </c>
      <c r="AZ705" s="63">
        <f t="shared" si="1654"/>
        <v>1874</v>
      </c>
      <c r="BA705" s="63">
        <f t="shared" si="1654"/>
        <v>2682</v>
      </c>
      <c r="BB705" s="63">
        <f t="shared" si="1654"/>
        <v>1519</v>
      </c>
      <c r="BC705" s="63">
        <f t="shared" si="1654"/>
        <v>3033</v>
      </c>
      <c r="BD705" s="1127">
        <f t="shared" si="1654"/>
        <v>9108</v>
      </c>
      <c r="BE705" s="63">
        <f t="shared" si="1654"/>
        <v>1731</v>
      </c>
      <c r="BF705" s="63">
        <f t="shared" si="1654"/>
        <v>1270</v>
      </c>
      <c r="BG705" s="63">
        <f t="shared" si="1654"/>
        <v>392</v>
      </c>
      <c r="BH705" s="63">
        <f t="shared" ref="BH705:BI705" si="1655">BH877</f>
        <v>2248</v>
      </c>
      <c r="BI705" s="1127">
        <f t="shared" si="1655"/>
        <v>5641</v>
      </c>
      <c r="BJ705" s="63">
        <f t="shared" ref="BJ705:BN705" si="1656">BJ877</f>
        <v>2911</v>
      </c>
      <c r="BK705" s="63">
        <f t="shared" si="1656"/>
        <v>6348</v>
      </c>
      <c r="BL705" s="63">
        <f t="shared" si="1656"/>
        <v>7332</v>
      </c>
      <c r="BM705" s="63">
        <f t="shared" si="1656"/>
        <v>11499</v>
      </c>
      <c r="BN705" s="1127">
        <f t="shared" si="1656"/>
        <v>28090</v>
      </c>
      <c r="BO705" s="63">
        <f t="shared" ref="BO705:BS705" si="1657">BO877</f>
        <v>15345</v>
      </c>
      <c r="BP705" s="63">
        <f t="shared" si="1657"/>
        <v>14488</v>
      </c>
      <c r="BQ705" s="63">
        <f t="shared" si="1657"/>
        <v>17627</v>
      </c>
      <c r="BR705" s="63">
        <f t="shared" si="1657"/>
        <v>16629</v>
      </c>
      <c r="BS705" s="1127">
        <f t="shared" si="1657"/>
        <v>64089</v>
      </c>
      <c r="BT705" s="63">
        <f t="shared" ref="BT705:CK705" si="1658">BT877</f>
        <v>27414</v>
      </c>
      <c r="BU705" s="63">
        <f t="shared" si="1658"/>
        <v>15365</v>
      </c>
      <c r="BV705" s="63">
        <f t="shared" si="1658"/>
        <v>23751</v>
      </c>
      <c r="BW705" s="63">
        <f t="shared" si="1658"/>
        <v>36188</v>
      </c>
      <c r="BX705" s="1127">
        <f t="shared" si="1658"/>
        <v>102718</v>
      </c>
      <c r="BY705" s="587">
        <f>BY877</f>
        <v>50344</v>
      </c>
      <c r="BZ705" s="63">
        <f t="shared" si="1658"/>
        <v>42203.564682335018</v>
      </c>
      <c r="CA705" s="63">
        <f t="shared" si="1658"/>
        <v>38102.162374983091</v>
      </c>
      <c r="CB705" s="63">
        <f t="shared" si="1658"/>
        <v>56397.146525286982</v>
      </c>
      <c r="CC705" s="1127">
        <f t="shared" si="1658"/>
        <v>187046.8735826051</v>
      </c>
      <c r="CD705" s="63">
        <f t="shared" si="1658"/>
        <v>70933.272746162402</v>
      </c>
      <c r="CE705" s="63">
        <f t="shared" si="1658"/>
        <v>59756.667629460499</v>
      </c>
      <c r="CF705" s="63">
        <f t="shared" si="1658"/>
        <v>50760.21175559087</v>
      </c>
      <c r="CG705" s="63">
        <f t="shared" si="1658"/>
        <v>73358.85842787032</v>
      </c>
      <c r="CH705" s="1127">
        <f t="shared" si="1658"/>
        <v>254809.01055908413</v>
      </c>
      <c r="CI705" s="1127">
        <f t="shared" si="1658"/>
        <v>313133.11661453283</v>
      </c>
      <c r="CJ705" s="1127">
        <f t="shared" si="1658"/>
        <v>375506.99208045547</v>
      </c>
      <c r="CK705" s="1127">
        <f t="shared" si="1658"/>
        <v>448394.83568208438</v>
      </c>
      <c r="CL705" s="155"/>
    </row>
    <row r="706" spans="1:90" hidden="1" outlineLevel="1" x14ac:dyDescent="0.3">
      <c r="A706" s="719" t="s">
        <v>857</v>
      </c>
      <c r="B706" s="613"/>
      <c r="C706" s="1202">
        <f t="shared" ref="C706:AH706" si="1659">C703/C437</f>
        <v>1.2893613877101249E-2</v>
      </c>
      <c r="D706" s="1202">
        <f t="shared" si="1659"/>
        <v>1.5984744547595048E-2</v>
      </c>
      <c r="E706" s="1203">
        <f t="shared" si="1659"/>
        <v>2.2257187217590419E-2</v>
      </c>
      <c r="F706" s="1203">
        <f t="shared" si="1659"/>
        <v>3.6788192500945054E-2</v>
      </c>
      <c r="G706" s="94">
        <f t="shared" si="1659"/>
        <v>6.047867377594239E-3</v>
      </c>
      <c r="H706" s="94">
        <f t="shared" si="1659"/>
        <v>9.4369590928566963E-3</v>
      </c>
      <c r="I706" s="94">
        <f t="shared" si="1659"/>
        <v>1.3046935254315448E-2</v>
      </c>
      <c r="J706" s="94">
        <f t="shared" si="1659"/>
        <v>8.9301274239652201E-3</v>
      </c>
      <c r="K706" s="1203">
        <f t="shared" si="1659"/>
        <v>3.7462337408813724E-2</v>
      </c>
      <c r="L706" s="94">
        <f t="shared" si="1659"/>
        <v>6.5734084501584029E-3</v>
      </c>
      <c r="M706" s="94">
        <f t="shared" si="1659"/>
        <v>8.014023506518515E-3</v>
      </c>
      <c r="N706" s="94">
        <f t="shared" si="1659"/>
        <v>9.3564437997662835E-3</v>
      </c>
      <c r="O706" s="94">
        <f t="shared" si="1659"/>
        <v>1.082317495617955E-2</v>
      </c>
      <c r="P706" s="1203">
        <f t="shared" si="1659"/>
        <v>3.4604098789437474E-2</v>
      </c>
      <c r="Q706" s="94">
        <f t="shared" si="1659"/>
        <v>1.0657894736842106E-2</v>
      </c>
      <c r="R706" s="94">
        <f t="shared" si="1659"/>
        <v>1.1033274956217164E-2</v>
      </c>
      <c r="S706" s="94">
        <f t="shared" si="1659"/>
        <v>1.3216845878136201E-2</v>
      </c>
      <c r="T706" s="94">
        <f t="shared" si="1659"/>
        <v>1.4317773788150807E-2</v>
      </c>
      <c r="U706" s="1203">
        <f t="shared" si="1659"/>
        <v>4.9245115452930727E-2</v>
      </c>
      <c r="V706" s="94">
        <f t="shared" si="1659"/>
        <v>1.1707746478873239E-2</v>
      </c>
      <c r="W706" s="94">
        <f t="shared" si="1659"/>
        <v>9.1276978417266195E-3</v>
      </c>
      <c r="X706" s="94">
        <f t="shared" si="1659"/>
        <v>1.7831858407079647E-2</v>
      </c>
      <c r="Y706" s="94">
        <f t="shared" si="1659"/>
        <v>1.4924114671163575E-2</v>
      </c>
      <c r="Z706" s="1203">
        <f t="shared" si="1659"/>
        <v>5.3866432337434093E-2</v>
      </c>
      <c r="AA706" s="94">
        <f t="shared" si="1659"/>
        <v>1.4112227805695142E-2</v>
      </c>
      <c r="AB706" s="94">
        <f t="shared" si="1659"/>
        <v>1.7036450079239304E-2</v>
      </c>
      <c r="AC706" s="94">
        <f t="shared" si="1659"/>
        <v>2.8637059724349156E-2</v>
      </c>
      <c r="AD706" s="94">
        <f t="shared" si="1659"/>
        <v>3.1666666666666669E-2</v>
      </c>
      <c r="AE706" s="1203">
        <f t="shared" si="1659"/>
        <v>9.0562403697996924E-2</v>
      </c>
      <c r="AF706" s="94">
        <f t="shared" si="1659"/>
        <v>2.6248049921996881E-2</v>
      </c>
      <c r="AG706" s="94">
        <f t="shared" si="1659"/>
        <v>3.2187993680884673E-2</v>
      </c>
      <c r="AH706" s="94">
        <f t="shared" si="1659"/>
        <v>4.1480891719745221E-2</v>
      </c>
      <c r="AI706" s="94">
        <f t="shared" ref="AI706:BI706" si="1660">AI703/AI437</f>
        <v>3.1329617834394904E-2</v>
      </c>
      <c r="AJ706" s="1203">
        <f t="shared" si="1660"/>
        <v>0.13121044303797469</v>
      </c>
      <c r="AK706" s="94">
        <f t="shared" si="1660"/>
        <v>5.8732057416267941E-2</v>
      </c>
      <c r="AL706" s="94">
        <f t="shared" si="1660"/>
        <v>5.3554313099041531E-2</v>
      </c>
      <c r="AM706" s="94">
        <f t="shared" si="1660"/>
        <v>5.3600000000000002E-2</v>
      </c>
      <c r="AN706" s="94">
        <f t="shared" si="1660"/>
        <v>1.801292407108239E-2</v>
      </c>
      <c r="AO706" s="1203">
        <f t="shared" si="1660"/>
        <v>0.184</v>
      </c>
      <c r="AP706" s="94">
        <f t="shared" si="1660"/>
        <v>2.5121753246753246E-2</v>
      </c>
      <c r="AQ706" s="94">
        <f t="shared" si="1660"/>
        <v>3.5957792207792209E-2</v>
      </c>
      <c r="AR706" s="94">
        <f t="shared" si="1660"/>
        <v>5.0121359223300972E-2</v>
      </c>
      <c r="AS706" s="94">
        <f t="shared" si="1660"/>
        <v>5.2334943639291469E-2</v>
      </c>
      <c r="AT706" s="1203">
        <f t="shared" si="1660"/>
        <v>0.16359223300970874</v>
      </c>
      <c r="AU706" s="94">
        <f t="shared" si="1660"/>
        <v>5.0964630225080389E-2</v>
      </c>
      <c r="AV706" s="94">
        <f t="shared" si="1660"/>
        <v>5.2356230031948885E-2</v>
      </c>
      <c r="AW706" s="94">
        <f t="shared" si="1660"/>
        <v>7.8095238095238093E-2</v>
      </c>
      <c r="AX706" s="94">
        <f t="shared" si="1660"/>
        <v>7.8367670364500791E-2</v>
      </c>
      <c r="AY706" s="1203">
        <f t="shared" si="1660"/>
        <v>0.25975318471337577</v>
      </c>
      <c r="AZ706" s="94">
        <f t="shared" si="1660"/>
        <v>9.9287974683544306E-2</v>
      </c>
      <c r="BA706" s="94">
        <f t="shared" si="1660"/>
        <v>0.11682464454976303</v>
      </c>
      <c r="BB706" s="94">
        <f t="shared" si="1660"/>
        <v>0.12962962962962962</v>
      </c>
      <c r="BC706" s="94">
        <f t="shared" si="1660"/>
        <v>0.14589390962671905</v>
      </c>
      <c r="BD706" s="1203">
        <f t="shared" si="1660"/>
        <v>0.49195266272189347</v>
      </c>
      <c r="BE706" s="94">
        <f t="shared" si="1660"/>
        <v>0.13326763894363422</v>
      </c>
      <c r="BF706" s="94">
        <f t="shared" si="1660"/>
        <v>4.9324324324324327E-2</v>
      </c>
      <c r="BG706" s="94">
        <f t="shared" si="1660"/>
        <v>5.0620248099239692E-2</v>
      </c>
      <c r="BH706" s="94">
        <f t="shared" si="1660"/>
        <v>7.9168348809043193E-2</v>
      </c>
      <c r="BI706" s="1203">
        <f t="shared" si="1660"/>
        <v>0.31304347826086959</v>
      </c>
      <c r="BJ706" s="94">
        <f t="shared" ref="BJ706:BN706" si="1661">BJ703/BJ437</f>
        <v>8.0602409638554223E-2</v>
      </c>
      <c r="BK706" s="94">
        <f t="shared" si="1661"/>
        <v>0.26098439375750299</v>
      </c>
      <c r="BL706" s="94">
        <f t="shared" si="1661"/>
        <v>0.40356856455493184</v>
      </c>
      <c r="BM706" s="94">
        <f t="shared" si="1661"/>
        <v>0.53084337349397592</v>
      </c>
      <c r="BN706" s="1203">
        <f t="shared" si="1661"/>
        <v>1.2755412991178829</v>
      </c>
      <c r="BO706" s="94">
        <f t="shared" ref="BO706:BS706" si="1662">BO703/BO437</f>
        <v>0.5830052229811169</v>
      </c>
      <c r="BP706" s="94">
        <f t="shared" si="1662"/>
        <v>0.64987121699935613</v>
      </c>
      <c r="BQ706" s="94">
        <f t="shared" si="1662"/>
        <v>0.82025510615968356</v>
      </c>
      <c r="BR706" s="94">
        <f t="shared" si="1662"/>
        <v>0.91038614101837612</v>
      </c>
      <c r="BS706" s="1203">
        <f t="shared" si="1662"/>
        <v>2.9621028866311887</v>
      </c>
      <c r="BT706" s="94">
        <f t="shared" ref="BT706:CK706" si="1663">BT703/BT437</f>
        <v>0.76226077770102796</v>
      </c>
      <c r="BU706" s="94">
        <f t="shared" si="1663"/>
        <v>1.0756155225827491</v>
      </c>
      <c r="BV706" s="94">
        <f t="shared" si="1663"/>
        <v>1.3481599477188253</v>
      </c>
      <c r="BW706" s="94">
        <f t="shared" si="1663"/>
        <v>1.658194171578258</v>
      </c>
      <c r="BX706" s="1203">
        <f t="shared" si="1663"/>
        <v>4.8407848576323733</v>
      </c>
      <c r="BY706" s="933">
        <f>BY703/BY437</f>
        <v>1.9187405190439097</v>
      </c>
      <c r="BZ706" s="94">
        <f t="shared" si="1663"/>
        <v>2.0631850349525194</v>
      </c>
      <c r="CA706" s="94">
        <f t="shared" si="1663"/>
        <v>2.1761941949231733</v>
      </c>
      <c r="CB706" s="94">
        <f t="shared" si="1663"/>
        <v>2.2321151406999995</v>
      </c>
      <c r="CC706" s="1203">
        <f t="shared" si="1663"/>
        <v>8.3916205616618846</v>
      </c>
      <c r="CD706" s="94">
        <f t="shared" si="1663"/>
        <v>2.4938407811021062</v>
      </c>
      <c r="CE706" s="94">
        <f t="shared" si="1663"/>
        <v>2.7870850451253433</v>
      </c>
      <c r="CF706" s="94">
        <f t="shared" si="1663"/>
        <v>2.7806888235936222</v>
      </c>
      <c r="CG706" s="94">
        <f t="shared" si="1663"/>
        <v>2.8566924098948476</v>
      </c>
      <c r="CH706" s="1203">
        <f t="shared" si="1663"/>
        <v>10.91830705971592</v>
      </c>
      <c r="CI706" s="1203">
        <f t="shared" si="1663"/>
        <v>13.261771103602095</v>
      </c>
      <c r="CJ706" s="1203">
        <f t="shared" si="1663"/>
        <v>15.84527241942105</v>
      </c>
      <c r="CK706" s="1203">
        <f t="shared" si="1663"/>
        <v>18.912464642684093</v>
      </c>
      <c r="CL706" s="155"/>
    </row>
    <row r="707" spans="1:90" collapsed="1" x14ac:dyDescent="0.3">
      <c r="A707" s="719" t="s">
        <v>117</v>
      </c>
      <c r="B707" s="613"/>
      <c r="C707" s="1202">
        <f t="shared" ref="C707:AH707" si="1664">C705/C437</f>
        <v>1.1373297380529298E-2</v>
      </c>
      <c r="D707" s="1202">
        <f t="shared" si="1664"/>
        <v>2.2190232798494837E-2</v>
      </c>
      <c r="E707" s="1203">
        <f t="shared" si="1664"/>
        <v>2.8699480536246953E-2</v>
      </c>
      <c r="F707" s="1203">
        <f t="shared" si="1664"/>
        <v>3.6875355913889532E-2</v>
      </c>
      <c r="G707" s="94">
        <f t="shared" si="1664"/>
        <v>-3.6903681711356192E-4</v>
      </c>
      <c r="H707" s="94">
        <f t="shared" si="1664"/>
        <v>8.0593860478252993E-3</v>
      </c>
      <c r="I707" s="94">
        <f t="shared" si="1664"/>
        <v>7.2150132385563987E-3</v>
      </c>
      <c r="J707" s="94">
        <f t="shared" si="1664"/>
        <v>1.8126846811507061E-2</v>
      </c>
      <c r="K707" s="1203">
        <f t="shared" si="1664"/>
        <v>3.296914827740148E-2</v>
      </c>
      <c r="L707" s="94">
        <f t="shared" si="1664"/>
        <v>7.0906439830648038E-3</v>
      </c>
      <c r="M707" s="94">
        <f t="shared" si="1664"/>
        <v>4.0738185085961972E-3</v>
      </c>
      <c r="N707" s="94">
        <f t="shared" si="1664"/>
        <v>6.8923332744517197E-3</v>
      </c>
      <c r="O707" s="94">
        <f t="shared" si="1664"/>
        <v>1.7351166351436551E-2</v>
      </c>
      <c r="P707" s="1203">
        <f t="shared" si="1664"/>
        <v>3.5118676169058234E-2</v>
      </c>
      <c r="Q707" s="94">
        <f t="shared" si="1664"/>
        <v>6.6228070175438592E-3</v>
      </c>
      <c r="R707" s="94">
        <f t="shared" si="1664"/>
        <v>4.2031523642732053E-3</v>
      </c>
      <c r="S707" s="94">
        <f t="shared" si="1664"/>
        <v>9.6774193548387101E-3</v>
      </c>
      <c r="T707" s="94">
        <f t="shared" si="1664"/>
        <v>1.9883303411131058E-2</v>
      </c>
      <c r="U707" s="1203">
        <f t="shared" si="1664"/>
        <v>4.023090586145648E-2</v>
      </c>
      <c r="V707" s="94">
        <f t="shared" si="1664"/>
        <v>1.0827464788732394E-2</v>
      </c>
      <c r="W707" s="94">
        <f t="shared" si="1664"/>
        <v>7.3291366906474819E-3</v>
      </c>
      <c r="X707" s="94">
        <f t="shared" si="1664"/>
        <v>1.1283185840707964E-2</v>
      </c>
      <c r="Y707" s="94">
        <f t="shared" si="1664"/>
        <v>2.154300168634064E-2</v>
      </c>
      <c r="Z707" s="1203">
        <f t="shared" si="1664"/>
        <v>5.162565905096661E-2</v>
      </c>
      <c r="AA707" s="94">
        <f t="shared" si="1664"/>
        <v>1.3358458961474038E-2</v>
      </c>
      <c r="AB707" s="94">
        <f t="shared" si="1664"/>
        <v>7.9239302694136295E-3</v>
      </c>
      <c r="AC707" s="94">
        <f t="shared" si="1664"/>
        <v>1.653905053598775E-2</v>
      </c>
      <c r="AD707" s="94">
        <f t="shared" si="1664"/>
        <v>2.731060606060606E-2</v>
      </c>
      <c r="AE707" s="1203">
        <f t="shared" si="1664"/>
        <v>6.4406779661016947E-2</v>
      </c>
      <c r="AF707" s="94">
        <f t="shared" si="1664"/>
        <v>1.0998439937597504E-2</v>
      </c>
      <c r="AG707" s="94">
        <f t="shared" si="1664"/>
        <v>2.7843601895734597E-2</v>
      </c>
      <c r="AH707" s="94">
        <f t="shared" si="1664"/>
        <v>4.6058917197452226E-2</v>
      </c>
      <c r="AI707" s="94">
        <f t="shared" ref="AI707:BI707" si="1665">AI705/AI437</f>
        <v>5.4060509554140129E-2</v>
      </c>
      <c r="AJ707" s="1203">
        <f t="shared" si="1665"/>
        <v>0.13852848101265822</v>
      </c>
      <c r="AK707" s="94">
        <f t="shared" si="1665"/>
        <v>5.7615629984051037E-2</v>
      </c>
      <c r="AL707" s="94">
        <f t="shared" si="1665"/>
        <v>3.6461661341853038E-2</v>
      </c>
      <c r="AM707" s="94">
        <f t="shared" si="1665"/>
        <v>1.9480000000000001E-2</v>
      </c>
      <c r="AN707" s="94">
        <f t="shared" si="1665"/>
        <v>3.6268174474959614E-2</v>
      </c>
      <c r="AO707" s="1203">
        <f t="shared" si="1665"/>
        <v>0.14971999999999999</v>
      </c>
      <c r="AP707" s="94">
        <f t="shared" si="1665"/>
        <v>2.922077922077922E-2</v>
      </c>
      <c r="AQ707" s="94">
        <f t="shared" si="1665"/>
        <v>3.7987012987012986E-2</v>
      </c>
      <c r="AR707" s="94">
        <f t="shared" si="1665"/>
        <v>6.6343042071197414E-2</v>
      </c>
      <c r="AS707" s="94">
        <f t="shared" si="1665"/>
        <v>5.897745571658615E-2</v>
      </c>
      <c r="AT707" s="1203">
        <f t="shared" si="1665"/>
        <v>0.19259708737864079</v>
      </c>
      <c r="AU707" s="94">
        <f t="shared" si="1665"/>
        <v>3.6535369774919613E-2</v>
      </c>
      <c r="AV707" s="94">
        <f t="shared" si="1665"/>
        <v>6.257987220447285E-2</v>
      </c>
      <c r="AW707" s="94">
        <f t="shared" si="1665"/>
        <v>5.0753968253968253E-2</v>
      </c>
      <c r="AX707" s="94">
        <f t="shared" si="1665"/>
        <v>8.1893819334389856E-2</v>
      </c>
      <c r="AY707" s="1203">
        <f t="shared" si="1665"/>
        <v>0.23176751592356687</v>
      </c>
      <c r="AZ707" s="94">
        <f t="shared" si="1665"/>
        <v>7.4129746835443044E-2</v>
      </c>
      <c r="BA707" s="94">
        <f t="shared" si="1665"/>
        <v>0.10592417061611374</v>
      </c>
      <c r="BB707" s="94">
        <f t="shared" si="1665"/>
        <v>5.9850275807722619E-2</v>
      </c>
      <c r="BC707" s="94">
        <f t="shared" si="1665"/>
        <v>0.11917485265225933</v>
      </c>
      <c r="BD707" s="1203">
        <f t="shared" si="1665"/>
        <v>0.35928994082840238</v>
      </c>
      <c r="BE707" s="94">
        <f t="shared" si="1665"/>
        <v>6.8230193141505718E-2</v>
      </c>
      <c r="BF707" s="94">
        <f t="shared" si="1665"/>
        <v>5.0476947535771068E-2</v>
      </c>
      <c r="BG707" s="94">
        <f t="shared" si="1665"/>
        <v>1.5686274509803921E-2</v>
      </c>
      <c r="BH707" s="94">
        <f t="shared" si="1665"/>
        <v>9.0754945498586995E-2</v>
      </c>
      <c r="BI707" s="1203">
        <f t="shared" si="1665"/>
        <v>0.2250099720781811</v>
      </c>
      <c r="BJ707" s="94">
        <f t="shared" ref="BJ707:BN707" si="1666">BJ705/BJ437</f>
        <v>0.11690763052208836</v>
      </c>
      <c r="BK707" s="94">
        <f t="shared" si="1666"/>
        <v>0.25402160864345741</v>
      </c>
      <c r="BL707" s="94">
        <f t="shared" si="1666"/>
        <v>0.29398556535685644</v>
      </c>
      <c r="BM707" s="94">
        <f t="shared" si="1666"/>
        <v>0.46180722891566267</v>
      </c>
      <c r="BN707" s="1203">
        <f t="shared" si="1666"/>
        <v>1.1263031275060145</v>
      </c>
      <c r="BO707" s="94">
        <f t="shared" ref="BO707:BS707" si="1667">BO705/BO437</f>
        <v>0.61651265568501401</v>
      </c>
      <c r="BP707" s="94">
        <f t="shared" si="1667"/>
        <v>0.58306503541532517</v>
      </c>
      <c r="BQ707" s="94">
        <f t="shared" si="1667"/>
        <v>0.71151206910470655</v>
      </c>
      <c r="BR707" s="94">
        <f t="shared" si="1667"/>
        <v>0.67307536630777953</v>
      </c>
      <c r="BS707" s="1203">
        <f t="shared" si="1667"/>
        <v>2.5838171262699565</v>
      </c>
      <c r="BT707" s="94">
        <f t="shared" ref="BT707:CK707" si="1668">BT705/BT437</f>
        <v>1.1138921620413635</v>
      </c>
      <c r="BU707" s="94">
        <f t="shared" si="1668"/>
        <v>0.62632480026088377</v>
      </c>
      <c r="BV707" s="94">
        <f t="shared" si="1668"/>
        <v>0.97010170322264433</v>
      </c>
      <c r="BW707" s="94">
        <f t="shared" si="1668"/>
        <v>1.4811722331368697</v>
      </c>
      <c r="BX707" s="1203">
        <f t="shared" si="1668"/>
        <v>4.1901770416904629</v>
      </c>
      <c r="BY707" s="933">
        <f>BY705/BY437</f>
        <v>2.0640400147595424</v>
      </c>
      <c r="BZ707" s="94">
        <f t="shared" si="1668"/>
        <v>1.7301798047674548</v>
      </c>
      <c r="CA707" s="94">
        <f t="shared" si="1668"/>
        <v>1.5577859043237332</v>
      </c>
      <c r="CB707" s="94">
        <f t="shared" si="1668"/>
        <v>2.3057662459297954</v>
      </c>
      <c r="CC707" s="1203">
        <f t="shared" si="1668"/>
        <v>7.6585803233062082</v>
      </c>
      <c r="CD707" s="94">
        <f t="shared" si="1668"/>
        <v>2.9000677532168972</v>
      </c>
      <c r="CE707" s="94">
        <f t="shared" si="1668"/>
        <v>2.4431184142885063</v>
      </c>
      <c r="CF707" s="94">
        <f t="shared" si="1668"/>
        <v>2.0753032753139751</v>
      </c>
      <c r="CG707" s="94">
        <f t="shared" si="1668"/>
        <v>2.9992364866737407</v>
      </c>
      <c r="CH707" s="1203">
        <f t="shared" si="1668"/>
        <v>10.417725929493121</v>
      </c>
      <c r="CI707" s="1203">
        <f t="shared" si="1668"/>
        <v>12.802274853548793</v>
      </c>
      <c r="CJ707" s="1203">
        <f t="shared" si="1668"/>
        <v>15.352396367456739</v>
      </c>
      <c r="CK707" s="1203">
        <f t="shared" si="1668"/>
        <v>18.332375672613452</v>
      </c>
      <c r="CL707" s="155"/>
    </row>
    <row r="708" spans="1:90" x14ac:dyDescent="0.3">
      <c r="A708" s="78" t="s">
        <v>861</v>
      </c>
      <c r="B708" s="106"/>
      <c r="C708" s="1177"/>
      <c r="D708" s="1177"/>
      <c r="E708" s="1177"/>
      <c r="F708" s="1177"/>
      <c r="G708" s="79"/>
      <c r="H708" s="79"/>
      <c r="I708" s="79"/>
      <c r="J708" s="79"/>
      <c r="K708" s="1177"/>
      <c r="L708" s="79"/>
      <c r="M708" s="79"/>
      <c r="N708" s="79"/>
      <c r="O708" s="79"/>
      <c r="P708" s="1177"/>
      <c r="Q708" s="79"/>
      <c r="R708" s="79"/>
      <c r="S708" s="79"/>
      <c r="T708" s="79"/>
      <c r="U708" s="1177"/>
      <c r="V708" s="79"/>
      <c r="W708" s="297"/>
      <c r="X708" s="297"/>
      <c r="Y708" s="297"/>
      <c r="Z708" s="1177"/>
      <c r="AA708" s="79"/>
      <c r="AB708" s="79"/>
      <c r="AC708" s="79"/>
      <c r="AD708" s="79"/>
      <c r="AE708" s="1178"/>
      <c r="AF708" s="79"/>
      <c r="AG708" s="79"/>
      <c r="AH708" s="79"/>
      <c r="AI708" s="79"/>
      <c r="AJ708" s="1178"/>
      <c r="AK708" s="79"/>
      <c r="AL708" s="79"/>
      <c r="AM708" s="79"/>
      <c r="AN708" s="79"/>
      <c r="AO708" s="1204"/>
      <c r="AP708" s="79"/>
      <c r="AQ708" s="79"/>
      <c r="AR708" s="79"/>
      <c r="AS708" s="79"/>
      <c r="AT708" s="1204"/>
      <c r="AU708" s="79"/>
      <c r="AV708" s="79"/>
      <c r="AW708" s="79"/>
      <c r="AX708" s="79"/>
      <c r="AY708" s="1204"/>
      <c r="AZ708" s="79"/>
      <c r="BA708" s="79"/>
      <c r="BB708" s="79"/>
      <c r="BC708" s="79"/>
      <c r="BD708" s="1204"/>
      <c r="BE708" s="79"/>
      <c r="BF708" s="79"/>
      <c r="BG708" s="79"/>
      <c r="BH708" s="79"/>
      <c r="BI708" s="1204"/>
      <c r="BJ708" s="79"/>
      <c r="BK708" s="79"/>
      <c r="BL708" s="79"/>
      <c r="BM708" s="79"/>
      <c r="BN708" s="1204"/>
      <c r="BO708" s="79"/>
      <c r="BP708" s="79"/>
      <c r="BQ708" s="79"/>
      <c r="BR708" s="79"/>
      <c r="BS708" s="1204"/>
      <c r="BT708" s="79"/>
      <c r="BU708" s="79"/>
      <c r="BV708" s="79"/>
      <c r="BW708" s="79"/>
      <c r="BX708" s="1204"/>
      <c r="BY708" s="917"/>
      <c r="BZ708" s="868" t="str">
        <f t="shared" ref="BZ708:CH708" ca="1" si="1669">IFERROR(VLOOKUP($A708,tb_ConsensusEstimate,MATCH(BZ$5,OFFSET(tb_ConsensusEstimate,0,0,1,COLUMNS(tb_ConsensusEstimate)),0),FALSE),"-")</f>
        <v>N/A</v>
      </c>
      <c r="CA708" s="868" t="str">
        <f t="shared" ca="1" si="1669"/>
        <v>N/A</v>
      </c>
      <c r="CB708" s="868" t="str">
        <f t="shared" ca="1" si="1669"/>
        <v>N/A</v>
      </c>
      <c r="CC708" s="1204" t="str">
        <f t="shared" ca="1" si="1669"/>
        <v>N/A</v>
      </c>
      <c r="CD708" s="868" t="str">
        <f t="shared" ca="1" si="1669"/>
        <v>N/A</v>
      </c>
      <c r="CE708" s="868" t="str">
        <f t="shared" ca="1" si="1669"/>
        <v>N/A</v>
      </c>
      <c r="CF708" s="868" t="str">
        <f t="shared" ca="1" si="1669"/>
        <v>N/A</v>
      </c>
      <c r="CG708" s="868" t="str">
        <f t="shared" ca="1" si="1669"/>
        <v>N/A</v>
      </c>
      <c r="CH708" s="1204" t="str">
        <f t="shared" ca="1" si="1669"/>
        <v>N/A</v>
      </c>
      <c r="CI708" s="1204" t="str">
        <f ca="1">IFERROR(VLOOKUP($A708,tb_ConsensusEstimate,MATCH(CI5,OFFSET(tb_ConsensusEstimate,0,0,1,COLUMNS(tb_ConsensusEstimate)),0),FALSE),"-")</f>
        <v>N/A</v>
      </c>
      <c r="CJ708" s="1204" t="str">
        <f ca="1">IFERROR(VLOOKUP($A708,tb_ConsensusEstimate,MATCH(CJ5,OFFSET(tb_ConsensusEstimate,0,0,1,COLUMNS(tb_ConsensusEstimate)),0),FALSE),"-")</f>
        <v>N/A</v>
      </c>
      <c r="CK708" s="1204" t="str">
        <f ca="1">IFERROR(VLOOKUP($A708,tb_ConsensusEstimate,MATCH(CK5,OFFSET(tb_ConsensusEstimate,0,0,1,COLUMNS(tb_ConsensusEstimate)),0),FALSE),"-")</f>
        <v>N/A</v>
      </c>
      <c r="CL708" s="155"/>
    </row>
    <row r="709" spans="1:90" x14ac:dyDescent="0.3">
      <c r="A709" s="118" t="s">
        <v>118</v>
      </c>
      <c r="B709" s="279"/>
      <c r="C709" s="1127">
        <f t="shared" ref="C709:AV709" si="1670">C884</f>
        <v>-407.67</v>
      </c>
      <c r="D709" s="1127">
        <f t="shared" si="1670"/>
        <v>-77.600999999999999</v>
      </c>
      <c r="E709" s="1127">
        <f t="shared" si="1670"/>
        <v>-97.89</v>
      </c>
      <c r="F709" s="1127">
        <f t="shared" si="1670"/>
        <v>-138.73500000000001</v>
      </c>
      <c r="G709" s="63">
        <f t="shared" si="1670"/>
        <v>-28.922999999999998</v>
      </c>
      <c r="H709" s="63">
        <f t="shared" si="1670"/>
        <v>-61.944000000000003</v>
      </c>
      <c r="I709" s="63">
        <f t="shared" si="1670"/>
        <v>-44.683999999999983</v>
      </c>
      <c r="J709" s="63">
        <f t="shared" si="1670"/>
        <v>-47.75800000000001</v>
      </c>
      <c r="K709" s="1127">
        <f t="shared" si="1670"/>
        <v>-183.309</v>
      </c>
      <c r="L709" s="63">
        <f t="shared" si="1670"/>
        <v>-65.667000000000002</v>
      </c>
      <c r="M709" s="63">
        <f t="shared" si="1670"/>
        <v>-84.98599999999999</v>
      </c>
      <c r="N709" s="63">
        <f t="shared" si="1670"/>
        <v>-38.15900000000002</v>
      </c>
      <c r="O709" s="63">
        <f t="shared" si="1670"/>
        <v>-66.373999999999995</v>
      </c>
      <c r="P709" s="1127">
        <f t="shared" si="1670"/>
        <v>-255.18600000000001</v>
      </c>
      <c r="Q709" s="63">
        <f t="shared" si="1670"/>
        <v>-29</v>
      </c>
      <c r="R709" s="63">
        <f t="shared" si="1670"/>
        <v>-23</v>
      </c>
      <c r="S709" s="63">
        <f t="shared" si="1670"/>
        <v>-39</v>
      </c>
      <c r="T709" s="63">
        <f t="shared" si="1670"/>
        <v>-31</v>
      </c>
      <c r="U709" s="1127">
        <f t="shared" si="1670"/>
        <v>-122</v>
      </c>
      <c r="V709" s="63">
        <f t="shared" si="1670"/>
        <v>-30</v>
      </c>
      <c r="W709" s="63">
        <f t="shared" si="1670"/>
        <v>-24</v>
      </c>
      <c r="X709" s="63">
        <f t="shared" si="1670"/>
        <v>-17</v>
      </c>
      <c r="Y709" s="63">
        <f t="shared" si="1670"/>
        <v>-15</v>
      </c>
      <c r="Z709" s="1127">
        <f t="shared" si="1670"/>
        <v>-86</v>
      </c>
      <c r="AA709" s="63">
        <f t="shared" si="1670"/>
        <v>-55</v>
      </c>
      <c r="AB709" s="63">
        <f t="shared" si="1670"/>
        <v>-32</v>
      </c>
      <c r="AC709" s="63">
        <f t="shared" si="1670"/>
        <v>-38</v>
      </c>
      <c r="AD709" s="63">
        <f t="shared" si="1670"/>
        <v>-51</v>
      </c>
      <c r="AE709" s="1127">
        <f t="shared" si="1670"/>
        <v>-176</v>
      </c>
      <c r="AF709" s="63">
        <f t="shared" si="1670"/>
        <v>-54</v>
      </c>
      <c r="AG709" s="63">
        <f t="shared" si="1670"/>
        <v>-54</v>
      </c>
      <c r="AH709" s="63">
        <f t="shared" si="1670"/>
        <v>-69</v>
      </c>
      <c r="AI709" s="63">
        <f t="shared" si="1670"/>
        <v>-416</v>
      </c>
      <c r="AJ709" s="1127">
        <f t="shared" si="1670"/>
        <v>-593</v>
      </c>
      <c r="AK709" s="63">
        <f t="shared" si="1670"/>
        <v>-118</v>
      </c>
      <c r="AL709" s="63">
        <f t="shared" si="1670"/>
        <v>-129</v>
      </c>
      <c r="AM709" s="63">
        <f t="shared" si="1670"/>
        <v>-150</v>
      </c>
      <c r="AN709" s="63">
        <f t="shared" si="1670"/>
        <v>-203</v>
      </c>
      <c r="AO709" s="1127">
        <f t="shared" si="1670"/>
        <v>-600</v>
      </c>
      <c r="AP709" s="63">
        <f t="shared" si="1670"/>
        <v>-128</v>
      </c>
      <c r="AQ709" s="28">
        <f t="shared" si="1670"/>
        <v>-113</v>
      </c>
      <c r="AR709" s="63">
        <f t="shared" si="1670"/>
        <v>-103</v>
      </c>
      <c r="AS709" s="63">
        <f t="shared" si="1670"/>
        <v>-145</v>
      </c>
      <c r="AT709" s="1127">
        <f t="shared" si="1670"/>
        <v>-489</v>
      </c>
      <c r="AU709" s="63">
        <f t="shared" si="1670"/>
        <v>-155</v>
      </c>
      <c r="AV709" s="28">
        <f t="shared" si="1670"/>
        <v>-217</v>
      </c>
      <c r="AW709" s="63">
        <f t="shared" ref="AW709:BB709" si="1671">AW884</f>
        <v>-473</v>
      </c>
      <c r="AX709" s="63">
        <f t="shared" si="1671"/>
        <v>-283</v>
      </c>
      <c r="AY709" s="1127">
        <f t="shared" si="1671"/>
        <v>-1128</v>
      </c>
      <c r="AZ709" s="63">
        <f t="shared" si="1671"/>
        <v>-298</v>
      </c>
      <c r="BA709" s="28">
        <f t="shared" si="1671"/>
        <v>-183</v>
      </c>
      <c r="BB709" s="63">
        <f t="shared" si="1671"/>
        <v>-222</v>
      </c>
      <c r="BC709" s="63">
        <f t="shared" ref="BC709:BI709" si="1672">BC884</f>
        <v>-273</v>
      </c>
      <c r="BD709" s="1127">
        <f t="shared" si="1672"/>
        <v>-976</v>
      </c>
      <c r="BE709" s="63">
        <f t="shared" si="1672"/>
        <v>-361</v>
      </c>
      <c r="BF709" s="28">
        <f t="shared" si="1672"/>
        <v>-433</v>
      </c>
      <c r="BG709" s="63">
        <f t="shared" si="1672"/>
        <v>-530</v>
      </c>
      <c r="BH709" s="63">
        <f t="shared" si="1672"/>
        <v>-509</v>
      </c>
      <c r="BI709" s="1127">
        <f t="shared" si="1672"/>
        <v>-1833</v>
      </c>
      <c r="BJ709" s="63">
        <f t="shared" ref="BJ709:BO709" si="1673">BJ884</f>
        <v>-248</v>
      </c>
      <c r="BK709" s="28">
        <f t="shared" si="1673"/>
        <v>-289</v>
      </c>
      <c r="BL709" s="63">
        <f t="shared" si="1673"/>
        <v>-278</v>
      </c>
      <c r="BM709" s="63">
        <f t="shared" si="1673"/>
        <v>-254</v>
      </c>
      <c r="BN709" s="1127">
        <f t="shared" si="1673"/>
        <v>-1069</v>
      </c>
      <c r="BO709" s="63">
        <f t="shared" si="1673"/>
        <v>-369</v>
      </c>
      <c r="BP709" s="28">
        <f t="shared" ref="BP709:BU709" si="1674">BP884</f>
        <v>-977</v>
      </c>
      <c r="BQ709" s="63">
        <f t="shared" si="1674"/>
        <v>-813</v>
      </c>
      <c r="BR709" s="63">
        <f t="shared" si="1674"/>
        <v>-1077</v>
      </c>
      <c r="BS709" s="1127">
        <f t="shared" si="1674"/>
        <v>-3236</v>
      </c>
      <c r="BT709" s="63">
        <f t="shared" si="1674"/>
        <v>-1227</v>
      </c>
      <c r="BU709" s="28">
        <f t="shared" si="1674"/>
        <v>-1895</v>
      </c>
      <c r="BV709" s="63">
        <f>BV884</f>
        <v>-1636</v>
      </c>
      <c r="BW709" s="63">
        <f>BW884</f>
        <v>-1284</v>
      </c>
      <c r="BX709" s="1127">
        <f>BX884</f>
        <v>-6042</v>
      </c>
      <c r="BY709" s="587">
        <f>BY884</f>
        <v>-1757</v>
      </c>
      <c r="BZ709" s="1064">
        <v>-325</v>
      </c>
      <c r="CA709" s="1064">
        <v>-325</v>
      </c>
      <c r="CB709" s="1064">
        <v>-325</v>
      </c>
      <c r="CC709" s="1127">
        <f>CC884</f>
        <v>-2732</v>
      </c>
      <c r="CD709" s="1064">
        <v>-325</v>
      </c>
      <c r="CE709" s="1064">
        <v>-325</v>
      </c>
      <c r="CF709" s="1064">
        <v>-325</v>
      </c>
      <c r="CG709" s="1064">
        <v>-325</v>
      </c>
      <c r="CH709" s="1127">
        <f>CH884</f>
        <v>-1300</v>
      </c>
      <c r="CI709" s="1150">
        <v>-1300</v>
      </c>
      <c r="CJ709" s="1150">
        <v>-1300</v>
      </c>
      <c r="CK709" s="1150">
        <v>-1300</v>
      </c>
      <c r="CL709" s="155"/>
    </row>
    <row r="710" spans="1:90" x14ac:dyDescent="0.3">
      <c r="A710" s="75" t="str">
        <f>CONCATENATE("Consensus Estimates - ",IFERROR(LEFT(A709,FIND("(",A709)-1),A709))</f>
        <v>Consensus Estimates - Capex</v>
      </c>
      <c r="B710" s="102"/>
      <c r="C710" s="1119"/>
      <c r="D710" s="1119"/>
      <c r="E710" s="1119"/>
      <c r="F710" s="1119"/>
      <c r="G710" s="76"/>
      <c r="H710" s="76"/>
      <c r="I710" s="76"/>
      <c r="J710" s="76"/>
      <c r="K710" s="1119"/>
      <c r="L710" s="76"/>
      <c r="M710" s="76"/>
      <c r="N710" s="76"/>
      <c r="O710" s="76"/>
      <c r="P710" s="1119"/>
      <c r="Q710" s="76"/>
      <c r="R710" s="76"/>
      <c r="S710" s="76"/>
      <c r="T710" s="76"/>
      <c r="U710" s="1119"/>
      <c r="V710" s="76"/>
      <c r="W710" s="77"/>
      <c r="X710" s="77"/>
      <c r="Y710" s="77"/>
      <c r="Z710" s="1119"/>
      <c r="AA710" s="76"/>
      <c r="AB710" s="76"/>
      <c r="AC710" s="76"/>
      <c r="AD710" s="76"/>
      <c r="AE710" s="1126"/>
      <c r="AF710" s="76"/>
      <c r="AG710" s="76"/>
      <c r="AH710" s="76"/>
      <c r="AI710" s="76"/>
      <c r="AJ710" s="1126"/>
      <c r="AK710" s="76"/>
      <c r="AL710" s="76"/>
      <c r="AM710" s="76"/>
      <c r="AN710" s="76"/>
      <c r="AO710" s="1205"/>
      <c r="AP710" s="76"/>
      <c r="AQ710" s="76"/>
      <c r="AR710" s="76"/>
      <c r="AS710" s="76"/>
      <c r="AT710" s="1205"/>
      <c r="AU710" s="76"/>
      <c r="AV710" s="76"/>
      <c r="AW710" s="76"/>
      <c r="AX710" s="76"/>
      <c r="AY710" s="1205"/>
      <c r="AZ710" s="76"/>
      <c r="BA710" s="76"/>
      <c r="BB710" s="76"/>
      <c r="BC710" s="76"/>
      <c r="BD710" s="1205"/>
      <c r="BE710" s="76"/>
      <c r="BF710" s="76"/>
      <c r="BG710" s="76"/>
      <c r="BH710" s="76"/>
      <c r="BI710" s="1205"/>
      <c r="BJ710" s="76"/>
      <c r="BK710" s="76"/>
      <c r="BL710" s="76"/>
      <c r="BM710" s="76"/>
      <c r="BN710" s="1205"/>
      <c r="BO710" s="76"/>
      <c r="BP710" s="76"/>
      <c r="BQ710" s="76"/>
      <c r="BR710" s="76"/>
      <c r="BS710" s="1205"/>
      <c r="BT710" s="76"/>
      <c r="BU710" s="76"/>
      <c r="BV710" s="76"/>
      <c r="BW710" s="76"/>
      <c r="BX710" s="1205"/>
      <c r="BY710" s="893"/>
      <c r="BZ710" s="867" t="str">
        <f t="shared" ref="BZ710:CH710" ca="1" si="1675">IFERROR(VLOOKUP($A710,tb_ConsensusEstimate,MATCH(BZ$5,OFFSET(tb_ConsensusEstimate,0,0,1,COLUMNS(tb_ConsensusEstimate)),0),FALSE),"-")</f>
        <v>N/A</v>
      </c>
      <c r="CA710" s="867" t="str">
        <f t="shared" ca="1" si="1675"/>
        <v>N/A</v>
      </c>
      <c r="CB710" s="867" t="str">
        <f t="shared" ca="1" si="1675"/>
        <v>N/A</v>
      </c>
      <c r="CC710" s="1205" t="str">
        <f t="shared" ca="1" si="1675"/>
        <v>N/A</v>
      </c>
      <c r="CD710" s="867" t="str">
        <f t="shared" ca="1" si="1675"/>
        <v>N/A</v>
      </c>
      <c r="CE710" s="867" t="str">
        <f t="shared" ca="1" si="1675"/>
        <v>N/A</v>
      </c>
      <c r="CF710" s="867" t="str">
        <f t="shared" ca="1" si="1675"/>
        <v>N/A</v>
      </c>
      <c r="CG710" s="867" t="str">
        <f t="shared" ca="1" si="1675"/>
        <v>N/A</v>
      </c>
      <c r="CH710" s="1205" t="str">
        <f t="shared" ca="1" si="1675"/>
        <v>N/A</v>
      </c>
      <c r="CI710" s="1205" t="str">
        <f ca="1">IFERROR(VLOOKUP($A710,tb_ConsensusEstimate,MATCH(CI5,OFFSET(tb_ConsensusEstimate,0,0,1,COLUMNS(tb_ConsensusEstimate)),0),FALSE),"-")</f>
        <v>N/A</v>
      </c>
      <c r="CJ710" s="1205" t="str">
        <f ca="1">IFERROR(VLOOKUP($A710,tb_ConsensusEstimate,MATCH(CJ5,OFFSET(tb_ConsensusEstimate,0,0,1,COLUMNS(tb_ConsensusEstimate)),0),FALSE),"-")</f>
        <v>N/A</v>
      </c>
      <c r="CK710" s="1205" t="str">
        <f ca="1">IFERROR(VLOOKUP($A710,tb_ConsensusEstimate,MATCH(CK5,OFFSET(tb_ConsensusEstimate,0,0,1,COLUMNS(tb_ConsensusEstimate)),0),FALSE),"-")</f>
        <v>N/A</v>
      </c>
      <c r="CL710" s="155"/>
    </row>
    <row r="711" spans="1:90" x14ac:dyDescent="0.3">
      <c r="A711" s="75" t="str">
        <f>CONCATENATE("Guidance - ",IFERROR(LEFT(A709,FIND("(",A709)-1),A709))</f>
        <v>Guidance - Capex</v>
      </c>
      <c r="B711" s="102"/>
      <c r="C711" s="1119"/>
      <c r="D711" s="1119"/>
      <c r="E711" s="1119"/>
      <c r="F711" s="1119"/>
      <c r="G711" s="76"/>
      <c r="H711" s="76"/>
      <c r="I711" s="76"/>
      <c r="J711" s="76"/>
      <c r="K711" s="1119"/>
      <c r="L711" s="76"/>
      <c r="M711" s="76"/>
      <c r="N711" s="76"/>
      <c r="O711" s="76"/>
      <c r="P711" s="1119"/>
      <c r="Q711" s="76"/>
      <c r="R711" s="76"/>
      <c r="S711" s="76"/>
      <c r="T711" s="76"/>
      <c r="U711" s="1119"/>
      <c r="V711" s="76"/>
      <c r="W711" s="77"/>
      <c r="X711" s="77"/>
      <c r="Y711" s="77"/>
      <c r="Z711" s="1119"/>
      <c r="AA711" s="76"/>
      <c r="AB711" s="76"/>
      <c r="AC711" s="76"/>
      <c r="AD711" s="76"/>
      <c r="AE711" s="1126"/>
      <c r="AF711" s="76"/>
      <c r="AG711" s="76"/>
      <c r="AH711" s="76"/>
      <c r="AI711" s="76"/>
      <c r="AJ711" s="1126"/>
      <c r="AK711" s="76"/>
      <c r="AL711" s="76"/>
      <c r="AM711" s="76"/>
      <c r="AN711" s="76"/>
      <c r="AO711" s="1205"/>
      <c r="AP711" s="76"/>
      <c r="AQ711" s="76"/>
      <c r="AR711" s="76"/>
      <c r="AS711" s="76">
        <f t="shared" ref="AS711:BL711" si="1676">IFERROR(-AS555,"N/A")</f>
        <v>-140</v>
      </c>
      <c r="AT711" s="1205" t="str">
        <f t="shared" si="1676"/>
        <v>N/A</v>
      </c>
      <c r="AU711" s="76" t="str">
        <f t="shared" si="1676"/>
        <v>N/A</v>
      </c>
      <c r="AV711" s="76">
        <f t="shared" si="1676"/>
        <v>-237.5</v>
      </c>
      <c r="AW711" s="76">
        <f t="shared" si="1676"/>
        <v>-237.5</v>
      </c>
      <c r="AX711" s="76" t="str">
        <f t="shared" si="1676"/>
        <v>N/A</v>
      </c>
      <c r="AY711" s="1205" t="str">
        <f t="shared" si="1676"/>
        <v>N/A</v>
      </c>
      <c r="AZ711" s="76">
        <f t="shared" si="1676"/>
        <v>-312.5</v>
      </c>
      <c r="BA711" s="76">
        <f t="shared" si="1676"/>
        <v>-312.5</v>
      </c>
      <c r="BB711" s="76">
        <f t="shared" si="1676"/>
        <v>-212.5</v>
      </c>
      <c r="BC711" s="76">
        <f t="shared" si="1676"/>
        <v>-262.5</v>
      </c>
      <c r="BD711" s="1205" t="str">
        <f t="shared" si="1676"/>
        <v>N/A</v>
      </c>
      <c r="BE711" s="76">
        <f t="shared" si="1676"/>
        <v>-375</v>
      </c>
      <c r="BF711" s="76">
        <f t="shared" si="1676"/>
        <v>-425</v>
      </c>
      <c r="BG711" s="76">
        <f t="shared" si="1676"/>
        <v>-575</v>
      </c>
      <c r="BH711" s="76">
        <f t="shared" si="1676"/>
        <v>-525</v>
      </c>
      <c r="BI711" s="1205" t="str">
        <f t="shared" si="1676"/>
        <v>N/A</v>
      </c>
      <c r="BJ711" s="76">
        <f t="shared" si="1676"/>
        <v>-375</v>
      </c>
      <c r="BK711" s="76">
        <f t="shared" si="1676"/>
        <v>-325</v>
      </c>
      <c r="BL711" s="76" t="str">
        <f t="shared" si="1676"/>
        <v>N/A</v>
      </c>
      <c r="BM711" s="76" t="str">
        <f t="shared" ref="BM711:BN711" si="1677">IFERROR(-BM555,"N/A")</f>
        <v>N/A</v>
      </c>
      <c r="BN711" s="1205">
        <f t="shared" si="1677"/>
        <v>-1200</v>
      </c>
      <c r="BO711" s="76" t="str">
        <f t="shared" ref="BO711:CC711" si="1678">IFERROR(-BO555,"N/A")</f>
        <v>N/A</v>
      </c>
      <c r="BP711" s="76" t="str">
        <f t="shared" si="1678"/>
        <v>N/A</v>
      </c>
      <c r="BQ711" s="76" t="str">
        <f t="shared" si="1678"/>
        <v>N/A</v>
      </c>
      <c r="BR711" s="76" t="str">
        <f t="shared" si="1678"/>
        <v>N/A</v>
      </c>
      <c r="BS711" s="1205" t="str">
        <f t="shared" si="1678"/>
        <v>N/A</v>
      </c>
      <c r="BT711" s="76" t="str">
        <f t="shared" ref="BT711:CB711" si="1679">IFERROR(-BT555,"N/A")</f>
        <v>N/A</v>
      </c>
      <c r="BU711" s="76" t="str">
        <f t="shared" si="1679"/>
        <v>N/A</v>
      </c>
      <c r="BV711" s="76" t="str">
        <f t="shared" si="1679"/>
        <v>N/A</v>
      </c>
      <c r="BW711" s="76" t="str">
        <f t="shared" si="1679"/>
        <v>N/A</v>
      </c>
      <c r="BX711" s="1205" t="str">
        <f t="shared" si="1679"/>
        <v>N/A</v>
      </c>
      <c r="BY711" s="893" t="str">
        <f>IFERROR(-BY555,"N/A")</f>
        <v>N/A</v>
      </c>
      <c r="BZ711" s="76" t="str">
        <f t="shared" si="1679"/>
        <v>N/A</v>
      </c>
      <c r="CA711" s="76" t="str">
        <f t="shared" si="1679"/>
        <v>N/A</v>
      </c>
      <c r="CB711" s="76" t="str">
        <f t="shared" si="1679"/>
        <v>N/A</v>
      </c>
      <c r="CC711" s="1205" t="str">
        <f t="shared" si="1678"/>
        <v>N/A</v>
      </c>
      <c r="CD711" s="76" t="str">
        <f t="shared" ref="CD711:CK711" si="1680">IFERROR(-CD555,"N/A")</f>
        <v>N/A</v>
      </c>
      <c r="CE711" s="76" t="str">
        <f t="shared" si="1680"/>
        <v>N/A</v>
      </c>
      <c r="CF711" s="76" t="str">
        <f t="shared" si="1680"/>
        <v>N/A</v>
      </c>
      <c r="CG711" s="76" t="str">
        <f t="shared" si="1680"/>
        <v>N/A</v>
      </c>
      <c r="CH711" s="1205" t="str">
        <f t="shared" si="1680"/>
        <v>N/A</v>
      </c>
      <c r="CI711" s="1205">
        <f t="shared" si="1680"/>
        <v>0</v>
      </c>
      <c r="CJ711" s="1205">
        <f t="shared" si="1680"/>
        <v>0</v>
      </c>
      <c r="CK711" s="1205">
        <f t="shared" si="1680"/>
        <v>0</v>
      </c>
      <c r="CL711" s="155"/>
    </row>
    <row r="712" spans="1:90" x14ac:dyDescent="0.3">
      <c r="A712" s="68" t="s">
        <v>119</v>
      </c>
      <c r="B712" s="146"/>
      <c r="C712" s="1112">
        <f t="shared" ref="C712:AV712" si="1681">C886</f>
        <v>-27.948</v>
      </c>
      <c r="D712" s="1112">
        <f t="shared" si="1681"/>
        <v>0</v>
      </c>
      <c r="E712" s="1112">
        <f t="shared" si="1681"/>
        <v>0</v>
      </c>
      <c r="F712" s="1112">
        <f t="shared" si="1681"/>
        <v>-348.88400000000001</v>
      </c>
      <c r="G712" s="68">
        <f t="shared" si="1681"/>
        <v>0</v>
      </c>
      <c r="H712" s="68">
        <f t="shared" si="1681"/>
        <v>0</v>
      </c>
      <c r="I712" s="68">
        <f t="shared" si="1681"/>
        <v>0</v>
      </c>
      <c r="J712" s="68">
        <f t="shared" si="1681"/>
        <v>0</v>
      </c>
      <c r="K712" s="1112">
        <f t="shared" si="1681"/>
        <v>0</v>
      </c>
      <c r="L712" s="68">
        <f t="shared" si="1681"/>
        <v>0</v>
      </c>
      <c r="M712" s="68">
        <f t="shared" si="1681"/>
        <v>0</v>
      </c>
      <c r="N712" s="68">
        <f t="shared" si="1681"/>
        <v>-17.145</v>
      </c>
      <c r="O712" s="68">
        <f t="shared" si="1681"/>
        <v>0</v>
      </c>
      <c r="P712" s="1112">
        <f t="shared" si="1681"/>
        <v>-17.145</v>
      </c>
      <c r="Q712" s="68">
        <f t="shared" si="1681"/>
        <v>0</v>
      </c>
      <c r="R712" s="68">
        <f t="shared" si="1681"/>
        <v>0</v>
      </c>
      <c r="S712" s="68">
        <f t="shared" si="1681"/>
        <v>0</v>
      </c>
      <c r="T712" s="68">
        <f t="shared" si="1681"/>
        <v>0</v>
      </c>
      <c r="U712" s="1112">
        <f t="shared" si="1681"/>
        <v>0</v>
      </c>
      <c r="V712" s="68">
        <f t="shared" si="1681"/>
        <v>0</v>
      </c>
      <c r="W712" s="68">
        <f t="shared" si="1681"/>
        <v>0</v>
      </c>
      <c r="X712" s="68">
        <f t="shared" si="1681"/>
        <v>0</v>
      </c>
      <c r="Y712" s="68">
        <f t="shared" si="1681"/>
        <v>0</v>
      </c>
      <c r="Z712" s="1112">
        <f t="shared" si="1681"/>
        <v>0</v>
      </c>
      <c r="AA712" s="68">
        <f t="shared" si="1681"/>
        <v>0</v>
      </c>
      <c r="AB712" s="68">
        <f t="shared" si="1681"/>
        <v>0</v>
      </c>
      <c r="AC712" s="68">
        <f t="shared" si="1681"/>
        <v>0</v>
      </c>
      <c r="AD712" s="68">
        <f t="shared" si="1681"/>
        <v>0</v>
      </c>
      <c r="AE712" s="1112">
        <f t="shared" si="1681"/>
        <v>0</v>
      </c>
      <c r="AF712" s="68">
        <f t="shared" si="1681"/>
        <v>0</v>
      </c>
      <c r="AG712" s="68">
        <f t="shared" si="1681"/>
        <v>0</v>
      </c>
      <c r="AH712" s="68">
        <f t="shared" si="1681"/>
        <v>0</v>
      </c>
      <c r="AI712" s="68">
        <f t="shared" si="1681"/>
        <v>0</v>
      </c>
      <c r="AJ712" s="1112">
        <f t="shared" si="1681"/>
        <v>0</v>
      </c>
      <c r="AK712" s="68">
        <f t="shared" si="1681"/>
        <v>0</v>
      </c>
      <c r="AL712" s="68">
        <f t="shared" si="1681"/>
        <v>0</v>
      </c>
      <c r="AM712" s="68">
        <f t="shared" si="1681"/>
        <v>0</v>
      </c>
      <c r="AN712" s="68">
        <f t="shared" si="1681"/>
        <v>0</v>
      </c>
      <c r="AO712" s="1112">
        <f t="shared" si="1681"/>
        <v>0</v>
      </c>
      <c r="AP712" s="68">
        <f t="shared" si="1681"/>
        <v>0</v>
      </c>
      <c r="AQ712" s="27">
        <f t="shared" si="1681"/>
        <v>0</v>
      </c>
      <c r="AR712" s="68">
        <f t="shared" si="1681"/>
        <v>0</v>
      </c>
      <c r="AS712" s="68">
        <f t="shared" si="1681"/>
        <v>0</v>
      </c>
      <c r="AT712" s="1112">
        <f t="shared" si="1681"/>
        <v>0</v>
      </c>
      <c r="AU712" s="68">
        <f t="shared" si="1681"/>
        <v>-34</v>
      </c>
      <c r="AV712" s="27">
        <f t="shared" si="1681"/>
        <v>-7137</v>
      </c>
      <c r="AW712" s="68">
        <f t="shared" ref="AW712:BB712" si="1682">AW886</f>
        <v>-1353</v>
      </c>
      <c r="AX712" s="68">
        <f t="shared" si="1682"/>
        <v>0</v>
      </c>
      <c r="AY712" s="1112">
        <f t="shared" si="1682"/>
        <v>-8524</v>
      </c>
      <c r="AZ712" s="68">
        <f t="shared" si="1682"/>
        <v>0</v>
      </c>
      <c r="BA712" s="27">
        <f t="shared" si="1682"/>
        <v>0</v>
      </c>
      <c r="BB712" s="68">
        <f t="shared" si="1682"/>
        <v>-203</v>
      </c>
      <c r="BC712" s="68">
        <f t="shared" ref="BC712:BI712" si="1683">BC886</f>
        <v>-60</v>
      </c>
      <c r="BD712" s="1112">
        <f t="shared" si="1683"/>
        <v>-263</v>
      </c>
      <c r="BE712" s="68">
        <f t="shared" si="1683"/>
        <v>-36</v>
      </c>
      <c r="BF712" s="27">
        <f t="shared" si="1683"/>
        <v>-13</v>
      </c>
      <c r="BG712" s="68">
        <f t="shared" si="1683"/>
        <v>0</v>
      </c>
      <c r="BH712" s="68">
        <f t="shared" si="1683"/>
        <v>0</v>
      </c>
      <c r="BI712" s="1112">
        <f t="shared" si="1683"/>
        <v>-49</v>
      </c>
      <c r="BJ712" s="68">
        <f t="shared" ref="BJ712:BO712" si="1684">BJ886</f>
        <v>-83</v>
      </c>
      <c r="BK712" s="27">
        <f t="shared" si="1684"/>
        <v>0</v>
      </c>
      <c r="BL712" s="68">
        <f t="shared" si="1684"/>
        <v>0</v>
      </c>
      <c r="BM712" s="68">
        <f t="shared" si="1684"/>
        <v>0</v>
      </c>
      <c r="BN712" s="1112">
        <f t="shared" si="1684"/>
        <v>-83</v>
      </c>
      <c r="BO712" s="68">
        <f t="shared" si="1684"/>
        <v>-39</v>
      </c>
      <c r="BP712" s="27">
        <f t="shared" ref="BP712:BU712" si="1685">BP886</f>
        <v>-278</v>
      </c>
      <c r="BQ712" s="68">
        <f t="shared" si="1685"/>
        <v>-148</v>
      </c>
      <c r="BR712" s="68">
        <f t="shared" si="1685"/>
        <v>-542</v>
      </c>
      <c r="BS712" s="1112">
        <f t="shared" si="1685"/>
        <v>-1007</v>
      </c>
      <c r="BT712" s="68">
        <f t="shared" si="1685"/>
        <v>-383</v>
      </c>
      <c r="BU712" s="27">
        <f t="shared" si="1685"/>
        <v>-294</v>
      </c>
      <c r="BV712" s="68">
        <f>BV886</f>
        <v>-693</v>
      </c>
      <c r="BW712" s="68">
        <f>BW886</f>
        <v>-13165</v>
      </c>
      <c r="BX712" s="1112">
        <f>BX886</f>
        <v>-14535</v>
      </c>
      <c r="BY712" s="588">
        <f>BY886</f>
        <v>-87</v>
      </c>
      <c r="BZ712" s="1055">
        <v>0</v>
      </c>
      <c r="CA712" s="1055">
        <v>0</v>
      </c>
      <c r="CB712" s="1055">
        <v>0</v>
      </c>
      <c r="CC712" s="1112">
        <f>CC886</f>
        <v>-87</v>
      </c>
      <c r="CD712" s="1055">
        <v>0</v>
      </c>
      <c r="CE712" s="1055">
        <v>0</v>
      </c>
      <c r="CF712" s="1055">
        <v>0</v>
      </c>
      <c r="CG712" s="1055">
        <v>0</v>
      </c>
      <c r="CH712" s="1112">
        <f>CH886</f>
        <v>0</v>
      </c>
      <c r="CI712" s="1113">
        <v>0</v>
      </c>
      <c r="CJ712" s="1113">
        <v>0</v>
      </c>
      <c r="CK712" s="1113">
        <v>0</v>
      </c>
      <c r="CL712" s="155"/>
    </row>
    <row r="713" spans="1:90" x14ac:dyDescent="0.3">
      <c r="A713" s="68" t="s">
        <v>120</v>
      </c>
      <c r="B713" s="146"/>
      <c r="C713" s="1112">
        <f t="shared" ref="C713:AV713" si="1686">C885</f>
        <v>0</v>
      </c>
      <c r="D713" s="1112">
        <f t="shared" si="1686"/>
        <v>0</v>
      </c>
      <c r="E713" s="1112">
        <f t="shared" si="1686"/>
        <v>0</v>
      </c>
      <c r="F713" s="1112">
        <f t="shared" si="1686"/>
        <v>0</v>
      </c>
      <c r="G713" s="68">
        <f t="shared" si="1686"/>
        <v>0</v>
      </c>
      <c r="H713" s="68">
        <f t="shared" si="1686"/>
        <v>0</v>
      </c>
      <c r="I713" s="68">
        <f t="shared" si="1686"/>
        <v>0</v>
      </c>
      <c r="J713" s="68">
        <f t="shared" si="1686"/>
        <v>0</v>
      </c>
      <c r="K713" s="1112">
        <f t="shared" si="1686"/>
        <v>0</v>
      </c>
      <c r="L713" s="68">
        <f t="shared" si="1686"/>
        <v>0</v>
      </c>
      <c r="M713" s="68">
        <f t="shared" si="1686"/>
        <v>0</v>
      </c>
      <c r="N713" s="68">
        <f t="shared" si="1686"/>
        <v>0</v>
      </c>
      <c r="O713" s="68">
        <f t="shared" si="1686"/>
        <v>24.780999999999999</v>
      </c>
      <c r="P713" s="1112">
        <f t="shared" si="1686"/>
        <v>24.780999999999999</v>
      </c>
      <c r="Q713" s="68">
        <f t="shared" si="1686"/>
        <v>21</v>
      </c>
      <c r="R713" s="68">
        <f t="shared" si="1686"/>
        <v>0</v>
      </c>
      <c r="S713" s="68">
        <f t="shared" si="1686"/>
        <v>0</v>
      </c>
      <c r="T713" s="68">
        <f t="shared" si="1686"/>
        <v>0</v>
      </c>
      <c r="U713" s="1112">
        <f t="shared" si="1686"/>
        <v>21</v>
      </c>
      <c r="V713" s="68">
        <f t="shared" si="1686"/>
        <v>0</v>
      </c>
      <c r="W713" s="68">
        <f t="shared" si="1686"/>
        <v>2</v>
      </c>
      <c r="X713" s="68">
        <f t="shared" si="1686"/>
        <v>5</v>
      </c>
      <c r="Y713" s="68">
        <f t="shared" si="1686"/>
        <v>0</v>
      </c>
      <c r="Z713" s="1112">
        <f t="shared" si="1686"/>
        <v>7</v>
      </c>
      <c r="AA713" s="68">
        <f t="shared" si="1686"/>
        <v>0</v>
      </c>
      <c r="AB713" s="68">
        <f t="shared" si="1686"/>
        <v>6</v>
      </c>
      <c r="AC713" s="68">
        <f t="shared" si="1686"/>
        <v>0</v>
      </c>
      <c r="AD713" s="68">
        <f t="shared" si="1686"/>
        <v>1</v>
      </c>
      <c r="AE713" s="1112">
        <f t="shared" si="1686"/>
        <v>7</v>
      </c>
      <c r="AF713" s="68">
        <f t="shared" si="1686"/>
        <v>0</v>
      </c>
      <c r="AG713" s="68">
        <f t="shared" si="1686"/>
        <v>0</v>
      </c>
      <c r="AH713" s="68">
        <f t="shared" si="1686"/>
        <v>0</v>
      </c>
      <c r="AI713" s="68">
        <f t="shared" si="1686"/>
        <v>2</v>
      </c>
      <c r="AJ713" s="1112">
        <f t="shared" si="1686"/>
        <v>2</v>
      </c>
      <c r="AK713" s="68">
        <f t="shared" si="1686"/>
        <v>0</v>
      </c>
      <c r="AL713" s="68">
        <f t="shared" si="1686"/>
        <v>0</v>
      </c>
      <c r="AM713" s="68">
        <f t="shared" si="1686"/>
        <v>0</v>
      </c>
      <c r="AN713" s="68">
        <f t="shared" si="1686"/>
        <v>0</v>
      </c>
      <c r="AO713" s="1112">
        <f t="shared" si="1686"/>
        <v>0</v>
      </c>
      <c r="AP713" s="68">
        <f t="shared" si="1686"/>
        <v>0</v>
      </c>
      <c r="AQ713" s="27">
        <f t="shared" si="1686"/>
        <v>0</v>
      </c>
      <c r="AR713" s="68">
        <f t="shared" si="1686"/>
        <v>0</v>
      </c>
      <c r="AS713" s="68">
        <f t="shared" si="1686"/>
        <v>0</v>
      </c>
      <c r="AT713" s="1112">
        <f t="shared" si="1686"/>
        <v>0</v>
      </c>
      <c r="AU713" s="68">
        <f t="shared" si="1686"/>
        <v>0</v>
      </c>
      <c r="AV713" s="27">
        <f t="shared" si="1686"/>
        <v>0</v>
      </c>
      <c r="AW713" s="68">
        <f t="shared" ref="AW713:BB713" si="1687">AW885</f>
        <v>0</v>
      </c>
      <c r="AX713" s="68">
        <f t="shared" si="1687"/>
        <v>0</v>
      </c>
      <c r="AY713" s="1112">
        <f t="shared" si="1687"/>
        <v>0</v>
      </c>
      <c r="AZ713" s="68">
        <f t="shared" si="1687"/>
        <v>0</v>
      </c>
      <c r="BA713" s="27">
        <f t="shared" si="1687"/>
        <v>0</v>
      </c>
      <c r="BB713" s="68">
        <f t="shared" si="1687"/>
        <v>0</v>
      </c>
      <c r="BC713" s="68">
        <f t="shared" ref="BC713:BI713" si="1688">BC885</f>
        <v>0</v>
      </c>
      <c r="BD713" s="1112">
        <f t="shared" si="1688"/>
        <v>0</v>
      </c>
      <c r="BE713" s="68">
        <f t="shared" si="1688"/>
        <v>0</v>
      </c>
      <c r="BF713" s="27">
        <f t="shared" si="1688"/>
        <v>0</v>
      </c>
      <c r="BG713" s="68">
        <f t="shared" si="1688"/>
        <v>0</v>
      </c>
      <c r="BH713" s="68">
        <f t="shared" si="1688"/>
        <v>0</v>
      </c>
      <c r="BI713" s="1112">
        <f t="shared" si="1688"/>
        <v>0</v>
      </c>
      <c r="BJ713" s="68">
        <f t="shared" ref="BJ713:BO713" si="1689">BJ885</f>
        <v>0</v>
      </c>
      <c r="BK713" s="27">
        <f t="shared" si="1689"/>
        <v>0</v>
      </c>
      <c r="BL713" s="68">
        <f t="shared" si="1689"/>
        <v>0</v>
      </c>
      <c r="BM713" s="68">
        <f t="shared" si="1689"/>
        <v>0</v>
      </c>
      <c r="BN713" s="1112">
        <f t="shared" si="1689"/>
        <v>0</v>
      </c>
      <c r="BO713" s="68">
        <f t="shared" si="1689"/>
        <v>0</v>
      </c>
      <c r="BP713" s="27">
        <f t="shared" ref="BP713:BU713" si="1690">BP885</f>
        <v>0</v>
      </c>
      <c r="BQ713" s="68">
        <f t="shared" si="1690"/>
        <v>0</v>
      </c>
      <c r="BR713" s="68">
        <f t="shared" si="1690"/>
        <v>0</v>
      </c>
      <c r="BS713" s="1112">
        <f t="shared" si="1690"/>
        <v>0</v>
      </c>
      <c r="BT713" s="68">
        <f t="shared" si="1690"/>
        <v>0</v>
      </c>
      <c r="BU713" s="27">
        <f t="shared" si="1690"/>
        <v>0</v>
      </c>
      <c r="BV713" s="68">
        <f>BV885</f>
        <v>0</v>
      </c>
      <c r="BW713" s="68">
        <f>BW885</f>
        <v>0</v>
      </c>
      <c r="BX713" s="1112">
        <f>BX885</f>
        <v>0</v>
      </c>
      <c r="BY713" s="588">
        <f>BY885</f>
        <v>0</v>
      </c>
      <c r="BZ713" s="1055">
        <v>0</v>
      </c>
      <c r="CA713" s="1055">
        <v>0</v>
      </c>
      <c r="CB713" s="1055">
        <v>0</v>
      </c>
      <c r="CC713" s="1112">
        <f>CC885</f>
        <v>0</v>
      </c>
      <c r="CD713" s="1055">
        <v>0</v>
      </c>
      <c r="CE713" s="1055">
        <v>0</v>
      </c>
      <c r="CF713" s="1055">
        <v>0</v>
      </c>
      <c r="CG713" s="1055">
        <v>0</v>
      </c>
      <c r="CH713" s="1112">
        <f>CH885</f>
        <v>0</v>
      </c>
      <c r="CI713" s="1113">
        <v>0</v>
      </c>
      <c r="CJ713" s="1113">
        <v>0</v>
      </c>
      <c r="CK713" s="1113">
        <v>0</v>
      </c>
      <c r="CL713" s="155"/>
    </row>
    <row r="714" spans="1:90" x14ac:dyDescent="0.3">
      <c r="A714" s="27" t="s">
        <v>121</v>
      </c>
      <c r="B714" s="146"/>
      <c r="C714" s="1114">
        <f t="shared" ref="C714:AV714" si="1691">C902</f>
        <v>0</v>
      </c>
      <c r="D714" s="1114">
        <f t="shared" si="1691"/>
        <v>0</v>
      </c>
      <c r="E714" s="1114">
        <f t="shared" si="1691"/>
        <v>0</v>
      </c>
      <c r="F714" s="1114">
        <f t="shared" si="1691"/>
        <v>0</v>
      </c>
      <c r="G714" s="27">
        <f t="shared" si="1691"/>
        <v>0</v>
      </c>
      <c r="H714" s="27">
        <f t="shared" si="1691"/>
        <v>0</v>
      </c>
      <c r="I714" s="27">
        <f t="shared" si="1691"/>
        <v>0</v>
      </c>
      <c r="J714" s="27">
        <f t="shared" si="1691"/>
        <v>-46.866</v>
      </c>
      <c r="K714" s="1114">
        <f t="shared" si="1691"/>
        <v>-46.866</v>
      </c>
      <c r="L714" s="27">
        <f t="shared" si="1691"/>
        <v>-46.267000000000003</v>
      </c>
      <c r="M714" s="27">
        <f t="shared" si="1691"/>
        <v>-43.342999999999996</v>
      </c>
      <c r="N714" s="27">
        <f t="shared" si="1691"/>
        <v>-43.397000000000006</v>
      </c>
      <c r="O714" s="27">
        <f t="shared" si="1691"/>
        <v>-48.329000000000008</v>
      </c>
      <c r="P714" s="1114">
        <f t="shared" si="1691"/>
        <v>-181.33600000000001</v>
      </c>
      <c r="Q714" s="27">
        <f t="shared" si="1691"/>
        <v>-47</v>
      </c>
      <c r="R714" s="27">
        <f t="shared" si="1691"/>
        <v>-47</v>
      </c>
      <c r="S714" s="27">
        <f t="shared" si="1691"/>
        <v>-46</v>
      </c>
      <c r="T714" s="27">
        <f t="shared" si="1691"/>
        <v>-46</v>
      </c>
      <c r="U714" s="1114">
        <f t="shared" si="1691"/>
        <v>-186</v>
      </c>
      <c r="V714" s="27">
        <f t="shared" si="1691"/>
        <v>-46</v>
      </c>
      <c r="W714" s="27">
        <f t="shared" si="1691"/>
        <v>-53</v>
      </c>
      <c r="X714" s="27">
        <f t="shared" si="1691"/>
        <v>-53</v>
      </c>
      <c r="Y714" s="27">
        <f t="shared" si="1691"/>
        <v>-61</v>
      </c>
      <c r="Z714" s="1114">
        <f t="shared" si="1691"/>
        <v>-213</v>
      </c>
      <c r="AA714" s="27">
        <f t="shared" si="1691"/>
        <v>-62</v>
      </c>
      <c r="AB714" s="27">
        <f t="shared" si="1691"/>
        <v>-62</v>
      </c>
      <c r="AC714" s="27">
        <f t="shared" si="1691"/>
        <v>-61</v>
      </c>
      <c r="AD714" s="27">
        <f t="shared" si="1691"/>
        <v>-76</v>
      </c>
      <c r="AE714" s="1114">
        <f t="shared" si="1691"/>
        <v>-261</v>
      </c>
      <c r="AF714" s="27">
        <f t="shared" si="1691"/>
        <v>-82</v>
      </c>
      <c r="AG714" s="27">
        <f t="shared" si="1691"/>
        <v>-84</v>
      </c>
      <c r="AH714" s="27">
        <f t="shared" si="1691"/>
        <v>-84</v>
      </c>
      <c r="AI714" s="27">
        <f t="shared" si="1691"/>
        <v>-91</v>
      </c>
      <c r="AJ714" s="1114">
        <f t="shared" si="1691"/>
        <v>-341</v>
      </c>
      <c r="AK714" s="27">
        <f t="shared" si="1691"/>
        <v>-91</v>
      </c>
      <c r="AL714" s="27">
        <f t="shared" si="1691"/>
        <v>-91</v>
      </c>
      <c r="AM714" s="27">
        <f t="shared" si="1691"/>
        <v>-91</v>
      </c>
      <c r="AN714" s="68">
        <f t="shared" si="1691"/>
        <v>-98</v>
      </c>
      <c r="AO714" s="1112">
        <f t="shared" si="1691"/>
        <v>-371</v>
      </c>
      <c r="AP714" s="27">
        <f t="shared" si="1691"/>
        <v>-97</v>
      </c>
      <c r="AQ714" s="68">
        <f t="shared" si="1691"/>
        <v>-98</v>
      </c>
      <c r="AR714" s="27">
        <f t="shared" si="1691"/>
        <v>-97</v>
      </c>
      <c r="AS714" s="68">
        <f t="shared" si="1691"/>
        <v>-98</v>
      </c>
      <c r="AT714" s="1112">
        <f t="shared" si="1691"/>
        <v>-390</v>
      </c>
      <c r="AU714" s="27">
        <f t="shared" si="1691"/>
        <v>-98</v>
      </c>
      <c r="AV714" s="68">
        <f t="shared" si="1691"/>
        <v>-99</v>
      </c>
      <c r="AW714" s="27">
        <f t="shared" ref="AW714:BB714" si="1692">AW902</f>
        <v>-99</v>
      </c>
      <c r="AX714" s="68">
        <f t="shared" si="1692"/>
        <v>-99</v>
      </c>
      <c r="AY714" s="1112">
        <f t="shared" si="1692"/>
        <v>-395</v>
      </c>
      <c r="AZ714" s="27">
        <f t="shared" si="1692"/>
        <v>-99</v>
      </c>
      <c r="BA714" s="68">
        <f t="shared" si="1692"/>
        <v>-99</v>
      </c>
      <c r="BB714" s="27">
        <f t="shared" si="1692"/>
        <v>-100</v>
      </c>
      <c r="BC714" s="68">
        <f t="shared" ref="BC714:BI714" si="1693">BC902</f>
        <v>-101</v>
      </c>
      <c r="BD714" s="1112">
        <f t="shared" si="1693"/>
        <v>-399</v>
      </c>
      <c r="BE714" s="27">
        <f t="shared" si="1693"/>
        <v>-100</v>
      </c>
      <c r="BF714" s="68">
        <f t="shared" si="1693"/>
        <v>-100</v>
      </c>
      <c r="BG714" s="27">
        <f t="shared" si="1693"/>
        <v>-100</v>
      </c>
      <c r="BH714" s="68">
        <f t="shared" si="1693"/>
        <v>-98</v>
      </c>
      <c r="BI714" s="1112">
        <f t="shared" si="1693"/>
        <v>-398</v>
      </c>
      <c r="BJ714" s="27">
        <f t="shared" ref="BJ714:BO714" si="1694">BJ902</f>
        <v>-99</v>
      </c>
      <c r="BK714" s="68">
        <f t="shared" si="1694"/>
        <v>-100</v>
      </c>
      <c r="BL714" s="27">
        <f t="shared" si="1694"/>
        <v>-97</v>
      </c>
      <c r="BM714" s="68">
        <f t="shared" si="1694"/>
        <v>-99</v>
      </c>
      <c r="BN714" s="1112">
        <f t="shared" si="1694"/>
        <v>-395</v>
      </c>
      <c r="BO714" s="27">
        <f t="shared" si="1694"/>
        <v>-98</v>
      </c>
      <c r="BP714" s="68">
        <f t="shared" ref="BP714:BU714" si="1695">BP902</f>
        <v>-246</v>
      </c>
      <c r="BQ714" s="27">
        <f t="shared" si="1695"/>
        <v>-245</v>
      </c>
      <c r="BR714" s="68">
        <f t="shared" si="1695"/>
        <v>-245</v>
      </c>
      <c r="BS714" s="1112">
        <f t="shared" si="1695"/>
        <v>-834</v>
      </c>
      <c r="BT714" s="27">
        <f t="shared" si="1695"/>
        <v>-244</v>
      </c>
      <c r="BU714" s="68">
        <f t="shared" si="1695"/>
        <v>-244</v>
      </c>
      <c r="BV714" s="27">
        <f>BV902</f>
        <v>-244</v>
      </c>
      <c r="BW714" s="68">
        <f>BW902</f>
        <v>-242</v>
      </c>
      <c r="BX714" s="1112">
        <f>BX902</f>
        <v>-974</v>
      </c>
      <c r="BY714" s="508">
        <f>BY902</f>
        <v>-243</v>
      </c>
      <c r="BZ714" s="68">
        <f>BZ715*-BZ436</f>
        <v>-6055.25</v>
      </c>
      <c r="CA714" s="68">
        <f>CA715*-CA436</f>
        <v>-6055.25</v>
      </c>
      <c r="CB714" s="68">
        <f>CB715*-CB436</f>
        <v>-6055.25</v>
      </c>
      <c r="CC714" s="1112">
        <f>CC902</f>
        <v>-18408.75</v>
      </c>
      <c r="CD714" s="68">
        <f>CD715*-CD436</f>
        <v>-6055.25</v>
      </c>
      <c r="CE714" s="68">
        <f>CE715*-CE436</f>
        <v>-6055.25</v>
      </c>
      <c r="CF714" s="68">
        <f>CF715*-CF436</f>
        <v>-6055.25</v>
      </c>
      <c r="CG714" s="68">
        <f>CG715*-CG436</f>
        <v>-6055.25</v>
      </c>
      <c r="CH714" s="1112">
        <f>CH902</f>
        <v>-24221</v>
      </c>
      <c r="CI714" s="1112">
        <f>CI715*-CI436</f>
        <v>-24221</v>
      </c>
      <c r="CJ714" s="1112">
        <f>CJ715*-CJ436</f>
        <v>-24221</v>
      </c>
      <c r="CK714" s="1112">
        <f>CK715*-CK436</f>
        <v>-24221</v>
      </c>
      <c r="CL714" s="155"/>
    </row>
    <row r="715" spans="1:90" x14ac:dyDescent="0.3">
      <c r="A715" s="280" t="s">
        <v>122</v>
      </c>
      <c r="B715" s="281"/>
      <c r="C715" s="1206">
        <f t="shared" ref="C715:I715" si="1696">0/(10)</f>
        <v>0</v>
      </c>
      <c r="D715" s="1206">
        <f t="shared" si="1696"/>
        <v>0</v>
      </c>
      <c r="E715" s="1206">
        <f t="shared" si="1696"/>
        <v>0</v>
      </c>
      <c r="F715" s="1206">
        <f t="shared" si="1696"/>
        <v>0</v>
      </c>
      <c r="G715" s="1085">
        <f t="shared" si="1696"/>
        <v>0</v>
      </c>
      <c r="H715" s="1085">
        <f t="shared" si="1696"/>
        <v>0</v>
      </c>
      <c r="I715" s="1085">
        <f t="shared" si="1696"/>
        <v>0</v>
      </c>
      <c r="J715" s="1085">
        <f>0.01875/(10)</f>
        <v>1.8749999999999999E-3</v>
      </c>
      <c r="K715" s="1207">
        <f>SUM(G715,H715,I715,J715)</f>
        <v>1.8749999999999999E-3</v>
      </c>
      <c r="L715" s="1085">
        <f>0.01875/(10)</f>
        <v>1.8749999999999999E-3</v>
      </c>
      <c r="M715" s="1085">
        <f>0.01875/(10)</f>
        <v>1.8749999999999999E-3</v>
      </c>
      <c r="N715" s="1085">
        <f>0.02125/(10)</f>
        <v>2.1250000000000002E-3</v>
      </c>
      <c r="O715" s="1085">
        <f>0.02125/(10)</f>
        <v>2.1250000000000002E-3</v>
      </c>
      <c r="P715" s="1207">
        <f>SUM(L715,M715,N715,O715)</f>
        <v>8.0000000000000002E-3</v>
      </c>
      <c r="Q715" s="1085">
        <f>0.02125/(10)</f>
        <v>2.1250000000000002E-3</v>
      </c>
      <c r="R715" s="1085">
        <f>0.02125/(10)</f>
        <v>2.1250000000000002E-3</v>
      </c>
      <c r="S715" s="1085">
        <f>0.02125/(10)</f>
        <v>2.1250000000000002E-3</v>
      </c>
      <c r="T715" s="1085">
        <f>0.02125/(10)</f>
        <v>2.1250000000000002E-3</v>
      </c>
      <c r="U715" s="1207">
        <f>SUM(Q715,R715,S715,T715)</f>
        <v>8.5000000000000006E-3</v>
      </c>
      <c r="V715" s="1085">
        <f>0.024375/(10)</f>
        <v>2.4375E-3</v>
      </c>
      <c r="W715" s="1085">
        <f>0.024375/(10)</f>
        <v>2.4375E-3</v>
      </c>
      <c r="X715" s="1085">
        <f>0.02875/(10)</f>
        <v>2.875E-3</v>
      </c>
      <c r="Y715" s="1085">
        <f>0.02875/(10)</f>
        <v>2.875E-3</v>
      </c>
      <c r="Z715" s="1207">
        <f>SUM(V715,W715,X715,Y715)</f>
        <v>1.0624999999999999E-2</v>
      </c>
      <c r="AA715" s="1085">
        <f>0.02875/(10)</f>
        <v>2.875E-3</v>
      </c>
      <c r="AB715" s="1085">
        <f>0.02875/(10)</f>
        <v>2.875E-3</v>
      </c>
      <c r="AC715" s="1085">
        <f>0.02875/(10)</f>
        <v>2.875E-3</v>
      </c>
      <c r="AD715" s="1085">
        <f>0.02875/(10)</f>
        <v>2.875E-3</v>
      </c>
      <c r="AE715" s="1207">
        <f>SUM(AA715,AB715,AC715,AD715)</f>
        <v>1.15E-2</v>
      </c>
      <c r="AF715" s="1085">
        <f>0.035/(10)</f>
        <v>3.5000000000000005E-3</v>
      </c>
      <c r="AG715" s="1085">
        <f>0.035/(10)</f>
        <v>3.5000000000000005E-3</v>
      </c>
      <c r="AH715" s="1085">
        <f>0.035/(10)</f>
        <v>3.5000000000000005E-3</v>
      </c>
      <c r="AI715" s="1085">
        <f>0.0375/(10)</f>
        <v>3.7499999999999999E-3</v>
      </c>
      <c r="AJ715" s="1207">
        <f>SUM(AF715,AG715,AH715,AI715)</f>
        <v>1.4250000000000002E-2</v>
      </c>
      <c r="AK715" s="1085">
        <f>0.0375/(10)</f>
        <v>3.7499999999999999E-3</v>
      </c>
      <c r="AL715" s="1085">
        <f>0.0375/(10)</f>
        <v>3.7499999999999999E-3</v>
      </c>
      <c r="AM715" s="1085">
        <f>0.0375/(10)</f>
        <v>3.7499999999999999E-3</v>
      </c>
      <c r="AN715" s="1085">
        <f>0.04/(10)</f>
        <v>4.0000000000000001E-3</v>
      </c>
      <c r="AO715" s="1207">
        <f>SUM(AK715,AL715,AM715,AN715)</f>
        <v>1.525E-2</v>
      </c>
      <c r="AP715" s="1085">
        <f>0.04/(10)</f>
        <v>4.0000000000000001E-3</v>
      </c>
      <c r="AQ715" s="1085">
        <f>0.04/(10)</f>
        <v>4.0000000000000001E-3</v>
      </c>
      <c r="AR715" s="1085">
        <f>0.04/(10)</f>
        <v>4.0000000000000001E-3</v>
      </c>
      <c r="AS715" s="1085">
        <f>0.04/(10)</f>
        <v>4.0000000000000001E-3</v>
      </c>
      <c r="AT715" s="1207">
        <f>SUM(AP715,AQ715,AR715,AS715)</f>
        <v>1.6E-2</v>
      </c>
      <c r="AU715" s="1085">
        <f>0.04/(10)</f>
        <v>4.0000000000000001E-3</v>
      </c>
      <c r="AV715" s="1085">
        <f>0.04/(10)</f>
        <v>4.0000000000000001E-3</v>
      </c>
      <c r="AW715" s="1085">
        <f>0.04/(10)</f>
        <v>4.0000000000000001E-3</v>
      </c>
      <c r="AX715" s="1085">
        <f>0.04/(10)</f>
        <v>4.0000000000000001E-3</v>
      </c>
      <c r="AY715" s="1207">
        <f>SUM(AU715,AV715,AW715,AX715)</f>
        <v>1.6E-2</v>
      </c>
      <c r="AZ715" s="1085">
        <f>0.04/(10)</f>
        <v>4.0000000000000001E-3</v>
      </c>
      <c r="BA715" s="1085">
        <f>0.04/(10)</f>
        <v>4.0000000000000001E-3</v>
      </c>
      <c r="BB715" s="1085">
        <f>0.04/(10)</f>
        <v>4.0000000000000001E-3</v>
      </c>
      <c r="BC715" s="1085">
        <f>0.04/(10)</f>
        <v>4.0000000000000001E-3</v>
      </c>
      <c r="BD715" s="1207">
        <f>SUM(AZ715,BA715,BB715,BC715)</f>
        <v>1.6E-2</v>
      </c>
      <c r="BE715" s="1085">
        <f>0.04/(10)</f>
        <v>4.0000000000000001E-3</v>
      </c>
      <c r="BF715" s="1085">
        <f>0.04/(10)</f>
        <v>4.0000000000000001E-3</v>
      </c>
      <c r="BG715" s="1085">
        <f>0.04/(10)</f>
        <v>4.0000000000000001E-3</v>
      </c>
      <c r="BH715" s="1085">
        <f>0.04/(10)</f>
        <v>4.0000000000000001E-3</v>
      </c>
      <c r="BI715" s="1207">
        <f>SUM(BE715,BF715,BG715,BH715)</f>
        <v>1.6E-2</v>
      </c>
      <c r="BJ715" s="1085">
        <f>0.04/(10)</f>
        <v>4.0000000000000001E-3</v>
      </c>
      <c r="BK715" s="1085">
        <f>0.04/(10)</f>
        <v>4.0000000000000001E-3</v>
      </c>
      <c r="BL715" s="1085">
        <f>0.04/(10)</f>
        <v>4.0000000000000001E-3</v>
      </c>
      <c r="BM715" s="1085">
        <f>0.04/(10)</f>
        <v>4.0000000000000001E-3</v>
      </c>
      <c r="BN715" s="1207">
        <f>SUM(BJ715,BK715,BL715,BM715)</f>
        <v>1.6E-2</v>
      </c>
      <c r="BO715" s="1085">
        <f>0.04/(10)</f>
        <v>4.0000000000000001E-3</v>
      </c>
      <c r="BP715" s="1085">
        <v>0.01</v>
      </c>
      <c r="BQ715" s="1085">
        <v>0.01</v>
      </c>
      <c r="BR715" s="1085">
        <v>0.01</v>
      </c>
      <c r="BS715" s="1207">
        <f>SUM(BO715,BP715,BQ715,BR715)</f>
        <v>3.4000000000000002E-2</v>
      </c>
      <c r="BT715" s="1085">
        <v>0.01</v>
      </c>
      <c r="BU715" s="1085">
        <v>0.01</v>
      </c>
      <c r="BV715" s="1085">
        <v>0.01</v>
      </c>
      <c r="BW715" s="1085">
        <v>0.01</v>
      </c>
      <c r="BX715" s="1207">
        <f>SUM(BT715,BU715,BV715,BW715)</f>
        <v>0.04</v>
      </c>
      <c r="BY715" s="1086">
        <v>0.01</v>
      </c>
      <c r="BZ715" s="1085">
        <v>0.25</v>
      </c>
      <c r="CA715" s="1085">
        <v>0.25</v>
      </c>
      <c r="CB715" s="1085">
        <v>0.25</v>
      </c>
      <c r="CC715" s="1207">
        <f>SUM(BY715,BZ715,CA715,CB715)</f>
        <v>0.76</v>
      </c>
      <c r="CD715" s="1085">
        <v>0.25</v>
      </c>
      <c r="CE715" s="1085">
        <v>0.25</v>
      </c>
      <c r="CF715" s="1085">
        <v>0.25</v>
      </c>
      <c r="CG715" s="1085">
        <v>0.25</v>
      </c>
      <c r="CH715" s="1207">
        <f>SUM(CD715,CE715,CF715,CG715)</f>
        <v>1</v>
      </c>
      <c r="CI715" s="1206">
        <v>1</v>
      </c>
      <c r="CJ715" s="1206">
        <v>1</v>
      </c>
      <c r="CK715" s="1206">
        <v>1</v>
      </c>
      <c r="CL715" s="155"/>
    </row>
    <row r="716" spans="1:90" x14ac:dyDescent="0.3">
      <c r="A716" s="280"/>
      <c r="B716" s="281"/>
      <c r="C716" s="1207"/>
      <c r="D716" s="1207"/>
      <c r="E716" s="1207"/>
      <c r="F716" s="1207"/>
      <c r="G716" s="289"/>
      <c r="H716" s="289"/>
      <c r="I716" s="289"/>
      <c r="J716" s="289"/>
      <c r="K716" s="1207"/>
      <c r="L716" s="289"/>
      <c r="M716" s="289"/>
      <c r="N716" s="289"/>
      <c r="O716" s="289"/>
      <c r="P716" s="1207"/>
      <c r="Q716" s="289"/>
      <c r="R716" s="289"/>
      <c r="S716" s="289"/>
      <c r="T716" s="289"/>
      <c r="U716" s="1207"/>
      <c r="V716" s="289"/>
      <c r="W716" s="289"/>
      <c r="X716" s="289"/>
      <c r="Y716" s="289"/>
      <c r="Z716" s="1207"/>
      <c r="AA716" s="289"/>
      <c r="AB716" s="289"/>
      <c r="AC716" s="289"/>
      <c r="AD716" s="289"/>
      <c r="AE716" s="1207"/>
      <c r="AF716" s="289"/>
      <c r="AG716" s="289"/>
      <c r="AH716" s="289"/>
      <c r="AI716" s="289"/>
      <c r="AJ716" s="1207"/>
      <c r="AK716" s="289"/>
      <c r="AL716" s="289"/>
      <c r="AM716" s="289"/>
      <c r="AN716" s="289"/>
      <c r="AO716" s="1207"/>
      <c r="AP716" s="289"/>
      <c r="AQ716" s="289"/>
      <c r="AR716" s="289"/>
      <c r="AS716" s="289"/>
      <c r="AT716" s="1207"/>
      <c r="AU716" s="289"/>
      <c r="AV716" s="289"/>
      <c r="AW716" s="289"/>
      <c r="AX716" s="289"/>
      <c r="AY716" s="1207"/>
      <c r="AZ716" s="289"/>
      <c r="BA716" s="289"/>
      <c r="BB716" s="289"/>
      <c r="BC716" s="289"/>
      <c r="BD716" s="1207"/>
      <c r="BE716" s="289"/>
      <c r="BF716" s="289"/>
      <c r="BG716" s="289"/>
      <c r="BH716" s="289"/>
      <c r="BI716" s="1207"/>
      <c r="BJ716" s="289"/>
      <c r="BK716" s="289"/>
      <c r="BL716" s="289"/>
      <c r="BM716" s="289"/>
      <c r="BN716" s="1207"/>
      <c r="BO716" s="289"/>
      <c r="BP716" s="289"/>
      <c r="BQ716" s="289"/>
      <c r="BR716" s="289"/>
      <c r="BS716" s="1207"/>
      <c r="BT716" s="289"/>
      <c r="BU716" s="289"/>
      <c r="BV716" s="289"/>
      <c r="BW716" s="289"/>
      <c r="BX716" s="1207"/>
      <c r="BY716" s="934"/>
      <c r="BZ716" s="289"/>
      <c r="CA716" s="289"/>
      <c r="CB716" s="289"/>
      <c r="CC716" s="1207"/>
      <c r="CD716" s="289"/>
      <c r="CE716" s="289"/>
      <c r="CF716" s="289"/>
      <c r="CG716" s="289"/>
      <c r="CH716" s="1207"/>
      <c r="CI716" s="1207"/>
      <c r="CJ716" s="1207"/>
      <c r="CK716" s="1207"/>
      <c r="CL716" s="155"/>
    </row>
    <row r="717" spans="1:90" x14ac:dyDescent="0.3">
      <c r="A717" s="280" t="s">
        <v>597</v>
      </c>
      <c r="B717" s="281"/>
      <c r="C717" s="1112">
        <f t="shared" ref="C717:AT717" si="1697">C894+C896+C901+C905+C906+C907+C895+C899</f>
        <v>0</v>
      </c>
      <c r="D717" s="1112">
        <f t="shared" si="1697"/>
        <v>0</v>
      </c>
      <c r="E717" s="1112">
        <f t="shared" si="1697"/>
        <v>-0.57099999999999995</v>
      </c>
      <c r="F717" s="1112">
        <f t="shared" si="1697"/>
        <v>-11.927000000000001</v>
      </c>
      <c r="G717" s="68">
        <f t="shared" si="1697"/>
        <v>-0.51500000000000001</v>
      </c>
      <c r="H717" s="68">
        <f t="shared" si="1697"/>
        <v>-0.49599999999999989</v>
      </c>
      <c r="I717" s="68">
        <f t="shared" si="1697"/>
        <v>1.0109999999999999</v>
      </c>
      <c r="J717" s="68">
        <f t="shared" si="1697"/>
        <v>-2.0489999999999999</v>
      </c>
      <c r="K717" s="1112">
        <f t="shared" si="1697"/>
        <v>-2.0489999999999999</v>
      </c>
      <c r="L717" s="68">
        <f t="shared" si="1697"/>
        <v>-0.57599999999999996</v>
      </c>
      <c r="M717" s="68">
        <f t="shared" si="1697"/>
        <v>-0.59300000000000008</v>
      </c>
      <c r="N717" s="68">
        <f t="shared" si="1697"/>
        <v>-0.61099999999999999</v>
      </c>
      <c r="O717" s="68">
        <f t="shared" si="1697"/>
        <v>1309.941</v>
      </c>
      <c r="P717" s="1112">
        <f t="shared" si="1697"/>
        <v>1308.1610000000001</v>
      </c>
      <c r="Q717" s="68">
        <f t="shared" si="1697"/>
        <v>-1</v>
      </c>
      <c r="R717" s="68">
        <f t="shared" si="1697"/>
        <v>0</v>
      </c>
      <c r="S717" s="68">
        <f t="shared" si="1697"/>
        <v>-1</v>
      </c>
      <c r="T717" s="68">
        <f t="shared" si="1697"/>
        <v>-1</v>
      </c>
      <c r="U717" s="1112">
        <f t="shared" si="1697"/>
        <v>-3</v>
      </c>
      <c r="V717" s="68">
        <f t="shared" si="1697"/>
        <v>-1</v>
      </c>
      <c r="W717" s="68">
        <f t="shared" si="1697"/>
        <v>-1</v>
      </c>
      <c r="X717" s="68">
        <f t="shared" si="1697"/>
        <v>-1</v>
      </c>
      <c r="Y717" s="68">
        <f t="shared" si="1697"/>
        <v>0</v>
      </c>
      <c r="Z717" s="1112">
        <f t="shared" si="1697"/>
        <v>-3</v>
      </c>
      <c r="AA717" s="68">
        <f t="shared" si="1697"/>
        <v>0</v>
      </c>
      <c r="AB717" s="68">
        <f t="shared" si="1697"/>
        <v>0</v>
      </c>
      <c r="AC717" s="68">
        <f t="shared" si="1697"/>
        <v>1544</v>
      </c>
      <c r="AD717" s="68">
        <f t="shared" si="1697"/>
        <v>-237</v>
      </c>
      <c r="AE717" s="1112">
        <f t="shared" si="1697"/>
        <v>1307</v>
      </c>
      <c r="AF717" s="68">
        <f t="shared" si="1697"/>
        <v>-605</v>
      </c>
      <c r="AG717" s="68">
        <f t="shared" si="1697"/>
        <v>-136</v>
      </c>
      <c r="AH717" s="68">
        <f t="shared" si="1697"/>
        <v>-62</v>
      </c>
      <c r="AI717" s="68">
        <f t="shared" si="1697"/>
        <v>-9</v>
      </c>
      <c r="AJ717" s="1112">
        <f t="shared" si="1697"/>
        <v>-812</v>
      </c>
      <c r="AK717" s="68">
        <f t="shared" si="1697"/>
        <v>-2</v>
      </c>
      <c r="AL717" s="68">
        <f t="shared" si="1697"/>
        <v>0</v>
      </c>
      <c r="AM717" s="68">
        <f t="shared" si="1697"/>
        <v>-10</v>
      </c>
      <c r="AN717" s="68">
        <f t="shared" si="1697"/>
        <v>-4</v>
      </c>
      <c r="AO717" s="1112">
        <f t="shared" si="1697"/>
        <v>-16</v>
      </c>
      <c r="AP717" s="68">
        <f t="shared" si="1697"/>
        <v>0</v>
      </c>
      <c r="AQ717" s="27">
        <f t="shared" si="1697"/>
        <v>0</v>
      </c>
      <c r="AR717" s="68">
        <f t="shared" si="1697"/>
        <v>0</v>
      </c>
      <c r="AS717" s="68">
        <f t="shared" si="1697"/>
        <v>0</v>
      </c>
      <c r="AT717" s="1112">
        <f t="shared" si="1697"/>
        <v>0</v>
      </c>
      <c r="AU717" s="68">
        <f>AU894+AU896+AU901+AU905+AU906+AU907+AU895+AU899</f>
        <v>4979</v>
      </c>
      <c r="AV717" s="27">
        <f t="shared" ref="AV717:BG717" si="1698">AV894+AV896+AV901+AV905+AV906+AV907+AV895+AV899</f>
        <v>-8</v>
      </c>
      <c r="AW717" s="68">
        <f t="shared" si="1698"/>
        <v>0</v>
      </c>
      <c r="AX717" s="68">
        <f t="shared" si="1698"/>
        <v>-3</v>
      </c>
      <c r="AY717" s="1112">
        <f t="shared" si="1698"/>
        <v>4968</v>
      </c>
      <c r="AZ717" s="68">
        <f t="shared" si="1698"/>
        <v>0</v>
      </c>
      <c r="BA717" s="27">
        <f t="shared" si="1698"/>
        <v>4985</v>
      </c>
      <c r="BB717" s="68">
        <f t="shared" si="1698"/>
        <v>-1008</v>
      </c>
      <c r="BC717" s="68">
        <f t="shared" si="1698"/>
        <v>0</v>
      </c>
      <c r="BD717" s="1112">
        <f t="shared" si="1698"/>
        <v>3977</v>
      </c>
      <c r="BE717" s="68">
        <f t="shared" si="1698"/>
        <v>0</v>
      </c>
      <c r="BF717" s="27">
        <f t="shared" si="1698"/>
        <v>0</v>
      </c>
      <c r="BG717" s="68">
        <f t="shared" si="1698"/>
        <v>0</v>
      </c>
      <c r="BH717" s="68">
        <f t="shared" ref="BH717:BN717" si="1699">BH894+BH896+BH901+BH905+BH906+BH907+BH895+BH899</f>
        <v>0</v>
      </c>
      <c r="BI717" s="1112">
        <f t="shared" si="1699"/>
        <v>0</v>
      </c>
      <c r="BJ717" s="68">
        <f t="shared" si="1699"/>
        <v>0</v>
      </c>
      <c r="BK717" s="27">
        <f t="shared" si="1699"/>
        <v>-1250</v>
      </c>
      <c r="BL717" s="68">
        <f t="shared" si="1699"/>
        <v>0</v>
      </c>
      <c r="BM717" s="68">
        <f t="shared" si="1699"/>
        <v>0</v>
      </c>
      <c r="BN717" s="1112">
        <f t="shared" si="1699"/>
        <v>-1250</v>
      </c>
      <c r="BO717" s="68">
        <f t="shared" ref="BO717:BT717" si="1700">BO894+BO896+BO901+BO905+BO906+BO907+BO895+BO899</f>
        <v>0</v>
      </c>
      <c r="BP717" s="27">
        <f t="shared" si="1700"/>
        <v>-1250</v>
      </c>
      <c r="BQ717" s="68">
        <f t="shared" si="1700"/>
        <v>0</v>
      </c>
      <c r="BR717" s="68">
        <f t="shared" si="1700"/>
        <v>0</v>
      </c>
      <c r="BS717" s="1112">
        <f t="shared" si="1700"/>
        <v>-1250</v>
      </c>
      <c r="BT717" s="68">
        <f t="shared" si="1700"/>
        <v>0</v>
      </c>
      <c r="BU717" s="27">
        <f>BU894+BU896+BU901+BU905+BU906+BU907+BU895+BU899</f>
        <v>0</v>
      </c>
      <c r="BV717" s="68">
        <f>BV894+BV896+BV901+BV905+BV906+BV907+BV895+BV899</f>
        <v>0</v>
      </c>
      <c r="BW717" s="68">
        <f>BW894+BW896+BW901+BW905+BW906+BW907+BW895+BW899</f>
        <v>0</v>
      </c>
      <c r="BX717" s="1112">
        <f>BX894+BX896+BX901+BX905+BX906+BX907+BX895+BX899</f>
        <v>0</v>
      </c>
      <c r="BY717" s="588">
        <f>BY894+BY896+BY901+BY905+BY906+BY907+BY895+BY899</f>
        <v>0</v>
      </c>
      <c r="BZ717" s="1055">
        <v>0</v>
      </c>
      <c r="CA717" s="1055">
        <v>0</v>
      </c>
      <c r="CB717" s="1055">
        <v>0</v>
      </c>
      <c r="CC717" s="1112">
        <f>CC894+CC896+CC901+CC905+CC906+CC907+CC895+CC899</f>
        <v>0</v>
      </c>
      <c r="CD717" s="1055">
        <v>0</v>
      </c>
      <c r="CE717" s="1055">
        <v>0</v>
      </c>
      <c r="CF717" s="1055">
        <v>0</v>
      </c>
      <c r="CG717" s="1055">
        <v>0</v>
      </c>
      <c r="CH717" s="1112">
        <f>CH894+CH896+CH901+CH905+CH906+CH907+CH895+CH899</f>
        <v>0</v>
      </c>
      <c r="CI717" s="1113">
        <v>0</v>
      </c>
      <c r="CJ717" s="1113">
        <v>0</v>
      </c>
      <c r="CK717" s="1113">
        <v>0</v>
      </c>
      <c r="CL717" s="155"/>
    </row>
    <row r="718" spans="1:90" x14ac:dyDescent="0.3">
      <c r="A718" s="280" t="s">
        <v>600</v>
      </c>
      <c r="B718" s="281"/>
      <c r="C718" s="1112">
        <f t="shared" ref="C718:AV718" si="1701">C893+C897+C898+C900+C903+C904</f>
        <v>-350.08900000000006</v>
      </c>
      <c r="D718" s="1112">
        <f t="shared" si="1701"/>
        <v>59.953999999999994</v>
      </c>
      <c r="E718" s="1112">
        <f t="shared" si="1701"/>
        <v>192.59200000000001</v>
      </c>
      <c r="F718" s="1112">
        <f t="shared" si="1701"/>
        <v>248.65</v>
      </c>
      <c r="G718" s="68">
        <f t="shared" si="1701"/>
        <v>46.036000000000001</v>
      </c>
      <c r="H718" s="68">
        <f t="shared" si="1701"/>
        <v>14.795999999999999</v>
      </c>
      <c r="I718" s="68">
        <f t="shared" si="1701"/>
        <v>27.595000000000002</v>
      </c>
      <c r="J718" s="68">
        <f t="shared" si="1701"/>
        <v>-54.782000000000011</v>
      </c>
      <c r="K718" s="1112">
        <f t="shared" si="1701"/>
        <v>33.644999999999996</v>
      </c>
      <c r="L718" s="68">
        <f t="shared" si="1701"/>
        <v>-66.884</v>
      </c>
      <c r="M718" s="68">
        <f t="shared" si="1701"/>
        <v>-734.45299999999997</v>
      </c>
      <c r="N718" s="68">
        <f t="shared" si="1701"/>
        <v>39.828999999999994</v>
      </c>
      <c r="O718" s="68">
        <f t="shared" si="1701"/>
        <v>29.275000000000041</v>
      </c>
      <c r="P718" s="1112">
        <f t="shared" si="1701"/>
        <v>-732.23299999999995</v>
      </c>
      <c r="Q718" s="68">
        <f t="shared" si="1701"/>
        <v>-416</v>
      </c>
      <c r="R718" s="68">
        <f t="shared" si="1701"/>
        <v>21</v>
      </c>
      <c r="S718" s="68">
        <f t="shared" si="1701"/>
        <v>-274</v>
      </c>
      <c r="T718" s="68">
        <f t="shared" si="1701"/>
        <v>27</v>
      </c>
      <c r="U718" s="1112">
        <f t="shared" si="1701"/>
        <v>-642</v>
      </c>
      <c r="V718" s="68">
        <f t="shared" si="1701"/>
        <v>3</v>
      </c>
      <c r="W718" s="68">
        <f t="shared" si="1701"/>
        <v>-385</v>
      </c>
      <c r="X718" s="68">
        <f t="shared" si="1701"/>
        <v>34</v>
      </c>
      <c r="Y718" s="68">
        <f t="shared" si="1701"/>
        <v>-109</v>
      </c>
      <c r="Z718" s="1112">
        <f t="shared" si="1701"/>
        <v>-457</v>
      </c>
      <c r="AA718" s="68">
        <f t="shared" si="1701"/>
        <v>-481</v>
      </c>
      <c r="AB718" s="68">
        <f t="shared" si="1701"/>
        <v>12</v>
      </c>
      <c r="AC718" s="68">
        <f t="shared" si="1701"/>
        <v>-69</v>
      </c>
      <c r="AD718" s="68">
        <f t="shared" si="1701"/>
        <v>-210</v>
      </c>
      <c r="AE718" s="1112">
        <f t="shared" si="1701"/>
        <v>-748</v>
      </c>
      <c r="AF718" s="68">
        <f t="shared" si="1701"/>
        <v>-125</v>
      </c>
      <c r="AG718" s="68">
        <f t="shared" si="1701"/>
        <v>-747</v>
      </c>
      <c r="AH718" s="68">
        <f t="shared" si="1701"/>
        <v>-482</v>
      </c>
      <c r="AI718" s="68">
        <f t="shared" si="1701"/>
        <v>-28</v>
      </c>
      <c r="AJ718" s="1112">
        <f t="shared" si="1701"/>
        <v>-1382</v>
      </c>
      <c r="AK718" s="68">
        <f t="shared" si="1701"/>
        <v>-1038</v>
      </c>
      <c r="AL718" s="68">
        <f t="shared" si="1701"/>
        <v>-63</v>
      </c>
      <c r="AM718" s="68">
        <f t="shared" si="1701"/>
        <v>-601</v>
      </c>
      <c r="AN718" s="68">
        <f t="shared" si="1701"/>
        <v>-772</v>
      </c>
      <c r="AO718" s="1112">
        <f t="shared" si="1701"/>
        <v>-2474</v>
      </c>
      <c r="AP718" s="68">
        <f t="shared" si="1701"/>
        <v>-128</v>
      </c>
      <c r="AQ718" s="27">
        <f t="shared" si="1701"/>
        <v>-50</v>
      </c>
      <c r="AR718" s="68">
        <f t="shared" si="1701"/>
        <v>-139</v>
      </c>
      <c r="AS718" s="68">
        <f t="shared" si="1701"/>
        <v>-85</v>
      </c>
      <c r="AT718" s="1112">
        <f t="shared" si="1701"/>
        <v>-402</v>
      </c>
      <c r="AU718" s="68">
        <f t="shared" si="1701"/>
        <v>-134</v>
      </c>
      <c r="AV718" s="27">
        <f t="shared" si="1701"/>
        <v>-190</v>
      </c>
      <c r="AW718" s="68">
        <f t="shared" ref="AW718:BB718" si="1702">AW893+AW897+AW898+AW900+AW903+AW904</f>
        <v>-202</v>
      </c>
      <c r="AX718" s="68">
        <f t="shared" si="1702"/>
        <v>-222</v>
      </c>
      <c r="AY718" s="1112">
        <f t="shared" si="1702"/>
        <v>-748</v>
      </c>
      <c r="AZ718" s="68">
        <f t="shared" si="1702"/>
        <v>-351</v>
      </c>
      <c r="BA718" s="27">
        <f t="shared" si="1702"/>
        <v>-364</v>
      </c>
      <c r="BB718" s="68">
        <f t="shared" si="1702"/>
        <v>-290</v>
      </c>
      <c r="BC718" s="68">
        <f t="shared" ref="BC718:BH718" si="1703">BC893+BC897+BC898+BC900+BC903+BC904</f>
        <v>-618</v>
      </c>
      <c r="BD718" s="1112">
        <f t="shared" si="1703"/>
        <v>-1623</v>
      </c>
      <c r="BE718" s="68">
        <f t="shared" si="1703"/>
        <v>-2324</v>
      </c>
      <c r="BF718" s="27">
        <f t="shared" si="1703"/>
        <v>-3649</v>
      </c>
      <c r="BG718" s="68">
        <f t="shared" si="1703"/>
        <v>-3635</v>
      </c>
      <c r="BH718" s="68">
        <f t="shared" si="1703"/>
        <v>-1551</v>
      </c>
      <c r="BI718" s="1112">
        <f t="shared" ref="BI718:BN718" si="1704">BI893+BI897+BI898+BI900+BI903+BI904</f>
        <v>-11159</v>
      </c>
      <c r="BJ718" s="68">
        <f t="shared" si="1704"/>
        <v>-261</v>
      </c>
      <c r="BK718" s="27">
        <f t="shared" si="1704"/>
        <v>-3738</v>
      </c>
      <c r="BL718" s="68">
        <f t="shared" si="1704"/>
        <v>-4414</v>
      </c>
      <c r="BM718" s="68">
        <f t="shared" si="1704"/>
        <v>-3500</v>
      </c>
      <c r="BN718" s="1112">
        <f t="shared" si="1704"/>
        <v>-11913</v>
      </c>
      <c r="BO718" s="68">
        <f t="shared" ref="BO718:BT718" si="1705">BO893+BO897+BO898+BO900+BO903+BO904</f>
        <v>-9207</v>
      </c>
      <c r="BP718" s="27">
        <f t="shared" si="1705"/>
        <v>-8795</v>
      </c>
      <c r="BQ718" s="68">
        <f t="shared" si="1705"/>
        <v>-12472</v>
      </c>
      <c r="BR718" s="68">
        <f t="shared" si="1705"/>
        <v>-9672</v>
      </c>
      <c r="BS718" s="1112">
        <f t="shared" si="1705"/>
        <v>-40146</v>
      </c>
      <c r="BT718" s="68">
        <f t="shared" si="1705"/>
        <v>-15257</v>
      </c>
      <c r="BU718" s="27">
        <f>BU893+BU897+BU898+BU900+BU903+BU904</f>
        <v>-11568</v>
      </c>
      <c r="BV718" s="68">
        <f>BV893+BV897+BV898+BV900+BV903+BV904</f>
        <v>-14612</v>
      </c>
      <c r="BW718" s="68">
        <f>BW893+BW897+BW898+BW900+BW903+BW904</f>
        <v>-5953</v>
      </c>
      <c r="BX718" s="1112">
        <f>BX893+BX897+BX898+BX900+BX903+BX904</f>
        <v>-47390</v>
      </c>
      <c r="BY718" s="588">
        <f>BY893+BY897+BY898+BY900+BY903+BY904</f>
        <v>-20926</v>
      </c>
      <c r="BZ718" s="1055">
        <v>0</v>
      </c>
      <c r="CA718" s="1055">
        <v>0</v>
      </c>
      <c r="CB718" s="1055">
        <v>0</v>
      </c>
      <c r="CC718" s="1112">
        <f>CC893+CC897+CC898+CC900+CC903+CC904</f>
        <v>-20926</v>
      </c>
      <c r="CD718" s="1055">
        <v>0</v>
      </c>
      <c r="CE718" s="1055">
        <v>0</v>
      </c>
      <c r="CF718" s="1055">
        <v>0</v>
      </c>
      <c r="CG718" s="1055">
        <v>0</v>
      </c>
      <c r="CH718" s="1112">
        <f>CH893+CH897+CH898+CH900+CH903+CH904</f>
        <v>0</v>
      </c>
      <c r="CI718" s="1113">
        <v>0</v>
      </c>
      <c r="CJ718" s="1113">
        <v>0</v>
      </c>
      <c r="CK718" s="1113">
        <v>0</v>
      </c>
      <c r="CL718" s="155"/>
    </row>
    <row r="719" spans="1:90" x14ac:dyDescent="0.3">
      <c r="A719" s="566" t="s">
        <v>601</v>
      </c>
      <c r="B719" s="567"/>
      <c r="C719" s="1208"/>
      <c r="D719" s="1208"/>
      <c r="E719" s="1208"/>
      <c r="F719" s="1208"/>
      <c r="G719" s="1027"/>
      <c r="H719" s="1027"/>
      <c r="I719" s="1027"/>
      <c r="J719" s="1027"/>
      <c r="K719" s="1208"/>
      <c r="L719" s="1027"/>
      <c r="M719" s="1027"/>
      <c r="N719" s="1027"/>
      <c r="O719" s="1027"/>
      <c r="P719" s="1208"/>
      <c r="Q719" s="1027"/>
      <c r="R719" s="1027"/>
      <c r="S719" s="1027"/>
      <c r="T719" s="1027"/>
      <c r="U719" s="1208"/>
      <c r="V719" s="1027"/>
      <c r="W719" s="1027"/>
      <c r="X719" s="1027"/>
      <c r="Y719" s="1027"/>
      <c r="Z719" s="1208"/>
      <c r="AA719" s="1027"/>
      <c r="AB719" s="1027"/>
      <c r="AC719" s="1027"/>
      <c r="AD719" s="1027"/>
      <c r="AE719" s="1208"/>
      <c r="AF719" s="1027"/>
      <c r="AG719" s="1027"/>
      <c r="AH719" s="1027"/>
      <c r="AI719" s="1027"/>
      <c r="AJ719" s="1208"/>
      <c r="AK719" s="1027"/>
      <c r="AL719" s="1027"/>
      <c r="AM719" s="1027"/>
      <c r="AN719" s="1027"/>
      <c r="AO719" s="1208"/>
      <c r="AP719" s="1027"/>
      <c r="AQ719" s="1027"/>
      <c r="AR719" s="1027"/>
      <c r="AS719" s="1027"/>
      <c r="AT719" s="1208"/>
      <c r="AU719" s="1027"/>
      <c r="AV719" s="1027"/>
      <c r="AW719" s="1027"/>
      <c r="AX719" s="1027"/>
      <c r="AY719" s="1208"/>
      <c r="AZ719" s="1027"/>
      <c r="BA719" s="1027"/>
      <c r="BB719" s="1027"/>
      <c r="BC719" s="1027"/>
      <c r="BD719" s="1208"/>
      <c r="BE719" s="1027"/>
      <c r="BF719" s="1027"/>
      <c r="BG719" s="1027"/>
      <c r="BH719" s="1027"/>
      <c r="BI719" s="1208"/>
      <c r="BJ719" s="1027"/>
      <c r="BK719" s="1027"/>
      <c r="BL719" s="1027"/>
      <c r="BM719" s="1027"/>
      <c r="BN719" s="1208"/>
      <c r="BO719" s="1027"/>
      <c r="BP719" s="1027"/>
      <c r="BQ719" s="1027"/>
      <c r="BR719" s="1027"/>
      <c r="BS719" s="1208"/>
      <c r="BT719" s="1027"/>
      <c r="BU719" s="1027"/>
      <c r="BV719" s="1027"/>
      <c r="BW719" s="1027"/>
      <c r="BX719" s="1208"/>
      <c r="BY719" s="935"/>
      <c r="BZ719" s="1087">
        <v>223</v>
      </c>
      <c r="CA719" s="1087">
        <v>223</v>
      </c>
      <c r="CB719" s="1087">
        <v>223</v>
      </c>
      <c r="CC719" s="1208">
        <f>AVERAGE(BY719,BZ719,CA719,CB719)</f>
        <v>223</v>
      </c>
      <c r="CD719" s="1087">
        <v>245</v>
      </c>
      <c r="CE719" s="1087">
        <v>245</v>
      </c>
      <c r="CF719" s="1087">
        <v>245</v>
      </c>
      <c r="CG719" s="1087">
        <v>245</v>
      </c>
      <c r="CH719" s="1208">
        <f>AVERAGE(CD719,CE719,CF719,CG719)</f>
        <v>245</v>
      </c>
      <c r="CI719" s="1209">
        <v>270</v>
      </c>
      <c r="CJ719" s="1209">
        <v>297</v>
      </c>
      <c r="CK719" s="1209">
        <v>327</v>
      </c>
      <c r="CL719" s="155"/>
    </row>
    <row r="720" spans="1:90" x14ac:dyDescent="0.3">
      <c r="A720" s="111"/>
      <c r="B720" s="112"/>
      <c r="C720" s="1159"/>
      <c r="D720" s="1159"/>
      <c r="E720" s="1159"/>
      <c r="F720" s="1159"/>
      <c r="G720" s="113"/>
      <c r="H720" s="113"/>
      <c r="I720" s="113"/>
      <c r="J720" s="113"/>
      <c r="K720" s="1159"/>
      <c r="L720" s="113"/>
      <c r="M720" s="113"/>
      <c r="N720" s="113"/>
      <c r="O720" s="113"/>
      <c r="P720" s="1159"/>
      <c r="Q720" s="113"/>
      <c r="R720" s="113"/>
      <c r="S720" s="113"/>
      <c r="T720" s="113"/>
      <c r="U720" s="1159"/>
      <c r="V720" s="113"/>
      <c r="W720" s="113"/>
      <c r="X720" s="113"/>
      <c r="Y720" s="113"/>
      <c r="Z720" s="1159"/>
      <c r="AA720" s="113"/>
      <c r="AB720" s="113"/>
      <c r="AC720" s="113"/>
      <c r="AD720" s="113"/>
      <c r="AE720" s="1159"/>
      <c r="AF720" s="113"/>
      <c r="AG720" s="113"/>
      <c r="AH720" s="113"/>
      <c r="AI720" s="113"/>
      <c r="AJ720" s="1159"/>
      <c r="AK720" s="113"/>
      <c r="AL720" s="113"/>
      <c r="AM720" s="113"/>
      <c r="AN720" s="113"/>
      <c r="AO720" s="1159"/>
      <c r="AP720" s="113"/>
      <c r="AQ720" s="113"/>
      <c r="AR720" s="113"/>
      <c r="AS720" s="113"/>
      <c r="AT720" s="1159"/>
      <c r="AU720" s="113"/>
      <c r="AV720" s="113"/>
      <c r="AW720" s="113"/>
      <c r="AX720" s="113"/>
      <c r="AY720" s="1159"/>
      <c r="AZ720" s="113"/>
      <c r="BA720" s="113"/>
      <c r="BB720" s="113"/>
      <c r="BC720" s="113"/>
      <c r="BD720" s="1159"/>
      <c r="BE720" s="113"/>
      <c r="BF720" s="113"/>
      <c r="BG720" s="113"/>
      <c r="BH720" s="113"/>
      <c r="BI720" s="1159"/>
      <c r="BJ720" s="113"/>
      <c r="BK720" s="113"/>
      <c r="BL720" s="113"/>
      <c r="BM720" s="113"/>
      <c r="BN720" s="1159"/>
      <c r="BO720" s="113"/>
      <c r="BP720" s="113"/>
      <c r="BQ720" s="113"/>
      <c r="BR720" s="113"/>
      <c r="BS720" s="1159"/>
      <c r="BT720" s="113"/>
      <c r="BU720" s="113"/>
      <c r="BV720" s="113"/>
      <c r="BW720" s="113"/>
      <c r="BX720" s="1159"/>
      <c r="BY720" s="1005"/>
      <c r="BZ720" s="113"/>
      <c r="CA720" s="113"/>
      <c r="CB720" s="113"/>
      <c r="CC720" s="1159"/>
      <c r="CD720" s="113"/>
      <c r="CE720" s="113"/>
      <c r="CF720" s="113"/>
      <c r="CG720" s="113"/>
      <c r="CH720" s="1159"/>
      <c r="CI720" s="1159"/>
      <c r="CJ720" s="1159"/>
      <c r="CK720" s="1159"/>
      <c r="CL720" s="155"/>
    </row>
    <row r="721" spans="1:90" x14ac:dyDescent="0.3">
      <c r="A721" s="657" t="s">
        <v>455</v>
      </c>
      <c r="B721" s="146"/>
      <c r="C721" s="1112">
        <f t="shared" ref="C721:AH721" si="1706">C416</f>
        <v>162.70599999999999</v>
      </c>
      <c r="D721" s="1112">
        <f t="shared" si="1706"/>
        <v>107.09100000000001</v>
      </c>
      <c r="E721" s="1112">
        <f t="shared" si="1706"/>
        <v>100.35299999999999</v>
      </c>
      <c r="F721" s="1112">
        <f t="shared" si="1706"/>
        <v>136.35399999999998</v>
      </c>
      <c r="G721" s="68">
        <f t="shared" si="1706"/>
        <v>35.569000000000003</v>
      </c>
      <c r="H721" s="68">
        <f t="shared" si="1706"/>
        <v>32.255000000000003</v>
      </c>
      <c r="I721" s="68">
        <f t="shared" si="1706"/>
        <v>33.069000000000003</v>
      </c>
      <c r="J721" s="68">
        <f t="shared" si="1706"/>
        <v>35.768999999999998</v>
      </c>
      <c r="K721" s="1112">
        <f t="shared" si="1706"/>
        <v>136.66199999999998</v>
      </c>
      <c r="L721" s="68">
        <f t="shared" si="1706"/>
        <v>33.396999999999998</v>
      </c>
      <c r="M721" s="68">
        <f t="shared" si="1706"/>
        <v>32.394999999999996</v>
      </c>
      <c r="N721" s="68">
        <f t="shared" si="1706"/>
        <v>34.298999999999999</v>
      </c>
      <c r="O721" s="68">
        <f t="shared" si="1706"/>
        <v>36.204000000000001</v>
      </c>
      <c r="P721" s="1112">
        <f t="shared" si="1706"/>
        <v>136.29500000000002</v>
      </c>
      <c r="Q721" s="68">
        <f t="shared" si="1706"/>
        <v>35.936</v>
      </c>
      <c r="R721" s="68">
        <f t="shared" si="1706"/>
        <v>38</v>
      </c>
      <c r="S721" s="68">
        <f t="shared" si="1706"/>
        <v>41.435000000000002</v>
      </c>
      <c r="T721" s="68">
        <f t="shared" si="1706"/>
        <v>42</v>
      </c>
      <c r="U721" s="1112">
        <f t="shared" si="1706"/>
        <v>157.37100000000001</v>
      </c>
      <c r="V721" s="68">
        <f t="shared" si="1706"/>
        <v>46</v>
      </c>
      <c r="W721" s="68">
        <f t="shared" si="1706"/>
        <v>47</v>
      </c>
      <c r="X721" s="68">
        <f t="shared" si="1706"/>
        <v>51</v>
      </c>
      <c r="Y721" s="68">
        <f t="shared" si="1706"/>
        <v>60</v>
      </c>
      <c r="Z721" s="1112">
        <f t="shared" si="1706"/>
        <v>204</v>
      </c>
      <c r="AA721" s="68">
        <f t="shared" si="1706"/>
        <v>53</v>
      </c>
      <c r="AB721" s="68">
        <f t="shared" si="1706"/>
        <v>58</v>
      </c>
      <c r="AC721" s="68">
        <f t="shared" si="1706"/>
        <v>65</v>
      </c>
      <c r="AD721" s="68">
        <f t="shared" si="1706"/>
        <v>71</v>
      </c>
      <c r="AE721" s="1112">
        <f t="shared" si="1706"/>
        <v>247</v>
      </c>
      <c r="AF721" s="68">
        <f t="shared" si="1706"/>
        <v>76</v>
      </c>
      <c r="AG721" s="68">
        <f t="shared" si="1706"/>
        <v>81</v>
      </c>
      <c r="AH721" s="68">
        <f t="shared" si="1706"/>
        <v>107</v>
      </c>
      <c r="AI721" s="68">
        <f t="shared" ref="AI721:BI721" si="1707">AI416</f>
        <v>126</v>
      </c>
      <c r="AJ721" s="1112">
        <f t="shared" si="1707"/>
        <v>391</v>
      </c>
      <c r="AK721" s="68">
        <f t="shared" si="1707"/>
        <v>129</v>
      </c>
      <c r="AL721" s="68">
        <f t="shared" si="1707"/>
        <v>132</v>
      </c>
      <c r="AM721" s="68">
        <f t="shared" si="1707"/>
        <v>140</v>
      </c>
      <c r="AN721" s="68">
        <f t="shared" si="1707"/>
        <v>156</v>
      </c>
      <c r="AO721" s="1112">
        <f t="shared" si="1707"/>
        <v>557</v>
      </c>
      <c r="AP721" s="68">
        <f t="shared" si="1707"/>
        <v>178</v>
      </c>
      <c r="AQ721" s="68">
        <f t="shared" si="1707"/>
        <v>224</v>
      </c>
      <c r="AR721" s="68">
        <f t="shared" si="1707"/>
        <v>223</v>
      </c>
      <c r="AS721" s="68">
        <f t="shared" si="1707"/>
        <v>220</v>
      </c>
      <c r="AT721" s="1112">
        <f t="shared" si="1707"/>
        <v>844</v>
      </c>
      <c r="AU721" s="68">
        <f t="shared" si="1707"/>
        <v>224</v>
      </c>
      <c r="AV721" s="68">
        <f t="shared" si="1707"/>
        <v>374</v>
      </c>
      <c r="AW721" s="68">
        <f t="shared" si="1707"/>
        <v>383</v>
      </c>
      <c r="AX721" s="68">
        <f t="shared" si="1707"/>
        <v>417</v>
      </c>
      <c r="AY721" s="1112">
        <f t="shared" si="1707"/>
        <v>1398</v>
      </c>
      <c r="AZ721" s="68">
        <f t="shared" si="1707"/>
        <v>429</v>
      </c>
      <c r="BA721" s="68">
        <f t="shared" si="1707"/>
        <v>465</v>
      </c>
      <c r="BB721" s="68">
        <f t="shared" si="1707"/>
        <v>559</v>
      </c>
      <c r="BC721" s="68">
        <f t="shared" si="1707"/>
        <v>551</v>
      </c>
      <c r="BD721" s="1112">
        <f t="shared" si="1707"/>
        <v>2004</v>
      </c>
      <c r="BE721" s="68">
        <f t="shared" si="1707"/>
        <v>578</v>
      </c>
      <c r="BF721" s="68">
        <f t="shared" si="1707"/>
        <v>649</v>
      </c>
      <c r="BG721" s="68">
        <f t="shared" si="1707"/>
        <v>745</v>
      </c>
      <c r="BH721" s="68">
        <f t="shared" si="1707"/>
        <v>739</v>
      </c>
      <c r="BI721" s="1112">
        <f t="shared" si="1707"/>
        <v>2710</v>
      </c>
      <c r="BJ721" s="68">
        <f t="shared" ref="BJ721:BN721" si="1708">BJ416</f>
        <v>735</v>
      </c>
      <c r="BK721" s="68">
        <f t="shared" si="1708"/>
        <v>842</v>
      </c>
      <c r="BL721" s="68">
        <f t="shared" si="1708"/>
        <v>979</v>
      </c>
      <c r="BM721" s="68">
        <f t="shared" si="1708"/>
        <v>993</v>
      </c>
      <c r="BN721" s="1112">
        <f t="shared" si="1708"/>
        <v>3549</v>
      </c>
      <c r="BO721" s="68">
        <f t="shared" ref="BO721:BS721" si="1709">BO416</f>
        <v>1011</v>
      </c>
      <c r="BP721" s="68">
        <f t="shared" si="1709"/>
        <v>1154</v>
      </c>
      <c r="BQ721" s="68">
        <f t="shared" si="1709"/>
        <v>1252</v>
      </c>
      <c r="BR721" s="68">
        <f t="shared" si="1709"/>
        <v>1321</v>
      </c>
      <c r="BS721" s="1112">
        <f t="shared" si="1709"/>
        <v>4737</v>
      </c>
      <c r="BT721" s="68">
        <f t="shared" ref="BT721:CK721" si="1710">BT416</f>
        <v>1474</v>
      </c>
      <c r="BU721" s="68">
        <f t="shared" si="1710"/>
        <v>1624</v>
      </c>
      <c r="BV721" s="68">
        <f t="shared" si="1710"/>
        <v>1655</v>
      </c>
      <c r="BW721" s="68">
        <f t="shared" si="1710"/>
        <v>1633</v>
      </c>
      <c r="BX721" s="1112">
        <f t="shared" si="1710"/>
        <v>6386</v>
      </c>
      <c r="BY721" s="588">
        <f>BY416</f>
        <v>0</v>
      </c>
      <c r="BZ721" s="68">
        <f t="shared" si="1710"/>
        <v>0</v>
      </c>
      <c r="CA721" s="68">
        <f t="shared" si="1710"/>
        <v>0</v>
      </c>
      <c r="CB721" s="68">
        <f t="shared" si="1710"/>
        <v>0</v>
      </c>
      <c r="CC721" s="1112">
        <f t="shared" si="1710"/>
        <v>0</v>
      </c>
      <c r="CD721" s="68">
        <f t="shared" si="1710"/>
        <v>0</v>
      </c>
      <c r="CE721" s="68">
        <f t="shared" si="1710"/>
        <v>0</v>
      </c>
      <c r="CF721" s="68">
        <f t="shared" si="1710"/>
        <v>0</v>
      </c>
      <c r="CG721" s="68">
        <f t="shared" si="1710"/>
        <v>0</v>
      </c>
      <c r="CH721" s="1112">
        <f t="shared" si="1710"/>
        <v>0</v>
      </c>
      <c r="CI721" s="1112">
        <f t="shared" si="1710"/>
        <v>0</v>
      </c>
      <c r="CJ721" s="1112">
        <f t="shared" si="1710"/>
        <v>0</v>
      </c>
      <c r="CK721" s="1112">
        <f t="shared" si="1710"/>
        <v>0</v>
      </c>
      <c r="CL721" s="155"/>
    </row>
    <row r="722" spans="1:90" x14ac:dyDescent="0.3">
      <c r="A722" s="89" t="s">
        <v>779</v>
      </c>
      <c r="B722" s="101"/>
      <c r="C722" s="1115">
        <f t="shared" ref="C722:AH722" si="1711">C721/C370</f>
        <v>4.7507357237188449E-2</v>
      </c>
      <c r="D722" s="1115">
        <f t="shared" si="1711"/>
        <v>3.2193828546691741E-2</v>
      </c>
      <c r="E722" s="1115">
        <f t="shared" si="1711"/>
        <v>2.832183137287772E-2</v>
      </c>
      <c r="F722" s="1115">
        <f t="shared" si="1711"/>
        <v>3.4106149932590112E-2</v>
      </c>
      <c r="G722" s="90">
        <f t="shared" si="1711"/>
        <v>3.8458086859117488E-2</v>
      </c>
      <c r="H722" s="90">
        <f t="shared" si="1711"/>
        <v>3.0887605695844946E-2</v>
      </c>
      <c r="I722" s="90">
        <f t="shared" si="1711"/>
        <v>2.7463437725789176E-2</v>
      </c>
      <c r="J722" s="90">
        <f t="shared" si="1711"/>
        <v>3.2314513841333742E-2</v>
      </c>
      <c r="K722" s="1115">
        <f t="shared" si="1711"/>
        <v>3.1929187677373662E-2</v>
      </c>
      <c r="L722" s="90">
        <f t="shared" si="1711"/>
        <v>3.4980240673105421E-2</v>
      </c>
      <c r="M722" s="90">
        <f t="shared" si="1711"/>
        <v>3.3149550058429976E-2</v>
      </c>
      <c r="N722" s="90">
        <f t="shared" si="1711"/>
        <v>3.2542764621662723E-2</v>
      </c>
      <c r="O722" s="90">
        <f t="shared" si="1711"/>
        <v>3.1640823689192084E-2</v>
      </c>
      <c r="P722" s="1115">
        <f t="shared" si="1711"/>
        <v>3.2999916226046339E-2</v>
      </c>
      <c r="Q722" s="90">
        <f t="shared" si="1711"/>
        <v>3.2580235720761561E-2</v>
      </c>
      <c r="R722" s="90">
        <f t="shared" si="1711"/>
        <v>3.4451495920217588E-2</v>
      </c>
      <c r="S722" s="90">
        <f t="shared" si="1711"/>
        <v>3.3824489795918372E-2</v>
      </c>
      <c r="T722" s="90">
        <f t="shared" si="1711"/>
        <v>3.3573141486810551E-2</v>
      </c>
      <c r="U722" s="1115">
        <f t="shared" si="1711"/>
        <v>3.3611917983767621E-2</v>
      </c>
      <c r="V722" s="90">
        <f t="shared" si="1711"/>
        <v>3.996524761077324E-2</v>
      </c>
      <c r="W722" s="90">
        <f t="shared" si="1711"/>
        <v>4.0763226366001735E-2</v>
      </c>
      <c r="X722" s="90">
        <f t="shared" si="1711"/>
        <v>3.9080459770114942E-2</v>
      </c>
      <c r="Y722" s="90">
        <f t="shared" si="1711"/>
        <v>4.2826552462526764E-2</v>
      </c>
      <c r="Z722" s="1115">
        <f t="shared" si="1711"/>
        <v>4.0718562874251497E-2</v>
      </c>
      <c r="AA722" s="90">
        <f t="shared" si="1711"/>
        <v>4.0613026819923369E-2</v>
      </c>
      <c r="AB722" s="90">
        <f t="shared" si="1711"/>
        <v>4.0616246498599441E-2</v>
      </c>
      <c r="AC722" s="90">
        <f t="shared" si="1711"/>
        <v>3.2435129740518959E-2</v>
      </c>
      <c r="AD722" s="90">
        <f t="shared" si="1711"/>
        <v>3.2673722963644729E-2</v>
      </c>
      <c r="AE722" s="1115">
        <f t="shared" si="1711"/>
        <v>3.5745296671490595E-2</v>
      </c>
      <c r="AF722" s="90">
        <f t="shared" si="1711"/>
        <v>3.923593185338152E-2</v>
      </c>
      <c r="AG722" s="90">
        <f t="shared" si="1711"/>
        <v>3.6322869955156947E-2</v>
      </c>
      <c r="AH722" s="90">
        <f t="shared" si="1711"/>
        <v>4.0591805766312591E-2</v>
      </c>
      <c r="AI722" s="90">
        <f t="shared" ref="AI722:BI722" si="1712">AI721/AI370</f>
        <v>4.3284094812779117E-2</v>
      </c>
      <c r="AJ722" s="1115">
        <f t="shared" si="1712"/>
        <v>4.0251183858348777E-2</v>
      </c>
      <c r="AK722" s="90">
        <f t="shared" si="1712"/>
        <v>4.0224508886810104E-2</v>
      </c>
      <c r="AL722" s="90">
        <f t="shared" si="1712"/>
        <v>4.226705091258405E-2</v>
      </c>
      <c r="AM722" s="90">
        <f t="shared" si="1712"/>
        <v>4.4011317195850365E-2</v>
      </c>
      <c r="AN722" s="90">
        <f t="shared" si="1712"/>
        <v>7.0748299319727898E-2</v>
      </c>
      <c r="AO722" s="1115">
        <f t="shared" si="1712"/>
        <v>4.7541823147832021E-2</v>
      </c>
      <c r="AP722" s="90">
        <f t="shared" si="1712"/>
        <v>8.018018018018018E-2</v>
      </c>
      <c r="AQ722" s="90">
        <f t="shared" si="1712"/>
        <v>8.685537029856534E-2</v>
      </c>
      <c r="AR722" s="90">
        <f t="shared" si="1712"/>
        <v>7.3988055739880557E-2</v>
      </c>
      <c r="AS722" s="90">
        <f t="shared" si="1712"/>
        <v>7.0853462157809979E-2</v>
      </c>
      <c r="AT722" s="1115">
        <f t="shared" si="1712"/>
        <v>7.7303535446052396E-2</v>
      </c>
      <c r="AU722" s="90">
        <f t="shared" si="1712"/>
        <v>7.2727272727272724E-2</v>
      </c>
      <c r="AV722" s="90">
        <f t="shared" si="1712"/>
        <v>9.674081738230729E-2</v>
      </c>
      <c r="AW722" s="90">
        <f t="shared" si="1712"/>
        <v>8.1041049513330507E-2</v>
      </c>
      <c r="AX722" s="90">
        <f t="shared" si="1712"/>
        <v>8.3349990005996397E-2</v>
      </c>
      <c r="AY722" s="1115">
        <f t="shared" si="1712"/>
        <v>8.3838080959520236E-2</v>
      </c>
      <c r="AZ722" s="90">
        <f t="shared" si="1712"/>
        <v>7.5781664016958128E-2</v>
      </c>
      <c r="BA722" s="90">
        <f t="shared" si="1712"/>
        <v>7.1461502996772702E-2</v>
      </c>
      <c r="BB722" s="90">
        <f t="shared" si="1712"/>
        <v>7.8699141207940304E-2</v>
      </c>
      <c r="BC722" s="90">
        <f t="shared" si="1712"/>
        <v>7.2092110427842471E-2</v>
      </c>
      <c r="BD722" s="1115">
        <f t="shared" si="1712"/>
        <v>7.4459389165490081E-2</v>
      </c>
      <c r="BE722" s="90">
        <f t="shared" si="1712"/>
        <v>6.9739382239382239E-2</v>
      </c>
      <c r="BF722" s="90">
        <f t="shared" si="1712"/>
        <v>9.6807875894988071E-2</v>
      </c>
      <c r="BG722" s="90">
        <f t="shared" si="1712"/>
        <v>0.12561119541392682</v>
      </c>
      <c r="BH722" s="90">
        <f t="shared" si="1712"/>
        <v>0.12212857378945628</v>
      </c>
      <c r="BI722" s="1115">
        <f t="shared" si="1712"/>
        <v>0.10046711648253874</v>
      </c>
      <c r="BJ722" s="90">
        <f t="shared" ref="BJ722:BN722" si="1713">BJ721/BJ370</f>
        <v>0.10219688542825361</v>
      </c>
      <c r="BK722" s="90">
        <f t="shared" si="1713"/>
        <v>6.2338046938624415E-2</v>
      </c>
      <c r="BL722" s="90">
        <f t="shared" si="1713"/>
        <v>5.4028697571743931E-2</v>
      </c>
      <c r="BM722" s="90">
        <f t="shared" si="1713"/>
        <v>4.4926028140976342E-2</v>
      </c>
      <c r="BN722" s="1115">
        <f t="shared" si="1713"/>
        <v>5.8254817635665278E-2</v>
      </c>
      <c r="BO722" s="90">
        <f t="shared" ref="BO722:BS722" si="1714">BO721/BO370</f>
        <v>3.8818921824604516E-2</v>
      </c>
      <c r="BP722" s="90">
        <f t="shared" si="1714"/>
        <v>3.8415446071904127E-2</v>
      </c>
      <c r="BQ722" s="90">
        <f t="shared" si="1714"/>
        <v>3.5687817114189613E-2</v>
      </c>
      <c r="BR722" s="90">
        <f t="shared" si="1714"/>
        <v>3.3586738196333683E-2</v>
      </c>
      <c r="BS722" s="1115">
        <f t="shared" si="1714"/>
        <v>3.629968505023104E-2</v>
      </c>
      <c r="BT722" s="90">
        <f t="shared" ref="BT722:CK722" si="1715">BT721/BT370</f>
        <v>3.3452861876446825E-2</v>
      </c>
      <c r="BU722" s="90">
        <f t="shared" si="1715"/>
        <v>3.4743170100335882E-2</v>
      </c>
      <c r="BV722" s="90">
        <f t="shared" si="1715"/>
        <v>2.9032031715959722E-2</v>
      </c>
      <c r="BW722" s="90">
        <f t="shared" si="1715"/>
        <v>2.3969938497218429E-2</v>
      </c>
      <c r="BX722" s="1115">
        <f t="shared" si="1715"/>
        <v>2.9573303448211987E-2</v>
      </c>
      <c r="BY722" s="892">
        <f>BY721/BY370</f>
        <v>0</v>
      </c>
      <c r="BZ722" s="90">
        <f t="shared" si="1715"/>
        <v>0</v>
      </c>
      <c r="CA722" s="90">
        <f t="shared" si="1715"/>
        <v>0</v>
      </c>
      <c r="CB722" s="90">
        <f t="shared" si="1715"/>
        <v>0</v>
      </c>
      <c r="CC722" s="1115">
        <f t="shared" si="1715"/>
        <v>0</v>
      </c>
      <c r="CD722" s="90">
        <f t="shared" si="1715"/>
        <v>0</v>
      </c>
      <c r="CE722" s="90">
        <f t="shared" si="1715"/>
        <v>0</v>
      </c>
      <c r="CF722" s="90">
        <f t="shared" si="1715"/>
        <v>0</v>
      </c>
      <c r="CG722" s="90">
        <f t="shared" si="1715"/>
        <v>0</v>
      </c>
      <c r="CH722" s="1115">
        <f t="shared" si="1715"/>
        <v>0</v>
      </c>
      <c r="CI722" s="1115">
        <f t="shared" si="1715"/>
        <v>0</v>
      </c>
      <c r="CJ722" s="1115">
        <f t="shared" si="1715"/>
        <v>0</v>
      </c>
      <c r="CK722" s="1115">
        <f t="shared" si="1715"/>
        <v>0</v>
      </c>
      <c r="CL722" s="155"/>
    </row>
    <row r="723" spans="1:90" x14ac:dyDescent="0.3">
      <c r="A723" s="111"/>
      <c r="B723" s="112"/>
      <c r="C723" s="1159"/>
      <c r="D723" s="1159"/>
      <c r="E723" s="1159"/>
      <c r="F723" s="1159"/>
      <c r="G723" s="113"/>
      <c r="H723" s="113"/>
      <c r="I723" s="113"/>
      <c r="J723" s="113"/>
      <c r="K723" s="1159"/>
      <c r="L723" s="113"/>
      <c r="M723" s="113"/>
      <c r="N723" s="113"/>
      <c r="O723" s="113"/>
      <c r="P723" s="1159"/>
      <c r="Q723" s="113"/>
      <c r="R723" s="113"/>
      <c r="S723" s="113"/>
      <c r="T723" s="113"/>
      <c r="U723" s="1159"/>
      <c r="V723" s="113"/>
      <c r="W723" s="113"/>
      <c r="X723" s="113"/>
      <c r="Y723" s="113"/>
      <c r="Z723" s="1159"/>
      <c r="AA723" s="113"/>
      <c r="AB723" s="113"/>
      <c r="AC723" s="113"/>
      <c r="AD723" s="113"/>
      <c r="AE723" s="1159"/>
      <c r="AF723" s="113"/>
      <c r="AG723" s="113"/>
      <c r="AH723" s="113"/>
      <c r="AI723" s="113"/>
      <c r="AJ723" s="1159"/>
      <c r="AK723" s="113"/>
      <c r="AL723" s="113"/>
      <c r="AM723" s="113"/>
      <c r="AN723" s="113"/>
      <c r="AO723" s="1159"/>
      <c r="AP723" s="113"/>
      <c r="AQ723" s="113"/>
      <c r="AR723" s="113"/>
      <c r="AS723" s="113"/>
      <c r="AT723" s="1159"/>
      <c r="AU723" s="113"/>
      <c r="AV723" s="113"/>
      <c r="AW723" s="113"/>
      <c r="AX723" s="113"/>
      <c r="AY723" s="1159"/>
      <c r="AZ723" s="113"/>
      <c r="BA723" s="113"/>
      <c r="BB723" s="113"/>
      <c r="BC723" s="113"/>
      <c r="BD723" s="1159"/>
      <c r="BE723" s="113"/>
      <c r="BF723" s="113"/>
      <c r="BG723" s="113"/>
      <c r="BH723" s="113"/>
      <c r="BI723" s="1159"/>
      <c r="BJ723" s="113"/>
      <c r="BK723" s="113"/>
      <c r="BL723" s="113"/>
      <c r="BM723" s="113"/>
      <c r="BN723" s="1159"/>
      <c r="BO723" s="113"/>
      <c r="BP723" s="113"/>
      <c r="BQ723" s="113"/>
      <c r="BR723" s="113"/>
      <c r="BS723" s="1159"/>
      <c r="BT723" s="113"/>
      <c r="BU723" s="113"/>
      <c r="BV723" s="113"/>
      <c r="BW723" s="113"/>
      <c r="BX723" s="1159"/>
      <c r="BY723" s="1005"/>
      <c r="BZ723" s="113"/>
      <c r="CA723" s="113"/>
      <c r="CB723" s="113"/>
      <c r="CC723" s="1159"/>
      <c r="CD723" s="113"/>
      <c r="CE723" s="113"/>
      <c r="CF723" s="113"/>
      <c r="CG723" s="113"/>
      <c r="CH723" s="1159"/>
      <c r="CI723" s="1159"/>
      <c r="CJ723" s="1159"/>
      <c r="CK723" s="1159"/>
      <c r="CL723" s="155"/>
    </row>
    <row r="724" spans="1:90" hidden="1" outlineLevel="1" x14ac:dyDescent="0.3">
      <c r="A724" s="68" t="s">
        <v>862</v>
      </c>
      <c r="B724" s="146"/>
      <c r="C724" s="1112">
        <f t="shared" ref="C724:AH724" si="1716">C703+C709</f>
        <v>-124.97700000000003</v>
      </c>
      <c r="D724" s="1112">
        <f t="shared" si="1716"/>
        <v>273.791</v>
      </c>
      <c r="E724" s="1112">
        <f t="shared" si="1716"/>
        <v>426.20799999999997</v>
      </c>
      <c r="F724" s="1112">
        <f t="shared" si="1716"/>
        <v>768.27200000000016</v>
      </c>
      <c r="G724" s="68">
        <f t="shared" si="1716"/>
        <v>121.97999999999999</v>
      </c>
      <c r="H724" s="68">
        <f t="shared" si="1716"/>
        <v>173.279</v>
      </c>
      <c r="I724" s="68">
        <f t="shared" si="1716"/>
        <v>283.49599999999998</v>
      </c>
      <c r="J724" s="68">
        <f t="shared" si="1716"/>
        <v>174.42999999999995</v>
      </c>
      <c r="K724" s="1112">
        <f t="shared" si="1716"/>
        <v>753.18499999999995</v>
      </c>
      <c r="L724" s="68">
        <f t="shared" si="1716"/>
        <v>97.169999999999987</v>
      </c>
      <c r="M724" s="68">
        <f t="shared" si="1716"/>
        <v>104.78800000000001</v>
      </c>
      <c r="N724" s="68">
        <f t="shared" si="1716"/>
        <v>182.18599999999992</v>
      </c>
      <c r="O724" s="68">
        <f t="shared" si="1716"/>
        <v>183.57900000000001</v>
      </c>
      <c r="P724" s="1112">
        <f t="shared" si="1716"/>
        <v>567.72299999999984</v>
      </c>
      <c r="Q724" s="68">
        <f t="shared" si="1716"/>
        <v>214</v>
      </c>
      <c r="R724" s="68">
        <f t="shared" si="1716"/>
        <v>229</v>
      </c>
      <c r="S724" s="68">
        <f t="shared" si="1716"/>
        <v>256</v>
      </c>
      <c r="T724" s="68">
        <f t="shared" si="1716"/>
        <v>288</v>
      </c>
      <c r="U724" s="1112">
        <f t="shared" si="1716"/>
        <v>987</v>
      </c>
      <c r="V724" s="68">
        <f t="shared" si="1716"/>
        <v>236</v>
      </c>
      <c r="W724" s="68">
        <f t="shared" si="1716"/>
        <v>179</v>
      </c>
      <c r="X724" s="68">
        <f t="shared" si="1716"/>
        <v>386</v>
      </c>
      <c r="Y724" s="68">
        <f t="shared" si="1716"/>
        <v>339</v>
      </c>
      <c r="Z724" s="1112">
        <f t="shared" si="1716"/>
        <v>1140</v>
      </c>
      <c r="AA724" s="68">
        <f t="shared" si="1716"/>
        <v>282</v>
      </c>
      <c r="AB724" s="68">
        <f t="shared" si="1716"/>
        <v>398</v>
      </c>
      <c r="AC724" s="68">
        <f t="shared" si="1716"/>
        <v>710</v>
      </c>
      <c r="AD724" s="68">
        <f t="shared" si="1716"/>
        <v>785</v>
      </c>
      <c r="AE724" s="1112">
        <f t="shared" si="1716"/>
        <v>2175</v>
      </c>
      <c r="AF724" s="68">
        <f t="shared" si="1716"/>
        <v>619</v>
      </c>
      <c r="AG724" s="68">
        <f t="shared" si="1716"/>
        <v>761</v>
      </c>
      <c r="AH724" s="68">
        <f t="shared" si="1716"/>
        <v>973</v>
      </c>
      <c r="AI724" s="68">
        <f t="shared" ref="AI724:AV724" si="1717">AI703+AI709</f>
        <v>371</v>
      </c>
      <c r="AJ724" s="1112">
        <f t="shared" si="1717"/>
        <v>2724</v>
      </c>
      <c r="AK724" s="68">
        <f t="shared" si="1717"/>
        <v>1355</v>
      </c>
      <c r="AL724" s="68">
        <f t="shared" si="1717"/>
        <v>1212</v>
      </c>
      <c r="AM724" s="68">
        <f t="shared" si="1717"/>
        <v>1190</v>
      </c>
      <c r="AN724" s="68">
        <f t="shared" si="1717"/>
        <v>243</v>
      </c>
      <c r="AO724" s="1112">
        <f t="shared" si="1717"/>
        <v>4000</v>
      </c>
      <c r="AP724" s="68">
        <f t="shared" si="1717"/>
        <v>491</v>
      </c>
      <c r="AQ724" s="68">
        <f t="shared" si="1717"/>
        <v>773</v>
      </c>
      <c r="AR724" s="68">
        <f t="shared" si="1717"/>
        <v>1136</v>
      </c>
      <c r="AS724" s="68">
        <f t="shared" si="1717"/>
        <v>1155</v>
      </c>
      <c r="AT724" s="1112">
        <f t="shared" si="1717"/>
        <v>3555</v>
      </c>
      <c r="AU724" s="68">
        <f t="shared" si="1717"/>
        <v>1113</v>
      </c>
      <c r="AV724" s="68">
        <f t="shared" si="1717"/>
        <v>1094</v>
      </c>
      <c r="AW724" s="68">
        <f t="shared" ref="AW724:BB724" si="1718">AW703+AW709</f>
        <v>1495</v>
      </c>
      <c r="AX724" s="68">
        <f t="shared" si="1718"/>
        <v>1695</v>
      </c>
      <c r="AY724" s="1112">
        <f t="shared" si="1718"/>
        <v>5397</v>
      </c>
      <c r="AZ724" s="68">
        <f t="shared" si="1718"/>
        <v>2212</v>
      </c>
      <c r="BA724" s="68">
        <f t="shared" si="1718"/>
        <v>2775</v>
      </c>
      <c r="BB724" s="68">
        <f t="shared" si="1718"/>
        <v>3068</v>
      </c>
      <c r="BC724" s="68">
        <f t="shared" ref="BC724:BD724" si="1719">BC703+BC709</f>
        <v>3440</v>
      </c>
      <c r="BD724" s="1112">
        <f t="shared" si="1719"/>
        <v>11495</v>
      </c>
      <c r="BE724" s="68">
        <f t="shared" ref="BE724:BI724" si="1720">BE703+BE709</f>
        <v>3020</v>
      </c>
      <c r="BF724" s="68">
        <f t="shared" si="1720"/>
        <v>808</v>
      </c>
      <c r="BG724" s="68">
        <f t="shared" si="1720"/>
        <v>735</v>
      </c>
      <c r="BH724" s="68">
        <f t="shared" si="1720"/>
        <v>1452</v>
      </c>
      <c r="BI724" s="1112">
        <f t="shared" si="1720"/>
        <v>6015</v>
      </c>
      <c r="BJ724" s="68">
        <f t="shared" ref="BJ724:BN724" si="1721">BJ703+BJ709</f>
        <v>1759</v>
      </c>
      <c r="BK724" s="68">
        <f t="shared" si="1721"/>
        <v>6233</v>
      </c>
      <c r="BL724" s="68">
        <f t="shared" si="1721"/>
        <v>9787</v>
      </c>
      <c r="BM724" s="68">
        <f t="shared" si="1721"/>
        <v>12964</v>
      </c>
      <c r="BN724" s="1112">
        <f t="shared" si="1721"/>
        <v>30743</v>
      </c>
      <c r="BO724" s="68">
        <f t="shared" ref="BO724:BS724" si="1722">BO703+BO709</f>
        <v>14142</v>
      </c>
      <c r="BP724" s="68">
        <f t="shared" si="1722"/>
        <v>15171</v>
      </c>
      <c r="BQ724" s="68">
        <f t="shared" si="1722"/>
        <v>19508</v>
      </c>
      <c r="BR724" s="68">
        <f t="shared" si="1722"/>
        <v>21415</v>
      </c>
      <c r="BS724" s="1112">
        <f t="shared" si="1722"/>
        <v>70236</v>
      </c>
      <c r="BT724" s="68">
        <f t="shared" ref="BT724:CK724" si="1723">BT703+BT709</f>
        <v>17533</v>
      </c>
      <c r="BU724" s="68">
        <f t="shared" si="1723"/>
        <v>24492</v>
      </c>
      <c r="BV724" s="68">
        <f t="shared" si="1723"/>
        <v>31371</v>
      </c>
      <c r="BW724" s="68">
        <f t="shared" si="1723"/>
        <v>39229</v>
      </c>
      <c r="BX724" s="1112">
        <f t="shared" si="1723"/>
        <v>112625</v>
      </c>
      <c r="BY724" s="588">
        <f>BY703+BY709</f>
        <v>45043</v>
      </c>
      <c r="BZ724" s="68">
        <f t="shared" si="1723"/>
        <v>50001.424360240089</v>
      </c>
      <c r="CA724" s="68">
        <f t="shared" si="1723"/>
        <v>52902.920694567227</v>
      </c>
      <c r="CB724" s="68">
        <f t="shared" si="1723"/>
        <v>54270.701048874798</v>
      </c>
      <c r="CC724" s="1112">
        <f t="shared" si="1723"/>
        <v>202218.04610368211</v>
      </c>
      <c r="CD724" s="68">
        <f t="shared" si="1723"/>
        <v>60672.295016709992</v>
      </c>
      <c r="CE724" s="68">
        <f t="shared" si="1723"/>
        <v>67844.80860303386</v>
      </c>
      <c r="CF724" s="68">
        <f t="shared" si="1723"/>
        <v>67688.362283477647</v>
      </c>
      <c r="CG724" s="68">
        <f t="shared" si="1723"/>
        <v>69547.347512636916</v>
      </c>
      <c r="CH724" s="1112">
        <f t="shared" si="1723"/>
        <v>265752.81341585843</v>
      </c>
      <c r="CI724" s="1112">
        <f t="shared" si="1723"/>
        <v>323072.01708322542</v>
      </c>
      <c r="CJ724" s="1112">
        <f t="shared" si="1723"/>
        <v>386262.33505830675</v>
      </c>
      <c r="CK724" s="1112">
        <f t="shared" si="1723"/>
        <v>461283.33492849628</v>
      </c>
      <c r="CL724" s="596"/>
    </row>
    <row r="725" spans="1:90" hidden="1" outlineLevel="1" x14ac:dyDescent="0.3">
      <c r="A725" s="68" t="s">
        <v>863</v>
      </c>
      <c r="B725" s="146"/>
      <c r="C725" s="1112">
        <f t="shared" ref="C725:AH725" si="1724">C724+C714</f>
        <v>-124.97700000000003</v>
      </c>
      <c r="D725" s="1112">
        <f t="shared" si="1724"/>
        <v>273.791</v>
      </c>
      <c r="E725" s="1112">
        <f t="shared" si="1724"/>
        <v>426.20799999999997</v>
      </c>
      <c r="F725" s="1112">
        <f t="shared" si="1724"/>
        <v>768.27200000000016</v>
      </c>
      <c r="G725" s="68">
        <f t="shared" si="1724"/>
        <v>121.97999999999999</v>
      </c>
      <c r="H725" s="68">
        <f t="shared" si="1724"/>
        <v>173.279</v>
      </c>
      <c r="I725" s="68">
        <f t="shared" si="1724"/>
        <v>283.49599999999998</v>
      </c>
      <c r="J725" s="68">
        <f t="shared" si="1724"/>
        <v>127.56399999999995</v>
      </c>
      <c r="K725" s="1112">
        <f t="shared" si="1724"/>
        <v>706.31899999999996</v>
      </c>
      <c r="L725" s="68">
        <f t="shared" si="1724"/>
        <v>50.902999999999984</v>
      </c>
      <c r="M725" s="68">
        <f t="shared" si="1724"/>
        <v>61.445000000000014</v>
      </c>
      <c r="N725" s="68">
        <f t="shared" si="1724"/>
        <v>138.78899999999993</v>
      </c>
      <c r="O725" s="68">
        <f t="shared" si="1724"/>
        <v>135.25</v>
      </c>
      <c r="P725" s="1112">
        <f t="shared" si="1724"/>
        <v>386.38699999999983</v>
      </c>
      <c r="Q725" s="68">
        <f t="shared" si="1724"/>
        <v>167</v>
      </c>
      <c r="R725" s="68">
        <f t="shared" si="1724"/>
        <v>182</v>
      </c>
      <c r="S725" s="68">
        <f t="shared" si="1724"/>
        <v>210</v>
      </c>
      <c r="T725" s="68">
        <f t="shared" si="1724"/>
        <v>242</v>
      </c>
      <c r="U725" s="1112">
        <f t="shared" si="1724"/>
        <v>801</v>
      </c>
      <c r="V725" s="68">
        <f t="shared" si="1724"/>
        <v>190</v>
      </c>
      <c r="W725" s="68">
        <f t="shared" si="1724"/>
        <v>126</v>
      </c>
      <c r="X725" s="68">
        <f t="shared" si="1724"/>
        <v>333</v>
      </c>
      <c r="Y725" s="68">
        <f t="shared" si="1724"/>
        <v>278</v>
      </c>
      <c r="Z725" s="1112">
        <f t="shared" si="1724"/>
        <v>927</v>
      </c>
      <c r="AA725" s="68">
        <f t="shared" si="1724"/>
        <v>220</v>
      </c>
      <c r="AB725" s="68">
        <f t="shared" si="1724"/>
        <v>336</v>
      </c>
      <c r="AC725" s="68">
        <f t="shared" si="1724"/>
        <v>649</v>
      </c>
      <c r="AD725" s="68">
        <f t="shared" si="1724"/>
        <v>709</v>
      </c>
      <c r="AE725" s="1112">
        <f t="shared" si="1724"/>
        <v>1914</v>
      </c>
      <c r="AF725" s="68">
        <f t="shared" si="1724"/>
        <v>537</v>
      </c>
      <c r="AG725" s="68">
        <f t="shared" si="1724"/>
        <v>677</v>
      </c>
      <c r="AH725" s="68">
        <f t="shared" si="1724"/>
        <v>889</v>
      </c>
      <c r="AI725" s="68">
        <f t="shared" ref="AI725:AV725" si="1725">AI724+AI714</f>
        <v>280</v>
      </c>
      <c r="AJ725" s="1112">
        <f t="shared" si="1725"/>
        <v>2383</v>
      </c>
      <c r="AK725" s="68">
        <f t="shared" si="1725"/>
        <v>1264</v>
      </c>
      <c r="AL725" s="68">
        <f t="shared" si="1725"/>
        <v>1121</v>
      </c>
      <c r="AM725" s="68">
        <f t="shared" si="1725"/>
        <v>1099</v>
      </c>
      <c r="AN725" s="68">
        <f t="shared" si="1725"/>
        <v>145</v>
      </c>
      <c r="AO725" s="1112">
        <f t="shared" si="1725"/>
        <v>3629</v>
      </c>
      <c r="AP725" s="68">
        <f t="shared" si="1725"/>
        <v>394</v>
      </c>
      <c r="AQ725" s="68">
        <f t="shared" si="1725"/>
        <v>675</v>
      </c>
      <c r="AR725" s="68">
        <f t="shared" si="1725"/>
        <v>1039</v>
      </c>
      <c r="AS725" s="68">
        <f t="shared" si="1725"/>
        <v>1057</v>
      </c>
      <c r="AT725" s="1112">
        <f t="shared" si="1725"/>
        <v>3165</v>
      </c>
      <c r="AU725" s="68">
        <f t="shared" si="1725"/>
        <v>1015</v>
      </c>
      <c r="AV725" s="68">
        <f t="shared" si="1725"/>
        <v>995</v>
      </c>
      <c r="AW725" s="68">
        <f t="shared" ref="AW725:BB725" si="1726">AW724+AW714</f>
        <v>1396</v>
      </c>
      <c r="AX725" s="68">
        <f t="shared" si="1726"/>
        <v>1596</v>
      </c>
      <c r="AY725" s="1112">
        <f t="shared" si="1726"/>
        <v>5002</v>
      </c>
      <c r="AZ725" s="68">
        <f t="shared" si="1726"/>
        <v>2113</v>
      </c>
      <c r="BA725" s="68">
        <f t="shared" si="1726"/>
        <v>2676</v>
      </c>
      <c r="BB725" s="68">
        <f t="shared" si="1726"/>
        <v>2968</v>
      </c>
      <c r="BC725" s="68">
        <f t="shared" ref="BC725:BD725" si="1727">BC724+BC714</f>
        <v>3339</v>
      </c>
      <c r="BD725" s="1112">
        <f t="shared" si="1727"/>
        <v>11096</v>
      </c>
      <c r="BE725" s="68">
        <f t="shared" ref="BE725:BI725" si="1728">BE724+BE714</f>
        <v>2920</v>
      </c>
      <c r="BF725" s="68">
        <f t="shared" si="1728"/>
        <v>708</v>
      </c>
      <c r="BG725" s="68">
        <f t="shared" si="1728"/>
        <v>635</v>
      </c>
      <c r="BH725" s="68">
        <f t="shared" si="1728"/>
        <v>1354</v>
      </c>
      <c r="BI725" s="1112">
        <f t="shared" si="1728"/>
        <v>5617</v>
      </c>
      <c r="BJ725" s="68">
        <f t="shared" ref="BJ725:BN725" si="1729">BJ724+BJ714</f>
        <v>1660</v>
      </c>
      <c r="BK725" s="68">
        <f t="shared" si="1729"/>
        <v>6133</v>
      </c>
      <c r="BL725" s="68">
        <f t="shared" si="1729"/>
        <v>9690</v>
      </c>
      <c r="BM725" s="68">
        <f t="shared" si="1729"/>
        <v>12865</v>
      </c>
      <c r="BN725" s="1112">
        <f t="shared" si="1729"/>
        <v>30348</v>
      </c>
      <c r="BO725" s="68">
        <f t="shared" ref="BO725:BS725" si="1730">BO724+BO714</f>
        <v>14044</v>
      </c>
      <c r="BP725" s="68">
        <f t="shared" si="1730"/>
        <v>14925</v>
      </c>
      <c r="BQ725" s="68">
        <f t="shared" si="1730"/>
        <v>19263</v>
      </c>
      <c r="BR725" s="68">
        <f t="shared" si="1730"/>
        <v>21170</v>
      </c>
      <c r="BS725" s="1112">
        <f t="shared" si="1730"/>
        <v>69402</v>
      </c>
      <c r="BT725" s="68">
        <f t="shared" ref="BT725:CK725" si="1731">BT724+BT714</f>
        <v>17289</v>
      </c>
      <c r="BU725" s="68">
        <f t="shared" si="1731"/>
        <v>24248</v>
      </c>
      <c r="BV725" s="68">
        <f t="shared" si="1731"/>
        <v>31127</v>
      </c>
      <c r="BW725" s="68">
        <f t="shared" si="1731"/>
        <v>38987</v>
      </c>
      <c r="BX725" s="1112">
        <f t="shared" si="1731"/>
        <v>111651</v>
      </c>
      <c r="BY725" s="588">
        <f>BY724+BY714</f>
        <v>44800</v>
      </c>
      <c r="BZ725" s="68">
        <f t="shared" si="1731"/>
        <v>43946.174360240089</v>
      </c>
      <c r="CA725" s="68">
        <f t="shared" si="1731"/>
        <v>46847.670694567227</v>
      </c>
      <c r="CB725" s="68">
        <f t="shared" si="1731"/>
        <v>48215.451048874798</v>
      </c>
      <c r="CC725" s="1112">
        <f t="shared" si="1731"/>
        <v>183809.29610368211</v>
      </c>
      <c r="CD725" s="68">
        <f t="shared" si="1731"/>
        <v>54617.045016709992</v>
      </c>
      <c r="CE725" s="68">
        <f t="shared" si="1731"/>
        <v>61789.55860303386</v>
      </c>
      <c r="CF725" s="68">
        <f t="shared" si="1731"/>
        <v>61633.112283477647</v>
      </c>
      <c r="CG725" s="68">
        <f t="shared" si="1731"/>
        <v>63492.097512636916</v>
      </c>
      <c r="CH725" s="1112">
        <f t="shared" si="1731"/>
        <v>241531.81341585843</v>
      </c>
      <c r="CI725" s="1112">
        <f t="shared" si="1731"/>
        <v>298851.01708322542</v>
      </c>
      <c r="CJ725" s="1112">
        <f t="shared" si="1731"/>
        <v>362041.33505830675</v>
      </c>
      <c r="CK725" s="1112">
        <f t="shared" si="1731"/>
        <v>437062.33492849628</v>
      </c>
      <c r="CL725" s="596"/>
    </row>
    <row r="726" spans="1:90" hidden="1" outlineLevel="1" x14ac:dyDescent="0.3">
      <c r="A726" s="68" t="s">
        <v>864</v>
      </c>
      <c r="B726" s="146"/>
      <c r="C726" s="1112">
        <f t="shared" ref="C726:AH726" si="1732">C725+C712+C713</f>
        <v>-152.92500000000004</v>
      </c>
      <c r="D726" s="1112">
        <f t="shared" si="1732"/>
        <v>273.791</v>
      </c>
      <c r="E726" s="1112">
        <f t="shared" si="1732"/>
        <v>426.20799999999997</v>
      </c>
      <c r="F726" s="1112">
        <f t="shared" si="1732"/>
        <v>419.38800000000015</v>
      </c>
      <c r="G726" s="68">
        <f t="shared" si="1732"/>
        <v>121.97999999999999</v>
      </c>
      <c r="H726" s="68">
        <f t="shared" si="1732"/>
        <v>173.279</v>
      </c>
      <c r="I726" s="68">
        <f t="shared" si="1732"/>
        <v>283.49599999999998</v>
      </c>
      <c r="J726" s="68">
        <f t="shared" si="1732"/>
        <v>127.56399999999995</v>
      </c>
      <c r="K726" s="1112">
        <f t="shared" si="1732"/>
        <v>706.31899999999996</v>
      </c>
      <c r="L726" s="68">
        <f t="shared" si="1732"/>
        <v>50.902999999999984</v>
      </c>
      <c r="M726" s="68">
        <f t="shared" si="1732"/>
        <v>61.445000000000014</v>
      </c>
      <c r="N726" s="68">
        <f t="shared" si="1732"/>
        <v>121.64399999999993</v>
      </c>
      <c r="O726" s="68">
        <f t="shared" si="1732"/>
        <v>160.03100000000001</v>
      </c>
      <c r="P726" s="1112">
        <f t="shared" si="1732"/>
        <v>394.02299999999985</v>
      </c>
      <c r="Q726" s="68">
        <f t="shared" si="1732"/>
        <v>188</v>
      </c>
      <c r="R726" s="68">
        <f t="shared" si="1732"/>
        <v>182</v>
      </c>
      <c r="S726" s="68">
        <f t="shared" si="1732"/>
        <v>210</v>
      </c>
      <c r="T726" s="68">
        <f t="shared" si="1732"/>
        <v>242</v>
      </c>
      <c r="U726" s="1112">
        <f t="shared" si="1732"/>
        <v>822</v>
      </c>
      <c r="V726" s="68">
        <f t="shared" si="1732"/>
        <v>190</v>
      </c>
      <c r="W726" s="68">
        <f t="shared" si="1732"/>
        <v>128</v>
      </c>
      <c r="X726" s="68">
        <f t="shared" si="1732"/>
        <v>338</v>
      </c>
      <c r="Y726" s="68">
        <f t="shared" si="1732"/>
        <v>278</v>
      </c>
      <c r="Z726" s="1112">
        <f t="shared" si="1732"/>
        <v>934</v>
      </c>
      <c r="AA726" s="68">
        <f t="shared" si="1732"/>
        <v>220</v>
      </c>
      <c r="AB726" s="68">
        <f t="shared" si="1732"/>
        <v>342</v>
      </c>
      <c r="AC726" s="68">
        <f t="shared" si="1732"/>
        <v>649</v>
      </c>
      <c r="AD726" s="68">
        <f t="shared" si="1732"/>
        <v>710</v>
      </c>
      <c r="AE726" s="1112">
        <f t="shared" si="1732"/>
        <v>1921</v>
      </c>
      <c r="AF726" s="68">
        <f t="shared" si="1732"/>
        <v>537</v>
      </c>
      <c r="AG726" s="68">
        <f t="shared" si="1732"/>
        <v>677</v>
      </c>
      <c r="AH726" s="68">
        <f t="shared" si="1732"/>
        <v>889</v>
      </c>
      <c r="AI726" s="68">
        <f t="shared" ref="AI726:AV726" si="1733">AI725+AI712+AI713</f>
        <v>282</v>
      </c>
      <c r="AJ726" s="1112">
        <f t="shared" si="1733"/>
        <v>2385</v>
      </c>
      <c r="AK726" s="68">
        <f t="shared" si="1733"/>
        <v>1264</v>
      </c>
      <c r="AL726" s="68">
        <f t="shared" si="1733"/>
        <v>1121</v>
      </c>
      <c r="AM726" s="68">
        <f t="shared" si="1733"/>
        <v>1099</v>
      </c>
      <c r="AN726" s="68">
        <f t="shared" si="1733"/>
        <v>145</v>
      </c>
      <c r="AO726" s="1112">
        <f t="shared" si="1733"/>
        <v>3629</v>
      </c>
      <c r="AP726" s="68">
        <f t="shared" si="1733"/>
        <v>394</v>
      </c>
      <c r="AQ726" s="68">
        <f t="shared" si="1733"/>
        <v>675</v>
      </c>
      <c r="AR726" s="68">
        <f t="shared" si="1733"/>
        <v>1039</v>
      </c>
      <c r="AS726" s="68">
        <f t="shared" si="1733"/>
        <v>1057</v>
      </c>
      <c r="AT726" s="1112">
        <f t="shared" si="1733"/>
        <v>3165</v>
      </c>
      <c r="AU726" s="68">
        <f t="shared" si="1733"/>
        <v>981</v>
      </c>
      <c r="AV726" s="68">
        <f t="shared" si="1733"/>
        <v>-6142</v>
      </c>
      <c r="AW726" s="68">
        <f t="shared" ref="AW726:BB726" si="1734">AW725+AW712+AW713</f>
        <v>43</v>
      </c>
      <c r="AX726" s="68">
        <f t="shared" si="1734"/>
        <v>1596</v>
      </c>
      <c r="AY726" s="1112">
        <f t="shared" si="1734"/>
        <v>-3522</v>
      </c>
      <c r="AZ726" s="68">
        <f t="shared" si="1734"/>
        <v>2113</v>
      </c>
      <c r="BA726" s="68">
        <f t="shared" si="1734"/>
        <v>2676</v>
      </c>
      <c r="BB726" s="68">
        <f t="shared" si="1734"/>
        <v>2765</v>
      </c>
      <c r="BC726" s="68">
        <f t="shared" ref="BC726:BD726" si="1735">BC725+BC712+BC713</f>
        <v>3279</v>
      </c>
      <c r="BD726" s="1112">
        <f t="shared" si="1735"/>
        <v>10833</v>
      </c>
      <c r="BE726" s="68">
        <f t="shared" ref="BE726:BI726" si="1736">BE725+BE712+BE713</f>
        <v>2884</v>
      </c>
      <c r="BF726" s="68">
        <f t="shared" si="1736"/>
        <v>695</v>
      </c>
      <c r="BG726" s="68">
        <f t="shared" si="1736"/>
        <v>635</v>
      </c>
      <c r="BH726" s="68">
        <f t="shared" si="1736"/>
        <v>1354</v>
      </c>
      <c r="BI726" s="1112">
        <f t="shared" si="1736"/>
        <v>5568</v>
      </c>
      <c r="BJ726" s="68">
        <f t="shared" ref="BJ726:BN726" si="1737">BJ725+BJ712+BJ713</f>
        <v>1577</v>
      </c>
      <c r="BK726" s="68">
        <f t="shared" si="1737"/>
        <v>6133</v>
      </c>
      <c r="BL726" s="68">
        <f t="shared" si="1737"/>
        <v>9690</v>
      </c>
      <c r="BM726" s="68">
        <f t="shared" si="1737"/>
        <v>12865</v>
      </c>
      <c r="BN726" s="1112">
        <f t="shared" si="1737"/>
        <v>30265</v>
      </c>
      <c r="BO726" s="68">
        <f t="shared" ref="BO726:BS726" si="1738">BO725+BO712+BO713</f>
        <v>14005</v>
      </c>
      <c r="BP726" s="68">
        <f t="shared" si="1738"/>
        <v>14647</v>
      </c>
      <c r="BQ726" s="68">
        <f t="shared" si="1738"/>
        <v>19115</v>
      </c>
      <c r="BR726" s="68">
        <f t="shared" si="1738"/>
        <v>20628</v>
      </c>
      <c r="BS726" s="1112">
        <f t="shared" si="1738"/>
        <v>68395</v>
      </c>
      <c r="BT726" s="68">
        <f t="shared" ref="BT726:CK726" si="1739">BT725+BT712+BT713</f>
        <v>16906</v>
      </c>
      <c r="BU726" s="68">
        <f t="shared" si="1739"/>
        <v>23954</v>
      </c>
      <c r="BV726" s="68">
        <f t="shared" si="1739"/>
        <v>30434</v>
      </c>
      <c r="BW726" s="68">
        <f t="shared" si="1739"/>
        <v>25822</v>
      </c>
      <c r="BX726" s="1112">
        <f t="shared" si="1739"/>
        <v>97116</v>
      </c>
      <c r="BY726" s="588">
        <f>BY725+BY712+BY713</f>
        <v>44713</v>
      </c>
      <c r="BZ726" s="68">
        <f t="shared" si="1739"/>
        <v>43946.174360240089</v>
      </c>
      <c r="CA726" s="68">
        <f t="shared" si="1739"/>
        <v>46847.670694567227</v>
      </c>
      <c r="CB726" s="68">
        <f t="shared" si="1739"/>
        <v>48215.451048874798</v>
      </c>
      <c r="CC726" s="1112">
        <f t="shared" si="1739"/>
        <v>183722.29610368211</v>
      </c>
      <c r="CD726" s="68">
        <f t="shared" si="1739"/>
        <v>54617.045016709992</v>
      </c>
      <c r="CE726" s="68">
        <f t="shared" si="1739"/>
        <v>61789.55860303386</v>
      </c>
      <c r="CF726" s="68">
        <f t="shared" si="1739"/>
        <v>61633.112283477647</v>
      </c>
      <c r="CG726" s="68">
        <f t="shared" si="1739"/>
        <v>63492.097512636916</v>
      </c>
      <c r="CH726" s="1112">
        <f t="shared" si="1739"/>
        <v>241531.81341585843</v>
      </c>
      <c r="CI726" s="1112">
        <f t="shared" si="1739"/>
        <v>298851.01708322542</v>
      </c>
      <c r="CJ726" s="1112">
        <f t="shared" si="1739"/>
        <v>362041.33505830675</v>
      </c>
      <c r="CK726" s="1112">
        <f t="shared" si="1739"/>
        <v>437062.33492849628</v>
      </c>
      <c r="CL726" s="596"/>
    </row>
    <row r="727" spans="1:90" hidden="1" outlineLevel="1" x14ac:dyDescent="0.3">
      <c r="A727" s="63" t="s">
        <v>602</v>
      </c>
      <c r="B727" s="279"/>
      <c r="C727" s="1127">
        <f t="shared" ref="C727:AH727" si="1740">C726+C717+C718</f>
        <v>-503.01400000000012</v>
      </c>
      <c r="D727" s="1127">
        <f t="shared" si="1740"/>
        <v>333.745</v>
      </c>
      <c r="E727" s="1127">
        <f t="shared" si="1740"/>
        <v>618.22899999999993</v>
      </c>
      <c r="F727" s="1127">
        <f t="shared" si="1740"/>
        <v>656.1110000000001</v>
      </c>
      <c r="G727" s="63">
        <f t="shared" si="1740"/>
        <v>167.50099999999998</v>
      </c>
      <c r="H727" s="63">
        <f t="shared" si="1740"/>
        <v>187.57899999999998</v>
      </c>
      <c r="I727" s="63">
        <f t="shared" si="1740"/>
        <v>312.10200000000003</v>
      </c>
      <c r="J727" s="63">
        <f t="shared" si="1740"/>
        <v>70.732999999999933</v>
      </c>
      <c r="K727" s="1127">
        <f t="shared" si="1740"/>
        <v>737.91499999999996</v>
      </c>
      <c r="L727" s="63">
        <f t="shared" si="1740"/>
        <v>-16.557000000000016</v>
      </c>
      <c r="M727" s="63">
        <f t="shared" si="1740"/>
        <v>-673.601</v>
      </c>
      <c r="N727" s="63">
        <f t="shared" si="1740"/>
        <v>160.86199999999991</v>
      </c>
      <c r="O727" s="63">
        <f t="shared" si="1740"/>
        <v>1499.2470000000001</v>
      </c>
      <c r="P727" s="1127">
        <f t="shared" si="1740"/>
        <v>969.95100000000002</v>
      </c>
      <c r="Q727" s="63">
        <f t="shared" si="1740"/>
        <v>-229</v>
      </c>
      <c r="R727" s="63">
        <f t="shared" si="1740"/>
        <v>203</v>
      </c>
      <c r="S727" s="63">
        <f t="shared" si="1740"/>
        <v>-65</v>
      </c>
      <c r="T727" s="63">
        <f t="shared" si="1740"/>
        <v>268</v>
      </c>
      <c r="U727" s="1127">
        <f t="shared" si="1740"/>
        <v>177</v>
      </c>
      <c r="V727" s="63">
        <f t="shared" si="1740"/>
        <v>192</v>
      </c>
      <c r="W727" s="63">
        <f t="shared" si="1740"/>
        <v>-258</v>
      </c>
      <c r="X727" s="63">
        <f t="shared" si="1740"/>
        <v>371</v>
      </c>
      <c r="Y727" s="63">
        <f t="shared" si="1740"/>
        <v>169</v>
      </c>
      <c r="Z727" s="1127">
        <f t="shared" si="1740"/>
        <v>474</v>
      </c>
      <c r="AA727" s="63">
        <f t="shared" si="1740"/>
        <v>-261</v>
      </c>
      <c r="AB727" s="63">
        <f t="shared" si="1740"/>
        <v>354</v>
      </c>
      <c r="AC727" s="63">
        <f t="shared" si="1740"/>
        <v>2124</v>
      </c>
      <c r="AD727" s="63">
        <f t="shared" si="1740"/>
        <v>263</v>
      </c>
      <c r="AE727" s="1127">
        <f t="shared" si="1740"/>
        <v>2480</v>
      </c>
      <c r="AF727" s="63">
        <f t="shared" si="1740"/>
        <v>-193</v>
      </c>
      <c r="AG727" s="63">
        <f t="shared" si="1740"/>
        <v>-206</v>
      </c>
      <c r="AH727" s="63">
        <f t="shared" si="1740"/>
        <v>345</v>
      </c>
      <c r="AI727" s="63">
        <f t="shared" ref="AI727:AV727" si="1741">AI726+AI717+AI718</f>
        <v>245</v>
      </c>
      <c r="AJ727" s="1127">
        <f t="shared" si="1741"/>
        <v>191</v>
      </c>
      <c r="AK727" s="63">
        <f t="shared" si="1741"/>
        <v>224</v>
      </c>
      <c r="AL727" s="63">
        <f t="shared" si="1741"/>
        <v>1058</v>
      </c>
      <c r="AM727" s="63">
        <f t="shared" si="1741"/>
        <v>488</v>
      </c>
      <c r="AN727" s="63">
        <f t="shared" si="1741"/>
        <v>-631</v>
      </c>
      <c r="AO727" s="1127">
        <f t="shared" si="1741"/>
        <v>1139</v>
      </c>
      <c r="AP727" s="63">
        <f t="shared" si="1741"/>
        <v>266</v>
      </c>
      <c r="AQ727" s="63">
        <f t="shared" si="1741"/>
        <v>625</v>
      </c>
      <c r="AR727" s="63">
        <f t="shared" si="1741"/>
        <v>900</v>
      </c>
      <c r="AS727" s="63">
        <f t="shared" si="1741"/>
        <v>972</v>
      </c>
      <c r="AT727" s="1127">
        <f t="shared" si="1741"/>
        <v>2763</v>
      </c>
      <c r="AU727" s="63">
        <f t="shared" si="1741"/>
        <v>5826</v>
      </c>
      <c r="AV727" s="63">
        <f t="shared" si="1741"/>
        <v>-6340</v>
      </c>
      <c r="AW727" s="63">
        <f t="shared" ref="AW727:BB727" si="1742">AW726+AW717+AW718</f>
        <v>-159</v>
      </c>
      <c r="AX727" s="63">
        <f t="shared" si="1742"/>
        <v>1371</v>
      </c>
      <c r="AY727" s="1127">
        <f t="shared" si="1742"/>
        <v>698</v>
      </c>
      <c r="AZ727" s="63">
        <f t="shared" si="1742"/>
        <v>1762</v>
      </c>
      <c r="BA727" s="63">
        <f t="shared" si="1742"/>
        <v>7297</v>
      </c>
      <c r="BB727" s="63">
        <f t="shared" si="1742"/>
        <v>1467</v>
      </c>
      <c r="BC727" s="63">
        <f t="shared" ref="BC727:BD727" si="1743">BC726+BC717+BC718</f>
        <v>2661</v>
      </c>
      <c r="BD727" s="1127">
        <f t="shared" si="1743"/>
        <v>13187</v>
      </c>
      <c r="BE727" s="63">
        <f t="shared" ref="BE727:BI727" si="1744">BE726+BE717+BE718</f>
        <v>560</v>
      </c>
      <c r="BF727" s="63">
        <f t="shared" si="1744"/>
        <v>-2954</v>
      </c>
      <c r="BG727" s="63">
        <f t="shared" si="1744"/>
        <v>-3000</v>
      </c>
      <c r="BH727" s="63">
        <f t="shared" si="1744"/>
        <v>-197</v>
      </c>
      <c r="BI727" s="1127">
        <f t="shared" si="1744"/>
        <v>-5591</v>
      </c>
      <c r="BJ727" s="63">
        <f t="shared" ref="BJ727:BN727" si="1745">BJ726+BJ717+BJ718</f>
        <v>1316</v>
      </c>
      <c r="BK727" s="63">
        <f t="shared" si="1745"/>
        <v>1145</v>
      </c>
      <c r="BL727" s="63">
        <f t="shared" si="1745"/>
        <v>5276</v>
      </c>
      <c r="BM727" s="63">
        <f t="shared" si="1745"/>
        <v>9365</v>
      </c>
      <c r="BN727" s="1127">
        <f t="shared" si="1745"/>
        <v>17102</v>
      </c>
      <c r="BO727" s="63">
        <f t="shared" ref="BO727:BS727" si="1746">BO726+BO717+BO718</f>
        <v>4798</v>
      </c>
      <c r="BP727" s="63">
        <f t="shared" si="1746"/>
        <v>4602</v>
      </c>
      <c r="BQ727" s="63">
        <f t="shared" si="1746"/>
        <v>6643</v>
      </c>
      <c r="BR727" s="63">
        <f t="shared" si="1746"/>
        <v>10956</v>
      </c>
      <c r="BS727" s="1127">
        <f t="shared" si="1746"/>
        <v>26999</v>
      </c>
      <c r="BT727" s="63">
        <f t="shared" ref="BT727:CK727" si="1747">BT726+BT717+BT718</f>
        <v>1649</v>
      </c>
      <c r="BU727" s="63">
        <f t="shared" si="1747"/>
        <v>12386</v>
      </c>
      <c r="BV727" s="63">
        <f t="shared" si="1747"/>
        <v>15822</v>
      </c>
      <c r="BW727" s="63">
        <f t="shared" si="1747"/>
        <v>19869</v>
      </c>
      <c r="BX727" s="1127">
        <f t="shared" si="1747"/>
        <v>49726</v>
      </c>
      <c r="BY727" s="587">
        <f>BY726+BY717+BY718</f>
        <v>23787</v>
      </c>
      <c r="BZ727" s="63">
        <f t="shared" si="1747"/>
        <v>43946.174360240089</v>
      </c>
      <c r="CA727" s="63">
        <f t="shared" si="1747"/>
        <v>46847.670694567227</v>
      </c>
      <c r="CB727" s="63">
        <f t="shared" si="1747"/>
        <v>48215.451048874798</v>
      </c>
      <c r="CC727" s="1127">
        <f t="shared" si="1747"/>
        <v>162796.29610368211</v>
      </c>
      <c r="CD727" s="63">
        <f t="shared" si="1747"/>
        <v>54617.045016709992</v>
      </c>
      <c r="CE727" s="63">
        <f t="shared" si="1747"/>
        <v>61789.55860303386</v>
      </c>
      <c r="CF727" s="63">
        <f t="shared" si="1747"/>
        <v>61633.112283477647</v>
      </c>
      <c r="CG727" s="63">
        <f t="shared" si="1747"/>
        <v>63492.097512636916</v>
      </c>
      <c r="CH727" s="1127">
        <f t="shared" si="1747"/>
        <v>241531.81341585843</v>
      </c>
      <c r="CI727" s="1127">
        <f t="shared" si="1747"/>
        <v>298851.01708322542</v>
      </c>
      <c r="CJ727" s="1127">
        <f t="shared" si="1747"/>
        <v>362041.33505830675</v>
      </c>
      <c r="CK727" s="1127">
        <f t="shared" si="1747"/>
        <v>437062.33492849628</v>
      </c>
      <c r="CL727" s="596"/>
    </row>
    <row r="728" spans="1:90" collapsed="1" x14ac:dyDescent="0.3">
      <c r="A728" s="68" t="s">
        <v>123</v>
      </c>
      <c r="B728" s="146"/>
      <c r="C728" s="1112">
        <f t="shared" ref="C728:AH728" si="1748">C705+C709</f>
        <v>-158.30999999999992</v>
      </c>
      <c r="D728" s="1112">
        <f t="shared" si="1748"/>
        <v>410.20600000000002</v>
      </c>
      <c r="E728" s="1112">
        <f t="shared" si="1748"/>
        <v>577.90700000000004</v>
      </c>
      <c r="F728" s="1112">
        <f t="shared" si="1748"/>
        <v>770.42100000000016</v>
      </c>
      <c r="G728" s="68">
        <f t="shared" si="1748"/>
        <v>-38.131000000000014</v>
      </c>
      <c r="H728" s="68">
        <f t="shared" si="1748"/>
        <v>138.94200000000001</v>
      </c>
      <c r="I728" s="68">
        <f t="shared" si="1748"/>
        <v>136.80099999999999</v>
      </c>
      <c r="J728" s="68">
        <f t="shared" si="1748"/>
        <v>403.25099999999998</v>
      </c>
      <c r="K728" s="1112">
        <f t="shared" si="1748"/>
        <v>640.86299999999994</v>
      </c>
      <c r="L728" s="68">
        <f t="shared" si="1748"/>
        <v>109.98299999999998</v>
      </c>
      <c r="M728" s="68">
        <f t="shared" si="1748"/>
        <v>11.483000000000004</v>
      </c>
      <c r="N728" s="68">
        <f t="shared" si="1748"/>
        <v>124.15599999999992</v>
      </c>
      <c r="O728" s="68">
        <f t="shared" si="1748"/>
        <v>334.33799999999997</v>
      </c>
      <c r="P728" s="1112">
        <f t="shared" si="1748"/>
        <v>579.95999999999981</v>
      </c>
      <c r="Q728" s="68">
        <f t="shared" si="1748"/>
        <v>122</v>
      </c>
      <c r="R728" s="68">
        <f t="shared" si="1748"/>
        <v>73</v>
      </c>
      <c r="S728" s="68">
        <f t="shared" si="1748"/>
        <v>177</v>
      </c>
      <c r="T728" s="68">
        <f t="shared" si="1748"/>
        <v>412</v>
      </c>
      <c r="U728" s="1112">
        <f t="shared" si="1748"/>
        <v>784</v>
      </c>
      <c r="V728" s="68">
        <f t="shared" si="1748"/>
        <v>216</v>
      </c>
      <c r="W728" s="68">
        <f t="shared" si="1748"/>
        <v>139</v>
      </c>
      <c r="X728" s="68">
        <f t="shared" si="1748"/>
        <v>238</v>
      </c>
      <c r="Y728" s="68">
        <f t="shared" si="1748"/>
        <v>496</v>
      </c>
      <c r="Z728" s="1112">
        <f t="shared" si="1748"/>
        <v>1089</v>
      </c>
      <c r="AA728" s="68">
        <f t="shared" si="1748"/>
        <v>264</v>
      </c>
      <c r="AB728" s="68">
        <f t="shared" si="1748"/>
        <v>168</v>
      </c>
      <c r="AC728" s="68">
        <f t="shared" si="1748"/>
        <v>394</v>
      </c>
      <c r="AD728" s="68">
        <f t="shared" si="1748"/>
        <v>670</v>
      </c>
      <c r="AE728" s="1112">
        <f t="shared" si="1748"/>
        <v>1496</v>
      </c>
      <c r="AF728" s="68">
        <f t="shared" si="1748"/>
        <v>228</v>
      </c>
      <c r="AG728" s="68">
        <f t="shared" si="1748"/>
        <v>651</v>
      </c>
      <c r="AH728" s="68">
        <f t="shared" si="1748"/>
        <v>1088</v>
      </c>
      <c r="AI728" s="68">
        <f t="shared" ref="AI728:BG728" si="1749">AI705+AI709</f>
        <v>942</v>
      </c>
      <c r="AJ728" s="1112">
        <f t="shared" si="1749"/>
        <v>2909</v>
      </c>
      <c r="AK728" s="68">
        <f t="shared" si="1749"/>
        <v>1327</v>
      </c>
      <c r="AL728" s="68">
        <f t="shared" si="1749"/>
        <v>784</v>
      </c>
      <c r="AM728" s="68">
        <f t="shared" si="1749"/>
        <v>337</v>
      </c>
      <c r="AN728" s="68">
        <f t="shared" si="1749"/>
        <v>695</v>
      </c>
      <c r="AO728" s="1112">
        <f t="shared" si="1749"/>
        <v>3143</v>
      </c>
      <c r="AP728" s="68">
        <f t="shared" si="1749"/>
        <v>592</v>
      </c>
      <c r="AQ728" s="68">
        <f t="shared" si="1749"/>
        <v>823</v>
      </c>
      <c r="AR728" s="68">
        <f t="shared" si="1749"/>
        <v>1537</v>
      </c>
      <c r="AS728" s="68">
        <f t="shared" si="1749"/>
        <v>1320</v>
      </c>
      <c r="AT728" s="1112">
        <f t="shared" si="1749"/>
        <v>4272</v>
      </c>
      <c r="AU728" s="68">
        <f t="shared" si="1749"/>
        <v>754</v>
      </c>
      <c r="AV728" s="68">
        <f t="shared" si="1749"/>
        <v>1350</v>
      </c>
      <c r="AW728" s="68">
        <f t="shared" si="1749"/>
        <v>806</v>
      </c>
      <c r="AX728" s="68">
        <f t="shared" si="1749"/>
        <v>1784</v>
      </c>
      <c r="AY728" s="1112">
        <f t="shared" si="1749"/>
        <v>4694</v>
      </c>
      <c r="AZ728" s="68">
        <f t="shared" si="1749"/>
        <v>1576</v>
      </c>
      <c r="BA728" s="68">
        <f t="shared" si="1749"/>
        <v>2499</v>
      </c>
      <c r="BB728" s="68">
        <f t="shared" si="1749"/>
        <v>1297</v>
      </c>
      <c r="BC728" s="68">
        <f t="shared" si="1749"/>
        <v>2760</v>
      </c>
      <c r="BD728" s="1112">
        <f t="shared" si="1749"/>
        <v>8132</v>
      </c>
      <c r="BE728" s="68">
        <f t="shared" si="1749"/>
        <v>1370</v>
      </c>
      <c r="BF728" s="68">
        <f t="shared" si="1749"/>
        <v>837</v>
      </c>
      <c r="BG728" s="68">
        <f t="shared" si="1749"/>
        <v>-138</v>
      </c>
      <c r="BH728" s="68">
        <f t="shared" ref="BH728:BI728" si="1750">BH705+BH709</f>
        <v>1739</v>
      </c>
      <c r="BI728" s="1112">
        <f t="shared" si="1750"/>
        <v>3808</v>
      </c>
      <c r="BJ728" s="68">
        <f t="shared" ref="BJ728:BN728" si="1751">BJ705+BJ709</f>
        <v>2663</v>
      </c>
      <c r="BK728" s="68">
        <f t="shared" si="1751"/>
        <v>6059</v>
      </c>
      <c r="BL728" s="68">
        <f t="shared" si="1751"/>
        <v>7054</v>
      </c>
      <c r="BM728" s="68">
        <f t="shared" si="1751"/>
        <v>11245</v>
      </c>
      <c r="BN728" s="1112">
        <f t="shared" si="1751"/>
        <v>27021</v>
      </c>
      <c r="BO728" s="68">
        <f t="shared" ref="BO728:BS728" si="1752">BO705+BO709</f>
        <v>14976</v>
      </c>
      <c r="BP728" s="68">
        <f t="shared" si="1752"/>
        <v>13511</v>
      </c>
      <c r="BQ728" s="68">
        <f t="shared" si="1752"/>
        <v>16814</v>
      </c>
      <c r="BR728" s="68">
        <f t="shared" si="1752"/>
        <v>15552</v>
      </c>
      <c r="BS728" s="1112">
        <f t="shared" si="1752"/>
        <v>60853</v>
      </c>
      <c r="BT728" s="68">
        <f t="shared" ref="BT728:CK728" si="1753">BT705+BT709</f>
        <v>26187</v>
      </c>
      <c r="BU728" s="68">
        <f t="shared" si="1753"/>
        <v>13470</v>
      </c>
      <c r="BV728" s="68">
        <f t="shared" si="1753"/>
        <v>22115</v>
      </c>
      <c r="BW728" s="68">
        <f t="shared" si="1753"/>
        <v>34904</v>
      </c>
      <c r="BX728" s="1112">
        <f t="shared" si="1753"/>
        <v>96676</v>
      </c>
      <c r="BY728" s="588">
        <f>BY705+BY709</f>
        <v>48587</v>
      </c>
      <c r="BZ728" s="68">
        <f t="shared" si="1753"/>
        <v>41878.564682335018</v>
      </c>
      <c r="CA728" s="68">
        <f t="shared" si="1753"/>
        <v>37777.162374983091</v>
      </c>
      <c r="CB728" s="68">
        <f t="shared" si="1753"/>
        <v>56072.146525286982</v>
      </c>
      <c r="CC728" s="1112">
        <f t="shared" si="1753"/>
        <v>184314.8735826051</v>
      </c>
      <c r="CD728" s="68">
        <f t="shared" si="1753"/>
        <v>70608.272746162402</v>
      </c>
      <c r="CE728" s="68">
        <f t="shared" si="1753"/>
        <v>59431.667629460499</v>
      </c>
      <c r="CF728" s="68">
        <f t="shared" si="1753"/>
        <v>50435.21175559087</v>
      </c>
      <c r="CG728" s="68">
        <f t="shared" si="1753"/>
        <v>73033.85842787032</v>
      </c>
      <c r="CH728" s="1112">
        <f t="shared" si="1753"/>
        <v>253509.01055908413</v>
      </c>
      <c r="CI728" s="1112">
        <f t="shared" si="1753"/>
        <v>311833.11661453283</v>
      </c>
      <c r="CJ728" s="1112">
        <f t="shared" si="1753"/>
        <v>374206.99208045547</v>
      </c>
      <c r="CK728" s="1112">
        <f t="shared" si="1753"/>
        <v>447094.83568208438</v>
      </c>
      <c r="CL728" s="596"/>
    </row>
    <row r="729" spans="1:90" x14ac:dyDescent="0.3">
      <c r="A729" s="68" t="s">
        <v>858</v>
      </c>
      <c r="B729" s="146"/>
      <c r="C729" s="1112">
        <f t="shared" ref="C729:AH729" si="1754">C728+C714</f>
        <v>-158.30999999999992</v>
      </c>
      <c r="D729" s="1112">
        <f t="shared" si="1754"/>
        <v>410.20600000000002</v>
      </c>
      <c r="E729" s="1112">
        <f t="shared" si="1754"/>
        <v>577.90700000000004</v>
      </c>
      <c r="F729" s="1112">
        <f t="shared" si="1754"/>
        <v>770.42100000000016</v>
      </c>
      <c r="G729" s="68">
        <f t="shared" si="1754"/>
        <v>-38.131000000000014</v>
      </c>
      <c r="H729" s="68">
        <f t="shared" si="1754"/>
        <v>138.94200000000001</v>
      </c>
      <c r="I729" s="68">
        <f t="shared" si="1754"/>
        <v>136.80099999999999</v>
      </c>
      <c r="J729" s="68">
        <f t="shared" si="1754"/>
        <v>356.38499999999999</v>
      </c>
      <c r="K729" s="1112">
        <f t="shared" si="1754"/>
        <v>593.99699999999996</v>
      </c>
      <c r="L729" s="68">
        <f t="shared" si="1754"/>
        <v>63.715999999999973</v>
      </c>
      <c r="M729" s="68">
        <f t="shared" si="1754"/>
        <v>-31.859999999999992</v>
      </c>
      <c r="N729" s="68">
        <f t="shared" si="1754"/>
        <v>80.758999999999915</v>
      </c>
      <c r="O729" s="68">
        <f t="shared" si="1754"/>
        <v>286.00899999999996</v>
      </c>
      <c r="P729" s="1112">
        <f t="shared" si="1754"/>
        <v>398.6239999999998</v>
      </c>
      <c r="Q729" s="68">
        <f t="shared" si="1754"/>
        <v>75</v>
      </c>
      <c r="R729" s="68">
        <f t="shared" si="1754"/>
        <v>26</v>
      </c>
      <c r="S729" s="68">
        <f t="shared" si="1754"/>
        <v>131</v>
      </c>
      <c r="T729" s="68">
        <f t="shared" si="1754"/>
        <v>366</v>
      </c>
      <c r="U729" s="1112">
        <f t="shared" si="1754"/>
        <v>598</v>
      </c>
      <c r="V729" s="68">
        <f t="shared" si="1754"/>
        <v>170</v>
      </c>
      <c r="W729" s="68">
        <f t="shared" si="1754"/>
        <v>86</v>
      </c>
      <c r="X729" s="68">
        <f t="shared" si="1754"/>
        <v>185</v>
      </c>
      <c r="Y729" s="68">
        <f t="shared" si="1754"/>
        <v>435</v>
      </c>
      <c r="Z729" s="1112">
        <f t="shared" si="1754"/>
        <v>876</v>
      </c>
      <c r="AA729" s="68">
        <f t="shared" si="1754"/>
        <v>202</v>
      </c>
      <c r="AB729" s="68">
        <f t="shared" si="1754"/>
        <v>106</v>
      </c>
      <c r="AC729" s="68">
        <f t="shared" si="1754"/>
        <v>333</v>
      </c>
      <c r="AD729" s="68">
        <f t="shared" si="1754"/>
        <v>594</v>
      </c>
      <c r="AE729" s="1112">
        <f t="shared" si="1754"/>
        <v>1235</v>
      </c>
      <c r="AF729" s="68">
        <f t="shared" si="1754"/>
        <v>146</v>
      </c>
      <c r="AG729" s="68">
        <f t="shared" si="1754"/>
        <v>567</v>
      </c>
      <c r="AH729" s="68">
        <f t="shared" si="1754"/>
        <v>1004</v>
      </c>
      <c r="AI729" s="68">
        <f t="shared" ref="AI729:BG729" si="1755">AI728+AI714</f>
        <v>851</v>
      </c>
      <c r="AJ729" s="1112">
        <f t="shared" si="1755"/>
        <v>2568</v>
      </c>
      <c r="AK729" s="68">
        <f t="shared" si="1755"/>
        <v>1236</v>
      </c>
      <c r="AL729" s="68">
        <f t="shared" si="1755"/>
        <v>693</v>
      </c>
      <c r="AM729" s="68">
        <f t="shared" si="1755"/>
        <v>246</v>
      </c>
      <c r="AN729" s="68">
        <f t="shared" si="1755"/>
        <v>597</v>
      </c>
      <c r="AO729" s="1112">
        <f t="shared" si="1755"/>
        <v>2772</v>
      </c>
      <c r="AP729" s="68">
        <f t="shared" si="1755"/>
        <v>495</v>
      </c>
      <c r="AQ729" s="68">
        <f t="shared" si="1755"/>
        <v>725</v>
      </c>
      <c r="AR729" s="68">
        <f t="shared" si="1755"/>
        <v>1440</v>
      </c>
      <c r="AS729" s="68">
        <f t="shared" si="1755"/>
        <v>1222</v>
      </c>
      <c r="AT729" s="1112">
        <f t="shared" si="1755"/>
        <v>3882</v>
      </c>
      <c r="AU729" s="68">
        <f t="shared" si="1755"/>
        <v>656</v>
      </c>
      <c r="AV729" s="68">
        <f t="shared" si="1755"/>
        <v>1251</v>
      </c>
      <c r="AW729" s="68">
        <f t="shared" si="1755"/>
        <v>707</v>
      </c>
      <c r="AX729" s="68">
        <f t="shared" si="1755"/>
        <v>1685</v>
      </c>
      <c r="AY729" s="1112">
        <f t="shared" si="1755"/>
        <v>4299</v>
      </c>
      <c r="AZ729" s="68">
        <f t="shared" si="1755"/>
        <v>1477</v>
      </c>
      <c r="BA729" s="68">
        <f t="shared" si="1755"/>
        <v>2400</v>
      </c>
      <c r="BB729" s="68">
        <f t="shared" si="1755"/>
        <v>1197</v>
      </c>
      <c r="BC729" s="68">
        <f t="shared" si="1755"/>
        <v>2659</v>
      </c>
      <c r="BD729" s="1112">
        <f t="shared" si="1755"/>
        <v>7733</v>
      </c>
      <c r="BE729" s="68">
        <f t="shared" si="1755"/>
        <v>1270</v>
      </c>
      <c r="BF729" s="68">
        <f t="shared" si="1755"/>
        <v>737</v>
      </c>
      <c r="BG729" s="68">
        <f t="shared" si="1755"/>
        <v>-238</v>
      </c>
      <c r="BH729" s="68">
        <f t="shared" ref="BH729:BI729" si="1756">BH728+BH714</f>
        <v>1641</v>
      </c>
      <c r="BI729" s="1112">
        <f t="shared" si="1756"/>
        <v>3410</v>
      </c>
      <c r="BJ729" s="68">
        <f t="shared" ref="BJ729:BN729" si="1757">BJ728+BJ714</f>
        <v>2564</v>
      </c>
      <c r="BK729" s="68">
        <f t="shared" si="1757"/>
        <v>5959</v>
      </c>
      <c r="BL729" s="68">
        <f t="shared" si="1757"/>
        <v>6957</v>
      </c>
      <c r="BM729" s="68">
        <f t="shared" si="1757"/>
        <v>11146</v>
      </c>
      <c r="BN729" s="1112">
        <f t="shared" si="1757"/>
        <v>26626</v>
      </c>
      <c r="BO729" s="68">
        <f t="shared" ref="BO729:BS729" si="1758">BO728+BO714</f>
        <v>14878</v>
      </c>
      <c r="BP729" s="68">
        <f t="shared" si="1758"/>
        <v>13265</v>
      </c>
      <c r="BQ729" s="68">
        <f t="shared" si="1758"/>
        <v>16569</v>
      </c>
      <c r="BR729" s="68">
        <f t="shared" si="1758"/>
        <v>15307</v>
      </c>
      <c r="BS729" s="1112">
        <f t="shared" si="1758"/>
        <v>60019</v>
      </c>
      <c r="BT729" s="68">
        <f t="shared" ref="BT729:CK729" si="1759">BT728+BT714</f>
        <v>25943</v>
      </c>
      <c r="BU729" s="68">
        <f t="shared" si="1759"/>
        <v>13226</v>
      </c>
      <c r="BV729" s="68">
        <f t="shared" si="1759"/>
        <v>21871</v>
      </c>
      <c r="BW729" s="68">
        <f t="shared" si="1759"/>
        <v>34662</v>
      </c>
      <c r="BX729" s="1112">
        <f t="shared" si="1759"/>
        <v>95702</v>
      </c>
      <c r="BY729" s="588">
        <f>BY728+BY714</f>
        <v>48344</v>
      </c>
      <c r="BZ729" s="68">
        <f t="shared" si="1759"/>
        <v>35823.314682335018</v>
      </c>
      <c r="CA729" s="68">
        <f t="shared" si="1759"/>
        <v>31721.912374983091</v>
      </c>
      <c r="CB729" s="68">
        <f t="shared" si="1759"/>
        <v>50016.896525286982</v>
      </c>
      <c r="CC729" s="1112">
        <f t="shared" si="1759"/>
        <v>165906.1235826051</v>
      </c>
      <c r="CD729" s="68">
        <f t="shared" si="1759"/>
        <v>64553.022746162402</v>
      </c>
      <c r="CE729" s="68">
        <f t="shared" si="1759"/>
        <v>53376.417629460499</v>
      </c>
      <c r="CF729" s="68">
        <f t="shared" si="1759"/>
        <v>44379.96175559087</v>
      </c>
      <c r="CG729" s="68">
        <f t="shared" si="1759"/>
        <v>66978.60842787032</v>
      </c>
      <c r="CH729" s="1112">
        <f t="shared" si="1759"/>
        <v>229288.01055908413</v>
      </c>
      <c r="CI729" s="1112">
        <f t="shared" si="1759"/>
        <v>287612.11661453283</v>
      </c>
      <c r="CJ729" s="1112">
        <f t="shared" si="1759"/>
        <v>349985.99208045547</v>
      </c>
      <c r="CK729" s="1112">
        <f t="shared" si="1759"/>
        <v>422873.83568208438</v>
      </c>
      <c r="CL729" s="596"/>
    </row>
    <row r="730" spans="1:90" x14ac:dyDescent="0.3">
      <c r="A730" s="68" t="s">
        <v>859</v>
      </c>
      <c r="B730" s="146"/>
      <c r="C730" s="1112">
        <f t="shared" ref="C730:AH730" si="1760">C729+C712+C713</f>
        <v>-186.25799999999992</v>
      </c>
      <c r="D730" s="1112">
        <f t="shared" si="1760"/>
        <v>410.20600000000002</v>
      </c>
      <c r="E730" s="1112">
        <f t="shared" si="1760"/>
        <v>577.90700000000004</v>
      </c>
      <c r="F730" s="1112">
        <f t="shared" si="1760"/>
        <v>421.53700000000015</v>
      </c>
      <c r="G730" s="68">
        <f t="shared" si="1760"/>
        <v>-38.131000000000014</v>
      </c>
      <c r="H730" s="68">
        <f t="shared" si="1760"/>
        <v>138.94200000000001</v>
      </c>
      <c r="I730" s="68">
        <f t="shared" si="1760"/>
        <v>136.80099999999999</v>
      </c>
      <c r="J730" s="68">
        <f t="shared" si="1760"/>
        <v>356.38499999999999</v>
      </c>
      <c r="K730" s="1112">
        <f t="shared" si="1760"/>
        <v>593.99699999999996</v>
      </c>
      <c r="L730" s="68">
        <f t="shared" si="1760"/>
        <v>63.715999999999973</v>
      </c>
      <c r="M730" s="68">
        <f t="shared" si="1760"/>
        <v>-31.859999999999992</v>
      </c>
      <c r="N730" s="68">
        <f t="shared" si="1760"/>
        <v>63.613999999999919</v>
      </c>
      <c r="O730" s="68">
        <f t="shared" si="1760"/>
        <v>310.78999999999996</v>
      </c>
      <c r="P730" s="1112">
        <f t="shared" si="1760"/>
        <v>406.25999999999982</v>
      </c>
      <c r="Q730" s="68">
        <f t="shared" si="1760"/>
        <v>96</v>
      </c>
      <c r="R730" s="68">
        <f t="shared" si="1760"/>
        <v>26</v>
      </c>
      <c r="S730" s="68">
        <f t="shared" si="1760"/>
        <v>131</v>
      </c>
      <c r="T730" s="68">
        <f t="shared" si="1760"/>
        <v>366</v>
      </c>
      <c r="U730" s="1112">
        <f t="shared" si="1760"/>
        <v>619</v>
      </c>
      <c r="V730" s="68">
        <f t="shared" si="1760"/>
        <v>170</v>
      </c>
      <c r="W730" s="68">
        <f t="shared" si="1760"/>
        <v>88</v>
      </c>
      <c r="X730" s="68">
        <f t="shared" si="1760"/>
        <v>190</v>
      </c>
      <c r="Y730" s="68">
        <f t="shared" si="1760"/>
        <v>435</v>
      </c>
      <c r="Z730" s="1112">
        <f t="shared" si="1760"/>
        <v>883</v>
      </c>
      <c r="AA730" s="68">
        <f t="shared" si="1760"/>
        <v>202</v>
      </c>
      <c r="AB730" s="68">
        <f t="shared" si="1760"/>
        <v>112</v>
      </c>
      <c r="AC730" s="68">
        <f t="shared" si="1760"/>
        <v>333</v>
      </c>
      <c r="AD730" s="68">
        <f t="shared" si="1760"/>
        <v>595</v>
      </c>
      <c r="AE730" s="1112">
        <f t="shared" si="1760"/>
        <v>1242</v>
      </c>
      <c r="AF730" s="68">
        <f t="shared" si="1760"/>
        <v>146</v>
      </c>
      <c r="AG730" s="68">
        <f t="shared" si="1760"/>
        <v>567</v>
      </c>
      <c r="AH730" s="68">
        <f t="shared" si="1760"/>
        <v>1004</v>
      </c>
      <c r="AI730" s="68">
        <f t="shared" ref="AI730:BG730" si="1761">AI729+AI712+AI713</f>
        <v>853</v>
      </c>
      <c r="AJ730" s="1112">
        <f t="shared" si="1761"/>
        <v>2570</v>
      </c>
      <c r="AK730" s="68">
        <f t="shared" si="1761"/>
        <v>1236</v>
      </c>
      <c r="AL730" s="68">
        <f t="shared" si="1761"/>
        <v>693</v>
      </c>
      <c r="AM730" s="68">
        <f t="shared" si="1761"/>
        <v>246</v>
      </c>
      <c r="AN730" s="68">
        <f t="shared" si="1761"/>
        <v>597</v>
      </c>
      <c r="AO730" s="1112">
        <f t="shared" si="1761"/>
        <v>2772</v>
      </c>
      <c r="AP730" s="68">
        <f t="shared" si="1761"/>
        <v>495</v>
      </c>
      <c r="AQ730" s="68">
        <f t="shared" si="1761"/>
        <v>725</v>
      </c>
      <c r="AR730" s="68">
        <f t="shared" si="1761"/>
        <v>1440</v>
      </c>
      <c r="AS730" s="68">
        <f t="shared" si="1761"/>
        <v>1222</v>
      </c>
      <c r="AT730" s="1112">
        <f t="shared" si="1761"/>
        <v>3882</v>
      </c>
      <c r="AU730" s="68">
        <f t="shared" si="1761"/>
        <v>622</v>
      </c>
      <c r="AV730" s="68">
        <f t="shared" si="1761"/>
        <v>-5886</v>
      </c>
      <c r="AW730" s="68">
        <f t="shared" si="1761"/>
        <v>-646</v>
      </c>
      <c r="AX730" s="68">
        <f t="shared" si="1761"/>
        <v>1685</v>
      </c>
      <c r="AY730" s="1112">
        <f t="shared" si="1761"/>
        <v>-4225</v>
      </c>
      <c r="AZ730" s="68">
        <f t="shared" si="1761"/>
        <v>1477</v>
      </c>
      <c r="BA730" s="68">
        <f t="shared" si="1761"/>
        <v>2400</v>
      </c>
      <c r="BB730" s="68">
        <f t="shared" si="1761"/>
        <v>994</v>
      </c>
      <c r="BC730" s="68">
        <f t="shared" si="1761"/>
        <v>2599</v>
      </c>
      <c r="BD730" s="1112">
        <f t="shared" si="1761"/>
        <v>7470</v>
      </c>
      <c r="BE730" s="68">
        <f t="shared" si="1761"/>
        <v>1234</v>
      </c>
      <c r="BF730" s="68">
        <f t="shared" si="1761"/>
        <v>724</v>
      </c>
      <c r="BG730" s="68">
        <f t="shared" si="1761"/>
        <v>-238</v>
      </c>
      <c r="BH730" s="68">
        <f t="shared" ref="BH730:BI730" si="1762">BH729+BH712+BH713</f>
        <v>1641</v>
      </c>
      <c r="BI730" s="1112">
        <f t="shared" si="1762"/>
        <v>3361</v>
      </c>
      <c r="BJ730" s="68">
        <f t="shared" ref="BJ730:BN730" si="1763">BJ729+BJ712+BJ713</f>
        <v>2481</v>
      </c>
      <c r="BK730" s="68">
        <f t="shared" si="1763"/>
        <v>5959</v>
      </c>
      <c r="BL730" s="68">
        <f t="shared" si="1763"/>
        <v>6957</v>
      </c>
      <c r="BM730" s="68">
        <f t="shared" si="1763"/>
        <v>11146</v>
      </c>
      <c r="BN730" s="1112">
        <f t="shared" si="1763"/>
        <v>26543</v>
      </c>
      <c r="BO730" s="68">
        <f t="shared" ref="BO730:BS730" si="1764">BO729+BO712+BO713</f>
        <v>14839</v>
      </c>
      <c r="BP730" s="68">
        <f t="shared" si="1764"/>
        <v>12987</v>
      </c>
      <c r="BQ730" s="68">
        <f t="shared" si="1764"/>
        <v>16421</v>
      </c>
      <c r="BR730" s="68">
        <f t="shared" si="1764"/>
        <v>14765</v>
      </c>
      <c r="BS730" s="1112">
        <f t="shared" si="1764"/>
        <v>59012</v>
      </c>
      <c r="BT730" s="68">
        <f t="shared" ref="BT730:CK730" si="1765">BT729+BT712+BT713</f>
        <v>25560</v>
      </c>
      <c r="BU730" s="68">
        <f t="shared" si="1765"/>
        <v>12932</v>
      </c>
      <c r="BV730" s="68">
        <f t="shared" si="1765"/>
        <v>21178</v>
      </c>
      <c r="BW730" s="68">
        <f t="shared" si="1765"/>
        <v>21497</v>
      </c>
      <c r="BX730" s="1112">
        <f t="shared" si="1765"/>
        <v>81167</v>
      </c>
      <c r="BY730" s="588">
        <f>BY729+BY712+BY713</f>
        <v>48257</v>
      </c>
      <c r="BZ730" s="68">
        <f t="shared" si="1765"/>
        <v>35823.314682335018</v>
      </c>
      <c r="CA730" s="68">
        <f t="shared" si="1765"/>
        <v>31721.912374983091</v>
      </c>
      <c r="CB730" s="68">
        <f t="shared" si="1765"/>
        <v>50016.896525286982</v>
      </c>
      <c r="CC730" s="1112">
        <f t="shared" si="1765"/>
        <v>165819.1235826051</v>
      </c>
      <c r="CD730" s="68">
        <f t="shared" si="1765"/>
        <v>64553.022746162402</v>
      </c>
      <c r="CE730" s="68">
        <f t="shared" si="1765"/>
        <v>53376.417629460499</v>
      </c>
      <c r="CF730" s="68">
        <f t="shared" si="1765"/>
        <v>44379.96175559087</v>
      </c>
      <c r="CG730" s="68">
        <f t="shared" si="1765"/>
        <v>66978.60842787032</v>
      </c>
      <c r="CH730" s="1112">
        <f t="shared" si="1765"/>
        <v>229288.01055908413</v>
      </c>
      <c r="CI730" s="1112">
        <f t="shared" si="1765"/>
        <v>287612.11661453283</v>
      </c>
      <c r="CJ730" s="1112">
        <f t="shared" si="1765"/>
        <v>349985.99208045547</v>
      </c>
      <c r="CK730" s="1112">
        <f t="shared" si="1765"/>
        <v>422873.83568208438</v>
      </c>
      <c r="CL730" s="596"/>
    </row>
    <row r="731" spans="1:90" x14ac:dyDescent="0.3">
      <c r="A731" s="63" t="s">
        <v>860</v>
      </c>
      <c r="B731" s="279"/>
      <c r="C731" s="1127">
        <f t="shared" ref="C731:AH731" si="1766">C730+C717+C718</f>
        <v>-536.34699999999998</v>
      </c>
      <c r="D731" s="1127">
        <f t="shared" si="1766"/>
        <v>470.16</v>
      </c>
      <c r="E731" s="1127">
        <f t="shared" si="1766"/>
        <v>769.928</v>
      </c>
      <c r="F731" s="1127">
        <f t="shared" si="1766"/>
        <v>658.2600000000001</v>
      </c>
      <c r="G731" s="63">
        <f t="shared" si="1766"/>
        <v>7.3899999999999864</v>
      </c>
      <c r="H731" s="63">
        <f t="shared" si="1766"/>
        <v>153.24199999999999</v>
      </c>
      <c r="I731" s="63">
        <f t="shared" si="1766"/>
        <v>165.40699999999998</v>
      </c>
      <c r="J731" s="63">
        <f t="shared" si="1766"/>
        <v>299.55399999999997</v>
      </c>
      <c r="K731" s="1127">
        <f t="shared" si="1766"/>
        <v>625.59299999999996</v>
      </c>
      <c r="L731" s="63">
        <f t="shared" si="1766"/>
        <v>-3.7440000000000282</v>
      </c>
      <c r="M731" s="63">
        <f t="shared" si="1766"/>
        <v>-766.90599999999995</v>
      </c>
      <c r="N731" s="63">
        <f t="shared" si="1766"/>
        <v>102.83199999999991</v>
      </c>
      <c r="O731" s="63">
        <f t="shared" si="1766"/>
        <v>1650.0060000000001</v>
      </c>
      <c r="P731" s="1127">
        <f t="shared" si="1766"/>
        <v>982.18799999999987</v>
      </c>
      <c r="Q731" s="63">
        <f t="shared" si="1766"/>
        <v>-321</v>
      </c>
      <c r="R731" s="63">
        <f t="shared" si="1766"/>
        <v>47</v>
      </c>
      <c r="S731" s="63">
        <f t="shared" si="1766"/>
        <v>-144</v>
      </c>
      <c r="T731" s="63">
        <f t="shared" si="1766"/>
        <v>392</v>
      </c>
      <c r="U731" s="1127">
        <f t="shared" si="1766"/>
        <v>-26</v>
      </c>
      <c r="V731" s="63">
        <f t="shared" si="1766"/>
        <v>172</v>
      </c>
      <c r="W731" s="63">
        <f t="shared" si="1766"/>
        <v>-298</v>
      </c>
      <c r="X731" s="63">
        <f t="shared" si="1766"/>
        <v>223</v>
      </c>
      <c r="Y731" s="63">
        <f t="shared" si="1766"/>
        <v>326</v>
      </c>
      <c r="Z731" s="1127">
        <f t="shared" si="1766"/>
        <v>423</v>
      </c>
      <c r="AA731" s="63">
        <f t="shared" si="1766"/>
        <v>-279</v>
      </c>
      <c r="AB731" s="63">
        <f t="shared" si="1766"/>
        <v>124</v>
      </c>
      <c r="AC731" s="63">
        <f t="shared" si="1766"/>
        <v>1808</v>
      </c>
      <c r="AD731" s="63">
        <f t="shared" si="1766"/>
        <v>148</v>
      </c>
      <c r="AE731" s="1127">
        <f t="shared" si="1766"/>
        <v>1801</v>
      </c>
      <c r="AF731" s="63">
        <f t="shared" si="1766"/>
        <v>-584</v>
      </c>
      <c r="AG731" s="63">
        <f t="shared" si="1766"/>
        <v>-316</v>
      </c>
      <c r="AH731" s="63">
        <f t="shared" si="1766"/>
        <v>460</v>
      </c>
      <c r="AI731" s="63">
        <f t="shared" ref="AI731:BG731" si="1767">AI730+AI717+AI718</f>
        <v>816</v>
      </c>
      <c r="AJ731" s="1127">
        <f t="shared" si="1767"/>
        <v>376</v>
      </c>
      <c r="AK731" s="63">
        <f t="shared" si="1767"/>
        <v>196</v>
      </c>
      <c r="AL731" s="63">
        <f t="shared" si="1767"/>
        <v>630</v>
      </c>
      <c r="AM731" s="63">
        <f t="shared" si="1767"/>
        <v>-365</v>
      </c>
      <c r="AN731" s="63">
        <f t="shared" si="1767"/>
        <v>-179</v>
      </c>
      <c r="AO731" s="1127">
        <f t="shared" si="1767"/>
        <v>282</v>
      </c>
      <c r="AP731" s="63">
        <f t="shared" si="1767"/>
        <v>367</v>
      </c>
      <c r="AQ731" s="63">
        <f t="shared" si="1767"/>
        <v>675</v>
      </c>
      <c r="AR731" s="63">
        <f t="shared" si="1767"/>
        <v>1301</v>
      </c>
      <c r="AS731" s="63">
        <f t="shared" si="1767"/>
        <v>1137</v>
      </c>
      <c r="AT731" s="1127">
        <f t="shared" si="1767"/>
        <v>3480</v>
      </c>
      <c r="AU731" s="63">
        <f t="shared" si="1767"/>
        <v>5467</v>
      </c>
      <c r="AV731" s="63">
        <f t="shared" si="1767"/>
        <v>-6084</v>
      </c>
      <c r="AW731" s="63">
        <f t="shared" si="1767"/>
        <v>-848</v>
      </c>
      <c r="AX731" s="63">
        <f t="shared" si="1767"/>
        <v>1460</v>
      </c>
      <c r="AY731" s="1127">
        <f t="shared" si="1767"/>
        <v>-5</v>
      </c>
      <c r="AZ731" s="63">
        <f t="shared" si="1767"/>
        <v>1126</v>
      </c>
      <c r="BA731" s="63">
        <f t="shared" si="1767"/>
        <v>7021</v>
      </c>
      <c r="BB731" s="63">
        <f t="shared" si="1767"/>
        <v>-304</v>
      </c>
      <c r="BC731" s="63">
        <f t="shared" si="1767"/>
        <v>1981</v>
      </c>
      <c r="BD731" s="1127">
        <f t="shared" si="1767"/>
        <v>9824</v>
      </c>
      <c r="BE731" s="63">
        <f t="shared" si="1767"/>
        <v>-1090</v>
      </c>
      <c r="BF731" s="63">
        <f t="shared" si="1767"/>
        <v>-2925</v>
      </c>
      <c r="BG731" s="63">
        <f t="shared" si="1767"/>
        <v>-3873</v>
      </c>
      <c r="BH731" s="63">
        <f t="shared" ref="BH731:BI731" si="1768">BH730+BH717+BH718</f>
        <v>90</v>
      </c>
      <c r="BI731" s="1127">
        <f t="shared" si="1768"/>
        <v>-7798</v>
      </c>
      <c r="BJ731" s="63">
        <f t="shared" ref="BJ731:BN731" si="1769">BJ730+BJ717+BJ718</f>
        <v>2220</v>
      </c>
      <c r="BK731" s="63">
        <f t="shared" si="1769"/>
        <v>971</v>
      </c>
      <c r="BL731" s="63">
        <f t="shared" si="1769"/>
        <v>2543</v>
      </c>
      <c r="BM731" s="63">
        <f t="shared" si="1769"/>
        <v>7646</v>
      </c>
      <c r="BN731" s="1127">
        <f t="shared" si="1769"/>
        <v>13380</v>
      </c>
      <c r="BO731" s="63">
        <f t="shared" ref="BO731:BS731" si="1770">BO730+BO717+BO718</f>
        <v>5632</v>
      </c>
      <c r="BP731" s="63">
        <f t="shared" si="1770"/>
        <v>2942</v>
      </c>
      <c r="BQ731" s="63">
        <f t="shared" si="1770"/>
        <v>3949</v>
      </c>
      <c r="BR731" s="63">
        <f t="shared" si="1770"/>
        <v>5093</v>
      </c>
      <c r="BS731" s="1127">
        <f t="shared" si="1770"/>
        <v>17616</v>
      </c>
      <c r="BT731" s="63">
        <f t="shared" ref="BT731:CK731" si="1771">BT730+BT717+BT718</f>
        <v>10303</v>
      </c>
      <c r="BU731" s="63">
        <f t="shared" si="1771"/>
        <v>1364</v>
      </c>
      <c r="BV731" s="63">
        <f t="shared" si="1771"/>
        <v>6566</v>
      </c>
      <c r="BW731" s="63">
        <f t="shared" si="1771"/>
        <v>15544</v>
      </c>
      <c r="BX731" s="1127">
        <f t="shared" si="1771"/>
        <v>33777</v>
      </c>
      <c r="BY731" s="587">
        <f>BY730+BY717+BY718</f>
        <v>27331</v>
      </c>
      <c r="BZ731" s="63">
        <f t="shared" si="1771"/>
        <v>35823.314682335018</v>
      </c>
      <c r="CA731" s="63">
        <f t="shared" si="1771"/>
        <v>31721.912374983091</v>
      </c>
      <c r="CB731" s="63">
        <f t="shared" si="1771"/>
        <v>50016.896525286982</v>
      </c>
      <c r="CC731" s="1127">
        <f t="shared" si="1771"/>
        <v>144893.1235826051</v>
      </c>
      <c r="CD731" s="63">
        <f t="shared" si="1771"/>
        <v>64553.022746162402</v>
      </c>
      <c r="CE731" s="63">
        <f t="shared" si="1771"/>
        <v>53376.417629460499</v>
      </c>
      <c r="CF731" s="63">
        <f t="shared" si="1771"/>
        <v>44379.96175559087</v>
      </c>
      <c r="CG731" s="63">
        <f t="shared" si="1771"/>
        <v>66978.60842787032</v>
      </c>
      <c r="CH731" s="1127">
        <f t="shared" si="1771"/>
        <v>229288.01055908413</v>
      </c>
      <c r="CI731" s="1127">
        <f t="shared" si="1771"/>
        <v>287612.11661453283</v>
      </c>
      <c r="CJ731" s="1127">
        <f t="shared" si="1771"/>
        <v>349985.99208045547</v>
      </c>
      <c r="CK731" s="1127">
        <f t="shared" si="1771"/>
        <v>422873.83568208438</v>
      </c>
      <c r="CL731" s="596"/>
    </row>
    <row r="732" spans="1:90" x14ac:dyDescent="0.3">
      <c r="A732" s="93"/>
      <c r="B732" s="428"/>
      <c r="C732" s="1136"/>
      <c r="D732" s="1136"/>
      <c r="E732" s="1136"/>
      <c r="F732" s="1136"/>
      <c r="G732" s="93"/>
      <c r="H732" s="93"/>
      <c r="I732" s="93"/>
      <c r="J732" s="93"/>
      <c r="K732" s="1136"/>
      <c r="L732" s="93"/>
      <c r="M732" s="93"/>
      <c r="N732" s="93"/>
      <c r="O732" s="93"/>
      <c r="P732" s="1136"/>
      <c r="Q732" s="93"/>
      <c r="R732" s="93"/>
      <c r="S732" s="93"/>
      <c r="T732" s="93"/>
      <c r="U732" s="1136"/>
      <c r="V732" s="93"/>
      <c r="W732" s="93"/>
      <c r="X732" s="93"/>
      <c r="Y732" s="93"/>
      <c r="Z732" s="1136"/>
      <c r="AA732" s="93"/>
      <c r="AB732" s="93"/>
      <c r="AC732" s="93"/>
      <c r="AD732" s="93"/>
      <c r="AE732" s="1136"/>
      <c r="AF732" s="93"/>
      <c r="AG732" s="93"/>
      <c r="AH732" s="93"/>
      <c r="AI732" s="93"/>
      <c r="AJ732" s="1136"/>
      <c r="AK732" s="93"/>
      <c r="AL732" s="93"/>
      <c r="AM732" s="93"/>
      <c r="AN732" s="93"/>
      <c r="AO732" s="1136"/>
      <c r="AP732" s="93"/>
      <c r="AQ732" s="93"/>
      <c r="AR732" s="93"/>
      <c r="AS732" s="93"/>
      <c r="AT732" s="1136"/>
      <c r="AU732" s="93"/>
      <c r="AV732" s="93"/>
      <c r="AW732" s="93"/>
      <c r="AX732" s="93"/>
      <c r="AY732" s="1136"/>
      <c r="AZ732" s="93"/>
      <c r="BA732" s="93"/>
      <c r="BB732" s="93"/>
      <c r="BC732" s="93"/>
      <c r="BD732" s="1136"/>
      <c r="BE732" s="93"/>
      <c r="BF732" s="93"/>
      <c r="BG732" s="93"/>
      <c r="BH732" s="93"/>
      <c r="BI732" s="1136"/>
      <c r="BJ732" s="93"/>
      <c r="BK732" s="93"/>
      <c r="BL732" s="93"/>
      <c r="BM732" s="93"/>
      <c r="BN732" s="1136"/>
      <c r="BO732" s="93"/>
      <c r="BP732" s="93"/>
      <c r="BQ732" s="93"/>
      <c r="BR732" s="93"/>
      <c r="BS732" s="1136"/>
      <c r="BT732" s="93"/>
      <c r="BU732" s="93"/>
      <c r="BV732" s="93"/>
      <c r="BW732" s="93"/>
      <c r="BX732" s="1136"/>
      <c r="BY732" s="522"/>
      <c r="BZ732" s="93"/>
      <c r="CA732" s="93"/>
      <c r="CB732" s="93"/>
      <c r="CC732" s="1136"/>
      <c r="CD732" s="93"/>
      <c r="CE732" s="93"/>
      <c r="CF732" s="93"/>
      <c r="CG732" s="93"/>
      <c r="CH732" s="1136"/>
      <c r="CI732" s="1136"/>
      <c r="CJ732" s="1136"/>
      <c r="CK732" s="1136"/>
      <c r="CL732" s="155"/>
    </row>
    <row r="733" spans="1:90" x14ac:dyDescent="0.3">
      <c r="A733" s="45" t="s">
        <v>126</v>
      </c>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c r="AY733" s="45"/>
      <c r="AZ733" s="45"/>
      <c r="BA733" s="45"/>
      <c r="BB733" s="45"/>
      <c r="BC733" s="45"/>
      <c r="BD733" s="45"/>
      <c r="BE733" s="45"/>
      <c r="BF733" s="45"/>
      <c r="BG733" s="45"/>
      <c r="BH733" s="45"/>
      <c r="BI733" s="45"/>
      <c r="BJ733" s="45"/>
      <c r="BK733" s="45"/>
      <c r="BL733" s="45"/>
      <c r="BM733" s="45"/>
      <c r="BN733" s="45"/>
      <c r="BO733" s="45"/>
      <c r="BP733" s="45"/>
      <c r="BQ733" s="45"/>
      <c r="BR733" s="45"/>
      <c r="BS733" s="45"/>
      <c r="BT733" s="45"/>
      <c r="BU733" s="45"/>
      <c r="BV733" s="45"/>
      <c r="BW733" s="45"/>
      <c r="BX733" s="45"/>
      <c r="BY733" s="881"/>
      <c r="BZ733" s="45"/>
      <c r="CA733" s="45"/>
      <c r="CB733" s="45"/>
      <c r="CC733" s="45"/>
      <c r="CD733" s="45"/>
      <c r="CE733" s="45"/>
      <c r="CF733" s="45"/>
      <c r="CG733" s="45"/>
      <c r="CH733" s="45"/>
      <c r="CI733" s="45"/>
      <c r="CJ733" s="45"/>
      <c r="CK733" s="45"/>
      <c r="CL733" s="155"/>
    </row>
    <row r="734" spans="1:90" x14ac:dyDescent="0.3">
      <c r="A734" s="27" t="s">
        <v>127</v>
      </c>
      <c r="B734" s="146"/>
      <c r="C734" s="1114">
        <f t="shared" ref="C734:AH734" si="1772">C960+C961</f>
        <v>1255.3899999999999</v>
      </c>
      <c r="D734" s="1114">
        <f t="shared" si="1772"/>
        <v>1728.2270000000001</v>
      </c>
      <c r="E734" s="1114">
        <f t="shared" si="1772"/>
        <v>2490.5630000000001</v>
      </c>
      <c r="F734" s="1114">
        <f t="shared" si="1772"/>
        <v>3129.576</v>
      </c>
      <c r="G734" s="27">
        <f t="shared" si="1772"/>
        <v>3130.8119999999999</v>
      </c>
      <c r="H734" s="27">
        <f t="shared" si="1772"/>
        <v>3278.1</v>
      </c>
      <c r="I734" s="27">
        <f t="shared" si="1772"/>
        <v>3434.7719999999999</v>
      </c>
      <c r="J734" s="27">
        <f t="shared" si="1772"/>
        <v>3727.8830000000003</v>
      </c>
      <c r="K734" s="1114">
        <f t="shared" si="1772"/>
        <v>3727.8830000000003</v>
      </c>
      <c r="L734" s="27">
        <f t="shared" si="1772"/>
        <v>3713.3509999999997</v>
      </c>
      <c r="M734" s="27">
        <f t="shared" si="1772"/>
        <v>2935.893</v>
      </c>
      <c r="N734" s="27">
        <f t="shared" si="1772"/>
        <v>3032.9539999999997</v>
      </c>
      <c r="O734" s="27">
        <f t="shared" si="1772"/>
        <v>4671.8099999999995</v>
      </c>
      <c r="P734" s="1114">
        <f t="shared" si="1772"/>
        <v>4671.8099999999995</v>
      </c>
      <c r="Q734" s="27">
        <f t="shared" si="1772"/>
        <v>4347.817</v>
      </c>
      <c r="R734" s="27">
        <f t="shared" si="1772"/>
        <v>4386.0540000000001</v>
      </c>
      <c r="S734" s="27">
        <f t="shared" si="1772"/>
        <v>4240.7970000000005</v>
      </c>
      <c r="T734" s="27">
        <f t="shared" si="1772"/>
        <v>4623</v>
      </c>
      <c r="U734" s="1114">
        <f t="shared" si="1772"/>
        <v>4623</v>
      </c>
      <c r="V734" s="27">
        <f t="shared" si="1772"/>
        <v>4792</v>
      </c>
      <c r="W734" s="27">
        <f t="shared" si="1772"/>
        <v>4505</v>
      </c>
      <c r="X734" s="27">
        <f t="shared" si="1772"/>
        <v>4728</v>
      </c>
      <c r="Y734" s="27">
        <f t="shared" si="1772"/>
        <v>5037</v>
      </c>
      <c r="Z734" s="1114">
        <f t="shared" si="1772"/>
        <v>5037</v>
      </c>
      <c r="AA734" s="27">
        <f t="shared" si="1772"/>
        <v>4754</v>
      </c>
      <c r="AB734" s="27">
        <f t="shared" si="1772"/>
        <v>4879</v>
      </c>
      <c r="AC734" s="68">
        <f t="shared" si="1772"/>
        <v>6671</v>
      </c>
      <c r="AD734" s="68">
        <f t="shared" si="1772"/>
        <v>6798</v>
      </c>
      <c r="AE734" s="1112">
        <f t="shared" si="1772"/>
        <v>6798</v>
      </c>
      <c r="AF734" s="68">
        <f t="shared" si="1772"/>
        <v>6206</v>
      </c>
      <c r="AG734" s="27">
        <f t="shared" si="1772"/>
        <v>5877</v>
      </c>
      <c r="AH734" s="27">
        <f t="shared" si="1772"/>
        <v>6320</v>
      </c>
      <c r="AI734" s="68">
        <f t="shared" ref="AI734:AV734" si="1773">AI960+AI961</f>
        <v>7108</v>
      </c>
      <c r="AJ734" s="1112">
        <f t="shared" si="1773"/>
        <v>7108</v>
      </c>
      <c r="AK734" s="27">
        <f t="shared" si="1773"/>
        <v>7300</v>
      </c>
      <c r="AL734" s="27">
        <f t="shared" si="1773"/>
        <v>7943</v>
      </c>
      <c r="AM734" s="27">
        <f t="shared" si="1773"/>
        <v>7591</v>
      </c>
      <c r="AN734" s="68">
        <f t="shared" si="1773"/>
        <v>7422</v>
      </c>
      <c r="AO734" s="1112">
        <f t="shared" si="1773"/>
        <v>7422</v>
      </c>
      <c r="AP734" s="27">
        <f t="shared" si="1773"/>
        <v>7802</v>
      </c>
      <c r="AQ734" s="27">
        <f t="shared" si="1773"/>
        <v>8475</v>
      </c>
      <c r="AR734" s="27">
        <f t="shared" si="1773"/>
        <v>9769</v>
      </c>
      <c r="AS734" s="68">
        <f t="shared" si="1773"/>
        <v>10897</v>
      </c>
      <c r="AT734" s="1112">
        <f t="shared" si="1773"/>
        <v>10897</v>
      </c>
      <c r="AU734" s="27">
        <f t="shared" si="1773"/>
        <v>16354</v>
      </c>
      <c r="AV734" s="27">
        <f t="shared" si="1773"/>
        <v>10981</v>
      </c>
      <c r="AW734" s="27">
        <f t="shared" ref="AW734:BB734" si="1774">AW960+AW961</f>
        <v>10139</v>
      </c>
      <c r="AX734" s="68">
        <f t="shared" si="1774"/>
        <v>11561</v>
      </c>
      <c r="AY734" s="1112">
        <f t="shared" si="1774"/>
        <v>11561</v>
      </c>
      <c r="AZ734" s="27">
        <f t="shared" si="1774"/>
        <v>12667</v>
      </c>
      <c r="BA734" s="27">
        <f t="shared" si="1774"/>
        <v>19654</v>
      </c>
      <c r="BB734" s="27">
        <f t="shared" si="1774"/>
        <v>19298</v>
      </c>
      <c r="BC734" s="68">
        <f t="shared" ref="BC734:BD734" si="1775">BC960+BC961</f>
        <v>21208</v>
      </c>
      <c r="BD734" s="1112">
        <f t="shared" si="1775"/>
        <v>21208</v>
      </c>
      <c r="BE734" s="27">
        <f>BE960+BE961</f>
        <v>20338</v>
      </c>
      <c r="BF734" s="68">
        <f t="shared" ref="BF734" si="1776">BF960+BF961</f>
        <v>17037</v>
      </c>
      <c r="BG734" s="27">
        <f t="shared" ref="BG734:BI734" si="1777">BG960+BG961</f>
        <v>13143</v>
      </c>
      <c r="BH734" s="68">
        <f t="shared" si="1777"/>
        <v>13296</v>
      </c>
      <c r="BI734" s="1112">
        <f t="shared" si="1777"/>
        <v>13296</v>
      </c>
      <c r="BJ734" s="27">
        <f t="shared" ref="BJ734:BN734" si="1778">BJ960+BJ961</f>
        <v>15320</v>
      </c>
      <c r="BK734" s="68">
        <f t="shared" si="1778"/>
        <v>16023</v>
      </c>
      <c r="BL734" s="27">
        <f t="shared" si="1778"/>
        <v>18281</v>
      </c>
      <c r="BM734" s="68">
        <f t="shared" si="1778"/>
        <v>25984</v>
      </c>
      <c r="BN734" s="1112">
        <f t="shared" si="1778"/>
        <v>25984</v>
      </c>
      <c r="BO734" s="27">
        <f t="shared" ref="BO734:BS734" si="1779">BO960+BO961</f>
        <v>31438</v>
      </c>
      <c r="BP734" s="68">
        <f t="shared" si="1779"/>
        <v>34800</v>
      </c>
      <c r="BQ734" s="27">
        <f t="shared" si="1779"/>
        <v>38487</v>
      </c>
      <c r="BR734" s="68">
        <f t="shared" si="1779"/>
        <v>43210</v>
      </c>
      <c r="BS734" s="1112">
        <f t="shared" si="1779"/>
        <v>43210</v>
      </c>
      <c r="BT734" s="27">
        <f t="shared" ref="BT734:CK734" si="1780">BT960+BT961</f>
        <v>53691</v>
      </c>
      <c r="BU734" s="68">
        <f t="shared" si="1780"/>
        <v>56791</v>
      </c>
      <c r="BV734" s="27">
        <f t="shared" si="1780"/>
        <v>60608</v>
      </c>
      <c r="BW734" s="68">
        <f t="shared" si="1780"/>
        <v>62556</v>
      </c>
      <c r="BX734" s="1112">
        <f t="shared" si="1780"/>
        <v>62556</v>
      </c>
      <c r="BY734" s="508">
        <f>BY960+BY961</f>
        <v>80572</v>
      </c>
      <c r="BZ734" s="68">
        <f t="shared" si="1780"/>
        <v>116395.31468233501</v>
      </c>
      <c r="CA734" s="68">
        <f t="shared" si="1780"/>
        <v>148117.22705731812</v>
      </c>
      <c r="CB734" s="68">
        <f t="shared" si="1780"/>
        <v>198134.1235826051</v>
      </c>
      <c r="CC734" s="1112">
        <f t="shared" si="1780"/>
        <v>198134.1235826051</v>
      </c>
      <c r="CD734" s="68">
        <f t="shared" si="1780"/>
        <v>262687.14632876753</v>
      </c>
      <c r="CE734" s="68">
        <f t="shared" si="1780"/>
        <v>316063.56395822798</v>
      </c>
      <c r="CF734" s="68">
        <f t="shared" si="1780"/>
        <v>360443.52571381885</v>
      </c>
      <c r="CG734" s="68">
        <f t="shared" si="1780"/>
        <v>427422.13414168917</v>
      </c>
      <c r="CH734" s="1112">
        <f t="shared" si="1780"/>
        <v>427422.13414168917</v>
      </c>
      <c r="CI734" s="1112">
        <f t="shared" si="1780"/>
        <v>715034.25075622206</v>
      </c>
      <c r="CJ734" s="1112">
        <f t="shared" si="1780"/>
        <v>1065020.2428366775</v>
      </c>
      <c r="CK734" s="1112">
        <f t="shared" si="1780"/>
        <v>1487894.0785187618</v>
      </c>
      <c r="CL734" s="155"/>
    </row>
    <row r="735" spans="1:90" x14ac:dyDescent="0.3">
      <c r="A735" s="67" t="s">
        <v>595</v>
      </c>
      <c r="B735" s="146"/>
      <c r="C735" s="1114">
        <f t="shared" ref="C735:AV735" si="1781">C996</f>
        <v>0</v>
      </c>
      <c r="D735" s="1114">
        <f t="shared" si="1781"/>
        <v>0</v>
      </c>
      <c r="E735" s="1114">
        <f t="shared" si="1781"/>
        <v>0</v>
      </c>
      <c r="F735" s="1114">
        <f t="shared" si="1781"/>
        <v>0</v>
      </c>
      <c r="G735" s="27">
        <f t="shared" si="1781"/>
        <v>0</v>
      </c>
      <c r="H735" s="27">
        <f t="shared" si="1781"/>
        <v>0</v>
      </c>
      <c r="I735" s="27">
        <f t="shared" si="1781"/>
        <v>0</v>
      </c>
      <c r="J735" s="27">
        <f t="shared" si="1781"/>
        <v>0</v>
      </c>
      <c r="K735" s="1114">
        <f t="shared" si="1781"/>
        <v>0</v>
      </c>
      <c r="L735" s="27">
        <f t="shared" si="1781"/>
        <v>0</v>
      </c>
      <c r="M735" s="27">
        <f t="shared" si="1781"/>
        <v>0</v>
      </c>
      <c r="N735" s="27">
        <f t="shared" si="1781"/>
        <v>0</v>
      </c>
      <c r="O735" s="27">
        <f t="shared" si="1781"/>
        <v>0</v>
      </c>
      <c r="P735" s="1114">
        <f t="shared" si="1781"/>
        <v>0</v>
      </c>
      <c r="Q735" s="27">
        <f t="shared" si="1781"/>
        <v>0</v>
      </c>
      <c r="R735" s="27">
        <f t="shared" si="1781"/>
        <v>0</v>
      </c>
      <c r="S735" s="27">
        <f t="shared" si="1781"/>
        <v>0</v>
      </c>
      <c r="T735" s="27">
        <f t="shared" si="1781"/>
        <v>0</v>
      </c>
      <c r="U735" s="1114">
        <f t="shared" si="1781"/>
        <v>0</v>
      </c>
      <c r="V735" s="27">
        <f t="shared" si="1781"/>
        <v>0</v>
      </c>
      <c r="W735" s="27">
        <f t="shared" si="1781"/>
        <v>0</v>
      </c>
      <c r="X735" s="27">
        <f t="shared" si="1781"/>
        <v>0</v>
      </c>
      <c r="Y735" s="27">
        <f t="shared" si="1781"/>
        <v>1413</v>
      </c>
      <c r="Z735" s="1114">
        <f t="shared" si="1781"/>
        <v>1413</v>
      </c>
      <c r="AA735" s="27">
        <f t="shared" si="1781"/>
        <v>1421</v>
      </c>
      <c r="AB735" s="27">
        <f t="shared" si="1781"/>
        <v>1428</v>
      </c>
      <c r="AC735" s="68">
        <f t="shared" si="1781"/>
        <v>1011</v>
      </c>
      <c r="AD735" s="68">
        <f t="shared" si="1781"/>
        <v>796</v>
      </c>
      <c r="AE735" s="1112">
        <f t="shared" si="1781"/>
        <v>796</v>
      </c>
      <c r="AF735" s="68">
        <f t="shared" si="1781"/>
        <v>215</v>
      </c>
      <c r="AG735" s="27">
        <f t="shared" si="1781"/>
        <v>84</v>
      </c>
      <c r="AH735" s="27">
        <f t="shared" si="1781"/>
        <v>23</v>
      </c>
      <c r="AI735" s="68">
        <f t="shared" si="1781"/>
        <v>15</v>
      </c>
      <c r="AJ735" s="1112">
        <f t="shared" si="1781"/>
        <v>15</v>
      </c>
      <c r="AK735" s="27">
        <f t="shared" si="1781"/>
        <v>14</v>
      </c>
      <c r="AL735" s="27">
        <f t="shared" si="1781"/>
        <v>14</v>
      </c>
      <c r="AM735" s="27">
        <f t="shared" si="1781"/>
        <v>3</v>
      </c>
      <c r="AN735" s="68">
        <f t="shared" si="1781"/>
        <v>0</v>
      </c>
      <c r="AO735" s="1112">
        <f t="shared" si="1781"/>
        <v>0</v>
      </c>
      <c r="AP735" s="27">
        <f t="shared" si="1781"/>
        <v>0</v>
      </c>
      <c r="AQ735" s="27">
        <f t="shared" si="1781"/>
        <v>0</v>
      </c>
      <c r="AR735" s="27">
        <f t="shared" si="1781"/>
        <v>0</v>
      </c>
      <c r="AS735" s="68">
        <f t="shared" si="1781"/>
        <v>0</v>
      </c>
      <c r="AT735" s="1112">
        <f t="shared" si="1781"/>
        <v>0</v>
      </c>
      <c r="AU735" s="27">
        <f t="shared" si="1781"/>
        <v>0</v>
      </c>
      <c r="AV735" s="27">
        <f t="shared" si="1781"/>
        <v>0</v>
      </c>
      <c r="AW735" s="27">
        <f t="shared" ref="AW735:BB735" si="1782">AW996</f>
        <v>998</v>
      </c>
      <c r="AX735" s="68">
        <f t="shared" si="1782"/>
        <v>999</v>
      </c>
      <c r="AY735" s="1112">
        <f t="shared" si="1782"/>
        <v>999</v>
      </c>
      <c r="AZ735" s="27">
        <f t="shared" si="1782"/>
        <v>999</v>
      </c>
      <c r="BA735" s="27">
        <f t="shared" si="1782"/>
        <v>1000</v>
      </c>
      <c r="BB735" s="27">
        <f t="shared" si="1782"/>
        <v>0</v>
      </c>
      <c r="BC735" s="68">
        <f>BC996</f>
        <v>0</v>
      </c>
      <c r="BD735" s="1112">
        <f>BD996</f>
        <v>0</v>
      </c>
      <c r="BE735" s="27">
        <f>BE996</f>
        <v>0</v>
      </c>
      <c r="BF735" s="68">
        <f t="shared" ref="BF735" si="1783">BF996</f>
        <v>1249</v>
      </c>
      <c r="BG735" s="27">
        <f t="shared" ref="BG735:BL735" si="1784">BG996</f>
        <v>1249</v>
      </c>
      <c r="BH735" s="68">
        <f t="shared" si="1784"/>
        <v>1250</v>
      </c>
      <c r="BI735" s="1112">
        <f t="shared" si="1784"/>
        <v>1250</v>
      </c>
      <c r="BJ735" s="27">
        <f t="shared" si="1784"/>
        <v>1250</v>
      </c>
      <c r="BK735" s="68">
        <f t="shared" si="1784"/>
        <v>1249</v>
      </c>
      <c r="BL735" s="27">
        <f t="shared" si="1784"/>
        <v>1249</v>
      </c>
      <c r="BM735" s="68">
        <f t="shared" ref="BM735:BS735" si="1785">BM996</f>
        <v>1250</v>
      </c>
      <c r="BN735" s="1112">
        <f t="shared" si="1785"/>
        <v>1250</v>
      </c>
      <c r="BO735" s="27">
        <f t="shared" si="1785"/>
        <v>1250</v>
      </c>
      <c r="BP735" s="68">
        <f t="shared" si="1785"/>
        <v>0</v>
      </c>
      <c r="BQ735" s="27">
        <f t="shared" si="1785"/>
        <v>0</v>
      </c>
      <c r="BR735" s="68">
        <f t="shared" si="1785"/>
        <v>0</v>
      </c>
      <c r="BS735" s="1112">
        <f t="shared" si="1785"/>
        <v>0</v>
      </c>
      <c r="BT735" s="27">
        <f t="shared" ref="BT735:BY735" si="1786">BT996</f>
        <v>0</v>
      </c>
      <c r="BU735" s="68">
        <f t="shared" si="1786"/>
        <v>0</v>
      </c>
      <c r="BV735" s="27">
        <f t="shared" si="1786"/>
        <v>999</v>
      </c>
      <c r="BW735" s="68">
        <f t="shared" si="1786"/>
        <v>999</v>
      </c>
      <c r="BX735" s="1112">
        <f t="shared" si="1786"/>
        <v>999</v>
      </c>
      <c r="BY735" s="508">
        <f t="shared" si="1786"/>
        <v>1000</v>
      </c>
      <c r="BZ735" s="68">
        <f>BZ737-BZ736</f>
        <v>1000</v>
      </c>
      <c r="CA735" s="68">
        <f>CA737-CA736</f>
        <v>1000</v>
      </c>
      <c r="CB735" s="68">
        <f>CB737-CB736</f>
        <v>1000</v>
      </c>
      <c r="CC735" s="1112">
        <f>CC996</f>
        <v>1000</v>
      </c>
      <c r="CD735" s="68">
        <f>CD737-CD736</f>
        <v>1000</v>
      </c>
      <c r="CE735" s="68">
        <f>CE737-CE736</f>
        <v>1000</v>
      </c>
      <c r="CF735" s="68">
        <f>CF737-CF736</f>
        <v>1000</v>
      </c>
      <c r="CG735" s="68">
        <f>CG737-CG736</f>
        <v>1000</v>
      </c>
      <c r="CH735" s="1112">
        <f>CH996</f>
        <v>1000</v>
      </c>
      <c r="CI735" s="1112">
        <f>CI737-CI736</f>
        <v>1000</v>
      </c>
      <c r="CJ735" s="1112">
        <f>CJ737-CJ736</f>
        <v>1000</v>
      </c>
      <c r="CK735" s="1112">
        <f>CK737-CK736</f>
        <v>1000</v>
      </c>
      <c r="CL735" s="155"/>
    </row>
    <row r="736" spans="1:90" x14ac:dyDescent="0.3">
      <c r="A736" s="234" t="s">
        <v>596</v>
      </c>
      <c r="B736" s="614"/>
      <c r="C736" s="1210">
        <f t="shared" ref="C736:AV736" si="1787">C1003+C1000+C1004</f>
        <v>25.634</v>
      </c>
      <c r="D736" s="1210">
        <f t="shared" si="1787"/>
        <v>24.45</v>
      </c>
      <c r="E736" s="1210">
        <f t="shared" si="1787"/>
        <v>23.388999999999999</v>
      </c>
      <c r="F736" s="1210">
        <f t="shared" si="1787"/>
        <v>21.439</v>
      </c>
      <c r="G736" s="235">
        <f t="shared" si="1787"/>
        <v>20.83</v>
      </c>
      <c r="H736" s="235">
        <f t="shared" si="1787"/>
        <v>20.236999999999998</v>
      </c>
      <c r="I736" s="235">
        <f t="shared" si="1787"/>
        <v>19.626999999999999</v>
      </c>
      <c r="J736" s="235">
        <f t="shared" si="1787"/>
        <v>18.998000000000001</v>
      </c>
      <c r="K736" s="1210">
        <f t="shared" si="1787"/>
        <v>18.998000000000001</v>
      </c>
      <c r="L736" s="235">
        <f t="shared" si="1787"/>
        <v>18.332999999999998</v>
      </c>
      <c r="M736" s="235">
        <f t="shared" si="1787"/>
        <v>17.684999999999999</v>
      </c>
      <c r="N736" s="235">
        <f t="shared" si="1787"/>
        <v>17.015000000000001</v>
      </c>
      <c r="O736" s="235">
        <f t="shared" si="1787"/>
        <v>1373.875</v>
      </c>
      <c r="P736" s="1210">
        <f t="shared" si="1787"/>
        <v>1373.875</v>
      </c>
      <c r="Q736" s="235">
        <f t="shared" si="1787"/>
        <v>1379.9590000000001</v>
      </c>
      <c r="R736" s="235">
        <f t="shared" si="1787"/>
        <v>1386.0910000000001</v>
      </c>
      <c r="S736" s="235">
        <f t="shared" si="1787"/>
        <v>1392.2360000000001</v>
      </c>
      <c r="T736" s="235">
        <f t="shared" si="1787"/>
        <v>1398</v>
      </c>
      <c r="U736" s="1210">
        <f t="shared" si="1787"/>
        <v>1398</v>
      </c>
      <c r="V736" s="235">
        <f t="shared" si="1787"/>
        <v>1404</v>
      </c>
      <c r="W736" s="235">
        <f t="shared" si="1787"/>
        <v>1411</v>
      </c>
      <c r="X736" s="235">
        <f t="shared" si="1787"/>
        <v>1417</v>
      </c>
      <c r="Y736" s="235">
        <f t="shared" si="1787"/>
        <v>97</v>
      </c>
      <c r="Z736" s="1210">
        <f t="shared" si="1787"/>
        <v>97</v>
      </c>
      <c r="AA736" s="235">
        <f t="shared" si="1787"/>
        <v>88</v>
      </c>
      <c r="AB736" s="235">
        <f t="shared" si="1787"/>
        <v>80</v>
      </c>
      <c r="AC736" s="565">
        <f t="shared" si="1787"/>
        <v>2034</v>
      </c>
      <c r="AD736" s="565">
        <f t="shared" si="1787"/>
        <v>2020</v>
      </c>
      <c r="AE736" s="1211">
        <f t="shared" si="1787"/>
        <v>2020</v>
      </c>
      <c r="AF736" s="565">
        <f t="shared" si="1787"/>
        <v>1995</v>
      </c>
      <c r="AG736" s="235">
        <f t="shared" si="1787"/>
        <v>1989</v>
      </c>
      <c r="AH736" s="235">
        <f t="shared" si="1787"/>
        <v>1987</v>
      </c>
      <c r="AI736" s="565">
        <f t="shared" si="1787"/>
        <v>1985</v>
      </c>
      <c r="AJ736" s="1211">
        <f t="shared" si="1787"/>
        <v>1985</v>
      </c>
      <c r="AK736" s="235">
        <f t="shared" si="1787"/>
        <v>1986</v>
      </c>
      <c r="AL736" s="235">
        <f t="shared" si="1787"/>
        <v>1987</v>
      </c>
      <c r="AM736" s="235">
        <f t="shared" si="1787"/>
        <v>1987</v>
      </c>
      <c r="AN736" s="565">
        <f t="shared" si="1787"/>
        <v>1988</v>
      </c>
      <c r="AO736" s="1211">
        <f t="shared" si="1787"/>
        <v>1988</v>
      </c>
      <c r="AP736" s="235">
        <f t="shared" si="1787"/>
        <v>1988</v>
      </c>
      <c r="AQ736" s="235">
        <f t="shared" si="1787"/>
        <v>1989</v>
      </c>
      <c r="AR736" s="235">
        <f t="shared" si="1787"/>
        <v>1990</v>
      </c>
      <c r="AS736" s="565">
        <f t="shared" si="1787"/>
        <v>1991</v>
      </c>
      <c r="AT736" s="1211">
        <f t="shared" si="1787"/>
        <v>1991</v>
      </c>
      <c r="AU736" s="235">
        <f t="shared" si="1787"/>
        <v>6959</v>
      </c>
      <c r="AV736" s="235">
        <f t="shared" si="1787"/>
        <v>6960</v>
      </c>
      <c r="AW736" s="235">
        <f t="shared" ref="AW736:BB736" si="1788">AW1003+AW1000+AW1004</f>
        <v>5963</v>
      </c>
      <c r="AX736" s="565">
        <f t="shared" si="1788"/>
        <v>5964</v>
      </c>
      <c r="AY736" s="1211">
        <f t="shared" si="1788"/>
        <v>5964</v>
      </c>
      <c r="AZ736" s="235">
        <f t="shared" si="1788"/>
        <v>5964</v>
      </c>
      <c r="BA736" s="235">
        <f t="shared" si="1788"/>
        <v>10943</v>
      </c>
      <c r="BB736" s="235">
        <f t="shared" si="1788"/>
        <v>10944</v>
      </c>
      <c r="BC736" s="565">
        <f>BC1003+BC1000+BC1004</f>
        <v>10946</v>
      </c>
      <c r="BD736" s="1211">
        <f>BD1003+BD1000+BD1004</f>
        <v>10946</v>
      </c>
      <c r="BE736" s="235">
        <f>BE1003+BE1000+BE1004</f>
        <v>10947</v>
      </c>
      <c r="BF736" s="565">
        <f t="shared" ref="BF736" si="1789">BF1003+BF1000+BF1004</f>
        <v>9700</v>
      </c>
      <c r="BG736" s="235">
        <f t="shared" ref="BG736:BL736" si="1790">BG1003+BG1000+BG1004</f>
        <v>9701</v>
      </c>
      <c r="BH736" s="565">
        <f t="shared" si="1790"/>
        <v>9703</v>
      </c>
      <c r="BI736" s="1211">
        <f t="shared" si="1790"/>
        <v>9703</v>
      </c>
      <c r="BJ736" s="235">
        <f t="shared" si="1790"/>
        <v>9704</v>
      </c>
      <c r="BK736" s="565">
        <f t="shared" si="1790"/>
        <v>8456</v>
      </c>
      <c r="BL736" s="235">
        <f t="shared" si="1790"/>
        <v>8457</v>
      </c>
      <c r="BM736" s="565">
        <f t="shared" ref="BM736:BS736" si="1791">BM1003+BM1000+BM1004</f>
        <v>8459</v>
      </c>
      <c r="BN736" s="1211">
        <f t="shared" si="1791"/>
        <v>8459</v>
      </c>
      <c r="BO736" s="235">
        <f t="shared" si="1791"/>
        <v>8460</v>
      </c>
      <c r="BP736" s="565">
        <f t="shared" si="1791"/>
        <v>8461</v>
      </c>
      <c r="BQ736" s="235">
        <f t="shared" si="1791"/>
        <v>8462</v>
      </c>
      <c r="BR736" s="565">
        <f t="shared" si="1791"/>
        <v>8463</v>
      </c>
      <c r="BS736" s="1211">
        <f t="shared" si="1791"/>
        <v>8463</v>
      </c>
      <c r="BT736" s="235">
        <f t="shared" ref="BT736:BY736" si="1792">BT1003+BT1000+BT1004</f>
        <v>8464</v>
      </c>
      <c r="BU736" s="565">
        <f t="shared" si="1792"/>
        <v>8466</v>
      </c>
      <c r="BV736" s="235">
        <f t="shared" si="1792"/>
        <v>7468</v>
      </c>
      <c r="BW736" s="565">
        <f t="shared" si="1792"/>
        <v>7469</v>
      </c>
      <c r="BX736" s="1211">
        <f t="shared" si="1792"/>
        <v>7469</v>
      </c>
      <c r="BY736" s="936">
        <f t="shared" si="1792"/>
        <v>7470</v>
      </c>
      <c r="BZ736" s="565">
        <f>MAX(0,BY736+BZ717)</f>
        <v>7470</v>
      </c>
      <c r="CA736" s="565">
        <f>MAX(0,BZ736+CA717)</f>
        <v>7470</v>
      </c>
      <c r="CB736" s="565">
        <f>MAX(0,CA736+CB717)</f>
        <v>7470</v>
      </c>
      <c r="CC736" s="1211">
        <f>CC1003+CC1000+CC1004</f>
        <v>7470</v>
      </c>
      <c r="CD736" s="565">
        <f>MAX(0,CC736+CD717)</f>
        <v>7470</v>
      </c>
      <c r="CE736" s="565">
        <f>MAX(0,CD736+CE717)</f>
        <v>7470</v>
      </c>
      <c r="CF736" s="565">
        <f>MAX(0,CE736+CF717)</f>
        <v>7470</v>
      </c>
      <c r="CG736" s="565">
        <f>MAX(0,CF736+CG717)</f>
        <v>7470</v>
      </c>
      <c r="CH736" s="1211">
        <f>CH1003+CH1000+CH1004</f>
        <v>7470</v>
      </c>
      <c r="CI736" s="1211">
        <f>MAX(0,CH736+CI717)</f>
        <v>7470</v>
      </c>
      <c r="CJ736" s="1211">
        <f>MAX(0,CI736+CJ717)</f>
        <v>7470</v>
      </c>
      <c r="CK736" s="1211">
        <f>MAX(0,CJ736+CK717)</f>
        <v>7470</v>
      </c>
      <c r="CL736" s="155"/>
    </row>
    <row r="737" spans="1:90" x14ac:dyDescent="0.3">
      <c r="A737" s="27" t="s">
        <v>128</v>
      </c>
      <c r="B737" s="146"/>
      <c r="C737" s="1114">
        <f t="shared" ref="C737:AV737" si="1793">C996+C1003+C1000+C1004</f>
        <v>25.634</v>
      </c>
      <c r="D737" s="1114">
        <f t="shared" si="1793"/>
        <v>24.45</v>
      </c>
      <c r="E737" s="1114">
        <f t="shared" si="1793"/>
        <v>23.388999999999999</v>
      </c>
      <c r="F737" s="1114">
        <f t="shared" si="1793"/>
        <v>21.439</v>
      </c>
      <c r="G737" s="27">
        <f t="shared" si="1793"/>
        <v>20.83</v>
      </c>
      <c r="H737" s="27">
        <f t="shared" si="1793"/>
        <v>20.236999999999998</v>
      </c>
      <c r="I737" s="27">
        <f t="shared" si="1793"/>
        <v>19.626999999999999</v>
      </c>
      <c r="J737" s="27">
        <f t="shared" si="1793"/>
        <v>18.998000000000001</v>
      </c>
      <c r="K737" s="1114">
        <f t="shared" si="1793"/>
        <v>18.998000000000001</v>
      </c>
      <c r="L737" s="27">
        <f t="shared" si="1793"/>
        <v>18.332999999999998</v>
      </c>
      <c r="M737" s="27">
        <f t="shared" si="1793"/>
        <v>17.684999999999999</v>
      </c>
      <c r="N737" s="27">
        <f t="shared" si="1793"/>
        <v>17.015000000000001</v>
      </c>
      <c r="O737" s="27">
        <f t="shared" si="1793"/>
        <v>1373.875</v>
      </c>
      <c r="P737" s="1114">
        <f t="shared" si="1793"/>
        <v>1373.875</v>
      </c>
      <c r="Q737" s="27">
        <f t="shared" si="1793"/>
        <v>1379.9590000000001</v>
      </c>
      <c r="R737" s="27">
        <f t="shared" si="1793"/>
        <v>1386.0910000000001</v>
      </c>
      <c r="S737" s="27">
        <f t="shared" si="1793"/>
        <v>1392.2360000000001</v>
      </c>
      <c r="T737" s="27">
        <f t="shared" si="1793"/>
        <v>1398</v>
      </c>
      <c r="U737" s="1114">
        <f t="shared" si="1793"/>
        <v>1398</v>
      </c>
      <c r="V737" s="27">
        <f t="shared" si="1793"/>
        <v>1404</v>
      </c>
      <c r="W737" s="27">
        <f t="shared" si="1793"/>
        <v>1411</v>
      </c>
      <c r="X737" s="27">
        <f t="shared" si="1793"/>
        <v>1417</v>
      </c>
      <c r="Y737" s="27">
        <f t="shared" si="1793"/>
        <v>1510</v>
      </c>
      <c r="Z737" s="1114">
        <f t="shared" si="1793"/>
        <v>1510</v>
      </c>
      <c r="AA737" s="27">
        <f t="shared" si="1793"/>
        <v>1509</v>
      </c>
      <c r="AB737" s="27">
        <f t="shared" si="1793"/>
        <v>1508</v>
      </c>
      <c r="AC737" s="68">
        <f t="shared" si="1793"/>
        <v>3045</v>
      </c>
      <c r="AD737" s="68">
        <f t="shared" si="1793"/>
        <v>2816</v>
      </c>
      <c r="AE737" s="1112">
        <f t="shared" si="1793"/>
        <v>2816</v>
      </c>
      <c r="AF737" s="68">
        <f t="shared" si="1793"/>
        <v>2210</v>
      </c>
      <c r="AG737" s="27">
        <f t="shared" si="1793"/>
        <v>2073</v>
      </c>
      <c r="AH737" s="27">
        <f t="shared" si="1793"/>
        <v>2010</v>
      </c>
      <c r="AI737" s="68">
        <f t="shared" si="1793"/>
        <v>2000</v>
      </c>
      <c r="AJ737" s="1112">
        <f t="shared" si="1793"/>
        <v>2000</v>
      </c>
      <c r="AK737" s="27">
        <f t="shared" si="1793"/>
        <v>2000</v>
      </c>
      <c r="AL737" s="27">
        <f t="shared" si="1793"/>
        <v>2001</v>
      </c>
      <c r="AM737" s="27">
        <f t="shared" si="1793"/>
        <v>1990</v>
      </c>
      <c r="AN737" s="68">
        <f t="shared" si="1793"/>
        <v>1988</v>
      </c>
      <c r="AO737" s="1112">
        <f t="shared" si="1793"/>
        <v>1988</v>
      </c>
      <c r="AP737" s="27">
        <f t="shared" si="1793"/>
        <v>1988</v>
      </c>
      <c r="AQ737" s="27">
        <f t="shared" si="1793"/>
        <v>1989</v>
      </c>
      <c r="AR737" s="27">
        <f t="shared" si="1793"/>
        <v>1990</v>
      </c>
      <c r="AS737" s="68">
        <f t="shared" si="1793"/>
        <v>1991</v>
      </c>
      <c r="AT737" s="1112">
        <f t="shared" si="1793"/>
        <v>1991</v>
      </c>
      <c r="AU737" s="27">
        <f t="shared" si="1793"/>
        <v>6959</v>
      </c>
      <c r="AV737" s="27">
        <f t="shared" si="1793"/>
        <v>6960</v>
      </c>
      <c r="AW737" s="27">
        <f t="shared" ref="AW737:BB737" si="1794">AW996+AW1003+AW1000+AW1004</f>
        <v>6961</v>
      </c>
      <c r="AX737" s="68">
        <f t="shared" si="1794"/>
        <v>6963</v>
      </c>
      <c r="AY737" s="1112">
        <f t="shared" si="1794"/>
        <v>6963</v>
      </c>
      <c r="AZ737" s="27">
        <f t="shared" si="1794"/>
        <v>6963</v>
      </c>
      <c r="BA737" s="27">
        <f t="shared" si="1794"/>
        <v>11943</v>
      </c>
      <c r="BB737" s="27">
        <f t="shared" si="1794"/>
        <v>10944</v>
      </c>
      <c r="BC737" s="68">
        <f>BC996+BC1003+BC1000+BC1004</f>
        <v>10946</v>
      </c>
      <c r="BD737" s="1112">
        <f>BD996+BD1003+BD1000+BD1004</f>
        <v>10946</v>
      </c>
      <c r="BE737" s="27">
        <f>BE996+BE1003+BE1000+BE1004</f>
        <v>10947</v>
      </c>
      <c r="BF737" s="68">
        <f t="shared" ref="BF737" si="1795">BF996+BF1003+BF1000+BF1004</f>
        <v>10949</v>
      </c>
      <c r="BG737" s="27">
        <f t="shared" ref="BG737:BL737" si="1796">BG996+BG1003+BG1000+BG1004</f>
        <v>10950</v>
      </c>
      <c r="BH737" s="68">
        <f t="shared" si="1796"/>
        <v>10953</v>
      </c>
      <c r="BI737" s="1112">
        <f t="shared" si="1796"/>
        <v>10953</v>
      </c>
      <c r="BJ737" s="27">
        <f t="shared" si="1796"/>
        <v>10954</v>
      </c>
      <c r="BK737" s="68">
        <f t="shared" si="1796"/>
        <v>9705</v>
      </c>
      <c r="BL737" s="27">
        <f t="shared" si="1796"/>
        <v>9706</v>
      </c>
      <c r="BM737" s="68">
        <f t="shared" ref="BM737:BS737" si="1797">BM996+BM1003+BM1000+BM1004</f>
        <v>9709</v>
      </c>
      <c r="BN737" s="1112">
        <f t="shared" si="1797"/>
        <v>9709</v>
      </c>
      <c r="BO737" s="27">
        <f t="shared" si="1797"/>
        <v>9710</v>
      </c>
      <c r="BP737" s="68">
        <f t="shared" si="1797"/>
        <v>8461</v>
      </c>
      <c r="BQ737" s="27">
        <f t="shared" si="1797"/>
        <v>8462</v>
      </c>
      <c r="BR737" s="68">
        <f t="shared" si="1797"/>
        <v>8463</v>
      </c>
      <c r="BS737" s="1112">
        <f t="shared" si="1797"/>
        <v>8463</v>
      </c>
      <c r="BT737" s="27">
        <f t="shared" ref="BT737:BY737" si="1798">BT996+BT1003+BT1000+BT1004</f>
        <v>8464</v>
      </c>
      <c r="BU737" s="68">
        <f t="shared" si="1798"/>
        <v>8466</v>
      </c>
      <c r="BV737" s="27">
        <f t="shared" si="1798"/>
        <v>8467</v>
      </c>
      <c r="BW737" s="68">
        <f t="shared" si="1798"/>
        <v>8468</v>
      </c>
      <c r="BX737" s="1112">
        <f t="shared" si="1798"/>
        <v>8468</v>
      </c>
      <c r="BY737" s="508">
        <f t="shared" si="1798"/>
        <v>8470</v>
      </c>
      <c r="BZ737" s="68">
        <f>BY737+BZ717</f>
        <v>8470</v>
      </c>
      <c r="CA737" s="68">
        <f>BZ737+CA717</f>
        <v>8470</v>
      </c>
      <c r="CB737" s="68">
        <f>CA737+CB717</f>
        <v>8470</v>
      </c>
      <c r="CC737" s="1112">
        <f>CC996+CC1003+CC1000+CC1004</f>
        <v>8470</v>
      </c>
      <c r="CD737" s="68">
        <f>CC737+CD717</f>
        <v>8470</v>
      </c>
      <c r="CE737" s="68">
        <f>CD737+CE717</f>
        <v>8470</v>
      </c>
      <c r="CF737" s="68">
        <f>CE737+CF717</f>
        <v>8470</v>
      </c>
      <c r="CG737" s="68">
        <f>CF737+CG717</f>
        <v>8470</v>
      </c>
      <c r="CH737" s="1112">
        <f>CH996+CH1003+CH1000+CH1004</f>
        <v>8470</v>
      </c>
      <c r="CI737" s="1112">
        <f>CH737+CI717</f>
        <v>8470</v>
      </c>
      <c r="CJ737" s="1112">
        <f>CI737+CJ717</f>
        <v>8470</v>
      </c>
      <c r="CK737" s="1112">
        <f>CJ737+CK717</f>
        <v>8470</v>
      </c>
      <c r="CL737" s="155"/>
    </row>
    <row r="738" spans="1:90" x14ac:dyDescent="0.3">
      <c r="A738" s="27" t="s">
        <v>562</v>
      </c>
      <c r="B738" s="146"/>
      <c r="C738" s="1114">
        <f t="shared" ref="C738:AH738" si="1799">C1001+C994</f>
        <v>0</v>
      </c>
      <c r="D738" s="1114">
        <f t="shared" si="1799"/>
        <v>0</v>
      </c>
      <c r="E738" s="1114">
        <f t="shared" si="1799"/>
        <v>0</v>
      </c>
      <c r="F738" s="1114">
        <f t="shared" si="1799"/>
        <v>0</v>
      </c>
      <c r="G738" s="27">
        <f t="shared" si="1799"/>
        <v>0</v>
      </c>
      <c r="H738" s="27">
        <f t="shared" si="1799"/>
        <v>0</v>
      </c>
      <c r="I738" s="27">
        <f t="shared" si="1799"/>
        <v>0</v>
      </c>
      <c r="J738" s="27">
        <f t="shared" si="1799"/>
        <v>0</v>
      </c>
      <c r="K738" s="1114">
        <f t="shared" si="1799"/>
        <v>0</v>
      </c>
      <c r="L738" s="27">
        <f t="shared" si="1799"/>
        <v>0</v>
      </c>
      <c r="M738" s="27">
        <f t="shared" si="1799"/>
        <v>0</v>
      </c>
      <c r="N738" s="27">
        <f t="shared" si="1799"/>
        <v>0</v>
      </c>
      <c r="O738" s="27">
        <f t="shared" si="1799"/>
        <v>0</v>
      </c>
      <c r="P738" s="1114">
        <f t="shared" si="1799"/>
        <v>0</v>
      </c>
      <c r="Q738" s="27">
        <f t="shared" si="1799"/>
        <v>0</v>
      </c>
      <c r="R738" s="27">
        <f t="shared" si="1799"/>
        <v>0</v>
      </c>
      <c r="S738" s="27">
        <f t="shared" si="1799"/>
        <v>0</v>
      </c>
      <c r="T738" s="27">
        <f t="shared" si="1799"/>
        <v>0</v>
      </c>
      <c r="U738" s="1114">
        <f t="shared" si="1799"/>
        <v>0</v>
      </c>
      <c r="V738" s="27">
        <f t="shared" si="1799"/>
        <v>0</v>
      </c>
      <c r="W738" s="27">
        <f t="shared" si="1799"/>
        <v>0</v>
      </c>
      <c r="X738" s="27">
        <f t="shared" si="1799"/>
        <v>0</v>
      </c>
      <c r="Y738" s="27">
        <f t="shared" si="1799"/>
        <v>0</v>
      </c>
      <c r="Z738" s="1114">
        <f t="shared" si="1799"/>
        <v>0</v>
      </c>
      <c r="AA738" s="27">
        <f t="shared" si="1799"/>
        <v>0</v>
      </c>
      <c r="AB738" s="27">
        <f t="shared" si="1799"/>
        <v>0</v>
      </c>
      <c r="AC738" s="68">
        <f t="shared" si="1799"/>
        <v>0</v>
      </c>
      <c r="AD738" s="68">
        <f t="shared" si="1799"/>
        <v>0</v>
      </c>
      <c r="AE738" s="1112">
        <f t="shared" si="1799"/>
        <v>0</v>
      </c>
      <c r="AF738" s="68">
        <f t="shared" si="1799"/>
        <v>0</v>
      </c>
      <c r="AG738" s="27">
        <f t="shared" si="1799"/>
        <v>0</v>
      </c>
      <c r="AH738" s="27">
        <f t="shared" si="1799"/>
        <v>0</v>
      </c>
      <c r="AI738" s="68">
        <f t="shared" ref="AI738:AV738" si="1800">AI1001+AI994</f>
        <v>0</v>
      </c>
      <c r="AJ738" s="1112">
        <f t="shared" si="1800"/>
        <v>0</v>
      </c>
      <c r="AK738" s="27">
        <f t="shared" si="1800"/>
        <v>0</v>
      </c>
      <c r="AL738" s="27">
        <f t="shared" si="1800"/>
        <v>0</v>
      </c>
      <c r="AM738" s="27">
        <f t="shared" si="1800"/>
        <v>0</v>
      </c>
      <c r="AN738" s="68">
        <f t="shared" si="1800"/>
        <v>0</v>
      </c>
      <c r="AO738" s="1112">
        <f t="shared" si="1800"/>
        <v>0</v>
      </c>
      <c r="AP738" s="27">
        <f t="shared" si="1800"/>
        <v>566</v>
      </c>
      <c r="AQ738" s="27">
        <f t="shared" si="1800"/>
        <v>567</v>
      </c>
      <c r="AR738" s="27">
        <f t="shared" si="1800"/>
        <v>558</v>
      </c>
      <c r="AS738" s="68">
        <f t="shared" si="1800"/>
        <v>652</v>
      </c>
      <c r="AT738" s="1112">
        <f t="shared" si="1800"/>
        <v>652</v>
      </c>
      <c r="AU738" s="27">
        <f t="shared" si="1800"/>
        <v>619</v>
      </c>
      <c r="AV738" s="27">
        <f t="shared" si="1800"/>
        <v>735</v>
      </c>
      <c r="AW738" s="27">
        <f t="shared" ref="AW738:BB738" si="1801">AW1001+AW994</f>
        <v>720</v>
      </c>
      <c r="AX738" s="68">
        <f t="shared" si="1801"/>
        <v>755</v>
      </c>
      <c r="AY738" s="1112">
        <f t="shared" si="1801"/>
        <v>755</v>
      </c>
      <c r="AZ738" s="27">
        <f t="shared" si="1801"/>
        <v>775</v>
      </c>
      <c r="BA738" s="27">
        <f t="shared" si="1801"/>
        <v>848</v>
      </c>
      <c r="BB738" s="27">
        <f t="shared" si="1801"/>
        <v>883</v>
      </c>
      <c r="BC738" s="68">
        <f t="shared" ref="BC738:BD738" si="1802">BC1001+BC994</f>
        <v>885</v>
      </c>
      <c r="BD738" s="1112">
        <f t="shared" si="1802"/>
        <v>885</v>
      </c>
      <c r="BE738" s="27">
        <f>BE1001+BE994</f>
        <v>899</v>
      </c>
      <c r="BF738" s="68">
        <f t="shared" ref="BF738" si="1803">BF1001+BF994</f>
        <v>888</v>
      </c>
      <c r="BG738" s="27">
        <f t="shared" ref="BG738:BI738" si="1804">BG1001+BG994</f>
        <v>954</v>
      </c>
      <c r="BH738" s="68">
        <f t="shared" si="1804"/>
        <v>1078</v>
      </c>
      <c r="BI738" s="1112">
        <f t="shared" si="1804"/>
        <v>1078</v>
      </c>
      <c r="BJ738" s="27">
        <f t="shared" ref="BJ738:BN738" si="1805">BJ1001+BJ994</f>
        <v>1126</v>
      </c>
      <c r="BK738" s="68">
        <f t="shared" si="1805"/>
        <v>1249</v>
      </c>
      <c r="BL738" s="27">
        <f t="shared" si="1805"/>
        <v>1321</v>
      </c>
      <c r="BM738" s="68">
        <f t="shared" si="1805"/>
        <v>1347</v>
      </c>
      <c r="BN738" s="1112">
        <f t="shared" si="1805"/>
        <v>1347</v>
      </c>
      <c r="BO738" s="27">
        <f t="shared" ref="BO738:BS738" si="1806">BO1001+BO994</f>
        <v>1527</v>
      </c>
      <c r="BP738" s="68">
        <f t="shared" si="1806"/>
        <v>1554</v>
      </c>
      <c r="BQ738" s="27">
        <f t="shared" si="1806"/>
        <v>1763</v>
      </c>
      <c r="BR738" s="68">
        <f t="shared" si="1806"/>
        <v>1807</v>
      </c>
      <c r="BS738" s="1112">
        <f t="shared" si="1806"/>
        <v>1807</v>
      </c>
      <c r="BT738" s="27">
        <f t="shared" ref="BT738:CK738" si="1807">BT1001+BT994</f>
        <v>1821</v>
      </c>
      <c r="BU738" s="68">
        <f t="shared" si="1807"/>
        <v>2132</v>
      </c>
      <c r="BV738" s="27">
        <f t="shared" si="1807"/>
        <v>2355</v>
      </c>
      <c r="BW738" s="68">
        <f t="shared" si="1807"/>
        <v>2944</v>
      </c>
      <c r="BX738" s="1112">
        <f t="shared" si="1807"/>
        <v>2944</v>
      </c>
      <c r="BY738" s="508">
        <f>BY1001+BY994</f>
        <v>4344</v>
      </c>
      <c r="BZ738" s="68">
        <f t="shared" si="1807"/>
        <v>4344</v>
      </c>
      <c r="CA738" s="68">
        <f t="shared" si="1807"/>
        <v>4344</v>
      </c>
      <c r="CB738" s="68">
        <f t="shared" si="1807"/>
        <v>4344</v>
      </c>
      <c r="CC738" s="1112">
        <f t="shared" si="1807"/>
        <v>4344</v>
      </c>
      <c r="CD738" s="68">
        <f t="shared" si="1807"/>
        <v>4344</v>
      </c>
      <c r="CE738" s="68">
        <f t="shared" si="1807"/>
        <v>4344</v>
      </c>
      <c r="CF738" s="68">
        <f t="shared" si="1807"/>
        <v>4344</v>
      </c>
      <c r="CG738" s="68">
        <f t="shared" si="1807"/>
        <v>4344</v>
      </c>
      <c r="CH738" s="1112">
        <f t="shared" si="1807"/>
        <v>4344</v>
      </c>
      <c r="CI738" s="1112">
        <f t="shared" si="1807"/>
        <v>4344</v>
      </c>
      <c r="CJ738" s="1112">
        <f t="shared" si="1807"/>
        <v>4344</v>
      </c>
      <c r="CK738" s="1112">
        <f t="shared" si="1807"/>
        <v>4344</v>
      </c>
      <c r="CL738" s="155"/>
    </row>
    <row r="739" spans="1:90" x14ac:dyDescent="0.3">
      <c r="A739" s="27" t="s">
        <v>129</v>
      </c>
      <c r="B739" s="146"/>
      <c r="C739" s="1114">
        <f t="shared" ref="C739:AH739" si="1808">C737+C738-C734</f>
        <v>-1229.7559999999999</v>
      </c>
      <c r="D739" s="1114">
        <f t="shared" si="1808"/>
        <v>-1703.777</v>
      </c>
      <c r="E739" s="1114">
        <f t="shared" si="1808"/>
        <v>-2467.174</v>
      </c>
      <c r="F739" s="1114">
        <f t="shared" si="1808"/>
        <v>-3108.1370000000002</v>
      </c>
      <c r="G739" s="27">
        <f t="shared" si="1808"/>
        <v>-3109.982</v>
      </c>
      <c r="H739" s="27">
        <f t="shared" si="1808"/>
        <v>-3257.8629999999998</v>
      </c>
      <c r="I739" s="27">
        <f t="shared" si="1808"/>
        <v>-3415.145</v>
      </c>
      <c r="J739" s="27">
        <f t="shared" si="1808"/>
        <v>-3708.8850000000002</v>
      </c>
      <c r="K739" s="1114">
        <f t="shared" si="1808"/>
        <v>-3708.8850000000002</v>
      </c>
      <c r="L739" s="27">
        <f t="shared" si="1808"/>
        <v>-3695.0179999999996</v>
      </c>
      <c r="M739" s="27">
        <f t="shared" si="1808"/>
        <v>-2918.2080000000001</v>
      </c>
      <c r="N739" s="27">
        <f t="shared" si="1808"/>
        <v>-3015.9389999999999</v>
      </c>
      <c r="O739" s="27">
        <f t="shared" si="1808"/>
        <v>-3297.9349999999995</v>
      </c>
      <c r="P739" s="1114">
        <f t="shared" si="1808"/>
        <v>-3297.9349999999995</v>
      </c>
      <c r="Q739" s="27">
        <f t="shared" si="1808"/>
        <v>-2967.8580000000002</v>
      </c>
      <c r="R739" s="27">
        <f t="shared" si="1808"/>
        <v>-2999.9629999999997</v>
      </c>
      <c r="S739" s="27">
        <f t="shared" si="1808"/>
        <v>-2848.5610000000006</v>
      </c>
      <c r="T739" s="27">
        <f t="shared" si="1808"/>
        <v>-3225</v>
      </c>
      <c r="U739" s="1114">
        <f t="shared" si="1808"/>
        <v>-3225</v>
      </c>
      <c r="V739" s="27">
        <f t="shared" si="1808"/>
        <v>-3388</v>
      </c>
      <c r="W739" s="27">
        <f t="shared" si="1808"/>
        <v>-3094</v>
      </c>
      <c r="X739" s="27">
        <f t="shared" si="1808"/>
        <v>-3311</v>
      </c>
      <c r="Y739" s="27">
        <f t="shared" si="1808"/>
        <v>-3527</v>
      </c>
      <c r="Z739" s="1114">
        <f t="shared" si="1808"/>
        <v>-3527</v>
      </c>
      <c r="AA739" s="27">
        <f t="shared" si="1808"/>
        <v>-3245</v>
      </c>
      <c r="AB739" s="27">
        <f t="shared" si="1808"/>
        <v>-3371</v>
      </c>
      <c r="AC739" s="68">
        <f t="shared" si="1808"/>
        <v>-3626</v>
      </c>
      <c r="AD739" s="68">
        <f t="shared" si="1808"/>
        <v>-3982</v>
      </c>
      <c r="AE739" s="1112">
        <f t="shared" si="1808"/>
        <v>-3982</v>
      </c>
      <c r="AF739" s="68">
        <f t="shared" si="1808"/>
        <v>-3996</v>
      </c>
      <c r="AG739" s="27">
        <f t="shared" si="1808"/>
        <v>-3804</v>
      </c>
      <c r="AH739" s="27">
        <f t="shared" si="1808"/>
        <v>-4310</v>
      </c>
      <c r="AI739" s="68">
        <f t="shared" ref="AI739:AV739" si="1809">AI737+AI738-AI734</f>
        <v>-5108</v>
      </c>
      <c r="AJ739" s="1112">
        <f t="shared" si="1809"/>
        <v>-5108</v>
      </c>
      <c r="AK739" s="27">
        <f t="shared" si="1809"/>
        <v>-5300</v>
      </c>
      <c r="AL739" s="27">
        <f t="shared" si="1809"/>
        <v>-5942</v>
      </c>
      <c r="AM739" s="27">
        <f t="shared" si="1809"/>
        <v>-5601</v>
      </c>
      <c r="AN739" s="68">
        <f t="shared" si="1809"/>
        <v>-5434</v>
      </c>
      <c r="AO739" s="1112">
        <f t="shared" si="1809"/>
        <v>-5434</v>
      </c>
      <c r="AP739" s="27">
        <f t="shared" si="1809"/>
        <v>-5248</v>
      </c>
      <c r="AQ739" s="27">
        <f t="shared" si="1809"/>
        <v>-5919</v>
      </c>
      <c r="AR739" s="27">
        <f t="shared" si="1809"/>
        <v>-7221</v>
      </c>
      <c r="AS739" s="68">
        <f t="shared" si="1809"/>
        <v>-8254</v>
      </c>
      <c r="AT739" s="1112">
        <f t="shared" si="1809"/>
        <v>-8254</v>
      </c>
      <c r="AU739" s="27">
        <f t="shared" si="1809"/>
        <v>-8776</v>
      </c>
      <c r="AV739" s="27">
        <f t="shared" si="1809"/>
        <v>-3286</v>
      </c>
      <c r="AW739" s="27">
        <f t="shared" ref="AW739:BB739" si="1810">AW737+AW738-AW734</f>
        <v>-2458</v>
      </c>
      <c r="AX739" s="68">
        <f t="shared" si="1810"/>
        <v>-3843</v>
      </c>
      <c r="AY739" s="1112">
        <f t="shared" si="1810"/>
        <v>-3843</v>
      </c>
      <c r="AZ739" s="27">
        <f t="shared" si="1810"/>
        <v>-4929</v>
      </c>
      <c r="BA739" s="27">
        <f t="shared" si="1810"/>
        <v>-6863</v>
      </c>
      <c r="BB739" s="27">
        <f t="shared" si="1810"/>
        <v>-7471</v>
      </c>
      <c r="BC739" s="68">
        <f t="shared" ref="BC739:BD739" si="1811">BC737+BC738-BC734</f>
        <v>-9377</v>
      </c>
      <c r="BD739" s="1112">
        <f t="shared" si="1811"/>
        <v>-9377</v>
      </c>
      <c r="BE739" s="27">
        <f>BE737+BE738-BE734</f>
        <v>-8492</v>
      </c>
      <c r="BF739" s="68">
        <f t="shared" ref="BF739" si="1812">BF737+BF738-BF734</f>
        <v>-5200</v>
      </c>
      <c r="BG739" s="27">
        <f t="shared" ref="BG739:BI739" si="1813">BG737+BG738-BG734</f>
        <v>-1239</v>
      </c>
      <c r="BH739" s="68">
        <f t="shared" si="1813"/>
        <v>-1265</v>
      </c>
      <c r="BI739" s="1112">
        <f t="shared" si="1813"/>
        <v>-1265</v>
      </c>
      <c r="BJ739" s="27">
        <f t="shared" ref="BJ739:BN739" si="1814">BJ737+BJ738-BJ734</f>
        <v>-3240</v>
      </c>
      <c r="BK739" s="68">
        <f t="shared" si="1814"/>
        <v>-5069</v>
      </c>
      <c r="BL739" s="27">
        <f t="shared" si="1814"/>
        <v>-7254</v>
      </c>
      <c r="BM739" s="68">
        <f t="shared" si="1814"/>
        <v>-14928</v>
      </c>
      <c r="BN739" s="1112">
        <f t="shared" si="1814"/>
        <v>-14928</v>
      </c>
      <c r="BO739" s="27">
        <f t="shared" ref="BO739:BS739" si="1815">BO737+BO738-BO734</f>
        <v>-20201</v>
      </c>
      <c r="BP739" s="68">
        <f t="shared" si="1815"/>
        <v>-24785</v>
      </c>
      <c r="BQ739" s="27">
        <f t="shared" si="1815"/>
        <v>-28262</v>
      </c>
      <c r="BR739" s="68">
        <f t="shared" si="1815"/>
        <v>-32940</v>
      </c>
      <c r="BS739" s="1112">
        <f t="shared" si="1815"/>
        <v>-32940</v>
      </c>
      <c r="BT739" s="27">
        <f t="shared" ref="BT739:CK739" si="1816">BT737+BT738-BT734</f>
        <v>-43406</v>
      </c>
      <c r="BU739" s="68">
        <f t="shared" si="1816"/>
        <v>-46193</v>
      </c>
      <c r="BV739" s="27">
        <f t="shared" si="1816"/>
        <v>-49786</v>
      </c>
      <c r="BW739" s="68">
        <f t="shared" si="1816"/>
        <v>-51144</v>
      </c>
      <c r="BX739" s="1112">
        <f t="shared" si="1816"/>
        <v>-51144</v>
      </c>
      <c r="BY739" s="508">
        <f>BY737+BY738-BY734</f>
        <v>-67758</v>
      </c>
      <c r="BZ739" s="68">
        <f t="shared" si="1816"/>
        <v>-103581.31468233501</v>
      </c>
      <c r="CA739" s="68">
        <f t="shared" si="1816"/>
        <v>-135303.22705731812</v>
      </c>
      <c r="CB739" s="68">
        <f t="shared" si="1816"/>
        <v>-185320.1235826051</v>
      </c>
      <c r="CC739" s="1112">
        <f t="shared" si="1816"/>
        <v>-185320.1235826051</v>
      </c>
      <c r="CD739" s="68">
        <f t="shared" si="1816"/>
        <v>-249873.14632876753</v>
      </c>
      <c r="CE739" s="68">
        <f t="shared" si="1816"/>
        <v>-303249.56395822798</v>
      </c>
      <c r="CF739" s="68">
        <f t="shared" si="1816"/>
        <v>-347629.52571381885</v>
      </c>
      <c r="CG739" s="68">
        <f t="shared" si="1816"/>
        <v>-414608.13414168917</v>
      </c>
      <c r="CH739" s="1112">
        <f t="shared" si="1816"/>
        <v>-414608.13414168917</v>
      </c>
      <c r="CI739" s="1112">
        <f t="shared" si="1816"/>
        <v>-702220.25075622206</v>
      </c>
      <c r="CJ739" s="1112">
        <f t="shared" si="1816"/>
        <v>-1052206.2428366775</v>
      </c>
      <c r="CK739" s="1112">
        <f t="shared" si="1816"/>
        <v>-1475080.0785187618</v>
      </c>
      <c r="CL739" s="155"/>
    </row>
    <row r="740" spans="1:90" x14ac:dyDescent="0.3">
      <c r="A740" s="68"/>
      <c r="B740" s="146"/>
      <c r="C740" s="1112"/>
      <c r="D740" s="1112"/>
      <c r="E740" s="1112"/>
      <c r="F740" s="1112"/>
      <c r="G740" s="68"/>
      <c r="H740" s="68"/>
      <c r="I740" s="68"/>
      <c r="J740" s="68"/>
      <c r="K740" s="1112"/>
      <c r="L740" s="68"/>
      <c r="M740" s="68"/>
      <c r="N740" s="68"/>
      <c r="O740" s="68"/>
      <c r="P740" s="1112"/>
      <c r="Q740" s="68"/>
      <c r="R740" s="68"/>
      <c r="S740" s="68"/>
      <c r="T740" s="68"/>
      <c r="U740" s="1112"/>
      <c r="V740" s="68"/>
      <c r="W740" s="68"/>
      <c r="X740" s="68"/>
      <c r="Y740" s="68"/>
      <c r="Z740" s="1112"/>
      <c r="AA740" s="68"/>
      <c r="AB740" s="68"/>
      <c r="AC740" s="68"/>
      <c r="AD740" s="68"/>
      <c r="AE740" s="1112"/>
      <c r="AF740" s="68"/>
      <c r="AG740" s="68"/>
      <c r="AH740" s="68"/>
      <c r="AI740" s="68"/>
      <c r="AJ740" s="1112"/>
      <c r="AK740" s="68"/>
      <c r="AL740" s="68"/>
      <c r="AM740" s="68"/>
      <c r="AN740" s="68"/>
      <c r="AO740" s="1112"/>
      <c r="AP740" s="68"/>
      <c r="AQ740" s="68"/>
      <c r="AR740" s="68"/>
      <c r="AS740" s="68"/>
      <c r="AT740" s="1112"/>
      <c r="AU740" s="68"/>
      <c r="AV740" s="68"/>
      <c r="AW740" s="68"/>
      <c r="AX740" s="68"/>
      <c r="AY740" s="1112"/>
      <c r="AZ740" s="68"/>
      <c r="BA740" s="68"/>
      <c r="BB740" s="68"/>
      <c r="BC740" s="68"/>
      <c r="BD740" s="1112"/>
      <c r="BE740" s="68"/>
      <c r="BF740" s="68"/>
      <c r="BG740" s="68"/>
      <c r="BH740" s="68"/>
      <c r="BI740" s="1112"/>
      <c r="BJ740" s="68"/>
      <c r="BK740" s="68"/>
      <c r="BL740" s="68"/>
      <c r="BM740" s="68"/>
      <c r="BN740" s="1112"/>
      <c r="BO740" s="68"/>
      <c r="BP740" s="68"/>
      <c r="BQ740" s="68"/>
      <c r="BR740" s="68"/>
      <c r="BS740" s="1112"/>
      <c r="BT740" s="68"/>
      <c r="BU740" s="68"/>
      <c r="BV740" s="68"/>
      <c r="BW740" s="68"/>
      <c r="BX740" s="1112"/>
      <c r="BY740" s="588"/>
      <c r="BZ740" s="68"/>
      <c r="CA740" s="68"/>
      <c r="CB740" s="68"/>
      <c r="CC740" s="1112"/>
      <c r="CD740" s="68"/>
      <c r="CE740" s="68"/>
      <c r="CF740" s="68"/>
      <c r="CG740" s="68"/>
      <c r="CH740" s="1112"/>
      <c r="CI740" s="1112"/>
      <c r="CJ740" s="1112"/>
      <c r="CK740" s="1112"/>
      <c r="CL740" s="155"/>
    </row>
    <row r="741" spans="1:90" x14ac:dyDescent="0.3">
      <c r="A741" s="27" t="s">
        <v>588</v>
      </c>
      <c r="B741" s="146"/>
      <c r="C741" s="1212">
        <f t="shared" ref="C741:AH741" si="1817">C403</f>
        <v>0.40600000000000003</v>
      </c>
      <c r="D741" s="1212">
        <f t="shared" si="1817"/>
        <v>3.32</v>
      </c>
      <c r="E741" s="1212">
        <f t="shared" si="1817"/>
        <v>3.1269999999999998</v>
      </c>
      <c r="F741" s="1212">
        <f t="shared" si="1817"/>
        <v>3.089</v>
      </c>
      <c r="G741" s="1028">
        <f t="shared" si="1817"/>
        <v>0.92900000000000005</v>
      </c>
      <c r="H741" s="1028">
        <f t="shared" si="1817"/>
        <v>-0.26900000000000002</v>
      </c>
      <c r="I741" s="1028">
        <f t="shared" si="1817"/>
        <v>3.29</v>
      </c>
      <c r="J741" s="1028">
        <f t="shared" si="1817"/>
        <v>-0.65599999999999969</v>
      </c>
      <c r="K741" s="1212">
        <f t="shared" si="1817"/>
        <v>3.294</v>
      </c>
      <c r="L741" s="1028">
        <f t="shared" si="1817"/>
        <v>-0.20499999999999999</v>
      </c>
      <c r="M741" s="1028">
        <f t="shared" si="1817"/>
        <v>-2.4209999999999998</v>
      </c>
      <c r="N741" s="1028">
        <f t="shared" si="1817"/>
        <v>3.5259999999999998</v>
      </c>
      <c r="O741" s="1028">
        <f t="shared" si="1817"/>
        <v>9.5429999999999993</v>
      </c>
      <c r="P741" s="1212">
        <f t="shared" si="1817"/>
        <v>10.443</v>
      </c>
      <c r="Q741" s="1028">
        <f t="shared" si="1817"/>
        <v>11</v>
      </c>
      <c r="R741" s="1028">
        <f t="shared" si="1817"/>
        <v>12</v>
      </c>
      <c r="S741" s="1028">
        <f t="shared" si="1817"/>
        <v>11</v>
      </c>
      <c r="T741" s="1028">
        <f t="shared" si="1817"/>
        <v>12</v>
      </c>
      <c r="U741" s="1212">
        <f t="shared" si="1817"/>
        <v>46</v>
      </c>
      <c r="V741" s="1028">
        <f t="shared" si="1817"/>
        <v>12</v>
      </c>
      <c r="W741" s="1028">
        <f t="shared" si="1817"/>
        <v>12</v>
      </c>
      <c r="X741" s="1028">
        <f t="shared" si="1817"/>
        <v>12</v>
      </c>
      <c r="Y741" s="1028">
        <f t="shared" si="1817"/>
        <v>12</v>
      </c>
      <c r="Z741" s="1212">
        <f t="shared" si="1817"/>
        <v>47</v>
      </c>
      <c r="AA741" s="1028">
        <f t="shared" si="1817"/>
        <v>12</v>
      </c>
      <c r="AB741" s="1028">
        <f t="shared" si="1817"/>
        <v>12</v>
      </c>
      <c r="AC741" s="563">
        <f t="shared" si="1817"/>
        <v>16</v>
      </c>
      <c r="AD741" s="563">
        <f t="shared" si="1817"/>
        <v>18</v>
      </c>
      <c r="AE741" s="1153">
        <f t="shared" si="1817"/>
        <v>58</v>
      </c>
      <c r="AF741" s="563">
        <f t="shared" si="1817"/>
        <v>16</v>
      </c>
      <c r="AG741" s="1028">
        <f t="shared" si="1817"/>
        <v>15</v>
      </c>
      <c r="AH741" s="1028">
        <f t="shared" si="1817"/>
        <v>15</v>
      </c>
      <c r="AI741" s="563">
        <f t="shared" ref="AI741:BI741" si="1818">AI403</f>
        <v>15</v>
      </c>
      <c r="AJ741" s="1153">
        <f t="shared" si="1818"/>
        <v>61</v>
      </c>
      <c r="AK741" s="1028">
        <f t="shared" si="1818"/>
        <v>15</v>
      </c>
      <c r="AL741" s="1028">
        <f t="shared" si="1818"/>
        <v>14</v>
      </c>
      <c r="AM741" s="1028">
        <f t="shared" si="1818"/>
        <v>15</v>
      </c>
      <c r="AN741" s="563">
        <f t="shared" si="1818"/>
        <v>14</v>
      </c>
      <c r="AO741" s="1153">
        <f t="shared" si="1818"/>
        <v>58</v>
      </c>
      <c r="AP741" s="1028">
        <f t="shared" si="1818"/>
        <v>13</v>
      </c>
      <c r="AQ741" s="1028">
        <f t="shared" si="1818"/>
        <v>13</v>
      </c>
      <c r="AR741" s="1028">
        <f t="shared" si="1818"/>
        <v>13</v>
      </c>
      <c r="AS741" s="563">
        <f t="shared" si="1818"/>
        <v>12</v>
      </c>
      <c r="AT741" s="1153">
        <f t="shared" si="1818"/>
        <v>52</v>
      </c>
      <c r="AU741" s="1028">
        <f t="shared" si="1818"/>
        <v>25</v>
      </c>
      <c r="AV741" s="1028">
        <f t="shared" si="1818"/>
        <v>54</v>
      </c>
      <c r="AW741" s="1028">
        <f t="shared" si="1818"/>
        <v>53</v>
      </c>
      <c r="AX741" s="563">
        <f t="shared" si="1818"/>
        <v>53</v>
      </c>
      <c r="AY741" s="1153">
        <f t="shared" si="1818"/>
        <v>184</v>
      </c>
      <c r="AZ741" s="1028">
        <f t="shared" si="1818"/>
        <v>53</v>
      </c>
      <c r="BA741" s="1028">
        <f t="shared" si="1818"/>
        <v>60</v>
      </c>
      <c r="BB741" s="1028">
        <f t="shared" si="1818"/>
        <v>62</v>
      </c>
      <c r="BC741" s="563">
        <f t="shared" si="1818"/>
        <v>61</v>
      </c>
      <c r="BD741" s="1153">
        <f t="shared" si="1818"/>
        <v>236</v>
      </c>
      <c r="BE741" s="1028">
        <f t="shared" si="1818"/>
        <v>68</v>
      </c>
      <c r="BF741" s="1028">
        <f t="shared" si="1818"/>
        <v>65</v>
      </c>
      <c r="BG741" s="1028">
        <f t="shared" si="1818"/>
        <v>65</v>
      </c>
      <c r="BH741" s="563">
        <f t="shared" si="1818"/>
        <v>65</v>
      </c>
      <c r="BI741" s="1153">
        <f t="shared" si="1818"/>
        <v>262</v>
      </c>
      <c r="BJ741" s="1028">
        <f t="shared" ref="BJ741:BO741" si="1819">BJ403</f>
        <v>66</v>
      </c>
      <c r="BK741" s="1028">
        <f t="shared" si="1819"/>
        <v>65</v>
      </c>
      <c r="BL741" s="1028">
        <f t="shared" si="1819"/>
        <v>63</v>
      </c>
      <c r="BM741" s="563">
        <f t="shared" si="1819"/>
        <v>63</v>
      </c>
      <c r="BN741" s="1153">
        <f t="shared" si="1819"/>
        <v>257</v>
      </c>
      <c r="BO741" s="1028">
        <f t="shared" si="1819"/>
        <v>64</v>
      </c>
      <c r="BP741" s="1028">
        <f t="shared" ref="BP741:BU741" si="1820">BP403</f>
        <v>61</v>
      </c>
      <c r="BQ741" s="1028">
        <f t="shared" si="1820"/>
        <v>61</v>
      </c>
      <c r="BR741" s="563">
        <f t="shared" si="1820"/>
        <v>61</v>
      </c>
      <c r="BS741" s="1153">
        <f t="shared" si="1820"/>
        <v>247</v>
      </c>
      <c r="BT741" s="1028">
        <f t="shared" si="1820"/>
        <v>63</v>
      </c>
      <c r="BU741" s="1028">
        <f t="shared" si="1820"/>
        <v>62</v>
      </c>
      <c r="BV741" s="1028">
        <f>BV403</f>
        <v>61</v>
      </c>
      <c r="BW741" s="563">
        <f>BW403</f>
        <v>74</v>
      </c>
      <c r="BX741" s="1153">
        <f>BX403</f>
        <v>259</v>
      </c>
      <c r="BY741" s="937">
        <f>BY403</f>
        <v>102</v>
      </c>
      <c r="BZ741" s="563">
        <f>MAX(0,BZ742*AVERAGE(BY737,BZ737)*BZ3/CC3)</f>
        <v>51.938679245283019</v>
      </c>
      <c r="CA741" s="563">
        <f>MAX(0,CA742*AVERAGE(BZ737,CA737)*CA3/CC3)</f>
        <v>52.509433962264154</v>
      </c>
      <c r="CB741" s="563">
        <f>MAX(0,CB742*AVERAGE(CA737,CB737)*CB3/CC3)</f>
        <v>55.363207547169814</v>
      </c>
      <c r="CC741" s="1153">
        <f>IF(OR(ISBLANK(BY741),ISBLANK(BZ741),ISBLANK(CA741),ISBLANK(CB741)),"n/a",SUM(BY741,BZ741,CA741,CB741))</f>
        <v>261.81132075471697</v>
      </c>
      <c r="CD741" s="563">
        <f>MAX(0,CD742*AVERAGE(CC737,CD737)*CD3/CH3)</f>
        <v>51.63219178082192</v>
      </c>
      <c r="CE741" s="563">
        <f>MAX(0,CE742*AVERAGE(CD737,CE737)*CE3/CH3)</f>
        <v>52.792465753424658</v>
      </c>
      <c r="CF741" s="563">
        <f>MAX(0,CF742*AVERAGE(CE737,CF737)*CF3/CH3)</f>
        <v>53.372602739726027</v>
      </c>
      <c r="CG741" s="563">
        <f>MAX(0,CG742*AVERAGE(CF737,CG737)*CG3/CH3)</f>
        <v>53.952739726027396</v>
      </c>
      <c r="CH741" s="1153">
        <f>IF(OR(ISBLANK(CD741),ISBLANK(CE741),ISBLANK(CF741),ISBLANK(CG741)),"n/a",SUM(CD741,CE741,CF741,CG741))</f>
        <v>211.75</v>
      </c>
      <c r="CI741" s="1153">
        <f>MAX(0,CI742*AVERAGE(CH737,CI737))</f>
        <v>169.4</v>
      </c>
      <c r="CJ741" s="1153">
        <f>MAX(0,CJ742*AVERAGE(CI737,CJ737))</f>
        <v>169.4</v>
      </c>
      <c r="CK741" s="1153">
        <f>MAX(0,CK742*AVERAGE(CJ737,CK737))</f>
        <v>169.4</v>
      </c>
      <c r="CL741" s="155"/>
    </row>
    <row r="742" spans="1:90" x14ac:dyDescent="0.3">
      <c r="A742" s="25" t="s">
        <v>589</v>
      </c>
      <c r="B742" s="283"/>
      <c r="C742" s="1213"/>
      <c r="D742" s="1214">
        <f>IFERROR(D741/AVERAGE(C737,D737),"n/a")</f>
        <v>0.13257727018608736</v>
      </c>
      <c r="E742" s="1214">
        <f>IFERROR(E741/AVERAGE(D737,E737),"n/a")</f>
        <v>0.13073015740295574</v>
      </c>
      <c r="F742" s="1214">
        <f>IFERROR(F741/AVERAGE(E737,F737),"n/a")</f>
        <v>0.13781565093245293</v>
      </c>
      <c r="G742" s="23">
        <f>IFERROR(G741/AVERAGE(F737,G737)*K3/G3,"n/a")</f>
        <v>0.1758262556483475</v>
      </c>
      <c r="H742" s="23">
        <f>IFERROR(H741/AVERAGE(G737,H737)*K3/H3,"n/a")</f>
        <v>-5.2402172060291734E-2</v>
      </c>
      <c r="I742" s="23">
        <f>IFERROR(I741/AVERAGE(H737,I737)*K3/I3,"n/a")</f>
        <v>0.660244832430263</v>
      </c>
      <c r="J742" s="23">
        <f>IFERROR(J741/AVERAGE(I737,J737)*K3/J3,"n/a")</f>
        <v>-0.13587055016181224</v>
      </c>
      <c r="K742" s="1214">
        <f>IFERROR(K741/AVERAGE(G737,H737,I737,J737),"n/a")</f>
        <v>0.16533654570094866</v>
      </c>
      <c r="L742" s="23">
        <f>IFERROR(L741/AVERAGE(K737,L737)*P3/L3,"n/a")</f>
        <v>-4.3931317135892413E-2</v>
      </c>
      <c r="M742" s="23">
        <f>IFERROR(M741/AVERAGE(L737,M737)*P3/M3,"n/a")</f>
        <v>-0.53773113443278353</v>
      </c>
      <c r="N742" s="23">
        <f>IFERROR(N741/AVERAGE(M737,N737)*P3/N3,"n/a")</f>
        <v>0.81291066282420754</v>
      </c>
      <c r="O742" s="23">
        <f>IFERROR(O741/AVERAGE(N737,O737)*P3/O3,"n/a")</f>
        <v>5.4888596510148165E-2</v>
      </c>
      <c r="P742" s="1214">
        <f>IFERROR(P741/AVERAGE(L737,M737,N737,O737),"n/a")</f>
        <v>2.9274487212910715E-2</v>
      </c>
      <c r="Q742" s="23">
        <f>IFERROR(Q741/AVERAGE(P737,Q737)*U3/Q3,"n/a")</f>
        <v>3.1955448294995269E-2</v>
      </c>
      <c r="R742" s="23">
        <f>IFERROR(R741/AVERAGE(Q737,R737)*U3/R3,"n/a")</f>
        <v>3.4706530973771257E-2</v>
      </c>
      <c r="S742" s="23">
        <f>IFERROR(S741/AVERAGE(R737,S737)*U3/S3,"n/a")</f>
        <v>3.16737374686277E-2</v>
      </c>
      <c r="T742" s="23">
        <f>IFERROR(T741/AVERAGE(S737,T737)*U3/T3,"n/a")</f>
        <v>3.4405691848288102E-2</v>
      </c>
      <c r="U742" s="1214">
        <f>IFERROR(U741/AVERAGE(Q737,R737,S737,T737),"n/a")</f>
        <v>3.3115645954869856E-2</v>
      </c>
      <c r="V742" s="23">
        <f>IFERROR(V741/AVERAGE(U737,V737)*Z3/V3,"n/a")</f>
        <v>3.4920112007906443E-2</v>
      </c>
      <c r="W742" s="23">
        <f>IFERROR(W741/AVERAGE(V737,W737)*Z3/W3,"n/a")</f>
        <v>3.4758846836999591E-2</v>
      </c>
      <c r="X742" s="23">
        <f>IFERROR(X741/AVERAGE(W737,X737)*Z3/X3,"n/a")</f>
        <v>3.4599064302034598E-2</v>
      </c>
      <c r="Y742" s="23">
        <f>IFERROR(Y741/AVERAGE(X737,Y737)*Z3/Y3,"n/a")</f>
        <v>3.1041046415149598E-2</v>
      </c>
      <c r="Z742" s="1214">
        <f>IFERROR(Z741/AVERAGE(V737,W737,X737,Y737),"n/a")</f>
        <v>3.274120515499826E-2</v>
      </c>
      <c r="AA742" s="23">
        <f>IFERROR(AA741/AVERAGE(Z737,AA737)*AE3/AA3,"n/a")</f>
        <v>3.1798608810864527E-2</v>
      </c>
      <c r="AB742" s="23">
        <f>IFERROR(AB741/AVERAGE(AA737,AB737)*AE3/AB3,"n/a")</f>
        <v>3.1819688432217434E-2</v>
      </c>
      <c r="AC742" s="86">
        <f>IFERROR(AC741/AVERAGE(AB737,AC737)*AE3/AC3,"n/a")</f>
        <v>2.8113331869097299E-2</v>
      </c>
      <c r="AD742" s="86">
        <f>IFERROR(AD741/AVERAGE(AC737,AD737)*AE3/AD3,"n/a")</f>
        <v>2.4569186145708924E-2</v>
      </c>
      <c r="AE742" s="1213">
        <f>IFERROR(AE741/AVERAGE(AA737,AB737,AC737,AD737),"n/a")</f>
        <v>2.6132011714350079E-2</v>
      </c>
      <c r="AF742" s="86">
        <f>IFERROR(AF741/AVERAGE(AE737,AF737)*AJ3/AF3,"n/a")</f>
        <v>2.5467568643056108E-2</v>
      </c>
      <c r="AG742" s="23">
        <f>IFERROR(AG741/AVERAGE(AF737,AG737)*AJ3/AG3,"n/a")</f>
        <v>2.8017744571561989E-2</v>
      </c>
      <c r="AH742" s="23">
        <f>IFERROR(AH741/AVERAGE(AG737,AH737)*AJ3/AH3,"n/a")</f>
        <v>2.9390154298310066E-2</v>
      </c>
      <c r="AI742" s="86">
        <f>IFERROR(AI741/AVERAGE(AH737,AI737)*AJ3/AI3,"n/a")</f>
        <v>2.9925187032418952E-2</v>
      </c>
      <c r="AJ742" s="1213">
        <f>IFERROR(AJ741/AVERAGE(AF737,AG737,AH737,AI737),"n/a")</f>
        <v>2.942240443747739E-2</v>
      </c>
      <c r="AK742" s="23">
        <f>IFERROR(AK741/AVERAGE(AJ737,AK737)*AO3/AK3,"n/a")</f>
        <v>0.03</v>
      </c>
      <c r="AL742" s="23">
        <f>IFERROR(AL741/AVERAGE(AK737,AL737)*AO3/AL3,"n/a")</f>
        <v>2.7993001749562606E-2</v>
      </c>
      <c r="AM742" s="23">
        <f>IFERROR(AM741/AVERAGE(AL737,AM737)*AO3/AM3,"n/a")</f>
        <v>3.006765221748935E-2</v>
      </c>
      <c r="AN742" s="86">
        <f>IFERROR(AN741/AVERAGE(AM737,AN737)*AO3/AN3,"n/a")</f>
        <v>2.8154851684263453E-2</v>
      </c>
      <c r="AO742" s="1213">
        <f>IFERROR(AO741/AVERAGE(AK737,AL737,AM737,AN737),"n/a")</f>
        <v>2.9076325354054394E-2</v>
      </c>
      <c r="AP742" s="23">
        <f>IFERROR(AP741/AVERAGE(AO737,AP737)*AT3/AP3,"n/a")</f>
        <v>2.6156941649899394E-2</v>
      </c>
      <c r="AQ742" s="23">
        <f>IFERROR(AQ741/AVERAGE(AP737,AQ737)*AT3/AQ3,"n/a")</f>
        <v>2.6150364596429471E-2</v>
      </c>
      <c r="AR742" s="23">
        <f>IFERROR(AR741/AVERAGE(AQ737,AR737)*AT3/AR3,"n/a")</f>
        <v>2.6137220407137469E-2</v>
      </c>
      <c r="AS742" s="86">
        <f>IFERROR(AS741/AVERAGE(AR737,AS737)*AT3/AS3,"n/a")</f>
        <v>2.4114544084400905E-2</v>
      </c>
      <c r="AT742" s="1213">
        <f>IFERROR(AT741/AVERAGE(AP737,AQ737,AR737,AS737),"n/a")</f>
        <v>2.6137220407137472E-2</v>
      </c>
      <c r="AU742" s="23">
        <f>IFERROR(AU741/AVERAGE(AT737,AU737)*AY3/AU3,"n/a")</f>
        <v>2.2776106574989258E-2</v>
      </c>
      <c r="AV742" s="23">
        <f>IFERROR(AV741/AVERAGE(AU737,AV737)*AY3/AV3,"n/a")</f>
        <v>3.1633572261490932E-2</v>
      </c>
      <c r="AW742" s="23">
        <f>IFERROR(AW741/AVERAGE(AV737,AW737)*AY3/AW3,"n/a")</f>
        <v>3.1043304802373835E-2</v>
      </c>
      <c r="AX742" s="86">
        <f>IFERROR(AX741/AVERAGE(AW737,AX737)*AY3/AX3,"n/a")</f>
        <v>2.8819715188574711E-2</v>
      </c>
      <c r="AY742" s="1213">
        <f>IFERROR(AY741/AVERAGE(AU737,AV737,AW737,AX737),"n/a")</f>
        <v>2.6433933125022447E-2</v>
      </c>
      <c r="AZ742" s="23">
        <f>IFERROR(AZ741/AVERAGE(AY737,AZ737)*BD3/AZ3,"n/a")</f>
        <v>3.0446646560390637E-2</v>
      </c>
      <c r="BA742" s="23">
        <f>IFERROR(BA741/AVERAGE(AZ737,BA737)*BD3/BA3,"n/a")</f>
        <v>2.5388765471278957E-2</v>
      </c>
      <c r="BB742" s="23">
        <f>IFERROR(BB741/AVERAGE(BA737,BB737)*BD3/BB3,"n/a")</f>
        <v>2.167169135316992E-2</v>
      </c>
      <c r="BC742" s="86">
        <f>IFERROR(BC741/AVERAGE(BB737,BC737)*BD3/BC3,"n/a")</f>
        <v>2.2293284604842391E-2</v>
      </c>
      <c r="BD742" s="1213">
        <f>IFERROR(BD741/AVERAGE(AZ737,BA737,BB737,BC737),"n/a")</f>
        <v>2.3139523482694383E-2</v>
      </c>
      <c r="BE742" s="23">
        <f>IFERROR(BE741/AVERAGE(BD737,BE737)*BI3/BE3,"n/a")</f>
        <v>2.4848124971452064E-2</v>
      </c>
      <c r="BF742" s="23">
        <f>IFERROR(BF741/AVERAGE(BE737,BF737)*BI3/BF3,"n/a")</f>
        <v>2.3748629886737302E-2</v>
      </c>
      <c r="BG742" s="23">
        <f>IFERROR(BG741/AVERAGE(BF737,BG737)*BI3/BG3,"n/a")</f>
        <v>2.37453765012101E-2</v>
      </c>
      <c r="BH742" s="86">
        <f>IFERROR(BH741/AVERAGE(BG737,BH737)*BI3/BH3,"n/a")</f>
        <v>2.3741040040177141E-2</v>
      </c>
      <c r="BI742" s="1213">
        <f>IFERROR(BI741/AVERAGE(BE737,BF737,BG737,BH737),"n/a")</f>
        <v>2.3927486928925316E-2</v>
      </c>
      <c r="BJ742" s="23">
        <f>IFERROR(BJ741/AVERAGE(BI737,BJ737)*BN3/BJ3,"n/a")</f>
        <v>2.4101885242160035E-2</v>
      </c>
      <c r="BK742" s="23">
        <f>IFERROR(BK741/AVERAGE(BJ737,BK737)*BN3/BK3,"n/a")</f>
        <v>2.5170627813543737E-2</v>
      </c>
      <c r="BL742" s="23">
        <f>IFERROR(BL741/AVERAGE(BK737,BL737)*BN3/BL3,"n/a")</f>
        <v>2.5964659213847815E-2</v>
      </c>
      <c r="BM742" s="86">
        <f>IFERROR(BM741/AVERAGE(BL737,BM737)*BN3/BM3,"n/a")</f>
        <v>2.5959309812001029E-2</v>
      </c>
      <c r="BN742" s="1213">
        <f>IFERROR(BN741/AVERAGE(BJ737,BK737,BL737,BM737),"n/a")</f>
        <v>2.565254279582772E-2</v>
      </c>
      <c r="BO742" s="23">
        <f>IFERROR(BO741/AVERAGE(BN737,BO737)*BS3/BO3,"n/a")</f>
        <v>2.6365930274473454E-2</v>
      </c>
      <c r="BP742" s="23">
        <f>IFERROR(BP741/AVERAGE(BO737,BP737)*BS3/BP3,"n/a")</f>
        <v>2.6855979307688075E-2</v>
      </c>
      <c r="BQ742" s="23">
        <f>IFERROR(BQ741/AVERAGE(BP737,BQ737)*BS3/BQ3,"n/a")</f>
        <v>2.8836494711339596E-2</v>
      </c>
      <c r="BR742" s="86">
        <f>IFERROR(BR741/AVERAGE(BQ737,BR737)*BS3/BR3,"n/a")</f>
        <v>2.8833087149187593E-2</v>
      </c>
      <c r="BS742" s="1213">
        <f>IFERROR(BS741/AVERAGE(BO737,BP737,BQ737,BR737),"n/a")</f>
        <v>2.8151356279917938E-2</v>
      </c>
      <c r="BT742" s="23">
        <f>IFERROR(BT741/AVERAGE(BS737,BT737)*BX3/BT3,"n/a")</f>
        <v>2.9774915814970167E-2</v>
      </c>
      <c r="BU742" s="23">
        <f>IFERROR(BU741/AVERAGE(BT737,BU737)*BX3/BU3,"n/a")</f>
        <v>2.9297105729474304E-2</v>
      </c>
      <c r="BV742" s="23">
        <f>IFERROR(BV741/AVERAGE(BU737,BV737)*BX3/BV3,"n/a")</f>
        <v>2.8819464950097441E-2</v>
      </c>
      <c r="BW742" s="86">
        <f>IFERROR(BW741/AVERAGE(BV737,BW737)*BX3/BW3,"n/a")</f>
        <v>3.495718925302628E-2</v>
      </c>
      <c r="BX742" s="1213">
        <f>IFERROR(BX741/AVERAGE(BT737,BU737,BV737,BW737),"n/a")</f>
        <v>3.0592056695703529E-2</v>
      </c>
      <c r="BY742" s="938">
        <f>IFERROR(BY741/AVERAGE(BX737,BY737)*CC3/BY3,"n/a")</f>
        <v>4.9102155372080979E-2</v>
      </c>
      <c r="BZ742" s="1088">
        <v>2.5000000000000001E-2</v>
      </c>
      <c r="CA742" s="1088">
        <v>2.5000000000000001E-2</v>
      </c>
      <c r="CB742" s="1088">
        <v>2.5000000000000001E-2</v>
      </c>
      <c r="CC742" s="1213">
        <f>IFERROR(CC741/AVERAGE(BY737,BZ737,CA737,CB737),"n/a")</f>
        <v>3.0910427479895745E-2</v>
      </c>
      <c r="CD742" s="1088">
        <v>2.5000000000000001E-2</v>
      </c>
      <c r="CE742" s="1088">
        <v>2.5000000000000001E-2</v>
      </c>
      <c r="CF742" s="1088">
        <v>2.5000000000000001E-2</v>
      </c>
      <c r="CG742" s="1088">
        <v>2.5000000000000001E-2</v>
      </c>
      <c r="CH742" s="1213">
        <f>IFERROR(CH741/AVERAGE(CD737,CE737,CF737,CG737),"n/a")</f>
        <v>2.5000000000000001E-2</v>
      </c>
      <c r="CI742" s="1215">
        <v>0.02</v>
      </c>
      <c r="CJ742" s="1215">
        <v>0.02</v>
      </c>
      <c r="CK742" s="1215">
        <v>0.02</v>
      </c>
      <c r="CL742" s="155"/>
    </row>
    <row r="743" spans="1:90" x14ac:dyDescent="0.3">
      <c r="A743" s="68" t="s">
        <v>590</v>
      </c>
      <c r="B743" s="146"/>
      <c r="C743" s="1153">
        <f t="shared" ref="C743:AH743" si="1821">-C404</f>
        <v>42.859000000000002</v>
      </c>
      <c r="D743" s="1153">
        <f t="shared" si="1821"/>
        <v>23.114999999999998</v>
      </c>
      <c r="E743" s="1153">
        <f t="shared" si="1821"/>
        <v>19.056999999999999</v>
      </c>
      <c r="F743" s="1153">
        <f t="shared" si="1821"/>
        <v>19.149000000000001</v>
      </c>
      <c r="G743" s="563">
        <f t="shared" si="1821"/>
        <v>5.1980000000000004</v>
      </c>
      <c r="H743" s="563">
        <f t="shared" si="1821"/>
        <v>5.3159999999999998</v>
      </c>
      <c r="I743" s="563">
        <f t="shared" si="1821"/>
        <v>4.7009999999999996</v>
      </c>
      <c r="J743" s="563">
        <f t="shared" si="1821"/>
        <v>4.6930000000000023</v>
      </c>
      <c r="K743" s="1153">
        <f t="shared" si="1821"/>
        <v>19.908000000000001</v>
      </c>
      <c r="L743" s="563">
        <f t="shared" si="1821"/>
        <v>5.0759999999999996</v>
      </c>
      <c r="M743" s="563">
        <f t="shared" si="1821"/>
        <v>3.8650000000000002</v>
      </c>
      <c r="N743" s="563">
        <f t="shared" si="1821"/>
        <v>4.0220000000000002</v>
      </c>
      <c r="O743" s="563">
        <f t="shared" si="1821"/>
        <v>4.1559999999999988</v>
      </c>
      <c r="P743" s="1153">
        <f t="shared" si="1821"/>
        <v>17.119</v>
      </c>
      <c r="Q743" s="563">
        <f t="shared" si="1821"/>
        <v>6</v>
      </c>
      <c r="R743" s="563">
        <f t="shared" si="1821"/>
        <v>7</v>
      </c>
      <c r="S743" s="563">
        <f t="shared" si="1821"/>
        <v>7</v>
      </c>
      <c r="T743" s="563">
        <f t="shared" si="1821"/>
        <v>8</v>
      </c>
      <c r="U743" s="1153">
        <f t="shared" si="1821"/>
        <v>28</v>
      </c>
      <c r="V743" s="563">
        <f t="shared" si="1821"/>
        <v>9</v>
      </c>
      <c r="W743" s="563">
        <f t="shared" si="1821"/>
        <v>9</v>
      </c>
      <c r="X743" s="563">
        <f t="shared" si="1821"/>
        <v>9</v>
      </c>
      <c r="Y743" s="563">
        <f t="shared" si="1821"/>
        <v>11</v>
      </c>
      <c r="Z743" s="1153">
        <f t="shared" si="1821"/>
        <v>39</v>
      </c>
      <c r="AA743" s="563">
        <f t="shared" si="1821"/>
        <v>12</v>
      </c>
      <c r="AB743" s="563">
        <f t="shared" si="1821"/>
        <v>12</v>
      </c>
      <c r="AC743" s="563">
        <f t="shared" si="1821"/>
        <v>14</v>
      </c>
      <c r="AD743" s="563">
        <f t="shared" si="1821"/>
        <v>17</v>
      </c>
      <c r="AE743" s="1153">
        <f t="shared" si="1821"/>
        <v>54</v>
      </c>
      <c r="AF743" s="563">
        <f t="shared" si="1821"/>
        <v>16</v>
      </c>
      <c r="AG743" s="563">
        <f t="shared" si="1821"/>
        <v>15</v>
      </c>
      <c r="AH743" s="563">
        <f t="shared" si="1821"/>
        <v>17</v>
      </c>
      <c r="AI743" s="563">
        <f t="shared" ref="AI743:BI743" si="1822">-AI404</f>
        <v>20</v>
      </c>
      <c r="AJ743" s="1153">
        <f t="shared" si="1822"/>
        <v>69</v>
      </c>
      <c r="AK743" s="563">
        <f t="shared" si="1822"/>
        <v>25</v>
      </c>
      <c r="AL743" s="563">
        <f t="shared" si="1822"/>
        <v>32</v>
      </c>
      <c r="AM743" s="563">
        <f t="shared" si="1822"/>
        <v>37</v>
      </c>
      <c r="AN743" s="563">
        <f t="shared" si="1822"/>
        <v>42</v>
      </c>
      <c r="AO743" s="1153">
        <f t="shared" si="1822"/>
        <v>136</v>
      </c>
      <c r="AP743" s="563">
        <f t="shared" si="1822"/>
        <v>44</v>
      </c>
      <c r="AQ743" s="563">
        <f t="shared" si="1822"/>
        <v>47</v>
      </c>
      <c r="AR743" s="563">
        <f t="shared" si="1822"/>
        <v>45</v>
      </c>
      <c r="AS743" s="563">
        <f t="shared" si="1822"/>
        <v>41</v>
      </c>
      <c r="AT743" s="1153">
        <f t="shared" si="1822"/>
        <v>178</v>
      </c>
      <c r="AU743" s="563">
        <f t="shared" si="1822"/>
        <v>31</v>
      </c>
      <c r="AV743" s="563">
        <f t="shared" si="1822"/>
        <v>13</v>
      </c>
      <c r="AW743" s="563">
        <f t="shared" si="1822"/>
        <v>7</v>
      </c>
      <c r="AX743" s="563">
        <f t="shared" si="1822"/>
        <v>6</v>
      </c>
      <c r="AY743" s="1153">
        <f t="shared" si="1822"/>
        <v>57</v>
      </c>
      <c r="AZ743" s="563">
        <f t="shared" si="1822"/>
        <v>6</v>
      </c>
      <c r="BA743" s="563">
        <f t="shared" si="1822"/>
        <v>6</v>
      </c>
      <c r="BB743" s="563">
        <f t="shared" si="1822"/>
        <v>7</v>
      </c>
      <c r="BC743" s="563">
        <f t="shared" si="1822"/>
        <v>9</v>
      </c>
      <c r="BD743" s="1153">
        <f t="shared" si="1822"/>
        <v>29</v>
      </c>
      <c r="BE743" s="563">
        <f t="shared" si="1822"/>
        <v>18</v>
      </c>
      <c r="BF743" s="563">
        <f t="shared" si="1822"/>
        <v>46</v>
      </c>
      <c r="BG743" s="563">
        <f t="shared" si="1822"/>
        <v>88</v>
      </c>
      <c r="BH743" s="563">
        <f t="shared" si="1822"/>
        <v>115</v>
      </c>
      <c r="BI743" s="1153">
        <f t="shared" si="1822"/>
        <v>267</v>
      </c>
      <c r="BJ743" s="563">
        <f t="shared" ref="BJ743:BO743" si="1823">-BJ404</f>
        <v>150</v>
      </c>
      <c r="BK743" s="563">
        <f t="shared" si="1823"/>
        <v>187</v>
      </c>
      <c r="BL743" s="563">
        <f t="shared" si="1823"/>
        <v>234</v>
      </c>
      <c r="BM743" s="563">
        <f t="shared" si="1823"/>
        <v>294</v>
      </c>
      <c r="BN743" s="1153">
        <f t="shared" si="1823"/>
        <v>866</v>
      </c>
      <c r="BO743" s="563">
        <f t="shared" si="1823"/>
        <v>359</v>
      </c>
      <c r="BP743" s="563">
        <f t="shared" ref="BP743:BU743" si="1824">-BP404</f>
        <v>444</v>
      </c>
      <c r="BQ743" s="563">
        <f t="shared" si="1824"/>
        <v>472</v>
      </c>
      <c r="BR743" s="563">
        <f t="shared" si="1824"/>
        <v>511</v>
      </c>
      <c r="BS743" s="1153">
        <f t="shared" si="1824"/>
        <v>1786</v>
      </c>
      <c r="BT743" s="563">
        <f t="shared" si="1824"/>
        <v>515</v>
      </c>
      <c r="BU743" s="563">
        <f t="shared" si="1824"/>
        <v>592</v>
      </c>
      <c r="BV743" s="563">
        <f>-BV404</f>
        <v>624</v>
      </c>
      <c r="BW743" s="563">
        <f>-BW404</f>
        <v>568</v>
      </c>
      <c r="BX743" s="1153">
        <f>-BX404</f>
        <v>2300</v>
      </c>
      <c r="BY743" s="731">
        <f>-BY404</f>
        <v>540</v>
      </c>
      <c r="BZ743" s="563">
        <f>MAX(0,BZ744*BY734*BZ3/CC3)</f>
        <v>928.85833962264155</v>
      </c>
      <c r="CA743" s="563">
        <f>MAX(0,CA744*BZ734*CA3/CC3)</f>
        <v>1356.5858239526053</v>
      </c>
      <c r="CB743" s="563">
        <f>MAX(0,CB744*CA734*CB3/CC3)</f>
        <v>1820.1251702272593</v>
      </c>
      <c r="CC743" s="1153">
        <f>IF(OR(ISBLANK(BY743),ISBLANK(BZ743),ISBLANK(CA743),ISBLANK(CB743)),"n/a",SUM(BY743,BZ743,CA743,CB743))</f>
        <v>4645.5693338025067</v>
      </c>
      <c r="CD743" s="563">
        <f>MAX(0,CD744*CC734*CD3/CH3)</f>
        <v>2270.671339578184</v>
      </c>
      <c r="CE743" s="563">
        <f>MAX(0,CE744*CD734*CE3/CH3)</f>
        <v>3078.1176023236681</v>
      </c>
      <c r="CF743" s="563">
        <f>MAX(0,CF744*CE734*CF3/CH3)</f>
        <v>3744.2708234393913</v>
      </c>
      <c r="CG743" s="563">
        <f>MAX(0,CG744*CF734*CG3/CH3)</f>
        <v>4316.4346599865812</v>
      </c>
      <c r="CH743" s="1153">
        <f>IF(OR(ISBLANK(CD743),ISBLANK(CE743),ISBLANK(CF743),ISBLANK(CG743)),"n/a",SUM(CD743,CE743,CF743,CG743))</f>
        <v>13409.494425327826</v>
      </c>
      <c r="CI743" s="1153">
        <f>MAX(0,CI744*CH734)</f>
        <v>17096.885365667567</v>
      </c>
      <c r="CJ743" s="1153">
        <f>MAX(0,CJ744*CI734)</f>
        <v>28601.370030248883</v>
      </c>
      <c r="CK743" s="1153">
        <f>MAX(0,CK744*CJ734)</f>
        <v>42600.809713467097</v>
      </c>
      <c r="CL743" s="155"/>
    </row>
    <row r="744" spans="1:90" x14ac:dyDescent="0.3">
      <c r="A744" s="238" t="s">
        <v>591</v>
      </c>
      <c r="B744" s="283"/>
      <c r="C744" s="1213"/>
      <c r="D744" s="1213">
        <f>IFERROR(D743/AVERAGE(C734,D734),"n/a")</f>
        <v>1.5494616098513983E-2</v>
      </c>
      <c r="E744" s="1213">
        <f>IFERROR(E743/AVERAGE(D734,E734),"n/a")</f>
        <v>9.0343439706645733E-3</v>
      </c>
      <c r="F744" s="1213">
        <f>IFERROR(F743/AVERAGE(E734,F734),"n/a")</f>
        <v>6.8144222055717841E-3</v>
      </c>
      <c r="G744" s="86">
        <f>IFERROR(G743/AVERAGE(F734,G734)*K3/G3,"n/a")</f>
        <v>6.6423998001401835E-3</v>
      </c>
      <c r="H744" s="86">
        <f>IFERROR(H743/AVERAGE(G734,H734)*K3/H3,"n/a")</f>
        <v>6.6357597046113282E-3</v>
      </c>
      <c r="I744" s="86">
        <f>IFERROR(I743/AVERAGE(H734,I734)*K3/I3,"n/a")</f>
        <v>5.6023710864738672E-3</v>
      </c>
      <c r="J744" s="86">
        <f>IFERROR(J743/AVERAGE(I734,J734)*K3/J3,"n/a")</f>
        <v>5.2416317692252409E-3</v>
      </c>
      <c r="K744" s="1213">
        <f>IFERROR(K743/AVERAGE(G734,H734,I734,J734),"n/a")</f>
        <v>5.8675612035073033E-3</v>
      </c>
      <c r="L744" s="86">
        <f>IFERROR(L743/AVERAGE(K734,L734)*P3/L3,"n/a")</f>
        <v>5.457159390498941E-3</v>
      </c>
      <c r="M744" s="86">
        <f>IFERROR(M743/AVERAGE(L734,M734)*P3/M3,"n/a")</f>
        <v>4.6501527090899364E-3</v>
      </c>
      <c r="N744" s="86">
        <f>IFERROR(N743/AVERAGE(M734,N734)*P3/N3,"n/a")</f>
        <v>5.3906558502839833E-3</v>
      </c>
      <c r="O744" s="86">
        <f>IFERROR(O743/AVERAGE(N734,O734)*P3/O3,"n/a")</f>
        <v>4.3152522257657719E-3</v>
      </c>
      <c r="P744" s="1213">
        <f>IFERROR(P743/AVERAGE(L734,M734,N734,O734),"n/a")</f>
        <v>4.7705142702999751E-3</v>
      </c>
      <c r="Q744" s="86">
        <f>IFERROR(Q743/AVERAGE(P734,Q734)*U3/Q3,"n/a")</f>
        <v>5.3217278275476355E-3</v>
      </c>
      <c r="R744" s="86">
        <f>IFERROR(R743/AVERAGE(Q734,R734)*U3/R3,"n/a")</f>
        <v>6.4118189975556081E-3</v>
      </c>
      <c r="S744" s="86">
        <f>IFERROR(S743/AVERAGE(R734,S734)*U3/S3,"n/a")</f>
        <v>6.491360520774034E-3</v>
      </c>
      <c r="T744" s="86">
        <f>IFERROR(T743/AVERAGE(S734,T734)*U3/T3,"n/a")</f>
        <v>7.2203819649750553E-3</v>
      </c>
      <c r="U744" s="1213">
        <f>IFERROR(U743/AVERAGE(Q734,R734,S734,T734),"n/a")</f>
        <v>6.3644796571909424E-3</v>
      </c>
      <c r="V744" s="86">
        <f>IFERROR(V743/AVERAGE(U734,V734)*Z3/V3,"n/a")</f>
        <v>7.7944360472241517E-3</v>
      </c>
      <c r="W744" s="86">
        <f>IFERROR(W743/AVERAGE(V734,W734)*Z3/W3,"n/a")</f>
        <v>7.8933651053689786E-3</v>
      </c>
      <c r="X744" s="86">
        <f>IFERROR(X743/AVERAGE(W734,X734)*Z3/X3,"n/a")</f>
        <v>7.9480792141899057E-3</v>
      </c>
      <c r="Y744" s="86">
        <f>IFERROR(Y743/AVERAGE(X734,Y734)*Z3/Y3,"n/a")</f>
        <v>8.5290029990490821E-3</v>
      </c>
      <c r="Z744" s="1213">
        <f>IFERROR(Z743/AVERAGE(V734,W734,X734,Y734),"n/a")</f>
        <v>8.1838212149826887E-3</v>
      </c>
      <c r="AA744" s="86">
        <f>IFERROR(AA743/AVERAGE(Z734,AA734)*AE3/AA3,"n/a")</f>
        <v>9.8049228883668668E-3</v>
      </c>
      <c r="AB744" s="86">
        <f>IFERROR(AB743/AVERAGE(AA734,AB734)*AE3/AB3,"n/a")</f>
        <v>9.9657427592650272E-3</v>
      </c>
      <c r="AC744" s="86">
        <f>IFERROR(AC743/AVERAGE(AB734,AC734)*AE3/AC3,"n/a")</f>
        <v>9.696969696969697E-3</v>
      </c>
      <c r="AD744" s="86">
        <f>IFERROR(AD743/AVERAGE(AC734,AD734)*AE3/AD3,"n/a")</f>
        <v>1.0097260375677482E-2</v>
      </c>
      <c r="AE744" s="1213">
        <f>IFERROR(AE743/AVERAGE(AA734,AB734,AC734,AD734),"n/a")</f>
        <v>9.349839840706432E-3</v>
      </c>
      <c r="AF744" s="86">
        <f>IFERROR(AF743/AVERAGE(AE734,AF734)*AJ3/AF3,"n/a")</f>
        <v>9.8431251922485394E-3</v>
      </c>
      <c r="AG744" s="86">
        <f>IFERROR(AG743/AVERAGE(AF734,AG734)*AJ3/AG3,"n/a")</f>
        <v>9.9313084498882723E-3</v>
      </c>
      <c r="AH744" s="86">
        <f>IFERROR(AH743/AVERAGE(AG734,AH734)*AJ3/AH3,"n/a")</f>
        <v>1.1150282856440109E-2</v>
      </c>
      <c r="AI744" s="86">
        <f>IFERROR(AI743/AVERAGE(AH734,AI734)*AJ3/AI3,"n/a")</f>
        <v>1.1915400655347037E-2</v>
      </c>
      <c r="AJ744" s="1213">
        <f>IFERROR(AJ743/AVERAGE(AF734,AG734,AH734,AI734),"n/a")</f>
        <v>1.0818862451491513E-2</v>
      </c>
      <c r="AK744" s="86">
        <f>IFERROR(AK743/AVERAGE(AJ734,AK734)*AO3/AK3,"n/a")</f>
        <v>1.38811771238201E-2</v>
      </c>
      <c r="AL744" s="86">
        <f>IFERROR(AL743/AVERAGE(AK734,AL734)*AO3/AL3,"n/a")</f>
        <v>1.6794594239979008E-2</v>
      </c>
      <c r="AM744" s="86">
        <f>IFERROR(AM743/AVERAGE(AL734,AM734)*AO3/AM3,"n/a")</f>
        <v>1.9054976181279774E-2</v>
      </c>
      <c r="AN744" s="86">
        <f>IFERROR(AN743/AVERAGE(AM734,AN734)*AO3/AN3,"n/a")</f>
        <v>2.2380603476986612E-2</v>
      </c>
      <c r="AO744" s="1213">
        <f>IFERROR(AO743/AVERAGE(AK734,AL734,AM734,AN734),"n/a")</f>
        <v>1.7979904812268643E-2</v>
      </c>
      <c r="AP744" s="86">
        <f>IFERROR(AP743/AVERAGE(AO734,AP734)*AT3/AP3,"n/a")</f>
        <v>2.3121387283236997E-2</v>
      </c>
      <c r="AQ744" s="86">
        <f>IFERROR(AQ743/AVERAGE(AP734,AQ734)*AT3/AQ3,"n/a")</f>
        <v>2.310007986729741E-2</v>
      </c>
      <c r="AR744" s="86">
        <f>IFERROR(AR743/AVERAGE(AQ734,AR734)*AT3/AR3,"n/a")</f>
        <v>1.9732514799386099E-2</v>
      </c>
      <c r="AS744" s="86">
        <f>IFERROR(AS743/AVERAGE(AR734,AS734)*AT3/AS3,"n/a")</f>
        <v>1.5871479725152425E-2</v>
      </c>
      <c r="AT744" s="1213">
        <f>IFERROR(AT743/AVERAGE(AP734,AQ734,AR734,AS734),"n/a")</f>
        <v>1.927293397937363E-2</v>
      </c>
      <c r="AU744" s="86">
        <f>IFERROR(AU743/AVERAGE(AT734,AU734)*AY3/AU3,"n/a")</f>
        <v>9.2755946853044224E-3</v>
      </c>
      <c r="AV744" s="86">
        <f>IFERROR(AV743/AVERAGE(AU734,AV734)*AY3/AV3,"n/a")</f>
        <v>3.8778123285165538E-3</v>
      </c>
      <c r="AW744" s="86">
        <f>IFERROR(AW743/AVERAGE(AV734,AW734)*AY3/AW3,"n/a")</f>
        <v>2.7025058275058278E-3</v>
      </c>
      <c r="AX744" s="86">
        <f>IFERROR(AX743/AVERAGE(AW734,AX734)*AY3/AX3,"n/a")</f>
        <v>2.0934825543120475E-3</v>
      </c>
      <c r="AY744" s="1213">
        <f>IFERROR(AY743/AVERAGE(AU734,AV734,AW734,AX734),"n/a")</f>
        <v>4.6497399816457629E-3</v>
      </c>
      <c r="AZ744" s="86">
        <f>IFERROR(AZ743/AVERAGE(AY734,AZ734)*BD3/AZ3,"n/a")</f>
        <v>1.9811788013868251E-3</v>
      </c>
      <c r="BA744" s="86">
        <f>IFERROR(BA743/AVERAGE(AZ734,BA734)*BD3/BA3,"n/a")</f>
        <v>1.485102564895888E-3</v>
      </c>
      <c r="BB744" s="86">
        <f>IFERROR(BB743/AVERAGE(BA734,BB734)*BD3/BB3,"n/a")</f>
        <v>1.4376668720476485E-3</v>
      </c>
      <c r="BC744" s="86">
        <f>IFERROR(BC743/AVERAGE(BB734,BC734)*BD3/BC3,"n/a")</f>
        <v>1.7775144423048438E-3</v>
      </c>
      <c r="BD744" s="1213">
        <f>IFERROR(BD743/AVERAGE(AZ734,BA734,BB734,BC734),"n/a")</f>
        <v>1.5928158512639543E-3</v>
      </c>
      <c r="BE744" s="86">
        <f>IFERROR(BE743/AVERAGE(BD734,BE734)*BI3/BE3,"n/a")</f>
        <v>3.4660376450199783E-3</v>
      </c>
      <c r="BF744" s="86">
        <f>IFERROR(BF743/AVERAGE(BE734,BF734)*BI3/BF3,"n/a")</f>
        <v>9.8461538461538465E-3</v>
      </c>
      <c r="BG744" s="86">
        <f>IFERROR(BG743/AVERAGE(BF734,BG734)*BI3/BG3,"n/a")</f>
        <v>2.3326706428098077E-2</v>
      </c>
      <c r="BH744" s="86">
        <f>IFERROR(BH743/AVERAGE(BG734,BH734)*BI3/BH3,"n/a")</f>
        <v>3.479708007110708E-2</v>
      </c>
      <c r="BI744" s="1213">
        <f>IFERROR(BI743/AVERAGE(BE734,BF734,BG734,BH734),"n/a")</f>
        <v>1.6736139405146205E-2</v>
      </c>
      <c r="BJ744" s="86">
        <f>IFERROR(BJ743/AVERAGE(BI734,BJ734)*BN3/BJ3,"n/a")</f>
        <v>4.1934582051998882E-2</v>
      </c>
      <c r="BK744" s="86">
        <f>IFERROR(BK743/AVERAGE(BJ734,BK734)*BN3/BK3,"n/a")</f>
        <v>4.7729955651979711E-2</v>
      </c>
      <c r="BL744" s="86">
        <f>IFERROR(BL743/AVERAGE(BK734,BL734)*BN3/BL3,"n/a")</f>
        <v>5.4570895522388065E-2</v>
      </c>
      <c r="BM744" s="86">
        <f>IFERROR(BM743/AVERAGE(BL734,BM734)*BN3/BM3,"n/a")</f>
        <v>5.3134530667570318E-2</v>
      </c>
      <c r="BN744" s="1213">
        <f>IFERROR(BN743/AVERAGE(BJ734,BK734,BL734,BM734),"n/a")</f>
        <v>4.5815257644693685E-2</v>
      </c>
      <c r="BO744" s="86">
        <f>IFERROR(BO743/AVERAGE(BN734,BO734)*BS3/BO3,"n/a")</f>
        <v>5.001567343526872E-2</v>
      </c>
      <c r="BP744" s="86">
        <f>IFERROR(BP743/AVERAGE(BO734,BP734)*BS3/BP3,"n/a")</f>
        <v>5.3624807512304112E-2</v>
      </c>
      <c r="BQ744" s="86">
        <f>IFERROR(BQ743/AVERAGE(BP734,BQ734)*BS3/BQ3,"n/a")</f>
        <v>5.1523462551339258E-2</v>
      </c>
      <c r="BR744" s="86">
        <f>IFERROR(BR743/AVERAGE(BQ734,BR734)*BS3/BR3,"n/a")</f>
        <v>5.0038557107360125E-2</v>
      </c>
      <c r="BS744" s="1213">
        <f>IFERROR(BS743/AVERAGE(BO734,BP734,BQ734,BR734),"n/a")</f>
        <v>4.8291479365937744E-2</v>
      </c>
      <c r="BT744" s="86">
        <f>IFERROR(BT743/AVERAGE(BS734,BT734)*BX3/BT3,"n/a")</f>
        <v>4.2517621077181864E-2</v>
      </c>
      <c r="BU744" s="86">
        <f>IFERROR(BU743/AVERAGE(BT734,BU734)*BX3/BU3,"n/a")</f>
        <v>4.2866711319490956E-2</v>
      </c>
      <c r="BV744" s="86">
        <f>IFERROR(BV743/AVERAGE(BU734,BV734)*BX3/BV3,"n/a")</f>
        <v>4.2521656913602331E-2</v>
      </c>
      <c r="BW744" s="86">
        <f>IFERROR(BW743/AVERAGE(BV734,BW734)*BX3/BW3,"n/a")</f>
        <v>3.6893897567471017E-2</v>
      </c>
      <c r="BX744" s="1213">
        <f>IFERROR(BX743/AVERAGE(BT734,BU734,BV734,BW734),"n/a")</f>
        <v>3.9375807846057709E-2</v>
      </c>
      <c r="BY744" s="939">
        <f>IFERROR(BY743/AVERAGE(BX734,BY734)*CC3/BY3,"n/a")</f>
        <v>3.076321141269998E-2</v>
      </c>
      <c r="BZ744" s="1088">
        <v>4.7E-2</v>
      </c>
      <c r="CA744" s="1088">
        <v>4.7E-2</v>
      </c>
      <c r="CB744" s="1088">
        <v>4.7E-2</v>
      </c>
      <c r="CC744" s="1213">
        <f>IFERROR(CC743/AVERAGE(BY734,BZ734,CA734,CB734),"n/a")</f>
        <v>3.4207729817579642E-2</v>
      </c>
      <c r="CD744" s="1088">
        <v>4.7E-2</v>
      </c>
      <c r="CE744" s="1088">
        <v>4.7E-2</v>
      </c>
      <c r="CF744" s="1088">
        <v>4.7E-2</v>
      </c>
      <c r="CG744" s="1088">
        <v>4.7E-2</v>
      </c>
      <c r="CH744" s="1213">
        <f>IFERROR(CH743/AVERAGE(CD734,CE734,CF734,CG734),"n/a")</f>
        <v>3.9248745202516651E-2</v>
      </c>
      <c r="CI744" s="1215">
        <v>0.04</v>
      </c>
      <c r="CJ744" s="1215">
        <v>0.04</v>
      </c>
      <c r="CK744" s="1215">
        <v>0.04</v>
      </c>
      <c r="CL744" s="155"/>
    </row>
    <row r="745" spans="1:90" hidden="1" outlineLevel="1" x14ac:dyDescent="0.3">
      <c r="A745" s="68" t="s">
        <v>592</v>
      </c>
      <c r="B745" s="146"/>
      <c r="C745" s="1153">
        <f t="shared" ref="C745:AV745" si="1825">IFERROR(C741-C743,"n/a")</f>
        <v>-42.453000000000003</v>
      </c>
      <c r="D745" s="1153">
        <f t="shared" si="1825"/>
        <v>-19.794999999999998</v>
      </c>
      <c r="E745" s="1153">
        <f t="shared" si="1825"/>
        <v>-15.93</v>
      </c>
      <c r="F745" s="1153">
        <f t="shared" si="1825"/>
        <v>-16.060000000000002</v>
      </c>
      <c r="G745" s="563">
        <f t="shared" si="1825"/>
        <v>-4.2690000000000001</v>
      </c>
      <c r="H745" s="563">
        <f t="shared" si="1825"/>
        <v>-5.585</v>
      </c>
      <c r="I745" s="563">
        <f t="shared" si="1825"/>
        <v>-1.4109999999999996</v>
      </c>
      <c r="J745" s="563">
        <f t="shared" si="1825"/>
        <v>-5.349000000000002</v>
      </c>
      <c r="K745" s="1153">
        <f t="shared" si="1825"/>
        <v>-16.614000000000001</v>
      </c>
      <c r="L745" s="563">
        <f t="shared" si="1825"/>
        <v>-5.2809999999999997</v>
      </c>
      <c r="M745" s="563">
        <f t="shared" si="1825"/>
        <v>-6.2859999999999996</v>
      </c>
      <c r="N745" s="563">
        <f t="shared" si="1825"/>
        <v>-0.49600000000000044</v>
      </c>
      <c r="O745" s="563">
        <f t="shared" si="1825"/>
        <v>5.3870000000000005</v>
      </c>
      <c r="P745" s="1153">
        <f t="shared" si="1825"/>
        <v>-6.6760000000000002</v>
      </c>
      <c r="Q745" s="563">
        <f t="shared" si="1825"/>
        <v>5</v>
      </c>
      <c r="R745" s="563">
        <f t="shared" si="1825"/>
        <v>5</v>
      </c>
      <c r="S745" s="563">
        <f t="shared" si="1825"/>
        <v>4</v>
      </c>
      <c r="T745" s="563">
        <f t="shared" si="1825"/>
        <v>4</v>
      </c>
      <c r="U745" s="1153">
        <f t="shared" si="1825"/>
        <v>18</v>
      </c>
      <c r="V745" s="563">
        <f t="shared" si="1825"/>
        <v>3</v>
      </c>
      <c r="W745" s="563">
        <f t="shared" si="1825"/>
        <v>3</v>
      </c>
      <c r="X745" s="563">
        <f t="shared" si="1825"/>
        <v>3</v>
      </c>
      <c r="Y745" s="563">
        <f t="shared" si="1825"/>
        <v>1</v>
      </c>
      <c r="Z745" s="1153">
        <f t="shared" si="1825"/>
        <v>8</v>
      </c>
      <c r="AA745" s="563">
        <f t="shared" si="1825"/>
        <v>0</v>
      </c>
      <c r="AB745" s="563">
        <f t="shared" si="1825"/>
        <v>0</v>
      </c>
      <c r="AC745" s="563">
        <f t="shared" si="1825"/>
        <v>2</v>
      </c>
      <c r="AD745" s="563">
        <f t="shared" si="1825"/>
        <v>1</v>
      </c>
      <c r="AE745" s="1153">
        <f t="shared" si="1825"/>
        <v>4</v>
      </c>
      <c r="AF745" s="563">
        <f t="shared" si="1825"/>
        <v>0</v>
      </c>
      <c r="AG745" s="563">
        <f t="shared" si="1825"/>
        <v>0</v>
      </c>
      <c r="AH745" s="563">
        <f t="shared" si="1825"/>
        <v>-2</v>
      </c>
      <c r="AI745" s="563">
        <f t="shared" si="1825"/>
        <v>-5</v>
      </c>
      <c r="AJ745" s="1153">
        <f t="shared" si="1825"/>
        <v>-8</v>
      </c>
      <c r="AK745" s="563">
        <f t="shared" si="1825"/>
        <v>-10</v>
      </c>
      <c r="AL745" s="563">
        <f t="shared" si="1825"/>
        <v>-18</v>
      </c>
      <c r="AM745" s="563">
        <f t="shared" si="1825"/>
        <v>-22</v>
      </c>
      <c r="AN745" s="563">
        <f t="shared" si="1825"/>
        <v>-28</v>
      </c>
      <c r="AO745" s="1153">
        <f t="shared" si="1825"/>
        <v>-78</v>
      </c>
      <c r="AP745" s="563">
        <f t="shared" si="1825"/>
        <v>-31</v>
      </c>
      <c r="AQ745" s="563">
        <f t="shared" si="1825"/>
        <v>-34</v>
      </c>
      <c r="AR745" s="563">
        <f t="shared" si="1825"/>
        <v>-32</v>
      </c>
      <c r="AS745" s="563">
        <f t="shared" si="1825"/>
        <v>-29</v>
      </c>
      <c r="AT745" s="1153">
        <f t="shared" si="1825"/>
        <v>-126</v>
      </c>
      <c r="AU745" s="563">
        <f t="shared" si="1825"/>
        <v>-6</v>
      </c>
      <c r="AV745" s="563">
        <f t="shared" si="1825"/>
        <v>41</v>
      </c>
      <c r="AW745" s="563">
        <f t="shared" ref="AW745:AY745" si="1826">IFERROR(AW741-AW743,"n/a")</f>
        <v>46</v>
      </c>
      <c r="AX745" s="563">
        <f t="shared" si="1826"/>
        <v>47</v>
      </c>
      <c r="AY745" s="1153">
        <f t="shared" si="1826"/>
        <v>127</v>
      </c>
      <c r="AZ745" s="563">
        <f t="shared" ref="AZ745:BD745" si="1827">IFERROR(AZ741-AZ743,"n/a")</f>
        <v>47</v>
      </c>
      <c r="BA745" s="563">
        <f t="shared" si="1827"/>
        <v>54</v>
      </c>
      <c r="BB745" s="563">
        <f t="shared" si="1827"/>
        <v>55</v>
      </c>
      <c r="BC745" s="563">
        <f t="shared" si="1827"/>
        <v>52</v>
      </c>
      <c r="BD745" s="1153">
        <f t="shared" si="1827"/>
        <v>207</v>
      </c>
      <c r="BE745" s="563">
        <f t="shared" ref="BE745:BI745" si="1828">IFERROR(BE741-BE743,"n/a")</f>
        <v>50</v>
      </c>
      <c r="BF745" s="563">
        <f t="shared" si="1828"/>
        <v>19</v>
      </c>
      <c r="BG745" s="563">
        <f t="shared" si="1828"/>
        <v>-23</v>
      </c>
      <c r="BH745" s="563">
        <f t="shared" si="1828"/>
        <v>-50</v>
      </c>
      <c r="BI745" s="1153">
        <f t="shared" si="1828"/>
        <v>-5</v>
      </c>
      <c r="BJ745" s="563">
        <f t="shared" ref="BJ745:BN745" si="1829">IFERROR(BJ741-BJ743,"n/a")</f>
        <v>-84</v>
      </c>
      <c r="BK745" s="563">
        <f t="shared" si="1829"/>
        <v>-122</v>
      </c>
      <c r="BL745" s="563">
        <f t="shared" si="1829"/>
        <v>-171</v>
      </c>
      <c r="BM745" s="563">
        <f t="shared" si="1829"/>
        <v>-231</v>
      </c>
      <c r="BN745" s="1153">
        <f t="shared" si="1829"/>
        <v>-609</v>
      </c>
      <c r="BO745" s="563">
        <f t="shared" ref="BO745:BS745" si="1830">IFERROR(BO741-BO743,"n/a")</f>
        <v>-295</v>
      </c>
      <c r="BP745" s="563">
        <f t="shared" si="1830"/>
        <v>-383</v>
      </c>
      <c r="BQ745" s="563">
        <f t="shared" si="1830"/>
        <v>-411</v>
      </c>
      <c r="BR745" s="563">
        <f t="shared" si="1830"/>
        <v>-450</v>
      </c>
      <c r="BS745" s="1153">
        <f t="shared" si="1830"/>
        <v>-1539</v>
      </c>
      <c r="BT745" s="563">
        <f t="shared" ref="BT745:CB745" si="1831">IFERROR(BT741-BT743,"n/a")</f>
        <v>-452</v>
      </c>
      <c r="BU745" s="563">
        <f t="shared" si="1831"/>
        <v>-530</v>
      </c>
      <c r="BV745" s="563">
        <f t="shared" si="1831"/>
        <v>-563</v>
      </c>
      <c r="BW745" s="563">
        <f t="shared" si="1831"/>
        <v>-494</v>
      </c>
      <c r="BX745" s="1153">
        <f t="shared" si="1831"/>
        <v>-2041</v>
      </c>
      <c r="BY745" s="731">
        <f>IFERROR(BY741-BY743,"n/a")</f>
        <v>-438</v>
      </c>
      <c r="BZ745" s="563">
        <f t="shared" si="1831"/>
        <v>-876.91966037735858</v>
      </c>
      <c r="CA745" s="563">
        <f t="shared" si="1831"/>
        <v>-1304.0763899903411</v>
      </c>
      <c r="CB745" s="563">
        <f t="shared" si="1831"/>
        <v>-1764.7619626800895</v>
      </c>
      <c r="CC745" s="1153">
        <f>SUM(BY745,BZ745,CA745,CB745)</f>
        <v>-4383.7580130477891</v>
      </c>
      <c r="CD745" s="563">
        <f>IFERROR(CD741-CD743,"n/a")</f>
        <v>-2219.0391477973621</v>
      </c>
      <c r="CE745" s="563">
        <f>IFERROR(CE741-CE743,"n/a")</f>
        <v>-3025.3251365702436</v>
      </c>
      <c r="CF745" s="563">
        <f>IFERROR(CF741-CF743,"n/a")</f>
        <v>-3690.8982206996652</v>
      </c>
      <c r="CG745" s="563">
        <f>IFERROR(CG741-CG743,"n/a")</f>
        <v>-4262.481920260554</v>
      </c>
      <c r="CH745" s="1153">
        <f>SUM(CD745,CE745,CF745,CG745)</f>
        <v>-13197.744425327826</v>
      </c>
      <c r="CI745" s="1153">
        <f>IFERROR(CI741-CI743,"n/a")</f>
        <v>-16927.485365667566</v>
      </c>
      <c r="CJ745" s="1153">
        <f>IFERROR(CJ741-CJ743,"n/a")</f>
        <v>-28431.970030248882</v>
      </c>
      <c r="CK745" s="1153">
        <f>IFERROR(CK741-CK743,"n/a")</f>
        <v>-42431.409713467096</v>
      </c>
      <c r="CL745" s="155"/>
    </row>
    <row r="746" spans="1:90" hidden="1" outlineLevel="1" x14ac:dyDescent="0.3">
      <c r="A746" s="238" t="s">
        <v>593</v>
      </c>
      <c r="B746" s="283"/>
      <c r="C746" s="1213"/>
      <c r="D746" s="1213" t="str">
        <f>IFERROR(IF(D745/AVERAGE(C737,D737)&lt;0,"n/a",D745/AVERAGE(C737,D737)),"n/a")</f>
        <v>n/a</v>
      </c>
      <c r="E746" s="1213" t="str">
        <f>IFERROR(IF(E745/AVERAGE(D737,E737)&lt;0,"n/a",E745/AVERAGE(D737,E737)),"n/a")</f>
        <v>n/a</v>
      </c>
      <c r="F746" s="1213" t="str">
        <f>IFERROR(IF(F745/AVERAGE(E737,F737)&lt;0,"n/a",F745/AVERAGE(E737,F737)),"n/a")</f>
        <v>n/a</v>
      </c>
      <c r="G746" s="86" t="str">
        <f>IFERROR(IF(G745/AVERAGE(F737,G737)&lt;0,"n/a",G745/AVERAGE(F737,G737)*K3/G3),"n/a")</f>
        <v>n/a</v>
      </c>
      <c r="H746" s="86" t="str">
        <f>IFERROR(IF(H745/AVERAGE(G737,H737)&lt;0,"n/a",H745/AVERAGE(G737,H737)*K3/H3),"n/a")</f>
        <v>n/a</v>
      </c>
      <c r="I746" s="86" t="str">
        <f>IFERROR(IF(I745/AVERAGE(H737,I737)&lt;0,"n/a",I745/AVERAGE(H737,I737)*K3/I3),"n/a")</f>
        <v>n/a</v>
      </c>
      <c r="J746" s="86" t="str">
        <f>IFERROR(IF(J745/AVERAGE(I737,J737)&lt;0,"n/a",J745/AVERAGE(I737,J737)*K3/J3),"n/a")</f>
        <v>n/a</v>
      </c>
      <c r="K746" s="1213" t="str">
        <f>IFERROR(IF(K745/AVERAGE(G737,H737,I737,J737)&lt;0,"n/a",K745/AVERAGE(G737,H737,I737,J737)),"n/a")</f>
        <v>n/a</v>
      </c>
      <c r="L746" s="86" t="str">
        <f>IFERROR(IF(L745/AVERAGE(K737,L737)&lt;0,"n/a",L745/AVERAGE(K737,L737)*P3/L3),"n/a")</f>
        <v>n/a</v>
      </c>
      <c r="M746" s="86" t="str">
        <f>IFERROR(IF(M745/AVERAGE(L737,M737)&lt;0,"n/a",M745/AVERAGE(L737,M737)*P3/M3),"n/a")</f>
        <v>n/a</v>
      </c>
      <c r="N746" s="86" t="str">
        <f>IFERROR(IF(N745/AVERAGE(M737,N737)&lt;0,"n/a",N745/AVERAGE(M737,N737)*P3/N3),"n/a")</f>
        <v>n/a</v>
      </c>
      <c r="O746" s="86">
        <f>IFERROR(IF(O745/AVERAGE(N737,O737)&lt;0,"n/a",O745/AVERAGE(N737,O737)*P3/O3),"n/a")</f>
        <v>3.0984477564724749E-2</v>
      </c>
      <c r="P746" s="1213" t="str">
        <f>IFERROR(IF(P745/AVERAGE(L737,M737,N737,O737)&lt;0,"n/a",P745/AVERAGE(L737,M737,N737,O737)),"n/a")</f>
        <v>n/a</v>
      </c>
      <c r="Q746" s="86">
        <f>IFERROR(IF(Q745/AVERAGE(P737,Q737)&lt;0,"n/a",Q745/AVERAGE(P737,Q737)*U3/Q3),"n/a")</f>
        <v>1.4525203770452397E-2</v>
      </c>
      <c r="R746" s="86">
        <f>IFERROR(IF(R745/AVERAGE(Q737,R737)&lt;0,"n/a",R745/AVERAGE(Q737,R737)*U3/R3),"n/a")</f>
        <v>1.4461054572404692E-2</v>
      </c>
      <c r="S746" s="86">
        <f>IFERROR(IF(S745/AVERAGE(R737,S737)&lt;0,"n/a",S745/AVERAGE(R737,S737)*U3/S3),"n/a")</f>
        <v>1.1517722715864619E-2</v>
      </c>
      <c r="T746" s="86">
        <f>IFERROR(IF(T745/AVERAGE(S737,T737)&lt;0,"n/a",T745/AVERAGE(S737,T737)*U3/T3),"n/a")</f>
        <v>1.1468563949429368E-2</v>
      </c>
      <c r="U746" s="1213">
        <f>IFERROR(IF(U745/AVERAGE(Q737,R737,S737,T737)&lt;0,"n/a",U745/AVERAGE(Q737,R737,S737,T737)),"n/a")</f>
        <v>1.2958296243209943E-2</v>
      </c>
      <c r="V746" s="86">
        <f>IFERROR(IF(V745/AVERAGE(U737,V737)&lt;0,"n/a",V745/AVERAGE(U737,V737)*Z3/V3),"n/a")</f>
        <v>8.7300280019766106E-3</v>
      </c>
      <c r="W746" s="86">
        <f>IFERROR(IF(W745/AVERAGE(V737,W737)&lt;0,"n/a",W745/AVERAGE(V737,W737)*Z3/W3),"n/a")</f>
        <v>8.6897117092498977E-3</v>
      </c>
      <c r="X746" s="86">
        <f>IFERROR(IF(X745/AVERAGE(W737,X737)&lt;0,"n/a",X745/AVERAGE(W737,X737)*Z3/X3),"n/a")</f>
        <v>8.6497660755086494E-3</v>
      </c>
      <c r="Y746" s="86">
        <f>IFERROR(IF(Y745/AVERAGE(X737,Y737)&lt;0,"n/a",Y745/AVERAGE(X737,Y737)*Z3/Y3),"n/a")</f>
        <v>2.5867538679291329E-3</v>
      </c>
      <c r="Z746" s="1213">
        <f>IFERROR(IF(Z745/AVERAGE(V737,W737,X737,Y737)&lt;0,"n/a",Z745/AVERAGE(V737,W737,X737,Y737)),"n/a")</f>
        <v>5.5729710902124698E-3</v>
      </c>
      <c r="AA746" s="86">
        <f>IFERROR(IF(AA745/AVERAGE(Z737,AA737)&lt;0,"n/a",AA745/AVERAGE(Z737,AA737)*AE3/AA3),"n/a")</f>
        <v>0</v>
      </c>
      <c r="AB746" s="86">
        <f>IFERROR(IF(AB745/AVERAGE(AA737,AB737)&lt;0,"n/a",AB745/AVERAGE(AA737,AB737)*AE3/AB3),"n/a")</f>
        <v>0</v>
      </c>
      <c r="AC746" s="86">
        <f>IFERROR(IF(AC745/AVERAGE(AB737,AC737)&lt;0,"n/a",AC745/AVERAGE(AB737,AC737)*AE3/AC3),"n/a")</f>
        <v>3.5141664836371624E-3</v>
      </c>
      <c r="AD746" s="86">
        <f>IFERROR(IF(AD745/AVERAGE(AC737,AD737)&lt;0,"n/a",AD745/AVERAGE(AC737,AD737)*AE3/AD3),"n/a")</f>
        <v>1.3649547858727181E-3</v>
      </c>
      <c r="AE746" s="1213">
        <f>IFERROR(IF(AE745/AVERAGE(AA737,AB737,AC737,AD737)&lt;0,"n/a",AE745/AVERAGE(AA737,AB737,AC737,AD737)),"n/a")</f>
        <v>1.8022077044379365E-3</v>
      </c>
      <c r="AF746" s="86">
        <f>IFERROR(IF(AF745/AVERAGE(AE737,AF737)&lt;0,"n/a",AF745/AVERAGE(AE737,AF737)*AJ3/AF3),"n/a")</f>
        <v>0</v>
      </c>
      <c r="AG746" s="86">
        <f>IFERROR(IF(AG745/AVERAGE(AF737,AG737)&lt;0,"n/a",AG745/AVERAGE(AF737,AG737)*AJ3/AG3),"n/a")</f>
        <v>0</v>
      </c>
      <c r="AH746" s="86" t="str">
        <f>IFERROR(IF(AH745/AVERAGE(AG737,AH737)&lt;0,"n/a",AH745/AVERAGE(AG737,AH737)*AJ3/AH3),"n/a")</f>
        <v>n/a</v>
      </c>
      <c r="AI746" s="86" t="str">
        <f>IFERROR(IF(AI745/AVERAGE(AH737,AI737)&lt;0,"n/a",AI745/AVERAGE(AH737,AI737)*AJ3/AI3),"n/a")</f>
        <v>n/a</v>
      </c>
      <c r="AJ746" s="1213" t="str">
        <f>IFERROR(IF(AJ745/AVERAGE(AF737,AG737,AH737,AI737)&lt;0,"n/a",AJ745/AVERAGE(AF737,AG737,AH737,AI737)),"n/a")</f>
        <v>n/a</v>
      </c>
      <c r="AK746" s="86" t="str">
        <f>IFERROR(IF(AK745/AVERAGE(AJ737,AK737)&lt;0,"n/a",AK745/AVERAGE(AJ737,AK737)*AO3/AK3),"n/a")</f>
        <v>n/a</v>
      </c>
      <c r="AL746" s="86" t="str">
        <f>IFERROR(IF(AL745/AVERAGE(AK737,AL737)&lt;0,"n/a",AL745/AVERAGE(AK737,AL737)*AO3/AL3),"n/a")</f>
        <v>n/a</v>
      </c>
      <c r="AM746" s="86" t="str">
        <f>IFERROR(IF(AM745/AVERAGE(AL737,AM737)&lt;0,"n/a",AM745/AVERAGE(AL737,AM737)*AO3/AM3),"n/a")</f>
        <v>n/a</v>
      </c>
      <c r="AN746" s="86" t="str">
        <f>IFERROR(IF(AN745/AVERAGE(AM737,AN737)&lt;0,"n/a",AN745/AVERAGE(AM737,AN737)*AO3/AN3),"n/a")</f>
        <v>n/a</v>
      </c>
      <c r="AO746" s="1213" t="str">
        <f>IFERROR(IF(AO745/AVERAGE(AK737,AL737,AM737,AN737)&lt;0,"n/a",AO745/AVERAGE(AK737,AL737,AM737,AN737)),"n/a")</f>
        <v>n/a</v>
      </c>
      <c r="AP746" s="86" t="str">
        <f>IFERROR(IF(AP745/AVERAGE(AO737,AP737)&lt;0,"n/a",AP745/AVERAGE(AO737,AP737)*AT3/AP3),"n/a")</f>
        <v>n/a</v>
      </c>
      <c r="AQ746" s="86" t="str">
        <f>IFERROR(IF(AQ745/AVERAGE(AP737,AQ737)&lt;0,"n/a",AQ745/AVERAGE(AP737,AQ737)*AT3/AQ3),"n/a")</f>
        <v>n/a</v>
      </c>
      <c r="AR746" s="86" t="str">
        <f>IFERROR(IF(AR745/AVERAGE(AQ737,AR737)&lt;0,"n/a",AR745/AVERAGE(AQ737,AR737)*AT3/AR3),"n/a")</f>
        <v>n/a</v>
      </c>
      <c r="AS746" s="86" t="str">
        <f>IFERROR(IF(AS745/AVERAGE(AR737,AS737)&lt;0,"n/a",AS745/AVERAGE(AR737,AS737)*AT3/AS3),"n/a")</f>
        <v>n/a</v>
      </c>
      <c r="AT746" s="1213" t="str">
        <f>IFERROR(IF(AT745/AVERAGE(AP737,AQ737,AR737,AS737)&lt;0,"n/a",AT745/AVERAGE(AP737,AQ737,AR737,AS737)),"n/a")</f>
        <v>n/a</v>
      </c>
      <c r="AU746" s="86" t="str">
        <f>IFERROR(IF(AU745/AVERAGE(AT737,AU737)&lt;0,"n/a",AU745/AVERAGE(AT737,AU737)*AY3/AU3),"n/a")</f>
        <v>n/a</v>
      </c>
      <c r="AV746" s="86">
        <f>IFERROR(IF(AV745/AVERAGE(AU737,AV737)&lt;0,"n/a",AV745/AVERAGE(AU737,AV737)*AY3/AV3),"n/a")</f>
        <v>2.4018082642983857E-2</v>
      </c>
      <c r="AW746" s="86">
        <f>IFERROR(IF(AW745/AVERAGE(AV737,AW737)&lt;0,"n/a",AW745/AVERAGE(AV737,AW737)*AY3/AW3),"n/a")</f>
        <v>2.6943245677532007E-2</v>
      </c>
      <c r="AX746" s="86">
        <f>IFERROR(IF(AX745/AVERAGE(AW737,AX737)&lt;0,"n/a",AX745/AVERAGE(AW737,AX737)*AY3/AX3),"n/a")</f>
        <v>2.5557105921943612E-2</v>
      </c>
      <c r="AY746" s="1213">
        <f>IFERROR(IF(AY745/AVERAGE(AU737,AV737,AW737,AX737)&lt;0,"n/a",AY745/AVERAGE(AU737,AV737,AW737,AX737)),"n/a")</f>
        <v>1.824516036346658E-2</v>
      </c>
      <c r="AZ746" s="86">
        <f>IFERROR(IF(AZ745/AVERAGE(AY737,AZ737)&lt;0,"n/a",AZ745/AVERAGE(AY737,AZ737)*BD3/AZ3),"n/a")</f>
        <v>2.6999856383742641E-2</v>
      </c>
      <c r="BA746" s="86">
        <f>IFERROR(IF(BA745/AVERAGE(AZ737,BA737)&lt;0,"n/a",BA745/AVERAGE(AZ737,BA737)*BD3/BA3),"n/a")</f>
        <v>2.2849888924151063E-2</v>
      </c>
      <c r="BB746" s="86">
        <f>IFERROR(IF(BB745/AVERAGE(BA737,BB737)&lt;0,"n/a",BB745/AVERAGE(BA737,BB737)*BD3/BB3),"n/a")</f>
        <v>1.9224887490715253E-2</v>
      </c>
      <c r="BC746" s="86">
        <f>IFERROR(IF(BC745/AVERAGE(BB737,BC737)&lt;0,"n/a",BC745/AVERAGE(BB737,BC737)*BD3/BC3),"n/a")</f>
        <v>1.9004111466423026E-2</v>
      </c>
      <c r="BD746" s="1213">
        <f>IFERROR(IF(BD745/AVERAGE(AZ737,BA737,BB737,BC737)&lt;0,"n/a",BD745/AVERAGE(AZ737,BA737,BB737,BC737)),"n/a")</f>
        <v>2.0296107461515833E-2</v>
      </c>
      <c r="BE746" s="86">
        <f>IFERROR(IF(BE745/AVERAGE(BD737,BE737)&lt;0,"n/a",BE745/AVERAGE(BD737,BE737)*BI3/BE3),"n/a")</f>
        <v>1.8270680126067692E-2</v>
      </c>
      <c r="BF746" s="86">
        <f>IFERROR(IF(BF745/AVERAGE(BE737,BF737)&lt;0,"n/a",BF745/AVERAGE(BE737,BF737)*BI3/BF3),"n/a")</f>
        <v>6.9419071976616733E-3</v>
      </c>
      <c r="BG746" s="86" t="str">
        <f>IFERROR(IF(BG745/AVERAGE(BF737,BG737)&lt;0,"n/a",BG745/AVERAGE(BF737,BG737)*BI3/BG3),"n/a")</f>
        <v>n/a</v>
      </c>
      <c r="BH746" s="86" t="str">
        <f>IFERROR(IF(BH745/AVERAGE(BG737,BH737)&lt;0,"n/a",BH745/AVERAGE(BG737,BH737)*BI3/BH3),"n/a")</f>
        <v>n/a</v>
      </c>
      <c r="BI746" s="1213" t="str">
        <f>IFERROR(IF(BI745/AVERAGE(BE737,BF737,BG737,BH737)&lt;0,"n/a",BI745/AVERAGE(BE737,BF737,BG737,BH737)),"n/a")</f>
        <v>n/a</v>
      </c>
      <c r="BJ746" s="86" t="str">
        <f>IFERROR(IF(BJ745/AVERAGE(BI737,BJ737)&lt;0,"n/a",BJ745/AVERAGE(BI737,BJ737)*BN3/BJ3),"n/a")</f>
        <v>n/a</v>
      </c>
      <c r="BK746" s="86" t="str">
        <f>IFERROR(IF(BK745/AVERAGE(BJ737,BK737)&lt;0,"n/a",BK745/AVERAGE(BJ737,BK737)*BN3/BK3),"n/a")</f>
        <v>n/a</v>
      </c>
      <c r="BL746" s="86" t="str">
        <f>IFERROR(IF(BL745/AVERAGE(BK737,BL737)&lt;0,"n/a",BL745/AVERAGE(BK737,BL737)*BN3/BL3),"n/a")</f>
        <v>n/a</v>
      </c>
      <c r="BM746" s="86" t="str">
        <f>IFERROR(IF(BM745/AVERAGE(BL737,BM737)&lt;0,"n/a",BM745/AVERAGE(BL737,BM737)*BN3/BM3),"n/a")</f>
        <v>n/a</v>
      </c>
      <c r="BN746" s="1213" t="str">
        <f>IFERROR(IF(BN745/AVERAGE(BJ737,BK737,BL737,BM737)&lt;0,"n/a",BN745/AVERAGE(BJ737,BK737,BL737,BM737)),"n/a")</f>
        <v>n/a</v>
      </c>
      <c r="BO746" s="86" t="str">
        <f>IFERROR(IF(BO745/AVERAGE(BN737,BO737)&lt;0,"n/a",BO745/AVERAGE(BN737,BO737)*BS3/BO3),"n/a")</f>
        <v>n/a</v>
      </c>
      <c r="BP746" s="86" t="str">
        <f>IFERROR(IF(BP745/AVERAGE(BO737,BP737)&lt;0,"n/a",BP745/AVERAGE(BO737,BP737)*BS3/BP3),"n/a")</f>
        <v>n/a</v>
      </c>
      <c r="BQ746" s="86" t="str">
        <f>IFERROR(IF(BQ745/AVERAGE(BP737,BQ737)&lt;0,"n/a",BQ745/AVERAGE(BP737,BQ737)*BS3/BQ3),"n/a")</f>
        <v>n/a</v>
      </c>
      <c r="BR746" s="86" t="str">
        <f>IFERROR(IF(BR745/AVERAGE(BQ737,BR737)&lt;0,"n/a",BR745/AVERAGE(BQ737,BR737)*BS3/BR3),"n/a")</f>
        <v>n/a</v>
      </c>
      <c r="BS746" s="1213" t="str">
        <f>IFERROR(IF(BS745/AVERAGE(BO737,BP737,BQ737,BR737)&lt;0,"n/a",BS745/AVERAGE(BO737,BP737,BQ737,BR737)),"n/a")</f>
        <v>n/a</v>
      </c>
      <c r="BT746" s="86" t="str">
        <f>IFERROR(IF(BT745/AVERAGE(BS737,BT737)&lt;0,"n/a",BT745/AVERAGE(BS737,BT737)*BX3/BT3),"n/a")</f>
        <v>n/a</v>
      </c>
      <c r="BU746" s="86" t="str">
        <f>IFERROR(IF(BU745/AVERAGE(BT737,BU737)&lt;0,"n/a",BU745/AVERAGE(BT737,BU737)*BX3/BU3),"n/a")</f>
        <v>n/a</v>
      </c>
      <c r="BV746" s="86" t="str">
        <f>IFERROR(IF(BV745/AVERAGE(BU737,BV737)&lt;0,"n/a",BV745/AVERAGE(BU737,BV737)*BX3/BV3),"n/a")</f>
        <v>n/a</v>
      </c>
      <c r="BW746" s="86" t="str">
        <f>IFERROR(IF(BW745/AVERAGE(BV737,BW737)&lt;0,"n/a",BW745/AVERAGE(BV737,BW737)*BX3/BW3),"n/a")</f>
        <v>n/a</v>
      </c>
      <c r="BX746" s="1213" t="str">
        <f>IFERROR(IF(BX745/AVERAGE(BT737,BU737,BV737,BW737)&lt;0,"n/a",BX745/AVERAGE(BT737,BU737,BV737,BW737)),"n/a")</f>
        <v>n/a</v>
      </c>
      <c r="BY746" s="939" t="str">
        <f>IFERROR(IF(BY745/AVERAGE(BX737,BY737)&lt;0,"n/a",BY745/AVERAGE(BX737,BY737)*CC3/BY3),"n/a")</f>
        <v>n/a</v>
      </c>
      <c r="BZ746" s="86" t="str">
        <f>IFERROR(IF(BZ745/AVERAGE(BY737,BZ737)&lt;0,"n/a",BZ745/AVERAGE(BY737,BZ737)*CC3/BZ3),"n/a")</f>
        <v>n/a</v>
      </c>
      <c r="CA746" s="86" t="str">
        <f>IFERROR(IF(CA745/AVERAGE(BZ737,CA737)&lt;0,"n/a",CA745/AVERAGE(BZ737,CA737)*CC3/CA3),"n/a")</f>
        <v>n/a</v>
      </c>
      <c r="CB746" s="86" t="str">
        <f>IFERROR(IF(CB745/AVERAGE(CA737,CB737)&lt;0,"n/a",CB745/AVERAGE(CA737,CB737)*CC3/CB3),"n/a")</f>
        <v>n/a</v>
      </c>
      <c r="CC746" s="1213" t="str">
        <f>IFERROR(IF(CC745/AVERAGE(BY737,BZ737,CA737,CB737)&lt;0,"n/a",CC745/AVERAGE(BY737,BZ737,CA737,CB737)),"n/a")</f>
        <v>n/a</v>
      </c>
      <c r="CD746" s="86" t="str">
        <f>IFERROR(IF(CD745/AVERAGE(CC737,CD737)&lt;0,"n/a",CD745/AVERAGE(CC737,CD737)*CH3/CD3),"n/a")</f>
        <v>n/a</v>
      </c>
      <c r="CE746" s="86" t="str">
        <f>IFERROR(IF(CE745/AVERAGE(CD737,CE737)&lt;0,"n/a",CE745/AVERAGE(CD737,CE737)*CH3/CE3),"n/a")</f>
        <v>n/a</v>
      </c>
      <c r="CF746" s="86" t="str">
        <f>IFERROR(IF(CF745/AVERAGE(CE737,CF737)&lt;0,"n/a",CF745/AVERAGE(CE737,CF737)*CH3/CF3),"n/a")</f>
        <v>n/a</v>
      </c>
      <c r="CG746" s="86" t="str">
        <f>IFERROR(IF(CG745/AVERAGE(CF737,CG737)&lt;0,"n/a",CG745/AVERAGE(CF737,CG737)*CH3/CG3),"n/a")</f>
        <v>n/a</v>
      </c>
      <c r="CH746" s="1213" t="str">
        <f>IFERROR(IF(CH745/AVERAGE(CD737,CE737,CF737,CG737)&lt;0,"n/a",CH745/AVERAGE(CD737,CE737,CF737,CG737)),"n/a")</f>
        <v>n/a</v>
      </c>
      <c r="CI746" s="1213" t="str">
        <f>IFERROR(IF(CI745/AVERAGE(CH737,CI737)&lt;0,"n/a",CI745/AVERAGE(CH737,CI737)),"n/a")</f>
        <v>n/a</v>
      </c>
      <c r="CJ746" s="1213" t="str">
        <f>IFERROR(IF(CJ745/AVERAGE(CI737,CJ737)&lt;0,"n/a",CJ745/AVERAGE(CI737,CJ737)),"n/a")</f>
        <v>n/a</v>
      </c>
      <c r="CK746" s="1213" t="str">
        <f>IFERROR(IF(CK745/AVERAGE(CJ737,CK737)&lt;0,"n/a",CK745/AVERAGE(CJ737,CK737)),"n/a")</f>
        <v>n/a</v>
      </c>
      <c r="CL746" s="155"/>
    </row>
    <row r="747" spans="1:90" collapsed="1" x14ac:dyDescent="0.3">
      <c r="A747" s="63"/>
      <c r="B747" s="279"/>
      <c r="C747" s="1213"/>
      <c r="D747" s="1213"/>
      <c r="E747" s="1213"/>
      <c r="F747" s="1213"/>
      <c r="G747" s="86"/>
      <c r="H747" s="86"/>
      <c r="I747" s="86"/>
      <c r="J747" s="86"/>
      <c r="K747" s="1213"/>
      <c r="L747" s="86"/>
      <c r="M747" s="86"/>
      <c r="N747" s="86"/>
      <c r="O747" s="86"/>
      <c r="P747" s="1213"/>
      <c r="Q747" s="86"/>
      <c r="R747" s="86"/>
      <c r="S747" s="86"/>
      <c r="T747" s="86"/>
      <c r="U747" s="1213"/>
      <c r="V747" s="86"/>
      <c r="W747" s="86"/>
      <c r="X747" s="86"/>
      <c r="Y747" s="86"/>
      <c r="Z747" s="1213"/>
      <c r="AA747" s="86"/>
      <c r="AB747" s="86"/>
      <c r="AC747" s="86"/>
      <c r="AD747" s="86"/>
      <c r="AE747" s="1213"/>
      <c r="AF747" s="86"/>
      <c r="AG747" s="86"/>
      <c r="AH747" s="86"/>
      <c r="AI747" s="86"/>
      <c r="AJ747" s="1213"/>
      <c r="AK747" s="86"/>
      <c r="AL747" s="86"/>
      <c r="AM747" s="86"/>
      <c r="AN747" s="86"/>
      <c r="AO747" s="1213"/>
      <c r="AP747" s="86"/>
      <c r="AQ747" s="86"/>
      <c r="AR747" s="86"/>
      <c r="AS747" s="86"/>
      <c r="AT747" s="1213"/>
      <c r="AU747" s="86"/>
      <c r="AV747" s="86"/>
      <c r="AW747" s="86"/>
      <c r="AX747" s="86"/>
      <c r="AY747" s="1213"/>
      <c r="AZ747" s="86"/>
      <c r="BA747" s="86"/>
      <c r="BB747" s="86"/>
      <c r="BC747" s="86"/>
      <c r="BD747" s="1213"/>
      <c r="BE747" s="86"/>
      <c r="BF747" s="86"/>
      <c r="BG747" s="86"/>
      <c r="BH747" s="86"/>
      <c r="BI747" s="1213"/>
      <c r="BJ747" s="86"/>
      <c r="BK747" s="86"/>
      <c r="BL747" s="86"/>
      <c r="BM747" s="86"/>
      <c r="BN747" s="1213"/>
      <c r="BO747" s="86"/>
      <c r="BP747" s="86"/>
      <c r="BQ747" s="86"/>
      <c r="BR747" s="86"/>
      <c r="BS747" s="1213"/>
      <c r="BT747" s="86"/>
      <c r="BU747" s="86"/>
      <c r="BV747" s="86"/>
      <c r="BW747" s="86"/>
      <c r="BX747" s="1213"/>
      <c r="BY747" s="939"/>
      <c r="BZ747" s="86"/>
      <c r="CA747" s="86"/>
      <c r="CB747" s="86"/>
      <c r="CC747" s="1213"/>
      <c r="CD747" s="86"/>
      <c r="CE747" s="86"/>
      <c r="CF747" s="86"/>
      <c r="CG747" s="86"/>
      <c r="CH747" s="1213"/>
      <c r="CI747" s="1213"/>
      <c r="CJ747" s="1213"/>
      <c r="CK747" s="1213"/>
      <c r="CL747" s="155"/>
    </row>
    <row r="748" spans="1:90" x14ac:dyDescent="0.3">
      <c r="A748" s="63" t="s">
        <v>594</v>
      </c>
      <c r="B748" s="279"/>
      <c r="C748" s="1216" t="str">
        <f t="shared" ref="C748:AH748" si="1832">IFERROR(IF(OR(C400&lt;0,C745&lt;0),"n/a",C400/C745),"n/a")</f>
        <v>n/a</v>
      </c>
      <c r="D748" s="1216" t="str">
        <f t="shared" si="1832"/>
        <v>n/a</v>
      </c>
      <c r="E748" s="1216" t="str">
        <f t="shared" si="1832"/>
        <v>n/a</v>
      </c>
      <c r="F748" s="1216" t="str">
        <f t="shared" si="1832"/>
        <v>n/a</v>
      </c>
      <c r="G748" s="564" t="str">
        <f t="shared" si="1832"/>
        <v>n/a</v>
      </c>
      <c r="H748" s="564" t="str">
        <f t="shared" si="1832"/>
        <v>n/a</v>
      </c>
      <c r="I748" s="564" t="str">
        <f t="shared" si="1832"/>
        <v>n/a</v>
      </c>
      <c r="J748" s="564" t="str">
        <f t="shared" si="1832"/>
        <v>n/a</v>
      </c>
      <c r="K748" s="1216" t="str">
        <f t="shared" si="1832"/>
        <v>n/a</v>
      </c>
      <c r="L748" s="564" t="str">
        <f t="shared" si="1832"/>
        <v>n/a</v>
      </c>
      <c r="M748" s="564" t="str">
        <f t="shared" si="1832"/>
        <v>n/a</v>
      </c>
      <c r="N748" s="564" t="str">
        <f t="shared" si="1832"/>
        <v>n/a</v>
      </c>
      <c r="O748" s="564">
        <f t="shared" si="1832"/>
        <v>45.596621496194658</v>
      </c>
      <c r="P748" s="1216" t="str">
        <f t="shared" si="1832"/>
        <v>n/a</v>
      </c>
      <c r="Q748" s="564">
        <f t="shared" si="1832"/>
        <v>46.4</v>
      </c>
      <c r="R748" s="564">
        <f t="shared" si="1832"/>
        <v>49.4</v>
      </c>
      <c r="S748" s="564">
        <f t="shared" si="1832"/>
        <v>75</v>
      </c>
      <c r="T748" s="564">
        <f t="shared" si="1832"/>
        <v>79.5</v>
      </c>
      <c r="U748" s="1216">
        <f t="shared" si="1832"/>
        <v>60.944444444444443</v>
      </c>
      <c r="V748" s="564">
        <f t="shared" si="1832"/>
        <v>88.333333333333329</v>
      </c>
      <c r="W748" s="564">
        <f t="shared" si="1832"/>
        <v>87</v>
      </c>
      <c r="X748" s="564">
        <f t="shared" si="1832"/>
        <v>112.66666666666667</v>
      </c>
      <c r="Y748" s="564">
        <f t="shared" si="1832"/>
        <v>385</v>
      </c>
      <c r="Z748" s="1216">
        <f t="shared" si="1832"/>
        <v>156.125</v>
      </c>
      <c r="AA748" s="564" t="str">
        <f t="shared" si="1832"/>
        <v>n/a</v>
      </c>
      <c r="AB748" s="564" t="str">
        <f t="shared" si="1832"/>
        <v>n/a</v>
      </c>
      <c r="AC748" s="564">
        <f t="shared" si="1832"/>
        <v>369</v>
      </c>
      <c r="AD748" s="564">
        <f t="shared" si="1832"/>
        <v>841</v>
      </c>
      <c r="AE748" s="1216">
        <f t="shared" si="1832"/>
        <v>585</v>
      </c>
      <c r="AF748" s="564" t="str">
        <f t="shared" si="1832"/>
        <v>n/a</v>
      </c>
      <c r="AG748" s="564" t="str">
        <f t="shared" si="1832"/>
        <v>n/a</v>
      </c>
      <c r="AH748" s="564" t="str">
        <f t="shared" si="1832"/>
        <v>n/a</v>
      </c>
      <c r="AI748" s="564" t="str">
        <f t="shared" ref="AI748:BI748" si="1833">IFERROR(IF(OR(AI400&lt;0,AI745&lt;0),"n/a",AI400/AI745),"n/a")</f>
        <v>n/a</v>
      </c>
      <c r="AJ748" s="1216" t="str">
        <f t="shared" si="1833"/>
        <v>n/a</v>
      </c>
      <c r="AK748" s="564" t="str">
        <f t="shared" si="1833"/>
        <v>n/a</v>
      </c>
      <c r="AL748" s="564" t="str">
        <f t="shared" si="1833"/>
        <v>n/a</v>
      </c>
      <c r="AM748" s="564" t="str">
        <f t="shared" si="1833"/>
        <v>n/a</v>
      </c>
      <c r="AN748" s="564" t="str">
        <f t="shared" si="1833"/>
        <v>n/a</v>
      </c>
      <c r="AO748" s="1216" t="str">
        <f t="shared" si="1833"/>
        <v>n/a</v>
      </c>
      <c r="AP748" s="564" t="str">
        <f t="shared" si="1833"/>
        <v>n/a</v>
      </c>
      <c r="AQ748" s="564" t="str">
        <f t="shared" si="1833"/>
        <v>n/a</v>
      </c>
      <c r="AR748" s="564" t="str">
        <f t="shared" si="1833"/>
        <v>n/a</v>
      </c>
      <c r="AS748" s="564" t="str">
        <f t="shared" si="1833"/>
        <v>n/a</v>
      </c>
      <c r="AT748" s="1216" t="str">
        <f t="shared" si="1833"/>
        <v>n/a</v>
      </c>
      <c r="AU748" s="564" t="str">
        <f t="shared" si="1833"/>
        <v>n/a</v>
      </c>
      <c r="AV748" s="564">
        <f t="shared" si="1833"/>
        <v>39.902439024390247</v>
      </c>
      <c r="AW748" s="564">
        <f t="shared" si="1833"/>
        <v>46.043478260869563</v>
      </c>
      <c r="AX748" s="564">
        <f t="shared" si="1833"/>
        <v>47.446808510638299</v>
      </c>
      <c r="AY748" s="1216">
        <f t="shared" si="1833"/>
        <v>57.393700787401578</v>
      </c>
      <c r="AZ748" s="564">
        <f t="shared" si="1833"/>
        <v>57.468085106382979</v>
      </c>
      <c r="BA748" s="564">
        <f t="shared" si="1833"/>
        <v>59.611111111111114</v>
      </c>
      <c r="BB748" s="564">
        <f t="shared" si="1833"/>
        <v>64.381818181818176</v>
      </c>
      <c r="BC748" s="564">
        <f t="shared" si="1833"/>
        <v>73.865384615384613</v>
      </c>
      <c r="BD748" s="1216">
        <f t="shared" si="1833"/>
        <v>64.25603864734299</v>
      </c>
      <c r="BE748" s="564">
        <f t="shared" si="1833"/>
        <v>82.68</v>
      </c>
      <c r="BF748" s="564">
        <f t="shared" si="1833"/>
        <v>80.05263157894737</v>
      </c>
      <c r="BG748" s="564" t="str">
        <f t="shared" si="1833"/>
        <v>n/a</v>
      </c>
      <c r="BH748" s="564" t="str">
        <f t="shared" si="1833"/>
        <v>n/a</v>
      </c>
      <c r="BI748" s="1216" t="str">
        <f t="shared" si="1833"/>
        <v>n/a</v>
      </c>
      <c r="BJ748" s="564" t="str">
        <f t="shared" ref="BJ748:BN748" si="1834">IFERROR(IF(OR(BJ400&lt;0,BJ745&lt;0),"n/a",BJ400/BJ745),"n/a")</f>
        <v>n/a</v>
      </c>
      <c r="BK748" s="564" t="str">
        <f t="shared" si="1834"/>
        <v>n/a</v>
      </c>
      <c r="BL748" s="564" t="str">
        <f t="shared" si="1834"/>
        <v>n/a</v>
      </c>
      <c r="BM748" s="564" t="str">
        <f t="shared" si="1834"/>
        <v>n/a</v>
      </c>
      <c r="BN748" s="1216" t="str">
        <f t="shared" si="1834"/>
        <v>n/a</v>
      </c>
      <c r="BO748" s="564" t="str">
        <f t="shared" ref="BO748:BS748" si="1835">IFERROR(IF(OR(BO400&lt;0,BO745&lt;0),"n/a",BO400/BO745),"n/a")</f>
        <v>n/a</v>
      </c>
      <c r="BP748" s="564" t="str">
        <f t="shared" si="1835"/>
        <v>n/a</v>
      </c>
      <c r="BQ748" s="564" t="str">
        <f t="shared" si="1835"/>
        <v>n/a</v>
      </c>
      <c r="BR748" s="564" t="str">
        <f t="shared" si="1835"/>
        <v>n/a</v>
      </c>
      <c r="BS748" s="1216" t="str">
        <f t="shared" si="1835"/>
        <v>n/a</v>
      </c>
      <c r="BT748" s="564" t="str">
        <f t="shared" ref="BT748:CK748" si="1836">IFERROR(IF(OR(BT400&lt;0,BT745&lt;0),"n/a",BT400/BT745),"n/a")</f>
        <v>n/a</v>
      </c>
      <c r="BU748" s="564" t="str">
        <f t="shared" si="1836"/>
        <v>n/a</v>
      </c>
      <c r="BV748" s="564" t="str">
        <f t="shared" si="1836"/>
        <v>n/a</v>
      </c>
      <c r="BW748" s="564" t="str">
        <f t="shared" si="1836"/>
        <v>n/a</v>
      </c>
      <c r="BX748" s="1216" t="str">
        <f t="shared" si="1836"/>
        <v>n/a</v>
      </c>
      <c r="BY748" s="940" t="str">
        <f>IFERROR(IF(OR(BY400&lt;0,BY745&lt;0),"n/a",BY400/BY745),"n/a")</f>
        <v>n/a</v>
      </c>
      <c r="BZ748" s="564" t="str">
        <f t="shared" si="1836"/>
        <v>n/a</v>
      </c>
      <c r="CA748" s="564" t="str">
        <f t="shared" si="1836"/>
        <v>n/a</v>
      </c>
      <c r="CB748" s="564" t="str">
        <f t="shared" si="1836"/>
        <v>n/a</v>
      </c>
      <c r="CC748" s="1216" t="str">
        <f t="shared" si="1836"/>
        <v>n/a</v>
      </c>
      <c r="CD748" s="564" t="str">
        <f t="shared" si="1836"/>
        <v>n/a</v>
      </c>
      <c r="CE748" s="564" t="str">
        <f t="shared" si="1836"/>
        <v>n/a</v>
      </c>
      <c r="CF748" s="564" t="str">
        <f t="shared" si="1836"/>
        <v>n/a</v>
      </c>
      <c r="CG748" s="564" t="str">
        <f t="shared" si="1836"/>
        <v>n/a</v>
      </c>
      <c r="CH748" s="1216" t="str">
        <f t="shared" si="1836"/>
        <v>n/a</v>
      </c>
      <c r="CI748" s="1216" t="str">
        <f t="shared" si="1836"/>
        <v>n/a</v>
      </c>
      <c r="CJ748" s="1216" t="str">
        <f t="shared" si="1836"/>
        <v>n/a</v>
      </c>
      <c r="CK748" s="1216" t="str">
        <f t="shared" si="1836"/>
        <v>n/a</v>
      </c>
      <c r="CL748" s="155"/>
    </row>
    <row r="749" spans="1:90" x14ac:dyDescent="0.3">
      <c r="A749" s="40" t="s">
        <v>130</v>
      </c>
      <c r="B749" s="615"/>
      <c r="C749" s="1217" t="str">
        <f>IF(C739&lt;0,"n/a",C739/C400)</f>
        <v>n/a</v>
      </c>
      <c r="D749" s="1217" t="str">
        <f>IF(D739&lt;0,"n/a",D739/D400)</f>
        <v>n/a</v>
      </c>
      <c r="E749" s="1217" t="str">
        <f>IF(E739&lt;0,"n/a",E739/E400)</f>
        <v>n/a</v>
      </c>
      <c r="F749" s="1217" t="str">
        <f>IF(F739&lt;0,"n/a",F739/F400)</f>
        <v>n/a</v>
      </c>
      <c r="G749" s="564"/>
      <c r="H749" s="564"/>
      <c r="I749" s="564"/>
      <c r="J749" s="564"/>
      <c r="K749" s="1217" t="str">
        <f>IF(K739&lt;0,"n/a",K739/K400)</f>
        <v>n/a</v>
      </c>
      <c r="L749" s="564"/>
      <c r="M749" s="564"/>
      <c r="N749" s="564"/>
      <c r="O749" s="564"/>
      <c r="P749" s="1217" t="str">
        <f>IF(P739&lt;0,"n/a",P739/P400)</f>
        <v>n/a</v>
      </c>
      <c r="Q749" s="564"/>
      <c r="R749" s="564"/>
      <c r="S749" s="564"/>
      <c r="T749" s="564"/>
      <c r="U749" s="1217" t="str">
        <f>IF(U739&lt;0,"n/a",U739/U400)</f>
        <v>n/a</v>
      </c>
      <c r="V749" s="564"/>
      <c r="W749" s="616"/>
      <c r="X749" s="616"/>
      <c r="Y749" s="616"/>
      <c r="Z749" s="1217" t="str">
        <f>IF(Z739&lt;0,"n/a",Z739/Z400)</f>
        <v>n/a</v>
      </c>
      <c r="AA749" s="616"/>
      <c r="AB749" s="616"/>
      <c r="AC749" s="616"/>
      <c r="AD749" s="616"/>
      <c r="AE749" s="1217" t="str">
        <f>IF(AE739&lt;0,"n/a",AE739/AE400)</f>
        <v>n/a</v>
      </c>
      <c r="AF749" s="616"/>
      <c r="AG749" s="616"/>
      <c r="AH749" s="616"/>
      <c r="AI749" s="616"/>
      <c r="AJ749" s="1217" t="str">
        <f>IF(AJ739&lt;0,"n/a",AJ739/AJ400)</f>
        <v>n/a</v>
      </c>
      <c r="AK749" s="616"/>
      <c r="AL749" s="616"/>
      <c r="AM749" s="616"/>
      <c r="AN749" s="616"/>
      <c r="AO749" s="1217" t="str">
        <f>IF(AO739&lt;0,"n/a",AO739/AO400)</f>
        <v>n/a</v>
      </c>
      <c r="AP749" s="616"/>
      <c r="AQ749" s="616"/>
      <c r="AR749" s="616"/>
      <c r="AS749" s="616"/>
      <c r="AT749" s="1217" t="str">
        <f>IF(AT739&lt;0,"n/a",AT739/AT400)</f>
        <v>n/a</v>
      </c>
      <c r="AU749" s="616"/>
      <c r="AV749" s="616"/>
      <c r="AW749" s="616"/>
      <c r="AX749" s="616"/>
      <c r="AY749" s="1217" t="str">
        <f>IF(AY739&lt;0,"n/a",AY739/AY400)</f>
        <v>n/a</v>
      </c>
      <c r="AZ749" s="616"/>
      <c r="BA749" s="616"/>
      <c r="BB749" s="616"/>
      <c r="BC749" s="616"/>
      <c r="BD749" s="1217" t="str">
        <f>IF(BD739&lt;0,"n/a",BD739/BD400)</f>
        <v>n/a</v>
      </c>
      <c r="BE749" s="616"/>
      <c r="BF749" s="616"/>
      <c r="BG749" s="616"/>
      <c r="BH749" s="616"/>
      <c r="BI749" s="1217" t="str">
        <f>IF(BI739&lt;0,"n/a",BI739/BI400)</f>
        <v>n/a</v>
      </c>
      <c r="BJ749" s="616"/>
      <c r="BK749" s="616"/>
      <c r="BL749" s="616"/>
      <c r="BM749" s="616"/>
      <c r="BN749" s="1217" t="str">
        <f>IF(BN739&lt;0,"n/a",BN739/BN400)</f>
        <v>n/a</v>
      </c>
      <c r="BO749" s="616"/>
      <c r="BP749" s="616"/>
      <c r="BQ749" s="616"/>
      <c r="BR749" s="616"/>
      <c r="BS749" s="1217" t="str">
        <f>IF(BS739&lt;0,"n/a",BS739/BS400)</f>
        <v>n/a</v>
      </c>
      <c r="BT749" s="616"/>
      <c r="BU749" s="616"/>
      <c r="BV749" s="616"/>
      <c r="BW749" s="616"/>
      <c r="BX749" s="1217" t="str">
        <f>IF(BX739&lt;0,"n/a",BX739/BX400)</f>
        <v>n/a</v>
      </c>
      <c r="BY749" s="941"/>
      <c r="BZ749" s="616"/>
      <c r="CA749" s="616"/>
      <c r="CB749" s="616"/>
      <c r="CC749" s="1216" t="str">
        <f>IF(CC739&lt;0,"n/a",CC739/CC400)</f>
        <v>n/a</v>
      </c>
      <c r="CD749" s="616"/>
      <c r="CE749" s="616"/>
      <c r="CF749" s="616"/>
      <c r="CG749" s="616"/>
      <c r="CH749" s="1216" t="str">
        <f>IF(CH739&lt;0,"n/a",CH739/CH400)</f>
        <v>n/a</v>
      </c>
      <c r="CI749" s="1216" t="str">
        <f>IF(CI739&lt;0,"n/a",CI739/CI400)</f>
        <v>n/a</v>
      </c>
      <c r="CJ749" s="1216" t="str">
        <f>IF(CJ739&lt;0,"n/a",CJ739/CJ400)</f>
        <v>n/a</v>
      </c>
      <c r="CK749" s="1216" t="str">
        <f>IF(CK739&lt;0,"n/a",CK739/CK400)</f>
        <v>n/a</v>
      </c>
      <c r="CL749" s="155"/>
    </row>
    <row r="750" spans="1:90" x14ac:dyDescent="0.3">
      <c r="A750" s="40" t="s">
        <v>131</v>
      </c>
      <c r="B750" s="615"/>
      <c r="C750" s="1217" t="str">
        <f>IF(C739&lt;0,"n/a",C739/C705)</f>
        <v>n/a</v>
      </c>
      <c r="D750" s="1217" t="str">
        <f>IF(D739&lt;0,"n/a",D739/D705)</f>
        <v>n/a</v>
      </c>
      <c r="E750" s="1217" t="str">
        <f>IF(E739&lt;0,"n/a",E739/E705)</f>
        <v>n/a</v>
      </c>
      <c r="F750" s="1217" t="str">
        <f>IF(F739&lt;0,"n/a",F739/F705)</f>
        <v>n/a</v>
      </c>
      <c r="G750" s="564"/>
      <c r="H750" s="564"/>
      <c r="I750" s="564"/>
      <c r="J750" s="564"/>
      <c r="K750" s="1217" t="str">
        <f>IF(K739&lt;0,"n/a",K739/K705)</f>
        <v>n/a</v>
      </c>
      <c r="L750" s="564"/>
      <c r="M750" s="564"/>
      <c r="N750" s="564"/>
      <c r="O750" s="564"/>
      <c r="P750" s="1217" t="str">
        <f>IF(P739&lt;0,"n/a",P739/P705)</f>
        <v>n/a</v>
      </c>
      <c r="Q750" s="564"/>
      <c r="R750" s="564"/>
      <c r="S750" s="564"/>
      <c r="T750" s="564"/>
      <c r="U750" s="1217" t="str">
        <f>IF(U739&lt;0,"n/a",U739/U705)</f>
        <v>n/a</v>
      </c>
      <c r="V750" s="564"/>
      <c r="W750" s="616"/>
      <c r="X750" s="616"/>
      <c r="Y750" s="616"/>
      <c r="Z750" s="1217" t="str">
        <f>IF(Z739&lt;0,"n/a",Z739/Z705)</f>
        <v>n/a</v>
      </c>
      <c r="AA750" s="616"/>
      <c r="AB750" s="616"/>
      <c r="AC750" s="616"/>
      <c r="AD750" s="616"/>
      <c r="AE750" s="1216" t="str">
        <f>IF(AE739&lt;0,"n/a",AE739/AE705)</f>
        <v>n/a</v>
      </c>
      <c r="AF750" s="616"/>
      <c r="AG750" s="616"/>
      <c r="AH750" s="616"/>
      <c r="AI750" s="616"/>
      <c r="AJ750" s="1216" t="str">
        <f>IF(AJ739&lt;0,"n/a",AJ739/AJ705)</f>
        <v>n/a</v>
      </c>
      <c r="AK750" s="616"/>
      <c r="AL750" s="616"/>
      <c r="AM750" s="616"/>
      <c r="AN750" s="616"/>
      <c r="AO750" s="1216" t="str">
        <f>IF(AO739&lt;0,"n/a",AO739/AO705)</f>
        <v>n/a</v>
      </c>
      <c r="AP750" s="616"/>
      <c r="AQ750" s="616"/>
      <c r="AR750" s="616"/>
      <c r="AS750" s="616"/>
      <c r="AT750" s="1216" t="str">
        <f>IF(AT739&lt;0,"n/a",AT739/AT705)</f>
        <v>n/a</v>
      </c>
      <c r="AU750" s="616"/>
      <c r="AV750" s="616"/>
      <c r="AW750" s="616"/>
      <c r="AX750" s="616"/>
      <c r="AY750" s="1216" t="str">
        <f>IF(AY739&lt;0,"n/a",AY739/AY705)</f>
        <v>n/a</v>
      </c>
      <c r="AZ750" s="616"/>
      <c r="BA750" s="616"/>
      <c r="BB750" s="616"/>
      <c r="BC750" s="616"/>
      <c r="BD750" s="1216" t="str">
        <f>IF(BD739&lt;0,"n/a",BD739/BD705)</f>
        <v>n/a</v>
      </c>
      <c r="BE750" s="616"/>
      <c r="BF750" s="616"/>
      <c r="BG750" s="616"/>
      <c r="BH750" s="616"/>
      <c r="BI750" s="1216" t="str">
        <f>IF(BI739&lt;0,"n/a",BI739/BI705)</f>
        <v>n/a</v>
      </c>
      <c r="BJ750" s="616"/>
      <c r="BK750" s="616"/>
      <c r="BL750" s="616"/>
      <c r="BM750" s="616"/>
      <c r="BN750" s="1216" t="str">
        <f>IF(BN739&lt;0,"n/a",BN739/BN705)</f>
        <v>n/a</v>
      </c>
      <c r="BO750" s="616"/>
      <c r="BP750" s="616"/>
      <c r="BQ750" s="616"/>
      <c r="BR750" s="616"/>
      <c r="BS750" s="1216" t="str">
        <f>IF(BS739&lt;0,"n/a",BS739/BS705)</f>
        <v>n/a</v>
      </c>
      <c r="BT750" s="616"/>
      <c r="BU750" s="616"/>
      <c r="BV750" s="616"/>
      <c r="BW750" s="616"/>
      <c r="BX750" s="1216" t="str">
        <f>IF(BX739&lt;0,"n/a",BX739/BX705)</f>
        <v>n/a</v>
      </c>
      <c r="BY750" s="941"/>
      <c r="BZ750" s="616"/>
      <c r="CA750" s="616"/>
      <c r="CB750" s="616"/>
      <c r="CC750" s="1216" t="str">
        <f>IF(CC739&lt;0,"n/a",CC739/CC705)</f>
        <v>n/a</v>
      </c>
      <c r="CD750" s="616"/>
      <c r="CE750" s="616"/>
      <c r="CF750" s="616"/>
      <c r="CG750" s="616"/>
      <c r="CH750" s="1216" t="str">
        <f>IF(CH739&lt;0,"n/a",CH739/CH705)</f>
        <v>n/a</v>
      </c>
      <c r="CI750" s="1216" t="str">
        <f>IF(CI739&lt;0,"n/a",CI739/CI705)</f>
        <v>n/a</v>
      </c>
      <c r="CJ750" s="1216" t="str">
        <f>IF(CJ739&lt;0,"n/a",CJ739/CJ705)</f>
        <v>n/a</v>
      </c>
      <c r="CK750" s="1216" t="str">
        <f>IF(CK739&lt;0,"n/a",CK739/CK705)</f>
        <v>n/a</v>
      </c>
      <c r="CL750" s="155"/>
    </row>
    <row r="751" spans="1:90" x14ac:dyDescent="0.3">
      <c r="A751" s="617"/>
      <c r="B751" s="617"/>
      <c r="C751" s="1218"/>
      <c r="D751" s="1218"/>
      <c r="E751" s="1218"/>
      <c r="F751" s="1218"/>
      <c r="G751" s="596"/>
      <c r="H751" s="596"/>
      <c r="I751" s="596"/>
      <c r="J751" s="596"/>
      <c r="K751" s="1218"/>
      <c r="L751" s="596"/>
      <c r="M751" s="596"/>
      <c r="N751" s="596"/>
      <c r="O751" s="596"/>
      <c r="P751" s="1218"/>
      <c r="Q751" s="596"/>
      <c r="R751" s="596"/>
      <c r="S751" s="596"/>
      <c r="T751" s="596"/>
      <c r="U751" s="1218"/>
      <c r="V751" s="596"/>
      <c r="W751" s="596"/>
      <c r="X751" s="596"/>
      <c r="Y751" s="596"/>
      <c r="Z751" s="1218"/>
      <c r="AA751" s="596"/>
      <c r="AB751" s="596"/>
      <c r="AC751" s="596"/>
      <c r="AD751" s="596"/>
      <c r="AE751" s="1218"/>
      <c r="AF751" s="596"/>
      <c r="AG751" s="596"/>
      <c r="AH751" s="596"/>
      <c r="AI751" s="596"/>
      <c r="AJ751" s="1218"/>
      <c r="AK751" s="596"/>
      <c r="AL751" s="596"/>
      <c r="AM751" s="596"/>
      <c r="AN751" s="596"/>
      <c r="AO751" s="1218"/>
      <c r="AP751" s="596"/>
      <c r="AQ751" s="596"/>
      <c r="AR751" s="596"/>
      <c r="AS751" s="596"/>
      <c r="AT751" s="1218"/>
      <c r="AU751" s="596"/>
      <c r="AV751" s="596"/>
      <c r="AW751" s="596"/>
      <c r="AX751" s="596"/>
      <c r="AY751" s="1218"/>
      <c r="AZ751" s="596"/>
      <c r="BA751" s="596"/>
      <c r="BB751" s="596"/>
      <c r="BC751" s="596"/>
      <c r="BD751" s="1218"/>
      <c r="BE751" s="596"/>
      <c r="BF751" s="596"/>
      <c r="BG751" s="596"/>
      <c r="BH751" s="596"/>
      <c r="BI751" s="1218"/>
      <c r="BJ751" s="596"/>
      <c r="BK751" s="596"/>
      <c r="BL751" s="596"/>
      <c r="BM751" s="596"/>
      <c r="BN751" s="1218"/>
      <c r="BO751" s="596"/>
      <c r="BP751" s="596"/>
      <c r="BQ751" s="596"/>
      <c r="BR751" s="596"/>
      <c r="BS751" s="1218"/>
      <c r="BT751" s="596"/>
      <c r="BU751" s="596"/>
      <c r="BV751" s="596"/>
      <c r="BW751" s="596"/>
      <c r="BX751" s="1218"/>
      <c r="BY751" s="630"/>
      <c r="BZ751" s="596"/>
      <c r="CA751" s="596"/>
      <c r="CB751" s="596"/>
      <c r="CC751" s="1218"/>
      <c r="CD751" s="596"/>
      <c r="CE751" s="596"/>
      <c r="CF751" s="596"/>
      <c r="CG751" s="596"/>
      <c r="CH751" s="1218"/>
      <c r="CI751" s="1218"/>
      <c r="CJ751" s="1218"/>
      <c r="CK751" s="1218"/>
      <c r="CL751" s="155"/>
    </row>
    <row r="752" spans="1:90" x14ac:dyDescent="0.3">
      <c r="A752" s="45" t="s">
        <v>132</v>
      </c>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c r="AY752" s="45"/>
      <c r="AZ752" s="45"/>
      <c r="BA752" s="45"/>
      <c r="BB752" s="45"/>
      <c r="BC752" s="45"/>
      <c r="BD752" s="45"/>
      <c r="BE752" s="45"/>
      <c r="BF752" s="45"/>
      <c r="BG752" s="45"/>
      <c r="BH752" s="45"/>
      <c r="BI752" s="45"/>
      <c r="BJ752" s="45"/>
      <c r="BK752" s="45"/>
      <c r="BL752" s="45"/>
      <c r="BM752" s="45"/>
      <c r="BN752" s="45"/>
      <c r="BO752" s="45"/>
      <c r="BP752" s="45"/>
      <c r="BQ752" s="45"/>
      <c r="BR752" s="45"/>
      <c r="BS752" s="45"/>
      <c r="BT752" s="45"/>
      <c r="BU752" s="45"/>
      <c r="BV752" s="45"/>
      <c r="BW752" s="45"/>
      <c r="BX752" s="45"/>
      <c r="BY752" s="881"/>
      <c r="BZ752" s="45"/>
      <c r="CA752" s="45"/>
      <c r="CB752" s="45"/>
      <c r="CC752" s="45"/>
      <c r="CD752" s="45"/>
      <c r="CE752" s="45"/>
      <c r="CF752" s="45"/>
      <c r="CG752" s="45"/>
      <c r="CH752" s="45"/>
      <c r="CI752" s="45"/>
      <c r="CJ752" s="45"/>
      <c r="CK752" s="45"/>
      <c r="CL752" s="155"/>
    </row>
    <row r="753" spans="1:90" x14ac:dyDescent="0.3">
      <c r="A753" s="98" t="str">
        <f>"Stock Price (Reporting Cur.) - "&amp;MO.ValuationToggle&amp;", "&amp;MO.ReportCurrency</f>
        <v>Stock Price (Reporting Cur.) - EoP, USD</v>
      </c>
      <c r="B753" s="1089" t="s">
        <v>854</v>
      </c>
      <c r="C753" s="1219">
        <f t="shared" ref="C753:AH753" si="1837">IF(MO.ValuationToggle="EoP",INDEX(MO_VA_StockPrice_TradingCurrency,1,COLUMN())/INDEX(MO_VA_FX_EoP,1,COLUMN()),INDEX(MO_VA_StockPrice_TradingCurrency,1,COLUMN())/INDEX(MO_VA_FX_Average,1,COLUMN()))</f>
        <v>0.19875000000000001</v>
      </c>
      <c r="D753" s="1219">
        <f t="shared" si="1837"/>
        <v>0.38475000000000004</v>
      </c>
      <c r="E753" s="1219">
        <f t="shared" si="1837"/>
        <v>0.59400000000000008</v>
      </c>
      <c r="F753" s="1219">
        <f t="shared" si="1837"/>
        <v>0.37</v>
      </c>
      <c r="G753" s="1029">
        <f t="shared" si="1837"/>
        <v>0.32450000000000001</v>
      </c>
      <c r="H753" s="1029">
        <f t="shared" si="1837"/>
        <v>0.33324999999999999</v>
      </c>
      <c r="I753" s="1029">
        <f t="shared" si="1837"/>
        <v>0.30125000000000002</v>
      </c>
      <c r="J753" s="1029">
        <f t="shared" si="1837"/>
        <v>0.308</v>
      </c>
      <c r="K753" s="1219">
        <f t="shared" si="1837"/>
        <v>0.308</v>
      </c>
      <c r="L753" s="1029">
        <f t="shared" si="1837"/>
        <v>0.33925</v>
      </c>
      <c r="M753" s="1029">
        <f t="shared" si="1837"/>
        <v>0.36025000000000001</v>
      </c>
      <c r="N753" s="1029">
        <f t="shared" si="1837"/>
        <v>0.3805</v>
      </c>
      <c r="O753" s="1029">
        <f t="shared" si="1837"/>
        <v>0.39300000000000002</v>
      </c>
      <c r="P753" s="1219">
        <f t="shared" si="1837"/>
        <v>0.39300000000000002</v>
      </c>
      <c r="Q753" s="1029">
        <f t="shared" si="1837"/>
        <v>0.46725000000000005</v>
      </c>
      <c r="R753" s="1029">
        <f t="shared" si="1837"/>
        <v>0.45199999999999996</v>
      </c>
      <c r="S753" s="1029">
        <f t="shared" si="1837"/>
        <v>0.46725000000000005</v>
      </c>
      <c r="T753" s="1029">
        <f t="shared" si="1837"/>
        <v>0.48011999999999999</v>
      </c>
      <c r="U753" s="1219">
        <f t="shared" si="1837"/>
        <v>0.48011999999999999</v>
      </c>
      <c r="V753" s="1029">
        <f t="shared" si="1837"/>
        <v>0.55349999999999999</v>
      </c>
      <c r="W753" s="1029">
        <f t="shared" si="1837"/>
        <v>0.50049999999999994</v>
      </c>
      <c r="X753" s="1029">
        <f t="shared" si="1837"/>
        <v>0.70925000000000005</v>
      </c>
      <c r="Y753" s="1029">
        <f t="shared" si="1837"/>
        <v>0.73224999999999996</v>
      </c>
      <c r="Z753" s="1175">
        <f t="shared" si="1837"/>
        <v>0.73224999999999996</v>
      </c>
      <c r="AA753" s="1029">
        <f t="shared" si="1837"/>
        <v>0.88824999999999998</v>
      </c>
      <c r="AB753" s="1029">
        <f t="shared" si="1837"/>
        <v>1.4275</v>
      </c>
      <c r="AC753" s="1029">
        <f t="shared" si="1837"/>
        <v>1.764</v>
      </c>
      <c r="AD753" s="1029">
        <f t="shared" si="1837"/>
        <v>2.7504999999999997</v>
      </c>
      <c r="AE753" s="1176">
        <f t="shared" si="1837"/>
        <v>2.7504999999999997</v>
      </c>
      <c r="AF753" s="1029">
        <f t="shared" si="1837"/>
        <v>2.6074999999999999</v>
      </c>
      <c r="AG753" s="1029">
        <f t="shared" si="1837"/>
        <v>4.10975</v>
      </c>
      <c r="AH753" s="1029">
        <f t="shared" si="1837"/>
        <v>5.0960000000000001</v>
      </c>
      <c r="AI753" s="1029">
        <f t="shared" ref="AI753:BG753" si="1838">IF(MO.ValuationToggle="EoP",INDEX(MO_VA_StockPrice_TradingCurrency,1,COLUMN())/INDEX(MO_VA_FX_EoP,1,COLUMN()),INDEX(MO_VA_StockPrice_TradingCurrency,1,COLUMN())/INDEX(MO_VA_FX_Average,1,COLUMN()))</f>
        <v>6.0679999999999996</v>
      </c>
      <c r="AJ753" s="1176">
        <f t="shared" si="1838"/>
        <v>6.0679999999999996</v>
      </c>
      <c r="AK753" s="1029">
        <f t="shared" si="1838"/>
        <v>5.6582500000000007</v>
      </c>
      <c r="AL753" s="1029">
        <f t="shared" si="1838"/>
        <v>6.1032500000000001</v>
      </c>
      <c r="AM753" s="1029">
        <f t="shared" si="1838"/>
        <v>5.0750000000000002</v>
      </c>
      <c r="AN753" s="1029">
        <f t="shared" si="1838"/>
        <v>3.4347499999999997</v>
      </c>
      <c r="AO753" s="1176">
        <f t="shared" si="1838"/>
        <v>3.4347499999999997</v>
      </c>
      <c r="AP753" s="1029">
        <f t="shared" si="1838"/>
        <v>4.48325</v>
      </c>
      <c r="AQ753" s="1029">
        <f t="shared" si="1838"/>
        <v>4.3862499999999995</v>
      </c>
      <c r="AR753" s="1029">
        <f t="shared" si="1838"/>
        <v>5.0750000000000002</v>
      </c>
      <c r="AS753" s="1029">
        <f t="shared" si="1838"/>
        <v>6.1452499999999999</v>
      </c>
      <c r="AT753" s="1176">
        <f t="shared" si="1838"/>
        <v>6.1452499999999999</v>
      </c>
      <c r="AU753" s="1029">
        <f t="shared" si="1838"/>
        <v>7.4614999999999991</v>
      </c>
      <c r="AV753" s="1029">
        <f t="shared" si="1838"/>
        <v>10.614000000000001</v>
      </c>
      <c r="AW753" s="1029">
        <f t="shared" si="1838"/>
        <v>12.534000000000001</v>
      </c>
      <c r="AX753" s="1029">
        <f t="shared" si="1838"/>
        <v>12.989750000000001</v>
      </c>
      <c r="AY753" s="1176">
        <f t="shared" si="1838"/>
        <v>12.989750000000001</v>
      </c>
      <c r="AZ753" s="1029">
        <f t="shared" si="1838"/>
        <v>15.32475</v>
      </c>
      <c r="BA753" s="1029">
        <f t="shared" si="1838"/>
        <v>19.499000000000002</v>
      </c>
      <c r="BB753" s="1029">
        <f t="shared" si="1838"/>
        <v>25.567</v>
      </c>
      <c r="BC753" s="1029">
        <f t="shared" si="1838"/>
        <v>22.84</v>
      </c>
      <c r="BD753" s="1176">
        <f t="shared" si="1838"/>
        <v>22.84</v>
      </c>
      <c r="BE753" s="1029">
        <f t="shared" si="1838"/>
        <v>18.547000000000001</v>
      </c>
      <c r="BF753" s="1029">
        <f t="shared" si="1838"/>
        <v>18.163</v>
      </c>
      <c r="BG753" s="1029">
        <f t="shared" si="1838"/>
        <v>13.834</v>
      </c>
      <c r="BH753" s="1029">
        <f t="shared" ref="BH753:BI753" si="1839">IF(MO.ValuationToggle="EoP",INDEX(MO_VA_StockPrice_TradingCurrency,1,COLUMN())/INDEX(MO_VA_FX_EoP,1,COLUMN()),INDEX(MO_VA_StockPrice_TradingCurrency,1,COLUMN())/INDEX(MO_VA_FX_Average,1,COLUMN()))</f>
        <v>19.161999999999999</v>
      </c>
      <c r="BI753" s="1176">
        <f t="shared" si="1839"/>
        <v>19.161999999999999</v>
      </c>
      <c r="BJ753" s="1029">
        <f t="shared" ref="BJ753:BN753" si="1840">IF(MO.ValuationToggle="EoP",INDEX(MO_VA_StockPrice_TradingCurrency,1,COLUMN())/INDEX(MO_VA_FX_EoP,1,COLUMN()),INDEX(MO_VA_StockPrice_TradingCurrency,1,COLUMN())/INDEX(MO_VA_FX_Average,1,COLUMN()))</f>
        <v>27.749000000000002</v>
      </c>
      <c r="BK753" s="1029">
        <f t="shared" si="1840"/>
        <v>46.75</v>
      </c>
      <c r="BL753" s="1029">
        <f t="shared" si="1840"/>
        <v>40.5</v>
      </c>
      <c r="BM753" s="1029">
        <f t="shared" si="1840"/>
        <v>61.030999999999992</v>
      </c>
      <c r="BN753" s="1176">
        <f t="shared" si="1840"/>
        <v>61.030999999999992</v>
      </c>
      <c r="BO753" s="1029">
        <f t="shared" ref="BO753:BS753" si="1841">IF(MO.ValuationToggle="EoP",INDEX(MO_VA_StockPrice_TradingCurrency,1,COLUMN())/INDEX(MO_VA_FX_EoP,1,COLUMN()),INDEX(MO_VA_StockPrice_TradingCurrency,1,COLUMN())/INDEX(MO_VA_FX_Average,1,COLUMN()))</f>
        <v>87.734999999999999</v>
      </c>
      <c r="BP753" s="1029">
        <f t="shared" si="1841"/>
        <v>113.06</v>
      </c>
      <c r="BQ753" s="1029">
        <f t="shared" si="1841"/>
        <v>141.54</v>
      </c>
      <c r="BR753" s="1029">
        <f t="shared" si="1841"/>
        <v>142.62</v>
      </c>
      <c r="BS753" s="1176">
        <f t="shared" si="1841"/>
        <v>142.62</v>
      </c>
      <c r="BT753" s="1029">
        <f t="shared" ref="BT753:CK753" si="1842">IF(MO.ValuationToggle="EoP",INDEX(MO_VA_StockPrice_TradingCurrency,1,COLUMN())/INDEX(MO_VA_FX_EoP,1,COLUMN()),INDEX(MO_VA_StockPrice_TradingCurrency,1,COLUMN())/INDEX(MO_VA_FX_Average,1,COLUMN()))</f>
        <v>87.734999999999999</v>
      </c>
      <c r="BU753" s="1029">
        <f t="shared" si="1842"/>
        <v>173.5</v>
      </c>
      <c r="BV753" s="1029">
        <f t="shared" si="1842"/>
        <v>186.26</v>
      </c>
      <c r="BW753" s="1029">
        <f t="shared" si="1842"/>
        <v>187.67</v>
      </c>
      <c r="BX753" s="1176">
        <f t="shared" si="1842"/>
        <v>187.67</v>
      </c>
      <c r="BY753" s="942">
        <f>IF(MO.ValuationToggle="EoP",INDEX(MO_VA_StockPrice_TradingCurrency,1,COLUMN())/INDEX(MO_VA_FX_EoP,1,COLUMN()),INDEX(MO_VA_StockPrice_TradingCurrency,1,COLUMN())/INDEX(MO_VA_FX_Average,1,COLUMN()))</f>
        <v>208.27</v>
      </c>
      <c r="BZ753" s="722">
        <f t="shared" si="1842"/>
        <v>222.82</v>
      </c>
      <c r="CA753" s="722">
        <f t="shared" si="1842"/>
        <v>222.82</v>
      </c>
      <c r="CB753" s="722">
        <f t="shared" si="1842"/>
        <v>222.82</v>
      </c>
      <c r="CC753" s="1176">
        <f t="shared" si="1842"/>
        <v>222.82</v>
      </c>
      <c r="CD753" s="722">
        <f t="shared" si="1842"/>
        <v>222.82</v>
      </c>
      <c r="CE753" s="722">
        <f t="shared" si="1842"/>
        <v>222.82</v>
      </c>
      <c r="CF753" s="722">
        <f t="shared" si="1842"/>
        <v>222.82</v>
      </c>
      <c r="CG753" s="722">
        <f t="shared" si="1842"/>
        <v>222.82</v>
      </c>
      <c r="CH753" s="1176">
        <f t="shared" si="1842"/>
        <v>222.82</v>
      </c>
      <c r="CI753" s="1176">
        <f t="shared" si="1842"/>
        <v>222.82</v>
      </c>
      <c r="CJ753" s="1176">
        <f t="shared" si="1842"/>
        <v>222.82</v>
      </c>
      <c r="CK753" s="1176">
        <f t="shared" si="1842"/>
        <v>222.82</v>
      </c>
      <c r="CL753" s="237"/>
    </row>
    <row r="754" spans="1:90" x14ac:dyDescent="0.3">
      <c r="A754" s="27" t="str">
        <f>"Market Cap - "&amp;MO.ValuationToggle</f>
        <v>Market Cap - EoP</v>
      </c>
      <c r="B754" s="146"/>
      <c r="C754" s="1114">
        <f t="shared" ref="C754:AH754" si="1843">INDEX(MO_VA_StockPrice,0,COLUMN())*INDEX(MO_SCA_ShareCount_EoP_Diluted,0,COLUMN())</f>
        <v>4280.7630897000008</v>
      </c>
      <c r="D754" s="1114">
        <f t="shared" si="1843"/>
        <v>8640.9594468900013</v>
      </c>
      <c r="E754" s="1114">
        <f t="shared" si="1843"/>
        <v>14305.009775760002</v>
      </c>
      <c r="F754" s="1114">
        <f t="shared" si="1843"/>
        <v>9248.7628976000015</v>
      </c>
      <c r="G754" s="27">
        <f t="shared" si="1843"/>
        <v>8143.3221522399981</v>
      </c>
      <c r="H754" s="27">
        <f t="shared" si="1843"/>
        <v>8301.529591960003</v>
      </c>
      <c r="I754" s="27">
        <f t="shared" si="1843"/>
        <v>7622.5117353999985</v>
      </c>
      <c r="J754" s="27">
        <f t="shared" si="1843"/>
        <v>7621.2152508800009</v>
      </c>
      <c r="K754" s="1114">
        <f t="shared" si="1843"/>
        <v>7667.83413088</v>
      </c>
      <c r="L754" s="27">
        <f t="shared" si="1843"/>
        <v>8405.500441619999</v>
      </c>
      <c r="M754" s="27">
        <f t="shared" si="1843"/>
        <v>8074.832760940003</v>
      </c>
      <c r="N754" s="27">
        <f t="shared" si="1843"/>
        <v>9374.3003605199938</v>
      </c>
      <c r="O754" s="27">
        <f t="shared" si="1843"/>
        <v>9068.3922184799976</v>
      </c>
      <c r="P754" s="1114">
        <f t="shared" si="1843"/>
        <v>9033.037938479998</v>
      </c>
      <c r="Q754" s="27">
        <f t="shared" si="1843"/>
        <v>10485.151041540003</v>
      </c>
      <c r="R754" s="27">
        <f t="shared" si="1843"/>
        <v>10468.260950719998</v>
      </c>
      <c r="S754" s="27">
        <f t="shared" si="1843"/>
        <v>10092.661041540003</v>
      </c>
      <c r="T754" s="27">
        <f t="shared" si="1843"/>
        <v>10714.6075824</v>
      </c>
      <c r="U754" s="1114">
        <f t="shared" si="1843"/>
        <v>10676.197982400001</v>
      </c>
      <c r="V754" s="27">
        <f t="shared" si="1843"/>
        <v>12666.00618</v>
      </c>
      <c r="W754" s="27">
        <f t="shared" si="1843"/>
        <v>10889.13826</v>
      </c>
      <c r="X754" s="27">
        <f t="shared" si="1843"/>
        <v>16400.32819</v>
      </c>
      <c r="Y754" s="27">
        <f t="shared" si="1843"/>
        <v>17368.969999999998</v>
      </c>
      <c r="Z754" s="1114">
        <f t="shared" si="1843"/>
        <v>16548.849999999999</v>
      </c>
      <c r="AA754" s="27">
        <f t="shared" si="1843"/>
        <v>21140.35</v>
      </c>
      <c r="AB754" s="27">
        <f t="shared" si="1843"/>
        <v>35973</v>
      </c>
      <c r="AC754" s="27">
        <f t="shared" si="1843"/>
        <v>46428.480000000003</v>
      </c>
      <c r="AD754" s="27">
        <f t="shared" si="1843"/>
        <v>76133.84</v>
      </c>
      <c r="AE754" s="1112">
        <f t="shared" si="1843"/>
        <v>76243.859999999986</v>
      </c>
      <c r="AF754" s="27">
        <f t="shared" si="1843"/>
        <v>67586.399999999994</v>
      </c>
      <c r="AG754" s="27">
        <f t="shared" si="1843"/>
        <v>103730.09</v>
      </c>
      <c r="AH754" s="27">
        <f t="shared" si="1843"/>
        <v>129642.24000000001</v>
      </c>
      <c r="AI754" s="27">
        <f t="shared" ref="AI754:BG754" si="1844">INDEX(MO_VA_StockPrice,0,COLUMN())*INDEX(MO_SCA_ShareCount_EoP_Diluted,0,COLUMN())</f>
        <v>152428.16</v>
      </c>
      <c r="AJ754" s="1112">
        <f t="shared" si="1844"/>
        <v>155098.07999999999</v>
      </c>
      <c r="AK754" s="27">
        <f t="shared" si="1844"/>
        <v>142135.24000000002</v>
      </c>
      <c r="AL754" s="27">
        <f t="shared" si="1844"/>
        <v>153069.51</v>
      </c>
      <c r="AM754" s="27">
        <f t="shared" si="1844"/>
        <v>127281</v>
      </c>
      <c r="AN754" s="27">
        <f t="shared" si="1844"/>
        <v>84632.239999999991</v>
      </c>
      <c r="AO754" s="1112">
        <f t="shared" si="1844"/>
        <v>85593.969999999987</v>
      </c>
      <c r="AP754" s="27">
        <f t="shared" si="1844"/>
        <v>110825.94</v>
      </c>
      <c r="AQ754" s="27">
        <f t="shared" si="1844"/>
        <v>108077.19999999998</v>
      </c>
      <c r="AR754" s="27">
        <f t="shared" si="1844"/>
        <v>125860</v>
      </c>
      <c r="AS754" s="27">
        <f t="shared" si="1844"/>
        <v>152648.01</v>
      </c>
      <c r="AT754" s="1112">
        <f t="shared" si="1844"/>
        <v>152648.01</v>
      </c>
      <c r="AU754" s="27">
        <f t="shared" si="1844"/>
        <v>185940.58</v>
      </c>
      <c r="AV754" s="27">
        <f t="shared" si="1844"/>
        <v>266199.12</v>
      </c>
      <c r="AW754" s="27">
        <f t="shared" si="1844"/>
        <v>316358.16000000003</v>
      </c>
      <c r="AX754" s="27">
        <f t="shared" si="1844"/>
        <v>328380.88</v>
      </c>
      <c r="AY754" s="1112">
        <f t="shared" si="1844"/>
        <v>327861.29000000004</v>
      </c>
      <c r="AZ754" s="27">
        <f t="shared" si="1844"/>
        <v>388635.66</v>
      </c>
      <c r="BA754" s="27">
        <f t="shared" si="1844"/>
        <v>494299.65000000008</v>
      </c>
      <c r="BB754" s="27">
        <f t="shared" si="1844"/>
        <v>649657.47</v>
      </c>
      <c r="BC754" s="27">
        <f t="shared" si="1844"/>
        <v>581734.80000000005</v>
      </c>
      <c r="BD754" s="1112">
        <f t="shared" si="1844"/>
        <v>581278</v>
      </c>
      <c r="BE754" s="27">
        <f t="shared" si="1844"/>
        <v>470166.45</v>
      </c>
      <c r="BF754" s="27">
        <f t="shared" si="1844"/>
        <v>455891.3</v>
      </c>
      <c r="BG754" s="27">
        <f t="shared" si="1844"/>
        <v>343636.56</v>
      </c>
      <c r="BH754" s="27">
        <f t="shared" ref="BH754:BI754" si="1845">INDEX(MO_VA_StockPrice,0,COLUMN())*INDEX(MO_SCA_ShareCount_EoP_Diluted,0,COLUMN())</f>
        <v>475025.98</v>
      </c>
      <c r="BI754" s="1112">
        <f t="shared" si="1845"/>
        <v>475025.98</v>
      </c>
      <c r="BJ754" s="27">
        <f t="shared" ref="BJ754:BN754" si="1846">INDEX(MO_VA_StockPrice,0,COLUMN())*INDEX(MO_SCA_ShareCount_EoP_Diluted,0,COLUMN())</f>
        <v>691782.57000000007</v>
      </c>
      <c r="BK754" s="27">
        <f t="shared" si="1846"/>
        <v>1166412.5</v>
      </c>
      <c r="BL754" s="27">
        <f t="shared" si="1846"/>
        <v>1009260</v>
      </c>
      <c r="BM754" s="27">
        <f t="shared" si="1846"/>
        <v>1518451.2799999998</v>
      </c>
      <c r="BN754" s="1112">
        <f t="shared" si="1846"/>
        <v>1518451.2799999998</v>
      </c>
      <c r="BO754" s="27">
        <f t="shared" ref="BO754:BS754" si="1847">INDEX(MO_VA_StockPrice,0,COLUMN())*INDEX(MO_SCA_ShareCount_EoP_Diluted,0,COLUMN())</f>
        <v>2181092.1</v>
      </c>
      <c r="BP754" s="27">
        <f t="shared" si="1847"/>
        <v>2807505.92</v>
      </c>
      <c r="BQ754" s="27">
        <f t="shared" si="1847"/>
        <v>3502973.46</v>
      </c>
      <c r="BR754" s="27">
        <f t="shared" si="1847"/>
        <v>3521858.2800000003</v>
      </c>
      <c r="BS754" s="1112">
        <f t="shared" si="1847"/>
        <v>3521858.2800000003</v>
      </c>
      <c r="BT754" s="27">
        <f t="shared" ref="BT754:CK754" si="1848">INDEX(MO_VA_StockPrice,0,COLUMN())*INDEX(MO_SCA_ShareCount_EoP_Diluted,0,COLUMN())</f>
        <v>2154596.13</v>
      </c>
      <c r="BU754" s="27">
        <f t="shared" si="1848"/>
        <v>4253005.5</v>
      </c>
      <c r="BV754" s="27">
        <f t="shared" si="1848"/>
        <v>4556105.8599999994</v>
      </c>
      <c r="BW754" s="27">
        <f t="shared" si="1848"/>
        <v>4585153.4399999995</v>
      </c>
      <c r="BX754" s="1112">
        <f t="shared" si="1848"/>
        <v>4585153.4399999995</v>
      </c>
      <c r="BY754" s="508">
        <f>INDEX(MO_VA_StockPrice,0,COLUMN())*INDEX(MO_SCA_ShareCount_EoP_Diluted,0,COLUMN())</f>
        <v>5066376.0200000005</v>
      </c>
      <c r="BZ754" s="68">
        <f t="shared" si="1848"/>
        <v>5449993.9926464939</v>
      </c>
      <c r="CA754" s="68">
        <f t="shared" si="1848"/>
        <v>5449993.9926464939</v>
      </c>
      <c r="CB754" s="68">
        <f t="shared" si="1848"/>
        <v>5449993.9926464939</v>
      </c>
      <c r="CC754" s="1112">
        <f t="shared" si="1848"/>
        <v>5449993.9926464939</v>
      </c>
      <c r="CD754" s="68">
        <f t="shared" si="1848"/>
        <v>5449993.9926464939</v>
      </c>
      <c r="CE754" s="68">
        <f t="shared" si="1848"/>
        <v>5449993.9926464939</v>
      </c>
      <c r="CF754" s="68">
        <f t="shared" si="1848"/>
        <v>5449993.9926464939</v>
      </c>
      <c r="CG754" s="68">
        <f t="shared" si="1848"/>
        <v>5449993.9926464939</v>
      </c>
      <c r="CH754" s="1112">
        <f t="shared" si="1848"/>
        <v>5449993.9926464939</v>
      </c>
      <c r="CI754" s="1112">
        <f t="shared" si="1848"/>
        <v>5449993.9926464939</v>
      </c>
      <c r="CJ754" s="1112">
        <f t="shared" si="1848"/>
        <v>5449993.9926464939</v>
      </c>
      <c r="CK754" s="1112">
        <f t="shared" si="1848"/>
        <v>5449993.9926464939</v>
      </c>
      <c r="CL754" s="155"/>
    </row>
    <row r="755" spans="1:90" x14ac:dyDescent="0.3">
      <c r="A755" s="27" t="str">
        <f>"Enterprise Value - "&amp;MO.ValuationToggle</f>
        <v>Enterprise Value - EoP</v>
      </c>
      <c r="B755" s="146"/>
      <c r="C755" s="1114">
        <f t="shared" ref="C755:AH755" si="1849">C739+C754+C773+C774+C775</f>
        <v>3051.007089700001</v>
      </c>
      <c r="D755" s="1114">
        <f t="shared" si="1849"/>
        <v>6937.1824468900013</v>
      </c>
      <c r="E755" s="1114">
        <f t="shared" si="1849"/>
        <v>11837.835775760002</v>
      </c>
      <c r="F755" s="1114">
        <f t="shared" si="1849"/>
        <v>6140.6258976000008</v>
      </c>
      <c r="G755" s="27">
        <f t="shared" si="1849"/>
        <v>5033.3401522399981</v>
      </c>
      <c r="H755" s="27">
        <f t="shared" si="1849"/>
        <v>5043.6665919600036</v>
      </c>
      <c r="I755" s="27">
        <f t="shared" si="1849"/>
        <v>4207.366735399999</v>
      </c>
      <c r="J755" s="27">
        <f t="shared" si="1849"/>
        <v>3912.3302508800007</v>
      </c>
      <c r="K755" s="1114">
        <f t="shared" si="1849"/>
        <v>3958.9491308799998</v>
      </c>
      <c r="L755" s="27">
        <f t="shared" si="1849"/>
        <v>4710.482441619999</v>
      </c>
      <c r="M755" s="27">
        <f t="shared" si="1849"/>
        <v>5156.6247609400034</v>
      </c>
      <c r="N755" s="27">
        <f t="shared" si="1849"/>
        <v>6358.3613605199935</v>
      </c>
      <c r="O755" s="27">
        <f t="shared" si="1849"/>
        <v>5770.4572184799981</v>
      </c>
      <c r="P755" s="1114">
        <f t="shared" si="1849"/>
        <v>5735.1029384799986</v>
      </c>
      <c r="Q755" s="27">
        <f t="shared" si="1849"/>
        <v>7517.2930415400024</v>
      </c>
      <c r="R755" s="27">
        <f t="shared" si="1849"/>
        <v>7468.297950719998</v>
      </c>
      <c r="S755" s="27">
        <f t="shared" si="1849"/>
        <v>7244.1000415400022</v>
      </c>
      <c r="T755" s="27">
        <f t="shared" si="1849"/>
        <v>7489.6075824</v>
      </c>
      <c r="U755" s="1114">
        <f t="shared" si="1849"/>
        <v>7451.1979824000009</v>
      </c>
      <c r="V755" s="27">
        <f t="shared" si="1849"/>
        <v>9278.0061800000003</v>
      </c>
      <c r="W755" s="27">
        <f t="shared" si="1849"/>
        <v>7795.1382599999997</v>
      </c>
      <c r="X755" s="27">
        <f t="shared" si="1849"/>
        <v>13089.32819</v>
      </c>
      <c r="Y755" s="27">
        <f t="shared" si="1849"/>
        <v>13841.969999999998</v>
      </c>
      <c r="Z755" s="1114">
        <f t="shared" si="1849"/>
        <v>13021.849999999999</v>
      </c>
      <c r="AA755" s="27">
        <f t="shared" si="1849"/>
        <v>17895.349999999999</v>
      </c>
      <c r="AB755" s="27">
        <f t="shared" si="1849"/>
        <v>32602</v>
      </c>
      <c r="AC755" s="27">
        <f t="shared" si="1849"/>
        <v>42802.48</v>
      </c>
      <c r="AD755" s="27">
        <f t="shared" si="1849"/>
        <v>72151.839999999997</v>
      </c>
      <c r="AE755" s="1112">
        <f t="shared" si="1849"/>
        <v>72261.859999999986</v>
      </c>
      <c r="AF755" s="27">
        <f t="shared" si="1849"/>
        <v>63590.399999999994</v>
      </c>
      <c r="AG755" s="27">
        <f t="shared" si="1849"/>
        <v>99926.09</v>
      </c>
      <c r="AH755" s="27">
        <f t="shared" si="1849"/>
        <v>125332.24</v>
      </c>
      <c r="AI755" s="27">
        <f t="shared" ref="AI755:AV755" si="1850">AI739+AI754+AI773+AI774+AI775</f>
        <v>147320.16</v>
      </c>
      <c r="AJ755" s="1112">
        <f t="shared" si="1850"/>
        <v>149990.07999999999</v>
      </c>
      <c r="AK755" s="27">
        <f t="shared" si="1850"/>
        <v>136835.24000000002</v>
      </c>
      <c r="AL755" s="27">
        <f t="shared" si="1850"/>
        <v>147127.51</v>
      </c>
      <c r="AM755" s="27">
        <f t="shared" si="1850"/>
        <v>121680</v>
      </c>
      <c r="AN755" s="27">
        <f t="shared" si="1850"/>
        <v>79198.239999999991</v>
      </c>
      <c r="AO755" s="1112">
        <f t="shared" si="1850"/>
        <v>80159.969999999987</v>
      </c>
      <c r="AP755" s="27">
        <f t="shared" si="1850"/>
        <v>105577.94</v>
      </c>
      <c r="AQ755" s="27">
        <f t="shared" si="1850"/>
        <v>102158.19999999998</v>
      </c>
      <c r="AR755" s="27">
        <f t="shared" si="1850"/>
        <v>118639</v>
      </c>
      <c r="AS755" s="27">
        <f t="shared" si="1850"/>
        <v>144394.01</v>
      </c>
      <c r="AT755" s="1112">
        <f t="shared" si="1850"/>
        <v>144394.01</v>
      </c>
      <c r="AU755" s="27">
        <f t="shared" si="1850"/>
        <v>177164.58</v>
      </c>
      <c r="AV755" s="27">
        <f t="shared" si="1850"/>
        <v>262913.12</v>
      </c>
      <c r="AW755" s="27">
        <f t="shared" ref="AW755:BB755" si="1851">AW739+AW754+AW773+AW774+AW775</f>
        <v>313900.16000000003</v>
      </c>
      <c r="AX755" s="27">
        <f t="shared" si="1851"/>
        <v>324537.88</v>
      </c>
      <c r="AY755" s="1112">
        <f t="shared" si="1851"/>
        <v>324018.29000000004</v>
      </c>
      <c r="AZ755" s="27">
        <f t="shared" si="1851"/>
        <v>383706.66</v>
      </c>
      <c r="BA755" s="27">
        <f t="shared" si="1851"/>
        <v>487436.65000000008</v>
      </c>
      <c r="BB755" s="27">
        <f t="shared" si="1851"/>
        <v>642186.47</v>
      </c>
      <c r="BC755" s="27">
        <f t="shared" ref="BC755:BF755" si="1852">BC739+BC754+BC773+BC774+BC775</f>
        <v>572357.80000000005</v>
      </c>
      <c r="BD755" s="1112">
        <f t="shared" si="1852"/>
        <v>571901</v>
      </c>
      <c r="BE755" s="27">
        <f>BE739+BE754+BE773+BE774+BE775</f>
        <v>461674.45</v>
      </c>
      <c r="BF755" s="27">
        <f t="shared" si="1852"/>
        <v>450691.3</v>
      </c>
      <c r="BG755" s="27">
        <f t="shared" ref="BG755:BI755" si="1853">BG739+BG754+BG773+BG774+BG775</f>
        <v>342397.56</v>
      </c>
      <c r="BH755" s="27">
        <f t="shared" si="1853"/>
        <v>473760.98</v>
      </c>
      <c r="BI755" s="1112">
        <f t="shared" si="1853"/>
        <v>473760.98</v>
      </c>
      <c r="BJ755" s="27">
        <f t="shared" ref="BJ755:BN755" si="1854">BJ739+BJ754+BJ773+BJ774+BJ775</f>
        <v>688542.57000000007</v>
      </c>
      <c r="BK755" s="27">
        <f t="shared" si="1854"/>
        <v>1161343.5</v>
      </c>
      <c r="BL755" s="27">
        <f t="shared" si="1854"/>
        <v>1002006</v>
      </c>
      <c r="BM755" s="27">
        <f t="shared" si="1854"/>
        <v>1503523.2799999998</v>
      </c>
      <c r="BN755" s="1112">
        <f t="shared" si="1854"/>
        <v>1503523.2799999998</v>
      </c>
      <c r="BO755" s="27">
        <f t="shared" ref="BO755:BS755" si="1855">BO739+BO754+BO773+BO774+BO775</f>
        <v>2160891.1</v>
      </c>
      <c r="BP755" s="27">
        <f t="shared" si="1855"/>
        <v>2782720.92</v>
      </c>
      <c r="BQ755" s="27">
        <f t="shared" si="1855"/>
        <v>3474711.46</v>
      </c>
      <c r="BR755" s="27">
        <f t="shared" si="1855"/>
        <v>3488918.2800000003</v>
      </c>
      <c r="BS755" s="1112">
        <f t="shared" si="1855"/>
        <v>3488918.2800000003</v>
      </c>
      <c r="BT755" s="27">
        <f t="shared" ref="BT755:CK755" si="1856">BT739+BT754+BT773+BT774+BT775</f>
        <v>2111190.13</v>
      </c>
      <c r="BU755" s="27">
        <f t="shared" si="1856"/>
        <v>4206812.5</v>
      </c>
      <c r="BV755" s="27">
        <f t="shared" si="1856"/>
        <v>4506319.8599999994</v>
      </c>
      <c r="BW755" s="27">
        <f t="shared" si="1856"/>
        <v>4534009.4399999995</v>
      </c>
      <c r="BX755" s="1112">
        <f t="shared" si="1856"/>
        <v>4534009.4399999995</v>
      </c>
      <c r="BY755" s="508">
        <f>BY739+BY754+BY773+BY774+BY775</f>
        <v>4998618.0200000005</v>
      </c>
      <c r="BZ755" s="68">
        <f t="shared" si="1856"/>
        <v>5346412.6779641593</v>
      </c>
      <c r="CA755" s="68">
        <f t="shared" si="1856"/>
        <v>5314690.7655891757</v>
      </c>
      <c r="CB755" s="68">
        <f t="shared" si="1856"/>
        <v>5264673.8690638887</v>
      </c>
      <c r="CC755" s="1112">
        <f t="shared" si="1856"/>
        <v>5264673.8690638887</v>
      </c>
      <c r="CD755" s="68">
        <f t="shared" si="1856"/>
        <v>5200120.8463177262</v>
      </c>
      <c r="CE755" s="68">
        <f t="shared" si="1856"/>
        <v>5146744.4286882663</v>
      </c>
      <c r="CF755" s="68">
        <f t="shared" si="1856"/>
        <v>5102364.4669326749</v>
      </c>
      <c r="CG755" s="68">
        <f t="shared" si="1856"/>
        <v>5035385.8585048048</v>
      </c>
      <c r="CH755" s="1112">
        <f t="shared" si="1856"/>
        <v>5035385.8585048048</v>
      </c>
      <c r="CI755" s="1112">
        <f t="shared" si="1856"/>
        <v>4747773.7418902721</v>
      </c>
      <c r="CJ755" s="1112">
        <f t="shared" si="1856"/>
        <v>4397787.7498098165</v>
      </c>
      <c r="CK755" s="1112">
        <f t="shared" si="1856"/>
        <v>3974913.9141277322</v>
      </c>
      <c r="CL755" s="155"/>
    </row>
    <row r="756" spans="1:90" x14ac:dyDescent="0.3">
      <c r="A756" s="618"/>
      <c r="B756" s="619"/>
      <c r="C756" s="1220"/>
      <c r="D756" s="1220"/>
      <c r="E756" s="1220"/>
      <c r="F756" s="1220"/>
      <c r="G756" s="1030"/>
      <c r="H756" s="1030"/>
      <c r="I756" s="1030"/>
      <c r="J756" s="1030"/>
      <c r="K756" s="1220"/>
      <c r="L756" s="1030"/>
      <c r="M756" s="1030"/>
      <c r="N756" s="1030"/>
      <c r="O756" s="1030"/>
      <c r="P756" s="1220"/>
      <c r="Q756" s="1030"/>
      <c r="R756" s="1030"/>
      <c r="S756" s="1030"/>
      <c r="T756" s="1030"/>
      <c r="U756" s="1220"/>
      <c r="V756" s="1030"/>
      <c r="W756" s="620"/>
      <c r="X756" s="620"/>
      <c r="Y756" s="620"/>
      <c r="Z756" s="1220"/>
      <c r="AA756" s="620"/>
      <c r="AB756" s="620"/>
      <c r="AC756" s="620"/>
      <c r="AD756" s="620"/>
      <c r="AE756" s="1220"/>
      <c r="AF756" s="620"/>
      <c r="AG756" s="620"/>
      <c r="AH756" s="620"/>
      <c r="AI756" s="620"/>
      <c r="AJ756" s="1220"/>
      <c r="AK756" s="620"/>
      <c r="AL756" s="620"/>
      <c r="AM756" s="620"/>
      <c r="AN756" s="620"/>
      <c r="AO756" s="1220"/>
      <c r="AP756" s="620"/>
      <c r="AQ756" s="620"/>
      <c r="AR756" s="620"/>
      <c r="AS756" s="620"/>
      <c r="AT756" s="1220"/>
      <c r="AU756" s="620"/>
      <c r="AV756" s="620"/>
      <c r="AW756" s="620"/>
      <c r="AX756" s="620"/>
      <c r="AY756" s="1220"/>
      <c r="AZ756" s="620"/>
      <c r="BA756" s="620"/>
      <c r="BB756" s="620"/>
      <c r="BC756" s="620"/>
      <c r="BD756" s="1220"/>
      <c r="BE756" s="620"/>
      <c r="BF756" s="620"/>
      <c r="BG756" s="620"/>
      <c r="BH756" s="620"/>
      <c r="BI756" s="1220"/>
      <c r="BJ756" s="620"/>
      <c r="BK756" s="620"/>
      <c r="BL756" s="620"/>
      <c r="BM756" s="620"/>
      <c r="BN756" s="1220"/>
      <c r="BO756" s="620"/>
      <c r="BP756" s="620"/>
      <c r="BQ756" s="620"/>
      <c r="BR756" s="620"/>
      <c r="BS756" s="1220"/>
      <c r="BT756" s="620"/>
      <c r="BU756" s="620"/>
      <c r="BV756" s="620"/>
      <c r="BW756" s="620"/>
      <c r="BX756" s="1220"/>
      <c r="BY756" s="943"/>
      <c r="BZ756" s="620"/>
      <c r="CA756" s="620"/>
      <c r="CB756" s="620"/>
      <c r="CC756" s="1220"/>
      <c r="CD756" s="620"/>
      <c r="CE756" s="620"/>
      <c r="CF756" s="620"/>
      <c r="CG756" s="620"/>
      <c r="CH756" s="1220"/>
      <c r="CI756" s="1220"/>
      <c r="CJ756" s="1220"/>
      <c r="CK756" s="1220"/>
      <c r="CL756" s="155"/>
    </row>
    <row r="757" spans="1:90" x14ac:dyDescent="0.3">
      <c r="A757" s="485" t="str">
        <f>"P/E - "&amp;MO.ValuationToggle</f>
        <v>P/E - EoP</v>
      </c>
      <c r="B757" s="619"/>
      <c r="C757" s="1221">
        <f>C753/C433</f>
        <v>27.186754136407927</v>
      </c>
      <c r="D757" s="1221">
        <f>D753/D433</f>
        <v>59.822919728680134</v>
      </c>
      <c r="E757" s="1221">
        <f>E753/E433</f>
        <v>29.359195657558345</v>
      </c>
      <c r="F757" s="1221">
        <f>F753/F433</f>
        <v>12.421318453280616</v>
      </c>
      <c r="G757" s="1030"/>
      <c r="H757" s="1030"/>
      <c r="I757" s="1030"/>
      <c r="J757" s="1030"/>
      <c r="K757" s="1221">
        <f>K753/K433</f>
        <v>10.570779312247984</v>
      </c>
      <c r="L757" s="1030"/>
      <c r="M757" s="1030"/>
      <c r="N757" s="1030"/>
      <c r="O757" s="1030"/>
      <c r="P757" s="1221">
        <f>P753/P433</f>
        <v>15.8832359914141</v>
      </c>
      <c r="Q757" s="1030"/>
      <c r="R757" s="1030"/>
      <c r="S757" s="1030"/>
      <c r="T757" s="1030"/>
      <c r="U757" s="1221">
        <f>U753/U433</f>
        <v>13.498504868913857</v>
      </c>
      <c r="V757" s="1030"/>
      <c r="W757" s="620"/>
      <c r="X757" s="620"/>
      <c r="Y757" s="620"/>
      <c r="Z757" s="1221">
        <f>Z753/Z433</f>
        <v>17.529860064585574</v>
      </c>
      <c r="AA757" s="620"/>
      <c r="AB757" s="620"/>
      <c r="AC757" s="620"/>
      <c r="AD757" s="620"/>
      <c r="AE757" s="1220">
        <f>AE753/AE433</f>
        <v>35.960075634792005</v>
      </c>
      <c r="AF757" s="620"/>
      <c r="AG757" s="620"/>
      <c r="AH757" s="620"/>
      <c r="AI757" s="620"/>
      <c r="AJ757" s="1220">
        <f>AJ753/AJ433</f>
        <v>49.330774716369525</v>
      </c>
      <c r="AK757" s="620"/>
      <c r="AL757" s="620"/>
      <c r="AM757" s="620"/>
      <c r="AN757" s="620"/>
      <c r="AO757" s="1220">
        <f>AO753/AO433</f>
        <v>20.69306299782766</v>
      </c>
      <c r="AP757" s="620"/>
      <c r="AQ757" s="620"/>
      <c r="AR757" s="620"/>
      <c r="AS757" s="620"/>
      <c r="AT757" s="1220">
        <f>AT753/AT433</f>
        <v>42.433122905027929</v>
      </c>
      <c r="AU757" s="620"/>
      <c r="AV757" s="620"/>
      <c r="AW757" s="620"/>
      <c r="AX757" s="620"/>
      <c r="AY757" s="1220">
        <f>AY753/AY433</f>
        <v>51.983833041261754</v>
      </c>
      <c r="AZ757" s="620"/>
      <c r="BA757" s="620"/>
      <c r="BB757" s="620"/>
      <c r="BC757" s="620"/>
      <c r="BD757" s="1220">
        <f>BD753/BD433</f>
        <v>51.424993338662404</v>
      </c>
      <c r="BE757" s="620"/>
      <c r="BF757" s="620"/>
      <c r="BG757" s="620"/>
      <c r="BH757" s="620"/>
      <c r="BI757" s="1220">
        <f>BI753/BI433</f>
        <v>57.421867081042308</v>
      </c>
      <c r="BJ757" s="620"/>
      <c r="BK757" s="620"/>
      <c r="BL757" s="620"/>
      <c r="BM757" s="620"/>
      <c r="BN757" s="1220">
        <f>BN753/BN433</f>
        <v>47.10674486258975</v>
      </c>
      <c r="BO757" s="620"/>
      <c r="BP757" s="620"/>
      <c r="BQ757" s="620"/>
      <c r="BR757" s="620"/>
      <c r="BS757" s="1220">
        <f>BS753/BS433</f>
        <v>47.634100585740256</v>
      </c>
      <c r="BT757" s="620"/>
      <c r="BU757" s="620"/>
      <c r="BV757" s="620"/>
      <c r="BW757" s="620"/>
      <c r="BX757" s="1220">
        <f>BX753/BX433</f>
        <v>39.32188329615289</v>
      </c>
      <c r="BY757" s="943"/>
      <c r="BZ757" s="620"/>
      <c r="CA757" s="620"/>
      <c r="CB757" s="620"/>
      <c r="CC757" s="1220">
        <f>CC753/CC433</f>
        <v>27.034802916117091</v>
      </c>
      <c r="CD757" s="620"/>
      <c r="CE757" s="620"/>
      <c r="CF757" s="620"/>
      <c r="CG757" s="620"/>
      <c r="CH757" s="1220">
        <f>CH753/CH433</f>
        <v>20.603874365592333</v>
      </c>
      <c r="CI757" s="1220">
        <f>CI753/CI433</f>
        <v>16.883523495596059</v>
      </c>
      <c r="CJ757" s="1220">
        <f>CJ753/CJ433</f>
        <v>14.092866180058964</v>
      </c>
      <c r="CK757" s="1220">
        <f>CK753/CK433</f>
        <v>11.786617742230147</v>
      </c>
      <c r="CL757" s="155"/>
    </row>
    <row r="758" spans="1:90" x14ac:dyDescent="0.3">
      <c r="A758" s="485" t="str">
        <f>"EV/Sales - "&amp;MO.ValuationToggle</f>
        <v>EV/Sales - EoP</v>
      </c>
      <c r="B758" s="619"/>
      <c r="C758" s="1221">
        <f>C755/C370</f>
        <v>0.89084166375900464</v>
      </c>
      <c r="D758" s="1221">
        <f>D755/D370</f>
        <v>2.0854643461382949</v>
      </c>
      <c r="E758" s="1221">
        <f>E755/E370</f>
        <v>3.3408985148515136</v>
      </c>
      <c r="F758" s="1221">
        <f>F755/F370</f>
        <v>1.5359513292128679</v>
      </c>
      <c r="G758" s="1030"/>
      <c r="H758" s="1030"/>
      <c r="I758" s="1030"/>
      <c r="J758" s="1030"/>
      <c r="K758" s="1221">
        <f>K755/K370</f>
        <v>0.92495375309188277</v>
      </c>
      <c r="L758" s="1030"/>
      <c r="M758" s="1030"/>
      <c r="N758" s="1030"/>
      <c r="O758" s="1030"/>
      <c r="P758" s="1221">
        <f>P755/P370</f>
        <v>1.3885903115858405</v>
      </c>
      <c r="Q758" s="1030"/>
      <c r="R758" s="1030"/>
      <c r="S758" s="1030"/>
      <c r="T758" s="1030"/>
      <c r="U758" s="1221">
        <f>U755/U370</f>
        <v>1.5914562115335329</v>
      </c>
      <c r="V758" s="1030"/>
      <c r="W758" s="620"/>
      <c r="X758" s="620"/>
      <c r="Y758" s="620"/>
      <c r="Z758" s="1221">
        <f>Z755/Z370</f>
        <v>2.5991716566866265</v>
      </c>
      <c r="AA758" s="620"/>
      <c r="AB758" s="620"/>
      <c r="AC758" s="620"/>
      <c r="AD758" s="620"/>
      <c r="AE758" s="1220">
        <f>AE755/AE370</f>
        <v>10.457577424023153</v>
      </c>
      <c r="AF758" s="620"/>
      <c r="AG758" s="620"/>
      <c r="AH758" s="620"/>
      <c r="AI758" s="620"/>
      <c r="AJ758" s="1220">
        <f>AJ755/AJ370</f>
        <v>15.440609429689108</v>
      </c>
      <c r="AK758" s="620"/>
      <c r="AL758" s="620"/>
      <c r="AM758" s="620"/>
      <c r="AN758" s="620"/>
      <c r="AO758" s="1220">
        <f>AO755/AO370</f>
        <v>6.8419230112666432</v>
      </c>
      <c r="AP758" s="620"/>
      <c r="AQ758" s="620"/>
      <c r="AR758" s="620"/>
      <c r="AS758" s="620"/>
      <c r="AT758" s="1220">
        <f>AT755/AT370</f>
        <v>13.225316907858582</v>
      </c>
      <c r="AU758" s="620"/>
      <c r="AV758" s="620"/>
      <c r="AW758" s="620"/>
      <c r="AX758" s="620"/>
      <c r="AY758" s="1220">
        <f>AY755/AY370</f>
        <v>19.43138170914543</v>
      </c>
      <c r="AZ758" s="620"/>
      <c r="BA758" s="620"/>
      <c r="BB758" s="620"/>
      <c r="BC758" s="620"/>
      <c r="BD758" s="1220">
        <f>BD755/BD370</f>
        <v>21.249201159247974</v>
      </c>
      <c r="BE758" s="620"/>
      <c r="BF758" s="620"/>
      <c r="BG758" s="620"/>
      <c r="BH758" s="620"/>
      <c r="BI758" s="1220">
        <f>BI755/BI370</f>
        <v>17.563616074738636</v>
      </c>
      <c r="BJ758" s="620"/>
      <c r="BK758" s="620"/>
      <c r="BL758" s="620"/>
      <c r="BM758" s="620"/>
      <c r="BN758" s="1220">
        <f>BN755/BN370</f>
        <v>24.679479990807916</v>
      </c>
      <c r="BO758" s="620"/>
      <c r="BP758" s="620"/>
      <c r="BQ758" s="620"/>
      <c r="BR758" s="620"/>
      <c r="BS758" s="1220">
        <f>BS755/BS370</f>
        <v>26.73562058897906</v>
      </c>
      <c r="BT758" s="620"/>
      <c r="BU758" s="620"/>
      <c r="BV758" s="620"/>
      <c r="BW758" s="620"/>
      <c r="BX758" s="1220">
        <f>BX755/BX370</f>
        <v>20.996811306949215</v>
      </c>
      <c r="BY758" s="943"/>
      <c r="BZ758" s="620"/>
      <c r="CA758" s="620"/>
      <c r="CB758" s="620"/>
      <c r="CC758" s="1220">
        <f>CC755/CC370</f>
        <v>14.702292306334348</v>
      </c>
      <c r="CD758" s="620"/>
      <c r="CE758" s="620"/>
      <c r="CF758" s="620"/>
      <c r="CG758" s="620"/>
      <c r="CH758" s="1220">
        <f>CH755/CH370</f>
        <v>11.08321054254219</v>
      </c>
      <c r="CI758" s="1220">
        <f>CI755/CI370</f>
        <v>8.7612366772567718</v>
      </c>
      <c r="CJ758" s="1220">
        <f>CJ755/CJ370</f>
        <v>6.9086751466301752</v>
      </c>
      <c r="CK758" s="1220">
        <f>CK755/CK370</f>
        <v>5.3143241196162618</v>
      </c>
      <c r="CL758" s="155"/>
    </row>
    <row r="759" spans="1:90" x14ac:dyDescent="0.3">
      <c r="A759" s="485" t="str">
        <f>"EV/EBITDA - "&amp;MO.ValuationToggle</f>
        <v>EV/EBITDA - EoP</v>
      </c>
      <c r="B759" s="619"/>
      <c r="C759" s="1220"/>
      <c r="D759" s="1221">
        <f>D755/D400</f>
        <v>23.12324779219956</v>
      </c>
      <c r="E759" s="1221">
        <f>E755/E400</f>
        <v>17.958726481008664</v>
      </c>
      <c r="F759" s="1221">
        <f>F755/F400</f>
        <v>6.3004687908231851</v>
      </c>
      <c r="G759" s="1030"/>
      <c r="H759" s="1030"/>
      <c r="I759" s="1030"/>
      <c r="J759" s="1030"/>
      <c r="K759" s="1221">
        <f>K755/K400</f>
        <v>3.9629080760479725</v>
      </c>
      <c r="L759" s="1030"/>
      <c r="M759" s="1030"/>
      <c r="N759" s="1030"/>
      <c r="O759" s="1030"/>
      <c r="P759" s="1221">
        <f>P755/P400</f>
        <v>6.9042724321382982</v>
      </c>
      <c r="Q759" s="1030"/>
      <c r="R759" s="1030"/>
      <c r="S759" s="1030"/>
      <c r="T759" s="1030"/>
      <c r="U759" s="1221">
        <f>U755/U400</f>
        <v>6.7923409137648143</v>
      </c>
      <c r="V759" s="1030"/>
      <c r="W759" s="620"/>
      <c r="X759" s="620"/>
      <c r="Y759" s="620"/>
      <c r="Z759" s="1221">
        <f>Z755/Z400</f>
        <v>10.42582065652522</v>
      </c>
      <c r="AA759" s="620"/>
      <c r="AB759" s="620"/>
      <c r="AC759" s="620"/>
      <c r="AD759" s="620"/>
      <c r="AE759" s="1221">
        <f>AE755/AE400</f>
        <v>30.881136752136747</v>
      </c>
      <c r="AF759" s="620"/>
      <c r="AG759" s="620"/>
      <c r="AH759" s="620"/>
      <c r="AI759" s="620"/>
      <c r="AJ759" s="1221">
        <f>AJ755/AJ400</f>
        <v>39.88037224142515</v>
      </c>
      <c r="AK759" s="620"/>
      <c r="AL759" s="620"/>
      <c r="AM759" s="620"/>
      <c r="AN759" s="620"/>
      <c r="AO759" s="1221">
        <f>AO755/AO400</f>
        <v>17.275855603448274</v>
      </c>
      <c r="AP759" s="620"/>
      <c r="AQ759" s="620"/>
      <c r="AR759" s="620"/>
      <c r="AS759" s="620"/>
      <c r="AT759" s="1221">
        <f>AT755/AT400</f>
        <v>35.295529210461993</v>
      </c>
      <c r="AU759" s="620"/>
      <c r="AV759" s="620"/>
      <c r="AW759" s="620"/>
      <c r="AX759" s="620"/>
      <c r="AY759" s="1221">
        <f>AY755/AY400</f>
        <v>44.453051173000418</v>
      </c>
      <c r="AZ759" s="620"/>
      <c r="BA759" s="620"/>
      <c r="BB759" s="620"/>
      <c r="BC759" s="620"/>
      <c r="BD759" s="1221">
        <f>BD755/BD400</f>
        <v>42.996842342680999</v>
      </c>
      <c r="BE759" s="620"/>
      <c r="BF759" s="620"/>
      <c r="BG759" s="620"/>
      <c r="BH759" s="620"/>
      <c r="BI759" s="1221">
        <f>BI755/BI400</f>
        <v>47.932110481586399</v>
      </c>
      <c r="BJ759" s="620"/>
      <c r="BK759" s="620"/>
      <c r="BL759" s="620"/>
      <c r="BM759" s="620"/>
      <c r="BN759" s="1221">
        <f>BN755/BN400</f>
        <v>39.5372693804565</v>
      </c>
      <c r="BO759" s="620"/>
      <c r="BP759" s="620"/>
      <c r="BQ759" s="620"/>
      <c r="BR759" s="620"/>
      <c r="BS759" s="1221">
        <f>BS755/BS400</f>
        <v>39.619785146491033</v>
      </c>
      <c r="BT759" s="620"/>
      <c r="BU759" s="620"/>
      <c r="BV759" s="620"/>
      <c r="BW759" s="620"/>
      <c r="BX759" s="1221">
        <f>BX755/BX400</f>
        <v>32.465786688625535</v>
      </c>
      <c r="BY759" s="943"/>
      <c r="BZ759" s="620"/>
      <c r="CA759" s="620"/>
      <c r="CB759" s="620"/>
      <c r="CC759" s="1220">
        <f>CC755/CC400</f>
        <v>21.686802666644688</v>
      </c>
      <c r="CD759" s="620"/>
      <c r="CE759" s="620"/>
      <c r="CF759" s="620"/>
      <c r="CG759" s="620"/>
      <c r="CH759" s="1220">
        <f>CH755/CH400</f>
        <v>16.419575678691469</v>
      </c>
      <c r="CI759" s="1220">
        <f>CI755/CI400</f>
        <v>12.996950252073473</v>
      </c>
      <c r="CJ759" s="1220">
        <f>CJ755/CJ400</f>
        <v>10.259330256772589</v>
      </c>
      <c r="CK759" s="1220">
        <f>CK755/CK400</f>
        <v>7.8955391384135556</v>
      </c>
      <c r="CL759" s="155"/>
    </row>
    <row r="760" spans="1:90" x14ac:dyDescent="0.3">
      <c r="A760" s="485" t="str">
        <f>"P/CF - "&amp;MO.ValuationToggle</f>
        <v>P/CF - EoP</v>
      </c>
      <c r="B760" s="619"/>
      <c r="C760" s="1221">
        <f>C753/C707</f>
        <v>17.47514316650625</v>
      </c>
      <c r="D760" s="1221">
        <f>D753/D707</f>
        <v>17.33870948961372</v>
      </c>
      <c r="E760" s="1221">
        <f>E753/E707</f>
        <v>20.697238727014177</v>
      </c>
      <c r="F760" s="1221">
        <f>F753/F707</f>
        <v>10.033801459815475</v>
      </c>
      <c r="G760" s="1030"/>
      <c r="H760" s="1030"/>
      <c r="I760" s="1030"/>
      <c r="J760" s="1030"/>
      <c r="K760" s="1221">
        <f>K753/K707</f>
        <v>9.3420672383919872</v>
      </c>
      <c r="L760" s="1030"/>
      <c r="M760" s="1030"/>
      <c r="N760" s="1030"/>
      <c r="O760" s="1030"/>
      <c r="P760" s="1221">
        <f>P753/P707</f>
        <v>11.190626836505237</v>
      </c>
      <c r="Q760" s="1030"/>
      <c r="R760" s="1030"/>
      <c r="S760" s="1030"/>
      <c r="T760" s="1030"/>
      <c r="U760" s="1221">
        <f>U753/U707</f>
        <v>11.934108609271524</v>
      </c>
      <c r="V760" s="1030"/>
      <c r="W760" s="620"/>
      <c r="X760" s="620"/>
      <c r="Y760" s="620"/>
      <c r="Z760" s="1221">
        <f>Z753/Z707</f>
        <v>14.18383829787234</v>
      </c>
      <c r="AA760" s="620"/>
      <c r="AB760" s="620"/>
      <c r="AC760" s="620"/>
      <c r="AD760" s="620"/>
      <c r="AE760" s="1220">
        <f>AE753/AE707</f>
        <v>42.705131578947366</v>
      </c>
      <c r="AF760" s="620"/>
      <c r="AG760" s="620"/>
      <c r="AH760" s="620"/>
      <c r="AI760" s="620"/>
      <c r="AJ760" s="1220">
        <f>AJ753/AJ707</f>
        <v>43.803266704740146</v>
      </c>
      <c r="AK760" s="620"/>
      <c r="AL760" s="620"/>
      <c r="AM760" s="620"/>
      <c r="AN760" s="620"/>
      <c r="AO760" s="1220">
        <f>AO753/AO707</f>
        <v>22.941156826075339</v>
      </c>
      <c r="AP760" s="620"/>
      <c r="AQ760" s="620"/>
      <c r="AR760" s="620"/>
      <c r="AS760" s="620"/>
      <c r="AT760" s="1220">
        <f>AT753/AT707</f>
        <v>31.907284183994957</v>
      </c>
      <c r="AU760" s="620"/>
      <c r="AV760" s="620"/>
      <c r="AW760" s="620"/>
      <c r="AX760" s="620"/>
      <c r="AY760" s="1220">
        <f>AY753/AY707</f>
        <v>56.046465132256962</v>
      </c>
      <c r="AZ760" s="620"/>
      <c r="BA760" s="620"/>
      <c r="BB760" s="620"/>
      <c r="BC760" s="620"/>
      <c r="BD760" s="1220">
        <f>BD753/BD707</f>
        <v>63.569828722002633</v>
      </c>
      <c r="BE760" s="620"/>
      <c r="BF760" s="620"/>
      <c r="BG760" s="620"/>
      <c r="BH760" s="620"/>
      <c r="BI760" s="1220">
        <f>BI753/BI707</f>
        <v>85.160670093954963</v>
      </c>
      <c r="BJ760" s="620"/>
      <c r="BK760" s="620"/>
      <c r="BL760" s="620"/>
      <c r="BM760" s="620"/>
      <c r="BN760" s="1220">
        <f>BN753/BN707</f>
        <v>54.187011035955848</v>
      </c>
      <c r="BO760" s="620"/>
      <c r="BP760" s="620"/>
      <c r="BQ760" s="620"/>
      <c r="BR760" s="620"/>
      <c r="BS760" s="1220">
        <f>BS753/BS707</f>
        <v>55.19740485886814</v>
      </c>
      <c r="BT760" s="620"/>
      <c r="BU760" s="620"/>
      <c r="BV760" s="620"/>
      <c r="BW760" s="620"/>
      <c r="BX760" s="1220">
        <f>BX753/BX707</f>
        <v>44.788083685430003</v>
      </c>
      <c r="BY760" s="943"/>
      <c r="BZ760" s="620"/>
      <c r="CA760" s="620"/>
      <c r="CB760" s="620"/>
      <c r="CC760" s="1220">
        <f>CC753/CC707</f>
        <v>29.094165053270423</v>
      </c>
      <c r="CD760" s="620"/>
      <c r="CE760" s="620"/>
      <c r="CF760" s="620"/>
      <c r="CG760" s="620"/>
      <c r="CH760" s="1220">
        <f>CH753/CH707</f>
        <v>21.388545015297918</v>
      </c>
      <c r="CI760" s="1220">
        <f>CI753/CI707</f>
        <v>17.404719282232428</v>
      </c>
      <c r="CJ760" s="1220">
        <f>CJ753/CJ707</f>
        <v>14.513695104454374</v>
      </c>
      <c r="CK760" s="1220">
        <f>CK753/CK707</f>
        <v>12.154453082306649</v>
      </c>
      <c r="CL760" s="155"/>
    </row>
    <row r="761" spans="1:90" x14ac:dyDescent="0.3">
      <c r="A761" s="42" t="str">
        <f>"FCF Yield % to "&amp;MO.ValuationToggle&amp;" Market Cap"</f>
        <v>FCF Yield % to EoP Market Cap</v>
      </c>
      <c r="B761" s="202"/>
      <c r="C761" s="1222">
        <f>C728/C754</f>
        <v>-3.6981724211954559E-2</v>
      </c>
      <c r="D761" s="1222">
        <f>D728/D754</f>
        <v>4.7472274638164023E-2</v>
      </c>
      <c r="E761" s="1222">
        <f>E728/E754</f>
        <v>4.0398923807746699E-2</v>
      </c>
      <c r="F761" s="1222">
        <f>F728/F754</f>
        <v>8.3299897351668498E-2</v>
      </c>
      <c r="G761" s="594"/>
      <c r="H761" s="594"/>
      <c r="I761" s="594"/>
      <c r="J761" s="594"/>
      <c r="K761" s="1222">
        <f>K728/K754</f>
        <v>8.3578098986141117E-2</v>
      </c>
      <c r="L761" s="594"/>
      <c r="M761" s="594"/>
      <c r="N761" s="594"/>
      <c r="O761" s="594"/>
      <c r="P761" s="1222">
        <f>P728/P754</f>
        <v>6.4204313537687907E-2</v>
      </c>
      <c r="Q761" s="594"/>
      <c r="R761" s="594"/>
      <c r="S761" s="594"/>
      <c r="T761" s="594"/>
      <c r="U761" s="1222">
        <f>U728/U754</f>
        <v>7.3434381911280128E-2</v>
      </c>
      <c r="V761" s="594"/>
      <c r="W761" s="594"/>
      <c r="X761" s="594"/>
      <c r="Y761" s="594"/>
      <c r="Z761" s="1222">
        <f>Z728/Z754</f>
        <v>6.580517679476218E-2</v>
      </c>
      <c r="AA761" s="594"/>
      <c r="AB761" s="594"/>
      <c r="AC761" s="594"/>
      <c r="AD761" s="594"/>
      <c r="AE761" s="1223">
        <f>AE728/AE754</f>
        <v>1.9621252124433369E-2</v>
      </c>
      <c r="AF761" s="594"/>
      <c r="AG761" s="594"/>
      <c r="AH761" s="594"/>
      <c r="AI761" s="594"/>
      <c r="AJ761" s="1223">
        <f>AJ728/AJ754</f>
        <v>1.8755873702627397E-2</v>
      </c>
      <c r="AK761" s="594"/>
      <c r="AL761" s="594"/>
      <c r="AM761" s="594"/>
      <c r="AN761" s="594"/>
      <c r="AO761" s="1223">
        <f>AO728/AO754</f>
        <v>3.6719876411854722E-2</v>
      </c>
      <c r="AP761" s="594"/>
      <c r="AQ761" s="594"/>
      <c r="AR761" s="594"/>
      <c r="AS761" s="594"/>
      <c r="AT761" s="1223">
        <f>AT728/AT754</f>
        <v>2.7985952781172843E-2</v>
      </c>
      <c r="AU761" s="594"/>
      <c r="AV761" s="594"/>
      <c r="AW761" s="594"/>
      <c r="AX761" s="594"/>
      <c r="AY761" s="1223">
        <f>AY728/AY754</f>
        <v>1.4317030229460756E-2</v>
      </c>
      <c r="AZ761" s="594"/>
      <c r="BA761" s="594"/>
      <c r="BB761" s="594"/>
      <c r="BC761" s="594"/>
      <c r="BD761" s="1223">
        <f>BD728/BD754</f>
        <v>1.3989863714092053E-2</v>
      </c>
      <c r="BE761" s="594"/>
      <c r="BF761" s="594"/>
      <c r="BG761" s="594"/>
      <c r="BH761" s="594"/>
      <c r="BI761" s="1223">
        <f>BI728/BI754</f>
        <v>8.0164036501750927E-3</v>
      </c>
      <c r="BJ761" s="594"/>
      <c r="BK761" s="594"/>
      <c r="BL761" s="594"/>
      <c r="BM761" s="594"/>
      <c r="BN761" s="1223">
        <f>BN728/BN754</f>
        <v>1.7795105023060077E-2</v>
      </c>
      <c r="BO761" s="594"/>
      <c r="BP761" s="594"/>
      <c r="BQ761" s="594"/>
      <c r="BR761" s="594"/>
      <c r="BS761" s="1223">
        <f>BS728/BS754</f>
        <v>1.7278662331637034E-2</v>
      </c>
      <c r="BT761" s="594"/>
      <c r="BU761" s="594"/>
      <c r="BV761" s="594"/>
      <c r="BW761" s="594"/>
      <c r="BX761" s="1223">
        <f>BX728/BX754</f>
        <v>2.1084572471799332E-2</v>
      </c>
      <c r="BY761" s="732"/>
      <c r="BZ761" s="594"/>
      <c r="CA761" s="594"/>
      <c r="CB761" s="594"/>
      <c r="CC761" s="1223">
        <f>CC728/CC754</f>
        <v>3.3819280137059857E-2</v>
      </c>
      <c r="CD761" s="594"/>
      <c r="CE761" s="594"/>
      <c r="CF761" s="594"/>
      <c r="CG761" s="594"/>
      <c r="CH761" s="1223">
        <f>CH728/CH754</f>
        <v>4.6515466053932517E-2</v>
      </c>
      <c r="CI761" s="1223">
        <f>CI728/CI754</f>
        <v>5.7217148685903045E-2</v>
      </c>
      <c r="CJ761" s="1223">
        <f>CJ728/CJ754</f>
        <v>6.8661909092993717E-2</v>
      </c>
      <c r="CK761" s="1223">
        <f>CK728/CK754</f>
        <v>8.2035840091812112E-2</v>
      </c>
      <c r="CL761" s="155"/>
    </row>
    <row r="762" spans="1:90" x14ac:dyDescent="0.3">
      <c r="A762" s="42" t="str">
        <f>"FCF Yield % to "&amp;MO.ValuationToggle&amp;" Enterprise Value"</f>
        <v>FCF Yield % to EoP Enterprise Value</v>
      </c>
      <c r="B762" s="202"/>
      <c r="C762" s="1222">
        <f>C728/C755</f>
        <v>-5.1887785031520924E-2</v>
      </c>
      <c r="D762" s="1222">
        <f>D728/D755</f>
        <v>5.9131499443826639E-2</v>
      </c>
      <c r="E762" s="1222">
        <f>E728/E755</f>
        <v>4.8818636357784558E-2</v>
      </c>
      <c r="F762" s="1222">
        <f>F728/F755</f>
        <v>0.12546294349263504</v>
      </c>
      <c r="G762" s="594"/>
      <c r="H762" s="594"/>
      <c r="I762" s="594"/>
      <c r="J762" s="594"/>
      <c r="K762" s="1222">
        <f>K728/K755</f>
        <v>0.16187704838166186</v>
      </c>
      <c r="L762" s="594"/>
      <c r="M762" s="594"/>
      <c r="N762" s="594"/>
      <c r="O762" s="594"/>
      <c r="P762" s="1222">
        <f>P728/P755</f>
        <v>0.10112460163682944</v>
      </c>
      <c r="Q762" s="594"/>
      <c r="R762" s="594"/>
      <c r="S762" s="594"/>
      <c r="T762" s="594"/>
      <c r="U762" s="1222">
        <f>U728/U755</f>
        <v>0.10521797996132116</v>
      </c>
      <c r="V762" s="594"/>
      <c r="W762" s="594"/>
      <c r="X762" s="594"/>
      <c r="Y762" s="594"/>
      <c r="Z762" s="1222">
        <f>Z728/Z755</f>
        <v>8.3628670273425063E-2</v>
      </c>
      <c r="AA762" s="594"/>
      <c r="AB762" s="594"/>
      <c r="AC762" s="594"/>
      <c r="AD762" s="594"/>
      <c r="AE762" s="1223">
        <f>AE728/AE755</f>
        <v>2.0702483993630946E-2</v>
      </c>
      <c r="AF762" s="594"/>
      <c r="AG762" s="594"/>
      <c r="AH762" s="594"/>
      <c r="AI762" s="594"/>
      <c r="AJ762" s="1223">
        <f>AJ728/AJ755</f>
        <v>1.9394615963935751E-2</v>
      </c>
      <c r="AK762" s="594"/>
      <c r="AL762" s="594"/>
      <c r="AM762" s="594"/>
      <c r="AN762" s="594"/>
      <c r="AO762" s="1223">
        <f>AO728/AO755</f>
        <v>3.9209096510390416E-2</v>
      </c>
      <c r="AP762" s="594"/>
      <c r="AQ762" s="594"/>
      <c r="AR762" s="594"/>
      <c r="AS762" s="594"/>
      <c r="AT762" s="1223">
        <f>AT728/AT755</f>
        <v>2.9585714809083837E-2</v>
      </c>
      <c r="AU762" s="594"/>
      <c r="AV762" s="594"/>
      <c r="AW762" s="594"/>
      <c r="AX762" s="594"/>
      <c r="AY762" s="1223">
        <f>AY728/AY755</f>
        <v>1.4486836530123035E-2</v>
      </c>
      <c r="AZ762" s="594"/>
      <c r="BA762" s="594"/>
      <c r="BB762" s="594"/>
      <c r="BC762" s="594"/>
      <c r="BD762" s="1223">
        <f>BD728/BD755</f>
        <v>1.4219244239824725E-2</v>
      </c>
      <c r="BE762" s="594"/>
      <c r="BF762" s="594"/>
      <c r="BG762" s="594"/>
      <c r="BH762" s="594"/>
      <c r="BI762" s="1223">
        <f>BI728/BI755</f>
        <v>8.0378084324293653E-3</v>
      </c>
      <c r="BJ762" s="594"/>
      <c r="BK762" s="594"/>
      <c r="BL762" s="594"/>
      <c r="BM762" s="594"/>
      <c r="BN762" s="1223">
        <f>BN728/BN755</f>
        <v>1.7971786908414219E-2</v>
      </c>
      <c r="BO762" s="594"/>
      <c r="BP762" s="594"/>
      <c r="BQ762" s="594"/>
      <c r="BR762" s="594"/>
      <c r="BS762" s="1223">
        <f>BS728/BS755</f>
        <v>1.7441795741916889E-2</v>
      </c>
      <c r="BT762" s="594"/>
      <c r="BU762" s="594"/>
      <c r="BV762" s="594"/>
      <c r="BW762" s="594"/>
      <c r="BX762" s="1223">
        <f>BX728/BX755</f>
        <v>2.1322408186252036E-2</v>
      </c>
      <c r="BY762" s="732"/>
      <c r="BZ762" s="594"/>
      <c r="CA762" s="594"/>
      <c r="CB762" s="594"/>
      <c r="CC762" s="1223">
        <f>CC728/CC755</f>
        <v>3.5009741945397674E-2</v>
      </c>
      <c r="CD762" s="594"/>
      <c r="CE762" s="594"/>
      <c r="CF762" s="594"/>
      <c r="CG762" s="594"/>
      <c r="CH762" s="1223">
        <f>CH728/CH755</f>
        <v>5.0345498375443359E-2</v>
      </c>
      <c r="CI762" s="1223">
        <f>CI728/CI755</f>
        <v>6.5679860407665519E-2</v>
      </c>
      <c r="CJ762" s="1223">
        <f>CJ728/CJ755</f>
        <v>8.5089825468870839E-2</v>
      </c>
      <c r="CK762" s="1223">
        <f>CK728/CK755</f>
        <v>0.11247912416241505</v>
      </c>
      <c r="CL762" s="155"/>
    </row>
    <row r="763" spans="1:90" hidden="1" outlineLevel="1" x14ac:dyDescent="0.3">
      <c r="A763" s="621"/>
      <c r="B763" s="202"/>
      <c r="C763" s="1223"/>
      <c r="D763" s="1223"/>
      <c r="E763" s="1223"/>
      <c r="F763" s="1223"/>
      <c r="G763" s="594"/>
      <c r="H763" s="594"/>
      <c r="I763" s="594"/>
      <c r="J763" s="594"/>
      <c r="K763" s="1223"/>
      <c r="L763" s="594"/>
      <c r="M763" s="594"/>
      <c r="N763" s="594"/>
      <c r="O763" s="594"/>
      <c r="P763" s="1223"/>
      <c r="Q763" s="594"/>
      <c r="R763" s="594"/>
      <c r="S763" s="594"/>
      <c r="T763" s="594"/>
      <c r="U763" s="1223"/>
      <c r="V763" s="594"/>
      <c r="W763" s="594"/>
      <c r="X763" s="594"/>
      <c r="Y763" s="594"/>
      <c r="Z763" s="1223"/>
      <c r="AA763" s="594"/>
      <c r="AB763" s="594"/>
      <c r="AC763" s="594"/>
      <c r="AD763" s="594"/>
      <c r="AE763" s="1223"/>
      <c r="AF763" s="594"/>
      <c r="AG763" s="594"/>
      <c r="AH763" s="594"/>
      <c r="AI763" s="594"/>
      <c r="AJ763" s="1223"/>
      <c r="AK763" s="594"/>
      <c r="AL763" s="594"/>
      <c r="AM763" s="594"/>
      <c r="AN763" s="594"/>
      <c r="AO763" s="1223"/>
      <c r="AP763" s="594"/>
      <c r="AQ763" s="594"/>
      <c r="AR763" s="594"/>
      <c r="AS763" s="594"/>
      <c r="AT763" s="1223"/>
      <c r="AU763" s="594"/>
      <c r="AV763" s="594"/>
      <c r="AW763" s="594"/>
      <c r="AX763" s="594"/>
      <c r="AY763" s="1223"/>
      <c r="AZ763" s="594"/>
      <c r="BA763" s="594"/>
      <c r="BB763" s="594"/>
      <c r="BC763" s="594"/>
      <c r="BD763" s="1223"/>
      <c r="BE763" s="594"/>
      <c r="BF763" s="594"/>
      <c r="BG763" s="594"/>
      <c r="BH763" s="594"/>
      <c r="BI763" s="1223"/>
      <c r="BJ763" s="594"/>
      <c r="BK763" s="594"/>
      <c r="BL763" s="594"/>
      <c r="BM763" s="594"/>
      <c r="BN763" s="1223"/>
      <c r="BO763" s="594"/>
      <c r="BP763" s="594"/>
      <c r="BQ763" s="594"/>
      <c r="BR763" s="594"/>
      <c r="BS763" s="1223"/>
      <c r="BT763" s="594"/>
      <c r="BU763" s="594"/>
      <c r="BV763" s="594"/>
      <c r="BW763" s="594"/>
      <c r="BX763" s="1223"/>
      <c r="BY763" s="732"/>
      <c r="BZ763" s="594"/>
      <c r="CA763" s="594"/>
      <c r="CB763" s="594"/>
      <c r="CC763" s="1223"/>
      <c r="CD763" s="594"/>
      <c r="CE763" s="594"/>
      <c r="CF763" s="594"/>
      <c r="CG763" s="594"/>
      <c r="CH763" s="1223"/>
      <c r="CI763" s="1223"/>
      <c r="CJ763" s="1223"/>
      <c r="CK763" s="1223"/>
      <c r="CL763" s="155"/>
    </row>
    <row r="764" spans="1:90" hidden="1" outlineLevel="1" x14ac:dyDescent="0.3">
      <c r="A764" s="230" t="str">
        <f>"Stock High, "&amp;HP.TradeCurrency</f>
        <v>Stock High, USD</v>
      </c>
      <c r="B764" s="622"/>
      <c r="C764" s="1224">
        <f t="shared" ref="C764:AH764" si="1857">IF(INDEX(MO_SNA_IsHistoricalPeriod,1,COLUMN())=FALSE,0,INDEX(MO_SPT_StockHigh,1,COLUMN()))</f>
        <v>0.68974999999999997</v>
      </c>
      <c r="D764" s="1224">
        <f t="shared" si="1857"/>
        <v>0.47400000000000003</v>
      </c>
      <c r="E764" s="1224">
        <f t="shared" si="1857"/>
        <v>0.62624999999999997</v>
      </c>
      <c r="F764" s="1224">
        <f t="shared" si="1857"/>
        <v>0.65425</v>
      </c>
      <c r="G764" s="299">
        <f t="shared" si="1857"/>
        <v>0.42249999999999999</v>
      </c>
      <c r="H764" s="299">
        <f t="shared" si="1857"/>
        <v>0.34750000000000003</v>
      </c>
      <c r="I764" s="299">
        <f t="shared" si="1857"/>
        <v>0.3805</v>
      </c>
      <c r="J764" s="299">
        <f t="shared" si="1857"/>
        <v>0.32974999999999999</v>
      </c>
      <c r="K764" s="1224">
        <f t="shared" si="1857"/>
        <v>0.42249999999999999</v>
      </c>
      <c r="L764" s="299">
        <f t="shared" si="1857"/>
        <v>0.33750000000000002</v>
      </c>
      <c r="M764" s="299">
        <f t="shared" si="1857"/>
        <v>0.38700000000000001</v>
      </c>
      <c r="N764" s="299">
        <f t="shared" si="1857"/>
        <v>0.40250000000000002</v>
      </c>
      <c r="O764" s="299">
        <f t="shared" si="1857"/>
        <v>0.41100000000000003</v>
      </c>
      <c r="P764" s="1224">
        <f t="shared" si="1857"/>
        <v>0.41100000000000003</v>
      </c>
      <c r="Q764" s="299">
        <f t="shared" si="1857"/>
        <v>0.48650000000000004</v>
      </c>
      <c r="R764" s="299">
        <f t="shared" si="1857"/>
        <v>0.49325000000000002</v>
      </c>
      <c r="S764" s="299">
        <f t="shared" si="1857"/>
        <v>0.50374999999999992</v>
      </c>
      <c r="T764" s="299">
        <f t="shared" si="1857"/>
        <v>0.53125</v>
      </c>
      <c r="U764" s="1224">
        <f t="shared" si="1857"/>
        <v>0.53125</v>
      </c>
      <c r="V764" s="299">
        <f t="shared" si="1857"/>
        <v>0.59024999999999994</v>
      </c>
      <c r="W764" s="299">
        <f t="shared" si="1857"/>
        <v>0.57199999999999995</v>
      </c>
      <c r="X764" s="299">
        <f t="shared" si="1857"/>
        <v>0.71950000000000003</v>
      </c>
      <c r="Y764" s="299">
        <f t="shared" si="1857"/>
        <v>0.84849999999999992</v>
      </c>
      <c r="Z764" s="1225">
        <f t="shared" si="1857"/>
        <v>0.84849999999999992</v>
      </c>
      <c r="AA764" s="299">
        <f t="shared" si="1857"/>
        <v>0.9365</v>
      </c>
      <c r="AB764" s="299">
        <f t="shared" si="1857"/>
        <v>1.4312499999999999</v>
      </c>
      <c r="AC764" s="299">
        <f t="shared" si="1857"/>
        <v>1.82375</v>
      </c>
      <c r="AD764" s="299">
        <f t="shared" si="1857"/>
        <v>2.9982500000000001</v>
      </c>
      <c r="AE764" s="1226">
        <f t="shared" si="1857"/>
        <v>2.9982500000000001</v>
      </c>
      <c r="AF764" s="299">
        <f t="shared" si="1857"/>
        <v>3.0230000000000001</v>
      </c>
      <c r="AG764" s="299">
        <f t="shared" si="1857"/>
        <v>4.2482500000000005</v>
      </c>
      <c r="AH764" s="299">
        <f t="shared" si="1857"/>
        <v>5.0467500000000003</v>
      </c>
      <c r="AI764" s="299">
        <f t="shared" ref="AI764:AV764" si="1858">IF(INDEX(MO_SNA_IsHistoricalPeriod,1,COLUMN())=FALSE,0,INDEX(MO_SPT_StockHigh,1,COLUMN()))</f>
        <v>6.0834999999999999</v>
      </c>
      <c r="AJ764" s="1226">
        <f t="shared" si="1858"/>
        <v>6.0834999999999999</v>
      </c>
      <c r="AK764" s="299">
        <f t="shared" si="1858"/>
        <v>6.2484525</v>
      </c>
      <c r="AL764" s="299">
        <f t="shared" si="1858"/>
        <v>6.6624300000000005</v>
      </c>
      <c r="AM764" s="299">
        <f t="shared" si="1858"/>
        <v>7.2267650000000003</v>
      </c>
      <c r="AN764" s="299">
        <f t="shared" si="1858"/>
        <v>5.4472974999999995</v>
      </c>
      <c r="AO764" s="1226">
        <f t="shared" si="1858"/>
        <v>7.2267650000000003</v>
      </c>
      <c r="AP764" s="299">
        <f t="shared" si="1858"/>
        <v>4.8025000000000002</v>
      </c>
      <c r="AQ764" s="299">
        <f t="shared" si="1858"/>
        <v>4.5797499999999998</v>
      </c>
      <c r="AR764" s="299">
        <f t="shared" si="1858"/>
        <v>5.1697499999999996</v>
      </c>
      <c r="AS764" s="299">
        <f t="shared" si="1858"/>
        <v>6.3215000000000003</v>
      </c>
      <c r="AT764" s="1226">
        <f t="shared" si="1858"/>
        <v>6.3215000000000003</v>
      </c>
      <c r="AU764" s="299">
        <f t="shared" si="1858"/>
        <v>7.8674999999999997</v>
      </c>
      <c r="AV764" s="299">
        <f t="shared" si="1858"/>
        <v>10.614749999999999</v>
      </c>
      <c r="AW764" s="299">
        <f t="shared" ref="AW764:BB764" si="1859">IF(INDEX(MO_SNA_IsHistoricalPeriod,1,COLUMN())=FALSE,0,INDEX(MO_SPT_StockHigh,1,COLUMN()))</f>
        <v>14.346500000000001</v>
      </c>
      <c r="AX764" s="299">
        <f t="shared" si="1859"/>
        <v>14.562000000000001</v>
      </c>
      <c r="AY764" s="1226">
        <f t="shared" si="1859"/>
        <v>14.562000000000001</v>
      </c>
      <c r="AZ764" s="299">
        <f t="shared" si="1859"/>
        <v>16.137250000000002</v>
      </c>
      <c r="BA764" s="299">
        <f t="shared" si="1859"/>
        <v>20.698500000000003</v>
      </c>
      <c r="BB764" s="299">
        <f t="shared" si="1859"/>
        <v>25.567</v>
      </c>
      <c r="BC764" s="299">
        <f t="shared" ref="BC764:BF764" si="1860">IF(INDEX(MO_SNA_IsHistoricalPeriod,1,COLUMN())=FALSE,0,INDEX(MO_SPT_StockHigh,1,COLUMN()))</f>
        <v>33.375999999999998</v>
      </c>
      <c r="BD764" s="1226">
        <f t="shared" si="1860"/>
        <v>33.375999999999998</v>
      </c>
      <c r="BE764" s="299">
        <f>IF(INDEX(MO_SNA_IsHistoricalPeriod,1,COLUMN())=FALSE,0,INDEX(MO_SPT_StockHigh,1,COLUMN()))</f>
        <v>28.655999999999999</v>
      </c>
      <c r="BF764" s="299">
        <f t="shared" si="1860"/>
        <v>20.334</v>
      </c>
      <c r="BG764" s="299">
        <f t="shared" ref="BG764:BI764" si="1861">IF(INDEX(MO_SNA_IsHistoricalPeriod,1,COLUMN())=FALSE,0,INDEX(MO_SPT_StockHigh,1,COLUMN()))</f>
        <v>19.215</v>
      </c>
      <c r="BH764" s="299">
        <f t="shared" si="1861"/>
        <v>20.365000000000002</v>
      </c>
      <c r="BI764" s="1226">
        <f t="shared" si="1861"/>
        <v>28.655999999999999</v>
      </c>
      <c r="BJ764" s="299">
        <f t="shared" ref="BJ764:BN764" si="1862">IF(INDEX(MO_SNA_IsHistoricalPeriod,1,COLUMN())=FALSE,0,INDEX(MO_SPT_StockHigh,1,COLUMN()))</f>
        <v>27.964999999999996</v>
      </c>
      <c r="BK764" s="299">
        <f t="shared" si="1862"/>
        <v>47.494</v>
      </c>
      <c r="BL764" s="299">
        <f t="shared" si="1862"/>
        <v>49.355000000000004</v>
      </c>
      <c r="BM764" s="299">
        <f t="shared" si="1862"/>
        <v>61.616999999999997</v>
      </c>
      <c r="BN764" s="1226">
        <f t="shared" si="1862"/>
        <v>61.616999999999997</v>
      </c>
      <c r="BO764" s="299">
        <f t="shared" ref="BO764:BS764" si="1863">IF(INDEX(MO_SNA_IsHistoricalPeriod,1,COLUMN())=FALSE,0,INDEX(MO_SPT_StockHigh,1,COLUMN()))</f>
        <v>95.001999999999995</v>
      </c>
      <c r="BP764" s="299">
        <f t="shared" si="1863"/>
        <v>135.58000000000001</v>
      </c>
      <c r="BQ764" s="299">
        <f t="shared" si="1863"/>
        <v>143.71</v>
      </c>
      <c r="BR764" s="299">
        <f t="shared" si="1863"/>
        <v>149.43</v>
      </c>
      <c r="BS764" s="1226">
        <f t="shared" si="1863"/>
        <v>149.43</v>
      </c>
      <c r="BT764" s="299">
        <f t="shared" ref="BT764:CK764" si="1864">IF(INDEX(MO_SNA_IsHistoricalPeriod,1,COLUMN())=FALSE,0,INDEX(MO_SPT_StockHigh,1,COLUMN()))</f>
        <v>95.001999999999995</v>
      </c>
      <c r="BU764" s="299">
        <f t="shared" si="1864"/>
        <v>173.74</v>
      </c>
      <c r="BV764" s="299">
        <f t="shared" si="1864"/>
        <v>192.57</v>
      </c>
      <c r="BW764" s="299">
        <f t="shared" si="1864"/>
        <v>207.04</v>
      </c>
      <c r="BX764" s="1226">
        <f t="shared" si="1864"/>
        <v>207.04</v>
      </c>
      <c r="BY764" s="944">
        <f>IF(INDEX(MO_SNA_IsHistoricalPeriod,1,COLUMN())=FALSE,0,INDEX(MO_SPT_StockHigh,1,COLUMN()))</f>
        <v>208.27</v>
      </c>
      <c r="BZ764" s="723">
        <f t="shared" si="1864"/>
        <v>0</v>
      </c>
      <c r="CA764" s="723">
        <f t="shared" si="1864"/>
        <v>0</v>
      </c>
      <c r="CB764" s="723">
        <f t="shared" si="1864"/>
        <v>0</v>
      </c>
      <c r="CC764" s="1226">
        <f t="shared" si="1864"/>
        <v>0</v>
      </c>
      <c r="CD764" s="723">
        <f t="shared" si="1864"/>
        <v>0</v>
      </c>
      <c r="CE764" s="723">
        <f t="shared" si="1864"/>
        <v>0</v>
      </c>
      <c r="CF764" s="723">
        <f t="shared" si="1864"/>
        <v>0</v>
      </c>
      <c r="CG764" s="723">
        <f t="shared" si="1864"/>
        <v>0</v>
      </c>
      <c r="CH764" s="1226">
        <f t="shared" si="1864"/>
        <v>0</v>
      </c>
      <c r="CI764" s="1226">
        <f t="shared" si="1864"/>
        <v>0</v>
      </c>
      <c r="CJ764" s="1226">
        <f t="shared" si="1864"/>
        <v>0</v>
      </c>
      <c r="CK764" s="1226">
        <f t="shared" si="1864"/>
        <v>0</v>
      </c>
      <c r="CL764" s="155"/>
    </row>
    <row r="765" spans="1:90" hidden="1" outlineLevel="1" x14ac:dyDescent="0.3">
      <c r="A765" s="230" t="str">
        <f>"Stock Low, "&amp;HP.TradeCurrency</f>
        <v>Stock Low, USD</v>
      </c>
      <c r="B765" s="622"/>
      <c r="C765" s="1224">
        <f t="shared" ref="C765:AH765" si="1865">IF(INDEX(MO_SNA_IsHistoricalPeriod,1,COLUMN())=FALSE,0,INDEX(MO_SPT_StockLow,1,COLUMN()))</f>
        <v>0.14374999999999999</v>
      </c>
      <c r="D765" s="1224">
        <f t="shared" si="1865"/>
        <v>0.18024999999999999</v>
      </c>
      <c r="E765" s="1224">
        <f t="shared" si="1865"/>
        <v>0.21625</v>
      </c>
      <c r="F765" s="1224">
        <f t="shared" si="1865"/>
        <v>0.28675</v>
      </c>
      <c r="G765" s="299">
        <f t="shared" si="1865"/>
        <v>0.31874999999999998</v>
      </c>
      <c r="H765" s="299">
        <f t="shared" si="1865"/>
        <v>0.29075000000000001</v>
      </c>
      <c r="I765" s="299">
        <f t="shared" si="1865"/>
        <v>0.29575000000000001</v>
      </c>
      <c r="J765" s="299">
        <f t="shared" si="1865"/>
        <v>0.27875</v>
      </c>
      <c r="K765" s="1224">
        <f t="shared" si="1865"/>
        <v>0.27875</v>
      </c>
      <c r="L765" s="299">
        <f t="shared" si="1865"/>
        <v>0.30099999999999999</v>
      </c>
      <c r="M765" s="299">
        <f t="shared" si="1865"/>
        <v>0.33424999999999999</v>
      </c>
      <c r="N765" s="299">
        <f t="shared" si="1865"/>
        <v>0.32774999999999999</v>
      </c>
      <c r="O765" s="299">
        <f t="shared" si="1865"/>
        <v>0.36299999999999999</v>
      </c>
      <c r="P765" s="1224">
        <f t="shared" si="1865"/>
        <v>0.30099999999999999</v>
      </c>
      <c r="Q765" s="299">
        <f t="shared" si="1865"/>
        <v>0.38300000000000001</v>
      </c>
      <c r="R765" s="299">
        <f t="shared" si="1865"/>
        <v>0.44275000000000003</v>
      </c>
      <c r="S765" s="299">
        <f t="shared" si="1865"/>
        <v>0.41925000000000001</v>
      </c>
      <c r="T765" s="299">
        <f t="shared" si="1865"/>
        <v>0.45674999999999999</v>
      </c>
      <c r="U765" s="1224">
        <f t="shared" si="1865"/>
        <v>0.38300000000000001</v>
      </c>
      <c r="V765" s="299">
        <f t="shared" si="1865"/>
        <v>0.47350000000000003</v>
      </c>
      <c r="W765" s="299">
        <f t="shared" si="1865"/>
        <v>0.47899999999999998</v>
      </c>
      <c r="X765" s="299">
        <f t="shared" si="1865"/>
        <v>0.47725000000000001</v>
      </c>
      <c r="Y765" s="299">
        <f t="shared" si="1865"/>
        <v>0.66125</v>
      </c>
      <c r="Z765" s="1225">
        <f t="shared" si="1865"/>
        <v>0.47350000000000003</v>
      </c>
      <c r="AA765" s="299">
        <f t="shared" si="1865"/>
        <v>0.61875000000000002</v>
      </c>
      <c r="AB765" s="299">
        <f t="shared" si="1865"/>
        <v>0.86</v>
      </c>
      <c r="AC765" s="299">
        <f t="shared" si="1865"/>
        <v>1.3875</v>
      </c>
      <c r="AD765" s="299">
        <f t="shared" si="1865"/>
        <v>1.6644999999999999</v>
      </c>
      <c r="AE765" s="1226">
        <f t="shared" si="1865"/>
        <v>0.61875000000000002</v>
      </c>
      <c r="AF765" s="299">
        <f t="shared" si="1865"/>
        <v>2.3792499999999999</v>
      </c>
      <c r="AG765" s="299">
        <f t="shared" si="1865"/>
        <v>2.55775</v>
      </c>
      <c r="AH765" s="299">
        <f t="shared" si="1865"/>
        <v>3.84775</v>
      </c>
      <c r="AI765" s="299">
        <f t="shared" ref="AI765:AV765" si="1866">IF(INDEX(MO_SNA_IsHistoricalPeriod,1,COLUMN())=FALSE,0,INDEX(MO_SPT_StockLow,1,COLUMN()))</f>
        <v>4.5145</v>
      </c>
      <c r="AJ765" s="1226">
        <f t="shared" si="1866"/>
        <v>2.3792499999999999</v>
      </c>
      <c r="AK765" s="299">
        <f t="shared" si="1866"/>
        <v>5.3276300000000001</v>
      </c>
      <c r="AL765" s="299">
        <f t="shared" si="1866"/>
        <v>5.6455099999999998</v>
      </c>
      <c r="AM765" s="299">
        <f t="shared" si="1866"/>
        <v>4.6358600000000001</v>
      </c>
      <c r="AN765" s="299">
        <f t="shared" si="1866"/>
        <v>3.177</v>
      </c>
      <c r="AO765" s="1226">
        <f t="shared" si="1866"/>
        <v>3.177</v>
      </c>
      <c r="AP765" s="299">
        <f t="shared" si="1866"/>
        <v>3.6182499999999997</v>
      </c>
      <c r="AQ765" s="299">
        <f t="shared" si="1866"/>
        <v>3.3445</v>
      </c>
      <c r="AR765" s="299">
        <f t="shared" si="1866"/>
        <v>3.7192500000000002</v>
      </c>
      <c r="AS765" s="299">
        <f t="shared" si="1866"/>
        <v>5.0647500000000001</v>
      </c>
      <c r="AT765" s="1226">
        <f t="shared" si="1866"/>
        <v>3.3445</v>
      </c>
      <c r="AU765" s="299">
        <f t="shared" si="1866"/>
        <v>4.91</v>
      </c>
      <c r="AV765" s="299">
        <f t="shared" si="1866"/>
        <v>7.0694999999999997</v>
      </c>
      <c r="AW765" s="299">
        <f t="shared" ref="AW765:BB765" si="1867">IF(INDEX(MO_SNA_IsHistoricalPeriod,1,COLUMN())=FALSE,0,INDEX(MO_SPT_StockLow,1,COLUMN()))</f>
        <v>10.85</v>
      </c>
      <c r="AX765" s="299">
        <f t="shared" si="1867"/>
        <v>12.58075</v>
      </c>
      <c r="AY765" s="1226">
        <f t="shared" si="1867"/>
        <v>4.91</v>
      </c>
      <c r="AZ765" s="299">
        <f t="shared" si="1867"/>
        <v>11.593250000000001</v>
      </c>
      <c r="BA765" s="299">
        <f t="shared" si="1867"/>
        <v>13.66525</v>
      </c>
      <c r="BB765" s="299">
        <f t="shared" si="1867"/>
        <v>19.04</v>
      </c>
      <c r="BC765" s="299">
        <f t="shared" ref="BC765:BF765" si="1868">IF(INDEX(MO_SNA_IsHistoricalPeriod,1,COLUMN())=FALSE,0,INDEX(MO_SPT_StockLow,1,COLUMN()))</f>
        <v>21.943999999999999</v>
      </c>
      <c r="BD765" s="1226">
        <f t="shared" si="1868"/>
        <v>11.593250000000001</v>
      </c>
      <c r="BE765" s="299">
        <f>IF(INDEX(MO_SNA_IsHistoricalPeriod,1,COLUMN())=FALSE,0,INDEX(MO_SPT_StockLow,1,COLUMN()))</f>
        <v>18.414999999999999</v>
      </c>
      <c r="BF765" s="299">
        <f t="shared" si="1868"/>
        <v>14.523</v>
      </c>
      <c r="BG765" s="299">
        <f t="shared" ref="BG765:BI765" si="1869">IF(INDEX(MO_SNA_IsHistoricalPeriod,1,COLUMN())=FALSE,0,INDEX(MO_SPT_StockLow,1,COLUMN()))</f>
        <v>11.227</v>
      </c>
      <c r="BH765" s="299">
        <f t="shared" si="1869"/>
        <v>13.218999999999999</v>
      </c>
      <c r="BI765" s="1226">
        <f t="shared" si="1869"/>
        <v>11.227</v>
      </c>
      <c r="BJ765" s="299">
        <f t="shared" ref="BJ765:BN765" si="1870">IF(INDEX(MO_SNA_IsHistoricalPeriod,1,COLUMN())=FALSE,0,INDEX(MO_SPT_StockLow,1,COLUMN()))</f>
        <v>20.655000000000001</v>
      </c>
      <c r="BK765" s="299">
        <f t="shared" si="1870"/>
        <v>27.562000000000001</v>
      </c>
      <c r="BL765" s="299">
        <f t="shared" si="1870"/>
        <v>40.326000000000001</v>
      </c>
      <c r="BM765" s="299">
        <f t="shared" si="1870"/>
        <v>40.78</v>
      </c>
      <c r="BN765" s="1226">
        <f t="shared" si="1870"/>
        <v>19.161999999999999</v>
      </c>
      <c r="BO765" s="299">
        <f t="shared" ref="BO765:BS765" si="1871">IF(INDEX(MO_SNA_IsHistoricalPeriod,1,COLUMN())=FALSE,0,INDEX(MO_SPT_StockLow,1,COLUMN()))</f>
        <v>61.527000000000001</v>
      </c>
      <c r="BP765" s="299">
        <f t="shared" si="1871"/>
        <v>83.040999999999997</v>
      </c>
      <c r="BQ765" s="299">
        <f t="shared" si="1871"/>
        <v>98.91</v>
      </c>
      <c r="BR765" s="299">
        <f t="shared" si="1871"/>
        <v>128.91</v>
      </c>
      <c r="BS765" s="1226">
        <f t="shared" si="1871"/>
        <v>61.527000000000001</v>
      </c>
      <c r="BT765" s="299">
        <f t="shared" ref="BT765:CK765" si="1872">IF(INDEX(MO_SNA_IsHistoricalPeriod,1,COLUMN())=FALSE,0,INDEX(MO_SPT_StockLow,1,COLUMN()))</f>
        <v>61.527000000000001</v>
      </c>
      <c r="BU765" s="299">
        <f t="shared" si="1872"/>
        <v>108.73</v>
      </c>
      <c r="BV765" s="299">
        <f t="shared" si="1872"/>
        <v>167.02</v>
      </c>
      <c r="BW765" s="299">
        <f t="shared" si="1872"/>
        <v>170.94</v>
      </c>
      <c r="BX765" s="1226">
        <f t="shared" si="1872"/>
        <v>94.31</v>
      </c>
      <c r="BY765" s="944">
        <f>IF(INDEX(MO_SNA_IsHistoricalPeriod,1,COLUMN())=FALSE,0,INDEX(MO_SPT_StockLow,1,COLUMN()))</f>
        <v>165.17</v>
      </c>
      <c r="BZ765" s="723">
        <f t="shared" si="1872"/>
        <v>0</v>
      </c>
      <c r="CA765" s="723">
        <f t="shared" si="1872"/>
        <v>0</v>
      </c>
      <c r="CB765" s="723">
        <f t="shared" si="1872"/>
        <v>0</v>
      </c>
      <c r="CC765" s="1226">
        <f t="shared" si="1872"/>
        <v>0</v>
      </c>
      <c r="CD765" s="723">
        <f t="shared" si="1872"/>
        <v>0</v>
      </c>
      <c r="CE765" s="723">
        <f t="shared" si="1872"/>
        <v>0</v>
      </c>
      <c r="CF765" s="723">
        <f t="shared" si="1872"/>
        <v>0</v>
      </c>
      <c r="CG765" s="723">
        <f t="shared" si="1872"/>
        <v>0</v>
      </c>
      <c r="CH765" s="1226">
        <f t="shared" si="1872"/>
        <v>0</v>
      </c>
      <c r="CI765" s="1226">
        <f t="shared" si="1872"/>
        <v>0</v>
      </c>
      <c r="CJ765" s="1226">
        <f t="shared" si="1872"/>
        <v>0</v>
      </c>
      <c r="CK765" s="1226">
        <f t="shared" si="1872"/>
        <v>0</v>
      </c>
      <c r="CL765" s="155"/>
    </row>
    <row r="766" spans="1:90" hidden="1" outlineLevel="1" x14ac:dyDescent="0.3">
      <c r="A766" s="230" t="str">
        <f>"Stock Average, "&amp;HP.TradeCurrency</f>
        <v>Stock Average, USD</v>
      </c>
      <c r="B766" s="622"/>
      <c r="C766" s="1224">
        <f t="shared" ref="C766:AH766" si="1873">IF(INDEX(MO_SNA_IsHistoricalPeriod,1,COLUMN())=FALSE,0,INDEX(MO_SPT_StockAverage,1,COLUMN()))</f>
        <v>0.36324999999999996</v>
      </c>
      <c r="D766" s="1224">
        <f t="shared" si="1873"/>
        <v>0.31356250000000002</v>
      </c>
      <c r="E766" s="1224">
        <f t="shared" si="1873"/>
        <v>0.36393749999999997</v>
      </c>
      <c r="F766" s="1224">
        <f t="shared" si="1873"/>
        <v>0.41825000000000001</v>
      </c>
      <c r="G766" s="299">
        <f t="shared" si="1873"/>
        <v>0.37062499999999998</v>
      </c>
      <c r="H766" s="299">
        <f t="shared" si="1873"/>
        <v>0.31912499999999999</v>
      </c>
      <c r="I766" s="299">
        <f t="shared" si="1873"/>
        <v>0.33812500000000001</v>
      </c>
      <c r="J766" s="299">
        <f t="shared" si="1873"/>
        <v>0.30425000000000002</v>
      </c>
      <c r="K766" s="1224">
        <f t="shared" si="1873"/>
        <v>0.33303125</v>
      </c>
      <c r="L766" s="299">
        <f t="shared" si="1873"/>
        <v>0.31924999999999998</v>
      </c>
      <c r="M766" s="299">
        <f t="shared" si="1873"/>
        <v>0.36062500000000003</v>
      </c>
      <c r="N766" s="299">
        <f t="shared" si="1873"/>
        <v>0.36512500000000003</v>
      </c>
      <c r="O766" s="299">
        <f t="shared" si="1873"/>
        <v>0.38700000000000001</v>
      </c>
      <c r="P766" s="1224">
        <f t="shared" si="1873"/>
        <v>0.35799999999999998</v>
      </c>
      <c r="Q766" s="299">
        <f t="shared" si="1873"/>
        <v>0.43475000000000003</v>
      </c>
      <c r="R766" s="299">
        <f t="shared" si="1873"/>
        <v>0.46799999999999997</v>
      </c>
      <c r="S766" s="299">
        <f t="shared" si="1873"/>
        <v>0.46150000000000002</v>
      </c>
      <c r="T766" s="299">
        <f t="shared" si="1873"/>
        <v>0.49400000000000005</v>
      </c>
      <c r="U766" s="1224">
        <f t="shared" si="1873"/>
        <v>0.46456249999999999</v>
      </c>
      <c r="V766" s="299">
        <f t="shared" si="1873"/>
        <v>0.53187499999999999</v>
      </c>
      <c r="W766" s="299">
        <f t="shared" si="1873"/>
        <v>0.52549999999999997</v>
      </c>
      <c r="X766" s="299">
        <f t="shared" si="1873"/>
        <v>0.59837499999999999</v>
      </c>
      <c r="Y766" s="299">
        <f t="shared" si="1873"/>
        <v>0.75487499999999996</v>
      </c>
      <c r="Z766" s="1225">
        <f t="shared" si="1873"/>
        <v>0.60265625</v>
      </c>
      <c r="AA766" s="299">
        <f t="shared" si="1873"/>
        <v>0.77762500000000001</v>
      </c>
      <c r="AB766" s="299">
        <f t="shared" si="1873"/>
        <v>1.1456250000000001</v>
      </c>
      <c r="AC766" s="299">
        <f t="shared" si="1873"/>
        <v>1.6056249999999999</v>
      </c>
      <c r="AD766" s="299">
        <f t="shared" si="1873"/>
        <v>2.331375</v>
      </c>
      <c r="AE766" s="1226">
        <f t="shared" si="1873"/>
        <v>1.4650624999999999</v>
      </c>
      <c r="AF766" s="299">
        <f t="shared" si="1873"/>
        <v>2.7011250000000002</v>
      </c>
      <c r="AG766" s="299">
        <f t="shared" si="1873"/>
        <v>3.403</v>
      </c>
      <c r="AH766" s="299">
        <f t="shared" si="1873"/>
        <v>4.4472499999999995</v>
      </c>
      <c r="AI766" s="299">
        <f t="shared" ref="AI766:AV766" si="1874">IF(INDEX(MO_SNA_IsHistoricalPeriod,1,COLUMN())=FALSE,0,INDEX(MO_SPT_StockAverage,1,COLUMN()))</f>
        <v>5.2990000000000004</v>
      </c>
      <c r="AJ766" s="1226">
        <f t="shared" si="1874"/>
        <v>3.9625937499999999</v>
      </c>
      <c r="AK766" s="299">
        <f t="shared" si="1874"/>
        <v>5.8473654918032754</v>
      </c>
      <c r="AL766" s="299">
        <f t="shared" si="1874"/>
        <v>6.2506023437499998</v>
      </c>
      <c r="AM766" s="299">
        <f t="shared" si="1874"/>
        <v>6.4101781923076997</v>
      </c>
      <c r="AN766" s="299">
        <f t="shared" si="1874"/>
        <v>3.9246825819672253</v>
      </c>
      <c r="AO766" s="1226">
        <f t="shared" si="1874"/>
        <v>5.628665597609575</v>
      </c>
      <c r="AP766" s="299">
        <f t="shared" si="1874"/>
        <v>4.2435204918032756</v>
      </c>
      <c r="AQ766" s="299">
        <f t="shared" si="1874"/>
        <v>3.9875195312499998</v>
      </c>
      <c r="AR766" s="299">
        <f t="shared" si="1874"/>
        <v>4.4072307692307753</v>
      </c>
      <c r="AS766" s="299">
        <f t="shared" si="1874"/>
        <v>5.6738709677419248</v>
      </c>
      <c r="AT766" s="1226">
        <f t="shared" si="1874"/>
        <v>4.5726428571428501</v>
      </c>
      <c r="AU766" s="299">
        <f t="shared" si="1874"/>
        <v>6.5817762096774244</v>
      </c>
      <c r="AV766" s="299">
        <f t="shared" si="1874"/>
        <v>9.2063496093749997</v>
      </c>
      <c r="AW766" s="299">
        <f t="shared" ref="AW766:BB766" si="1875">IF(INDEX(MO_SNA_IsHistoricalPeriod,1,COLUMN())=FALSE,0,INDEX(MO_SPT_StockAverage,1,COLUMN()))</f>
        <v>12.781609374999999</v>
      </c>
      <c r="AX766" s="299">
        <f t="shared" si="1875"/>
        <v>13.294950819672124</v>
      </c>
      <c r="AY766" s="1226">
        <f t="shared" si="1875"/>
        <v>10.463312749003975</v>
      </c>
      <c r="AZ766" s="299">
        <f t="shared" si="1875"/>
        <v>14.010079365079374</v>
      </c>
      <c r="BA766" s="299">
        <f t="shared" si="1875"/>
        <v>17.573777777777799</v>
      </c>
      <c r="BB766" s="299">
        <f t="shared" si="1875"/>
        <v>21.572734375</v>
      </c>
      <c r="BC766" s="299">
        <f t="shared" ref="BC766:BF766" si="1876">IF(INDEX(MO_SNA_IsHistoricalPeriod,1,COLUMN())=FALSE,0,INDEX(MO_SPT_StockAverage,1,COLUMN()))</f>
        <v>28.7625396825397</v>
      </c>
      <c r="BD766" s="1226">
        <f t="shared" si="1876"/>
        <v>20.484102766798401</v>
      </c>
      <c r="BE766" s="299">
        <f>IF(INDEX(MO_SNA_IsHistoricalPeriod,1,COLUMN())=FALSE,0,INDEX(MO_SPT_StockAverage,1,COLUMN()))</f>
        <v>23.850838709677397</v>
      </c>
      <c r="BF766" s="299">
        <f t="shared" si="1876"/>
        <v>17.0571612903226</v>
      </c>
      <c r="BG766" s="299">
        <f t="shared" ref="BG766:BI766" si="1877">IF(INDEX(MO_SNA_IsHistoricalPeriod,1,COLUMN())=FALSE,0,INDEX(MO_SPT_StockAverage,1,COLUMN()))</f>
        <v>14.570169230769201</v>
      </c>
      <c r="BH766" s="299">
        <f t="shared" si="1877"/>
        <v>16.250193548387099</v>
      </c>
      <c r="BI766" s="1226">
        <f t="shared" si="1877"/>
        <v>17.891908366533901</v>
      </c>
      <c r="BJ766" s="299">
        <f t="shared" ref="BJ766:BN766" si="1878">IF(INDEX(MO_SNA_IsHistoricalPeriod,1,COLUMN())=FALSE,0,INDEX(MO_SPT_StockAverage,1,COLUMN()))</f>
        <v>24.788819672131101</v>
      </c>
      <c r="BK766" s="299">
        <f t="shared" si="1878"/>
        <v>38.696174603174597</v>
      </c>
      <c r="BL766" s="299">
        <f t="shared" si="1878"/>
        <v>44.563875000000003</v>
      </c>
      <c r="BM766" s="299">
        <f t="shared" si="1878"/>
        <v>49.773590163934401</v>
      </c>
      <c r="BN766" s="1226">
        <f t="shared" si="1878"/>
        <v>39.320895999999998</v>
      </c>
      <c r="BO766" s="299">
        <f t="shared" ref="BO766:BS766" si="1879">IF(INDEX(MO_SNA_IsHistoricalPeriod,1,COLUMN())=FALSE,0,INDEX(MO_SPT_StockAverage,1,COLUMN()))</f>
        <v>81.554801587301597</v>
      </c>
      <c r="BP766" s="299">
        <f t="shared" si="1879"/>
        <v>113.031225806452</v>
      </c>
      <c r="BQ766" s="299">
        <f t="shared" si="1879"/>
        <v>121.0271875</v>
      </c>
      <c r="BR766" s="299">
        <f t="shared" si="1879"/>
        <v>139.73875000000001</v>
      </c>
      <c r="BS766" s="1226">
        <f t="shared" si="1879"/>
        <v>113.558046184739</v>
      </c>
      <c r="BT766" s="299">
        <f t="shared" ref="BT766:CK766" si="1880">IF(INDEX(MO_SNA_IsHistoricalPeriod,1,COLUMN())=FALSE,0,INDEX(MO_SPT_StockAverage,1,COLUMN()))</f>
        <v>81.554801587301597</v>
      </c>
      <c r="BU766" s="299">
        <f t="shared" si="1880"/>
        <v>143.58274193548399</v>
      </c>
      <c r="BV766" s="299">
        <f t="shared" si="1880"/>
        <v>179.57187500000001</v>
      </c>
      <c r="BW766" s="299">
        <f t="shared" si="1880"/>
        <v>186.431147540984</v>
      </c>
      <c r="BX766" s="1226">
        <f t="shared" si="1880"/>
        <v>156.64511999999999</v>
      </c>
      <c r="BY766" s="944">
        <f>IF(INDEX(MO_SNA_IsHistoricalPeriod,1,COLUMN())=FALSE,0,INDEX(MO_SPT_StockAverage,1,COLUMN()))</f>
        <v>185.19793650793699</v>
      </c>
      <c r="BZ766" s="723">
        <f t="shared" si="1880"/>
        <v>0</v>
      </c>
      <c r="CA766" s="723">
        <f t="shared" si="1880"/>
        <v>0</v>
      </c>
      <c r="CB766" s="723">
        <f t="shared" si="1880"/>
        <v>0</v>
      </c>
      <c r="CC766" s="1226">
        <f t="shared" si="1880"/>
        <v>0</v>
      </c>
      <c r="CD766" s="723">
        <f t="shared" si="1880"/>
        <v>0</v>
      </c>
      <c r="CE766" s="723">
        <f t="shared" si="1880"/>
        <v>0</v>
      </c>
      <c r="CF766" s="723">
        <f t="shared" si="1880"/>
        <v>0</v>
      </c>
      <c r="CG766" s="723">
        <f t="shared" si="1880"/>
        <v>0</v>
      </c>
      <c r="CH766" s="1226">
        <f t="shared" si="1880"/>
        <v>0</v>
      </c>
      <c r="CI766" s="1226">
        <f t="shared" si="1880"/>
        <v>0</v>
      </c>
      <c r="CJ766" s="1226">
        <f t="shared" si="1880"/>
        <v>0</v>
      </c>
      <c r="CK766" s="1226">
        <f t="shared" si="1880"/>
        <v>0</v>
      </c>
      <c r="CL766" s="155"/>
    </row>
    <row r="767" spans="1:90" hidden="1" outlineLevel="1" x14ac:dyDescent="0.3">
      <c r="A767" s="230" t="str">
        <f>"Stock EoP, "&amp;HP.TradeCurrency</f>
        <v>Stock EoP, USD</v>
      </c>
      <c r="B767" s="622"/>
      <c r="C767" s="1227">
        <f t="shared" ref="C767:AH767" si="1881">IF(INDEX(MO_SNA_IsHistoricalPeriod,1,COLUMN())=FALSE,MO.LastPrice,INDEX(MO_SPT_StockEoP,1,COLUMN()))</f>
        <v>0.19875000000000001</v>
      </c>
      <c r="D767" s="1227">
        <f t="shared" si="1881"/>
        <v>0.38475000000000004</v>
      </c>
      <c r="E767" s="1227">
        <f t="shared" si="1881"/>
        <v>0.59400000000000008</v>
      </c>
      <c r="F767" s="1227">
        <f t="shared" si="1881"/>
        <v>0.37</v>
      </c>
      <c r="G767" s="1031">
        <f t="shared" si="1881"/>
        <v>0.32450000000000001</v>
      </c>
      <c r="H767" s="1031">
        <f t="shared" si="1881"/>
        <v>0.33324999999999999</v>
      </c>
      <c r="I767" s="1031">
        <f t="shared" si="1881"/>
        <v>0.30125000000000002</v>
      </c>
      <c r="J767" s="1031">
        <f t="shared" si="1881"/>
        <v>0.308</v>
      </c>
      <c r="K767" s="1227">
        <f t="shared" si="1881"/>
        <v>0.308</v>
      </c>
      <c r="L767" s="1031">
        <f t="shared" si="1881"/>
        <v>0.33925</v>
      </c>
      <c r="M767" s="1031">
        <f t="shared" si="1881"/>
        <v>0.36025000000000001</v>
      </c>
      <c r="N767" s="1031">
        <f t="shared" si="1881"/>
        <v>0.3805</v>
      </c>
      <c r="O767" s="1031">
        <f t="shared" si="1881"/>
        <v>0.39300000000000002</v>
      </c>
      <c r="P767" s="1227">
        <f t="shared" si="1881"/>
        <v>0.39300000000000002</v>
      </c>
      <c r="Q767" s="1031">
        <f t="shared" si="1881"/>
        <v>0.46725000000000005</v>
      </c>
      <c r="R767" s="1031">
        <f t="shared" si="1881"/>
        <v>0.45199999999999996</v>
      </c>
      <c r="S767" s="1031">
        <f t="shared" si="1881"/>
        <v>0.46725000000000005</v>
      </c>
      <c r="T767" s="1031">
        <f t="shared" si="1881"/>
        <v>0.48011999999999999</v>
      </c>
      <c r="U767" s="1227">
        <f t="shared" si="1881"/>
        <v>0.48011999999999999</v>
      </c>
      <c r="V767" s="1031">
        <f t="shared" si="1881"/>
        <v>0.55349999999999999</v>
      </c>
      <c r="W767" s="1031">
        <f t="shared" si="1881"/>
        <v>0.50049999999999994</v>
      </c>
      <c r="X767" s="1031">
        <f t="shared" si="1881"/>
        <v>0.70925000000000005</v>
      </c>
      <c r="Y767" s="1031">
        <f t="shared" si="1881"/>
        <v>0.73224999999999996</v>
      </c>
      <c r="Z767" s="1228">
        <f t="shared" si="1881"/>
        <v>0.73224999999999996</v>
      </c>
      <c r="AA767" s="1031">
        <f t="shared" si="1881"/>
        <v>0.88824999999999998</v>
      </c>
      <c r="AB767" s="1031">
        <f t="shared" si="1881"/>
        <v>1.4275</v>
      </c>
      <c r="AC767" s="1031">
        <f t="shared" si="1881"/>
        <v>1.764</v>
      </c>
      <c r="AD767" s="1031">
        <f t="shared" si="1881"/>
        <v>2.7504999999999997</v>
      </c>
      <c r="AE767" s="1229">
        <f t="shared" si="1881"/>
        <v>2.7504999999999997</v>
      </c>
      <c r="AF767" s="1031">
        <f t="shared" si="1881"/>
        <v>2.6074999999999999</v>
      </c>
      <c r="AG767" s="1031">
        <f t="shared" si="1881"/>
        <v>4.10975</v>
      </c>
      <c r="AH767" s="1031">
        <f t="shared" si="1881"/>
        <v>5.0960000000000001</v>
      </c>
      <c r="AI767" s="1031">
        <f t="shared" ref="AI767:BF767" si="1882">IF(INDEX(MO_SNA_IsHistoricalPeriod,1,COLUMN())=FALSE,MO.LastPrice,INDEX(MO_SPT_StockEoP,1,COLUMN()))</f>
        <v>6.0679999999999996</v>
      </c>
      <c r="AJ767" s="1229">
        <f t="shared" si="1882"/>
        <v>6.0679999999999996</v>
      </c>
      <c r="AK767" s="1031">
        <f t="shared" si="1882"/>
        <v>5.6582500000000007</v>
      </c>
      <c r="AL767" s="1031">
        <f t="shared" si="1882"/>
        <v>6.1032500000000001</v>
      </c>
      <c r="AM767" s="1031">
        <f t="shared" si="1882"/>
        <v>5.0750000000000002</v>
      </c>
      <c r="AN767" s="1031">
        <f t="shared" si="1882"/>
        <v>3.4347499999999997</v>
      </c>
      <c r="AO767" s="1229">
        <f t="shared" si="1882"/>
        <v>3.4347499999999997</v>
      </c>
      <c r="AP767" s="1031">
        <f t="shared" si="1882"/>
        <v>4.48325</v>
      </c>
      <c r="AQ767" s="1031">
        <f t="shared" si="1882"/>
        <v>4.3862499999999995</v>
      </c>
      <c r="AR767" s="1031">
        <f t="shared" si="1882"/>
        <v>5.0750000000000002</v>
      </c>
      <c r="AS767" s="1031">
        <f t="shared" si="1882"/>
        <v>6.1452499999999999</v>
      </c>
      <c r="AT767" s="1229">
        <f t="shared" si="1882"/>
        <v>6.1452499999999999</v>
      </c>
      <c r="AU767" s="1031">
        <f t="shared" si="1882"/>
        <v>7.4614999999999991</v>
      </c>
      <c r="AV767" s="1031">
        <f t="shared" si="1882"/>
        <v>10.614000000000001</v>
      </c>
      <c r="AW767" s="1031">
        <f t="shared" si="1882"/>
        <v>12.534000000000001</v>
      </c>
      <c r="AX767" s="1031">
        <f t="shared" si="1882"/>
        <v>12.989750000000001</v>
      </c>
      <c r="AY767" s="1229">
        <f t="shared" si="1882"/>
        <v>12.989750000000001</v>
      </c>
      <c r="AZ767" s="1031">
        <f t="shared" si="1882"/>
        <v>15.32475</v>
      </c>
      <c r="BA767" s="1031">
        <f t="shared" si="1882"/>
        <v>19.499000000000002</v>
      </c>
      <c r="BB767" s="1031">
        <f t="shared" si="1882"/>
        <v>25.567</v>
      </c>
      <c r="BC767" s="1031">
        <f t="shared" si="1882"/>
        <v>22.84</v>
      </c>
      <c r="BD767" s="1229">
        <f t="shared" si="1882"/>
        <v>22.84</v>
      </c>
      <c r="BE767" s="1031">
        <f t="shared" si="1882"/>
        <v>18.547000000000001</v>
      </c>
      <c r="BF767" s="1031">
        <f t="shared" si="1882"/>
        <v>18.163</v>
      </c>
      <c r="BG767" s="1031">
        <f t="shared" ref="BG767:BI767" si="1883">IF(INDEX(MO_SNA_IsHistoricalPeriod,1,COLUMN())=FALSE,MO.LastPrice,INDEX(MO_SPT_StockEoP,1,COLUMN()))</f>
        <v>13.834</v>
      </c>
      <c r="BH767" s="1031">
        <f t="shared" si="1883"/>
        <v>19.161999999999999</v>
      </c>
      <c r="BI767" s="1229">
        <f t="shared" si="1883"/>
        <v>19.161999999999999</v>
      </c>
      <c r="BJ767" s="1031">
        <f t="shared" ref="BJ767:BN767" si="1884">IF(INDEX(MO_SNA_IsHistoricalPeriod,1,COLUMN())=FALSE,MO.LastPrice,INDEX(MO_SPT_StockEoP,1,COLUMN()))</f>
        <v>27.749000000000002</v>
      </c>
      <c r="BK767" s="1031">
        <f t="shared" si="1884"/>
        <v>46.75</v>
      </c>
      <c r="BL767" s="1031">
        <f t="shared" si="1884"/>
        <v>40.5</v>
      </c>
      <c r="BM767" s="1031">
        <f t="shared" si="1884"/>
        <v>61.030999999999992</v>
      </c>
      <c r="BN767" s="1229">
        <f t="shared" si="1884"/>
        <v>61.030999999999992</v>
      </c>
      <c r="BO767" s="1031">
        <f t="shared" ref="BO767:BR767" si="1885">IF(INDEX(MO_SNA_IsHistoricalPeriod,1,COLUMN())=FALSE,MO.LastPrice,INDEX(MO_SPT_StockEoP,1,COLUMN()))</f>
        <v>87.734999999999999</v>
      </c>
      <c r="BP767" s="1031">
        <f t="shared" si="1885"/>
        <v>113.06</v>
      </c>
      <c r="BQ767" s="1031">
        <f t="shared" si="1885"/>
        <v>141.54</v>
      </c>
      <c r="BR767" s="1031">
        <f t="shared" si="1885"/>
        <v>142.62</v>
      </c>
      <c r="BS767" s="1229">
        <f t="shared" ref="BS767:CK767" si="1886">IF(INDEX(MO_SNA_IsHistoricalPeriod,1,COLUMN())=FALSE,MO.LastPrice,INDEX(MO_SPT_StockEoP,1,COLUMN()))</f>
        <v>142.62</v>
      </c>
      <c r="BT767" s="1031">
        <f t="shared" si="1886"/>
        <v>87.734999999999999</v>
      </c>
      <c r="BU767" s="1031">
        <f t="shared" si="1886"/>
        <v>173.5</v>
      </c>
      <c r="BV767" s="1031">
        <f t="shared" si="1886"/>
        <v>186.26</v>
      </c>
      <c r="BW767" s="1031">
        <f t="shared" si="1886"/>
        <v>187.67</v>
      </c>
      <c r="BX767" s="1229">
        <f t="shared" si="1886"/>
        <v>187.67</v>
      </c>
      <c r="BY767" s="945">
        <f>IF(INDEX(MO_SNA_IsHistoricalPeriod,1,COLUMN())=FALSE,MO.LastPrice,INDEX(MO_SPT_StockEoP,1,COLUMN()))</f>
        <v>208.27</v>
      </c>
      <c r="BZ767" s="724">
        <f t="shared" si="1886"/>
        <v>222.82</v>
      </c>
      <c r="CA767" s="724">
        <f t="shared" si="1886"/>
        <v>222.82</v>
      </c>
      <c r="CB767" s="724">
        <f t="shared" si="1886"/>
        <v>222.82</v>
      </c>
      <c r="CC767" s="1229">
        <f t="shared" si="1886"/>
        <v>222.82</v>
      </c>
      <c r="CD767" s="724">
        <f t="shared" si="1886"/>
        <v>222.82</v>
      </c>
      <c r="CE767" s="724">
        <f t="shared" si="1886"/>
        <v>222.82</v>
      </c>
      <c r="CF767" s="724">
        <f t="shared" si="1886"/>
        <v>222.82</v>
      </c>
      <c r="CG767" s="724">
        <f t="shared" si="1886"/>
        <v>222.82</v>
      </c>
      <c r="CH767" s="1229">
        <f t="shared" si="1886"/>
        <v>222.82</v>
      </c>
      <c r="CI767" s="1229">
        <f t="shared" si="1886"/>
        <v>222.82</v>
      </c>
      <c r="CJ767" s="1229">
        <f t="shared" si="1886"/>
        <v>222.82</v>
      </c>
      <c r="CK767" s="1229">
        <f t="shared" si="1886"/>
        <v>222.82</v>
      </c>
      <c r="CL767" s="155"/>
    </row>
    <row r="768" spans="1:90" hidden="1" outlineLevel="1" x14ac:dyDescent="0.3">
      <c r="A768" s="271" t="str">
        <f>"Average FX Rate, "&amp;HP.TradeCurrency&amp;"/"&amp;MO.ReportCurrency</f>
        <v>Average FX Rate, USD/USD</v>
      </c>
      <c r="B768" s="623"/>
      <c r="C768" s="1230">
        <f t="shared" ref="C768:AH768" si="1887">IF(INDEX(MO_SPT_FXAverage,1,COLUMN())=0,1,INDEX(MO_SPT_FXAverage,1,COLUMN()))</f>
        <v>1</v>
      </c>
      <c r="D768" s="1230">
        <f t="shared" si="1887"/>
        <v>1</v>
      </c>
      <c r="E768" s="1230">
        <f t="shared" si="1887"/>
        <v>1</v>
      </c>
      <c r="F768" s="1230">
        <f t="shared" si="1887"/>
        <v>1</v>
      </c>
      <c r="G768" s="488">
        <f t="shared" si="1887"/>
        <v>1</v>
      </c>
      <c r="H768" s="488">
        <f t="shared" si="1887"/>
        <v>1</v>
      </c>
      <c r="I768" s="488">
        <f t="shared" si="1887"/>
        <v>1</v>
      </c>
      <c r="J768" s="488">
        <f t="shared" si="1887"/>
        <v>1</v>
      </c>
      <c r="K768" s="1230">
        <f t="shared" si="1887"/>
        <v>1</v>
      </c>
      <c r="L768" s="488">
        <f t="shared" si="1887"/>
        <v>1</v>
      </c>
      <c r="M768" s="488">
        <f t="shared" si="1887"/>
        <v>1</v>
      </c>
      <c r="N768" s="488">
        <f t="shared" si="1887"/>
        <v>1</v>
      </c>
      <c r="O768" s="488">
        <f t="shared" si="1887"/>
        <v>1</v>
      </c>
      <c r="P768" s="1230">
        <f t="shared" si="1887"/>
        <v>1</v>
      </c>
      <c r="Q768" s="488">
        <f t="shared" si="1887"/>
        <v>1</v>
      </c>
      <c r="R768" s="488">
        <f t="shared" si="1887"/>
        <v>1</v>
      </c>
      <c r="S768" s="488">
        <f t="shared" si="1887"/>
        <v>1</v>
      </c>
      <c r="T768" s="488">
        <f t="shared" si="1887"/>
        <v>1</v>
      </c>
      <c r="U768" s="1230">
        <f t="shared" si="1887"/>
        <v>1</v>
      </c>
      <c r="V768" s="488">
        <f t="shared" si="1887"/>
        <v>1</v>
      </c>
      <c r="W768" s="488">
        <f t="shared" si="1887"/>
        <v>1</v>
      </c>
      <c r="X768" s="488">
        <f t="shared" si="1887"/>
        <v>1</v>
      </c>
      <c r="Y768" s="488">
        <f t="shared" si="1887"/>
        <v>1</v>
      </c>
      <c r="Z768" s="1231">
        <f t="shared" si="1887"/>
        <v>1</v>
      </c>
      <c r="AA768" s="488">
        <f t="shared" si="1887"/>
        <v>1</v>
      </c>
      <c r="AB768" s="488">
        <f t="shared" si="1887"/>
        <v>1</v>
      </c>
      <c r="AC768" s="488">
        <f t="shared" si="1887"/>
        <v>1</v>
      </c>
      <c r="AD768" s="488">
        <f t="shared" si="1887"/>
        <v>1</v>
      </c>
      <c r="AE768" s="1232">
        <f t="shared" si="1887"/>
        <v>1</v>
      </c>
      <c r="AF768" s="488">
        <f t="shared" si="1887"/>
        <v>1</v>
      </c>
      <c r="AG768" s="488">
        <f t="shared" si="1887"/>
        <v>1</v>
      </c>
      <c r="AH768" s="488">
        <f t="shared" si="1887"/>
        <v>1</v>
      </c>
      <c r="AI768" s="488">
        <f t="shared" ref="AI768:AV768" si="1888">IF(INDEX(MO_SPT_FXAverage,1,COLUMN())=0,1,INDEX(MO_SPT_FXAverage,1,COLUMN()))</f>
        <v>1</v>
      </c>
      <c r="AJ768" s="1232">
        <f t="shared" si="1888"/>
        <v>1</v>
      </c>
      <c r="AK768" s="488">
        <f t="shared" si="1888"/>
        <v>1</v>
      </c>
      <c r="AL768" s="488">
        <f t="shared" si="1888"/>
        <v>1</v>
      </c>
      <c r="AM768" s="488">
        <f t="shared" si="1888"/>
        <v>1</v>
      </c>
      <c r="AN768" s="488">
        <f t="shared" si="1888"/>
        <v>1</v>
      </c>
      <c r="AO768" s="1232">
        <f t="shared" si="1888"/>
        <v>1</v>
      </c>
      <c r="AP768" s="488">
        <f t="shared" si="1888"/>
        <v>1</v>
      </c>
      <c r="AQ768" s="488">
        <f t="shared" si="1888"/>
        <v>1</v>
      </c>
      <c r="AR768" s="488">
        <f t="shared" si="1888"/>
        <v>1</v>
      </c>
      <c r="AS768" s="488">
        <f t="shared" si="1888"/>
        <v>1</v>
      </c>
      <c r="AT768" s="1232">
        <f t="shared" si="1888"/>
        <v>1</v>
      </c>
      <c r="AU768" s="488">
        <f t="shared" si="1888"/>
        <v>1</v>
      </c>
      <c r="AV768" s="488">
        <f t="shared" si="1888"/>
        <v>1</v>
      </c>
      <c r="AW768" s="488">
        <f t="shared" ref="AW768:BB768" si="1889">IF(INDEX(MO_SPT_FXAverage,1,COLUMN())=0,1,INDEX(MO_SPT_FXAverage,1,COLUMN()))</f>
        <v>1</v>
      </c>
      <c r="AX768" s="488">
        <f t="shared" si="1889"/>
        <v>1</v>
      </c>
      <c r="AY768" s="1232">
        <f t="shared" si="1889"/>
        <v>1</v>
      </c>
      <c r="AZ768" s="488">
        <f t="shared" si="1889"/>
        <v>1</v>
      </c>
      <c r="BA768" s="488">
        <f t="shared" si="1889"/>
        <v>1</v>
      </c>
      <c r="BB768" s="488">
        <f t="shared" si="1889"/>
        <v>1</v>
      </c>
      <c r="BC768" s="488">
        <f t="shared" ref="BC768:BF768" si="1890">IF(INDEX(MO_SPT_FXAverage,1,COLUMN())=0,1,INDEX(MO_SPT_FXAverage,1,COLUMN()))</f>
        <v>1</v>
      </c>
      <c r="BD768" s="1232">
        <f t="shared" si="1890"/>
        <v>1</v>
      </c>
      <c r="BE768" s="488">
        <f>IF(INDEX(MO_SPT_FXAverage,1,COLUMN())=0,1,INDEX(MO_SPT_FXAverage,1,COLUMN()))</f>
        <v>1</v>
      </c>
      <c r="BF768" s="488">
        <f t="shared" si="1890"/>
        <v>1</v>
      </c>
      <c r="BG768" s="488">
        <f t="shared" ref="BG768:BI768" si="1891">IF(INDEX(MO_SPT_FXAverage,1,COLUMN())=0,1,INDEX(MO_SPT_FXAverage,1,COLUMN()))</f>
        <v>1</v>
      </c>
      <c r="BH768" s="488">
        <f t="shared" si="1891"/>
        <v>1</v>
      </c>
      <c r="BI768" s="1232">
        <f t="shared" si="1891"/>
        <v>1</v>
      </c>
      <c r="BJ768" s="488">
        <f t="shared" ref="BJ768:BN768" si="1892">IF(INDEX(MO_SPT_FXAverage,1,COLUMN())=0,1,INDEX(MO_SPT_FXAverage,1,COLUMN()))</f>
        <v>1</v>
      </c>
      <c r="BK768" s="488">
        <f t="shared" si="1892"/>
        <v>1</v>
      </c>
      <c r="BL768" s="488">
        <f t="shared" si="1892"/>
        <v>1</v>
      </c>
      <c r="BM768" s="488">
        <f t="shared" si="1892"/>
        <v>1</v>
      </c>
      <c r="BN768" s="1232">
        <f t="shared" si="1892"/>
        <v>1</v>
      </c>
      <c r="BO768" s="488">
        <f t="shared" ref="BO768:BS768" si="1893">IF(INDEX(MO_SPT_FXAverage,1,COLUMN())=0,1,INDEX(MO_SPT_FXAverage,1,COLUMN()))</f>
        <v>1</v>
      </c>
      <c r="BP768" s="488">
        <f t="shared" si="1893"/>
        <v>1</v>
      </c>
      <c r="BQ768" s="488">
        <f t="shared" si="1893"/>
        <v>1</v>
      </c>
      <c r="BR768" s="488">
        <f t="shared" si="1893"/>
        <v>1</v>
      </c>
      <c r="BS768" s="1232">
        <f t="shared" si="1893"/>
        <v>1</v>
      </c>
      <c r="BT768" s="488">
        <f t="shared" ref="BT768:CK768" si="1894">IF(INDEX(MO_SPT_FXAverage,1,COLUMN())=0,1,INDEX(MO_SPT_FXAverage,1,COLUMN()))</f>
        <v>1</v>
      </c>
      <c r="BU768" s="488">
        <f t="shared" si="1894"/>
        <v>1</v>
      </c>
      <c r="BV768" s="488">
        <f t="shared" si="1894"/>
        <v>1</v>
      </c>
      <c r="BW768" s="488">
        <f t="shared" si="1894"/>
        <v>1</v>
      </c>
      <c r="BX768" s="1232">
        <f t="shared" si="1894"/>
        <v>1</v>
      </c>
      <c r="BY768" s="946">
        <f>IF(INDEX(MO_SPT_FXAverage,1,COLUMN())=0,1,INDEX(MO_SPT_FXAverage,1,COLUMN()))</f>
        <v>1</v>
      </c>
      <c r="BZ768" s="725">
        <f t="shared" si="1894"/>
        <v>1</v>
      </c>
      <c r="CA768" s="725">
        <f t="shared" si="1894"/>
        <v>1</v>
      </c>
      <c r="CB768" s="725">
        <f t="shared" si="1894"/>
        <v>1</v>
      </c>
      <c r="CC768" s="1232">
        <f t="shared" si="1894"/>
        <v>1</v>
      </c>
      <c r="CD768" s="725">
        <f t="shared" si="1894"/>
        <v>1</v>
      </c>
      <c r="CE768" s="725">
        <f t="shared" si="1894"/>
        <v>1</v>
      </c>
      <c r="CF768" s="725">
        <f t="shared" si="1894"/>
        <v>1</v>
      </c>
      <c r="CG768" s="725">
        <f t="shared" si="1894"/>
        <v>1</v>
      </c>
      <c r="CH768" s="1232">
        <f t="shared" si="1894"/>
        <v>1</v>
      </c>
      <c r="CI768" s="1232">
        <f t="shared" si="1894"/>
        <v>1</v>
      </c>
      <c r="CJ768" s="1232">
        <f t="shared" si="1894"/>
        <v>1</v>
      </c>
      <c r="CK768" s="1232">
        <f t="shared" si="1894"/>
        <v>1</v>
      </c>
      <c r="CL768" s="155"/>
    </row>
    <row r="769" spans="1:90" hidden="1" outlineLevel="1" x14ac:dyDescent="0.3">
      <c r="A769" s="271" t="str">
        <f>"EoP FX Rate, "&amp;HP.TradeCurrency&amp;"/"&amp;MO.ReportCurrency</f>
        <v>EoP FX Rate, USD/USD</v>
      </c>
      <c r="B769" s="623"/>
      <c r="C769" s="1230">
        <f t="shared" ref="C769:AH769" si="1895">IF(INDEX(MO_SNA_IsHistoricalPeriod,1,COLUMN())=FALSE,HP.MRFX,INDEX(MO_SPT_FXEoP,1,COLUMN()))</f>
        <v>1</v>
      </c>
      <c r="D769" s="1230">
        <f t="shared" si="1895"/>
        <v>1</v>
      </c>
      <c r="E769" s="1230">
        <f t="shared" si="1895"/>
        <v>1</v>
      </c>
      <c r="F769" s="1230">
        <f t="shared" si="1895"/>
        <v>1</v>
      </c>
      <c r="G769" s="488">
        <f t="shared" si="1895"/>
        <v>1</v>
      </c>
      <c r="H769" s="488">
        <f t="shared" si="1895"/>
        <v>1</v>
      </c>
      <c r="I769" s="488">
        <f t="shared" si="1895"/>
        <v>1</v>
      </c>
      <c r="J769" s="488">
        <f t="shared" si="1895"/>
        <v>1</v>
      </c>
      <c r="K769" s="1230">
        <f t="shared" si="1895"/>
        <v>1</v>
      </c>
      <c r="L769" s="488">
        <f t="shared" si="1895"/>
        <v>1</v>
      </c>
      <c r="M769" s="488">
        <f t="shared" si="1895"/>
        <v>1</v>
      </c>
      <c r="N769" s="488">
        <f t="shared" si="1895"/>
        <v>1</v>
      </c>
      <c r="O769" s="488">
        <f t="shared" si="1895"/>
        <v>1</v>
      </c>
      <c r="P769" s="1230">
        <f t="shared" si="1895"/>
        <v>1</v>
      </c>
      <c r="Q769" s="488">
        <f t="shared" si="1895"/>
        <v>1</v>
      </c>
      <c r="R769" s="488">
        <f t="shared" si="1895"/>
        <v>1</v>
      </c>
      <c r="S769" s="488">
        <f t="shared" si="1895"/>
        <v>1</v>
      </c>
      <c r="T769" s="488">
        <f t="shared" si="1895"/>
        <v>1</v>
      </c>
      <c r="U769" s="1230">
        <f t="shared" si="1895"/>
        <v>1</v>
      </c>
      <c r="V769" s="488">
        <f t="shared" si="1895"/>
        <v>1</v>
      </c>
      <c r="W769" s="488">
        <f t="shared" si="1895"/>
        <v>1</v>
      </c>
      <c r="X769" s="488">
        <f t="shared" si="1895"/>
        <v>1</v>
      </c>
      <c r="Y769" s="488">
        <f t="shared" si="1895"/>
        <v>1</v>
      </c>
      <c r="Z769" s="1231">
        <f t="shared" si="1895"/>
        <v>1</v>
      </c>
      <c r="AA769" s="488">
        <f t="shared" si="1895"/>
        <v>1</v>
      </c>
      <c r="AB769" s="488">
        <f t="shared" si="1895"/>
        <v>1</v>
      </c>
      <c r="AC769" s="488">
        <f t="shared" si="1895"/>
        <v>1</v>
      </c>
      <c r="AD769" s="488">
        <f t="shared" si="1895"/>
        <v>1</v>
      </c>
      <c r="AE769" s="1232">
        <f t="shared" si="1895"/>
        <v>1</v>
      </c>
      <c r="AF769" s="488">
        <f t="shared" si="1895"/>
        <v>1</v>
      </c>
      <c r="AG769" s="488">
        <f t="shared" si="1895"/>
        <v>1</v>
      </c>
      <c r="AH769" s="488">
        <f t="shared" si="1895"/>
        <v>1</v>
      </c>
      <c r="AI769" s="488">
        <f t="shared" ref="AI769:BF769" si="1896">IF(INDEX(MO_SNA_IsHistoricalPeriod,1,COLUMN())=FALSE,HP.MRFX,INDEX(MO_SPT_FXEoP,1,COLUMN()))</f>
        <v>1</v>
      </c>
      <c r="AJ769" s="1232">
        <f t="shared" si="1896"/>
        <v>1</v>
      </c>
      <c r="AK769" s="488">
        <f t="shared" si="1896"/>
        <v>1</v>
      </c>
      <c r="AL769" s="488">
        <f t="shared" si="1896"/>
        <v>1</v>
      </c>
      <c r="AM769" s="488">
        <f t="shared" si="1896"/>
        <v>1</v>
      </c>
      <c r="AN769" s="488">
        <f t="shared" si="1896"/>
        <v>1</v>
      </c>
      <c r="AO769" s="1232">
        <f t="shared" si="1896"/>
        <v>1</v>
      </c>
      <c r="AP769" s="488">
        <f t="shared" si="1896"/>
        <v>1</v>
      </c>
      <c r="AQ769" s="488">
        <f t="shared" si="1896"/>
        <v>1</v>
      </c>
      <c r="AR769" s="488">
        <f t="shared" si="1896"/>
        <v>1</v>
      </c>
      <c r="AS769" s="488">
        <f t="shared" si="1896"/>
        <v>1</v>
      </c>
      <c r="AT769" s="1232">
        <f t="shared" si="1896"/>
        <v>1</v>
      </c>
      <c r="AU769" s="488">
        <f t="shared" si="1896"/>
        <v>1</v>
      </c>
      <c r="AV769" s="488">
        <f t="shared" si="1896"/>
        <v>1</v>
      </c>
      <c r="AW769" s="488">
        <f t="shared" si="1896"/>
        <v>1</v>
      </c>
      <c r="AX769" s="488">
        <f t="shared" si="1896"/>
        <v>1</v>
      </c>
      <c r="AY769" s="1232">
        <f t="shared" si="1896"/>
        <v>1</v>
      </c>
      <c r="AZ769" s="488">
        <f t="shared" si="1896"/>
        <v>1</v>
      </c>
      <c r="BA769" s="488">
        <f t="shared" si="1896"/>
        <v>1</v>
      </c>
      <c r="BB769" s="488">
        <f t="shared" si="1896"/>
        <v>1</v>
      </c>
      <c r="BC769" s="488">
        <f t="shared" si="1896"/>
        <v>1</v>
      </c>
      <c r="BD769" s="1232">
        <f t="shared" si="1896"/>
        <v>1</v>
      </c>
      <c r="BE769" s="488">
        <f t="shared" si="1896"/>
        <v>1</v>
      </c>
      <c r="BF769" s="488">
        <f t="shared" si="1896"/>
        <v>1</v>
      </c>
      <c r="BG769" s="488">
        <f t="shared" ref="BG769:BI769" si="1897">IF(INDEX(MO_SNA_IsHistoricalPeriod,1,COLUMN())=FALSE,HP.MRFX,INDEX(MO_SPT_FXEoP,1,COLUMN()))</f>
        <v>1</v>
      </c>
      <c r="BH769" s="488">
        <f t="shared" si="1897"/>
        <v>1</v>
      </c>
      <c r="BI769" s="1232">
        <f t="shared" si="1897"/>
        <v>1</v>
      </c>
      <c r="BJ769" s="488">
        <f t="shared" ref="BJ769:BN769" si="1898">IF(INDEX(MO_SNA_IsHistoricalPeriod,1,COLUMN())=FALSE,HP.MRFX,INDEX(MO_SPT_FXEoP,1,COLUMN()))</f>
        <v>1</v>
      </c>
      <c r="BK769" s="488">
        <f t="shared" si="1898"/>
        <v>1</v>
      </c>
      <c r="BL769" s="488">
        <f t="shared" si="1898"/>
        <v>1</v>
      </c>
      <c r="BM769" s="488">
        <f t="shared" si="1898"/>
        <v>1</v>
      </c>
      <c r="BN769" s="1232">
        <f t="shared" si="1898"/>
        <v>1</v>
      </c>
      <c r="BO769" s="488">
        <f t="shared" ref="BO769:BS769" si="1899">IF(INDEX(MO_SNA_IsHistoricalPeriod,1,COLUMN())=FALSE,HP.MRFX,INDEX(MO_SPT_FXEoP,1,COLUMN()))</f>
        <v>1</v>
      </c>
      <c r="BP769" s="488">
        <f t="shared" si="1899"/>
        <v>1</v>
      </c>
      <c r="BQ769" s="488">
        <f t="shared" si="1899"/>
        <v>1</v>
      </c>
      <c r="BR769" s="488">
        <f t="shared" si="1899"/>
        <v>1</v>
      </c>
      <c r="BS769" s="1232">
        <f t="shared" si="1899"/>
        <v>1</v>
      </c>
      <c r="BT769" s="488">
        <f t="shared" ref="BT769:CK769" si="1900">IF(INDEX(MO_SNA_IsHistoricalPeriod,1,COLUMN())=FALSE,HP.MRFX,INDEX(MO_SPT_FXEoP,1,COLUMN()))</f>
        <v>1</v>
      </c>
      <c r="BU769" s="488">
        <f t="shared" si="1900"/>
        <v>1</v>
      </c>
      <c r="BV769" s="488">
        <f t="shared" si="1900"/>
        <v>1</v>
      </c>
      <c r="BW769" s="488">
        <f t="shared" si="1900"/>
        <v>1</v>
      </c>
      <c r="BX769" s="1232">
        <f t="shared" si="1900"/>
        <v>1</v>
      </c>
      <c r="BY769" s="946">
        <f>IF(INDEX(MO_SNA_IsHistoricalPeriod,1,COLUMN())=FALSE,HP.MRFX,INDEX(MO_SPT_FXEoP,1,COLUMN()))</f>
        <v>1</v>
      </c>
      <c r="BZ769" s="725">
        <f t="shared" si="1900"/>
        <v>1</v>
      </c>
      <c r="CA769" s="725">
        <f t="shared" si="1900"/>
        <v>1</v>
      </c>
      <c r="CB769" s="725">
        <f t="shared" si="1900"/>
        <v>1</v>
      </c>
      <c r="CC769" s="1232">
        <f t="shared" si="1900"/>
        <v>1</v>
      </c>
      <c r="CD769" s="725">
        <f t="shared" si="1900"/>
        <v>1</v>
      </c>
      <c r="CE769" s="725">
        <f t="shared" si="1900"/>
        <v>1</v>
      </c>
      <c r="CF769" s="725">
        <f t="shared" si="1900"/>
        <v>1</v>
      </c>
      <c r="CG769" s="725">
        <f t="shared" si="1900"/>
        <v>1</v>
      </c>
      <c r="CH769" s="1232">
        <f t="shared" si="1900"/>
        <v>1</v>
      </c>
      <c r="CI769" s="1232">
        <f t="shared" si="1900"/>
        <v>1</v>
      </c>
      <c r="CJ769" s="1232">
        <f t="shared" si="1900"/>
        <v>1</v>
      </c>
      <c r="CK769" s="1232">
        <f t="shared" si="1900"/>
        <v>1</v>
      </c>
      <c r="CL769" s="155"/>
    </row>
    <row r="770" spans="1:90" hidden="1" outlineLevel="1" x14ac:dyDescent="0.3">
      <c r="A770" s="230" t="str">
        <f>"Stock Price (Trading Cur.) - "&amp;MO.ValuationToggle&amp;", "&amp;HP.TradeCurrency</f>
        <v>Stock Price (Trading Cur.) - EoP, USD</v>
      </c>
      <c r="B770" s="622"/>
      <c r="C770" s="1224">
        <f t="shared" ref="C770:AH770" si="1901">IF(INDEX(MO_SNA_IsHistoricalPeriod,1,COLUMN())=FALSE,MO.LastPrice,CHOOSE(VLOOKUP(MO.ValuationToggle,tb_ValuationToggle,COLUMNS(tb_ValuationToggle),FALSE),C764,C765,C766,C767))</f>
        <v>0.19875000000000001</v>
      </c>
      <c r="D770" s="1224">
        <f t="shared" si="1901"/>
        <v>0.38475000000000004</v>
      </c>
      <c r="E770" s="1224">
        <f t="shared" si="1901"/>
        <v>0.59400000000000008</v>
      </c>
      <c r="F770" s="1224">
        <f t="shared" si="1901"/>
        <v>0.37</v>
      </c>
      <c r="G770" s="299">
        <f t="shared" si="1901"/>
        <v>0.32450000000000001</v>
      </c>
      <c r="H770" s="299">
        <f t="shared" si="1901"/>
        <v>0.33324999999999999</v>
      </c>
      <c r="I770" s="299">
        <f t="shared" si="1901"/>
        <v>0.30125000000000002</v>
      </c>
      <c r="J770" s="299">
        <f t="shared" si="1901"/>
        <v>0.308</v>
      </c>
      <c r="K770" s="1224">
        <f t="shared" si="1901"/>
        <v>0.308</v>
      </c>
      <c r="L770" s="299">
        <f t="shared" si="1901"/>
        <v>0.33925</v>
      </c>
      <c r="M770" s="299">
        <f t="shared" si="1901"/>
        <v>0.36025000000000001</v>
      </c>
      <c r="N770" s="299">
        <f t="shared" si="1901"/>
        <v>0.3805</v>
      </c>
      <c r="O770" s="299">
        <f t="shared" si="1901"/>
        <v>0.39300000000000002</v>
      </c>
      <c r="P770" s="1224">
        <f t="shared" si="1901"/>
        <v>0.39300000000000002</v>
      </c>
      <c r="Q770" s="299">
        <f t="shared" si="1901"/>
        <v>0.46725000000000005</v>
      </c>
      <c r="R770" s="299">
        <f t="shared" si="1901"/>
        <v>0.45199999999999996</v>
      </c>
      <c r="S770" s="299">
        <f t="shared" si="1901"/>
        <v>0.46725000000000005</v>
      </c>
      <c r="T770" s="299">
        <f t="shared" si="1901"/>
        <v>0.48011999999999999</v>
      </c>
      <c r="U770" s="1224">
        <f t="shared" si="1901"/>
        <v>0.48011999999999999</v>
      </c>
      <c r="V770" s="299">
        <f t="shared" si="1901"/>
        <v>0.55349999999999999</v>
      </c>
      <c r="W770" s="299">
        <f t="shared" si="1901"/>
        <v>0.50049999999999994</v>
      </c>
      <c r="X770" s="299">
        <f t="shared" si="1901"/>
        <v>0.70925000000000005</v>
      </c>
      <c r="Y770" s="299">
        <f t="shared" si="1901"/>
        <v>0.73224999999999996</v>
      </c>
      <c r="Z770" s="1225">
        <f t="shared" si="1901"/>
        <v>0.73224999999999996</v>
      </c>
      <c r="AA770" s="299">
        <f t="shared" si="1901"/>
        <v>0.88824999999999998</v>
      </c>
      <c r="AB770" s="299">
        <f t="shared" si="1901"/>
        <v>1.4275</v>
      </c>
      <c r="AC770" s="299">
        <f t="shared" si="1901"/>
        <v>1.764</v>
      </c>
      <c r="AD770" s="299">
        <f t="shared" si="1901"/>
        <v>2.7504999999999997</v>
      </c>
      <c r="AE770" s="1226">
        <f t="shared" si="1901"/>
        <v>2.7504999999999997</v>
      </c>
      <c r="AF770" s="299">
        <f t="shared" si="1901"/>
        <v>2.6074999999999999</v>
      </c>
      <c r="AG770" s="299">
        <f t="shared" si="1901"/>
        <v>4.10975</v>
      </c>
      <c r="AH770" s="299">
        <f t="shared" si="1901"/>
        <v>5.0960000000000001</v>
      </c>
      <c r="AI770" s="299">
        <f t="shared" ref="AI770:BG770" si="1902">IF(INDEX(MO_SNA_IsHistoricalPeriod,1,COLUMN())=FALSE,MO.LastPrice,CHOOSE(VLOOKUP(MO.ValuationToggle,tb_ValuationToggle,COLUMNS(tb_ValuationToggle),FALSE),AI764,AI765,AI766,AI767))</f>
        <v>6.0679999999999996</v>
      </c>
      <c r="AJ770" s="1226">
        <f t="shared" si="1902"/>
        <v>6.0679999999999996</v>
      </c>
      <c r="AK770" s="299">
        <f t="shared" si="1902"/>
        <v>5.6582500000000007</v>
      </c>
      <c r="AL770" s="299">
        <f t="shared" si="1902"/>
        <v>6.1032500000000001</v>
      </c>
      <c r="AM770" s="299">
        <f t="shared" si="1902"/>
        <v>5.0750000000000002</v>
      </c>
      <c r="AN770" s="299">
        <f t="shared" si="1902"/>
        <v>3.4347499999999997</v>
      </c>
      <c r="AO770" s="1226">
        <f t="shared" si="1902"/>
        <v>3.4347499999999997</v>
      </c>
      <c r="AP770" s="299">
        <f t="shared" si="1902"/>
        <v>4.48325</v>
      </c>
      <c r="AQ770" s="299">
        <f t="shared" si="1902"/>
        <v>4.3862499999999995</v>
      </c>
      <c r="AR770" s="299">
        <f t="shared" si="1902"/>
        <v>5.0750000000000002</v>
      </c>
      <c r="AS770" s="299">
        <f t="shared" si="1902"/>
        <v>6.1452499999999999</v>
      </c>
      <c r="AT770" s="1226">
        <f t="shared" si="1902"/>
        <v>6.1452499999999999</v>
      </c>
      <c r="AU770" s="299">
        <f t="shared" si="1902"/>
        <v>7.4614999999999991</v>
      </c>
      <c r="AV770" s="299">
        <f t="shared" si="1902"/>
        <v>10.614000000000001</v>
      </c>
      <c r="AW770" s="299">
        <f t="shared" si="1902"/>
        <v>12.534000000000001</v>
      </c>
      <c r="AX770" s="299">
        <f t="shared" si="1902"/>
        <v>12.989750000000001</v>
      </c>
      <c r="AY770" s="1226">
        <f t="shared" si="1902"/>
        <v>12.989750000000001</v>
      </c>
      <c r="AZ770" s="299">
        <f t="shared" si="1902"/>
        <v>15.32475</v>
      </c>
      <c r="BA770" s="299">
        <f t="shared" si="1902"/>
        <v>19.499000000000002</v>
      </c>
      <c r="BB770" s="299">
        <f t="shared" si="1902"/>
        <v>25.567</v>
      </c>
      <c r="BC770" s="299">
        <f t="shared" si="1902"/>
        <v>22.84</v>
      </c>
      <c r="BD770" s="1226">
        <f t="shared" si="1902"/>
        <v>22.84</v>
      </c>
      <c r="BE770" s="299">
        <f t="shared" si="1902"/>
        <v>18.547000000000001</v>
      </c>
      <c r="BF770" s="299">
        <f t="shared" si="1902"/>
        <v>18.163</v>
      </c>
      <c r="BG770" s="299">
        <f t="shared" si="1902"/>
        <v>13.834</v>
      </c>
      <c r="BH770" s="299">
        <f t="shared" ref="BH770:BI770" si="1903">IF(INDEX(MO_SNA_IsHistoricalPeriod,1,COLUMN())=FALSE,MO.LastPrice,CHOOSE(VLOOKUP(MO.ValuationToggle,tb_ValuationToggle,COLUMNS(tb_ValuationToggle),FALSE),BH764,BH765,BH766,BH767))</f>
        <v>19.161999999999999</v>
      </c>
      <c r="BI770" s="1226">
        <f t="shared" si="1903"/>
        <v>19.161999999999999</v>
      </c>
      <c r="BJ770" s="299">
        <f t="shared" ref="BJ770:BN770" si="1904">IF(INDEX(MO_SNA_IsHistoricalPeriod,1,COLUMN())=FALSE,MO.LastPrice,CHOOSE(VLOOKUP(MO.ValuationToggle,tb_ValuationToggle,COLUMNS(tb_ValuationToggle),FALSE),BJ764,BJ765,BJ766,BJ767))</f>
        <v>27.749000000000002</v>
      </c>
      <c r="BK770" s="299">
        <f t="shared" si="1904"/>
        <v>46.75</v>
      </c>
      <c r="BL770" s="299">
        <f t="shared" si="1904"/>
        <v>40.5</v>
      </c>
      <c r="BM770" s="299">
        <f t="shared" si="1904"/>
        <v>61.030999999999992</v>
      </c>
      <c r="BN770" s="1226">
        <f t="shared" si="1904"/>
        <v>61.030999999999992</v>
      </c>
      <c r="BO770" s="299">
        <f t="shared" ref="BO770:BS770" si="1905">IF(INDEX(MO_SNA_IsHistoricalPeriod,1,COLUMN())=FALSE,MO.LastPrice,CHOOSE(VLOOKUP(MO.ValuationToggle,tb_ValuationToggle,COLUMNS(tb_ValuationToggle),FALSE),BO764,BO765,BO766,BO767))</f>
        <v>87.734999999999999</v>
      </c>
      <c r="BP770" s="299">
        <f t="shared" si="1905"/>
        <v>113.06</v>
      </c>
      <c r="BQ770" s="299">
        <f t="shared" si="1905"/>
        <v>141.54</v>
      </c>
      <c r="BR770" s="299">
        <f t="shared" si="1905"/>
        <v>142.62</v>
      </c>
      <c r="BS770" s="1226">
        <f t="shared" si="1905"/>
        <v>142.62</v>
      </c>
      <c r="BT770" s="299">
        <f t="shared" ref="BT770:CK770" si="1906">IF(INDEX(MO_SNA_IsHistoricalPeriod,1,COLUMN())=FALSE,MO.LastPrice,CHOOSE(VLOOKUP(MO.ValuationToggle,tb_ValuationToggle,COLUMNS(tb_ValuationToggle),FALSE),BT764,BT765,BT766,BT767))</f>
        <v>87.734999999999999</v>
      </c>
      <c r="BU770" s="299">
        <f t="shared" si="1906"/>
        <v>173.5</v>
      </c>
      <c r="BV770" s="299">
        <f t="shared" si="1906"/>
        <v>186.26</v>
      </c>
      <c r="BW770" s="299">
        <f t="shared" si="1906"/>
        <v>187.67</v>
      </c>
      <c r="BX770" s="1226">
        <f t="shared" si="1906"/>
        <v>187.67</v>
      </c>
      <c r="BY770" s="944">
        <f>IF(INDEX(MO_SNA_IsHistoricalPeriod,1,COLUMN())=FALSE,MO.LastPrice,CHOOSE(VLOOKUP(MO.ValuationToggle,tb_ValuationToggle,COLUMNS(tb_ValuationToggle),FALSE),BY764,BY765,BY766,BY767))</f>
        <v>208.27</v>
      </c>
      <c r="BZ770" s="723">
        <f t="shared" si="1906"/>
        <v>222.82</v>
      </c>
      <c r="CA770" s="723">
        <f t="shared" si="1906"/>
        <v>222.82</v>
      </c>
      <c r="CB770" s="723">
        <f t="shared" si="1906"/>
        <v>222.82</v>
      </c>
      <c r="CC770" s="1226">
        <f t="shared" si="1906"/>
        <v>222.82</v>
      </c>
      <c r="CD770" s="723">
        <f t="shared" si="1906"/>
        <v>222.82</v>
      </c>
      <c r="CE770" s="723">
        <f t="shared" si="1906"/>
        <v>222.82</v>
      </c>
      <c r="CF770" s="723">
        <f t="shared" si="1906"/>
        <v>222.82</v>
      </c>
      <c r="CG770" s="723">
        <f t="shared" si="1906"/>
        <v>222.82</v>
      </c>
      <c r="CH770" s="1226">
        <f t="shared" si="1906"/>
        <v>222.82</v>
      </c>
      <c r="CI770" s="1226">
        <f t="shared" si="1906"/>
        <v>222.82</v>
      </c>
      <c r="CJ770" s="1226">
        <f t="shared" si="1906"/>
        <v>222.82</v>
      </c>
      <c r="CK770" s="1226">
        <f t="shared" si="1906"/>
        <v>222.82</v>
      </c>
      <c r="CL770" s="155"/>
    </row>
    <row r="771" spans="1:90" hidden="1" outlineLevel="1" x14ac:dyDescent="0.3">
      <c r="A771" s="492"/>
      <c r="B771" s="428"/>
      <c r="C771" s="1136"/>
      <c r="D771" s="1136"/>
      <c r="E771" s="1136"/>
      <c r="F771" s="1136"/>
      <c r="G771" s="93"/>
      <c r="H771" s="93"/>
      <c r="I771" s="93"/>
      <c r="J771" s="93"/>
      <c r="K771" s="1136"/>
      <c r="L771" s="93"/>
      <c r="M771" s="93"/>
      <c r="N771" s="93"/>
      <c r="O771" s="93"/>
      <c r="P771" s="1136"/>
      <c r="Q771" s="93"/>
      <c r="R771" s="93"/>
      <c r="S771" s="93"/>
      <c r="T771" s="93"/>
      <c r="U771" s="1136"/>
      <c r="V771" s="93"/>
      <c r="W771" s="93"/>
      <c r="X771" s="93"/>
      <c r="Y771" s="93"/>
      <c r="Z771" s="1136"/>
      <c r="AA771" s="93"/>
      <c r="AB771" s="93"/>
      <c r="AC771" s="93"/>
      <c r="AD771" s="93"/>
      <c r="AE771" s="1136"/>
      <c r="AF771" s="93"/>
      <c r="AG771" s="93"/>
      <c r="AH771" s="93"/>
      <c r="AI771" s="93"/>
      <c r="AJ771" s="1136"/>
      <c r="AK771" s="93"/>
      <c r="AL771" s="93"/>
      <c r="AM771" s="93"/>
      <c r="AN771" s="93"/>
      <c r="AO771" s="1136"/>
      <c r="AP771" s="93"/>
      <c r="AQ771" s="93"/>
      <c r="AR771" s="93"/>
      <c r="AS771" s="93"/>
      <c r="AT771" s="1136"/>
      <c r="AU771" s="93"/>
      <c r="AV771" s="93"/>
      <c r="AW771" s="93"/>
      <c r="AX771" s="93"/>
      <c r="AY771" s="1136"/>
      <c r="AZ771" s="93"/>
      <c r="BA771" s="93"/>
      <c r="BB771" s="93"/>
      <c r="BC771" s="93"/>
      <c r="BD771" s="1136"/>
      <c r="BE771" s="93"/>
      <c r="BF771" s="93"/>
      <c r="BG771" s="93"/>
      <c r="BH771" s="93"/>
      <c r="BI771" s="1136"/>
      <c r="BJ771" s="93"/>
      <c r="BK771" s="93"/>
      <c r="BL771" s="93"/>
      <c r="BM771" s="93"/>
      <c r="BN771" s="1136"/>
      <c r="BO771" s="93"/>
      <c r="BP771" s="93"/>
      <c r="BQ771" s="93"/>
      <c r="BR771" s="93"/>
      <c r="BS771" s="1136"/>
      <c r="BT771" s="93"/>
      <c r="BU771" s="93"/>
      <c r="BV771" s="93"/>
      <c r="BW771" s="93"/>
      <c r="BX771" s="1136"/>
      <c r="BY771" s="522"/>
      <c r="BZ771" s="93"/>
      <c r="CA771" s="93"/>
      <c r="CB771" s="93"/>
      <c r="CC771" s="1136"/>
      <c r="CD771" s="93"/>
      <c r="CE771" s="93"/>
      <c r="CF771" s="93"/>
      <c r="CG771" s="93"/>
      <c r="CH771" s="1136"/>
      <c r="CI771" s="1136"/>
      <c r="CJ771" s="1136"/>
      <c r="CK771" s="1136"/>
      <c r="CL771" s="155"/>
    </row>
    <row r="772" spans="1:90" hidden="1" outlineLevel="1" x14ac:dyDescent="0.3">
      <c r="A772" s="43" t="s">
        <v>135</v>
      </c>
      <c r="B772" s="610"/>
      <c r="C772" s="1161"/>
      <c r="D772" s="1161"/>
      <c r="E772" s="1161"/>
      <c r="F772" s="1161"/>
      <c r="G772" s="378"/>
      <c r="H772" s="378"/>
      <c r="I772" s="378"/>
      <c r="J772" s="378"/>
      <c r="K772" s="1161"/>
      <c r="L772" s="378"/>
      <c r="M772" s="378"/>
      <c r="N772" s="378"/>
      <c r="O772" s="378"/>
      <c r="P772" s="1161"/>
      <c r="Q772" s="378"/>
      <c r="R772" s="378"/>
      <c r="S772" s="378"/>
      <c r="T772" s="378"/>
      <c r="U772" s="1161"/>
      <c r="V772" s="378"/>
      <c r="W772" s="378"/>
      <c r="X772" s="378"/>
      <c r="Y772" s="378"/>
      <c r="Z772" s="1161"/>
      <c r="AA772" s="378"/>
      <c r="AB772" s="378"/>
      <c r="AC772" s="378"/>
      <c r="AD772" s="378"/>
      <c r="AE772" s="1161"/>
      <c r="AF772" s="378"/>
      <c r="AG772" s="378"/>
      <c r="AH772" s="378"/>
      <c r="AI772" s="378"/>
      <c r="AJ772" s="1161"/>
      <c r="AK772" s="378"/>
      <c r="AL772" s="378"/>
      <c r="AM772" s="378"/>
      <c r="AN772" s="378"/>
      <c r="AO772" s="1161"/>
      <c r="AP772" s="378"/>
      <c r="AQ772" s="378"/>
      <c r="AR772" s="378"/>
      <c r="AS772" s="378"/>
      <c r="AT772" s="1161"/>
      <c r="AU772" s="378"/>
      <c r="AV772" s="378"/>
      <c r="AW772" s="378"/>
      <c r="AX772" s="378"/>
      <c r="AY772" s="1161"/>
      <c r="AZ772" s="378"/>
      <c r="BA772" s="378"/>
      <c r="BB772" s="378"/>
      <c r="BC772" s="378"/>
      <c r="BD772" s="1161"/>
      <c r="BE772" s="378"/>
      <c r="BF772" s="378"/>
      <c r="BG772" s="378"/>
      <c r="BH772" s="378"/>
      <c r="BI772" s="1161"/>
      <c r="BJ772" s="378"/>
      <c r="BK772" s="378"/>
      <c r="BL772" s="378"/>
      <c r="BM772" s="378"/>
      <c r="BN772" s="1161"/>
      <c r="BO772" s="378"/>
      <c r="BP772" s="378"/>
      <c r="BQ772" s="378"/>
      <c r="BR772" s="378"/>
      <c r="BS772" s="1161"/>
      <c r="BT772" s="378"/>
      <c r="BU772" s="378"/>
      <c r="BV772" s="378"/>
      <c r="BW772" s="378"/>
      <c r="BX772" s="1161"/>
      <c r="BY772" s="1006"/>
      <c r="BZ772" s="378"/>
      <c r="CA772" s="378"/>
      <c r="CB772" s="378"/>
      <c r="CC772" s="1161"/>
      <c r="CD772" s="378"/>
      <c r="CE772" s="378"/>
      <c r="CF772" s="378"/>
      <c r="CG772" s="378"/>
      <c r="CH772" s="1161"/>
      <c r="CI772" s="1161"/>
      <c r="CJ772" s="1161"/>
      <c r="CK772" s="1161"/>
      <c r="CL772" s="155"/>
    </row>
    <row r="773" spans="1:90" hidden="1" outlineLevel="1" x14ac:dyDescent="0.3">
      <c r="A773" s="73" t="s">
        <v>136</v>
      </c>
      <c r="B773" s="146"/>
      <c r="C773" s="1114">
        <f t="shared" ref="C773:AH773" si="1907">C1016</f>
        <v>0</v>
      </c>
      <c r="D773" s="1114">
        <f t="shared" si="1907"/>
        <v>0</v>
      </c>
      <c r="E773" s="1114">
        <f t="shared" si="1907"/>
        <v>0</v>
      </c>
      <c r="F773" s="1114">
        <f t="shared" si="1907"/>
        <v>0</v>
      </c>
      <c r="G773" s="27">
        <f t="shared" si="1907"/>
        <v>0</v>
      </c>
      <c r="H773" s="27">
        <f t="shared" si="1907"/>
        <v>0</v>
      </c>
      <c r="I773" s="27">
        <f t="shared" si="1907"/>
        <v>0</v>
      </c>
      <c r="J773" s="27">
        <f t="shared" si="1907"/>
        <v>0</v>
      </c>
      <c r="K773" s="1114">
        <f t="shared" si="1907"/>
        <v>0</v>
      </c>
      <c r="L773" s="27">
        <f t="shared" si="1907"/>
        <v>0</v>
      </c>
      <c r="M773" s="27">
        <f t="shared" si="1907"/>
        <v>0</v>
      </c>
      <c r="N773" s="27">
        <f t="shared" si="1907"/>
        <v>0</v>
      </c>
      <c r="O773" s="27">
        <f t="shared" si="1907"/>
        <v>0</v>
      </c>
      <c r="P773" s="1114">
        <f t="shared" si="1907"/>
        <v>0</v>
      </c>
      <c r="Q773" s="27">
        <f t="shared" si="1907"/>
        <v>0</v>
      </c>
      <c r="R773" s="27">
        <f t="shared" si="1907"/>
        <v>0</v>
      </c>
      <c r="S773" s="27">
        <f t="shared" si="1907"/>
        <v>0</v>
      </c>
      <c r="T773" s="27">
        <f t="shared" si="1907"/>
        <v>0</v>
      </c>
      <c r="U773" s="1114">
        <f t="shared" si="1907"/>
        <v>0</v>
      </c>
      <c r="V773" s="27">
        <f t="shared" si="1907"/>
        <v>0</v>
      </c>
      <c r="W773" s="27">
        <f t="shared" si="1907"/>
        <v>0</v>
      </c>
      <c r="X773" s="27">
        <f t="shared" si="1907"/>
        <v>0</v>
      </c>
      <c r="Y773" s="27">
        <f t="shared" si="1907"/>
        <v>0</v>
      </c>
      <c r="Z773" s="1114">
        <f t="shared" si="1907"/>
        <v>0</v>
      </c>
      <c r="AA773" s="27">
        <f t="shared" si="1907"/>
        <v>0</v>
      </c>
      <c r="AB773" s="27">
        <f t="shared" si="1907"/>
        <v>0</v>
      </c>
      <c r="AC773" s="27">
        <f t="shared" si="1907"/>
        <v>0</v>
      </c>
      <c r="AD773" s="27">
        <f t="shared" si="1907"/>
        <v>0</v>
      </c>
      <c r="AE773" s="1112">
        <f t="shared" si="1907"/>
        <v>0</v>
      </c>
      <c r="AF773" s="27">
        <f t="shared" si="1907"/>
        <v>0</v>
      </c>
      <c r="AG773" s="27">
        <f t="shared" si="1907"/>
        <v>0</v>
      </c>
      <c r="AH773" s="27">
        <f t="shared" si="1907"/>
        <v>0</v>
      </c>
      <c r="AI773" s="27">
        <f t="shared" ref="AI773:AV773" si="1908">AI1016</f>
        <v>0</v>
      </c>
      <c r="AJ773" s="1112">
        <f t="shared" si="1908"/>
        <v>0</v>
      </c>
      <c r="AK773" s="27">
        <f t="shared" si="1908"/>
        <v>0</v>
      </c>
      <c r="AL773" s="27">
        <f t="shared" si="1908"/>
        <v>0</v>
      </c>
      <c r="AM773" s="27">
        <f t="shared" si="1908"/>
        <v>0</v>
      </c>
      <c r="AN773" s="68">
        <f t="shared" si="1908"/>
        <v>0</v>
      </c>
      <c r="AO773" s="1112">
        <f t="shared" si="1908"/>
        <v>0</v>
      </c>
      <c r="AP773" s="27">
        <f t="shared" si="1908"/>
        <v>0</v>
      </c>
      <c r="AQ773" s="68">
        <f t="shared" si="1908"/>
        <v>0</v>
      </c>
      <c r="AR773" s="27">
        <f t="shared" si="1908"/>
        <v>0</v>
      </c>
      <c r="AS773" s="68">
        <f t="shared" si="1908"/>
        <v>0</v>
      </c>
      <c r="AT773" s="1112">
        <f t="shared" si="1908"/>
        <v>0</v>
      </c>
      <c r="AU773" s="27">
        <f t="shared" si="1908"/>
        <v>0</v>
      </c>
      <c r="AV773" s="68">
        <f t="shared" si="1908"/>
        <v>0</v>
      </c>
      <c r="AW773" s="27">
        <f t="shared" ref="AW773:BB773" si="1909">AW1016</f>
        <v>0</v>
      </c>
      <c r="AX773" s="68">
        <f t="shared" si="1909"/>
        <v>0</v>
      </c>
      <c r="AY773" s="1112">
        <f t="shared" si="1909"/>
        <v>0</v>
      </c>
      <c r="AZ773" s="27">
        <f t="shared" si="1909"/>
        <v>0</v>
      </c>
      <c r="BA773" s="68">
        <f t="shared" si="1909"/>
        <v>0</v>
      </c>
      <c r="BB773" s="27">
        <f t="shared" si="1909"/>
        <v>0</v>
      </c>
      <c r="BC773" s="68">
        <f t="shared" ref="BC773:BF773" si="1910">BC1016</f>
        <v>0</v>
      </c>
      <c r="BD773" s="1112">
        <f t="shared" si="1910"/>
        <v>0</v>
      </c>
      <c r="BE773" s="27">
        <f>BE1016</f>
        <v>0</v>
      </c>
      <c r="BF773" s="68">
        <f t="shared" si="1910"/>
        <v>0</v>
      </c>
      <c r="BG773" s="27">
        <f t="shared" ref="BG773:BI773" si="1911">BG1016</f>
        <v>0</v>
      </c>
      <c r="BH773" s="68">
        <f t="shared" si="1911"/>
        <v>0</v>
      </c>
      <c r="BI773" s="1112">
        <f t="shared" si="1911"/>
        <v>0</v>
      </c>
      <c r="BJ773" s="27">
        <f t="shared" ref="BJ773:BN773" si="1912">BJ1016</f>
        <v>0</v>
      </c>
      <c r="BK773" s="68">
        <f t="shared" si="1912"/>
        <v>0</v>
      </c>
      <c r="BL773" s="27">
        <f t="shared" si="1912"/>
        <v>0</v>
      </c>
      <c r="BM773" s="68">
        <f t="shared" si="1912"/>
        <v>0</v>
      </c>
      <c r="BN773" s="1112">
        <f t="shared" si="1912"/>
        <v>0</v>
      </c>
      <c r="BO773" s="27">
        <f t="shared" ref="BO773:BS773" si="1913">BO1016</f>
        <v>0</v>
      </c>
      <c r="BP773" s="68">
        <f t="shared" si="1913"/>
        <v>0</v>
      </c>
      <c r="BQ773" s="27">
        <f t="shared" si="1913"/>
        <v>0</v>
      </c>
      <c r="BR773" s="68">
        <f t="shared" si="1913"/>
        <v>0</v>
      </c>
      <c r="BS773" s="1112">
        <f t="shared" si="1913"/>
        <v>0</v>
      </c>
      <c r="BT773" s="27">
        <f t="shared" ref="BT773:CK773" si="1914">BT1016</f>
        <v>0</v>
      </c>
      <c r="BU773" s="68">
        <f t="shared" si="1914"/>
        <v>0</v>
      </c>
      <c r="BV773" s="27">
        <f t="shared" si="1914"/>
        <v>0</v>
      </c>
      <c r="BW773" s="68">
        <f t="shared" si="1914"/>
        <v>0</v>
      </c>
      <c r="BX773" s="1112">
        <f t="shared" si="1914"/>
        <v>0</v>
      </c>
      <c r="BY773" s="508">
        <f>BY1016</f>
        <v>0</v>
      </c>
      <c r="BZ773" s="68">
        <f t="shared" si="1914"/>
        <v>0</v>
      </c>
      <c r="CA773" s="68">
        <f t="shared" si="1914"/>
        <v>0</v>
      </c>
      <c r="CB773" s="68">
        <f t="shared" si="1914"/>
        <v>0</v>
      </c>
      <c r="CC773" s="1112">
        <f t="shared" si="1914"/>
        <v>0</v>
      </c>
      <c r="CD773" s="68">
        <f t="shared" si="1914"/>
        <v>0</v>
      </c>
      <c r="CE773" s="68">
        <f t="shared" si="1914"/>
        <v>0</v>
      </c>
      <c r="CF773" s="68">
        <f t="shared" si="1914"/>
        <v>0</v>
      </c>
      <c r="CG773" s="68">
        <f t="shared" si="1914"/>
        <v>0</v>
      </c>
      <c r="CH773" s="1112">
        <f t="shared" si="1914"/>
        <v>0</v>
      </c>
      <c r="CI773" s="1112">
        <f t="shared" si="1914"/>
        <v>0</v>
      </c>
      <c r="CJ773" s="1112">
        <f t="shared" si="1914"/>
        <v>0</v>
      </c>
      <c r="CK773" s="1112">
        <f t="shared" si="1914"/>
        <v>0</v>
      </c>
      <c r="CL773" s="155"/>
    </row>
    <row r="774" spans="1:90" hidden="1" outlineLevel="1" x14ac:dyDescent="0.3">
      <c r="A774" s="73" t="s">
        <v>137</v>
      </c>
      <c r="B774" s="146"/>
      <c r="C774" s="1114">
        <f t="shared" ref="C774:AH774" si="1915">C1009</f>
        <v>0</v>
      </c>
      <c r="D774" s="1114">
        <f t="shared" si="1915"/>
        <v>0</v>
      </c>
      <c r="E774" s="1114">
        <f t="shared" si="1915"/>
        <v>0</v>
      </c>
      <c r="F774" s="1114">
        <f t="shared" si="1915"/>
        <v>0</v>
      </c>
      <c r="G774" s="27">
        <f t="shared" si="1915"/>
        <v>0</v>
      </c>
      <c r="H774" s="27">
        <f t="shared" si="1915"/>
        <v>0</v>
      </c>
      <c r="I774" s="27">
        <f t="shared" si="1915"/>
        <v>0</v>
      </c>
      <c r="J774" s="27">
        <f t="shared" si="1915"/>
        <v>0</v>
      </c>
      <c r="K774" s="1114">
        <f t="shared" si="1915"/>
        <v>0</v>
      </c>
      <c r="L774" s="27">
        <f t="shared" si="1915"/>
        <v>0</v>
      </c>
      <c r="M774" s="27">
        <f t="shared" si="1915"/>
        <v>0</v>
      </c>
      <c r="N774" s="27">
        <f t="shared" si="1915"/>
        <v>0</v>
      </c>
      <c r="O774" s="27">
        <f t="shared" si="1915"/>
        <v>0</v>
      </c>
      <c r="P774" s="1114">
        <f t="shared" si="1915"/>
        <v>0</v>
      </c>
      <c r="Q774" s="27">
        <f t="shared" si="1915"/>
        <v>0</v>
      </c>
      <c r="R774" s="27">
        <f t="shared" si="1915"/>
        <v>0</v>
      </c>
      <c r="S774" s="27">
        <f t="shared" si="1915"/>
        <v>0</v>
      </c>
      <c r="T774" s="27">
        <f t="shared" si="1915"/>
        <v>0</v>
      </c>
      <c r="U774" s="1114">
        <f t="shared" si="1915"/>
        <v>0</v>
      </c>
      <c r="V774" s="27">
        <f t="shared" si="1915"/>
        <v>0</v>
      </c>
      <c r="W774" s="27">
        <f t="shared" si="1915"/>
        <v>0</v>
      </c>
      <c r="X774" s="27">
        <f t="shared" si="1915"/>
        <v>0</v>
      </c>
      <c r="Y774" s="27">
        <f t="shared" si="1915"/>
        <v>0</v>
      </c>
      <c r="Z774" s="1114">
        <f t="shared" si="1915"/>
        <v>0</v>
      </c>
      <c r="AA774" s="27">
        <f t="shared" si="1915"/>
        <v>0</v>
      </c>
      <c r="AB774" s="27">
        <f t="shared" si="1915"/>
        <v>0</v>
      </c>
      <c r="AC774" s="27">
        <f t="shared" si="1915"/>
        <v>0</v>
      </c>
      <c r="AD774" s="27">
        <f t="shared" si="1915"/>
        <v>0</v>
      </c>
      <c r="AE774" s="1114">
        <f t="shared" si="1915"/>
        <v>0</v>
      </c>
      <c r="AF774" s="27">
        <f t="shared" si="1915"/>
        <v>0</v>
      </c>
      <c r="AG774" s="27">
        <f t="shared" si="1915"/>
        <v>0</v>
      </c>
      <c r="AH774" s="27">
        <f t="shared" si="1915"/>
        <v>0</v>
      </c>
      <c r="AI774" s="27">
        <f t="shared" ref="AI774:AV774" si="1916">AI1009</f>
        <v>0</v>
      </c>
      <c r="AJ774" s="1114">
        <f t="shared" si="1916"/>
        <v>0</v>
      </c>
      <c r="AK774" s="27">
        <f t="shared" si="1916"/>
        <v>0</v>
      </c>
      <c r="AL774" s="27">
        <f t="shared" si="1916"/>
        <v>0</v>
      </c>
      <c r="AM774" s="27">
        <f t="shared" si="1916"/>
        <v>0</v>
      </c>
      <c r="AN774" s="27">
        <f t="shared" si="1916"/>
        <v>0</v>
      </c>
      <c r="AO774" s="1114">
        <f t="shared" si="1916"/>
        <v>0</v>
      </c>
      <c r="AP774" s="27">
        <f t="shared" si="1916"/>
        <v>0</v>
      </c>
      <c r="AQ774" s="27">
        <f t="shared" si="1916"/>
        <v>0</v>
      </c>
      <c r="AR774" s="27">
        <f t="shared" si="1916"/>
        <v>0</v>
      </c>
      <c r="AS774" s="27">
        <f t="shared" si="1916"/>
        <v>0</v>
      </c>
      <c r="AT774" s="1114">
        <f t="shared" si="1916"/>
        <v>0</v>
      </c>
      <c r="AU774" s="27">
        <f t="shared" si="1916"/>
        <v>0</v>
      </c>
      <c r="AV774" s="27">
        <f t="shared" si="1916"/>
        <v>0</v>
      </c>
      <c r="AW774" s="27">
        <f t="shared" ref="AW774:BB774" si="1917">AW1009</f>
        <v>0</v>
      </c>
      <c r="AX774" s="27">
        <f t="shared" si="1917"/>
        <v>0</v>
      </c>
      <c r="AY774" s="1114">
        <f t="shared" si="1917"/>
        <v>0</v>
      </c>
      <c r="AZ774" s="27">
        <f t="shared" si="1917"/>
        <v>0</v>
      </c>
      <c r="BA774" s="27">
        <f t="shared" si="1917"/>
        <v>0</v>
      </c>
      <c r="BB774" s="27">
        <f t="shared" si="1917"/>
        <v>0</v>
      </c>
      <c r="BC774" s="27">
        <f t="shared" ref="BC774:BF774" si="1918">BC1009</f>
        <v>0</v>
      </c>
      <c r="BD774" s="1114">
        <f t="shared" si="1918"/>
        <v>0</v>
      </c>
      <c r="BE774" s="27">
        <f>BE1009</f>
        <v>0</v>
      </c>
      <c r="BF774" s="27">
        <f t="shared" si="1918"/>
        <v>0</v>
      </c>
      <c r="BG774" s="27">
        <f t="shared" ref="BG774:BI774" si="1919">BG1009</f>
        <v>0</v>
      </c>
      <c r="BH774" s="27">
        <f t="shared" si="1919"/>
        <v>0</v>
      </c>
      <c r="BI774" s="1114">
        <f t="shared" si="1919"/>
        <v>0</v>
      </c>
      <c r="BJ774" s="27">
        <f t="shared" ref="BJ774:BN774" si="1920">BJ1009</f>
        <v>0</v>
      </c>
      <c r="BK774" s="27">
        <f t="shared" si="1920"/>
        <v>0</v>
      </c>
      <c r="BL774" s="27">
        <f t="shared" si="1920"/>
        <v>0</v>
      </c>
      <c r="BM774" s="27">
        <f t="shared" si="1920"/>
        <v>0</v>
      </c>
      <c r="BN774" s="1114">
        <f t="shared" si="1920"/>
        <v>0</v>
      </c>
      <c r="BO774" s="27">
        <f t="shared" ref="BO774:BS774" si="1921">BO1009</f>
        <v>0</v>
      </c>
      <c r="BP774" s="27">
        <f t="shared" si="1921"/>
        <v>0</v>
      </c>
      <c r="BQ774" s="27">
        <f t="shared" si="1921"/>
        <v>0</v>
      </c>
      <c r="BR774" s="27">
        <f t="shared" si="1921"/>
        <v>0</v>
      </c>
      <c r="BS774" s="1114">
        <f t="shared" si="1921"/>
        <v>0</v>
      </c>
      <c r="BT774" s="27">
        <f t="shared" ref="BT774:CK774" si="1922">BT1009</f>
        <v>0</v>
      </c>
      <c r="BU774" s="27">
        <f t="shared" si="1922"/>
        <v>0</v>
      </c>
      <c r="BV774" s="27">
        <f t="shared" si="1922"/>
        <v>0</v>
      </c>
      <c r="BW774" s="27">
        <f t="shared" si="1922"/>
        <v>0</v>
      </c>
      <c r="BX774" s="1114">
        <f t="shared" si="1922"/>
        <v>0</v>
      </c>
      <c r="BY774" s="508">
        <f>BY1009</f>
        <v>0</v>
      </c>
      <c r="BZ774" s="68">
        <f t="shared" si="1922"/>
        <v>0</v>
      </c>
      <c r="CA774" s="68">
        <f t="shared" si="1922"/>
        <v>0</v>
      </c>
      <c r="CB774" s="68">
        <f t="shared" si="1922"/>
        <v>0</v>
      </c>
      <c r="CC774" s="1112">
        <f t="shared" si="1922"/>
        <v>0</v>
      </c>
      <c r="CD774" s="68">
        <f t="shared" si="1922"/>
        <v>0</v>
      </c>
      <c r="CE774" s="68">
        <f t="shared" si="1922"/>
        <v>0</v>
      </c>
      <c r="CF774" s="68">
        <f t="shared" si="1922"/>
        <v>0</v>
      </c>
      <c r="CG774" s="68">
        <f t="shared" si="1922"/>
        <v>0</v>
      </c>
      <c r="CH774" s="1112">
        <f t="shared" si="1922"/>
        <v>0</v>
      </c>
      <c r="CI774" s="1112">
        <f t="shared" si="1922"/>
        <v>0</v>
      </c>
      <c r="CJ774" s="1112">
        <f t="shared" si="1922"/>
        <v>0</v>
      </c>
      <c r="CK774" s="1112">
        <f t="shared" si="1922"/>
        <v>0</v>
      </c>
      <c r="CL774" s="155"/>
    </row>
    <row r="775" spans="1:90" hidden="1" outlineLevel="1" x14ac:dyDescent="0.3">
      <c r="A775" s="73" t="s">
        <v>138</v>
      </c>
      <c r="B775" s="146"/>
      <c r="C775" s="1114">
        <f>C1004</f>
        <v>0</v>
      </c>
      <c r="D775" s="1112"/>
      <c r="E775" s="1112"/>
      <c r="F775" s="1112"/>
      <c r="G775" s="68"/>
      <c r="H775" s="68"/>
      <c r="I775" s="68"/>
      <c r="J775" s="68"/>
      <c r="K775" s="1112"/>
      <c r="L775" s="68"/>
      <c r="M775" s="68"/>
      <c r="N775" s="68"/>
      <c r="O775" s="68"/>
      <c r="P775" s="1112"/>
      <c r="Q775" s="68"/>
      <c r="R775" s="68"/>
      <c r="S775" s="68"/>
      <c r="T775" s="68"/>
      <c r="U775" s="1112"/>
      <c r="V775" s="68"/>
      <c r="W775" s="68"/>
      <c r="X775" s="68"/>
      <c r="Y775" s="68"/>
      <c r="Z775" s="1112"/>
      <c r="AA775" s="68"/>
      <c r="AB775" s="68"/>
      <c r="AC775" s="68"/>
      <c r="AD775" s="68"/>
      <c r="AE775" s="1112"/>
      <c r="AF775" s="68"/>
      <c r="AG775" s="68"/>
      <c r="AH775" s="68"/>
      <c r="AI775" s="68"/>
      <c r="AJ775" s="1112"/>
      <c r="AK775" s="68"/>
      <c r="AL775" s="68"/>
      <c r="AM775" s="68"/>
      <c r="AN775" s="68"/>
      <c r="AO775" s="1112"/>
      <c r="AP775" s="68"/>
      <c r="AQ775" s="68"/>
      <c r="AR775" s="68"/>
      <c r="AS775" s="68"/>
      <c r="AT775" s="1112"/>
      <c r="AU775" s="68"/>
      <c r="AV775" s="68"/>
      <c r="AW775" s="68"/>
      <c r="AX775" s="68"/>
      <c r="AY775" s="1112"/>
      <c r="AZ775" s="68"/>
      <c r="BA775" s="68"/>
      <c r="BB775" s="68"/>
      <c r="BC775" s="68"/>
      <c r="BD775" s="1112"/>
      <c r="BE775" s="68"/>
      <c r="BF775" s="68"/>
      <c r="BG775" s="68"/>
      <c r="BH775" s="68"/>
      <c r="BI775" s="1112"/>
      <c r="BJ775" s="68"/>
      <c r="BK775" s="68"/>
      <c r="BL775" s="68"/>
      <c r="BM775" s="68"/>
      <c r="BN775" s="1112"/>
      <c r="BO775" s="68"/>
      <c r="BP775" s="68"/>
      <c r="BQ775" s="68"/>
      <c r="BR775" s="68"/>
      <c r="BS775" s="1112"/>
      <c r="BT775" s="68"/>
      <c r="BU775" s="68"/>
      <c r="BV775" s="68"/>
      <c r="BW775" s="68"/>
      <c r="BX775" s="1112"/>
      <c r="BY775" s="588"/>
      <c r="BZ775" s="68"/>
      <c r="CA775" s="68"/>
      <c r="CB775" s="68"/>
      <c r="CC775" s="1112"/>
      <c r="CD775" s="68"/>
      <c r="CE775" s="68"/>
      <c r="CF775" s="68"/>
      <c r="CG775" s="68"/>
      <c r="CH775" s="1112"/>
      <c r="CI775" s="1112"/>
      <c r="CJ775" s="1112"/>
      <c r="CK775" s="1112"/>
      <c r="CL775" s="155"/>
    </row>
    <row r="776" spans="1:90" collapsed="1" x14ac:dyDescent="0.3">
      <c r="A776" s="624"/>
      <c r="B776" s="428"/>
      <c r="C776" s="1136"/>
      <c r="D776" s="1136"/>
      <c r="E776" s="1136"/>
      <c r="F776" s="1136"/>
      <c r="G776" s="93"/>
      <c r="H776" s="93"/>
      <c r="I776" s="93"/>
      <c r="J776" s="93"/>
      <c r="K776" s="1136"/>
      <c r="L776" s="93"/>
      <c r="M776" s="93"/>
      <c r="N776" s="93"/>
      <c r="O776" s="93"/>
      <c r="P776" s="1136"/>
      <c r="Q776" s="93"/>
      <c r="R776" s="93"/>
      <c r="S776" s="93"/>
      <c r="T776" s="93"/>
      <c r="U776" s="1136"/>
      <c r="V776" s="93"/>
      <c r="W776" s="93"/>
      <c r="X776" s="93"/>
      <c r="Y776" s="93"/>
      <c r="Z776" s="1136"/>
      <c r="AA776" s="93"/>
      <c r="AB776" s="93"/>
      <c r="AC776" s="93"/>
      <c r="AD776" s="93"/>
      <c r="AE776" s="1136"/>
      <c r="AF776" s="93"/>
      <c r="AG776" s="93"/>
      <c r="AH776" s="93"/>
      <c r="AI776" s="93"/>
      <c r="AJ776" s="1136"/>
      <c r="AK776" s="93"/>
      <c r="AL776" s="93"/>
      <c r="AM776" s="93"/>
      <c r="AN776" s="93"/>
      <c r="AO776" s="1136"/>
      <c r="AP776" s="93"/>
      <c r="AQ776" s="93"/>
      <c r="AR776" s="93"/>
      <c r="AS776" s="93"/>
      <c r="AT776" s="1136"/>
      <c r="AU776" s="93"/>
      <c r="AV776" s="93"/>
      <c r="AW776" s="93"/>
      <c r="AX776" s="93"/>
      <c r="AY776" s="1136"/>
      <c r="AZ776" s="93"/>
      <c r="BA776" s="93"/>
      <c r="BB776" s="93"/>
      <c r="BC776" s="93"/>
      <c r="BD776" s="1136"/>
      <c r="BE776" s="93"/>
      <c r="BF776" s="93"/>
      <c r="BG776" s="93"/>
      <c r="BH776" s="93"/>
      <c r="BI776" s="1136"/>
      <c r="BJ776" s="93"/>
      <c r="BK776" s="93"/>
      <c r="BL776" s="93"/>
      <c r="BM776" s="93"/>
      <c r="BN776" s="1136"/>
      <c r="BO776" s="93"/>
      <c r="BP776" s="93"/>
      <c r="BQ776" s="93"/>
      <c r="BR776" s="93"/>
      <c r="BS776" s="1136"/>
      <c r="BT776" s="93"/>
      <c r="BU776" s="93"/>
      <c r="BV776" s="93"/>
      <c r="BW776" s="93"/>
      <c r="BX776" s="1136"/>
      <c r="BY776" s="522"/>
      <c r="BZ776" s="93"/>
      <c r="CA776" s="93"/>
      <c r="CB776" s="93"/>
      <c r="CC776" s="1136"/>
      <c r="CD776" s="93"/>
      <c r="CE776" s="93"/>
      <c r="CF776" s="93"/>
      <c r="CG776" s="93"/>
      <c r="CH776" s="1136"/>
      <c r="CI776" s="1136"/>
      <c r="CJ776" s="1136"/>
      <c r="CK776" s="1136"/>
      <c r="CL776" s="155"/>
    </row>
    <row r="777" spans="1:90" x14ac:dyDescent="0.3">
      <c r="A777" s="45" t="s">
        <v>139</v>
      </c>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c r="AY777" s="45"/>
      <c r="AZ777" s="45"/>
      <c r="BA777" s="45"/>
      <c r="BB777" s="45"/>
      <c r="BC777" s="45"/>
      <c r="BD777" s="45"/>
      <c r="BE777" s="45"/>
      <c r="BF777" s="45"/>
      <c r="BG777" s="45"/>
      <c r="BH777" s="45"/>
      <c r="BI777" s="45"/>
      <c r="BJ777" s="45"/>
      <c r="BK777" s="45"/>
      <c r="BL777" s="45"/>
      <c r="BM777" s="45"/>
      <c r="BN777" s="45"/>
      <c r="BO777" s="45"/>
      <c r="BP777" s="45"/>
      <c r="BQ777" s="45"/>
      <c r="BR777" s="45"/>
      <c r="BS777" s="45"/>
      <c r="BT777" s="45"/>
      <c r="BU777" s="45"/>
      <c r="BV777" s="45"/>
      <c r="BW777" s="45"/>
      <c r="BX777" s="45"/>
      <c r="BY777" s="881"/>
      <c r="BZ777" s="45"/>
      <c r="CA777" s="45"/>
      <c r="CB777" s="45"/>
      <c r="CC777" s="45"/>
      <c r="CD777" s="45"/>
      <c r="CE777" s="45"/>
      <c r="CF777" s="45"/>
      <c r="CG777" s="45"/>
      <c r="CH777" s="45"/>
      <c r="CI777" s="45"/>
      <c r="CJ777" s="45"/>
      <c r="CK777" s="45"/>
      <c r="CL777" s="155"/>
    </row>
    <row r="778" spans="1:90" hidden="1" outlineLevel="1" x14ac:dyDescent="0.3">
      <c r="A778" s="35" t="s">
        <v>140</v>
      </c>
      <c r="B778" s="610"/>
      <c r="C778" s="1161"/>
      <c r="D778" s="1161"/>
      <c r="E778" s="1161"/>
      <c r="F778" s="1161"/>
      <c r="G778" s="378"/>
      <c r="H778" s="378"/>
      <c r="I778" s="378"/>
      <c r="J778" s="378"/>
      <c r="K778" s="1161"/>
      <c r="L778" s="378"/>
      <c r="M778" s="378"/>
      <c r="N778" s="378"/>
      <c r="O778" s="378"/>
      <c r="P778" s="1161"/>
      <c r="Q778" s="378"/>
      <c r="R778" s="378"/>
      <c r="S778" s="378"/>
      <c r="T778" s="378"/>
      <c r="U778" s="1161"/>
      <c r="V778" s="378"/>
      <c r="W778" s="378"/>
      <c r="X778" s="378"/>
      <c r="Y778" s="378"/>
      <c r="Z778" s="1161"/>
      <c r="AA778" s="378"/>
      <c r="AB778" s="378"/>
      <c r="AC778" s="378"/>
      <c r="AD778" s="378"/>
      <c r="AE778" s="1161"/>
      <c r="AF778" s="378"/>
      <c r="AG778" s="378"/>
      <c r="AH778" s="378"/>
      <c r="AI778" s="378"/>
      <c r="AJ778" s="1161"/>
      <c r="AK778" s="378"/>
      <c r="AL778" s="378"/>
      <c r="AM778" s="378"/>
      <c r="AN778" s="378"/>
      <c r="AO778" s="1161"/>
      <c r="AP778" s="378"/>
      <c r="AQ778" s="378"/>
      <c r="AR778" s="378"/>
      <c r="AS778" s="378"/>
      <c r="AT778" s="1161"/>
      <c r="AU778" s="378"/>
      <c r="AV778" s="378"/>
      <c r="AW778" s="378"/>
      <c r="AX778" s="378"/>
      <c r="AY778" s="1161"/>
      <c r="AZ778" s="378"/>
      <c r="BA778" s="378"/>
      <c r="BB778" s="378"/>
      <c r="BC778" s="378"/>
      <c r="BD778" s="1161"/>
      <c r="BE778" s="378"/>
      <c r="BF778" s="378"/>
      <c r="BG778" s="378"/>
      <c r="BH778" s="378"/>
      <c r="BI778" s="1161"/>
      <c r="BJ778" s="378"/>
      <c r="BK778" s="378"/>
      <c r="BL778" s="378"/>
      <c r="BM778" s="378"/>
      <c r="BN778" s="1161"/>
      <c r="BO778" s="378"/>
      <c r="BP778" s="378"/>
      <c r="BQ778" s="378"/>
      <c r="BR778" s="378"/>
      <c r="BS778" s="1161"/>
      <c r="BT778" s="378"/>
      <c r="BU778" s="378"/>
      <c r="BV778" s="378"/>
      <c r="BW778" s="378"/>
      <c r="BX778" s="1161"/>
      <c r="BY778" s="1006"/>
      <c r="BZ778" s="378"/>
      <c r="CA778" s="378"/>
      <c r="CB778" s="378"/>
      <c r="CC778" s="1161"/>
      <c r="CD778" s="378"/>
      <c r="CE778" s="378"/>
      <c r="CF778" s="378"/>
      <c r="CG778" s="378"/>
      <c r="CH778" s="1161"/>
      <c r="CI778" s="1161"/>
      <c r="CJ778" s="1161"/>
      <c r="CK778" s="1161"/>
      <c r="CL778" s="155"/>
    </row>
    <row r="779" spans="1:90" hidden="1" outlineLevel="1" x14ac:dyDescent="0.3">
      <c r="A779" s="67" t="s">
        <v>60</v>
      </c>
      <c r="B779" s="146"/>
      <c r="C779" s="1113">
        <v>-30.041</v>
      </c>
      <c r="D779" s="1113">
        <v>-67.986999999999995</v>
      </c>
      <c r="E779" s="1113">
        <v>253.14599999999999</v>
      </c>
      <c r="F779" s="1113">
        <v>581.09</v>
      </c>
      <c r="G779" s="1055">
        <v>60.436999999999998</v>
      </c>
      <c r="H779" s="1055">
        <v>179.483</v>
      </c>
      <c r="I779" s="1055">
        <v>388.56299999999999</v>
      </c>
      <c r="J779" s="27">
        <f>K779</f>
        <v>562.53599999999994</v>
      </c>
      <c r="K779" s="1113">
        <v>562.53599999999994</v>
      </c>
      <c r="L779" s="1055">
        <v>77.891000000000005</v>
      </c>
      <c r="M779" s="1055">
        <v>174.339</v>
      </c>
      <c r="N779" s="1055">
        <v>293.07299999999998</v>
      </c>
      <c r="O779" s="27">
        <f>P779</f>
        <v>439.99</v>
      </c>
      <c r="P779" s="1113">
        <v>439.99</v>
      </c>
      <c r="Q779" s="1055">
        <v>137</v>
      </c>
      <c r="R779" s="1055">
        <v>265</v>
      </c>
      <c r="S779" s="1055">
        <v>437</v>
      </c>
      <c r="T779" s="27">
        <f>U779</f>
        <v>631</v>
      </c>
      <c r="U779" s="1113">
        <v>631</v>
      </c>
      <c r="V779" s="1055">
        <v>134</v>
      </c>
      <c r="W779" s="1055">
        <v>160</v>
      </c>
      <c r="X779" s="1055">
        <v>406</v>
      </c>
      <c r="Y779" s="27">
        <f>Z779</f>
        <v>614</v>
      </c>
      <c r="Z779" s="1113">
        <v>614</v>
      </c>
      <c r="AA779" s="1055">
        <v>208</v>
      </c>
      <c r="AB779" s="1055">
        <v>469</v>
      </c>
      <c r="AC779" s="1055">
        <v>1012</v>
      </c>
      <c r="AD779" s="68">
        <f>AE779</f>
        <v>1666</v>
      </c>
      <c r="AE779" s="1113">
        <v>1666</v>
      </c>
      <c r="AF779" s="1055">
        <v>507</v>
      </c>
      <c r="AG779" s="1055">
        <v>1091</v>
      </c>
      <c r="AH779" s="1055">
        <v>1928</v>
      </c>
      <c r="AI779" s="68">
        <f>AJ779</f>
        <v>3047</v>
      </c>
      <c r="AJ779" s="1113">
        <v>3047</v>
      </c>
      <c r="AK779" s="1055">
        <v>1244</v>
      </c>
      <c r="AL779" s="1055">
        <v>2345</v>
      </c>
      <c r="AM779" s="1055">
        <v>3575</v>
      </c>
      <c r="AN779" s="68">
        <f>AO779</f>
        <v>4141</v>
      </c>
      <c r="AO779" s="1113">
        <v>4141</v>
      </c>
      <c r="AP779" s="1055">
        <v>394</v>
      </c>
      <c r="AQ779" s="1055">
        <v>947</v>
      </c>
      <c r="AR779" s="1055">
        <v>1845</v>
      </c>
      <c r="AS779" s="68">
        <f>AT779</f>
        <v>2796</v>
      </c>
      <c r="AT779" s="1113">
        <v>2796</v>
      </c>
      <c r="AU779" s="1055">
        <v>917</v>
      </c>
      <c r="AV779" s="1055">
        <v>1539</v>
      </c>
      <c r="AW779" s="1055">
        <v>2875</v>
      </c>
      <c r="AX779" s="68">
        <f>AY779</f>
        <v>4332</v>
      </c>
      <c r="AY779" s="1113">
        <v>4332</v>
      </c>
      <c r="AZ779" s="1055">
        <v>1912</v>
      </c>
      <c r="BA779" s="1055">
        <v>4285</v>
      </c>
      <c r="BB779" s="1055">
        <v>6749</v>
      </c>
      <c r="BC779" s="68">
        <f>BD779</f>
        <v>9752</v>
      </c>
      <c r="BD779" s="1113">
        <v>9752</v>
      </c>
      <c r="BE779" s="1055">
        <v>1618</v>
      </c>
      <c r="BF779" s="1055">
        <v>2274</v>
      </c>
      <c r="BG779" s="1055">
        <v>2954</v>
      </c>
      <c r="BH779" s="68">
        <f>BI779</f>
        <v>4368</v>
      </c>
      <c r="BI779" s="1113">
        <v>4368</v>
      </c>
      <c r="BJ779" s="1055">
        <v>2043</v>
      </c>
      <c r="BK779" s="1055">
        <v>8232</v>
      </c>
      <c r="BL779" s="1055">
        <v>17475</v>
      </c>
      <c r="BM779" s="68">
        <f t="shared" ref="BM779:BM795" si="1923">BN779</f>
        <v>29760</v>
      </c>
      <c r="BN779" s="1113">
        <v>29760</v>
      </c>
      <c r="BO779" s="1055">
        <v>14881</v>
      </c>
      <c r="BP779" s="1055">
        <v>31480</v>
      </c>
      <c r="BQ779" s="1055">
        <v>50789</v>
      </c>
      <c r="BR779" s="68">
        <f t="shared" ref="BR779:BR795" si="1924">BS779</f>
        <v>72880</v>
      </c>
      <c r="BS779" s="1113">
        <v>72880</v>
      </c>
      <c r="BT779" s="1055">
        <v>18775</v>
      </c>
      <c r="BU779" s="1055">
        <v>45197</v>
      </c>
      <c r="BV779" s="1055">
        <v>77107</v>
      </c>
      <c r="BW779" s="68">
        <f t="shared" ref="BW779:BW795" si="1925">BX779</f>
        <v>120067</v>
      </c>
      <c r="BX779" s="1113">
        <v>120067</v>
      </c>
      <c r="BY779" s="1057">
        <v>58321</v>
      </c>
      <c r="BZ779" s="68"/>
      <c r="CA779" s="68"/>
      <c r="CB779" s="68"/>
      <c r="CC779" s="1112"/>
      <c r="CD779" s="68"/>
      <c r="CE779" s="68"/>
      <c r="CF779" s="68"/>
      <c r="CG779" s="68"/>
      <c r="CH779" s="1112"/>
      <c r="CI779" s="1112"/>
      <c r="CJ779" s="1112"/>
      <c r="CK779" s="1112"/>
      <c r="CL779" s="155"/>
    </row>
    <row r="780" spans="1:90" hidden="1" outlineLevel="1" x14ac:dyDescent="0.3">
      <c r="A780" s="67" t="s">
        <v>141</v>
      </c>
      <c r="B780" s="146"/>
      <c r="C780" s="1113">
        <v>0</v>
      </c>
      <c r="D780" s="1113">
        <v>135.73500000000001</v>
      </c>
      <c r="E780" s="1112"/>
      <c r="F780" s="1112"/>
      <c r="G780" s="68"/>
      <c r="H780" s="68"/>
      <c r="I780" s="68"/>
      <c r="J780" s="27">
        <f>K780</f>
        <v>0</v>
      </c>
      <c r="K780" s="1112"/>
      <c r="L780" s="68"/>
      <c r="M780" s="68"/>
      <c r="N780" s="68"/>
      <c r="O780" s="27">
        <f>P780</f>
        <v>0</v>
      </c>
      <c r="P780" s="1112"/>
      <c r="Q780" s="68"/>
      <c r="R780" s="68"/>
      <c r="S780" s="68"/>
      <c r="T780" s="27">
        <f>U780</f>
        <v>0</v>
      </c>
      <c r="U780" s="1112"/>
      <c r="V780" s="68"/>
      <c r="W780" s="68"/>
      <c r="X780" s="68"/>
      <c r="Y780" s="27">
        <f>Z780</f>
        <v>0</v>
      </c>
      <c r="Z780" s="1112"/>
      <c r="AA780" s="68"/>
      <c r="AB780" s="68"/>
      <c r="AC780" s="68"/>
      <c r="AD780" s="68">
        <f>AE780</f>
        <v>0</v>
      </c>
      <c r="AE780" s="1112"/>
      <c r="AF780" s="68"/>
      <c r="AG780" s="68"/>
      <c r="AH780" s="68"/>
      <c r="AI780" s="68">
        <f>AJ780</f>
        <v>0</v>
      </c>
      <c r="AJ780" s="1112"/>
      <c r="AK780" s="68"/>
      <c r="AL780" s="68"/>
      <c r="AM780" s="68"/>
      <c r="AN780" s="68">
        <f>AO780</f>
        <v>0</v>
      </c>
      <c r="AO780" s="1112"/>
      <c r="AP780" s="68"/>
      <c r="AQ780" s="68"/>
      <c r="AR780" s="68"/>
      <c r="AS780" s="68">
        <f>AT780</f>
        <v>0</v>
      </c>
      <c r="AT780" s="1112"/>
      <c r="AU780" s="68"/>
      <c r="AV780" s="68"/>
      <c r="AW780" s="68"/>
      <c r="AX780" s="68">
        <f>AY780</f>
        <v>0</v>
      </c>
      <c r="AY780" s="1112"/>
      <c r="AZ780" s="68"/>
      <c r="BA780" s="68"/>
      <c r="BB780" s="68"/>
      <c r="BC780" s="68">
        <f>BD780</f>
        <v>0</v>
      </c>
      <c r="BD780" s="1112"/>
      <c r="BE780" s="68"/>
      <c r="BF780" s="68"/>
      <c r="BG780" s="68"/>
      <c r="BH780" s="68">
        <f>BI780</f>
        <v>0</v>
      </c>
      <c r="BI780" s="1112"/>
      <c r="BJ780" s="68"/>
      <c r="BK780" s="68"/>
      <c r="BL780" s="68"/>
      <c r="BM780" s="68">
        <f t="shared" si="1923"/>
        <v>0</v>
      </c>
      <c r="BN780" s="1112"/>
      <c r="BO780" s="68"/>
      <c r="BP780" s="68"/>
      <c r="BQ780" s="68"/>
      <c r="BR780" s="68">
        <f t="shared" si="1924"/>
        <v>0</v>
      </c>
      <c r="BS780" s="1112"/>
      <c r="BT780" s="68"/>
      <c r="BU780" s="68"/>
      <c r="BV780" s="68"/>
      <c r="BW780" s="68">
        <f t="shared" si="1925"/>
        <v>0</v>
      </c>
      <c r="BX780" s="1112"/>
      <c r="BY780" s="588"/>
      <c r="BZ780" s="68"/>
      <c r="CA780" s="68"/>
      <c r="CB780" s="68"/>
      <c r="CC780" s="1112"/>
      <c r="CD780" s="68"/>
      <c r="CE780" s="68"/>
      <c r="CF780" s="68"/>
      <c r="CG780" s="68"/>
      <c r="CH780" s="1112"/>
      <c r="CI780" s="1112"/>
      <c r="CJ780" s="1112"/>
      <c r="CK780" s="1112"/>
      <c r="CL780" s="155"/>
    </row>
    <row r="781" spans="1:90" hidden="1" outlineLevel="1" x14ac:dyDescent="0.3">
      <c r="A781" s="67" t="s">
        <v>681</v>
      </c>
      <c r="B781" s="146"/>
      <c r="C781" s="1112"/>
      <c r="D781" s="1112"/>
      <c r="E781" s="1112"/>
      <c r="F781" s="1112"/>
      <c r="G781" s="68"/>
      <c r="H781" s="68"/>
      <c r="I781" s="68"/>
      <c r="J781" s="68"/>
      <c r="K781" s="1112"/>
      <c r="L781" s="68"/>
      <c r="M781" s="68"/>
      <c r="N781" s="68"/>
      <c r="O781" s="68"/>
      <c r="P781" s="1112"/>
      <c r="Q781" s="68"/>
      <c r="R781" s="68"/>
      <c r="S781" s="68"/>
      <c r="T781" s="68"/>
      <c r="U781" s="1112"/>
      <c r="V781" s="68"/>
      <c r="W781" s="68"/>
      <c r="X781" s="68"/>
      <c r="Y781" s="68"/>
      <c r="Z781" s="1112"/>
      <c r="AA781" s="68"/>
      <c r="AB781" s="68"/>
      <c r="AC781" s="68"/>
      <c r="AD781" s="68"/>
      <c r="AE781" s="1112"/>
      <c r="AF781" s="68"/>
      <c r="AG781" s="68"/>
      <c r="AH781" s="68"/>
      <c r="AI781" s="68"/>
      <c r="AJ781" s="1112"/>
      <c r="AK781" s="68"/>
      <c r="AL781" s="68"/>
      <c r="AM781" s="68"/>
      <c r="AN781" s="68"/>
      <c r="AO781" s="1112"/>
      <c r="AP781" s="68"/>
      <c r="AQ781" s="68"/>
      <c r="AR781" s="68"/>
      <c r="AS781" s="68"/>
      <c r="AT781" s="1112"/>
      <c r="AU781" s="68"/>
      <c r="AV781" s="68"/>
      <c r="AW781" s="68"/>
      <c r="AX781" s="68"/>
      <c r="AY781" s="1112"/>
      <c r="AZ781" s="68"/>
      <c r="BA781" s="68"/>
      <c r="BB781" s="68"/>
      <c r="BC781" s="68"/>
      <c r="BD781" s="1112"/>
      <c r="BE781" s="1055">
        <v>1353</v>
      </c>
      <c r="BF781" s="1055">
        <v>1353</v>
      </c>
      <c r="BG781" s="1055">
        <v>1353</v>
      </c>
      <c r="BH781" s="68">
        <f>BI781</f>
        <v>1353</v>
      </c>
      <c r="BI781" s="1113">
        <v>1353</v>
      </c>
      <c r="BJ781" s="1055">
        <v>0</v>
      </c>
      <c r="BK781" s="68"/>
      <c r="BL781" s="68"/>
      <c r="BM781" s="68">
        <f t="shared" si="1923"/>
        <v>0</v>
      </c>
      <c r="BN781" s="1112"/>
      <c r="BO781" s="68"/>
      <c r="BP781" s="68"/>
      <c r="BQ781" s="68"/>
      <c r="BR781" s="68">
        <f t="shared" si="1924"/>
        <v>0</v>
      </c>
      <c r="BS781" s="1112"/>
      <c r="BT781" s="68"/>
      <c r="BU781" s="68"/>
      <c r="BV781" s="68"/>
      <c r="BW781" s="68">
        <f t="shared" si="1925"/>
        <v>0</v>
      </c>
      <c r="BX781" s="1112"/>
      <c r="BY781" s="588"/>
      <c r="BZ781" s="68"/>
      <c r="CA781" s="68"/>
      <c r="CB781" s="68"/>
      <c r="CC781" s="1112"/>
      <c r="CD781" s="68"/>
      <c r="CE781" s="68"/>
      <c r="CF781" s="68"/>
      <c r="CG781" s="68"/>
      <c r="CH781" s="1112"/>
      <c r="CI781" s="1112"/>
      <c r="CJ781" s="1112"/>
      <c r="CK781" s="1112"/>
      <c r="CL781" s="155"/>
    </row>
    <row r="782" spans="1:90" hidden="1" outlineLevel="1" x14ac:dyDescent="0.3">
      <c r="A782" s="67" t="s">
        <v>142</v>
      </c>
      <c r="B782" s="146"/>
      <c r="C782" s="1113">
        <v>185.023</v>
      </c>
      <c r="D782" s="1113">
        <v>196.66399999999999</v>
      </c>
      <c r="E782" s="1113">
        <v>186.989</v>
      </c>
      <c r="F782" s="1113">
        <v>204.20500000000001</v>
      </c>
      <c r="G782" s="1055">
        <v>54.491</v>
      </c>
      <c r="H782" s="1055">
        <v>110.68600000000001</v>
      </c>
      <c r="I782" s="1055">
        <v>167.834</v>
      </c>
      <c r="J782" s="27">
        <f>K782</f>
        <v>226.23500000000001</v>
      </c>
      <c r="K782" s="1113">
        <v>226.23500000000001</v>
      </c>
      <c r="L782" s="1055">
        <v>59.744</v>
      </c>
      <c r="M782" s="1055">
        <v>121.584</v>
      </c>
      <c r="N782" s="1055">
        <v>184.31</v>
      </c>
      <c r="O782" s="27">
        <f>P782</f>
        <v>239.148</v>
      </c>
      <c r="P782" s="1113">
        <v>239.148</v>
      </c>
      <c r="Q782" s="1055">
        <v>55</v>
      </c>
      <c r="R782" s="1055">
        <v>111</v>
      </c>
      <c r="S782" s="1055">
        <v>166</v>
      </c>
      <c r="T782" s="27">
        <f>U782</f>
        <v>220</v>
      </c>
      <c r="U782" s="1113">
        <v>220</v>
      </c>
      <c r="V782" s="1055">
        <v>54</v>
      </c>
      <c r="W782" s="1055">
        <v>103</v>
      </c>
      <c r="X782" s="1055">
        <v>151</v>
      </c>
      <c r="Y782" s="27">
        <f>Z782</f>
        <v>197</v>
      </c>
      <c r="Z782" s="1113">
        <v>197</v>
      </c>
      <c r="AA782" s="1055">
        <v>45</v>
      </c>
      <c r="AB782" s="1055">
        <v>92</v>
      </c>
      <c r="AC782" s="1055">
        <v>140</v>
      </c>
      <c r="AD782" s="68">
        <f t="shared" ref="AD782:AD792" si="1926">AE782</f>
        <v>187</v>
      </c>
      <c r="AE782" s="1113">
        <v>187</v>
      </c>
      <c r="AF782" s="1055">
        <v>47</v>
      </c>
      <c r="AG782" s="1055">
        <v>96</v>
      </c>
      <c r="AH782" s="1055">
        <v>145</v>
      </c>
      <c r="AI782" s="68">
        <f t="shared" ref="AI782:AI792" si="1927">AJ782</f>
        <v>199</v>
      </c>
      <c r="AJ782" s="1113">
        <v>199</v>
      </c>
      <c r="AK782" s="1055">
        <v>57</v>
      </c>
      <c r="AL782" s="1055">
        <v>116</v>
      </c>
      <c r="AM782" s="1055">
        <v>184</v>
      </c>
      <c r="AN782" s="68">
        <f>AO782</f>
        <v>262</v>
      </c>
      <c r="AO782" s="1113">
        <v>262</v>
      </c>
      <c r="AP782" s="1055">
        <v>91</v>
      </c>
      <c r="AQ782" s="1055">
        <v>183</v>
      </c>
      <c r="AR782" s="1055">
        <v>275</v>
      </c>
      <c r="AS782" s="68">
        <f t="shared" ref="AS782:AS792" si="1928">AT782</f>
        <v>381</v>
      </c>
      <c r="AT782" s="1113">
        <v>381</v>
      </c>
      <c r="AU782" s="1055">
        <v>107</v>
      </c>
      <c r="AV782" s="1055">
        <v>511</v>
      </c>
      <c r="AW782" s="1055">
        <v>810</v>
      </c>
      <c r="AX782" s="68">
        <f t="shared" ref="AX782:AX792" si="1929">AY782</f>
        <v>1098</v>
      </c>
      <c r="AY782" s="1113">
        <v>1098</v>
      </c>
      <c r="AZ782" s="1055">
        <v>281</v>
      </c>
      <c r="BA782" s="1055">
        <v>567</v>
      </c>
      <c r="BB782" s="1055">
        <v>865</v>
      </c>
      <c r="BC782" s="68">
        <f t="shared" ref="BC782:BC795" si="1930">BD782</f>
        <v>1174</v>
      </c>
      <c r="BD782" s="1113">
        <v>1174</v>
      </c>
      <c r="BE782" s="1055">
        <v>334</v>
      </c>
      <c r="BF782" s="1055">
        <v>712</v>
      </c>
      <c r="BG782" s="1055">
        <v>1118</v>
      </c>
      <c r="BH782" s="68">
        <f t="shared" ref="BH782:BH795" si="1931">BI782</f>
        <v>1544</v>
      </c>
      <c r="BI782" s="1113">
        <v>1544</v>
      </c>
      <c r="BJ782" s="1055">
        <v>384</v>
      </c>
      <c r="BK782" s="1055">
        <v>749</v>
      </c>
      <c r="BL782" s="1055">
        <v>1121</v>
      </c>
      <c r="BM782" s="68">
        <f t="shared" si="1923"/>
        <v>1508</v>
      </c>
      <c r="BN782" s="1113">
        <v>1508</v>
      </c>
      <c r="BO782" s="1055">
        <v>410</v>
      </c>
      <c r="BP782" s="1055">
        <v>843</v>
      </c>
      <c r="BQ782" s="1055">
        <v>1321</v>
      </c>
      <c r="BR782" s="68">
        <f t="shared" si="1924"/>
        <v>1864</v>
      </c>
      <c r="BS782" s="1113">
        <v>1864</v>
      </c>
      <c r="BT782" s="1055">
        <v>611</v>
      </c>
      <c r="BU782" s="1055">
        <v>1280</v>
      </c>
      <c r="BV782" s="1055">
        <v>2031</v>
      </c>
      <c r="BW782" s="68">
        <f t="shared" si="1925"/>
        <v>2843</v>
      </c>
      <c r="BX782" s="1113">
        <v>2843</v>
      </c>
      <c r="BY782" s="1057">
        <v>997</v>
      </c>
      <c r="BZ782" s="68"/>
      <c r="CA782" s="68"/>
      <c r="CB782" s="68"/>
      <c r="CC782" s="1112"/>
      <c r="CD782" s="68"/>
      <c r="CE782" s="68"/>
      <c r="CF782" s="68"/>
      <c r="CG782" s="68"/>
      <c r="CH782" s="1112"/>
      <c r="CI782" s="1112"/>
      <c r="CJ782" s="1112"/>
      <c r="CK782" s="1112"/>
      <c r="CL782" s="155"/>
    </row>
    <row r="783" spans="1:90" hidden="1" outlineLevel="1" x14ac:dyDescent="0.3">
      <c r="A783" s="67" t="s">
        <v>69</v>
      </c>
      <c r="B783" s="146"/>
      <c r="C783" s="1113">
        <v>162.70599999999999</v>
      </c>
      <c r="D783" s="1113">
        <v>107.09099999999999</v>
      </c>
      <c r="E783" s="1113">
        <v>100.35299999999999</v>
      </c>
      <c r="F783" s="1113">
        <v>136.35400000000001</v>
      </c>
      <c r="G783" s="1055">
        <v>35.569000000000003</v>
      </c>
      <c r="H783" s="1055">
        <v>67.823999999999998</v>
      </c>
      <c r="I783" s="1055">
        <v>100.893</v>
      </c>
      <c r="J783" s="27">
        <f>K783</f>
        <v>136.66200000000001</v>
      </c>
      <c r="K783" s="1113">
        <v>136.66200000000001</v>
      </c>
      <c r="L783" s="1055">
        <v>33.396999999999998</v>
      </c>
      <c r="M783" s="1055">
        <v>65.792000000000002</v>
      </c>
      <c r="N783" s="1055">
        <v>100.09099999999999</v>
      </c>
      <c r="O783" s="27">
        <f>P783</f>
        <v>136.29499999999999</v>
      </c>
      <c r="P783" s="1113">
        <v>136.29499999999999</v>
      </c>
      <c r="Q783" s="1055">
        <v>36</v>
      </c>
      <c r="R783" s="1055">
        <v>74</v>
      </c>
      <c r="S783" s="1055">
        <v>115</v>
      </c>
      <c r="T783" s="27">
        <f>U783</f>
        <v>158</v>
      </c>
      <c r="U783" s="1113">
        <v>158</v>
      </c>
      <c r="V783" s="1055">
        <v>45</v>
      </c>
      <c r="W783" s="1055">
        <v>93</v>
      </c>
      <c r="X783" s="1055">
        <v>145</v>
      </c>
      <c r="Y783" s="27">
        <f>Z783</f>
        <v>204</v>
      </c>
      <c r="Z783" s="1113">
        <v>204</v>
      </c>
      <c r="AA783" s="1055">
        <v>53</v>
      </c>
      <c r="AB783" s="1055">
        <v>111</v>
      </c>
      <c r="AC783" s="1055">
        <v>176</v>
      </c>
      <c r="AD783" s="68">
        <f t="shared" si="1926"/>
        <v>247</v>
      </c>
      <c r="AE783" s="1113">
        <v>247</v>
      </c>
      <c r="AF783" s="1055">
        <v>76</v>
      </c>
      <c r="AG783" s="1055">
        <v>158</v>
      </c>
      <c r="AH783" s="1055">
        <v>265</v>
      </c>
      <c r="AI783" s="68">
        <f t="shared" si="1927"/>
        <v>391</v>
      </c>
      <c r="AJ783" s="1113">
        <v>391</v>
      </c>
      <c r="AK783" s="1055">
        <v>129</v>
      </c>
      <c r="AL783" s="1055">
        <v>262</v>
      </c>
      <c r="AM783" s="1055">
        <v>400</v>
      </c>
      <c r="AN783" s="68">
        <f>AO783</f>
        <v>557</v>
      </c>
      <c r="AO783" s="1113">
        <v>557</v>
      </c>
      <c r="AP783" s="1055">
        <v>178</v>
      </c>
      <c r="AQ783" s="1055">
        <v>401</v>
      </c>
      <c r="AR783" s="1055">
        <v>624</v>
      </c>
      <c r="AS783" s="68">
        <f t="shared" si="1928"/>
        <v>844</v>
      </c>
      <c r="AT783" s="1113">
        <v>844</v>
      </c>
      <c r="AU783" s="1055">
        <v>224</v>
      </c>
      <c r="AV783" s="1055">
        <v>598</v>
      </c>
      <c r="AW783" s="1055">
        <v>981</v>
      </c>
      <c r="AX783" s="68">
        <f t="shared" si="1929"/>
        <v>1397</v>
      </c>
      <c r="AY783" s="1113">
        <v>1397</v>
      </c>
      <c r="AZ783" s="1055">
        <v>429</v>
      </c>
      <c r="BA783" s="1055">
        <v>894</v>
      </c>
      <c r="BB783" s="1055">
        <v>1453</v>
      </c>
      <c r="BC783" s="68">
        <f t="shared" si="1930"/>
        <v>2004</v>
      </c>
      <c r="BD783" s="1113">
        <v>2004</v>
      </c>
      <c r="BE783" s="1055">
        <v>578</v>
      </c>
      <c r="BF783" s="1055">
        <v>1226</v>
      </c>
      <c r="BG783" s="1055">
        <v>1971</v>
      </c>
      <c r="BH783" s="68">
        <f t="shared" si="1931"/>
        <v>2709</v>
      </c>
      <c r="BI783" s="1113">
        <v>2709</v>
      </c>
      <c r="BJ783" s="1055">
        <v>735</v>
      </c>
      <c r="BK783" s="1055">
        <v>1576</v>
      </c>
      <c r="BL783" s="1055">
        <v>2555</v>
      </c>
      <c r="BM783" s="68">
        <f t="shared" si="1923"/>
        <v>3549</v>
      </c>
      <c r="BN783" s="1113">
        <v>3549</v>
      </c>
      <c r="BO783" s="1055">
        <v>1011</v>
      </c>
      <c r="BP783" s="1055">
        <v>2164</v>
      </c>
      <c r="BQ783" s="1055">
        <v>3416</v>
      </c>
      <c r="BR783" s="68">
        <f t="shared" si="1924"/>
        <v>4737</v>
      </c>
      <c r="BS783" s="1113">
        <v>4737</v>
      </c>
      <c r="BT783" s="1055">
        <v>1474</v>
      </c>
      <c r="BU783" s="1055">
        <v>3099</v>
      </c>
      <c r="BV783" s="1055">
        <v>4753</v>
      </c>
      <c r="BW783" s="68">
        <f t="shared" si="1925"/>
        <v>6386</v>
      </c>
      <c r="BX783" s="1113">
        <v>6386</v>
      </c>
      <c r="BY783" s="1057">
        <v>1928</v>
      </c>
      <c r="BZ783" s="68"/>
      <c r="CA783" s="68"/>
      <c r="CB783" s="68"/>
      <c r="CC783" s="1112"/>
      <c r="CD783" s="68"/>
      <c r="CE783" s="68"/>
      <c r="CF783" s="68"/>
      <c r="CG783" s="68"/>
      <c r="CH783" s="1112"/>
      <c r="CI783" s="1112"/>
      <c r="CJ783" s="1112"/>
      <c r="CK783" s="1112"/>
      <c r="CL783" s="155"/>
    </row>
    <row r="784" spans="1:90" hidden="1" outlineLevel="1" x14ac:dyDescent="0.3">
      <c r="A784" s="67" t="s">
        <v>52</v>
      </c>
      <c r="B784" s="146"/>
      <c r="C784" s="1112"/>
      <c r="D784" s="1112"/>
      <c r="E784" s="1112"/>
      <c r="F784" s="1112"/>
      <c r="G784" s="68"/>
      <c r="H784" s="68"/>
      <c r="I784" s="68"/>
      <c r="J784" s="27">
        <f>K784</f>
        <v>0</v>
      </c>
      <c r="K784" s="1112"/>
      <c r="L784" s="68"/>
      <c r="M784" s="68"/>
      <c r="N784" s="68"/>
      <c r="O784" s="27">
        <f>P784</f>
        <v>0</v>
      </c>
      <c r="P784" s="1112"/>
      <c r="Q784" s="68"/>
      <c r="R784" s="68"/>
      <c r="S784" s="68"/>
      <c r="T784" s="27">
        <f>U784</f>
        <v>0</v>
      </c>
      <c r="U784" s="1113">
        <v>0</v>
      </c>
      <c r="V784" s="68"/>
      <c r="W784" s="1055">
        <v>32</v>
      </c>
      <c r="X784" s="1055">
        <v>37</v>
      </c>
      <c r="Y784" s="27">
        <f>Z784</f>
        <v>45</v>
      </c>
      <c r="Z784" s="1113">
        <v>45</v>
      </c>
      <c r="AA784" s="68"/>
      <c r="AB784" s="68"/>
      <c r="AC784" s="68"/>
      <c r="AD784" s="68">
        <f t="shared" si="1926"/>
        <v>0</v>
      </c>
      <c r="AE784" s="1112"/>
      <c r="AF784" s="68"/>
      <c r="AG784" s="68"/>
      <c r="AH784" s="68"/>
      <c r="AI784" s="68">
        <f t="shared" si="1927"/>
        <v>0</v>
      </c>
      <c r="AJ784" s="1112"/>
      <c r="AK784" s="68"/>
      <c r="AL784" s="68"/>
      <c r="AM784" s="68"/>
      <c r="AN784" s="68">
        <f>AO784</f>
        <v>0</v>
      </c>
      <c r="AO784" s="1112"/>
      <c r="AP784" s="68"/>
      <c r="AQ784" s="68"/>
      <c r="AR784" s="68"/>
      <c r="AS784" s="68">
        <f t="shared" si="1928"/>
        <v>0</v>
      </c>
      <c r="AT784" s="1112"/>
      <c r="AU784" s="68"/>
      <c r="AV784" s="68"/>
      <c r="AW784" s="68"/>
      <c r="AX784" s="68">
        <f t="shared" si="1929"/>
        <v>0</v>
      </c>
      <c r="AY784" s="1112"/>
      <c r="AZ784" s="68"/>
      <c r="BA784" s="68"/>
      <c r="BB784" s="68"/>
      <c r="BC784" s="68">
        <f t="shared" si="1930"/>
        <v>0</v>
      </c>
      <c r="BD784" s="1112"/>
      <c r="BE784" s="68"/>
      <c r="BF784" s="68"/>
      <c r="BG784" s="68"/>
      <c r="BH784" s="68">
        <f t="shared" si="1931"/>
        <v>0</v>
      </c>
      <c r="BI784" s="1112"/>
      <c r="BJ784" s="68"/>
      <c r="BK784" s="68"/>
      <c r="BL784" s="68"/>
      <c r="BM784" s="68">
        <f t="shared" si="1923"/>
        <v>0</v>
      </c>
      <c r="BN784" s="1112"/>
      <c r="BO784" s="68"/>
      <c r="BP784" s="68"/>
      <c r="BQ784" s="68"/>
      <c r="BR784" s="68">
        <f t="shared" si="1924"/>
        <v>0</v>
      </c>
      <c r="BS784" s="1112"/>
      <c r="BT784" s="68"/>
      <c r="BU784" s="68"/>
      <c r="BV784" s="68"/>
      <c r="BW784" s="68">
        <f t="shared" si="1925"/>
        <v>0</v>
      </c>
      <c r="BX784" s="1112"/>
      <c r="BY784" s="588"/>
      <c r="BZ784" s="68"/>
      <c r="CA784" s="68"/>
      <c r="CB784" s="68"/>
      <c r="CC784" s="1112"/>
      <c r="CD784" s="68"/>
      <c r="CE784" s="68"/>
      <c r="CF784" s="68"/>
      <c r="CG784" s="68"/>
      <c r="CH784" s="1112"/>
      <c r="CI784" s="1112"/>
      <c r="CJ784" s="1112"/>
      <c r="CK784" s="1112"/>
      <c r="CL784" s="155"/>
    </row>
    <row r="785" spans="1:90" hidden="1" outlineLevel="1" x14ac:dyDescent="0.3">
      <c r="A785" s="67" t="s">
        <v>143</v>
      </c>
      <c r="B785" s="146"/>
      <c r="C785" s="1112"/>
      <c r="D785" s="1112"/>
      <c r="E785" s="1112"/>
      <c r="F785" s="1112"/>
      <c r="G785" s="68"/>
      <c r="H785" s="68"/>
      <c r="I785" s="1055">
        <v>0</v>
      </c>
      <c r="J785" s="27">
        <f>K785</f>
        <v>0</v>
      </c>
      <c r="K785" s="1113">
        <v>0</v>
      </c>
      <c r="L785" s="68"/>
      <c r="M785" s="68"/>
      <c r="N785" s="1055">
        <v>0</v>
      </c>
      <c r="O785" s="27">
        <f>P785</f>
        <v>4.5999999999999996</v>
      </c>
      <c r="P785" s="1113">
        <v>4.5999999999999996</v>
      </c>
      <c r="Q785" s="1055">
        <v>7</v>
      </c>
      <c r="R785" s="1055">
        <v>14</v>
      </c>
      <c r="S785" s="1055">
        <v>21</v>
      </c>
      <c r="T785" s="27">
        <f>U785</f>
        <v>28</v>
      </c>
      <c r="U785" s="1113">
        <v>28</v>
      </c>
      <c r="V785" s="1055">
        <v>7</v>
      </c>
      <c r="W785" s="1055">
        <v>14</v>
      </c>
      <c r="X785" s="1055">
        <v>22</v>
      </c>
      <c r="Y785" s="27">
        <f>Z785</f>
        <v>29</v>
      </c>
      <c r="Z785" s="1113">
        <v>29</v>
      </c>
      <c r="AA785" s="1055">
        <v>8</v>
      </c>
      <c r="AB785" s="1055">
        <v>14</v>
      </c>
      <c r="AC785" s="1055">
        <v>20</v>
      </c>
      <c r="AD785" s="68">
        <f t="shared" si="1926"/>
        <v>25</v>
      </c>
      <c r="AE785" s="1113">
        <v>25</v>
      </c>
      <c r="AF785" s="1055">
        <v>2</v>
      </c>
      <c r="AG785" s="1055">
        <v>2</v>
      </c>
      <c r="AH785" s="1055">
        <v>3</v>
      </c>
      <c r="AI785" s="68">
        <f t="shared" si="1927"/>
        <v>3</v>
      </c>
      <c r="AJ785" s="1113">
        <v>3</v>
      </c>
      <c r="AK785" s="68"/>
      <c r="AL785" s="68"/>
      <c r="AM785" s="68"/>
      <c r="AN785" s="68">
        <f>AO785</f>
        <v>0</v>
      </c>
      <c r="AO785" s="1112"/>
      <c r="AP785" s="68"/>
      <c r="AQ785" s="68"/>
      <c r="AR785" s="68"/>
      <c r="AS785" s="68">
        <f t="shared" si="1928"/>
        <v>0</v>
      </c>
      <c r="AT785" s="1112"/>
      <c r="AU785" s="68"/>
      <c r="AV785" s="68"/>
      <c r="AW785" s="68"/>
      <c r="AX785" s="68">
        <f t="shared" si="1929"/>
        <v>0</v>
      </c>
      <c r="AY785" s="1112"/>
      <c r="AZ785" s="68"/>
      <c r="BA785" s="68"/>
      <c r="BB785" s="68"/>
      <c r="BC785" s="68">
        <f t="shared" si="1930"/>
        <v>0</v>
      </c>
      <c r="BD785" s="1112"/>
      <c r="BE785" s="68"/>
      <c r="BF785" s="68"/>
      <c r="BG785" s="68"/>
      <c r="BH785" s="68">
        <f t="shared" si="1931"/>
        <v>0</v>
      </c>
      <c r="BI785" s="1112"/>
      <c r="BJ785" s="68"/>
      <c r="BK785" s="68"/>
      <c r="BL785" s="68"/>
      <c r="BM785" s="68">
        <f t="shared" si="1923"/>
        <v>0</v>
      </c>
      <c r="BN785" s="1112"/>
      <c r="BO785" s="68"/>
      <c r="BP785" s="68"/>
      <c r="BQ785" s="68"/>
      <c r="BR785" s="68">
        <f t="shared" si="1924"/>
        <v>0</v>
      </c>
      <c r="BS785" s="1112"/>
      <c r="BT785" s="68"/>
      <c r="BU785" s="68"/>
      <c r="BV785" s="68"/>
      <c r="BW785" s="68">
        <f t="shared" si="1925"/>
        <v>0</v>
      </c>
      <c r="BX785" s="1112"/>
      <c r="BY785" s="588"/>
      <c r="BZ785" s="68"/>
      <c r="CA785" s="68"/>
      <c r="CB785" s="68"/>
      <c r="CC785" s="1112"/>
      <c r="CD785" s="68"/>
      <c r="CE785" s="68"/>
      <c r="CF785" s="68"/>
      <c r="CG785" s="68"/>
      <c r="CH785" s="1112"/>
      <c r="CI785" s="1112"/>
      <c r="CJ785" s="1112"/>
      <c r="CK785" s="1112"/>
      <c r="CL785" s="155"/>
    </row>
    <row r="786" spans="1:90" hidden="1" outlineLevel="1" x14ac:dyDescent="0.3">
      <c r="A786" s="67" t="s">
        <v>144</v>
      </c>
      <c r="B786" s="146"/>
      <c r="C786" s="1112"/>
      <c r="D786" s="1112"/>
      <c r="E786" s="1112"/>
      <c r="F786" s="1112"/>
      <c r="G786" s="68"/>
      <c r="H786" s="1055">
        <v>0</v>
      </c>
      <c r="I786" s="1055">
        <v>0</v>
      </c>
      <c r="J786" s="27">
        <f>K786</f>
        <v>0</v>
      </c>
      <c r="K786" s="1113">
        <v>0</v>
      </c>
      <c r="L786" s="68"/>
      <c r="M786" s="1055">
        <v>0</v>
      </c>
      <c r="N786" s="1055">
        <v>-0.25800000000000001</v>
      </c>
      <c r="O786" s="27">
        <f>P786</f>
        <v>-8.14</v>
      </c>
      <c r="P786" s="1113">
        <v>-8.14</v>
      </c>
      <c r="Q786" s="1055">
        <v>-17</v>
      </c>
      <c r="R786" s="1055">
        <v>-14</v>
      </c>
      <c r="S786" s="1055">
        <v>-18</v>
      </c>
      <c r="T786" s="27">
        <f>U786</f>
        <v>-17</v>
      </c>
      <c r="U786" s="1113">
        <v>-17</v>
      </c>
      <c r="V786" s="1055">
        <v>-3</v>
      </c>
      <c r="W786" s="1055">
        <v>-3</v>
      </c>
      <c r="X786" s="1055">
        <v>-7</v>
      </c>
      <c r="Y786" s="27">
        <f>Z786</f>
        <v>-6</v>
      </c>
      <c r="Z786" s="1113">
        <v>-6</v>
      </c>
      <c r="AA786" s="1055">
        <v>-3</v>
      </c>
      <c r="AB786" s="1055">
        <v>-3</v>
      </c>
      <c r="AC786" s="1055">
        <v>-2</v>
      </c>
      <c r="AD786" s="68">
        <f t="shared" si="1926"/>
        <v>-3</v>
      </c>
      <c r="AE786" s="1113">
        <v>-3</v>
      </c>
      <c r="AF786" s="1055">
        <v>0</v>
      </c>
      <c r="AG786" s="1055">
        <v>1</v>
      </c>
      <c r="AH786" s="1055">
        <v>1</v>
      </c>
      <c r="AI786" s="68">
        <f t="shared" si="1927"/>
        <v>-1</v>
      </c>
      <c r="AJ786" s="1113">
        <v>-1</v>
      </c>
      <c r="AK786" s="68"/>
      <c r="AL786" s="68"/>
      <c r="AM786" s="68"/>
      <c r="AN786" s="68">
        <f>AO786</f>
        <v>0</v>
      </c>
      <c r="AO786" s="1112"/>
      <c r="AP786" s="68"/>
      <c r="AQ786" s="68"/>
      <c r="AR786" s="68"/>
      <c r="AS786" s="68">
        <f t="shared" si="1928"/>
        <v>0</v>
      </c>
      <c r="AT786" s="1112"/>
      <c r="AU786" s="68"/>
      <c r="AV786" s="68"/>
      <c r="AW786" s="68"/>
      <c r="AX786" s="68">
        <f t="shared" si="1929"/>
        <v>0</v>
      </c>
      <c r="AY786" s="1112"/>
      <c r="AZ786" s="68"/>
      <c r="BA786" s="68"/>
      <c r="BB786" s="68"/>
      <c r="BC786" s="68">
        <f t="shared" si="1930"/>
        <v>0</v>
      </c>
      <c r="BD786" s="1112"/>
      <c r="BE786" s="68"/>
      <c r="BF786" s="68"/>
      <c r="BG786" s="68"/>
      <c r="BH786" s="68">
        <f t="shared" si="1931"/>
        <v>0</v>
      </c>
      <c r="BI786" s="1112"/>
      <c r="BJ786" s="68"/>
      <c r="BK786" s="68"/>
      <c r="BL786" s="68"/>
      <c r="BM786" s="68">
        <f t="shared" si="1923"/>
        <v>0</v>
      </c>
      <c r="BN786" s="1112"/>
      <c r="BO786" s="68"/>
      <c r="BP786" s="68"/>
      <c r="BQ786" s="68"/>
      <c r="BR786" s="68">
        <f t="shared" si="1924"/>
        <v>0</v>
      </c>
      <c r="BS786" s="1112"/>
      <c r="BT786" s="68"/>
      <c r="BU786" s="68"/>
      <c r="BV786" s="68"/>
      <c r="BW786" s="68">
        <f t="shared" si="1925"/>
        <v>0</v>
      </c>
      <c r="BX786" s="1112"/>
      <c r="BY786" s="588"/>
      <c r="BZ786" s="68"/>
      <c r="CA786" s="68"/>
      <c r="CB786" s="68"/>
      <c r="CC786" s="1112"/>
      <c r="CD786" s="68"/>
      <c r="CE786" s="68"/>
      <c r="CF786" s="68"/>
      <c r="CG786" s="68"/>
      <c r="CH786" s="1112"/>
      <c r="CI786" s="1112"/>
      <c r="CJ786" s="1112"/>
      <c r="CK786" s="1112"/>
      <c r="CL786" s="155"/>
    </row>
    <row r="787" spans="1:90" hidden="1" outlineLevel="1" x14ac:dyDescent="0.3">
      <c r="A787" s="67" t="s">
        <v>145</v>
      </c>
      <c r="B787" s="146"/>
      <c r="C787" s="1112"/>
      <c r="D787" s="1112"/>
      <c r="E787" s="1112"/>
      <c r="F787" s="1112"/>
      <c r="G787" s="68"/>
      <c r="H787" s="68"/>
      <c r="I787" s="68"/>
      <c r="J787" s="68"/>
      <c r="K787" s="1112"/>
      <c r="L787" s="68"/>
      <c r="M787" s="68"/>
      <c r="N787" s="68"/>
      <c r="O787" s="68"/>
      <c r="P787" s="1112"/>
      <c r="Q787" s="68"/>
      <c r="R787" s="68"/>
      <c r="S787" s="68"/>
      <c r="T787" s="68"/>
      <c r="U787" s="1112"/>
      <c r="V787" s="68"/>
      <c r="W787" s="68"/>
      <c r="X787" s="68"/>
      <c r="Y787" s="68"/>
      <c r="Z787" s="1112"/>
      <c r="AA787" s="68"/>
      <c r="AB787" s="68"/>
      <c r="AC787" s="1055">
        <v>15</v>
      </c>
      <c r="AD787" s="68">
        <f t="shared" si="1926"/>
        <v>21</v>
      </c>
      <c r="AE787" s="1113">
        <v>21</v>
      </c>
      <c r="AF787" s="1055">
        <v>14</v>
      </c>
      <c r="AG787" s="1055">
        <v>17</v>
      </c>
      <c r="AH787" s="1055">
        <v>19</v>
      </c>
      <c r="AI787" s="68">
        <f t="shared" si="1927"/>
        <v>19</v>
      </c>
      <c r="AJ787" s="1113">
        <v>19</v>
      </c>
      <c r="AK787" s="68"/>
      <c r="AL787" s="68"/>
      <c r="AM787" s="68"/>
      <c r="AN787" s="68"/>
      <c r="AO787" s="1112"/>
      <c r="AP787" s="68"/>
      <c r="AQ787" s="68"/>
      <c r="AR787" s="68"/>
      <c r="AS787" s="68">
        <f t="shared" si="1928"/>
        <v>0</v>
      </c>
      <c r="AT787" s="1112"/>
      <c r="AU787" s="68"/>
      <c r="AV787" s="68"/>
      <c r="AW787" s="68"/>
      <c r="AX787" s="68">
        <f t="shared" si="1929"/>
        <v>0</v>
      </c>
      <c r="AY787" s="1112"/>
      <c r="AZ787" s="68"/>
      <c r="BA787" s="68"/>
      <c r="BB787" s="68"/>
      <c r="BC787" s="68">
        <f t="shared" si="1930"/>
        <v>0</v>
      </c>
      <c r="BD787" s="1112"/>
      <c r="BE787" s="68"/>
      <c r="BF787" s="68"/>
      <c r="BG787" s="68"/>
      <c r="BH787" s="68">
        <f t="shared" si="1931"/>
        <v>0</v>
      </c>
      <c r="BI787" s="1112"/>
      <c r="BJ787" s="68"/>
      <c r="BK787" s="68"/>
      <c r="BL787" s="68"/>
      <c r="BM787" s="68">
        <f t="shared" si="1923"/>
        <v>0</v>
      </c>
      <c r="BN787" s="1112"/>
      <c r="BO787" s="68"/>
      <c r="BP787" s="68"/>
      <c r="BQ787" s="68"/>
      <c r="BR787" s="68">
        <f t="shared" si="1924"/>
        <v>0</v>
      </c>
      <c r="BS787" s="1112"/>
      <c r="BT787" s="68"/>
      <c r="BU787" s="68"/>
      <c r="BV787" s="68"/>
      <c r="BW787" s="68">
        <f t="shared" si="1925"/>
        <v>0</v>
      </c>
      <c r="BX787" s="1112"/>
      <c r="BY787" s="588"/>
      <c r="BZ787" s="68"/>
      <c r="CA787" s="68"/>
      <c r="CB787" s="68"/>
      <c r="CC787" s="1112"/>
      <c r="CD787" s="68"/>
      <c r="CE787" s="68"/>
      <c r="CF787" s="68"/>
      <c r="CG787" s="68"/>
      <c r="CH787" s="1112"/>
      <c r="CI787" s="1112"/>
      <c r="CJ787" s="1112"/>
      <c r="CK787" s="1112"/>
      <c r="CL787" s="155"/>
    </row>
    <row r="788" spans="1:90" hidden="1" outlineLevel="1" x14ac:dyDescent="0.3">
      <c r="A788" s="67" t="s">
        <v>146</v>
      </c>
      <c r="B788" s="146"/>
      <c r="C788" s="1113">
        <v>-23.277000000000001</v>
      </c>
      <c r="D788" s="1113">
        <v>-21.146999999999998</v>
      </c>
      <c r="E788" s="1113">
        <v>-2.6459999999999999</v>
      </c>
      <c r="F788" s="1113">
        <v>19.056000000000001</v>
      </c>
      <c r="G788" s="1055">
        <v>3.63</v>
      </c>
      <c r="H788" s="1055">
        <v>13.791</v>
      </c>
      <c r="I788" s="1055">
        <v>42.683999999999997</v>
      </c>
      <c r="J788" s="27">
        <f>K788</f>
        <v>31.86</v>
      </c>
      <c r="K788" s="1113">
        <v>31.86</v>
      </c>
      <c r="L788" s="1055">
        <v>-3.0630000000000002</v>
      </c>
      <c r="M788" s="1055">
        <v>-0.61099999999999999</v>
      </c>
      <c r="N788" s="1055">
        <v>7.9139999999999997</v>
      </c>
      <c r="O788" s="27">
        <f>P788</f>
        <v>15.43</v>
      </c>
      <c r="P788" s="1113">
        <v>15.43</v>
      </c>
      <c r="Q788" s="1055">
        <v>22</v>
      </c>
      <c r="R788" s="1055">
        <v>38</v>
      </c>
      <c r="S788" s="1055">
        <v>62</v>
      </c>
      <c r="T788" s="27">
        <f>U788</f>
        <v>83</v>
      </c>
      <c r="U788" s="1113">
        <v>83</v>
      </c>
      <c r="V788" s="1055">
        <v>28</v>
      </c>
      <c r="W788" s="1055">
        <v>65</v>
      </c>
      <c r="X788" s="1055">
        <v>107</v>
      </c>
      <c r="Y788" s="27">
        <f>Z788</f>
        <v>134</v>
      </c>
      <c r="Z788" s="1113">
        <v>134</v>
      </c>
      <c r="AA788" s="1055">
        <v>30</v>
      </c>
      <c r="AB788" s="1055">
        <v>77</v>
      </c>
      <c r="AC788" s="1055">
        <v>146</v>
      </c>
      <c r="AD788" s="68">
        <f t="shared" si="1926"/>
        <v>197</v>
      </c>
      <c r="AE788" s="1113">
        <v>197</v>
      </c>
      <c r="AF788" s="1055">
        <v>22</v>
      </c>
      <c r="AG788" s="1055">
        <v>115</v>
      </c>
      <c r="AH788" s="1055">
        <v>158</v>
      </c>
      <c r="AI788" s="68">
        <f t="shared" si="1927"/>
        <v>-359</v>
      </c>
      <c r="AJ788" s="1113">
        <v>-359</v>
      </c>
      <c r="AK788" s="1055">
        <v>51</v>
      </c>
      <c r="AL788" s="1055">
        <v>113</v>
      </c>
      <c r="AM788" s="1055">
        <v>30</v>
      </c>
      <c r="AN788" s="68">
        <f>AO788</f>
        <v>-315</v>
      </c>
      <c r="AO788" s="1113">
        <v>-315</v>
      </c>
      <c r="AP788" s="1055">
        <v>-42</v>
      </c>
      <c r="AQ788" s="1055">
        <v>-27</v>
      </c>
      <c r="AR788" s="1055">
        <v>-5</v>
      </c>
      <c r="AS788" s="68">
        <f t="shared" si="1928"/>
        <v>18</v>
      </c>
      <c r="AT788" s="1113">
        <v>18</v>
      </c>
      <c r="AU788" s="1055">
        <v>16</v>
      </c>
      <c r="AV788" s="1055">
        <v>-64</v>
      </c>
      <c r="AW788" s="1055">
        <v>-117</v>
      </c>
      <c r="AX788" s="68">
        <f t="shared" si="1929"/>
        <v>-282</v>
      </c>
      <c r="AY788" s="1113">
        <v>-282</v>
      </c>
      <c r="AZ788" s="1055">
        <v>24</v>
      </c>
      <c r="BA788" s="1055">
        <v>-161</v>
      </c>
      <c r="BB788" s="1055">
        <v>-182</v>
      </c>
      <c r="BC788" s="68">
        <f t="shared" si="1930"/>
        <v>-406</v>
      </c>
      <c r="BD788" s="1113">
        <v>-406</v>
      </c>
      <c r="BE788" s="1055">
        <v>-542</v>
      </c>
      <c r="BF788" s="1055">
        <v>-985</v>
      </c>
      <c r="BG788" s="1055">
        <v>-1517</v>
      </c>
      <c r="BH788" s="68">
        <f t="shared" si="1931"/>
        <v>-2164</v>
      </c>
      <c r="BI788" s="1113">
        <v>-2164</v>
      </c>
      <c r="BJ788" s="1055">
        <v>-1135</v>
      </c>
      <c r="BK788" s="1055">
        <v>-1881</v>
      </c>
      <c r="BL788" s="1055">
        <v>-2411</v>
      </c>
      <c r="BM788" s="68">
        <f t="shared" si="1923"/>
        <v>-2489</v>
      </c>
      <c r="BN788" s="1113">
        <v>-2489</v>
      </c>
      <c r="BO788" s="1055">
        <v>-1577</v>
      </c>
      <c r="BP788" s="1055">
        <v>-3276</v>
      </c>
      <c r="BQ788" s="1055">
        <v>-3879</v>
      </c>
      <c r="BR788" s="68">
        <f t="shared" si="1924"/>
        <v>-4477</v>
      </c>
      <c r="BS788" s="1113">
        <v>-4477</v>
      </c>
      <c r="BT788" s="1055">
        <v>-2177</v>
      </c>
      <c r="BU788" s="1055">
        <v>-2160</v>
      </c>
      <c r="BV788" s="1055">
        <v>-2035</v>
      </c>
      <c r="BW788" s="68">
        <f t="shared" si="1925"/>
        <v>-1424</v>
      </c>
      <c r="BX788" s="1113">
        <v>-1424</v>
      </c>
      <c r="BY788" s="1057">
        <v>1584</v>
      </c>
      <c r="BZ788" s="68"/>
      <c r="CA788" s="68"/>
      <c r="CB788" s="68"/>
      <c r="CC788" s="1112"/>
      <c r="CD788" s="68"/>
      <c r="CE788" s="68"/>
      <c r="CF788" s="68"/>
      <c r="CG788" s="68"/>
      <c r="CH788" s="1112"/>
      <c r="CI788" s="1112"/>
      <c r="CJ788" s="1112"/>
      <c r="CK788" s="1112"/>
      <c r="CL788" s="155"/>
    </row>
    <row r="789" spans="1:90" hidden="1" outlineLevel="1" x14ac:dyDescent="0.3">
      <c r="A789" s="67" t="s">
        <v>147</v>
      </c>
      <c r="B789" s="146"/>
      <c r="C789" s="1113">
        <v>-21.797000000000001</v>
      </c>
      <c r="D789" s="1113">
        <v>-0.85699999999999998</v>
      </c>
      <c r="E789" s="1112"/>
      <c r="F789" s="1112"/>
      <c r="G789" s="68"/>
      <c r="H789" s="68"/>
      <c r="I789" s="68"/>
      <c r="J789" s="27">
        <f>K789</f>
        <v>0</v>
      </c>
      <c r="K789" s="1112"/>
      <c r="L789" s="68"/>
      <c r="M789" s="68"/>
      <c r="N789" s="68"/>
      <c r="O789" s="27">
        <f>P789</f>
        <v>0</v>
      </c>
      <c r="P789" s="1112"/>
      <c r="Q789" s="68"/>
      <c r="R789" s="68"/>
      <c r="S789" s="68"/>
      <c r="T789" s="27">
        <f>U789</f>
        <v>0</v>
      </c>
      <c r="U789" s="1112"/>
      <c r="V789" s="68"/>
      <c r="W789" s="68"/>
      <c r="X789" s="68"/>
      <c r="Y789" s="27">
        <f>Z789</f>
        <v>0</v>
      </c>
      <c r="Z789" s="1112"/>
      <c r="AA789" s="68"/>
      <c r="AB789" s="68"/>
      <c r="AC789" s="68"/>
      <c r="AD789" s="68">
        <f t="shared" si="1926"/>
        <v>0</v>
      </c>
      <c r="AE789" s="1112"/>
      <c r="AF789" s="68"/>
      <c r="AG789" s="68"/>
      <c r="AH789" s="68"/>
      <c r="AI789" s="68">
        <f t="shared" si="1927"/>
        <v>0</v>
      </c>
      <c r="AJ789" s="1112"/>
      <c r="AK789" s="68"/>
      <c r="AL789" s="68"/>
      <c r="AM789" s="68"/>
      <c r="AN789" s="68">
        <f>AO789</f>
        <v>0</v>
      </c>
      <c r="AO789" s="1112"/>
      <c r="AP789" s="68"/>
      <c r="AQ789" s="68"/>
      <c r="AR789" s="68"/>
      <c r="AS789" s="68">
        <f t="shared" si="1928"/>
        <v>0</v>
      </c>
      <c r="AT789" s="1112"/>
      <c r="AU789" s="68"/>
      <c r="AV789" s="68"/>
      <c r="AW789" s="68"/>
      <c r="AX789" s="68">
        <f t="shared" si="1929"/>
        <v>0</v>
      </c>
      <c r="AY789" s="1112"/>
      <c r="AZ789" s="68"/>
      <c r="BA789" s="68"/>
      <c r="BB789" s="68"/>
      <c r="BC789" s="68">
        <f t="shared" si="1930"/>
        <v>0</v>
      </c>
      <c r="BD789" s="1112"/>
      <c r="BE789" s="68"/>
      <c r="BF789" s="68"/>
      <c r="BG789" s="68"/>
      <c r="BH789" s="68">
        <f t="shared" si="1931"/>
        <v>0</v>
      </c>
      <c r="BI789" s="1112"/>
      <c r="BJ789" s="68"/>
      <c r="BK789" s="68"/>
      <c r="BL789" s="68"/>
      <c r="BM789" s="68">
        <f t="shared" si="1923"/>
        <v>0</v>
      </c>
      <c r="BN789" s="1112"/>
      <c r="BO789" s="68"/>
      <c r="BP789" s="68"/>
      <c r="BQ789" s="68"/>
      <c r="BR789" s="68">
        <f t="shared" si="1924"/>
        <v>0</v>
      </c>
      <c r="BS789" s="1112"/>
      <c r="BT789" s="68"/>
      <c r="BU789" s="68"/>
      <c r="BV789" s="68"/>
      <c r="BW789" s="68">
        <f t="shared" si="1925"/>
        <v>0</v>
      </c>
      <c r="BX789" s="1112"/>
      <c r="BY789" s="588"/>
      <c r="BZ789" s="68"/>
      <c r="CA789" s="68"/>
      <c r="CB789" s="68"/>
      <c r="CC789" s="1112"/>
      <c r="CD789" s="68"/>
      <c r="CE789" s="68"/>
      <c r="CF789" s="68"/>
      <c r="CG789" s="68"/>
      <c r="CH789" s="1112"/>
      <c r="CI789" s="1112"/>
      <c r="CJ789" s="1112"/>
      <c r="CK789" s="1112"/>
      <c r="CL789" s="155"/>
    </row>
    <row r="790" spans="1:90" hidden="1" outlineLevel="1" x14ac:dyDescent="0.3">
      <c r="A790" s="67" t="s">
        <v>148</v>
      </c>
      <c r="B790" s="146"/>
      <c r="C790" s="1112"/>
      <c r="D790" s="1112"/>
      <c r="E790" s="1112"/>
      <c r="F790" s="1112"/>
      <c r="G790" s="68"/>
      <c r="H790" s="68"/>
      <c r="I790" s="68"/>
      <c r="J790" s="27">
        <f>K790</f>
        <v>0</v>
      </c>
      <c r="K790" s="1112"/>
      <c r="L790" s="68"/>
      <c r="M790" s="68"/>
      <c r="N790" s="68"/>
      <c r="O790" s="27">
        <f>P790</f>
        <v>0</v>
      </c>
      <c r="P790" s="1112"/>
      <c r="Q790" s="68"/>
      <c r="R790" s="68"/>
      <c r="S790" s="68"/>
      <c r="T790" s="27">
        <f>U790</f>
        <v>0</v>
      </c>
      <c r="U790" s="1112"/>
      <c r="V790" s="68"/>
      <c r="W790" s="68"/>
      <c r="X790" s="68"/>
      <c r="Y790" s="27">
        <f>Z790</f>
        <v>0</v>
      </c>
      <c r="Z790" s="1112"/>
      <c r="AA790" s="68"/>
      <c r="AB790" s="68"/>
      <c r="AC790" s="68"/>
      <c r="AD790" s="68">
        <f t="shared" si="1926"/>
        <v>0</v>
      </c>
      <c r="AE790" s="1112"/>
      <c r="AF790" s="68"/>
      <c r="AG790" s="68"/>
      <c r="AH790" s="68"/>
      <c r="AI790" s="68">
        <f t="shared" si="1927"/>
        <v>0</v>
      </c>
      <c r="AJ790" s="1112"/>
      <c r="AK790" s="68"/>
      <c r="AL790" s="68"/>
      <c r="AM790" s="68"/>
      <c r="AN790" s="68">
        <f>AO790</f>
        <v>0</v>
      </c>
      <c r="AO790" s="1112"/>
      <c r="AP790" s="68"/>
      <c r="AQ790" s="68"/>
      <c r="AR790" s="68"/>
      <c r="AS790" s="68">
        <f t="shared" si="1928"/>
        <v>0</v>
      </c>
      <c r="AT790" s="1112"/>
      <c r="AU790" s="68"/>
      <c r="AV790" s="68"/>
      <c r="AW790" s="68"/>
      <c r="AX790" s="68">
        <f t="shared" si="1929"/>
        <v>0</v>
      </c>
      <c r="AY790" s="1112"/>
      <c r="AZ790" s="68"/>
      <c r="BA790" s="68"/>
      <c r="BB790" s="68"/>
      <c r="BC790" s="68">
        <f t="shared" si="1930"/>
        <v>0</v>
      </c>
      <c r="BD790" s="1112"/>
      <c r="BE790" s="68"/>
      <c r="BF790" s="68"/>
      <c r="BG790" s="68"/>
      <c r="BH790" s="68">
        <f t="shared" si="1931"/>
        <v>0</v>
      </c>
      <c r="BI790" s="1112"/>
      <c r="BJ790" s="68"/>
      <c r="BK790" s="68"/>
      <c r="BL790" s="68"/>
      <c r="BM790" s="68">
        <f t="shared" si="1923"/>
        <v>0</v>
      </c>
      <c r="BN790" s="1112"/>
      <c r="BO790" s="68"/>
      <c r="BP790" s="68"/>
      <c r="BQ790" s="68"/>
      <c r="BR790" s="68">
        <f t="shared" si="1924"/>
        <v>0</v>
      </c>
      <c r="BS790" s="1112"/>
      <c r="BT790" s="68"/>
      <c r="BU790" s="68"/>
      <c r="BV790" s="68"/>
      <c r="BW790" s="68">
        <f t="shared" si="1925"/>
        <v>0</v>
      </c>
      <c r="BX790" s="1112"/>
      <c r="BY790" s="588"/>
      <c r="BZ790" s="68"/>
      <c r="CA790" s="68"/>
      <c r="CB790" s="68"/>
      <c r="CC790" s="1112"/>
      <c r="CD790" s="68"/>
      <c r="CE790" s="68"/>
      <c r="CF790" s="68"/>
      <c r="CG790" s="68"/>
      <c r="CH790" s="1112"/>
      <c r="CI790" s="1112"/>
      <c r="CJ790" s="1112"/>
      <c r="CK790" s="1112"/>
      <c r="CL790" s="155"/>
    </row>
    <row r="791" spans="1:90" hidden="1" outlineLevel="1" x14ac:dyDescent="0.3">
      <c r="A791" s="67" t="s">
        <v>149</v>
      </c>
      <c r="B791" s="146"/>
      <c r="C791" s="1112"/>
      <c r="D791" s="1112"/>
      <c r="E791" s="1112"/>
      <c r="F791" s="1112"/>
      <c r="G791" s="68"/>
      <c r="H791" s="68"/>
      <c r="I791" s="68"/>
      <c r="J791" s="27">
        <f>K791</f>
        <v>0</v>
      </c>
      <c r="K791" s="1112"/>
      <c r="L791" s="68"/>
      <c r="M791" s="68"/>
      <c r="N791" s="68"/>
      <c r="O791" s="27">
        <f>P791</f>
        <v>0</v>
      </c>
      <c r="P791" s="1112"/>
      <c r="Q791" s="68"/>
      <c r="R791" s="68"/>
      <c r="S791" s="68"/>
      <c r="T791" s="27">
        <f>U791</f>
        <v>0</v>
      </c>
      <c r="U791" s="1112"/>
      <c r="V791" s="68"/>
      <c r="W791" s="68"/>
      <c r="X791" s="68"/>
      <c r="Y791" s="27">
        <f>Z791</f>
        <v>0</v>
      </c>
      <c r="Z791" s="1112"/>
      <c r="AA791" s="68"/>
      <c r="AB791" s="68"/>
      <c r="AC791" s="68"/>
      <c r="AD791" s="68">
        <f t="shared" si="1926"/>
        <v>0</v>
      </c>
      <c r="AE791" s="1112"/>
      <c r="AF791" s="68"/>
      <c r="AG791" s="68"/>
      <c r="AH791" s="68"/>
      <c r="AI791" s="68">
        <f t="shared" si="1927"/>
        <v>0</v>
      </c>
      <c r="AJ791" s="1112"/>
      <c r="AK791" s="68"/>
      <c r="AL791" s="68"/>
      <c r="AM791" s="68"/>
      <c r="AN791" s="68">
        <f>AO791</f>
        <v>0</v>
      </c>
      <c r="AO791" s="1112"/>
      <c r="AP791" s="68"/>
      <c r="AQ791" s="68"/>
      <c r="AR791" s="68"/>
      <c r="AS791" s="68">
        <f t="shared" si="1928"/>
        <v>0</v>
      </c>
      <c r="AT791" s="1112"/>
      <c r="AU791" s="68"/>
      <c r="AV791" s="68"/>
      <c r="AW791" s="68"/>
      <c r="AX791" s="68">
        <f t="shared" si="1929"/>
        <v>0</v>
      </c>
      <c r="AY791" s="1112"/>
      <c r="AZ791" s="68"/>
      <c r="BA791" s="68"/>
      <c r="BB791" s="68"/>
      <c r="BC791" s="68">
        <f t="shared" si="1930"/>
        <v>0</v>
      </c>
      <c r="BD791" s="1112"/>
      <c r="BE791" s="68"/>
      <c r="BF791" s="68"/>
      <c r="BG791" s="68"/>
      <c r="BH791" s="68">
        <f t="shared" si="1931"/>
        <v>0</v>
      </c>
      <c r="BI791" s="1112"/>
      <c r="BJ791" s="68"/>
      <c r="BK791" s="68"/>
      <c r="BL791" s="68"/>
      <c r="BM791" s="68">
        <f t="shared" si="1923"/>
        <v>0</v>
      </c>
      <c r="BN791" s="1112"/>
      <c r="BO791" s="68"/>
      <c r="BP791" s="68"/>
      <c r="BQ791" s="68"/>
      <c r="BR791" s="68">
        <f t="shared" si="1924"/>
        <v>0</v>
      </c>
      <c r="BS791" s="1112"/>
      <c r="BT791" s="68"/>
      <c r="BU791" s="68"/>
      <c r="BV791" s="68"/>
      <c r="BW791" s="68">
        <f t="shared" si="1925"/>
        <v>0</v>
      </c>
      <c r="BX791" s="1112"/>
      <c r="BY791" s="588"/>
      <c r="BZ791" s="68"/>
      <c r="CA791" s="68"/>
      <c r="CB791" s="68"/>
      <c r="CC791" s="1112"/>
      <c r="CD791" s="68"/>
      <c r="CE791" s="68"/>
      <c r="CF791" s="68"/>
      <c r="CG791" s="68"/>
      <c r="CH791" s="1112"/>
      <c r="CI791" s="1112"/>
      <c r="CJ791" s="1112"/>
      <c r="CK791" s="1112"/>
      <c r="CL791" s="155"/>
    </row>
    <row r="792" spans="1:90" hidden="1" outlineLevel="1" x14ac:dyDescent="0.3">
      <c r="A792" s="67" t="s">
        <v>150</v>
      </c>
      <c r="B792" s="146"/>
      <c r="C792" s="1112"/>
      <c r="D792" s="1112"/>
      <c r="E792" s="1113">
        <v>-15.316000000000001</v>
      </c>
      <c r="F792" s="1113">
        <v>-52.792999999999999</v>
      </c>
      <c r="G792" s="1055">
        <v>-8.6750000000000007</v>
      </c>
      <c r="H792" s="1055">
        <v>-18.154</v>
      </c>
      <c r="I792" s="1055">
        <v>-25.646000000000001</v>
      </c>
      <c r="J792" s="27">
        <f>K792</f>
        <v>-68.709999999999994</v>
      </c>
      <c r="K792" s="1113">
        <v>-68.709999999999994</v>
      </c>
      <c r="L792" s="1055">
        <v>-10.119999999999999</v>
      </c>
      <c r="M792" s="1055">
        <v>-17.36</v>
      </c>
      <c r="N792" s="1055">
        <v>-23.742999999999999</v>
      </c>
      <c r="O792" s="27">
        <f>P792</f>
        <v>-25.800999999999998</v>
      </c>
      <c r="P792" s="1113">
        <v>-25.800999999999998</v>
      </c>
      <c r="Q792" s="1055">
        <v>-4</v>
      </c>
      <c r="R792" s="1055">
        <v>-7</v>
      </c>
      <c r="S792" s="1055">
        <v>-12</v>
      </c>
      <c r="T792" s="27">
        <f>U792</f>
        <v>-18</v>
      </c>
      <c r="U792" s="1113">
        <v>-18</v>
      </c>
      <c r="V792" s="1055">
        <v>-6</v>
      </c>
      <c r="W792" s="1055">
        <v>-6</v>
      </c>
      <c r="X792" s="1055">
        <v>-5</v>
      </c>
      <c r="Y792" s="27">
        <f>Z792</f>
        <v>-10</v>
      </c>
      <c r="Z792" s="1113">
        <v>-10</v>
      </c>
      <c r="AA792" s="68"/>
      <c r="AB792" s="68"/>
      <c r="AC792" s="68"/>
      <c r="AD792" s="68">
        <f t="shared" si="1926"/>
        <v>0</v>
      </c>
      <c r="AE792" s="1112"/>
      <c r="AF792" s="68"/>
      <c r="AG792" s="68"/>
      <c r="AH792" s="68"/>
      <c r="AI792" s="68">
        <f t="shared" si="1927"/>
        <v>0</v>
      </c>
      <c r="AJ792" s="1112"/>
      <c r="AK792" s="68"/>
      <c r="AL792" s="68"/>
      <c r="AM792" s="68"/>
      <c r="AN792" s="68">
        <f>AO792</f>
        <v>0</v>
      </c>
      <c r="AO792" s="1112"/>
      <c r="AP792" s="68"/>
      <c r="AQ792" s="68"/>
      <c r="AR792" s="68"/>
      <c r="AS792" s="68">
        <f t="shared" si="1928"/>
        <v>0</v>
      </c>
      <c r="AT792" s="1112"/>
      <c r="AU792" s="68"/>
      <c r="AV792" s="68"/>
      <c r="AW792" s="68"/>
      <c r="AX792" s="68">
        <f t="shared" si="1929"/>
        <v>0</v>
      </c>
      <c r="AY792" s="1112"/>
      <c r="AZ792" s="68"/>
      <c r="BA792" s="68"/>
      <c r="BB792" s="68"/>
      <c r="BC792" s="68">
        <f t="shared" si="1930"/>
        <v>0</v>
      </c>
      <c r="BD792" s="1112"/>
      <c r="BE792" s="68"/>
      <c r="BF792" s="68"/>
      <c r="BG792" s="68"/>
      <c r="BH792" s="68">
        <f t="shared" si="1931"/>
        <v>0</v>
      </c>
      <c r="BI792" s="1112"/>
      <c r="BJ792" s="68"/>
      <c r="BK792" s="68"/>
      <c r="BL792" s="68"/>
      <c r="BM792" s="68">
        <f t="shared" si="1923"/>
        <v>0</v>
      </c>
      <c r="BN792" s="1112"/>
      <c r="BO792" s="68"/>
      <c r="BP792" s="68"/>
      <c r="BQ792" s="68"/>
      <c r="BR792" s="68">
        <f t="shared" si="1924"/>
        <v>0</v>
      </c>
      <c r="BS792" s="1112"/>
      <c r="BT792" s="68"/>
      <c r="BU792" s="68"/>
      <c r="BV792" s="68"/>
      <c r="BW792" s="68">
        <f t="shared" si="1925"/>
        <v>0</v>
      </c>
      <c r="BX792" s="1112"/>
      <c r="BY792" s="588"/>
      <c r="BZ792" s="68"/>
      <c r="CA792" s="68"/>
      <c r="CB792" s="68"/>
      <c r="CC792" s="1112"/>
      <c r="CD792" s="68"/>
      <c r="CE792" s="68"/>
      <c r="CF792" s="68"/>
      <c r="CG792" s="68"/>
      <c r="CH792" s="1112"/>
      <c r="CI792" s="1112"/>
      <c r="CJ792" s="1112"/>
      <c r="CK792" s="1112"/>
      <c r="CL792" s="155"/>
    </row>
    <row r="793" spans="1:90" hidden="1" outlineLevel="1" x14ac:dyDescent="0.3">
      <c r="A793" s="67" t="s">
        <v>624</v>
      </c>
      <c r="B793" s="146"/>
      <c r="C793" s="1112"/>
      <c r="D793" s="1112"/>
      <c r="E793" s="1112"/>
      <c r="F793" s="1112"/>
      <c r="G793" s="68"/>
      <c r="H793" s="68"/>
      <c r="I793" s="68"/>
      <c r="J793" s="68"/>
      <c r="K793" s="1112"/>
      <c r="L793" s="68"/>
      <c r="M793" s="68"/>
      <c r="N793" s="68"/>
      <c r="O793" s="68"/>
      <c r="P793" s="1112"/>
      <c r="Q793" s="68"/>
      <c r="R793" s="68"/>
      <c r="S793" s="68"/>
      <c r="T793" s="68"/>
      <c r="U793" s="1112"/>
      <c r="V793" s="68"/>
      <c r="W793" s="68"/>
      <c r="X793" s="68"/>
      <c r="Y793" s="68"/>
      <c r="Z793" s="1112"/>
      <c r="AA793" s="68"/>
      <c r="AB793" s="68"/>
      <c r="AC793" s="68"/>
      <c r="AD793" s="68"/>
      <c r="AE793" s="1112"/>
      <c r="AF793" s="68"/>
      <c r="AG793" s="68"/>
      <c r="AH793" s="68"/>
      <c r="AI793" s="68"/>
      <c r="AJ793" s="1112"/>
      <c r="AK793" s="68"/>
      <c r="AL793" s="68"/>
      <c r="AM793" s="68"/>
      <c r="AN793" s="68"/>
      <c r="AO793" s="1112"/>
      <c r="AP793" s="68"/>
      <c r="AQ793" s="68"/>
      <c r="AR793" s="68"/>
      <c r="AS793" s="68"/>
      <c r="AT793" s="1112"/>
      <c r="AU793" s="68"/>
      <c r="AV793" s="68"/>
      <c r="AW793" s="68"/>
      <c r="AX793" s="68"/>
      <c r="AY793" s="1112"/>
      <c r="AZ793" s="1055">
        <v>-133</v>
      </c>
      <c r="BA793" s="1055">
        <v>-133</v>
      </c>
      <c r="BB793" s="1055">
        <v>-152</v>
      </c>
      <c r="BC793" s="68">
        <f t="shared" si="1930"/>
        <v>-100</v>
      </c>
      <c r="BD793" s="1113">
        <v>-100</v>
      </c>
      <c r="BE793" s="1055">
        <v>17</v>
      </c>
      <c r="BF793" s="1055">
        <v>24</v>
      </c>
      <c r="BG793" s="1055">
        <v>35</v>
      </c>
      <c r="BH793" s="68">
        <f t="shared" si="1931"/>
        <v>45</v>
      </c>
      <c r="BI793" s="1113">
        <v>45</v>
      </c>
      <c r="BJ793" s="1055">
        <v>14</v>
      </c>
      <c r="BK793" s="1055">
        <v>-45</v>
      </c>
      <c r="BL793" s="1055">
        <v>24</v>
      </c>
      <c r="BM793" s="68">
        <f t="shared" si="1923"/>
        <v>-238</v>
      </c>
      <c r="BN793" s="1113">
        <v>-238</v>
      </c>
      <c r="BO793" s="1055">
        <v>-69</v>
      </c>
      <c r="BP793" s="1055">
        <v>-264</v>
      </c>
      <c r="BQ793" s="1055">
        <v>-302</v>
      </c>
      <c r="BR793" s="68">
        <f t="shared" si="1924"/>
        <v>-1030</v>
      </c>
      <c r="BS793" s="1113">
        <v>-1030</v>
      </c>
      <c r="BT793" s="1055">
        <v>175</v>
      </c>
      <c r="BU793" s="1055">
        <v>-2073</v>
      </c>
      <c r="BV793" s="1055">
        <v>-3426</v>
      </c>
      <c r="BW793" s="68">
        <f t="shared" si="1925"/>
        <v>-8918</v>
      </c>
      <c r="BX793" s="1113">
        <v>-8918</v>
      </c>
      <c r="BY793" s="1057">
        <v>-15936</v>
      </c>
      <c r="BZ793" s="68"/>
      <c r="CA793" s="68"/>
      <c r="CB793" s="68"/>
      <c r="CC793" s="1112"/>
      <c r="CD793" s="68"/>
      <c r="CE793" s="68"/>
      <c r="CF793" s="68"/>
      <c r="CG793" s="68"/>
      <c r="CH793" s="1112"/>
      <c r="CI793" s="1112"/>
      <c r="CJ793" s="1112"/>
      <c r="CK793" s="1112"/>
      <c r="CL793" s="155"/>
    </row>
    <row r="794" spans="1:90" hidden="1" outlineLevel="1" x14ac:dyDescent="0.3">
      <c r="A794" s="67" t="s">
        <v>151</v>
      </c>
      <c r="B794" s="146"/>
      <c r="C794" s="1113">
        <v>0.188</v>
      </c>
      <c r="D794" s="1113">
        <v>1.893</v>
      </c>
      <c r="E794" s="1113">
        <v>1.5720000000000001</v>
      </c>
      <c r="F794" s="1113">
        <v>19.094999999999999</v>
      </c>
      <c r="G794" s="1055">
        <v>5.4509999999999996</v>
      </c>
      <c r="H794" s="1055">
        <v>32.496000000000002</v>
      </c>
      <c r="I794" s="1055">
        <v>39.978000000000002</v>
      </c>
      <c r="J794" s="27">
        <f>K794</f>
        <v>47.911000000000001</v>
      </c>
      <c r="K794" s="1113">
        <v>47.911000000000001</v>
      </c>
      <c r="L794" s="1055">
        <v>4.9880000000000004</v>
      </c>
      <c r="M794" s="1055">
        <v>8.8670000000000009</v>
      </c>
      <c r="N794" s="1055">
        <v>11.569000000000001</v>
      </c>
      <c r="O794" s="27">
        <f>P794</f>
        <v>21.387</v>
      </c>
      <c r="P794" s="1113">
        <v>21.387</v>
      </c>
      <c r="Q794" s="1055">
        <v>7</v>
      </c>
      <c r="R794" s="1055">
        <v>14</v>
      </c>
      <c r="S794" s="1055">
        <v>19</v>
      </c>
      <c r="T794" s="27">
        <f>U794</f>
        <v>24</v>
      </c>
      <c r="U794" s="1113">
        <v>24</v>
      </c>
      <c r="V794" s="1055">
        <v>7</v>
      </c>
      <c r="W794" s="1055">
        <v>11</v>
      </c>
      <c r="X794" s="1055">
        <v>16</v>
      </c>
      <c r="Y794" s="27">
        <f>Z794</f>
        <v>19</v>
      </c>
      <c r="Z794" s="1113">
        <v>19</v>
      </c>
      <c r="AA794" s="1055">
        <v>-4</v>
      </c>
      <c r="AB794" s="1055">
        <v>7</v>
      </c>
      <c r="AC794" s="1055">
        <v>8</v>
      </c>
      <c r="AD794" s="68">
        <f>AE794</f>
        <v>11</v>
      </c>
      <c r="AE794" s="1113">
        <v>11</v>
      </c>
      <c r="AF794" s="1055">
        <v>5</v>
      </c>
      <c r="AG794" s="1055">
        <v>8</v>
      </c>
      <c r="AH794" s="1055">
        <v>11</v>
      </c>
      <c r="AI794" s="68">
        <f>AJ794</f>
        <v>18</v>
      </c>
      <c r="AJ794" s="1113">
        <v>18</v>
      </c>
      <c r="AK794" s="1055">
        <v>-8</v>
      </c>
      <c r="AL794" s="1055">
        <v>-22</v>
      </c>
      <c r="AM794" s="1055">
        <v>-35</v>
      </c>
      <c r="AN794" s="68">
        <f>AO794</f>
        <v>-45</v>
      </c>
      <c r="AO794" s="1113">
        <v>-45</v>
      </c>
      <c r="AP794" s="1055">
        <v>-2</v>
      </c>
      <c r="AQ794" s="1055">
        <v>1</v>
      </c>
      <c r="AR794" s="1055">
        <v>5</v>
      </c>
      <c r="AS794" s="68">
        <f>AT794</f>
        <v>5</v>
      </c>
      <c r="AT794" s="1113">
        <v>5</v>
      </c>
      <c r="AU794" s="1055">
        <v>4</v>
      </c>
      <c r="AV794" s="1055">
        <v>-5</v>
      </c>
      <c r="AW794" s="1055">
        <v>-2</v>
      </c>
      <c r="AX794" s="68">
        <f>AY794</f>
        <v>-20</v>
      </c>
      <c r="AY794" s="1113">
        <v>-20</v>
      </c>
      <c r="AZ794" s="1055">
        <v>-3</v>
      </c>
      <c r="BA794" s="1055">
        <v>16</v>
      </c>
      <c r="BB794" s="1055">
        <v>25</v>
      </c>
      <c r="BC794" s="68">
        <f t="shared" si="1930"/>
        <v>47</v>
      </c>
      <c r="BD794" s="1113">
        <v>47</v>
      </c>
      <c r="BE794" s="1055">
        <v>23</v>
      </c>
      <c r="BF794" s="1055">
        <v>18</v>
      </c>
      <c r="BG794" s="1055">
        <v>-27</v>
      </c>
      <c r="BH794" s="68">
        <f t="shared" si="1931"/>
        <v>-7</v>
      </c>
      <c r="BI794" s="1113">
        <v>-7</v>
      </c>
      <c r="BJ794" s="1055">
        <v>-34</v>
      </c>
      <c r="BK794" s="1055">
        <v>-102</v>
      </c>
      <c r="BL794" s="1055">
        <v>-170</v>
      </c>
      <c r="BM794" s="68">
        <f t="shared" si="1923"/>
        <v>-278</v>
      </c>
      <c r="BN794" s="1113">
        <v>-278</v>
      </c>
      <c r="BO794" s="1055">
        <v>-145</v>
      </c>
      <c r="BP794" s="1055">
        <v>-288</v>
      </c>
      <c r="BQ794" s="1055">
        <v>-365</v>
      </c>
      <c r="BR794" s="68">
        <f t="shared" si="1924"/>
        <v>-502</v>
      </c>
      <c r="BS794" s="1113">
        <v>-502</v>
      </c>
      <c r="BT794" s="1055">
        <v>-98</v>
      </c>
      <c r="BU794" s="1055">
        <v>-196</v>
      </c>
      <c r="BV794" s="1055">
        <v>-276</v>
      </c>
      <c r="BW794" s="68">
        <f t="shared" si="1925"/>
        <v>-287</v>
      </c>
      <c r="BX794" s="1113">
        <v>-287</v>
      </c>
      <c r="BY794" s="1057">
        <v>-94</v>
      </c>
      <c r="BZ794" s="68"/>
      <c r="CA794" s="68"/>
      <c r="CB794" s="68"/>
      <c r="CC794" s="1112"/>
      <c r="CD794" s="68"/>
      <c r="CE794" s="68"/>
      <c r="CF794" s="68"/>
      <c r="CG794" s="68"/>
      <c r="CH794" s="1112"/>
      <c r="CI794" s="1112"/>
      <c r="CJ794" s="1112"/>
      <c r="CK794" s="1112"/>
      <c r="CL794" s="155"/>
    </row>
    <row r="795" spans="1:90" hidden="1" outlineLevel="1" x14ac:dyDescent="0.3">
      <c r="A795" s="67" t="s">
        <v>152</v>
      </c>
      <c r="B795" s="146"/>
      <c r="C795" s="1113">
        <v>9.891</v>
      </c>
      <c r="D795" s="1112"/>
      <c r="E795" s="1112"/>
      <c r="F795" s="1112"/>
      <c r="G795" s="68"/>
      <c r="H795" s="68"/>
      <c r="I795" s="68"/>
      <c r="J795" s="27">
        <f>K795</f>
        <v>0</v>
      </c>
      <c r="K795" s="1112"/>
      <c r="L795" s="68"/>
      <c r="M795" s="68"/>
      <c r="N795" s="68"/>
      <c r="O795" s="27">
        <f>P795</f>
        <v>0</v>
      </c>
      <c r="P795" s="1112"/>
      <c r="Q795" s="68"/>
      <c r="R795" s="68"/>
      <c r="S795" s="68"/>
      <c r="T795" s="27">
        <f>U795</f>
        <v>0</v>
      </c>
      <c r="U795" s="1112"/>
      <c r="V795" s="68"/>
      <c r="W795" s="68"/>
      <c r="X795" s="68"/>
      <c r="Y795" s="27">
        <f>Z795</f>
        <v>0</v>
      </c>
      <c r="Z795" s="1112"/>
      <c r="AA795" s="68"/>
      <c r="AB795" s="68"/>
      <c r="AC795" s="68"/>
      <c r="AD795" s="68">
        <f>AE795</f>
        <v>0</v>
      </c>
      <c r="AE795" s="1112"/>
      <c r="AF795" s="68"/>
      <c r="AG795" s="68"/>
      <c r="AH795" s="68"/>
      <c r="AI795" s="68">
        <f>AJ795</f>
        <v>0</v>
      </c>
      <c r="AJ795" s="1112"/>
      <c r="AK795" s="68"/>
      <c r="AL795" s="68"/>
      <c r="AM795" s="68"/>
      <c r="AN795" s="68">
        <f>AO795</f>
        <v>0</v>
      </c>
      <c r="AO795" s="1112"/>
      <c r="AP795" s="68"/>
      <c r="AQ795" s="68"/>
      <c r="AR795" s="68"/>
      <c r="AS795" s="68">
        <f>AT795</f>
        <v>0</v>
      </c>
      <c r="AT795" s="1112"/>
      <c r="AU795" s="68"/>
      <c r="AV795" s="68"/>
      <c r="AW795" s="68"/>
      <c r="AX795" s="68">
        <f>AY795</f>
        <v>0</v>
      </c>
      <c r="AY795" s="1112"/>
      <c r="AZ795" s="68"/>
      <c r="BA795" s="68"/>
      <c r="BB795" s="68"/>
      <c r="BC795" s="68">
        <f t="shared" si="1930"/>
        <v>0</v>
      </c>
      <c r="BD795" s="1112"/>
      <c r="BE795" s="68"/>
      <c r="BF795" s="68"/>
      <c r="BG795" s="68"/>
      <c r="BH795" s="68">
        <f t="shared" si="1931"/>
        <v>0</v>
      </c>
      <c r="BI795" s="1112"/>
      <c r="BJ795" s="68"/>
      <c r="BK795" s="68"/>
      <c r="BL795" s="68"/>
      <c r="BM795" s="68">
        <f t="shared" si="1923"/>
        <v>0</v>
      </c>
      <c r="BN795" s="1112"/>
      <c r="BO795" s="68"/>
      <c r="BP795" s="68"/>
      <c r="BQ795" s="68"/>
      <c r="BR795" s="68">
        <f t="shared" si="1924"/>
        <v>0</v>
      </c>
      <c r="BS795" s="1112"/>
      <c r="BT795" s="68"/>
      <c r="BU795" s="68"/>
      <c r="BV795" s="68"/>
      <c r="BW795" s="68">
        <f t="shared" si="1925"/>
        <v>0</v>
      </c>
      <c r="BX795" s="1112"/>
      <c r="BY795" s="588"/>
      <c r="BZ795" s="68"/>
      <c r="CA795" s="68"/>
      <c r="CB795" s="68"/>
      <c r="CC795" s="1112"/>
      <c r="CD795" s="68"/>
      <c r="CE795" s="68"/>
      <c r="CF795" s="68"/>
      <c r="CG795" s="68"/>
      <c r="CH795" s="1112"/>
      <c r="CI795" s="1112"/>
      <c r="CJ795" s="1112"/>
      <c r="CK795" s="1112"/>
      <c r="CL795" s="155"/>
    </row>
    <row r="796" spans="1:90" hidden="1" outlineLevel="1" x14ac:dyDescent="0.3">
      <c r="A796" s="59" t="s">
        <v>153</v>
      </c>
      <c r="B796" s="607"/>
      <c r="C796" s="1125">
        <f t="shared" ref="C796:AH796" si="1932">SUM(C779:C795)</f>
        <v>282.69299999999998</v>
      </c>
      <c r="D796" s="1125">
        <f t="shared" si="1932"/>
        <v>351.392</v>
      </c>
      <c r="E796" s="1125">
        <f t="shared" si="1932"/>
        <v>524.09799999999996</v>
      </c>
      <c r="F796" s="1125">
        <f t="shared" si="1932"/>
        <v>907.00700000000018</v>
      </c>
      <c r="G796" s="60">
        <f t="shared" si="1932"/>
        <v>150.90299999999999</v>
      </c>
      <c r="H796" s="60">
        <f t="shared" si="1932"/>
        <v>386.12599999999998</v>
      </c>
      <c r="I796" s="60">
        <f t="shared" si="1932"/>
        <v>714.30599999999993</v>
      </c>
      <c r="J796" s="60">
        <f t="shared" si="1932"/>
        <v>936.49399999999991</v>
      </c>
      <c r="K796" s="1125">
        <f t="shared" si="1932"/>
        <v>936.49399999999991</v>
      </c>
      <c r="L796" s="60">
        <f t="shared" si="1932"/>
        <v>162.83699999999999</v>
      </c>
      <c r="M796" s="60">
        <f t="shared" si="1932"/>
        <v>352.61100000000005</v>
      </c>
      <c r="N796" s="60">
        <f t="shared" si="1932"/>
        <v>572.95599999999979</v>
      </c>
      <c r="O796" s="60">
        <f t="shared" si="1932"/>
        <v>822.90899999999988</v>
      </c>
      <c r="P796" s="1125">
        <f t="shared" si="1932"/>
        <v>822.90899999999988</v>
      </c>
      <c r="Q796" s="60">
        <f t="shared" si="1932"/>
        <v>243</v>
      </c>
      <c r="R796" s="60">
        <f t="shared" si="1932"/>
        <v>495</v>
      </c>
      <c r="S796" s="60">
        <f t="shared" si="1932"/>
        <v>790</v>
      </c>
      <c r="T796" s="60">
        <f t="shared" si="1932"/>
        <v>1109</v>
      </c>
      <c r="U796" s="1125">
        <f t="shared" si="1932"/>
        <v>1109</v>
      </c>
      <c r="V796" s="60">
        <f t="shared" si="1932"/>
        <v>266</v>
      </c>
      <c r="W796" s="60">
        <f t="shared" si="1932"/>
        <v>469</v>
      </c>
      <c r="X796" s="60">
        <f t="shared" si="1932"/>
        <v>872</v>
      </c>
      <c r="Y796" s="60">
        <f t="shared" si="1932"/>
        <v>1226</v>
      </c>
      <c r="Z796" s="1125">
        <f t="shared" si="1932"/>
        <v>1226</v>
      </c>
      <c r="AA796" s="60">
        <f t="shared" si="1932"/>
        <v>337</v>
      </c>
      <c r="AB796" s="60">
        <f t="shared" si="1932"/>
        <v>767</v>
      </c>
      <c r="AC796" s="61">
        <f t="shared" si="1932"/>
        <v>1515</v>
      </c>
      <c r="AD796" s="61">
        <f t="shared" si="1932"/>
        <v>2351</v>
      </c>
      <c r="AE796" s="1124">
        <f t="shared" si="1932"/>
        <v>2351</v>
      </c>
      <c r="AF796" s="61">
        <f t="shared" si="1932"/>
        <v>673</v>
      </c>
      <c r="AG796" s="60">
        <f t="shared" si="1932"/>
        <v>1488</v>
      </c>
      <c r="AH796" s="60">
        <f t="shared" si="1932"/>
        <v>2530</v>
      </c>
      <c r="AI796" s="61">
        <f t="shared" ref="AI796:AV796" si="1933">SUM(AI779:AI795)</f>
        <v>3317</v>
      </c>
      <c r="AJ796" s="1124">
        <f t="shared" si="1933"/>
        <v>3317</v>
      </c>
      <c r="AK796" s="60">
        <f t="shared" si="1933"/>
        <v>1473</v>
      </c>
      <c r="AL796" s="60">
        <f t="shared" si="1933"/>
        <v>2814</v>
      </c>
      <c r="AM796" s="60">
        <f t="shared" si="1933"/>
        <v>4154</v>
      </c>
      <c r="AN796" s="61">
        <f t="shared" si="1933"/>
        <v>4600</v>
      </c>
      <c r="AO796" s="1124">
        <f t="shared" si="1933"/>
        <v>4600</v>
      </c>
      <c r="AP796" s="60">
        <f t="shared" si="1933"/>
        <v>619</v>
      </c>
      <c r="AQ796" s="61">
        <f t="shared" si="1933"/>
        <v>1505</v>
      </c>
      <c r="AR796" s="60">
        <f t="shared" si="1933"/>
        <v>2744</v>
      </c>
      <c r="AS796" s="61">
        <f t="shared" si="1933"/>
        <v>4044</v>
      </c>
      <c r="AT796" s="1124">
        <f t="shared" si="1933"/>
        <v>4044</v>
      </c>
      <c r="AU796" s="60">
        <f t="shared" si="1933"/>
        <v>1268</v>
      </c>
      <c r="AV796" s="61">
        <f t="shared" si="1933"/>
        <v>2579</v>
      </c>
      <c r="AW796" s="60">
        <f t="shared" ref="AW796:BB796" si="1934">SUM(AW779:AW795)</f>
        <v>4547</v>
      </c>
      <c r="AX796" s="61">
        <f t="shared" si="1934"/>
        <v>6525</v>
      </c>
      <c r="AY796" s="1124">
        <f t="shared" si="1934"/>
        <v>6525</v>
      </c>
      <c r="AZ796" s="60">
        <f t="shared" si="1934"/>
        <v>2510</v>
      </c>
      <c r="BA796" s="61">
        <f t="shared" si="1934"/>
        <v>5468</v>
      </c>
      <c r="BB796" s="60">
        <f t="shared" si="1934"/>
        <v>8758</v>
      </c>
      <c r="BC796" s="61">
        <f t="shared" ref="BC796:BD796" si="1935">SUM(BC779:BC795)</f>
        <v>12471</v>
      </c>
      <c r="BD796" s="1124">
        <f t="shared" si="1935"/>
        <v>12471</v>
      </c>
      <c r="BE796" s="60">
        <f t="shared" ref="BE796:BI796" si="1936">SUM(BE779:BE795)</f>
        <v>3381</v>
      </c>
      <c r="BF796" s="61">
        <f t="shared" si="1936"/>
        <v>4622</v>
      </c>
      <c r="BG796" s="60">
        <f t="shared" si="1936"/>
        <v>5887</v>
      </c>
      <c r="BH796" s="61">
        <f t="shared" si="1936"/>
        <v>7848</v>
      </c>
      <c r="BI796" s="1124">
        <f t="shared" si="1936"/>
        <v>7848</v>
      </c>
      <c r="BJ796" s="60">
        <f t="shared" ref="BJ796:BO796" si="1937">SUM(BJ779:BJ795)</f>
        <v>2007</v>
      </c>
      <c r="BK796" s="61">
        <f t="shared" si="1937"/>
        <v>8529</v>
      </c>
      <c r="BL796" s="60">
        <f t="shared" si="1937"/>
        <v>18594</v>
      </c>
      <c r="BM796" s="61">
        <f t="shared" si="1937"/>
        <v>31812</v>
      </c>
      <c r="BN796" s="1124">
        <f t="shared" si="1937"/>
        <v>31812</v>
      </c>
      <c r="BO796" s="60">
        <f t="shared" si="1937"/>
        <v>14511</v>
      </c>
      <c r="BP796" s="61">
        <f t="shared" ref="BP796:BU796" si="1938">SUM(BP779:BP795)</f>
        <v>30659</v>
      </c>
      <c r="BQ796" s="60">
        <f t="shared" si="1938"/>
        <v>50980</v>
      </c>
      <c r="BR796" s="61">
        <f t="shared" si="1938"/>
        <v>73472</v>
      </c>
      <c r="BS796" s="1124">
        <f t="shared" si="1938"/>
        <v>73472</v>
      </c>
      <c r="BT796" s="60">
        <f t="shared" si="1938"/>
        <v>18760</v>
      </c>
      <c r="BU796" s="61">
        <f t="shared" si="1938"/>
        <v>45147</v>
      </c>
      <c r="BV796" s="60">
        <f>SUM(BV779:BV795)</f>
        <v>78154</v>
      </c>
      <c r="BW796" s="61">
        <f>SUM(BW779:BW795)</f>
        <v>118667</v>
      </c>
      <c r="BX796" s="1124">
        <f>SUM(BX779:BX795)</f>
        <v>118667</v>
      </c>
      <c r="BY796" s="895">
        <f>SUM(BY779:BY795)</f>
        <v>46800</v>
      </c>
      <c r="BZ796" s="61"/>
      <c r="CA796" s="61"/>
      <c r="CB796" s="61"/>
      <c r="CC796" s="1124"/>
      <c r="CD796" s="61"/>
      <c r="CE796" s="61"/>
      <c r="CF796" s="61"/>
      <c r="CG796" s="61"/>
      <c r="CH796" s="1124"/>
      <c r="CI796" s="1124"/>
      <c r="CJ796" s="1124"/>
      <c r="CK796" s="1124"/>
      <c r="CL796" s="155"/>
    </row>
    <row r="797" spans="1:90" hidden="1" outlineLevel="1" x14ac:dyDescent="0.3">
      <c r="A797" s="67" t="s">
        <v>154</v>
      </c>
      <c r="B797" s="146"/>
      <c r="C797" s="1113">
        <v>348.87299999999999</v>
      </c>
      <c r="D797" s="1113">
        <v>-56.741</v>
      </c>
      <c r="E797" s="1113">
        <v>26.341000000000001</v>
      </c>
      <c r="F797" s="1113">
        <v>26.236000000000001</v>
      </c>
      <c r="G797" s="1055">
        <v>-75.369</v>
      </c>
      <c r="H797" s="1055">
        <v>-109.218</v>
      </c>
      <c r="I797" s="1055">
        <v>-109.008</v>
      </c>
      <c r="J797" s="27">
        <f t="shared" ref="J797:J804" si="1939">K797</f>
        <v>-118.94</v>
      </c>
      <c r="K797" s="1113">
        <v>-118.94</v>
      </c>
      <c r="L797" s="1055">
        <v>108.476</v>
      </c>
      <c r="M797" s="1055">
        <v>37.271000000000001</v>
      </c>
      <c r="N797" s="1055">
        <v>7.806</v>
      </c>
      <c r="O797" s="27">
        <f t="shared" ref="O797:O804" si="1940">P797</f>
        <v>28.852</v>
      </c>
      <c r="P797" s="1113">
        <v>28.852</v>
      </c>
      <c r="Q797" s="1055">
        <v>28</v>
      </c>
      <c r="R797" s="1055">
        <v>-46</v>
      </c>
      <c r="S797" s="1055">
        <v>-138</v>
      </c>
      <c r="T797" s="27">
        <f t="shared" ref="T797:T804" si="1941">U797</f>
        <v>-49</v>
      </c>
      <c r="U797" s="1113">
        <v>-49</v>
      </c>
      <c r="V797" s="1055">
        <v>18</v>
      </c>
      <c r="W797" s="1055">
        <v>-41</v>
      </c>
      <c r="X797" s="1055">
        <v>-63</v>
      </c>
      <c r="Y797" s="27">
        <f t="shared" ref="Y797:Y804" si="1942">Z797</f>
        <v>-32</v>
      </c>
      <c r="Z797" s="1113">
        <v>-32</v>
      </c>
      <c r="AA797" s="1055">
        <v>-17</v>
      </c>
      <c r="AB797" s="1055">
        <v>-138</v>
      </c>
      <c r="AC797" s="1055">
        <v>-328</v>
      </c>
      <c r="AD797" s="68">
        <f t="shared" ref="AD797:AD804" si="1943">AE797</f>
        <v>-321</v>
      </c>
      <c r="AE797" s="1113">
        <v>-321</v>
      </c>
      <c r="AF797" s="1055">
        <v>-150</v>
      </c>
      <c r="AG797" s="1055">
        <v>-387</v>
      </c>
      <c r="AH797" s="1055">
        <v>-342</v>
      </c>
      <c r="AI797" s="68">
        <f t="shared" ref="AI797:AI804" si="1944">AJ797</f>
        <v>-440</v>
      </c>
      <c r="AJ797" s="1113">
        <v>-440</v>
      </c>
      <c r="AK797" s="1055">
        <v>56</v>
      </c>
      <c r="AL797" s="1055">
        <v>-386</v>
      </c>
      <c r="AM797" s="1055">
        <v>-943</v>
      </c>
      <c r="AN797" s="68">
        <f t="shared" ref="AN797:AN804" si="1945">AO797</f>
        <v>-149</v>
      </c>
      <c r="AO797" s="1113">
        <v>-149</v>
      </c>
      <c r="AP797" s="1055">
        <v>182</v>
      </c>
      <c r="AQ797" s="1055">
        <v>-137</v>
      </c>
      <c r="AR797" s="1055">
        <v>-32</v>
      </c>
      <c r="AS797" s="68">
        <f t="shared" ref="AS797:AS804" si="1946">AT797</f>
        <v>-233</v>
      </c>
      <c r="AT797" s="1113">
        <v>-233</v>
      </c>
      <c r="AU797" s="1055">
        <v>-249</v>
      </c>
      <c r="AV797" s="1055">
        <v>-205</v>
      </c>
      <c r="AW797" s="1055">
        <v>-667</v>
      </c>
      <c r="AX797" s="68">
        <f t="shared" ref="AX797:AX804" si="1947">AY797</f>
        <v>-550</v>
      </c>
      <c r="AY797" s="1113">
        <v>-550</v>
      </c>
      <c r="AZ797" s="1055">
        <v>-595</v>
      </c>
      <c r="BA797" s="1055">
        <v>-1157</v>
      </c>
      <c r="BB797" s="1055">
        <v>-1523</v>
      </c>
      <c r="BC797" s="68">
        <f t="shared" ref="BC797:BC804" si="1948">BD797</f>
        <v>-2215</v>
      </c>
      <c r="BD797" s="1113">
        <v>-2215</v>
      </c>
      <c r="BE797" s="1055">
        <v>-788</v>
      </c>
      <c r="BF797" s="1055">
        <v>-668</v>
      </c>
      <c r="BG797" s="1055">
        <v>-258</v>
      </c>
      <c r="BH797" s="68">
        <f t="shared" ref="BH797:BH804" si="1949">BI797</f>
        <v>822</v>
      </c>
      <c r="BI797" s="1113">
        <v>822</v>
      </c>
      <c r="BJ797" s="1055">
        <v>-252</v>
      </c>
      <c r="BK797" s="1055">
        <v>-3239</v>
      </c>
      <c r="BL797" s="1055">
        <v>-4482</v>
      </c>
      <c r="BM797" s="68">
        <f t="shared" ref="BM797:BM804" si="1950">BN797</f>
        <v>-6172</v>
      </c>
      <c r="BN797" s="1113">
        <v>-6172</v>
      </c>
      <c r="BO797" s="1055">
        <v>-2366</v>
      </c>
      <c r="BP797" s="1055">
        <v>-4133</v>
      </c>
      <c r="BQ797" s="1055">
        <v>-7694</v>
      </c>
      <c r="BR797" s="68">
        <f t="shared" ref="BR797:BR804" si="1951">BS797</f>
        <v>-13063</v>
      </c>
      <c r="BS797" s="1113">
        <v>-13063</v>
      </c>
      <c r="BT797" s="1055">
        <v>933</v>
      </c>
      <c r="BU797" s="1055">
        <v>-4743</v>
      </c>
      <c r="BV797" s="1055">
        <v>-10325</v>
      </c>
      <c r="BW797" s="68">
        <f t="shared" ref="BW797:BW804" si="1952">BX797</f>
        <v>-15399</v>
      </c>
      <c r="BX797" s="1113">
        <v>-15399</v>
      </c>
      <c r="BY797" s="1057">
        <v>-2243</v>
      </c>
      <c r="BZ797" s="68"/>
      <c r="CA797" s="68"/>
      <c r="CB797" s="68"/>
      <c r="CC797" s="1112"/>
      <c r="CD797" s="68"/>
      <c r="CE797" s="68"/>
      <c r="CF797" s="68"/>
      <c r="CG797" s="68"/>
      <c r="CH797" s="1112"/>
      <c r="CI797" s="1112"/>
      <c r="CJ797" s="1112"/>
      <c r="CK797" s="1112"/>
      <c r="CL797" s="155"/>
    </row>
    <row r="798" spans="1:90" hidden="1" outlineLevel="1" x14ac:dyDescent="0.3">
      <c r="A798" s="67" t="s">
        <v>155</v>
      </c>
      <c r="B798" s="146"/>
      <c r="C798" s="1113">
        <v>-177.29499999999999</v>
      </c>
      <c r="D798" s="1113">
        <v>204.65600000000001</v>
      </c>
      <c r="E798" s="1113">
        <v>-14.128</v>
      </c>
      <c r="F798" s="1113">
        <v>18.884</v>
      </c>
      <c r="G798" s="1055">
        <v>-2.1909999999999998</v>
      </c>
      <c r="H798" s="1055">
        <v>-46.834000000000003</v>
      </c>
      <c r="I798" s="1055">
        <v>-88.378</v>
      </c>
      <c r="J798" s="27">
        <f t="shared" si="1939"/>
        <v>-78.948999999999998</v>
      </c>
      <c r="K798" s="1113">
        <v>-78.948999999999998</v>
      </c>
      <c r="L798" s="1055">
        <v>41.51</v>
      </c>
      <c r="M798" s="1055">
        <v>34.722000000000001</v>
      </c>
      <c r="N798" s="1055">
        <v>32.177999999999997</v>
      </c>
      <c r="O798" s="27">
        <f t="shared" si="1940"/>
        <v>24.651</v>
      </c>
      <c r="P798" s="1113">
        <v>24.651</v>
      </c>
      <c r="Q798" s="1055">
        <v>-6</v>
      </c>
      <c r="R798" s="1055">
        <v>1</v>
      </c>
      <c r="S798" s="1055">
        <v>-20</v>
      </c>
      <c r="T798" s="27">
        <f t="shared" si="1941"/>
        <v>-95</v>
      </c>
      <c r="U798" s="1113">
        <v>-95</v>
      </c>
      <c r="V798" s="1055">
        <v>45</v>
      </c>
      <c r="W798" s="1055">
        <v>42</v>
      </c>
      <c r="X798" s="1055">
        <v>59</v>
      </c>
      <c r="Y798" s="27">
        <f t="shared" si="1942"/>
        <v>66</v>
      </c>
      <c r="Z798" s="1113">
        <v>66</v>
      </c>
      <c r="AA798" s="1055">
        <v>23</v>
      </c>
      <c r="AB798" s="1055">
        <v>-104</v>
      </c>
      <c r="AC798" s="1055">
        <v>-261</v>
      </c>
      <c r="AD798" s="68">
        <f t="shared" si="1943"/>
        <v>-375</v>
      </c>
      <c r="AE798" s="1113">
        <v>-375</v>
      </c>
      <c r="AF798" s="1055">
        <v>-27</v>
      </c>
      <c r="AG798" s="1055">
        <v>-61</v>
      </c>
      <c r="AH798" s="1055">
        <v>-61</v>
      </c>
      <c r="AI798" s="68">
        <f t="shared" si="1944"/>
        <v>0</v>
      </c>
      <c r="AJ798" s="1112"/>
      <c r="AK798" s="1055">
        <v>-2</v>
      </c>
      <c r="AL798" s="1055">
        <v>-295</v>
      </c>
      <c r="AM798" s="1055">
        <v>-620</v>
      </c>
      <c r="AN798" s="68">
        <f t="shared" si="1945"/>
        <v>-776</v>
      </c>
      <c r="AO798" s="1113">
        <v>-776</v>
      </c>
      <c r="AP798" s="1055">
        <v>153</v>
      </c>
      <c r="AQ798" s="1055">
        <v>378</v>
      </c>
      <c r="AR798" s="1055">
        <v>531</v>
      </c>
      <c r="AS798" s="68">
        <f t="shared" si="1946"/>
        <v>597</v>
      </c>
      <c r="AT798" s="1113">
        <v>597</v>
      </c>
      <c r="AU798" s="1055">
        <v>-151</v>
      </c>
      <c r="AV798" s="1055">
        <v>-97</v>
      </c>
      <c r="AW798" s="1055">
        <v>-190</v>
      </c>
      <c r="AX798" s="68">
        <f t="shared" si="1947"/>
        <v>-524</v>
      </c>
      <c r="AY798" s="1113">
        <v>-524</v>
      </c>
      <c r="AZ798" s="1055">
        <v>-159</v>
      </c>
      <c r="BA798" s="1055">
        <v>-282</v>
      </c>
      <c r="BB798" s="1055">
        <v>-400</v>
      </c>
      <c r="BC798" s="68">
        <f t="shared" si="1948"/>
        <v>-774</v>
      </c>
      <c r="BD798" s="1113">
        <v>-774</v>
      </c>
      <c r="BE798" s="1055">
        <v>-560</v>
      </c>
      <c r="BF798" s="1055">
        <v>-1285</v>
      </c>
      <c r="BG798" s="1055">
        <v>-1848</v>
      </c>
      <c r="BH798" s="68">
        <f t="shared" si="1949"/>
        <v>-2554</v>
      </c>
      <c r="BI798" s="1113">
        <v>-2554</v>
      </c>
      <c r="BJ798" s="1055">
        <v>566</v>
      </c>
      <c r="BK798" s="1055">
        <v>861</v>
      </c>
      <c r="BL798" s="1055">
        <v>405</v>
      </c>
      <c r="BM798" s="68">
        <f t="shared" si="1950"/>
        <v>-98</v>
      </c>
      <c r="BN798" s="1113">
        <v>-98</v>
      </c>
      <c r="BO798" s="1055">
        <v>-577</v>
      </c>
      <c r="BP798" s="1055">
        <v>-1380</v>
      </c>
      <c r="BQ798" s="1055">
        <v>-2357</v>
      </c>
      <c r="BR798" s="68">
        <f t="shared" si="1951"/>
        <v>-4781</v>
      </c>
      <c r="BS798" s="1113">
        <v>-4781</v>
      </c>
      <c r="BT798" s="1055">
        <v>-1258</v>
      </c>
      <c r="BU798" s="1055">
        <v>-4880</v>
      </c>
      <c r="BV798" s="1055">
        <v>-9703</v>
      </c>
      <c r="BW798" s="68">
        <f t="shared" si="1952"/>
        <v>-11324</v>
      </c>
      <c r="BX798" s="1113">
        <v>-11324</v>
      </c>
      <c r="BY798" s="1057">
        <v>-4420</v>
      </c>
      <c r="BZ798" s="68"/>
      <c r="CA798" s="68"/>
      <c r="CB798" s="68"/>
      <c r="CC798" s="1112"/>
      <c r="CD798" s="68"/>
      <c r="CE798" s="68"/>
      <c r="CF798" s="68"/>
      <c r="CG798" s="68"/>
      <c r="CH798" s="1112"/>
      <c r="CI798" s="1112"/>
      <c r="CJ798" s="1112"/>
      <c r="CK798" s="1112"/>
      <c r="CL798" s="155"/>
    </row>
    <row r="799" spans="1:90" hidden="1" outlineLevel="1" x14ac:dyDescent="0.3">
      <c r="A799" s="67" t="s">
        <v>156</v>
      </c>
      <c r="B799" s="146"/>
      <c r="C799" s="1113">
        <v>21.527999999999999</v>
      </c>
      <c r="D799" s="1113">
        <v>1.58</v>
      </c>
      <c r="E799" s="1113">
        <v>8.5280000000000005</v>
      </c>
      <c r="F799" s="1113">
        <v>-14.803000000000001</v>
      </c>
      <c r="G799" s="1055">
        <v>-48.1</v>
      </c>
      <c r="H799" s="1055">
        <v>-3.9119999999999999</v>
      </c>
      <c r="I799" s="1055">
        <v>-16.786000000000001</v>
      </c>
      <c r="J799" s="27">
        <f t="shared" si="1939"/>
        <v>-20.29</v>
      </c>
      <c r="K799" s="1113">
        <v>-20.29</v>
      </c>
      <c r="L799" s="1055">
        <v>7.367</v>
      </c>
      <c r="M799" s="1055">
        <v>-4.9560000000000004</v>
      </c>
      <c r="N799" s="1055">
        <v>2.8980000000000001</v>
      </c>
      <c r="O799" s="27">
        <f t="shared" si="1940"/>
        <v>11.552</v>
      </c>
      <c r="P799" s="1113">
        <v>11.552</v>
      </c>
      <c r="Q799" s="1055">
        <v>-1</v>
      </c>
      <c r="R799" s="1055">
        <v>3</v>
      </c>
      <c r="S799" s="1055">
        <v>5</v>
      </c>
      <c r="T799" s="27">
        <f t="shared" si="1941"/>
        <v>4</v>
      </c>
      <c r="U799" s="1113">
        <v>4</v>
      </c>
      <c r="V799" s="1055">
        <v>-17</v>
      </c>
      <c r="W799" s="1055">
        <v>-13</v>
      </c>
      <c r="X799" s="1055">
        <v>-25</v>
      </c>
      <c r="Y799" s="27">
        <f t="shared" si="1942"/>
        <v>-16</v>
      </c>
      <c r="Z799" s="1113">
        <v>-16</v>
      </c>
      <c r="AA799" s="1055">
        <v>-18</v>
      </c>
      <c r="AB799" s="1055">
        <v>-17</v>
      </c>
      <c r="AC799" s="1055">
        <v>-28</v>
      </c>
      <c r="AD799" s="68">
        <f t="shared" si="1943"/>
        <v>-18</v>
      </c>
      <c r="AE799" s="1113">
        <v>-18</v>
      </c>
      <c r="AF799" s="1055">
        <v>-2</v>
      </c>
      <c r="AG799" s="1055">
        <v>-15</v>
      </c>
      <c r="AH799" s="1055">
        <v>-26</v>
      </c>
      <c r="AI799" s="68">
        <f t="shared" si="1944"/>
        <v>21</v>
      </c>
      <c r="AJ799" s="1113">
        <v>21</v>
      </c>
      <c r="AK799" s="1055">
        <v>-38</v>
      </c>
      <c r="AL799" s="1055">
        <v>-44</v>
      </c>
      <c r="AM799" s="1055">
        <v>-68</v>
      </c>
      <c r="AN799" s="68">
        <f t="shared" si="1945"/>
        <v>-55</v>
      </c>
      <c r="AO799" s="1113">
        <v>-55</v>
      </c>
      <c r="AP799" s="1055">
        <v>5</v>
      </c>
      <c r="AQ799" s="1055">
        <v>36</v>
      </c>
      <c r="AR799" s="1055">
        <v>55</v>
      </c>
      <c r="AS799" s="68">
        <f t="shared" si="1946"/>
        <v>77</v>
      </c>
      <c r="AT799" s="1113">
        <v>77</v>
      </c>
      <c r="AU799" s="1055">
        <v>-8</v>
      </c>
      <c r="AV799" s="1055">
        <v>34</v>
      </c>
      <c r="AW799" s="1055">
        <v>-409</v>
      </c>
      <c r="AX799" s="68">
        <f t="shared" si="1947"/>
        <v>-394</v>
      </c>
      <c r="AY799" s="1113">
        <v>-394</v>
      </c>
      <c r="AZ799" s="1055">
        <v>2</v>
      </c>
      <c r="BA799" s="1055">
        <v>18</v>
      </c>
      <c r="BB799" s="1055">
        <v>-1557</v>
      </c>
      <c r="BC799" s="68">
        <f t="shared" si="1948"/>
        <v>-1715</v>
      </c>
      <c r="BD799" s="1113">
        <v>-1715</v>
      </c>
      <c r="BE799" s="1055">
        <v>-1261</v>
      </c>
      <c r="BF799" s="1055">
        <v>-1554</v>
      </c>
      <c r="BG799" s="1055">
        <v>-1307</v>
      </c>
      <c r="BH799" s="68">
        <f t="shared" si="1949"/>
        <v>-1517</v>
      </c>
      <c r="BI799" s="1113">
        <v>-1517</v>
      </c>
      <c r="BJ799" s="1055">
        <v>-215</v>
      </c>
      <c r="BK799" s="1055">
        <v>-592</v>
      </c>
      <c r="BL799" s="1055">
        <v>-337</v>
      </c>
      <c r="BM799" s="68">
        <f t="shared" si="1950"/>
        <v>-1522</v>
      </c>
      <c r="BN799" s="1113">
        <v>-1522</v>
      </c>
      <c r="BO799" s="1055">
        <v>-726</v>
      </c>
      <c r="BP799" s="1055">
        <v>-12</v>
      </c>
      <c r="BQ799" s="1055">
        <v>-726</v>
      </c>
      <c r="BR799" s="68">
        <f t="shared" si="1951"/>
        <v>-395</v>
      </c>
      <c r="BS799" s="1113">
        <v>-395</v>
      </c>
      <c r="BT799" s="1055">
        <v>560</v>
      </c>
      <c r="BU799" s="1055">
        <v>946</v>
      </c>
      <c r="BV799" s="1055">
        <v>857</v>
      </c>
      <c r="BW799" s="68">
        <f t="shared" si="1952"/>
        <v>577</v>
      </c>
      <c r="BX799" s="1113">
        <v>577</v>
      </c>
      <c r="BY799" s="1057">
        <v>-983</v>
      </c>
      <c r="BZ799" s="68"/>
      <c r="CA799" s="68"/>
      <c r="CB799" s="68"/>
      <c r="CC799" s="1112"/>
      <c r="CD799" s="68"/>
      <c r="CE799" s="68"/>
      <c r="CF799" s="68"/>
      <c r="CG799" s="68"/>
      <c r="CH799" s="1112"/>
      <c r="CI799" s="1112"/>
      <c r="CJ799" s="1112"/>
      <c r="CK799" s="1112"/>
      <c r="CL799" s="155"/>
    </row>
    <row r="800" spans="1:90" hidden="1" outlineLevel="1" x14ac:dyDescent="0.3">
      <c r="A800" s="67" t="s">
        <v>157</v>
      </c>
      <c r="B800" s="146"/>
      <c r="C800" s="1113">
        <v>-2.1080000000000001</v>
      </c>
      <c r="D800" s="1113">
        <v>3.8570000000000002</v>
      </c>
      <c r="E800" s="1113">
        <v>4.3310000000000004</v>
      </c>
      <c r="F800" s="1113">
        <v>-70.694000000000003</v>
      </c>
      <c r="G800" s="1055">
        <v>-1.8819999999999999</v>
      </c>
      <c r="H800" s="1055">
        <v>0.49399999999999999</v>
      </c>
      <c r="I800" s="1055">
        <v>4.7839999999999998</v>
      </c>
      <c r="J800" s="27">
        <f t="shared" si="1939"/>
        <v>8.5670000000000002</v>
      </c>
      <c r="K800" s="1113">
        <v>8.5670000000000002</v>
      </c>
      <c r="L800" s="1055">
        <v>1.806</v>
      </c>
      <c r="M800" s="1055">
        <v>4.4450000000000003</v>
      </c>
      <c r="N800" s="68"/>
      <c r="O800" s="27">
        <f t="shared" si="1940"/>
        <v>0</v>
      </c>
      <c r="P800" s="1112"/>
      <c r="Q800" s="68"/>
      <c r="R800" s="68"/>
      <c r="S800" s="68"/>
      <c r="T800" s="27">
        <f t="shared" si="1941"/>
        <v>0</v>
      </c>
      <c r="U800" s="1112"/>
      <c r="V800" s="68"/>
      <c r="W800" s="68"/>
      <c r="X800" s="68"/>
      <c r="Y800" s="27">
        <f t="shared" si="1942"/>
        <v>0</v>
      </c>
      <c r="Z800" s="1112"/>
      <c r="AA800" s="68"/>
      <c r="AB800" s="68"/>
      <c r="AC800" s="68"/>
      <c r="AD800" s="68">
        <f t="shared" si="1943"/>
        <v>0</v>
      </c>
      <c r="AE800" s="1112"/>
      <c r="AF800" s="68"/>
      <c r="AG800" s="68"/>
      <c r="AH800" s="68"/>
      <c r="AI800" s="68">
        <f t="shared" si="1944"/>
        <v>0</v>
      </c>
      <c r="AJ800" s="1112"/>
      <c r="AK800" s="68"/>
      <c r="AL800" s="68"/>
      <c r="AM800" s="68"/>
      <c r="AN800" s="68">
        <f t="shared" si="1945"/>
        <v>0</v>
      </c>
      <c r="AO800" s="1112"/>
      <c r="AP800" s="68"/>
      <c r="AQ800" s="68"/>
      <c r="AR800" s="68"/>
      <c r="AS800" s="68">
        <f t="shared" si="1946"/>
        <v>0</v>
      </c>
      <c r="AT800" s="1112"/>
      <c r="AU800" s="68"/>
      <c r="AV800" s="68"/>
      <c r="AW800" s="68"/>
      <c r="AX800" s="68">
        <f t="shared" si="1947"/>
        <v>0</v>
      </c>
      <c r="AY800" s="1112"/>
      <c r="AZ800" s="68"/>
      <c r="BA800" s="68"/>
      <c r="BB800" s="68"/>
      <c r="BC800" s="68">
        <f t="shared" si="1948"/>
        <v>0</v>
      </c>
      <c r="BD800" s="1112"/>
      <c r="BE800" s="68"/>
      <c r="BF800" s="68"/>
      <c r="BG800" s="68"/>
      <c r="BH800" s="68">
        <f t="shared" si="1949"/>
        <v>0</v>
      </c>
      <c r="BI800" s="1112"/>
      <c r="BJ800" s="68"/>
      <c r="BK800" s="68"/>
      <c r="BL800" s="68"/>
      <c r="BM800" s="68">
        <f t="shared" si="1950"/>
        <v>0</v>
      </c>
      <c r="BN800" s="1112"/>
      <c r="BO800" s="68"/>
      <c r="BP800" s="68"/>
      <c r="BQ800" s="68"/>
      <c r="BR800" s="68">
        <f t="shared" si="1951"/>
        <v>0</v>
      </c>
      <c r="BS800" s="1112"/>
      <c r="BT800" s="68"/>
      <c r="BU800" s="68"/>
      <c r="BV800" s="68"/>
      <c r="BW800" s="68">
        <f t="shared" si="1952"/>
        <v>0</v>
      </c>
      <c r="BX800" s="1112"/>
      <c r="BY800" s="588"/>
      <c r="BZ800" s="68"/>
      <c r="CA800" s="68"/>
      <c r="CB800" s="68"/>
      <c r="CC800" s="1112"/>
      <c r="CD800" s="68"/>
      <c r="CE800" s="68"/>
      <c r="CF800" s="68"/>
      <c r="CG800" s="68"/>
      <c r="CH800" s="1112"/>
      <c r="CI800" s="1112"/>
      <c r="CJ800" s="1112"/>
      <c r="CK800" s="1112"/>
      <c r="CL800" s="155"/>
    </row>
    <row r="801" spans="1:90" hidden="1" outlineLevel="1" x14ac:dyDescent="0.3">
      <c r="A801" s="67" t="s">
        <v>158</v>
      </c>
      <c r="B801" s="146"/>
      <c r="C801" s="1112"/>
      <c r="D801" s="1112"/>
      <c r="E801" s="1112"/>
      <c r="F801" s="1112"/>
      <c r="G801" s="68"/>
      <c r="H801" s="68"/>
      <c r="I801" s="68"/>
      <c r="J801" s="27">
        <f t="shared" si="1939"/>
        <v>0</v>
      </c>
      <c r="K801" s="1112"/>
      <c r="L801" s="68"/>
      <c r="M801" s="68"/>
      <c r="N801" s="68"/>
      <c r="O801" s="27">
        <f t="shared" si="1940"/>
        <v>0</v>
      </c>
      <c r="P801" s="1112"/>
      <c r="Q801" s="68"/>
      <c r="R801" s="68"/>
      <c r="S801" s="68"/>
      <c r="T801" s="27">
        <f t="shared" si="1941"/>
        <v>0</v>
      </c>
      <c r="U801" s="1112"/>
      <c r="V801" s="68"/>
      <c r="W801" s="68"/>
      <c r="X801" s="68"/>
      <c r="Y801" s="27">
        <f t="shared" si="1942"/>
        <v>0</v>
      </c>
      <c r="Z801" s="1112"/>
      <c r="AA801" s="68"/>
      <c r="AB801" s="68"/>
      <c r="AC801" s="68"/>
      <c r="AD801" s="68">
        <f t="shared" si="1943"/>
        <v>0</v>
      </c>
      <c r="AE801" s="1112"/>
      <c r="AF801" s="68"/>
      <c r="AG801" s="68"/>
      <c r="AH801" s="68"/>
      <c r="AI801" s="68">
        <f t="shared" si="1944"/>
        <v>0</v>
      </c>
      <c r="AJ801" s="1112"/>
      <c r="AK801" s="68"/>
      <c r="AL801" s="68"/>
      <c r="AM801" s="68"/>
      <c r="AN801" s="68">
        <f t="shared" si="1945"/>
        <v>0</v>
      </c>
      <c r="AO801" s="1112"/>
      <c r="AP801" s="68"/>
      <c r="AQ801" s="68"/>
      <c r="AR801" s="68"/>
      <c r="AS801" s="68">
        <f t="shared" si="1946"/>
        <v>0</v>
      </c>
      <c r="AT801" s="1112"/>
      <c r="AU801" s="68"/>
      <c r="AV801" s="68"/>
      <c r="AW801" s="68"/>
      <c r="AX801" s="68">
        <f t="shared" si="1947"/>
        <v>0</v>
      </c>
      <c r="AY801" s="1112"/>
      <c r="AZ801" s="68"/>
      <c r="BA801" s="68"/>
      <c r="BB801" s="68"/>
      <c r="BC801" s="68">
        <f t="shared" si="1948"/>
        <v>0</v>
      </c>
      <c r="BD801" s="1112"/>
      <c r="BE801" s="68"/>
      <c r="BF801" s="68"/>
      <c r="BG801" s="68"/>
      <c r="BH801" s="68">
        <f t="shared" si="1949"/>
        <v>0</v>
      </c>
      <c r="BI801" s="1112"/>
      <c r="BJ801" s="68"/>
      <c r="BK801" s="68"/>
      <c r="BL801" s="68"/>
      <c r="BM801" s="68">
        <f t="shared" si="1950"/>
        <v>0</v>
      </c>
      <c r="BN801" s="1112"/>
      <c r="BO801" s="68"/>
      <c r="BP801" s="68"/>
      <c r="BQ801" s="68"/>
      <c r="BR801" s="68">
        <f t="shared" si="1951"/>
        <v>0</v>
      </c>
      <c r="BS801" s="1112"/>
      <c r="BT801" s="68"/>
      <c r="BU801" s="68"/>
      <c r="BV801" s="68"/>
      <c r="BW801" s="68">
        <f t="shared" si="1952"/>
        <v>0</v>
      </c>
      <c r="BX801" s="1112"/>
      <c r="BY801" s="588"/>
      <c r="BZ801" s="68"/>
      <c r="CA801" s="68"/>
      <c r="CB801" s="68"/>
      <c r="CC801" s="1112"/>
      <c r="CD801" s="68"/>
      <c r="CE801" s="68"/>
      <c r="CF801" s="68"/>
      <c r="CG801" s="68"/>
      <c r="CH801" s="1112"/>
      <c r="CI801" s="1112"/>
      <c r="CJ801" s="1112"/>
      <c r="CK801" s="1112"/>
      <c r="CL801" s="155"/>
    </row>
    <row r="802" spans="1:90" hidden="1" outlineLevel="1" x14ac:dyDescent="0.3">
      <c r="A802" s="67" t="s">
        <v>159</v>
      </c>
      <c r="B802" s="146"/>
      <c r="C802" s="1113">
        <v>-283.20699999999999</v>
      </c>
      <c r="D802" s="1113">
        <v>119.366</v>
      </c>
      <c r="E802" s="1113">
        <v>-69.786000000000001</v>
      </c>
      <c r="F802" s="1113">
        <v>35.707999999999998</v>
      </c>
      <c r="G802" s="1055">
        <v>33.515999999999998</v>
      </c>
      <c r="H802" s="1055">
        <v>65.646000000000001</v>
      </c>
      <c r="I802" s="1055">
        <v>49.098999999999997</v>
      </c>
      <c r="J802" s="27">
        <f t="shared" si="1939"/>
        <v>10.885</v>
      </c>
      <c r="K802" s="1113">
        <v>10.885</v>
      </c>
      <c r="L802" s="1055">
        <v>-53.100999999999999</v>
      </c>
      <c r="M802" s="1055">
        <v>-36.451999999999998</v>
      </c>
      <c r="N802" s="1055">
        <v>-38.375999999999998</v>
      </c>
      <c r="O802" s="27">
        <f t="shared" si="1940"/>
        <v>-20.382000000000001</v>
      </c>
      <c r="P802" s="1113">
        <v>-20.382000000000001</v>
      </c>
      <c r="Q802" s="1055">
        <v>-15</v>
      </c>
      <c r="R802" s="1055">
        <v>-64</v>
      </c>
      <c r="S802" s="1055">
        <v>10</v>
      </c>
      <c r="T802" s="27">
        <f t="shared" si="1941"/>
        <v>-27</v>
      </c>
      <c r="U802" s="1113">
        <v>-27</v>
      </c>
      <c r="V802" s="1055">
        <v>-67</v>
      </c>
      <c r="W802" s="1055">
        <v>-13</v>
      </c>
      <c r="X802" s="1055">
        <v>7</v>
      </c>
      <c r="Y802" s="27">
        <f t="shared" si="1942"/>
        <v>-11</v>
      </c>
      <c r="Z802" s="1113">
        <v>-11</v>
      </c>
      <c r="AA802" s="1055">
        <v>32</v>
      </c>
      <c r="AB802" s="1055">
        <v>131</v>
      </c>
      <c r="AC802" s="1055">
        <v>218</v>
      </c>
      <c r="AD802" s="68">
        <f t="shared" si="1943"/>
        <v>184</v>
      </c>
      <c r="AE802" s="1113">
        <v>184</v>
      </c>
      <c r="AF802" s="1055">
        <v>-133</v>
      </c>
      <c r="AG802" s="1055">
        <v>-63</v>
      </c>
      <c r="AH802" s="1055">
        <v>27</v>
      </c>
      <c r="AI802" s="68">
        <f t="shared" si="1944"/>
        <v>90</v>
      </c>
      <c r="AJ802" s="1113">
        <v>90</v>
      </c>
      <c r="AK802" s="1055">
        <v>22</v>
      </c>
      <c r="AL802" s="1055">
        <v>172</v>
      </c>
      <c r="AM802" s="1055">
        <v>224</v>
      </c>
      <c r="AN802" s="68">
        <f t="shared" si="1945"/>
        <v>-135</v>
      </c>
      <c r="AO802" s="1113">
        <v>-135</v>
      </c>
      <c r="AP802" s="1055">
        <v>-123</v>
      </c>
      <c r="AQ802" s="1055">
        <v>-45</v>
      </c>
      <c r="AR802" s="1055">
        <v>91</v>
      </c>
      <c r="AS802" s="68">
        <f t="shared" si="1946"/>
        <v>194</v>
      </c>
      <c r="AT802" s="1113">
        <v>194</v>
      </c>
      <c r="AU802" s="1055">
        <v>71</v>
      </c>
      <c r="AV802" s="1055">
        <v>63</v>
      </c>
      <c r="AW802" s="1055">
        <v>289</v>
      </c>
      <c r="AX802" s="68">
        <f t="shared" si="1947"/>
        <v>363</v>
      </c>
      <c r="AY802" s="1113">
        <v>363</v>
      </c>
      <c r="AZ802" s="1055">
        <v>70</v>
      </c>
      <c r="BA802" s="1055">
        <v>279</v>
      </c>
      <c r="BB802" s="1055">
        <v>474</v>
      </c>
      <c r="BC802" s="68">
        <f t="shared" si="1948"/>
        <v>568</v>
      </c>
      <c r="BD802" s="1113">
        <v>568</v>
      </c>
      <c r="BE802" s="1055">
        <v>255</v>
      </c>
      <c r="BF802" s="1055">
        <v>559</v>
      </c>
      <c r="BG802" s="1055">
        <v>-358</v>
      </c>
      <c r="BH802" s="68">
        <f t="shared" si="1949"/>
        <v>-551</v>
      </c>
      <c r="BI802" s="1113">
        <v>-551</v>
      </c>
      <c r="BJ802" s="1055">
        <v>11</v>
      </c>
      <c r="BK802" s="1055">
        <v>789</v>
      </c>
      <c r="BL802" s="1055">
        <v>1250</v>
      </c>
      <c r="BM802" s="68">
        <f t="shared" si="1950"/>
        <v>1531</v>
      </c>
      <c r="BN802" s="1113">
        <v>1531</v>
      </c>
      <c r="BO802" s="1055">
        <v>-22</v>
      </c>
      <c r="BP802" s="1055">
        <v>801</v>
      </c>
      <c r="BQ802" s="1055">
        <v>2490</v>
      </c>
      <c r="BR802" s="68">
        <f t="shared" si="1951"/>
        <v>3357</v>
      </c>
      <c r="BS802" s="1113">
        <v>3357</v>
      </c>
      <c r="BT802" s="1055">
        <v>941</v>
      </c>
      <c r="BU802" s="1055">
        <v>2255</v>
      </c>
      <c r="BV802" s="1055">
        <v>2032</v>
      </c>
      <c r="BW802" s="68">
        <f t="shared" si="1952"/>
        <v>3096</v>
      </c>
      <c r="BX802" s="1113">
        <v>3096</v>
      </c>
      <c r="BY802" s="1057">
        <v>2210</v>
      </c>
      <c r="BZ802" s="68"/>
      <c r="CA802" s="68"/>
      <c r="CB802" s="68"/>
      <c r="CC802" s="1112"/>
      <c r="CD802" s="68"/>
      <c r="CE802" s="68"/>
      <c r="CF802" s="68"/>
      <c r="CG802" s="68"/>
      <c r="CH802" s="1112"/>
      <c r="CI802" s="1112"/>
      <c r="CJ802" s="1112"/>
      <c r="CK802" s="1112"/>
      <c r="CL802" s="155"/>
    </row>
    <row r="803" spans="1:90" hidden="1" outlineLevel="1" x14ac:dyDescent="0.3">
      <c r="A803" s="67" t="s">
        <v>160</v>
      </c>
      <c r="B803" s="146"/>
      <c r="C803" s="1113">
        <v>58.875999999999998</v>
      </c>
      <c r="D803" s="1113">
        <v>-136.303</v>
      </c>
      <c r="E803" s="1113">
        <v>196.41300000000001</v>
      </c>
      <c r="F803" s="1113">
        <v>6.8179999999999996</v>
      </c>
      <c r="G803" s="1055">
        <v>-66.084999999999994</v>
      </c>
      <c r="H803" s="1055">
        <v>-100.624</v>
      </c>
      <c r="I803" s="1055">
        <v>-180.85400000000001</v>
      </c>
      <c r="J803" s="27">
        <f t="shared" si="1939"/>
        <v>86.405000000000001</v>
      </c>
      <c r="K803" s="1113">
        <v>86.405000000000001</v>
      </c>
      <c r="L803" s="1055">
        <v>-93.245000000000005</v>
      </c>
      <c r="M803" s="1055">
        <v>-115.52200000000001</v>
      </c>
      <c r="N803" s="1055">
        <v>34.295999999999999</v>
      </c>
      <c r="O803" s="27">
        <f t="shared" si="1940"/>
        <v>5.3520000000000003</v>
      </c>
      <c r="P803" s="1113">
        <v>5.3520000000000003</v>
      </c>
      <c r="Q803" s="1055">
        <v>-29</v>
      </c>
      <c r="R803" s="1055">
        <v>-12</v>
      </c>
      <c r="S803" s="1055">
        <v>-23</v>
      </c>
      <c r="T803" s="27">
        <f t="shared" si="1941"/>
        <v>5</v>
      </c>
      <c r="U803" s="1113">
        <v>5</v>
      </c>
      <c r="V803" s="1055">
        <v>58</v>
      </c>
      <c r="W803" s="1055">
        <v>60</v>
      </c>
      <c r="X803" s="1055">
        <v>-41</v>
      </c>
      <c r="Y803" s="27">
        <f t="shared" si="1942"/>
        <v>39</v>
      </c>
      <c r="Z803" s="1113">
        <v>39</v>
      </c>
      <c r="AA803" s="1055">
        <v>-7</v>
      </c>
      <c r="AB803" s="1055">
        <v>-85</v>
      </c>
      <c r="AC803" s="1055">
        <v>-136</v>
      </c>
      <c r="AD803" s="68">
        <f t="shared" si="1943"/>
        <v>-135</v>
      </c>
      <c r="AE803" s="1113">
        <v>-135</v>
      </c>
      <c r="AF803" s="1055">
        <v>-87</v>
      </c>
      <c r="AG803" s="1055">
        <v>9</v>
      </c>
      <c r="AH803" s="1055">
        <v>-15</v>
      </c>
      <c r="AI803" s="68">
        <f t="shared" si="1944"/>
        <v>33</v>
      </c>
      <c r="AJ803" s="1113">
        <v>33</v>
      </c>
      <c r="AK803" s="1055">
        <v>-81</v>
      </c>
      <c r="AL803" s="1055">
        <v>96</v>
      </c>
      <c r="AM803" s="1055">
        <v>147</v>
      </c>
      <c r="AN803" s="68">
        <f t="shared" si="1945"/>
        <v>256</v>
      </c>
      <c r="AO803" s="1113">
        <v>256</v>
      </c>
      <c r="AP803" s="1055">
        <v>-129</v>
      </c>
      <c r="AQ803" s="1055">
        <v>-79</v>
      </c>
      <c r="AR803" s="1055">
        <v>-103</v>
      </c>
      <c r="AS803" s="68">
        <f t="shared" si="1946"/>
        <v>54</v>
      </c>
      <c r="AT803" s="1113">
        <v>54</v>
      </c>
      <c r="AU803" s="1055">
        <v>-32</v>
      </c>
      <c r="AV803" s="1055">
        <v>81</v>
      </c>
      <c r="AW803" s="1055">
        <v>111</v>
      </c>
      <c r="AX803" s="68">
        <f t="shared" si="1947"/>
        <v>239</v>
      </c>
      <c r="AY803" s="1113">
        <v>239</v>
      </c>
      <c r="AZ803" s="1055">
        <v>-1</v>
      </c>
      <c r="BA803" s="1055">
        <v>132</v>
      </c>
      <c r="BB803" s="1055">
        <v>70</v>
      </c>
      <c r="BC803" s="68">
        <f t="shared" si="1948"/>
        <v>581</v>
      </c>
      <c r="BD803" s="1113">
        <v>581</v>
      </c>
      <c r="BE803" s="1055">
        <v>634</v>
      </c>
      <c r="BF803" s="1055">
        <v>1267</v>
      </c>
      <c r="BG803" s="1055">
        <v>1175</v>
      </c>
      <c r="BH803" s="68">
        <f t="shared" si="1949"/>
        <v>1341</v>
      </c>
      <c r="BI803" s="1113">
        <v>1341</v>
      </c>
      <c r="BJ803" s="1055">
        <v>689</v>
      </c>
      <c r="BK803" s="1055">
        <v>2675</v>
      </c>
      <c r="BL803" s="1055">
        <v>953</v>
      </c>
      <c r="BM803" s="68">
        <f t="shared" si="1950"/>
        <v>2025</v>
      </c>
      <c r="BN803" s="1113">
        <v>2025</v>
      </c>
      <c r="BO803" s="1055">
        <v>4202</v>
      </c>
      <c r="BP803" s="1055">
        <v>3314</v>
      </c>
      <c r="BQ803" s="1055">
        <v>3918</v>
      </c>
      <c r="BR803" s="68">
        <f t="shared" si="1951"/>
        <v>4278</v>
      </c>
      <c r="BS803" s="1113">
        <v>4278</v>
      </c>
      <c r="BT803" s="1055">
        <v>7128</v>
      </c>
      <c r="BU803" s="1055">
        <v>3075</v>
      </c>
      <c r="BV803" s="1055">
        <v>4204</v>
      </c>
      <c r="BW803" s="68">
        <f t="shared" si="1952"/>
        <v>5257</v>
      </c>
      <c r="BX803" s="1113">
        <v>5257</v>
      </c>
      <c r="BY803" s="1057">
        <v>7763</v>
      </c>
      <c r="BZ803" s="68"/>
      <c r="CA803" s="68"/>
      <c r="CB803" s="68"/>
      <c r="CC803" s="1112"/>
      <c r="CD803" s="68"/>
      <c r="CE803" s="68"/>
      <c r="CF803" s="68"/>
      <c r="CG803" s="68"/>
      <c r="CH803" s="1112"/>
      <c r="CI803" s="1112"/>
      <c r="CJ803" s="1112"/>
      <c r="CK803" s="1112"/>
      <c r="CL803" s="155"/>
    </row>
    <row r="804" spans="1:90" hidden="1" outlineLevel="1" x14ac:dyDescent="0.3">
      <c r="A804" s="67" t="s">
        <v>161</v>
      </c>
      <c r="B804" s="146"/>
      <c r="C804" s="1112"/>
      <c r="D804" s="1112"/>
      <c r="E804" s="1112"/>
      <c r="F804" s="1112"/>
      <c r="G804" s="68"/>
      <c r="H804" s="1055">
        <v>0</v>
      </c>
      <c r="I804" s="1055">
        <v>0</v>
      </c>
      <c r="J804" s="27">
        <f t="shared" si="1939"/>
        <v>0</v>
      </c>
      <c r="K804" s="1113">
        <v>0</v>
      </c>
      <c r="L804" s="68"/>
      <c r="M804" s="1055">
        <v>0</v>
      </c>
      <c r="N804" s="1055">
        <v>-177.32400000000001</v>
      </c>
      <c r="O804" s="27">
        <f t="shared" si="1940"/>
        <v>-37.787999999999997</v>
      </c>
      <c r="P804" s="1113">
        <v>-37.787999999999997</v>
      </c>
      <c r="Q804" s="1055">
        <v>-69</v>
      </c>
      <c r="R804" s="1055">
        <v>-130</v>
      </c>
      <c r="S804" s="1055">
        <v>-161</v>
      </c>
      <c r="T804" s="27">
        <f t="shared" si="1941"/>
        <v>-41</v>
      </c>
      <c r="U804" s="1113">
        <v>-41</v>
      </c>
      <c r="V804" s="1055">
        <v>-57</v>
      </c>
      <c r="W804" s="1055">
        <v>-95</v>
      </c>
      <c r="X804" s="1055">
        <v>-145</v>
      </c>
      <c r="Y804" s="27">
        <f t="shared" si="1942"/>
        <v>-97</v>
      </c>
      <c r="Z804" s="1113">
        <v>-97</v>
      </c>
      <c r="AA804" s="1055">
        <v>-31</v>
      </c>
      <c r="AB804" s="1055">
        <v>-35</v>
      </c>
      <c r="AC804" s="1055">
        <v>-29</v>
      </c>
      <c r="AD804" s="68">
        <f t="shared" si="1943"/>
        <v>-14</v>
      </c>
      <c r="AE804" s="1113">
        <v>-14</v>
      </c>
      <c r="AF804" s="1055">
        <v>8</v>
      </c>
      <c r="AG804" s="1055">
        <v>16</v>
      </c>
      <c r="AH804" s="1055">
        <v>31</v>
      </c>
      <c r="AI804" s="68">
        <f t="shared" si="1944"/>
        <v>481</v>
      </c>
      <c r="AJ804" s="1113">
        <v>481</v>
      </c>
      <c r="AK804" s="1055">
        <v>15</v>
      </c>
      <c r="AL804" s="1055">
        <v>1</v>
      </c>
      <c r="AM804" s="1055">
        <v>-49</v>
      </c>
      <c r="AN804" s="68">
        <f t="shared" si="1945"/>
        <v>2</v>
      </c>
      <c r="AO804" s="1113">
        <v>2</v>
      </c>
      <c r="AP804" s="1062">
        <v>13</v>
      </c>
      <c r="AQ804" s="1055">
        <v>-2</v>
      </c>
      <c r="AR804" s="1055">
        <v>10</v>
      </c>
      <c r="AS804" s="68">
        <f t="shared" si="1946"/>
        <v>28</v>
      </c>
      <c r="AT804" s="1113">
        <v>28</v>
      </c>
      <c r="AU804" s="1062">
        <v>10</v>
      </c>
      <c r="AV804" s="1055">
        <v>21</v>
      </c>
      <c r="AW804" s="1055">
        <v>74</v>
      </c>
      <c r="AX804" s="68">
        <f t="shared" si="1947"/>
        <v>163</v>
      </c>
      <c r="AY804" s="1113">
        <v>163</v>
      </c>
      <c r="AZ804" s="1062">
        <v>47</v>
      </c>
      <c r="BA804" s="1055">
        <v>98</v>
      </c>
      <c r="BB804" s="1055">
        <v>253</v>
      </c>
      <c r="BC804" s="68">
        <f t="shared" si="1948"/>
        <v>192</v>
      </c>
      <c r="BD804" s="1113">
        <v>192</v>
      </c>
      <c r="BE804" s="1062">
        <v>70</v>
      </c>
      <c r="BF804" s="1055">
        <v>60</v>
      </c>
      <c r="BG804" s="1055">
        <v>102</v>
      </c>
      <c r="BH804" s="68">
        <f t="shared" si="1949"/>
        <v>252</v>
      </c>
      <c r="BI804" s="1113">
        <v>252</v>
      </c>
      <c r="BJ804" s="1062">
        <v>105</v>
      </c>
      <c r="BK804" s="1055">
        <v>236</v>
      </c>
      <c r="BL804" s="1055">
        <v>208</v>
      </c>
      <c r="BM804" s="68">
        <f t="shared" si="1950"/>
        <v>514</v>
      </c>
      <c r="BN804" s="1113">
        <v>514</v>
      </c>
      <c r="BO804" s="1062">
        <v>323</v>
      </c>
      <c r="BP804" s="1055">
        <v>584</v>
      </c>
      <c r="BQ804" s="1055">
        <v>849</v>
      </c>
      <c r="BR804" s="68">
        <f t="shared" si="1951"/>
        <v>1221</v>
      </c>
      <c r="BS804" s="1113">
        <v>1221</v>
      </c>
      <c r="BT804" s="1062">
        <v>350</v>
      </c>
      <c r="BU804" s="1055">
        <v>979</v>
      </c>
      <c r="BV804" s="1055">
        <v>1311</v>
      </c>
      <c r="BW804" s="68">
        <f t="shared" si="1952"/>
        <v>1844</v>
      </c>
      <c r="BX804" s="1113">
        <v>1844</v>
      </c>
      <c r="BY804" s="1063">
        <v>1217</v>
      </c>
      <c r="BZ804" s="68"/>
      <c r="CA804" s="68"/>
      <c r="CB804" s="68"/>
      <c r="CC804" s="1112"/>
      <c r="CD804" s="68"/>
      <c r="CE804" s="68"/>
      <c r="CF804" s="68"/>
      <c r="CG804" s="68"/>
      <c r="CH804" s="1112"/>
      <c r="CI804" s="1112"/>
      <c r="CJ804" s="1112"/>
      <c r="CK804" s="1112"/>
      <c r="CL804" s="155"/>
    </row>
    <row r="805" spans="1:90" hidden="1" outlineLevel="1" x14ac:dyDescent="0.3">
      <c r="A805" s="59" t="s">
        <v>162</v>
      </c>
      <c r="B805" s="607"/>
      <c r="C805" s="1125">
        <f t="shared" ref="C805:AH805" si="1953">SUM(C796:C804)</f>
        <v>249.3600000000001</v>
      </c>
      <c r="D805" s="1125">
        <f t="shared" si="1953"/>
        <v>487.80700000000002</v>
      </c>
      <c r="E805" s="1125">
        <f t="shared" si="1953"/>
        <v>675.79700000000003</v>
      </c>
      <c r="F805" s="1125">
        <f t="shared" si="1953"/>
        <v>909.15600000000018</v>
      </c>
      <c r="G805" s="60">
        <f t="shared" si="1953"/>
        <v>-9.2080000000000126</v>
      </c>
      <c r="H805" s="60">
        <f t="shared" si="1953"/>
        <v>191.67799999999997</v>
      </c>
      <c r="I805" s="60">
        <f t="shared" si="1953"/>
        <v>373.16299999999978</v>
      </c>
      <c r="J805" s="60">
        <f t="shared" si="1953"/>
        <v>824.17199999999991</v>
      </c>
      <c r="K805" s="1125">
        <f t="shared" si="1953"/>
        <v>824.17199999999991</v>
      </c>
      <c r="L805" s="60">
        <f t="shared" si="1953"/>
        <v>175.64999999999998</v>
      </c>
      <c r="M805" s="60">
        <f t="shared" si="1953"/>
        <v>272.11900000000003</v>
      </c>
      <c r="N805" s="60">
        <f t="shared" si="1953"/>
        <v>434.43399999999991</v>
      </c>
      <c r="O805" s="60">
        <f t="shared" si="1953"/>
        <v>835.14599999999984</v>
      </c>
      <c r="P805" s="1125">
        <f t="shared" si="1953"/>
        <v>835.14599999999984</v>
      </c>
      <c r="Q805" s="60">
        <f t="shared" si="1953"/>
        <v>151</v>
      </c>
      <c r="R805" s="60">
        <f t="shared" si="1953"/>
        <v>247</v>
      </c>
      <c r="S805" s="60">
        <f t="shared" si="1953"/>
        <v>463</v>
      </c>
      <c r="T805" s="60">
        <f t="shared" si="1953"/>
        <v>906</v>
      </c>
      <c r="U805" s="1125">
        <f t="shared" si="1953"/>
        <v>906</v>
      </c>
      <c r="V805" s="60">
        <f t="shared" si="1953"/>
        <v>246</v>
      </c>
      <c r="W805" s="60">
        <f t="shared" si="1953"/>
        <v>409</v>
      </c>
      <c r="X805" s="60">
        <f t="shared" si="1953"/>
        <v>664</v>
      </c>
      <c r="Y805" s="60">
        <f t="shared" si="1953"/>
        <v>1175</v>
      </c>
      <c r="Z805" s="1125">
        <f t="shared" si="1953"/>
        <v>1175</v>
      </c>
      <c r="AA805" s="60">
        <f t="shared" si="1953"/>
        <v>319</v>
      </c>
      <c r="AB805" s="60">
        <f t="shared" si="1953"/>
        <v>519</v>
      </c>
      <c r="AC805" s="61">
        <f t="shared" si="1953"/>
        <v>951</v>
      </c>
      <c r="AD805" s="61">
        <f t="shared" si="1953"/>
        <v>1672</v>
      </c>
      <c r="AE805" s="1124">
        <f t="shared" si="1953"/>
        <v>1672</v>
      </c>
      <c r="AF805" s="61">
        <f t="shared" si="1953"/>
        <v>282</v>
      </c>
      <c r="AG805" s="60">
        <f t="shared" si="1953"/>
        <v>987</v>
      </c>
      <c r="AH805" s="60">
        <f t="shared" si="1953"/>
        <v>2144</v>
      </c>
      <c r="AI805" s="61">
        <f t="shared" ref="AI805:AV805" si="1954">SUM(AI796:AI804)</f>
        <v>3502</v>
      </c>
      <c r="AJ805" s="1124">
        <f t="shared" si="1954"/>
        <v>3502</v>
      </c>
      <c r="AK805" s="60">
        <f t="shared" si="1954"/>
        <v>1445</v>
      </c>
      <c r="AL805" s="60">
        <f t="shared" si="1954"/>
        <v>2358</v>
      </c>
      <c r="AM805" s="60">
        <f t="shared" si="1954"/>
        <v>2845</v>
      </c>
      <c r="AN805" s="61">
        <f t="shared" si="1954"/>
        <v>3743</v>
      </c>
      <c r="AO805" s="1124">
        <f t="shared" si="1954"/>
        <v>3743</v>
      </c>
      <c r="AP805" s="60">
        <f t="shared" si="1954"/>
        <v>720</v>
      </c>
      <c r="AQ805" s="61">
        <f t="shared" si="1954"/>
        <v>1656</v>
      </c>
      <c r="AR805" s="60">
        <f t="shared" si="1954"/>
        <v>3296</v>
      </c>
      <c r="AS805" s="61">
        <f t="shared" si="1954"/>
        <v>4761</v>
      </c>
      <c r="AT805" s="1124">
        <f t="shared" si="1954"/>
        <v>4761</v>
      </c>
      <c r="AU805" s="60">
        <f t="shared" si="1954"/>
        <v>909</v>
      </c>
      <c r="AV805" s="61">
        <f t="shared" si="1954"/>
        <v>2476</v>
      </c>
      <c r="AW805" s="60">
        <f t="shared" ref="AW805:BB805" si="1955">SUM(AW796:AW804)</f>
        <v>3755</v>
      </c>
      <c r="AX805" s="61">
        <f t="shared" si="1955"/>
        <v>5822</v>
      </c>
      <c r="AY805" s="1124">
        <f t="shared" si="1955"/>
        <v>5822</v>
      </c>
      <c r="AZ805" s="60">
        <f t="shared" si="1955"/>
        <v>1874</v>
      </c>
      <c r="BA805" s="61">
        <f t="shared" si="1955"/>
        <v>4556</v>
      </c>
      <c r="BB805" s="60">
        <f t="shared" si="1955"/>
        <v>6075</v>
      </c>
      <c r="BC805" s="61">
        <f t="shared" ref="BC805:BD805" si="1956">SUM(BC796:BC804)</f>
        <v>9108</v>
      </c>
      <c r="BD805" s="1124">
        <f t="shared" si="1956"/>
        <v>9108</v>
      </c>
      <c r="BE805" s="60">
        <f t="shared" ref="BE805:BI805" si="1957">SUM(BE796:BE804)</f>
        <v>1731</v>
      </c>
      <c r="BF805" s="61">
        <f t="shared" si="1957"/>
        <v>3001</v>
      </c>
      <c r="BG805" s="60">
        <f t="shared" si="1957"/>
        <v>3393</v>
      </c>
      <c r="BH805" s="61">
        <f t="shared" si="1957"/>
        <v>5641</v>
      </c>
      <c r="BI805" s="1124">
        <f t="shared" si="1957"/>
        <v>5641</v>
      </c>
      <c r="BJ805" s="60">
        <f t="shared" ref="BJ805:BO805" si="1958">SUM(BJ796:BJ804)</f>
        <v>2911</v>
      </c>
      <c r="BK805" s="61">
        <f t="shared" si="1958"/>
        <v>9259</v>
      </c>
      <c r="BL805" s="60">
        <f t="shared" si="1958"/>
        <v>16591</v>
      </c>
      <c r="BM805" s="61">
        <f t="shared" si="1958"/>
        <v>28090</v>
      </c>
      <c r="BN805" s="1124">
        <f t="shared" si="1958"/>
        <v>28090</v>
      </c>
      <c r="BO805" s="60">
        <f t="shared" si="1958"/>
        <v>15345</v>
      </c>
      <c r="BP805" s="61">
        <f t="shared" ref="BP805:BU805" si="1959">SUM(BP796:BP804)</f>
        <v>29833</v>
      </c>
      <c r="BQ805" s="60">
        <f t="shared" si="1959"/>
        <v>47460</v>
      </c>
      <c r="BR805" s="61">
        <f t="shared" si="1959"/>
        <v>64089</v>
      </c>
      <c r="BS805" s="1124">
        <f t="shared" si="1959"/>
        <v>64089</v>
      </c>
      <c r="BT805" s="60">
        <f t="shared" si="1959"/>
        <v>27414</v>
      </c>
      <c r="BU805" s="61">
        <f t="shared" si="1959"/>
        <v>42779</v>
      </c>
      <c r="BV805" s="60">
        <f>SUM(BV796:BV804)</f>
        <v>66530</v>
      </c>
      <c r="BW805" s="61">
        <f>SUM(BW796:BW804)</f>
        <v>102718</v>
      </c>
      <c r="BX805" s="1124">
        <f>SUM(BX796:BX804)</f>
        <v>102718</v>
      </c>
      <c r="BY805" s="895">
        <f>SUM(BY796:BY804)</f>
        <v>50344</v>
      </c>
      <c r="BZ805" s="61"/>
      <c r="CA805" s="61"/>
      <c r="CB805" s="61"/>
      <c r="CC805" s="1124"/>
      <c r="CD805" s="61"/>
      <c r="CE805" s="61"/>
      <c r="CF805" s="61"/>
      <c r="CG805" s="61"/>
      <c r="CH805" s="1124"/>
      <c r="CI805" s="1124"/>
      <c r="CJ805" s="1124"/>
      <c r="CK805" s="1124"/>
      <c r="CL805" s="155"/>
    </row>
    <row r="806" spans="1:90" hidden="1" outlineLevel="1" x14ac:dyDescent="0.3">
      <c r="A806" s="600"/>
      <c r="B806" s="279"/>
      <c r="C806" s="1127"/>
      <c r="D806" s="1127"/>
      <c r="E806" s="1127"/>
      <c r="F806" s="1127"/>
      <c r="G806" s="63"/>
      <c r="H806" s="63"/>
      <c r="I806" s="63"/>
      <c r="J806" s="63"/>
      <c r="K806" s="1127"/>
      <c r="L806" s="63"/>
      <c r="M806" s="63"/>
      <c r="N806" s="63"/>
      <c r="O806" s="63"/>
      <c r="P806" s="1127"/>
      <c r="Q806" s="63"/>
      <c r="R806" s="63"/>
      <c r="S806" s="63"/>
      <c r="T806" s="63"/>
      <c r="U806" s="1127"/>
      <c r="V806" s="63"/>
      <c r="W806" s="63"/>
      <c r="X806" s="63"/>
      <c r="Y806" s="63"/>
      <c r="Z806" s="1127"/>
      <c r="AA806" s="63"/>
      <c r="AB806" s="63"/>
      <c r="AC806" s="63"/>
      <c r="AD806" s="63"/>
      <c r="AE806" s="1127"/>
      <c r="AF806" s="63"/>
      <c r="AG806" s="63"/>
      <c r="AH806" s="63"/>
      <c r="AI806" s="63"/>
      <c r="AJ806" s="1127"/>
      <c r="AK806" s="63"/>
      <c r="AL806" s="63"/>
      <c r="AM806" s="63"/>
      <c r="AN806" s="63"/>
      <c r="AO806" s="1127"/>
      <c r="AP806" s="63"/>
      <c r="AQ806" s="63"/>
      <c r="AR806" s="63"/>
      <c r="AS806" s="63"/>
      <c r="AT806" s="1127"/>
      <c r="AU806" s="63"/>
      <c r="AV806" s="63"/>
      <c r="AW806" s="63"/>
      <c r="AX806" s="63"/>
      <c r="AY806" s="1127"/>
      <c r="AZ806" s="63"/>
      <c r="BA806" s="63"/>
      <c r="BB806" s="63"/>
      <c r="BC806" s="63"/>
      <c r="BD806" s="1127"/>
      <c r="BE806" s="63"/>
      <c r="BF806" s="63"/>
      <c r="BG806" s="63"/>
      <c r="BH806" s="63"/>
      <c r="BI806" s="1127"/>
      <c r="BJ806" s="63"/>
      <c r="BK806" s="63"/>
      <c r="BL806" s="63"/>
      <c r="BM806" s="63"/>
      <c r="BN806" s="1127"/>
      <c r="BO806" s="63"/>
      <c r="BP806" s="63"/>
      <c r="BQ806" s="63"/>
      <c r="BR806" s="63"/>
      <c r="BS806" s="1127"/>
      <c r="BT806" s="63"/>
      <c r="BU806" s="63"/>
      <c r="BV806" s="63"/>
      <c r="BW806" s="63"/>
      <c r="BX806" s="1127"/>
      <c r="BY806" s="587"/>
      <c r="BZ806" s="63"/>
      <c r="CA806" s="63"/>
      <c r="CB806" s="63"/>
      <c r="CC806" s="1127"/>
      <c r="CD806" s="63"/>
      <c r="CE806" s="63"/>
      <c r="CF806" s="63"/>
      <c r="CG806" s="63"/>
      <c r="CH806" s="1127"/>
      <c r="CI806" s="1127"/>
      <c r="CJ806" s="1127"/>
      <c r="CK806" s="1127"/>
      <c r="CL806" s="155"/>
    </row>
    <row r="807" spans="1:90" hidden="1" outlineLevel="1" x14ac:dyDescent="0.3">
      <c r="A807" s="62" t="s">
        <v>163</v>
      </c>
      <c r="B807" s="279"/>
      <c r="C807" s="1127"/>
      <c r="D807" s="1127"/>
      <c r="E807" s="1127"/>
      <c r="F807" s="1127"/>
      <c r="G807" s="63"/>
      <c r="H807" s="63"/>
      <c r="I807" s="63"/>
      <c r="J807" s="63"/>
      <c r="K807" s="1127"/>
      <c r="L807" s="63"/>
      <c r="M807" s="63"/>
      <c r="N807" s="63"/>
      <c r="O807" s="63"/>
      <c r="P807" s="1127"/>
      <c r="Q807" s="63"/>
      <c r="R807" s="63"/>
      <c r="S807" s="63"/>
      <c r="T807" s="63"/>
      <c r="U807" s="1127"/>
      <c r="V807" s="63"/>
      <c r="W807" s="63"/>
      <c r="X807" s="63"/>
      <c r="Y807" s="63"/>
      <c r="Z807" s="1127"/>
      <c r="AA807" s="63"/>
      <c r="AB807" s="63"/>
      <c r="AC807" s="63"/>
      <c r="AD807" s="63"/>
      <c r="AE807" s="1127"/>
      <c r="AF807" s="63"/>
      <c r="AG807" s="63"/>
      <c r="AH807" s="63"/>
      <c r="AI807" s="63"/>
      <c r="AJ807" s="1127"/>
      <c r="AK807" s="63"/>
      <c r="AL807" s="63"/>
      <c r="AM807" s="63"/>
      <c r="AN807" s="63"/>
      <c r="AO807" s="1127"/>
      <c r="AP807" s="63"/>
      <c r="AQ807" s="63"/>
      <c r="AR807" s="63"/>
      <c r="AS807" s="63"/>
      <c r="AT807" s="1127"/>
      <c r="AU807" s="63"/>
      <c r="AV807" s="63"/>
      <c r="AW807" s="63"/>
      <c r="AX807" s="63"/>
      <c r="AY807" s="1127"/>
      <c r="AZ807" s="63"/>
      <c r="BA807" s="63"/>
      <c r="BB807" s="63"/>
      <c r="BC807" s="63"/>
      <c r="BD807" s="1127"/>
      <c r="BE807" s="63"/>
      <c r="BF807" s="63"/>
      <c r="BG807" s="63"/>
      <c r="BH807" s="63"/>
      <c r="BI807" s="1127"/>
      <c r="BJ807" s="63"/>
      <c r="BK807" s="63"/>
      <c r="BL807" s="63"/>
      <c r="BM807" s="63"/>
      <c r="BN807" s="1127"/>
      <c r="BO807" s="63"/>
      <c r="BP807" s="63"/>
      <c r="BQ807" s="63"/>
      <c r="BR807" s="63"/>
      <c r="BS807" s="1127"/>
      <c r="BT807" s="63"/>
      <c r="BU807" s="63"/>
      <c r="BV807" s="63"/>
      <c r="BW807" s="63"/>
      <c r="BX807" s="1127"/>
      <c r="BY807" s="587"/>
      <c r="BZ807" s="63"/>
      <c r="CA807" s="63"/>
      <c r="CB807" s="63"/>
      <c r="CC807" s="1127"/>
      <c r="CD807" s="63"/>
      <c r="CE807" s="63"/>
      <c r="CF807" s="63"/>
      <c r="CG807" s="63"/>
      <c r="CH807" s="1127"/>
      <c r="CI807" s="1127"/>
      <c r="CJ807" s="1127"/>
      <c r="CK807" s="1127"/>
      <c r="CL807" s="155"/>
    </row>
    <row r="808" spans="1:90" hidden="1" outlineLevel="1" x14ac:dyDescent="0.3">
      <c r="A808" s="67" t="s">
        <v>164</v>
      </c>
      <c r="B808" s="146"/>
      <c r="C808" s="1113">
        <v>-999.95299999999997</v>
      </c>
      <c r="D808" s="1113">
        <v>-1193.9480000000001</v>
      </c>
      <c r="E808" s="1113">
        <v>-1719.7</v>
      </c>
      <c r="F808" s="1113">
        <v>-1964.8979999999999</v>
      </c>
      <c r="G808" s="1055">
        <v>-814.22199999999998</v>
      </c>
      <c r="H808" s="1055">
        <v>-1247.664</v>
      </c>
      <c r="I808" s="1055">
        <v>-1729.307</v>
      </c>
      <c r="J808" s="27">
        <f t="shared" ref="J808:J815" si="1960">K808</f>
        <v>-2378.4450000000002</v>
      </c>
      <c r="K808" s="1113">
        <v>-2378.4450000000002</v>
      </c>
      <c r="L808" s="1055">
        <v>-541.95000000000005</v>
      </c>
      <c r="M808" s="1055">
        <v>-936.21400000000006</v>
      </c>
      <c r="N808" s="1055">
        <v>-1420.471</v>
      </c>
      <c r="O808" s="27">
        <f t="shared" ref="O808:O815" si="1961">P808</f>
        <v>-3065.404</v>
      </c>
      <c r="P808" s="1113">
        <v>-3065.404</v>
      </c>
      <c r="Q808" s="1055">
        <v>-1001</v>
      </c>
      <c r="R808" s="1055">
        <v>-1683</v>
      </c>
      <c r="S808" s="1055">
        <v>-2126</v>
      </c>
      <c r="T808" s="27">
        <f t="shared" ref="T808:T815" si="1962">U808</f>
        <v>-2862</v>
      </c>
      <c r="U808" s="1113">
        <v>-2862</v>
      </c>
      <c r="V808" s="1055">
        <v>-1267</v>
      </c>
      <c r="W808" s="1055">
        <v>-1861</v>
      </c>
      <c r="X808" s="1055">
        <v>-2669</v>
      </c>
      <c r="Y808" s="27">
        <f t="shared" ref="Y808:Y815" si="1963">Z808</f>
        <v>-3477</v>
      </c>
      <c r="Z808" s="1113">
        <v>-3477</v>
      </c>
      <c r="AA808" s="1055">
        <v>-469</v>
      </c>
      <c r="AB808" s="1055">
        <v>-1415</v>
      </c>
      <c r="AC808" s="1055">
        <v>-2249</v>
      </c>
      <c r="AD808" s="68">
        <f t="shared" ref="AD808:AD815" si="1964">AE808</f>
        <v>-3134</v>
      </c>
      <c r="AE808" s="1113">
        <v>-3134</v>
      </c>
      <c r="AF808" s="1055">
        <v>-36</v>
      </c>
      <c r="AG808" s="1055">
        <v>-36</v>
      </c>
      <c r="AH808" s="1055">
        <v>-36</v>
      </c>
      <c r="AI808" s="68">
        <f t="shared" ref="AI808:AI815" si="1965">AJ808</f>
        <v>-36</v>
      </c>
      <c r="AJ808" s="1113">
        <v>-36</v>
      </c>
      <c r="AK808" s="1055">
        <v>-3705</v>
      </c>
      <c r="AL808" s="1055">
        <v>-7136</v>
      </c>
      <c r="AM808" s="1055">
        <v>-10112</v>
      </c>
      <c r="AN808" s="68">
        <f t="shared" ref="AN808:AN817" si="1966">AO808</f>
        <v>-11148</v>
      </c>
      <c r="AO808" s="1113">
        <v>-11148</v>
      </c>
      <c r="AP808" s="1055">
        <v>-622</v>
      </c>
      <c r="AQ808" s="1055">
        <v>-1461</v>
      </c>
      <c r="AR808" s="1055">
        <v>-1461</v>
      </c>
      <c r="AS808" s="68">
        <f t="shared" ref="AS808:AS817" si="1967">AT808</f>
        <v>-1461</v>
      </c>
      <c r="AT808" s="1113">
        <v>-1461</v>
      </c>
      <c r="AU808" s="1055">
        <v>-861</v>
      </c>
      <c r="AV808" s="1055">
        <v>-8286</v>
      </c>
      <c r="AW808" s="1055">
        <v>-12840</v>
      </c>
      <c r="AX808" s="68">
        <f t="shared" ref="AX808:AX817" si="1968">AY808</f>
        <v>-19308</v>
      </c>
      <c r="AY808" s="1113">
        <v>-19308</v>
      </c>
      <c r="AZ808" s="1055">
        <v>-4470</v>
      </c>
      <c r="BA808" s="1055">
        <v>-9268</v>
      </c>
      <c r="BB808" s="1055">
        <v>-16020</v>
      </c>
      <c r="BC808" s="68">
        <f t="shared" ref="BC808:BC817" si="1969">BD808</f>
        <v>-24787</v>
      </c>
      <c r="BD808" s="1113">
        <v>-24787</v>
      </c>
      <c r="BE808" s="1055">
        <v>-3932</v>
      </c>
      <c r="BF808" s="1055">
        <v>-7576</v>
      </c>
      <c r="BG808" s="1055">
        <v>-9764</v>
      </c>
      <c r="BH808" s="68">
        <f t="shared" ref="BH808:BH817" si="1970">BI808</f>
        <v>-11897</v>
      </c>
      <c r="BI808" s="1113">
        <v>-11897</v>
      </c>
      <c r="BJ808" s="1055">
        <v>-2801</v>
      </c>
      <c r="BK808" s="1055">
        <v>-5343</v>
      </c>
      <c r="BL808" s="1055">
        <v>-10688</v>
      </c>
      <c r="BM808" s="68">
        <f t="shared" ref="BM808:BM817" si="1971">BN808</f>
        <v>-18211</v>
      </c>
      <c r="BN808" s="1113">
        <v>-18211</v>
      </c>
      <c r="BO808" s="1055">
        <v>-9303</v>
      </c>
      <c r="BP808" s="1055">
        <v>-15047</v>
      </c>
      <c r="BQ808" s="1055">
        <v>-19565</v>
      </c>
      <c r="BR808" s="68">
        <f t="shared" ref="BR808:BR817" si="1972">BS808</f>
        <v>-26575</v>
      </c>
      <c r="BS808" s="1113">
        <v>-26575</v>
      </c>
      <c r="BT808" s="1055">
        <v>-6546</v>
      </c>
      <c r="BU808" s="1055">
        <v>-14358</v>
      </c>
      <c r="BV808" s="1055">
        <v>-20076</v>
      </c>
      <c r="BW808" s="68">
        <f t="shared" ref="BW808:BW817" si="1973">BX808</f>
        <v>-40616</v>
      </c>
      <c r="BX808" s="1113">
        <v>-40616</v>
      </c>
      <c r="BY808" s="1057">
        <v>-8000</v>
      </c>
      <c r="BZ808" s="68"/>
      <c r="CA808" s="68"/>
      <c r="CB808" s="68"/>
      <c r="CC808" s="1112"/>
      <c r="CD808" s="68"/>
      <c r="CE808" s="68"/>
      <c r="CF808" s="68"/>
      <c r="CG808" s="68"/>
      <c r="CH808" s="1112"/>
      <c r="CI808" s="1112"/>
      <c r="CJ808" s="1112"/>
      <c r="CK808" s="1112"/>
      <c r="CL808" s="155"/>
    </row>
    <row r="809" spans="1:90" hidden="1" outlineLevel="1" x14ac:dyDescent="0.3">
      <c r="A809" s="67" t="s">
        <v>165</v>
      </c>
      <c r="B809" s="146"/>
      <c r="C809" s="1113">
        <v>1226.646</v>
      </c>
      <c r="D809" s="1113">
        <v>752.43399999999997</v>
      </c>
      <c r="E809" s="1113">
        <v>1170.075</v>
      </c>
      <c r="F809" s="1113">
        <v>1310.7429999999999</v>
      </c>
      <c r="G809" s="1055">
        <v>507.875</v>
      </c>
      <c r="H809" s="1055">
        <v>476.37900000000002</v>
      </c>
      <c r="I809" s="1055">
        <v>635.73299999999995</v>
      </c>
      <c r="J809" s="27">
        <f t="shared" si="1960"/>
        <v>854.99300000000005</v>
      </c>
      <c r="K809" s="1113">
        <v>854.99300000000005</v>
      </c>
      <c r="L809" s="1055">
        <v>199.19900000000001</v>
      </c>
      <c r="M809" s="1055">
        <v>1248.511</v>
      </c>
      <c r="N809" s="1055">
        <v>1475.403</v>
      </c>
      <c r="O809" s="27">
        <f t="shared" si="1961"/>
        <v>1926.817</v>
      </c>
      <c r="P809" s="1113">
        <v>1926.817</v>
      </c>
      <c r="Q809" s="1055">
        <v>545</v>
      </c>
      <c r="R809" s="1055">
        <v>869</v>
      </c>
      <c r="S809" s="1055">
        <v>1100</v>
      </c>
      <c r="T809" s="27">
        <f t="shared" si="1962"/>
        <v>1372</v>
      </c>
      <c r="U809" s="1113">
        <v>1372</v>
      </c>
      <c r="V809" s="1055">
        <v>825</v>
      </c>
      <c r="W809" s="1055">
        <v>1415</v>
      </c>
      <c r="X809" s="1055">
        <v>1651</v>
      </c>
      <c r="Y809" s="27">
        <f t="shared" si="1963"/>
        <v>2102</v>
      </c>
      <c r="Z809" s="1113">
        <v>2102</v>
      </c>
      <c r="AA809" s="1055">
        <v>175</v>
      </c>
      <c r="AB809" s="1055">
        <v>506</v>
      </c>
      <c r="AC809" s="1055">
        <v>712</v>
      </c>
      <c r="AD809" s="68">
        <f t="shared" si="1964"/>
        <v>1546</v>
      </c>
      <c r="AE809" s="1113">
        <v>1546</v>
      </c>
      <c r="AF809" s="1055">
        <v>649</v>
      </c>
      <c r="AG809" s="1055">
        <v>450</v>
      </c>
      <c r="AH809" s="1055">
        <v>802</v>
      </c>
      <c r="AI809" s="68">
        <f t="shared" si="1965"/>
        <v>863</v>
      </c>
      <c r="AJ809" s="1113">
        <v>863</v>
      </c>
      <c r="AK809" s="1055">
        <v>33</v>
      </c>
      <c r="AL809" s="1055">
        <v>77</v>
      </c>
      <c r="AM809" s="1055">
        <v>114</v>
      </c>
      <c r="AN809" s="68">
        <f t="shared" si="1966"/>
        <v>428</v>
      </c>
      <c r="AO809" s="1113">
        <v>428</v>
      </c>
      <c r="AP809" s="1055">
        <v>26</v>
      </c>
      <c r="AQ809" s="1055">
        <v>3152</v>
      </c>
      <c r="AR809" s="1055">
        <v>3363</v>
      </c>
      <c r="AS809" s="68">
        <f t="shared" si="1967"/>
        <v>3365</v>
      </c>
      <c r="AT809" s="1113">
        <v>3365</v>
      </c>
      <c r="AU809" s="1055">
        <v>1</v>
      </c>
      <c r="AV809" s="1055">
        <v>259</v>
      </c>
      <c r="AW809" s="1055">
        <v>502</v>
      </c>
      <c r="AX809" s="68">
        <f t="shared" si="1968"/>
        <v>527</v>
      </c>
      <c r="AY809" s="1113">
        <v>527</v>
      </c>
      <c r="AZ809" s="1055">
        <v>358</v>
      </c>
      <c r="BA809" s="1055">
        <v>705</v>
      </c>
      <c r="BB809" s="1055">
        <v>916</v>
      </c>
      <c r="BC809" s="68">
        <f t="shared" si="1969"/>
        <v>1023</v>
      </c>
      <c r="BD809" s="1113">
        <v>1023</v>
      </c>
      <c r="BE809" s="1055">
        <v>1029</v>
      </c>
      <c r="BF809" s="1055">
        <v>1731</v>
      </c>
      <c r="BG809" s="1055">
        <v>1806</v>
      </c>
      <c r="BH809" s="68">
        <f t="shared" si="1970"/>
        <v>1806</v>
      </c>
      <c r="BI809" s="1113">
        <v>1806</v>
      </c>
      <c r="BJ809" s="1055">
        <v>0</v>
      </c>
      <c r="BK809" s="68"/>
      <c r="BL809" s="68"/>
      <c r="BM809" s="68">
        <f t="shared" si="1971"/>
        <v>50</v>
      </c>
      <c r="BN809" s="1113">
        <v>50</v>
      </c>
      <c r="BO809" s="1055">
        <v>149</v>
      </c>
      <c r="BP809" s="1055">
        <v>164</v>
      </c>
      <c r="BQ809" s="1055">
        <v>318</v>
      </c>
      <c r="BR809" s="68">
        <f t="shared" si="1972"/>
        <v>495</v>
      </c>
      <c r="BS809" s="1113">
        <v>495</v>
      </c>
      <c r="BT809" s="1055">
        <v>467</v>
      </c>
      <c r="BU809" s="1055">
        <v>487</v>
      </c>
      <c r="BV809" s="1055">
        <v>487</v>
      </c>
      <c r="BW809" s="68">
        <f t="shared" si="1973"/>
        <v>15157</v>
      </c>
      <c r="BX809" s="1113">
        <v>15157</v>
      </c>
      <c r="BY809" s="1057">
        <v>25</v>
      </c>
      <c r="BZ809" s="68"/>
      <c r="CA809" s="68"/>
      <c r="CB809" s="68"/>
      <c r="CC809" s="1112"/>
      <c r="CD809" s="68"/>
      <c r="CE809" s="68"/>
      <c r="CF809" s="68"/>
      <c r="CG809" s="68"/>
      <c r="CH809" s="1112"/>
      <c r="CI809" s="1112"/>
      <c r="CJ809" s="1112"/>
      <c r="CK809" s="1112"/>
      <c r="CL809" s="155"/>
    </row>
    <row r="810" spans="1:90" hidden="1" outlineLevel="1" x14ac:dyDescent="0.3">
      <c r="A810" s="67" t="s">
        <v>166</v>
      </c>
      <c r="B810" s="146"/>
      <c r="C810" s="1112"/>
      <c r="D810" s="1112"/>
      <c r="E810" s="1112"/>
      <c r="F810" s="1112"/>
      <c r="G810" s="1055">
        <v>0</v>
      </c>
      <c r="H810" s="1055">
        <v>442.47699999999998</v>
      </c>
      <c r="I810" s="1055">
        <v>626.43399999999997</v>
      </c>
      <c r="J810" s="27">
        <f t="shared" si="1960"/>
        <v>962.41700000000003</v>
      </c>
      <c r="K810" s="1113">
        <v>962.41700000000003</v>
      </c>
      <c r="L810" s="1055">
        <v>179.08199999999999</v>
      </c>
      <c r="M810" s="1055">
        <v>320.83800000000002</v>
      </c>
      <c r="N810" s="1055">
        <v>447.13400000000001</v>
      </c>
      <c r="O810" s="27">
        <f t="shared" si="1961"/>
        <v>585.15</v>
      </c>
      <c r="P810" s="1113">
        <v>585.15</v>
      </c>
      <c r="Q810" s="1055">
        <v>134</v>
      </c>
      <c r="R810" s="1055">
        <v>451</v>
      </c>
      <c r="S810" s="1055">
        <v>688</v>
      </c>
      <c r="T810" s="27">
        <f t="shared" si="1962"/>
        <v>865</v>
      </c>
      <c r="U810" s="1113">
        <v>865</v>
      </c>
      <c r="V810" s="1055">
        <v>238</v>
      </c>
      <c r="W810" s="1055">
        <v>487</v>
      </c>
      <c r="X810" s="1055">
        <v>872</v>
      </c>
      <c r="Y810" s="27">
        <f t="shared" si="1963"/>
        <v>1036</v>
      </c>
      <c r="Z810" s="1113">
        <v>1036</v>
      </c>
      <c r="AA810" s="1055">
        <v>529</v>
      </c>
      <c r="AB810" s="1055">
        <v>901</v>
      </c>
      <c r="AC810" s="1055">
        <v>1239</v>
      </c>
      <c r="AD810" s="68">
        <f t="shared" si="1964"/>
        <v>969</v>
      </c>
      <c r="AE810" s="1113">
        <v>969</v>
      </c>
      <c r="AF810" s="1055">
        <v>200</v>
      </c>
      <c r="AG810" s="1055">
        <v>726</v>
      </c>
      <c r="AH810" s="1055">
        <v>739</v>
      </c>
      <c r="AI810" s="68">
        <f t="shared" si="1965"/>
        <v>1078</v>
      </c>
      <c r="AJ810" s="1113">
        <v>1078</v>
      </c>
      <c r="AK810" s="1055">
        <v>239</v>
      </c>
      <c r="AL810" s="1055">
        <v>2957</v>
      </c>
      <c r="AM810" s="1055">
        <v>6267</v>
      </c>
      <c r="AN810" s="68">
        <f t="shared" si="1966"/>
        <v>7232</v>
      </c>
      <c r="AO810" s="1113">
        <v>7232</v>
      </c>
      <c r="AP810" s="1055">
        <v>2219</v>
      </c>
      <c r="AQ810" s="1055">
        <v>3592</v>
      </c>
      <c r="AR810" s="1055">
        <v>4744</v>
      </c>
      <c r="AS810" s="68">
        <f t="shared" si="1967"/>
        <v>4744</v>
      </c>
      <c r="AT810" s="1113">
        <v>4744</v>
      </c>
      <c r="AU810" s="1055">
        <v>0</v>
      </c>
      <c r="AV810" s="1055">
        <v>1032</v>
      </c>
      <c r="AW810" s="1055">
        <v>5165</v>
      </c>
      <c r="AX810" s="68">
        <f t="shared" si="1968"/>
        <v>8792</v>
      </c>
      <c r="AY810" s="1113">
        <v>8792</v>
      </c>
      <c r="AZ810" s="1055">
        <v>3140</v>
      </c>
      <c r="BA810" s="1055">
        <v>5236</v>
      </c>
      <c r="BB810" s="1055">
        <v>7780</v>
      </c>
      <c r="BC810" s="68">
        <f t="shared" si="1969"/>
        <v>15197</v>
      </c>
      <c r="BD810" s="1113">
        <v>15197</v>
      </c>
      <c r="BE810" s="1055">
        <v>5947</v>
      </c>
      <c r="BF810" s="1055">
        <v>10983</v>
      </c>
      <c r="BG810" s="1055">
        <v>16792</v>
      </c>
      <c r="BH810" s="68">
        <f t="shared" si="1970"/>
        <v>19425</v>
      </c>
      <c r="BI810" s="1113">
        <v>19425</v>
      </c>
      <c r="BJ810" s="1055">
        <v>2512</v>
      </c>
      <c r="BK810" s="1055">
        <v>5111</v>
      </c>
      <c r="BL810" s="1055">
        <v>8001</v>
      </c>
      <c r="BM810" s="68">
        <f t="shared" si="1971"/>
        <v>9732</v>
      </c>
      <c r="BN810" s="1113">
        <v>9732</v>
      </c>
      <c r="BO810" s="1055">
        <v>4004</v>
      </c>
      <c r="BP810" s="1055">
        <v>8098</v>
      </c>
      <c r="BQ810" s="1055">
        <v>9485</v>
      </c>
      <c r="BR810" s="68">
        <f t="shared" si="1972"/>
        <v>11195</v>
      </c>
      <c r="BS810" s="1113">
        <v>11195</v>
      </c>
      <c r="BT810" s="1055">
        <v>3122</v>
      </c>
      <c r="BU810" s="1055">
        <v>6252</v>
      </c>
      <c r="BV810" s="1055">
        <v>8980</v>
      </c>
      <c r="BW810" s="68">
        <f t="shared" si="1973"/>
        <v>11226</v>
      </c>
      <c r="BX810" s="1113">
        <v>11226</v>
      </c>
      <c r="BY810" s="1057">
        <v>1946</v>
      </c>
      <c r="BZ810" s="68"/>
      <c r="CA810" s="68"/>
      <c r="CB810" s="68"/>
      <c r="CC810" s="1112"/>
      <c r="CD810" s="68"/>
      <c r="CE810" s="68"/>
      <c r="CF810" s="68"/>
      <c r="CG810" s="68"/>
      <c r="CH810" s="1112"/>
      <c r="CI810" s="1112"/>
      <c r="CJ810" s="1112"/>
      <c r="CK810" s="1112"/>
      <c r="CL810" s="155"/>
    </row>
    <row r="811" spans="1:90" hidden="1" outlineLevel="1" x14ac:dyDescent="0.3">
      <c r="A811" s="67" t="s">
        <v>1253</v>
      </c>
      <c r="B811" s="146"/>
      <c r="C811" s="1112"/>
      <c r="D811" s="1112"/>
      <c r="E811" s="1112"/>
      <c r="F811" s="1112"/>
      <c r="G811" s="68"/>
      <c r="H811" s="68"/>
      <c r="I811" s="68"/>
      <c r="J811" s="27">
        <f>K811</f>
        <v>0</v>
      </c>
      <c r="K811" s="1112"/>
      <c r="L811" s="68"/>
      <c r="M811" s="68"/>
      <c r="N811" s="68"/>
      <c r="O811" s="27">
        <f>P811</f>
        <v>0</v>
      </c>
      <c r="P811" s="1112"/>
      <c r="Q811" s="68"/>
      <c r="R811" s="68"/>
      <c r="S811" s="68"/>
      <c r="T811" s="27">
        <f>U811</f>
        <v>0</v>
      </c>
      <c r="U811" s="1112"/>
      <c r="V811" s="68"/>
      <c r="W811" s="68"/>
      <c r="X811" s="68"/>
      <c r="Y811" s="27">
        <f>Z811</f>
        <v>0</v>
      </c>
      <c r="Z811" s="1112"/>
      <c r="AA811" s="68"/>
      <c r="AB811" s="68"/>
      <c r="AC811" s="68"/>
      <c r="AD811" s="68">
        <f>AE811</f>
        <v>0</v>
      </c>
      <c r="AE811" s="1112"/>
      <c r="AF811" s="68"/>
      <c r="AG811" s="68"/>
      <c r="AH811" s="68"/>
      <c r="AI811" s="68">
        <f>AJ811</f>
        <v>0</v>
      </c>
      <c r="AJ811" s="1112"/>
      <c r="AK811" s="68"/>
      <c r="AL811" s="68"/>
      <c r="AM811" s="68"/>
      <c r="AN811" s="68">
        <f>AO811</f>
        <v>0</v>
      </c>
      <c r="AO811" s="1112"/>
      <c r="AP811" s="68"/>
      <c r="AQ811" s="68"/>
      <c r="AR811" s="68"/>
      <c r="AS811" s="68">
        <f>AT811</f>
        <v>0</v>
      </c>
      <c r="AT811" s="1112"/>
      <c r="AU811" s="68"/>
      <c r="AV811" s="68"/>
      <c r="AW811" s="68"/>
      <c r="AX811" s="68">
        <f>AY811</f>
        <v>0</v>
      </c>
      <c r="AY811" s="1112"/>
      <c r="AZ811" s="68"/>
      <c r="BA811" s="68"/>
      <c r="BB811" s="68"/>
      <c r="BC811" s="68">
        <f>BD811</f>
        <v>0</v>
      </c>
      <c r="BD811" s="1112"/>
      <c r="BE811" s="68"/>
      <c r="BF811" s="68"/>
      <c r="BG811" s="68"/>
      <c r="BH811" s="68">
        <f>BI811</f>
        <v>0</v>
      </c>
      <c r="BI811" s="1112"/>
      <c r="BJ811" s="68"/>
      <c r="BK811" s="68"/>
      <c r="BL811" s="68"/>
      <c r="BM811" s="68">
        <f>BN811</f>
        <v>0</v>
      </c>
      <c r="BN811" s="1112"/>
      <c r="BO811" s="68"/>
      <c r="BP811" s="68"/>
      <c r="BQ811" s="68"/>
      <c r="BR811" s="68">
        <f>BS811</f>
        <v>171</v>
      </c>
      <c r="BS811" s="1113">
        <v>171</v>
      </c>
      <c r="BT811" s="68"/>
      <c r="BU811" s="68"/>
      <c r="BV811" s="68"/>
      <c r="BW811" s="68">
        <f t="shared" si="1973"/>
        <v>84</v>
      </c>
      <c r="BX811" s="1113">
        <v>84</v>
      </c>
      <c r="BY811" s="1057">
        <v>26</v>
      </c>
      <c r="BZ811" s="68"/>
      <c r="CA811" s="68"/>
      <c r="CB811" s="68"/>
      <c r="CC811" s="1112"/>
      <c r="CD811" s="68"/>
      <c r="CE811" s="68"/>
      <c r="CF811" s="68"/>
      <c r="CG811" s="68"/>
      <c r="CH811" s="1112"/>
      <c r="CI811" s="1112"/>
      <c r="CJ811" s="1112"/>
      <c r="CK811" s="1112"/>
      <c r="CL811" s="155"/>
    </row>
    <row r="812" spans="1:90" hidden="1" outlineLevel="1" x14ac:dyDescent="0.3">
      <c r="A812" s="67" t="s">
        <v>167</v>
      </c>
      <c r="B812" s="146"/>
      <c r="C812" s="1113">
        <v>-407.67</v>
      </c>
      <c r="D812" s="1113">
        <v>-77.600999999999999</v>
      </c>
      <c r="E812" s="1113">
        <v>-97.89</v>
      </c>
      <c r="F812" s="1113">
        <v>-138.73500000000001</v>
      </c>
      <c r="G812" s="1055">
        <v>-28.922999999999998</v>
      </c>
      <c r="H812" s="1055">
        <v>-90.867000000000004</v>
      </c>
      <c r="I812" s="1055">
        <v>-135.55099999999999</v>
      </c>
      <c r="J812" s="27">
        <f t="shared" si="1960"/>
        <v>-183.309</v>
      </c>
      <c r="K812" s="1113">
        <v>-183.309</v>
      </c>
      <c r="L812" s="1055">
        <v>-65.667000000000002</v>
      </c>
      <c r="M812" s="1055">
        <v>-150.65299999999999</v>
      </c>
      <c r="N812" s="1055">
        <v>-188.81200000000001</v>
      </c>
      <c r="O812" s="27">
        <f t="shared" si="1961"/>
        <v>-255.18600000000001</v>
      </c>
      <c r="P812" s="1113">
        <v>-255.18600000000001</v>
      </c>
      <c r="Q812" s="1055">
        <v>-29</v>
      </c>
      <c r="R812" s="1055">
        <v>-52</v>
      </c>
      <c r="S812" s="1055">
        <v>-91</v>
      </c>
      <c r="T812" s="27">
        <f t="shared" si="1962"/>
        <v>-122</v>
      </c>
      <c r="U812" s="1113">
        <v>-122</v>
      </c>
      <c r="V812" s="1055">
        <v>-30</v>
      </c>
      <c r="W812" s="1055">
        <v>-54</v>
      </c>
      <c r="X812" s="1055">
        <v>-71</v>
      </c>
      <c r="Y812" s="27">
        <f t="shared" si="1963"/>
        <v>-86</v>
      </c>
      <c r="Z812" s="1113">
        <v>-86</v>
      </c>
      <c r="AA812" s="1055">
        <v>-55</v>
      </c>
      <c r="AB812" s="1055">
        <v>-87</v>
      </c>
      <c r="AC812" s="1055">
        <v>-125</v>
      </c>
      <c r="AD812" s="68">
        <f t="shared" si="1964"/>
        <v>-176</v>
      </c>
      <c r="AE812" s="1113">
        <v>-176</v>
      </c>
      <c r="AF812" s="1055">
        <v>-54</v>
      </c>
      <c r="AG812" s="1055">
        <v>-108</v>
      </c>
      <c r="AH812" s="1055">
        <v>-177</v>
      </c>
      <c r="AI812" s="68">
        <f t="shared" si="1965"/>
        <v>-593</v>
      </c>
      <c r="AJ812" s="1113">
        <v>-593</v>
      </c>
      <c r="AK812" s="1055">
        <v>-118</v>
      </c>
      <c r="AL812" s="1055">
        <v>-247</v>
      </c>
      <c r="AM812" s="1055">
        <v>-397</v>
      </c>
      <c r="AN812" s="68">
        <f t="shared" si="1966"/>
        <v>-600</v>
      </c>
      <c r="AO812" s="1113">
        <v>-600</v>
      </c>
      <c r="AP812" s="1055">
        <v>-128</v>
      </c>
      <c r="AQ812" s="1055">
        <v>-241</v>
      </c>
      <c r="AR812" s="1055">
        <v>-344</v>
      </c>
      <c r="AS812" s="68">
        <f t="shared" si="1967"/>
        <v>-489</v>
      </c>
      <c r="AT812" s="1113">
        <v>-489</v>
      </c>
      <c r="AU812" s="1055">
        <v>-155</v>
      </c>
      <c r="AV812" s="1055">
        <v>-372</v>
      </c>
      <c r="AW812" s="1055">
        <v>-845</v>
      </c>
      <c r="AX812" s="68">
        <f t="shared" si="1968"/>
        <v>-1128</v>
      </c>
      <c r="AY812" s="1113">
        <v>-1128</v>
      </c>
      <c r="AZ812" s="1055">
        <v>-298</v>
      </c>
      <c r="BA812" s="1055">
        <v>-481</v>
      </c>
      <c r="BB812" s="1055">
        <v>-703</v>
      </c>
      <c r="BC812" s="68">
        <f t="shared" si="1969"/>
        <v>-976</v>
      </c>
      <c r="BD812" s="1113">
        <v>-976</v>
      </c>
      <c r="BE812" s="1055">
        <v>-361</v>
      </c>
      <c r="BF812" s="1055">
        <v>-794</v>
      </c>
      <c r="BG812" s="1055">
        <v>-1324</v>
      </c>
      <c r="BH812" s="68">
        <f t="shared" si="1970"/>
        <v>-1833</v>
      </c>
      <c r="BI812" s="1113">
        <v>-1833</v>
      </c>
      <c r="BJ812" s="1055">
        <v>-248</v>
      </c>
      <c r="BK812" s="1055">
        <v>-537</v>
      </c>
      <c r="BL812" s="1055">
        <v>-815</v>
      </c>
      <c r="BM812" s="68">
        <f t="shared" si="1971"/>
        <v>-1069</v>
      </c>
      <c r="BN812" s="1113">
        <v>-1069</v>
      </c>
      <c r="BO812" s="1055">
        <v>-369</v>
      </c>
      <c r="BP812" s="1055">
        <v>-1346</v>
      </c>
      <c r="BQ812" s="1055">
        <v>-2159</v>
      </c>
      <c r="BR812" s="68">
        <f t="shared" si="1972"/>
        <v>-3236</v>
      </c>
      <c r="BS812" s="1113">
        <v>-3236</v>
      </c>
      <c r="BT812" s="1055">
        <v>-1227</v>
      </c>
      <c r="BU812" s="1055">
        <v>-3122</v>
      </c>
      <c r="BV812" s="1055">
        <v>-4758</v>
      </c>
      <c r="BW812" s="68">
        <f t="shared" si="1973"/>
        <v>-6042</v>
      </c>
      <c r="BX812" s="1113">
        <v>-6042</v>
      </c>
      <c r="BY812" s="1057">
        <v>-1757</v>
      </c>
      <c r="BZ812" s="68"/>
      <c r="CA812" s="68"/>
      <c r="CB812" s="68"/>
      <c r="CC812" s="1112"/>
      <c r="CD812" s="68"/>
      <c r="CE812" s="68"/>
      <c r="CF812" s="68"/>
      <c r="CG812" s="68"/>
      <c r="CH812" s="1112"/>
      <c r="CI812" s="1112"/>
      <c r="CJ812" s="1112"/>
      <c r="CK812" s="1112"/>
      <c r="CL812" s="155"/>
    </row>
    <row r="813" spans="1:90" hidden="1" outlineLevel="1" x14ac:dyDescent="0.3">
      <c r="A813" s="67" t="s">
        <v>168</v>
      </c>
      <c r="B813" s="146"/>
      <c r="C813" s="1112"/>
      <c r="D813" s="1112"/>
      <c r="E813" s="1112"/>
      <c r="F813" s="1112"/>
      <c r="G813" s="68"/>
      <c r="H813" s="68"/>
      <c r="I813" s="1055">
        <v>0</v>
      </c>
      <c r="J813" s="27">
        <f t="shared" si="1960"/>
        <v>0</v>
      </c>
      <c r="K813" s="1113">
        <v>0</v>
      </c>
      <c r="L813" s="68"/>
      <c r="M813" s="68"/>
      <c r="N813" s="1055">
        <v>0</v>
      </c>
      <c r="O813" s="27">
        <f t="shared" si="1961"/>
        <v>24.780999999999999</v>
      </c>
      <c r="P813" s="1113">
        <v>24.780999999999999</v>
      </c>
      <c r="Q813" s="1055">
        <v>21</v>
      </c>
      <c r="R813" s="1055">
        <v>21</v>
      </c>
      <c r="S813" s="1055">
        <v>21</v>
      </c>
      <c r="T813" s="27">
        <f t="shared" si="1962"/>
        <v>21</v>
      </c>
      <c r="U813" s="1113">
        <v>21</v>
      </c>
      <c r="V813" s="68"/>
      <c r="W813" s="1055">
        <v>2</v>
      </c>
      <c r="X813" s="1055">
        <v>7</v>
      </c>
      <c r="Y813" s="27">
        <f t="shared" si="1963"/>
        <v>7</v>
      </c>
      <c r="Z813" s="1113">
        <v>7</v>
      </c>
      <c r="AA813" s="68"/>
      <c r="AB813" s="1055">
        <v>6</v>
      </c>
      <c r="AC813" s="1055">
        <v>6</v>
      </c>
      <c r="AD813" s="68">
        <f t="shared" si="1964"/>
        <v>7</v>
      </c>
      <c r="AE813" s="1113">
        <v>7</v>
      </c>
      <c r="AF813" s="68"/>
      <c r="AG813" s="68"/>
      <c r="AH813" s="68"/>
      <c r="AI813" s="68">
        <f t="shared" si="1965"/>
        <v>2</v>
      </c>
      <c r="AJ813" s="1113">
        <v>2</v>
      </c>
      <c r="AK813" s="68"/>
      <c r="AL813" s="68"/>
      <c r="AM813" s="68"/>
      <c r="AN813" s="68">
        <f t="shared" si="1966"/>
        <v>0</v>
      </c>
      <c r="AO813" s="1112"/>
      <c r="AP813" s="68"/>
      <c r="AQ813" s="68"/>
      <c r="AR813" s="68"/>
      <c r="AS813" s="68">
        <f t="shared" si="1967"/>
        <v>0</v>
      </c>
      <c r="AT813" s="1112"/>
      <c r="AU813" s="68"/>
      <c r="AV813" s="68"/>
      <c r="AW813" s="68"/>
      <c r="AX813" s="68">
        <f t="shared" si="1968"/>
        <v>0</v>
      </c>
      <c r="AY813" s="1112"/>
      <c r="AZ813" s="68"/>
      <c r="BA813" s="68"/>
      <c r="BB813" s="68"/>
      <c r="BC813" s="68">
        <f t="shared" si="1969"/>
        <v>0</v>
      </c>
      <c r="BD813" s="1112"/>
      <c r="BE813" s="68"/>
      <c r="BF813" s="68"/>
      <c r="BG813" s="68"/>
      <c r="BH813" s="68">
        <f t="shared" si="1970"/>
        <v>0</v>
      </c>
      <c r="BI813" s="1112"/>
      <c r="BJ813" s="68"/>
      <c r="BK813" s="68"/>
      <c r="BL813" s="68"/>
      <c r="BM813" s="68">
        <f t="shared" si="1971"/>
        <v>0</v>
      </c>
      <c r="BN813" s="1112"/>
      <c r="BO813" s="68"/>
      <c r="BP813" s="68"/>
      <c r="BQ813" s="68"/>
      <c r="BR813" s="68">
        <f t="shared" si="1972"/>
        <v>0</v>
      </c>
      <c r="BS813" s="1112"/>
      <c r="BT813" s="68"/>
      <c r="BU813" s="68"/>
      <c r="BV813" s="68"/>
      <c r="BW813" s="68">
        <f t="shared" si="1973"/>
        <v>0</v>
      </c>
      <c r="BX813" s="1112"/>
      <c r="BY813" s="588"/>
      <c r="BZ813" s="68"/>
      <c r="CA813" s="68"/>
      <c r="CB813" s="68"/>
      <c r="CC813" s="1112"/>
      <c r="CD813" s="68"/>
      <c r="CE813" s="68"/>
      <c r="CF813" s="68"/>
      <c r="CG813" s="68"/>
      <c r="CH813" s="1112"/>
      <c r="CI813" s="1112"/>
      <c r="CJ813" s="1112"/>
      <c r="CK813" s="1112"/>
      <c r="CL813" s="155"/>
    </row>
    <row r="814" spans="1:90" hidden="1" outlineLevel="1" x14ac:dyDescent="0.3">
      <c r="A814" s="67" t="s">
        <v>169</v>
      </c>
      <c r="B814" s="146"/>
      <c r="C814" s="1113">
        <v>-27.948</v>
      </c>
      <c r="D814" s="1112"/>
      <c r="E814" s="1113">
        <v>0</v>
      </c>
      <c r="F814" s="1113">
        <v>-348.88400000000001</v>
      </c>
      <c r="G814" s="68"/>
      <c r="H814" s="68"/>
      <c r="I814" s="1055">
        <v>0</v>
      </c>
      <c r="J814" s="27">
        <f t="shared" si="1960"/>
        <v>0</v>
      </c>
      <c r="K814" s="1113">
        <v>0</v>
      </c>
      <c r="L814" s="68"/>
      <c r="M814" s="68"/>
      <c r="N814" s="1055">
        <v>-17.145</v>
      </c>
      <c r="O814" s="27">
        <f t="shared" si="1961"/>
        <v>-17.145</v>
      </c>
      <c r="P814" s="1113">
        <v>-17.145</v>
      </c>
      <c r="Q814" s="68"/>
      <c r="R814" s="68"/>
      <c r="S814" s="68"/>
      <c r="T814" s="27">
        <f t="shared" si="1962"/>
        <v>0</v>
      </c>
      <c r="U814" s="1112"/>
      <c r="V814" s="68"/>
      <c r="W814" s="68"/>
      <c r="X814" s="68"/>
      <c r="Y814" s="27">
        <f t="shared" si="1963"/>
        <v>0</v>
      </c>
      <c r="Z814" s="1113">
        <v>0</v>
      </c>
      <c r="AA814" s="68"/>
      <c r="AB814" s="68"/>
      <c r="AC814" s="68"/>
      <c r="AD814" s="68">
        <f t="shared" si="1964"/>
        <v>0</v>
      </c>
      <c r="AE814" s="1112"/>
      <c r="AF814" s="68"/>
      <c r="AG814" s="68"/>
      <c r="AH814" s="68"/>
      <c r="AI814" s="68">
        <f t="shared" si="1965"/>
        <v>0</v>
      </c>
      <c r="AJ814" s="1112"/>
      <c r="AK814" s="68"/>
      <c r="AL814" s="68"/>
      <c r="AM814" s="68"/>
      <c r="AN814" s="68">
        <f t="shared" si="1966"/>
        <v>0</v>
      </c>
      <c r="AO814" s="1112"/>
      <c r="AP814" s="68"/>
      <c r="AQ814" s="68"/>
      <c r="AR814" s="68"/>
      <c r="AS814" s="68">
        <f t="shared" si="1967"/>
        <v>0</v>
      </c>
      <c r="AT814" s="1112"/>
      <c r="AU814" s="1055">
        <v>-34</v>
      </c>
      <c r="AV814" s="1055">
        <v>-7171</v>
      </c>
      <c r="AW814" s="1055">
        <v>-8524</v>
      </c>
      <c r="AX814" s="68">
        <f t="shared" si="1968"/>
        <v>-8524</v>
      </c>
      <c r="AY814" s="1113">
        <v>-8524</v>
      </c>
      <c r="AZ814" s="1055">
        <v>0</v>
      </c>
      <c r="BA814" s="68"/>
      <c r="BB814" s="1055">
        <v>-203</v>
      </c>
      <c r="BC814" s="68">
        <f t="shared" si="1969"/>
        <v>-263</v>
      </c>
      <c r="BD814" s="1113">
        <v>-263</v>
      </c>
      <c r="BE814" s="1055">
        <v>-36</v>
      </c>
      <c r="BF814" s="1055">
        <v>-49</v>
      </c>
      <c r="BG814" s="1055">
        <v>-49</v>
      </c>
      <c r="BH814" s="68">
        <f t="shared" si="1970"/>
        <v>-49</v>
      </c>
      <c r="BI814" s="1113">
        <v>-49</v>
      </c>
      <c r="BJ814" s="1055">
        <v>-83</v>
      </c>
      <c r="BK814" s="1055">
        <v>-83</v>
      </c>
      <c r="BL814" s="1055">
        <v>-83</v>
      </c>
      <c r="BM814" s="68">
        <f t="shared" si="1971"/>
        <v>-83</v>
      </c>
      <c r="BN814" s="1113">
        <v>-83</v>
      </c>
      <c r="BO814" s="1055">
        <v>-39</v>
      </c>
      <c r="BP814" s="1055">
        <v>-317</v>
      </c>
      <c r="BQ814" s="1055">
        <v>-465</v>
      </c>
      <c r="BR814" s="68">
        <f t="shared" si="1972"/>
        <v>-1007</v>
      </c>
      <c r="BS814" s="1113">
        <v>-1007</v>
      </c>
      <c r="BT814" s="1055">
        <v>-383</v>
      </c>
      <c r="BU814" s="1055">
        <v>-677</v>
      </c>
      <c r="BV814" s="1055">
        <v>-1370</v>
      </c>
      <c r="BW814" s="68">
        <f t="shared" si="1973"/>
        <v>-14535</v>
      </c>
      <c r="BX814" s="1113">
        <f>-1535-13000</f>
        <v>-14535</v>
      </c>
      <c r="BY814" s="1057">
        <v>-87</v>
      </c>
      <c r="BZ814" s="68"/>
      <c r="CA814" s="68"/>
      <c r="CB814" s="68"/>
      <c r="CC814" s="1112"/>
      <c r="CD814" s="68"/>
      <c r="CE814" s="68"/>
      <c r="CF814" s="68"/>
      <c r="CG814" s="68"/>
      <c r="CH814" s="1112"/>
      <c r="CI814" s="1112"/>
      <c r="CJ814" s="1112"/>
      <c r="CK814" s="1112"/>
      <c r="CL814" s="155"/>
    </row>
    <row r="815" spans="1:90" hidden="1" outlineLevel="1" x14ac:dyDescent="0.3">
      <c r="A815" s="67" t="s">
        <v>170</v>
      </c>
      <c r="B815" s="146"/>
      <c r="C815" s="1112"/>
      <c r="D815" s="1112"/>
      <c r="E815" s="1112"/>
      <c r="F815" s="1112"/>
      <c r="G815" s="68"/>
      <c r="H815" s="68"/>
      <c r="I815" s="68"/>
      <c r="J815" s="27">
        <f t="shared" si="1960"/>
        <v>0</v>
      </c>
      <c r="K815" s="1113">
        <v>0</v>
      </c>
      <c r="L815" s="68"/>
      <c r="M815" s="68"/>
      <c r="N815" s="68"/>
      <c r="O815" s="27">
        <f t="shared" si="1961"/>
        <v>-4.95</v>
      </c>
      <c r="P815" s="1113">
        <v>-4.95</v>
      </c>
      <c r="Q815" s="68"/>
      <c r="R815" s="68"/>
      <c r="S815" s="68"/>
      <c r="T815" s="27">
        <f t="shared" si="1962"/>
        <v>0</v>
      </c>
      <c r="U815" s="1112"/>
      <c r="V815" s="68"/>
      <c r="W815" s="1055">
        <v>24</v>
      </c>
      <c r="X815" s="1055">
        <v>24</v>
      </c>
      <c r="Y815" s="27">
        <f t="shared" si="1963"/>
        <v>24</v>
      </c>
      <c r="Z815" s="1113">
        <v>24</v>
      </c>
      <c r="AA815" s="68"/>
      <c r="AB815" s="68"/>
      <c r="AC815" s="68"/>
      <c r="AD815" s="68">
        <f t="shared" si="1964"/>
        <v>0</v>
      </c>
      <c r="AE815" s="1112"/>
      <c r="AF815" s="68"/>
      <c r="AG815" s="68"/>
      <c r="AH815" s="68"/>
      <c r="AI815" s="68">
        <f t="shared" si="1965"/>
        <v>0</v>
      </c>
      <c r="AJ815" s="1112"/>
      <c r="AK815" s="68"/>
      <c r="AL815" s="68"/>
      <c r="AM815" s="68"/>
      <c r="AN815" s="68">
        <f t="shared" si="1966"/>
        <v>0</v>
      </c>
      <c r="AO815" s="1112"/>
      <c r="AP815" s="68"/>
      <c r="AQ815" s="68"/>
      <c r="AR815" s="68"/>
      <c r="AS815" s="68">
        <f t="shared" si="1967"/>
        <v>0</v>
      </c>
      <c r="AT815" s="1112"/>
      <c r="AU815" s="68"/>
      <c r="AV815" s="68"/>
      <c r="AW815" s="68"/>
      <c r="AX815" s="68">
        <f t="shared" si="1968"/>
        <v>0</v>
      </c>
      <c r="AY815" s="1112"/>
      <c r="AZ815" s="68"/>
      <c r="BA815" s="68"/>
      <c r="BB815" s="68"/>
      <c r="BC815" s="68">
        <f t="shared" si="1969"/>
        <v>0</v>
      </c>
      <c r="BD815" s="1112"/>
      <c r="BE815" s="68"/>
      <c r="BF815" s="68"/>
      <c r="BG815" s="68"/>
      <c r="BH815" s="68">
        <f t="shared" si="1970"/>
        <v>0</v>
      </c>
      <c r="BI815" s="1112"/>
      <c r="BJ815" s="68"/>
      <c r="BK815" s="68"/>
      <c r="BL815" s="68"/>
      <c r="BM815" s="68">
        <f t="shared" si="1971"/>
        <v>0</v>
      </c>
      <c r="BN815" s="1112"/>
      <c r="BO815" s="68"/>
      <c r="BP815" s="68"/>
      <c r="BQ815" s="68"/>
      <c r="BR815" s="68">
        <f t="shared" si="1972"/>
        <v>0</v>
      </c>
      <c r="BS815" s="1112"/>
      <c r="BT815" s="68"/>
      <c r="BU815" s="68"/>
      <c r="BV815" s="68"/>
      <c r="BW815" s="68">
        <f t="shared" si="1973"/>
        <v>0</v>
      </c>
      <c r="BX815" s="1112"/>
      <c r="BY815" s="588"/>
      <c r="BZ815" s="68"/>
      <c r="CA815" s="68"/>
      <c r="CB815" s="68"/>
      <c r="CC815" s="1112"/>
      <c r="CD815" s="68"/>
      <c r="CE815" s="68"/>
      <c r="CF815" s="68"/>
      <c r="CG815" s="68"/>
      <c r="CH815" s="1112"/>
      <c r="CI815" s="1112"/>
      <c r="CJ815" s="1112"/>
      <c r="CK815" s="1112"/>
      <c r="CL815" s="155"/>
    </row>
    <row r="816" spans="1:90" hidden="1" outlineLevel="1" x14ac:dyDescent="0.3">
      <c r="A816" s="67" t="s">
        <v>414</v>
      </c>
      <c r="B816" s="146"/>
      <c r="C816" s="1112"/>
      <c r="D816" s="1112"/>
      <c r="E816" s="1112"/>
      <c r="F816" s="1112"/>
      <c r="G816" s="68"/>
      <c r="H816" s="68"/>
      <c r="I816" s="68"/>
      <c r="J816" s="68"/>
      <c r="K816" s="1112"/>
      <c r="L816" s="68"/>
      <c r="M816" s="68"/>
      <c r="N816" s="68"/>
      <c r="O816" s="68"/>
      <c r="P816" s="1112"/>
      <c r="Q816" s="68"/>
      <c r="R816" s="68"/>
      <c r="S816" s="68"/>
      <c r="T816" s="68"/>
      <c r="U816" s="1112"/>
      <c r="V816" s="68"/>
      <c r="W816" s="68"/>
      <c r="X816" s="68"/>
      <c r="Y816" s="68"/>
      <c r="Z816" s="1112"/>
      <c r="AA816" s="68"/>
      <c r="AB816" s="68"/>
      <c r="AC816" s="68"/>
      <c r="AD816" s="68"/>
      <c r="AE816" s="1112"/>
      <c r="AF816" s="68"/>
      <c r="AG816" s="68"/>
      <c r="AH816" s="68"/>
      <c r="AI816" s="68"/>
      <c r="AJ816" s="1112"/>
      <c r="AK816" s="68"/>
      <c r="AL816" s="1055">
        <v>-7</v>
      </c>
      <c r="AM816" s="68"/>
      <c r="AN816" s="68">
        <f t="shared" si="1966"/>
        <v>0</v>
      </c>
      <c r="AO816" s="1112"/>
      <c r="AP816" s="68"/>
      <c r="AQ816" s="1055">
        <v>-2</v>
      </c>
      <c r="AR816" s="1055">
        <v>-6</v>
      </c>
      <c r="AS816" s="68">
        <f t="shared" si="1967"/>
        <v>-14</v>
      </c>
      <c r="AT816" s="1113">
        <v>-14</v>
      </c>
      <c r="AU816" s="1055">
        <v>-6</v>
      </c>
      <c r="AV816" s="1055">
        <v>-7</v>
      </c>
      <c r="AW816" s="1055">
        <v>-4</v>
      </c>
      <c r="AX816" s="68">
        <f t="shared" si="1968"/>
        <v>-34</v>
      </c>
      <c r="AY816" s="1113">
        <v>-34</v>
      </c>
      <c r="AZ816" s="1055">
        <v>-2</v>
      </c>
      <c r="BA816" s="1055">
        <v>3</v>
      </c>
      <c r="BB816" s="1055">
        <v>-14</v>
      </c>
      <c r="BC816" s="68">
        <f t="shared" si="1969"/>
        <v>-24</v>
      </c>
      <c r="BD816" s="1113">
        <v>-24</v>
      </c>
      <c r="BE816" s="1055">
        <v>-35</v>
      </c>
      <c r="BF816" s="1055">
        <v>-65</v>
      </c>
      <c r="BG816" s="1055">
        <v>-83</v>
      </c>
      <c r="BH816" s="68">
        <f t="shared" si="1970"/>
        <v>-77</v>
      </c>
      <c r="BI816" s="1113">
        <v>-77</v>
      </c>
      <c r="BJ816" s="1055">
        <v>-221</v>
      </c>
      <c r="BK816" s="1055">
        <v>-435</v>
      </c>
      <c r="BL816" s="1055">
        <v>-872</v>
      </c>
      <c r="BM816" s="68">
        <f t="shared" si="1971"/>
        <v>-985</v>
      </c>
      <c r="BN816" s="1113">
        <v>-985</v>
      </c>
      <c r="BO816" s="1055">
        <v>-135</v>
      </c>
      <c r="BP816" s="1055">
        <f>-534+105</f>
        <v>-429</v>
      </c>
      <c r="BQ816" s="1055">
        <f>-1008+171</f>
        <v>-837</v>
      </c>
      <c r="BR816" s="68">
        <f t="shared" si="1972"/>
        <v>-1486</v>
      </c>
      <c r="BS816" s="1113">
        <v>-1486</v>
      </c>
      <c r="BT816" s="1055">
        <f>-649+0</f>
        <v>-649</v>
      </c>
      <c r="BU816" s="1055">
        <f>-995+70</f>
        <v>-925</v>
      </c>
      <c r="BV816" s="1055">
        <f>-4702+72</f>
        <v>-4630</v>
      </c>
      <c r="BW816" s="68">
        <f t="shared" si="1973"/>
        <v>-17502</v>
      </c>
      <c r="BX816" s="1113">
        <v>-17502</v>
      </c>
      <c r="BY816" s="1057">
        <v>-18582</v>
      </c>
      <c r="BZ816" s="68"/>
      <c r="CA816" s="68"/>
      <c r="CB816" s="68"/>
      <c r="CC816" s="1112"/>
      <c r="CD816" s="68"/>
      <c r="CE816" s="68"/>
      <c r="CF816" s="68"/>
      <c r="CG816" s="68"/>
      <c r="CH816" s="1112"/>
      <c r="CI816" s="1112"/>
      <c r="CJ816" s="1112"/>
      <c r="CK816" s="1112"/>
      <c r="CL816" s="155"/>
    </row>
    <row r="817" spans="1:90" hidden="1" outlineLevel="1" x14ac:dyDescent="0.3">
      <c r="A817" s="67" t="s">
        <v>151</v>
      </c>
      <c r="B817" s="146"/>
      <c r="C817" s="1113">
        <v>-0.442</v>
      </c>
      <c r="D817" s="1113">
        <v>-0.218</v>
      </c>
      <c r="E817" s="1113">
        <v>-2.1629999999999998</v>
      </c>
      <c r="F817" s="1113">
        <v>-1.59</v>
      </c>
      <c r="G817" s="1055">
        <v>0.216</v>
      </c>
      <c r="H817" s="1055">
        <v>-8.2000000000000003E-2</v>
      </c>
      <c r="I817" s="1055">
        <v>0.13500000000000001</v>
      </c>
      <c r="J817" s="27">
        <f>K817</f>
        <v>0.35199999999999998</v>
      </c>
      <c r="K817" s="1113">
        <v>0.35199999999999998</v>
      </c>
      <c r="L817" s="1055">
        <v>-1.45</v>
      </c>
      <c r="M817" s="1055">
        <v>-1.45</v>
      </c>
      <c r="N817" s="1055">
        <v>-2.4500000000000002</v>
      </c>
      <c r="O817" s="27">
        <f>P817</f>
        <v>0</v>
      </c>
      <c r="P817" s="1112"/>
      <c r="Q817" s="1055">
        <v>0</v>
      </c>
      <c r="R817" s="1055">
        <v>0</v>
      </c>
      <c r="S817" s="1055">
        <v>-1</v>
      </c>
      <c r="T817" s="27">
        <f>U817</f>
        <v>-1</v>
      </c>
      <c r="U817" s="1113">
        <v>-1</v>
      </c>
      <c r="V817" s="1055">
        <v>-1</v>
      </c>
      <c r="W817" s="1055">
        <v>-1</v>
      </c>
      <c r="X817" s="1055">
        <v>-1</v>
      </c>
      <c r="Y817" s="27">
        <f>Z817</f>
        <v>-6</v>
      </c>
      <c r="Z817" s="1113">
        <v>-6</v>
      </c>
      <c r="AA817" s="1055">
        <v>-4</v>
      </c>
      <c r="AB817" s="1055">
        <v>-4</v>
      </c>
      <c r="AC817" s="1055">
        <v>-3</v>
      </c>
      <c r="AD817" s="68">
        <f>AE817</f>
        <v>-5</v>
      </c>
      <c r="AE817" s="1113">
        <v>-5</v>
      </c>
      <c r="AF817" s="1055">
        <v>-5</v>
      </c>
      <c r="AG817" s="1055">
        <v>-16</v>
      </c>
      <c r="AH817" s="1055">
        <v>-26</v>
      </c>
      <c r="AI817" s="68">
        <f>AJ817</f>
        <v>-36</v>
      </c>
      <c r="AJ817" s="1113">
        <v>-36</v>
      </c>
      <c r="AK817" s="68"/>
      <c r="AL817" s="68"/>
      <c r="AM817" s="1055">
        <v>-9</v>
      </c>
      <c r="AN817" s="68">
        <f t="shared" si="1966"/>
        <v>-9</v>
      </c>
      <c r="AO817" s="1113">
        <v>-9</v>
      </c>
      <c r="AP817" s="68"/>
      <c r="AQ817" s="68"/>
      <c r="AR817" s="68"/>
      <c r="AS817" s="68">
        <f t="shared" si="1967"/>
        <v>0</v>
      </c>
      <c r="AT817" s="1112"/>
      <c r="AU817" s="68"/>
      <c r="AV817" s="68"/>
      <c r="AW817" s="68"/>
      <c r="AX817" s="68">
        <f t="shared" si="1968"/>
        <v>0</v>
      </c>
      <c r="AY817" s="1112"/>
      <c r="AZ817" s="68"/>
      <c r="BA817" s="68"/>
      <c r="BB817" s="68"/>
      <c r="BC817" s="68">
        <f t="shared" si="1969"/>
        <v>0</v>
      </c>
      <c r="BD817" s="1112"/>
      <c r="BE817" s="68"/>
      <c r="BF817" s="68"/>
      <c r="BG817" s="68"/>
      <c r="BH817" s="68">
        <f t="shared" si="1970"/>
        <v>0</v>
      </c>
      <c r="BI817" s="1112"/>
      <c r="BJ817" s="68"/>
      <c r="BK817" s="68"/>
      <c r="BL817" s="68"/>
      <c r="BM817" s="68">
        <f t="shared" si="1971"/>
        <v>0</v>
      </c>
      <c r="BN817" s="1112"/>
      <c r="BO817" s="68"/>
      <c r="BP817" s="68"/>
      <c r="BQ817" s="68"/>
      <c r="BR817" s="68">
        <f t="shared" si="1972"/>
        <v>22</v>
      </c>
      <c r="BS817" s="1113">
        <v>22</v>
      </c>
      <c r="BT817" s="68"/>
      <c r="BU817" s="68"/>
      <c r="BV817" s="68"/>
      <c r="BW817" s="68">
        <f t="shared" si="1973"/>
        <v>0</v>
      </c>
      <c r="BX817" s="1112"/>
      <c r="BY817" s="588"/>
      <c r="BZ817" s="68"/>
      <c r="CA817" s="68"/>
      <c r="CB817" s="68"/>
      <c r="CC817" s="1112"/>
      <c r="CD817" s="68"/>
      <c r="CE817" s="68"/>
      <c r="CF817" s="68"/>
      <c r="CG817" s="68"/>
      <c r="CH817" s="1112"/>
      <c r="CI817" s="1112"/>
      <c r="CJ817" s="1112"/>
      <c r="CK817" s="1112"/>
      <c r="CL817" s="155"/>
    </row>
    <row r="818" spans="1:90" hidden="1" outlineLevel="1" x14ac:dyDescent="0.3">
      <c r="A818" s="59" t="s">
        <v>171</v>
      </c>
      <c r="B818" s="607"/>
      <c r="C818" s="1125">
        <f t="shared" ref="C818:AH818" si="1974">SUM(C808:C817)</f>
        <v>-209.36700000000005</v>
      </c>
      <c r="D818" s="1125">
        <f t="shared" si="1974"/>
        <v>-519.33300000000008</v>
      </c>
      <c r="E818" s="1125">
        <f t="shared" si="1974"/>
        <v>-649.678</v>
      </c>
      <c r="F818" s="1125">
        <f t="shared" si="1974"/>
        <v>-1143.3639999999998</v>
      </c>
      <c r="G818" s="60">
        <f t="shared" si="1974"/>
        <v>-335.05399999999997</v>
      </c>
      <c r="H818" s="60">
        <f t="shared" si="1974"/>
        <v>-419.75700000000001</v>
      </c>
      <c r="I818" s="60">
        <f t="shared" si="1974"/>
        <v>-602.55600000000004</v>
      </c>
      <c r="J818" s="60">
        <f t="shared" si="1974"/>
        <v>-743.99200000000019</v>
      </c>
      <c r="K818" s="1125">
        <f t="shared" si="1974"/>
        <v>-743.99200000000019</v>
      </c>
      <c r="L818" s="60">
        <f t="shared" si="1974"/>
        <v>-230.78600000000003</v>
      </c>
      <c r="M818" s="60">
        <f t="shared" si="1974"/>
        <v>481.03199999999998</v>
      </c>
      <c r="N818" s="60">
        <f t="shared" si="1974"/>
        <v>293.65900000000005</v>
      </c>
      <c r="O818" s="60">
        <f t="shared" si="1974"/>
        <v>-805.93700000000013</v>
      </c>
      <c r="P818" s="1125">
        <f t="shared" si="1974"/>
        <v>-805.93700000000013</v>
      </c>
      <c r="Q818" s="60">
        <f t="shared" si="1974"/>
        <v>-330</v>
      </c>
      <c r="R818" s="60">
        <f t="shared" si="1974"/>
        <v>-394</v>
      </c>
      <c r="S818" s="60">
        <f t="shared" si="1974"/>
        <v>-409</v>
      </c>
      <c r="T818" s="60">
        <f t="shared" si="1974"/>
        <v>-727</v>
      </c>
      <c r="U818" s="1125">
        <f t="shared" si="1974"/>
        <v>-727</v>
      </c>
      <c r="V818" s="60">
        <f t="shared" si="1974"/>
        <v>-235</v>
      </c>
      <c r="W818" s="60">
        <f t="shared" si="1974"/>
        <v>12</v>
      </c>
      <c r="X818" s="60">
        <f t="shared" si="1974"/>
        <v>-187</v>
      </c>
      <c r="Y818" s="60">
        <f t="shared" si="1974"/>
        <v>-400</v>
      </c>
      <c r="Z818" s="1125">
        <f t="shared" si="1974"/>
        <v>-400</v>
      </c>
      <c r="AA818" s="60">
        <f t="shared" si="1974"/>
        <v>176</v>
      </c>
      <c r="AB818" s="60">
        <f t="shared" si="1974"/>
        <v>-93</v>
      </c>
      <c r="AC818" s="61">
        <f t="shared" si="1974"/>
        <v>-420</v>
      </c>
      <c r="AD818" s="61">
        <f t="shared" si="1974"/>
        <v>-793</v>
      </c>
      <c r="AE818" s="1124">
        <f t="shared" si="1974"/>
        <v>-793</v>
      </c>
      <c r="AF818" s="61">
        <f t="shared" si="1974"/>
        <v>754</v>
      </c>
      <c r="AG818" s="60">
        <f t="shared" si="1974"/>
        <v>1016</v>
      </c>
      <c r="AH818" s="60">
        <f t="shared" si="1974"/>
        <v>1302</v>
      </c>
      <c r="AI818" s="61">
        <f t="shared" ref="AI818:AV818" si="1975">SUM(AI808:AI817)</f>
        <v>1278</v>
      </c>
      <c r="AJ818" s="1124">
        <f t="shared" si="1975"/>
        <v>1278</v>
      </c>
      <c r="AK818" s="60">
        <f t="shared" si="1975"/>
        <v>-3551</v>
      </c>
      <c r="AL818" s="60">
        <f t="shared" si="1975"/>
        <v>-4356</v>
      </c>
      <c r="AM818" s="60">
        <f t="shared" si="1975"/>
        <v>-4137</v>
      </c>
      <c r="AN818" s="61">
        <f t="shared" si="1975"/>
        <v>-4097</v>
      </c>
      <c r="AO818" s="1124">
        <f t="shared" si="1975"/>
        <v>-4097</v>
      </c>
      <c r="AP818" s="60">
        <f t="shared" si="1975"/>
        <v>1495</v>
      </c>
      <c r="AQ818" s="61">
        <f t="shared" si="1975"/>
        <v>5040</v>
      </c>
      <c r="AR818" s="60">
        <f t="shared" si="1975"/>
        <v>6296</v>
      </c>
      <c r="AS818" s="61">
        <f t="shared" si="1975"/>
        <v>6145</v>
      </c>
      <c r="AT818" s="1124">
        <f t="shared" si="1975"/>
        <v>6145</v>
      </c>
      <c r="AU818" s="60">
        <f t="shared" si="1975"/>
        <v>-1055</v>
      </c>
      <c r="AV818" s="61">
        <f t="shared" si="1975"/>
        <v>-14545</v>
      </c>
      <c r="AW818" s="60">
        <f t="shared" ref="AW818:BB818" si="1976">SUM(AW808:AW817)</f>
        <v>-16546</v>
      </c>
      <c r="AX818" s="61">
        <f t="shared" si="1976"/>
        <v>-19675</v>
      </c>
      <c r="AY818" s="1124">
        <f t="shared" si="1976"/>
        <v>-19675</v>
      </c>
      <c r="AZ818" s="60">
        <f t="shared" si="1976"/>
        <v>-1272</v>
      </c>
      <c r="BA818" s="61">
        <f t="shared" si="1976"/>
        <v>-3805</v>
      </c>
      <c r="BB818" s="60">
        <f t="shared" si="1976"/>
        <v>-8244</v>
      </c>
      <c r="BC818" s="61">
        <f t="shared" ref="BC818:BD818" si="1977">SUM(BC808:BC817)</f>
        <v>-9830</v>
      </c>
      <c r="BD818" s="1124">
        <f t="shared" si="1977"/>
        <v>-9830</v>
      </c>
      <c r="BE818" s="60">
        <f t="shared" ref="BE818:BI818" si="1978">SUM(BE808:BE817)</f>
        <v>2612</v>
      </c>
      <c r="BF818" s="61">
        <f t="shared" si="1978"/>
        <v>4230</v>
      </c>
      <c r="BG818" s="60">
        <f t="shared" si="1978"/>
        <v>7378</v>
      </c>
      <c r="BH818" s="61">
        <f t="shared" si="1978"/>
        <v>7375</v>
      </c>
      <c r="BI818" s="1124">
        <f t="shared" si="1978"/>
        <v>7375</v>
      </c>
      <c r="BJ818" s="60">
        <f t="shared" ref="BJ818:BO818" si="1979">SUM(BJ808:BJ817)</f>
        <v>-841</v>
      </c>
      <c r="BK818" s="61">
        <f t="shared" si="1979"/>
        <v>-1287</v>
      </c>
      <c r="BL818" s="60">
        <f t="shared" si="1979"/>
        <v>-4457</v>
      </c>
      <c r="BM818" s="61">
        <f t="shared" si="1979"/>
        <v>-10566</v>
      </c>
      <c r="BN818" s="1124">
        <f t="shared" si="1979"/>
        <v>-10566</v>
      </c>
      <c r="BO818" s="60">
        <f t="shared" si="1979"/>
        <v>-5693</v>
      </c>
      <c r="BP818" s="61">
        <f t="shared" ref="BP818:BU818" si="1980">SUM(BP808:BP817)</f>
        <v>-8877</v>
      </c>
      <c r="BQ818" s="60">
        <f t="shared" si="1980"/>
        <v>-13223</v>
      </c>
      <c r="BR818" s="61">
        <f t="shared" si="1980"/>
        <v>-20421</v>
      </c>
      <c r="BS818" s="1124">
        <f t="shared" si="1980"/>
        <v>-20421</v>
      </c>
      <c r="BT818" s="60">
        <f t="shared" si="1980"/>
        <v>-5216</v>
      </c>
      <c r="BU818" s="61">
        <f t="shared" si="1980"/>
        <v>-12343</v>
      </c>
      <c r="BV818" s="60">
        <f>SUM(BV808:BV817)</f>
        <v>-21367</v>
      </c>
      <c r="BW818" s="61">
        <f>SUM(BW808:BW817)</f>
        <v>-52228</v>
      </c>
      <c r="BX818" s="1124">
        <f>SUM(BX808:BX817)</f>
        <v>-52228</v>
      </c>
      <c r="BY818" s="895">
        <f>SUM(BY808:BY817)</f>
        <v>-26429</v>
      </c>
      <c r="BZ818" s="61"/>
      <c r="CA818" s="61"/>
      <c r="CB818" s="61"/>
      <c r="CC818" s="1124"/>
      <c r="CD818" s="61"/>
      <c r="CE818" s="61"/>
      <c r="CF818" s="61"/>
      <c r="CG818" s="61"/>
      <c r="CH818" s="1124"/>
      <c r="CI818" s="1124"/>
      <c r="CJ818" s="1124"/>
      <c r="CK818" s="1124"/>
      <c r="CL818" s="155"/>
    </row>
    <row r="819" spans="1:90" hidden="1" outlineLevel="1" x14ac:dyDescent="0.3">
      <c r="A819" s="600"/>
      <c r="B819" s="279"/>
      <c r="C819" s="1127"/>
      <c r="D819" s="1127"/>
      <c r="E819" s="1127"/>
      <c r="F819" s="1127"/>
      <c r="G819" s="63"/>
      <c r="H819" s="63"/>
      <c r="I819" s="63"/>
      <c r="J819" s="63"/>
      <c r="K819" s="1127"/>
      <c r="L819" s="63"/>
      <c r="M819" s="63"/>
      <c r="N819" s="63"/>
      <c r="O819" s="63"/>
      <c r="P819" s="1127"/>
      <c r="Q819" s="63"/>
      <c r="R819" s="63"/>
      <c r="S819" s="63"/>
      <c r="T819" s="63"/>
      <c r="U819" s="1127"/>
      <c r="V819" s="63"/>
      <c r="W819" s="63"/>
      <c r="X819" s="63"/>
      <c r="Y819" s="63"/>
      <c r="Z819" s="1127"/>
      <c r="AA819" s="63"/>
      <c r="AB819" s="63"/>
      <c r="AC819" s="63"/>
      <c r="AD819" s="63"/>
      <c r="AE819" s="1127"/>
      <c r="AF819" s="63"/>
      <c r="AG819" s="63"/>
      <c r="AH819" s="63"/>
      <c r="AI819" s="63"/>
      <c r="AJ819" s="1127"/>
      <c r="AK819" s="63"/>
      <c r="AL819" s="63"/>
      <c r="AM819" s="63"/>
      <c r="AN819" s="63"/>
      <c r="AO819" s="1127"/>
      <c r="AP819" s="63"/>
      <c r="AQ819" s="63"/>
      <c r="AR819" s="63"/>
      <c r="AS819" s="63"/>
      <c r="AT819" s="1127"/>
      <c r="AU819" s="63"/>
      <c r="AV819" s="63"/>
      <c r="AW819" s="63"/>
      <c r="AX819" s="63"/>
      <c r="AY819" s="1127"/>
      <c r="AZ819" s="63"/>
      <c r="BA819" s="63"/>
      <c r="BB819" s="63"/>
      <c r="BC819" s="63"/>
      <c r="BD819" s="1127"/>
      <c r="BE819" s="63"/>
      <c r="BF819" s="63"/>
      <c r="BG819" s="63"/>
      <c r="BH819" s="63"/>
      <c r="BI819" s="1127"/>
      <c r="BJ819" s="63"/>
      <c r="BK819" s="63"/>
      <c r="BL819" s="63"/>
      <c r="BM819" s="63"/>
      <c r="BN819" s="1127"/>
      <c r="BO819" s="63"/>
      <c r="BP819" s="63"/>
      <c r="BQ819" s="63"/>
      <c r="BR819" s="63"/>
      <c r="BS819" s="1127"/>
      <c r="BT819" s="63"/>
      <c r="BU819" s="63"/>
      <c r="BV819" s="63"/>
      <c r="BW819" s="63"/>
      <c r="BX819" s="1127"/>
      <c r="BY819" s="587"/>
      <c r="BZ819" s="63"/>
      <c r="CA819" s="63"/>
      <c r="CB819" s="63"/>
      <c r="CC819" s="1127"/>
      <c r="CD819" s="63"/>
      <c r="CE819" s="63"/>
      <c r="CF819" s="63"/>
      <c r="CG819" s="63"/>
      <c r="CH819" s="1127"/>
      <c r="CI819" s="1127"/>
      <c r="CJ819" s="1127"/>
      <c r="CK819" s="1127"/>
      <c r="CL819" s="155"/>
    </row>
    <row r="820" spans="1:90" hidden="1" outlineLevel="1" x14ac:dyDescent="0.3">
      <c r="A820" s="62" t="s">
        <v>172</v>
      </c>
      <c r="B820" s="279"/>
      <c r="C820" s="1127"/>
      <c r="D820" s="1127"/>
      <c r="E820" s="1127"/>
      <c r="F820" s="1127"/>
      <c r="G820" s="63"/>
      <c r="H820" s="63"/>
      <c r="I820" s="63"/>
      <c r="J820" s="63"/>
      <c r="K820" s="1127"/>
      <c r="L820" s="63"/>
      <c r="M820" s="63"/>
      <c r="N820" s="63"/>
      <c r="O820" s="63"/>
      <c r="P820" s="1127"/>
      <c r="Q820" s="63"/>
      <c r="R820" s="63"/>
      <c r="S820" s="63"/>
      <c r="T820" s="63"/>
      <c r="U820" s="1127"/>
      <c r="V820" s="63"/>
      <c r="W820" s="63"/>
      <c r="X820" s="63"/>
      <c r="Y820" s="63"/>
      <c r="Z820" s="1127"/>
      <c r="AA820" s="63"/>
      <c r="AB820" s="63"/>
      <c r="AC820" s="63"/>
      <c r="AD820" s="63"/>
      <c r="AE820" s="1127"/>
      <c r="AF820" s="63"/>
      <c r="AG820" s="63"/>
      <c r="AH820" s="63"/>
      <c r="AI820" s="63"/>
      <c r="AJ820" s="1127"/>
      <c r="AK820" s="63"/>
      <c r="AL820" s="63"/>
      <c r="AM820" s="63"/>
      <c r="AN820" s="63"/>
      <c r="AO820" s="1127"/>
      <c r="AP820" s="63"/>
      <c r="AQ820" s="63"/>
      <c r="AR820" s="63"/>
      <c r="AS820" s="63"/>
      <c r="AT820" s="1127"/>
      <c r="AU820" s="63"/>
      <c r="AV820" s="63"/>
      <c r="AW820" s="63"/>
      <c r="AX820" s="63"/>
      <c r="AY820" s="1127"/>
      <c r="AZ820" s="63"/>
      <c r="BA820" s="63"/>
      <c r="BB820" s="63"/>
      <c r="BC820" s="63"/>
      <c r="BD820" s="1127"/>
      <c r="BE820" s="63"/>
      <c r="BF820" s="63"/>
      <c r="BG820" s="63"/>
      <c r="BH820" s="63"/>
      <c r="BI820" s="1127"/>
      <c r="BJ820" s="63"/>
      <c r="BK820" s="63"/>
      <c r="BL820" s="63"/>
      <c r="BM820" s="63"/>
      <c r="BN820" s="1127"/>
      <c r="BO820" s="63"/>
      <c r="BP820" s="63"/>
      <c r="BQ820" s="63"/>
      <c r="BR820" s="63"/>
      <c r="BS820" s="1127"/>
      <c r="BT820" s="63"/>
      <c r="BU820" s="63"/>
      <c r="BV820" s="63"/>
      <c r="BW820" s="63"/>
      <c r="BX820" s="1127"/>
      <c r="BY820" s="587"/>
      <c r="BZ820" s="63"/>
      <c r="CA820" s="63"/>
      <c r="CB820" s="63"/>
      <c r="CC820" s="1127"/>
      <c r="CD820" s="63"/>
      <c r="CE820" s="63"/>
      <c r="CF820" s="63"/>
      <c r="CG820" s="63"/>
      <c r="CH820" s="1127"/>
      <c r="CI820" s="1127"/>
      <c r="CJ820" s="1127"/>
      <c r="CK820" s="1127"/>
      <c r="CL820" s="155"/>
    </row>
    <row r="821" spans="1:90" hidden="1" outlineLevel="1" x14ac:dyDescent="0.3">
      <c r="A821" s="67" t="s">
        <v>173</v>
      </c>
      <c r="B821" s="146"/>
      <c r="C821" s="1112"/>
      <c r="D821" s="1113">
        <v>-78.075000000000003</v>
      </c>
      <c r="E821" s="1112"/>
      <c r="F821" s="1112"/>
      <c r="G821" s="68"/>
      <c r="H821" s="68"/>
      <c r="I821" s="68"/>
      <c r="J821" s="27">
        <f>K821</f>
        <v>0</v>
      </c>
      <c r="K821" s="1112"/>
      <c r="L821" s="68"/>
      <c r="M821" s="68"/>
      <c r="N821" s="68"/>
      <c r="O821" s="27">
        <f>P821</f>
        <v>0</v>
      </c>
      <c r="P821" s="1112"/>
      <c r="Q821" s="68"/>
      <c r="R821" s="68"/>
      <c r="S821" s="68"/>
      <c r="T821" s="27">
        <f>U821</f>
        <v>0</v>
      </c>
      <c r="U821" s="1112"/>
      <c r="V821" s="68"/>
      <c r="W821" s="68"/>
      <c r="X821" s="68"/>
      <c r="Y821" s="27">
        <f>Z821</f>
        <v>0</v>
      </c>
      <c r="Z821" s="1112"/>
      <c r="AA821" s="68"/>
      <c r="AB821" s="68"/>
      <c r="AC821" s="68"/>
      <c r="AD821" s="68">
        <f>AE821</f>
        <v>0</v>
      </c>
      <c r="AE821" s="1112"/>
      <c r="AF821" s="68"/>
      <c r="AG821" s="68"/>
      <c r="AH821" s="68"/>
      <c r="AI821" s="68">
        <f>AJ821</f>
        <v>0</v>
      </c>
      <c r="AJ821" s="1112"/>
      <c r="AK821" s="68"/>
      <c r="AL821" s="68"/>
      <c r="AM821" s="68"/>
      <c r="AN821" s="68">
        <f>AO821</f>
        <v>0</v>
      </c>
      <c r="AO821" s="1112"/>
      <c r="AP821" s="68"/>
      <c r="AQ821" s="68"/>
      <c r="AR821" s="68"/>
      <c r="AS821" s="68">
        <f>AT821</f>
        <v>0</v>
      </c>
      <c r="AT821" s="1112"/>
      <c r="AU821" s="68"/>
      <c r="AV821" s="68"/>
      <c r="AW821" s="68"/>
      <c r="AX821" s="68">
        <f>AY821</f>
        <v>0</v>
      </c>
      <c r="AY821" s="1112"/>
      <c r="AZ821" s="68"/>
      <c r="BA821" s="68"/>
      <c r="BB821" s="68"/>
      <c r="BC821" s="68">
        <f t="shared" ref="BC821:BC827" si="1981">BD821</f>
        <v>0</v>
      </c>
      <c r="BD821" s="1112"/>
      <c r="BE821" s="68"/>
      <c r="BF821" s="68"/>
      <c r="BG821" s="68"/>
      <c r="BH821" s="68">
        <f t="shared" ref="BH821:BH837" si="1982">BI821</f>
        <v>0</v>
      </c>
      <c r="BI821" s="1112"/>
      <c r="BJ821" s="68"/>
      <c r="BK821" s="68"/>
      <c r="BL821" s="68"/>
      <c r="BM821" s="68">
        <f t="shared" ref="BM821:BM837" si="1983">BN821</f>
        <v>0</v>
      </c>
      <c r="BN821" s="1112"/>
      <c r="BO821" s="68"/>
      <c r="BP821" s="68"/>
      <c r="BQ821" s="68"/>
      <c r="BR821" s="68">
        <f t="shared" ref="BR821:BR837" si="1984">BS821</f>
        <v>0</v>
      </c>
      <c r="BS821" s="1112"/>
      <c r="BT821" s="68"/>
      <c r="BU821" s="68"/>
      <c r="BV821" s="68"/>
      <c r="BW821" s="68">
        <f t="shared" ref="BW821:BW837" si="1985">BX821</f>
        <v>0</v>
      </c>
      <c r="BX821" s="1112"/>
      <c r="BY821" s="588"/>
      <c r="BZ821" s="68"/>
      <c r="CA821" s="68"/>
      <c r="CB821" s="68"/>
      <c r="CC821" s="1112"/>
      <c r="CD821" s="68"/>
      <c r="CE821" s="68"/>
      <c r="CF821" s="68"/>
      <c r="CG821" s="68"/>
      <c r="CH821" s="1112"/>
      <c r="CI821" s="1112"/>
      <c r="CJ821" s="1112"/>
      <c r="CK821" s="1112"/>
      <c r="CL821" s="155"/>
    </row>
    <row r="822" spans="1:90" hidden="1" outlineLevel="1" x14ac:dyDescent="0.3">
      <c r="A822" s="67" t="s">
        <v>174</v>
      </c>
      <c r="B822" s="146"/>
      <c r="C822" s="1112"/>
      <c r="D822" s="1112"/>
      <c r="E822" s="1112"/>
      <c r="F822" s="1112"/>
      <c r="G822" s="68"/>
      <c r="H822" s="68"/>
      <c r="I822" s="68"/>
      <c r="J822" s="27">
        <f>K822</f>
        <v>0</v>
      </c>
      <c r="K822" s="1113">
        <v>0</v>
      </c>
      <c r="L822" s="68"/>
      <c r="M822" s="68"/>
      <c r="N822" s="68"/>
      <c r="O822" s="27">
        <f>P822</f>
        <v>1477.5</v>
      </c>
      <c r="P822" s="1113">
        <v>1477.5</v>
      </c>
      <c r="Q822" s="68"/>
      <c r="R822" s="68"/>
      <c r="S822" s="68"/>
      <c r="T822" s="27">
        <f>U822</f>
        <v>0</v>
      </c>
      <c r="U822" s="1112"/>
      <c r="V822" s="68"/>
      <c r="W822" s="68"/>
      <c r="X822" s="68"/>
      <c r="Y822" s="27">
        <f>Z822</f>
        <v>0</v>
      </c>
      <c r="Z822" s="1112"/>
      <c r="AA822" s="68"/>
      <c r="AB822" s="68"/>
      <c r="AC822" s="1055">
        <v>1988</v>
      </c>
      <c r="AD822" s="68">
        <f>AE822</f>
        <v>1988</v>
      </c>
      <c r="AE822" s="1113">
        <v>1988</v>
      </c>
      <c r="AF822" s="68"/>
      <c r="AG822" s="68"/>
      <c r="AH822" s="68"/>
      <c r="AI822" s="68">
        <f>AJ822</f>
        <v>0</v>
      </c>
      <c r="AJ822" s="1112"/>
      <c r="AK822" s="68"/>
      <c r="AL822" s="68"/>
      <c r="AM822" s="68"/>
      <c r="AN822" s="68">
        <f>AO822</f>
        <v>0</v>
      </c>
      <c r="AO822" s="1112"/>
      <c r="AP822" s="68"/>
      <c r="AQ822" s="68"/>
      <c r="AR822" s="68"/>
      <c r="AS822" s="68">
        <f>AT822</f>
        <v>0</v>
      </c>
      <c r="AT822" s="1112"/>
      <c r="AU822" s="68"/>
      <c r="AV822" s="68"/>
      <c r="AW822" s="68"/>
      <c r="AX822" s="68">
        <f>AY822</f>
        <v>0</v>
      </c>
      <c r="AY822" s="1112"/>
      <c r="AZ822" s="68"/>
      <c r="BA822" s="68"/>
      <c r="BB822" s="68"/>
      <c r="BC822" s="68">
        <f t="shared" si="1981"/>
        <v>0</v>
      </c>
      <c r="BD822" s="1112"/>
      <c r="BE822" s="68"/>
      <c r="BF822" s="68"/>
      <c r="BG822" s="68"/>
      <c r="BH822" s="68">
        <f t="shared" si="1982"/>
        <v>0</v>
      </c>
      <c r="BI822" s="1112"/>
      <c r="BJ822" s="68"/>
      <c r="BK822" s="68"/>
      <c r="BL822" s="68"/>
      <c r="BM822" s="68">
        <f t="shared" si="1983"/>
        <v>0</v>
      </c>
      <c r="BN822" s="1112"/>
      <c r="BO822" s="68"/>
      <c r="BP822" s="68"/>
      <c r="BQ822" s="68"/>
      <c r="BR822" s="68">
        <f t="shared" si="1984"/>
        <v>0</v>
      </c>
      <c r="BS822" s="1112"/>
      <c r="BT822" s="68"/>
      <c r="BU822" s="68"/>
      <c r="BV822" s="68"/>
      <c r="BW822" s="68">
        <f t="shared" si="1985"/>
        <v>0</v>
      </c>
      <c r="BX822" s="1112"/>
      <c r="BY822" s="588"/>
      <c r="BZ822" s="68"/>
      <c r="CA822" s="68"/>
      <c r="CB822" s="68"/>
      <c r="CC822" s="1112"/>
      <c r="CD822" s="68"/>
      <c r="CE822" s="68"/>
      <c r="CF822" s="68"/>
      <c r="CG822" s="68"/>
      <c r="CH822" s="1112"/>
      <c r="CI822" s="1112"/>
      <c r="CJ822" s="1112"/>
      <c r="CK822" s="1112"/>
      <c r="CL822" s="155"/>
    </row>
    <row r="823" spans="1:90" hidden="1" outlineLevel="1" x14ac:dyDescent="0.3">
      <c r="A823" s="67" t="s">
        <v>581</v>
      </c>
      <c r="B823" s="146"/>
      <c r="C823" s="1112"/>
      <c r="D823" s="1112"/>
      <c r="E823" s="1112"/>
      <c r="F823" s="1112"/>
      <c r="G823" s="68"/>
      <c r="H823" s="68"/>
      <c r="I823" s="68"/>
      <c r="J823" s="68"/>
      <c r="K823" s="1112"/>
      <c r="L823" s="68"/>
      <c r="M823" s="68"/>
      <c r="N823" s="68"/>
      <c r="O823" s="68"/>
      <c r="P823" s="1112"/>
      <c r="Q823" s="68"/>
      <c r="R823" s="68"/>
      <c r="S823" s="68"/>
      <c r="T823" s="68"/>
      <c r="U823" s="1112"/>
      <c r="V823" s="68"/>
      <c r="W823" s="68"/>
      <c r="X823" s="68"/>
      <c r="Y823" s="68"/>
      <c r="Z823" s="1112"/>
      <c r="AA823" s="68"/>
      <c r="AB823" s="68"/>
      <c r="AC823" s="68"/>
      <c r="AD823" s="68"/>
      <c r="AE823" s="1112"/>
      <c r="AF823" s="68"/>
      <c r="AG823" s="68"/>
      <c r="AH823" s="68"/>
      <c r="AI823" s="68"/>
      <c r="AJ823" s="1112"/>
      <c r="AK823" s="68"/>
      <c r="AL823" s="68"/>
      <c r="AM823" s="68"/>
      <c r="AN823" s="68"/>
      <c r="AO823" s="1112"/>
      <c r="AP823" s="68"/>
      <c r="AQ823" s="68"/>
      <c r="AR823" s="68"/>
      <c r="AS823" s="68"/>
      <c r="AT823" s="1112"/>
      <c r="AU823" s="1055">
        <v>4979</v>
      </c>
      <c r="AV823" s="1055">
        <v>4971</v>
      </c>
      <c r="AW823" s="1055">
        <v>4971</v>
      </c>
      <c r="AX823" s="68">
        <f>AY823</f>
        <v>4968</v>
      </c>
      <c r="AY823" s="1113">
        <v>4968</v>
      </c>
      <c r="AZ823" s="1055">
        <v>0</v>
      </c>
      <c r="BA823" s="1055">
        <v>4985</v>
      </c>
      <c r="BB823" s="1055">
        <v>4977</v>
      </c>
      <c r="BC823" s="68">
        <f t="shared" si="1981"/>
        <v>4977</v>
      </c>
      <c r="BD823" s="1113">
        <v>4977</v>
      </c>
      <c r="BE823" s="68"/>
      <c r="BF823" s="68"/>
      <c r="BG823" s="68"/>
      <c r="BH823" s="68">
        <f t="shared" si="1982"/>
        <v>0</v>
      </c>
      <c r="BI823" s="1112"/>
      <c r="BJ823" s="68"/>
      <c r="BK823" s="68"/>
      <c r="BL823" s="68"/>
      <c r="BM823" s="68">
        <f t="shared" si="1983"/>
        <v>0</v>
      </c>
      <c r="BN823" s="1112"/>
      <c r="BO823" s="68"/>
      <c r="BP823" s="68"/>
      <c r="BQ823" s="68"/>
      <c r="BR823" s="68">
        <f t="shared" si="1984"/>
        <v>0</v>
      </c>
      <c r="BS823" s="1112"/>
      <c r="BT823" s="68"/>
      <c r="BU823" s="68"/>
      <c r="BV823" s="68"/>
      <c r="BW823" s="68">
        <f t="shared" si="1985"/>
        <v>0</v>
      </c>
      <c r="BX823" s="1112"/>
      <c r="BY823" s="588"/>
      <c r="BZ823" s="68"/>
      <c r="CA823" s="68"/>
      <c r="CB823" s="68"/>
      <c r="CC823" s="1112"/>
      <c r="CD823" s="68"/>
      <c r="CE823" s="68"/>
      <c r="CF823" s="68"/>
      <c r="CG823" s="68"/>
      <c r="CH823" s="1112"/>
      <c r="CI823" s="1112"/>
      <c r="CJ823" s="1112"/>
      <c r="CK823" s="1112"/>
      <c r="CL823" s="155"/>
    </row>
    <row r="824" spans="1:90" hidden="1" outlineLevel="1" x14ac:dyDescent="0.3">
      <c r="A824" s="67" t="s">
        <v>175</v>
      </c>
      <c r="B824" s="146"/>
      <c r="C824" s="1112"/>
      <c r="D824" s="1112"/>
      <c r="E824" s="1112"/>
      <c r="F824" s="1112"/>
      <c r="G824" s="68"/>
      <c r="H824" s="68"/>
      <c r="I824" s="68"/>
      <c r="J824" s="27">
        <f>K824</f>
        <v>0</v>
      </c>
      <c r="K824" s="1113">
        <v>0</v>
      </c>
      <c r="L824" s="68"/>
      <c r="M824" s="68"/>
      <c r="N824" s="68"/>
      <c r="O824" s="27">
        <f>P824</f>
        <v>-167.1</v>
      </c>
      <c r="P824" s="1113">
        <v>-167.1</v>
      </c>
      <c r="Q824" s="68"/>
      <c r="R824" s="68"/>
      <c r="S824" s="68"/>
      <c r="T824" s="27">
        <f>U824</f>
        <v>0</v>
      </c>
      <c r="U824" s="1112"/>
      <c r="V824" s="68"/>
      <c r="W824" s="68"/>
      <c r="X824" s="68"/>
      <c r="Y824" s="27">
        <f>Z824</f>
        <v>0</v>
      </c>
      <c r="Z824" s="1112"/>
      <c r="AA824" s="68"/>
      <c r="AB824" s="68"/>
      <c r="AC824" s="68"/>
      <c r="AD824" s="68">
        <f>AE824</f>
        <v>0</v>
      </c>
      <c r="AE824" s="1112"/>
      <c r="AF824" s="68"/>
      <c r="AG824" s="68"/>
      <c r="AH824" s="68"/>
      <c r="AI824" s="68">
        <f t="shared" ref="AI824:AI837" si="1986">AJ824</f>
        <v>0</v>
      </c>
      <c r="AJ824" s="1112"/>
      <c r="AK824" s="68"/>
      <c r="AL824" s="68"/>
      <c r="AM824" s="68"/>
      <c r="AN824" s="68">
        <f t="shared" ref="AN824:AN837" si="1987">AO824</f>
        <v>0</v>
      </c>
      <c r="AO824" s="1112"/>
      <c r="AP824" s="68"/>
      <c r="AQ824" s="68"/>
      <c r="AR824" s="68"/>
      <c r="AS824" s="68">
        <f t="shared" ref="AS824:AS837" si="1988">AT824</f>
        <v>0</v>
      </c>
      <c r="AT824" s="1112"/>
      <c r="AU824" s="68"/>
      <c r="AV824" s="68"/>
      <c r="AW824" s="68"/>
      <c r="AX824" s="68">
        <f t="shared" ref="AX824:AX837" si="1989">AY824</f>
        <v>0</v>
      </c>
      <c r="AY824" s="1112"/>
      <c r="AZ824" s="68"/>
      <c r="BA824" s="68"/>
      <c r="BB824" s="68"/>
      <c r="BC824" s="68">
        <f t="shared" si="1981"/>
        <v>0</v>
      </c>
      <c r="BD824" s="1112"/>
      <c r="BE824" s="68"/>
      <c r="BF824" s="68"/>
      <c r="BG824" s="68"/>
      <c r="BH824" s="68">
        <f t="shared" si="1982"/>
        <v>0</v>
      </c>
      <c r="BI824" s="1112"/>
      <c r="BJ824" s="68"/>
      <c r="BK824" s="68"/>
      <c r="BL824" s="68"/>
      <c r="BM824" s="68">
        <f t="shared" si="1983"/>
        <v>0</v>
      </c>
      <c r="BN824" s="1112"/>
      <c r="BO824" s="68"/>
      <c r="BP824" s="68"/>
      <c r="BQ824" s="68"/>
      <c r="BR824" s="68">
        <f t="shared" si="1984"/>
        <v>0</v>
      </c>
      <c r="BS824" s="1112"/>
      <c r="BT824" s="68"/>
      <c r="BU824" s="68"/>
      <c r="BV824" s="68"/>
      <c r="BW824" s="68">
        <f t="shared" si="1985"/>
        <v>0</v>
      </c>
      <c r="BX824" s="1112"/>
      <c r="BY824" s="588"/>
      <c r="BZ824" s="68"/>
      <c r="CA824" s="68"/>
      <c r="CB824" s="68"/>
      <c r="CC824" s="1112"/>
      <c r="CD824" s="68"/>
      <c r="CE824" s="68"/>
      <c r="CF824" s="68"/>
      <c r="CG824" s="68"/>
      <c r="CH824" s="1112"/>
      <c r="CI824" s="1112"/>
      <c r="CJ824" s="1112"/>
      <c r="CK824" s="1112"/>
      <c r="CL824" s="155"/>
    </row>
    <row r="825" spans="1:90" hidden="1" outlineLevel="1" x14ac:dyDescent="0.3">
      <c r="A825" s="67" t="s">
        <v>176</v>
      </c>
      <c r="B825" s="146"/>
      <c r="C825" s="1112"/>
      <c r="D825" s="1112"/>
      <c r="E825" s="1112"/>
      <c r="F825" s="1112"/>
      <c r="G825" s="68"/>
      <c r="H825" s="68"/>
      <c r="I825" s="68"/>
      <c r="J825" s="27">
        <f>K825</f>
        <v>0</v>
      </c>
      <c r="K825" s="1113">
        <v>0</v>
      </c>
      <c r="L825" s="68"/>
      <c r="M825" s="68"/>
      <c r="N825" s="68"/>
      <c r="O825" s="27">
        <f>P825</f>
        <v>59.1</v>
      </c>
      <c r="P825" s="1113">
        <v>59.1</v>
      </c>
      <c r="Q825" s="68"/>
      <c r="R825" s="68"/>
      <c r="S825" s="68"/>
      <c r="T825" s="27">
        <f>U825</f>
        <v>0</v>
      </c>
      <c r="U825" s="1112"/>
      <c r="V825" s="68"/>
      <c r="W825" s="68"/>
      <c r="X825" s="68"/>
      <c r="Y825" s="27">
        <f>Z825</f>
        <v>0</v>
      </c>
      <c r="Z825" s="1112"/>
      <c r="AA825" s="68"/>
      <c r="AB825" s="68"/>
      <c r="AC825" s="68"/>
      <c r="AD825" s="68">
        <f>AE825</f>
        <v>0</v>
      </c>
      <c r="AE825" s="1112"/>
      <c r="AF825" s="68"/>
      <c r="AG825" s="68"/>
      <c r="AH825" s="68"/>
      <c r="AI825" s="68">
        <f t="shared" si="1986"/>
        <v>0</v>
      </c>
      <c r="AJ825" s="1112"/>
      <c r="AK825" s="68"/>
      <c r="AL825" s="68"/>
      <c r="AM825" s="68"/>
      <c r="AN825" s="68">
        <f t="shared" si="1987"/>
        <v>0</v>
      </c>
      <c r="AO825" s="1112"/>
      <c r="AP825" s="68"/>
      <c r="AQ825" s="68"/>
      <c r="AR825" s="68"/>
      <c r="AS825" s="68">
        <f t="shared" si="1988"/>
        <v>0</v>
      </c>
      <c r="AT825" s="1112"/>
      <c r="AU825" s="68"/>
      <c r="AV825" s="68"/>
      <c r="AW825" s="68"/>
      <c r="AX825" s="68">
        <f t="shared" si="1989"/>
        <v>0</v>
      </c>
      <c r="AY825" s="1112"/>
      <c r="AZ825" s="68"/>
      <c r="BA825" s="68"/>
      <c r="BB825" s="68"/>
      <c r="BC825" s="68">
        <f t="shared" si="1981"/>
        <v>0</v>
      </c>
      <c r="BD825" s="1112"/>
      <c r="BE825" s="68"/>
      <c r="BF825" s="68"/>
      <c r="BG825" s="68"/>
      <c r="BH825" s="68">
        <f t="shared" si="1982"/>
        <v>0</v>
      </c>
      <c r="BI825" s="1112"/>
      <c r="BJ825" s="68"/>
      <c r="BK825" s="68"/>
      <c r="BL825" s="68"/>
      <c r="BM825" s="68">
        <f t="shared" si="1983"/>
        <v>0</v>
      </c>
      <c r="BN825" s="1112"/>
      <c r="BO825" s="68"/>
      <c r="BP825" s="68"/>
      <c r="BQ825" s="68"/>
      <c r="BR825" s="68">
        <f t="shared" si="1984"/>
        <v>0</v>
      </c>
      <c r="BS825" s="1112"/>
      <c r="BT825" s="68"/>
      <c r="BU825" s="68"/>
      <c r="BV825" s="68"/>
      <c r="BW825" s="68">
        <f t="shared" si="1985"/>
        <v>0</v>
      </c>
      <c r="BX825" s="1112"/>
      <c r="BY825" s="588"/>
      <c r="BZ825" s="68"/>
      <c r="CA825" s="68"/>
      <c r="CB825" s="68"/>
      <c r="CC825" s="1112"/>
      <c r="CD825" s="68"/>
      <c r="CE825" s="68"/>
      <c r="CF825" s="68"/>
      <c r="CG825" s="68"/>
      <c r="CH825" s="1112"/>
      <c r="CI825" s="1112"/>
      <c r="CJ825" s="1112"/>
      <c r="CK825" s="1112"/>
      <c r="CL825" s="155"/>
    </row>
    <row r="826" spans="1:90" hidden="1" outlineLevel="1" x14ac:dyDescent="0.3">
      <c r="A826" s="67" t="s">
        <v>177</v>
      </c>
      <c r="B826" s="146"/>
      <c r="C826" s="1113">
        <v>73.546999999999997</v>
      </c>
      <c r="D826" s="1113">
        <v>138.029</v>
      </c>
      <c r="E826" s="1113">
        <v>177.27600000000001</v>
      </c>
      <c r="F826" s="1113">
        <v>195.857</v>
      </c>
      <c r="G826" s="1055">
        <v>37.360999999999997</v>
      </c>
      <c r="H826" s="1055">
        <v>42.677999999999997</v>
      </c>
      <c r="I826" s="1055">
        <v>62.780999999999999</v>
      </c>
      <c r="J826" s="27">
        <f>K826</f>
        <v>64.935000000000002</v>
      </c>
      <c r="K826" s="1113">
        <v>64.935000000000002</v>
      </c>
      <c r="L826" s="1055">
        <v>22.995999999999999</v>
      </c>
      <c r="M826" s="1055">
        <v>31.303000000000001</v>
      </c>
      <c r="N826" s="1055">
        <v>64.748999999999995</v>
      </c>
      <c r="O826" s="27">
        <f>P826</f>
        <v>70.17</v>
      </c>
      <c r="P826" s="1113">
        <v>70.17</v>
      </c>
      <c r="Q826" s="1055">
        <v>80</v>
      </c>
      <c r="R826" s="1055">
        <v>98</v>
      </c>
      <c r="S826" s="1055">
        <v>129</v>
      </c>
      <c r="T826" s="1055">
        <v>154</v>
      </c>
      <c r="U826" s="1113">
        <v>154</v>
      </c>
      <c r="V826" s="1055">
        <v>50</v>
      </c>
      <c r="W826" s="1055">
        <v>64</v>
      </c>
      <c r="X826" s="1055">
        <v>99</v>
      </c>
      <c r="Y826" s="1055">
        <v>120</v>
      </c>
      <c r="Z826" s="1113">
        <v>120</v>
      </c>
      <c r="AA826" s="1055">
        <v>70</v>
      </c>
      <c r="AB826" s="1055">
        <v>91</v>
      </c>
      <c r="AC826" s="1055">
        <v>148</v>
      </c>
      <c r="AD826" s="68">
        <f>AE826</f>
        <v>167</v>
      </c>
      <c r="AE826" s="1113">
        <v>167</v>
      </c>
      <c r="AF826" s="1055">
        <v>65</v>
      </c>
      <c r="AG826" s="1055">
        <v>76</v>
      </c>
      <c r="AH826" s="1055">
        <v>132</v>
      </c>
      <c r="AI826" s="68">
        <f t="shared" si="1986"/>
        <v>139</v>
      </c>
      <c r="AJ826" s="1113">
        <v>139</v>
      </c>
      <c r="AK826" s="1055">
        <v>66</v>
      </c>
      <c r="AL826" s="1055">
        <v>69</v>
      </c>
      <c r="AM826" s="1055">
        <v>135</v>
      </c>
      <c r="AN826" s="68">
        <f t="shared" si="1987"/>
        <v>137</v>
      </c>
      <c r="AO826" s="1113">
        <v>137</v>
      </c>
      <c r="AP826" s="1055">
        <v>83</v>
      </c>
      <c r="AQ826" s="1055">
        <v>83</v>
      </c>
      <c r="AR826" s="1055">
        <v>146</v>
      </c>
      <c r="AS826" s="68">
        <f t="shared" si="1988"/>
        <v>149</v>
      </c>
      <c r="AT826" s="1113">
        <v>149</v>
      </c>
      <c r="AU826" s="1055">
        <v>88</v>
      </c>
      <c r="AV826" s="1055">
        <v>94</v>
      </c>
      <c r="AW826" s="1055">
        <v>190</v>
      </c>
      <c r="AX826" s="68">
        <f t="shared" si="1989"/>
        <v>194</v>
      </c>
      <c r="AY826" s="1113">
        <v>194</v>
      </c>
      <c r="AZ826" s="1055">
        <v>126</v>
      </c>
      <c r="BA826" s="1055">
        <v>128</v>
      </c>
      <c r="BB826" s="1055">
        <v>277</v>
      </c>
      <c r="BC826" s="68">
        <f t="shared" si="1981"/>
        <v>281</v>
      </c>
      <c r="BD826" s="1113">
        <v>281</v>
      </c>
      <c r="BE826" s="1055">
        <v>204</v>
      </c>
      <c r="BF826" s="1055">
        <v>205</v>
      </c>
      <c r="BG826" s="1055">
        <v>349</v>
      </c>
      <c r="BH826" s="68">
        <f t="shared" si="1982"/>
        <v>355</v>
      </c>
      <c r="BI826" s="1113">
        <v>355</v>
      </c>
      <c r="BJ826" s="1055">
        <v>246</v>
      </c>
      <c r="BK826" s="1055">
        <v>247</v>
      </c>
      <c r="BL826" s="1055">
        <v>403</v>
      </c>
      <c r="BM826" s="68">
        <f t="shared" si="1983"/>
        <v>403</v>
      </c>
      <c r="BN826" s="1113">
        <v>403</v>
      </c>
      <c r="BO826" s="1055">
        <v>285</v>
      </c>
      <c r="BP826" s="1055">
        <v>285</v>
      </c>
      <c r="BQ826" s="1055">
        <v>489</v>
      </c>
      <c r="BR826" s="68">
        <f t="shared" si="1984"/>
        <v>490</v>
      </c>
      <c r="BS826" s="1113">
        <v>490</v>
      </c>
      <c r="BT826" s="1055">
        <v>370</v>
      </c>
      <c r="BU826" s="1055">
        <v>370</v>
      </c>
      <c r="BV826" s="1055">
        <v>643</v>
      </c>
      <c r="BW826" s="68">
        <f t="shared" si="1985"/>
        <v>644</v>
      </c>
      <c r="BX826" s="1113">
        <v>644</v>
      </c>
      <c r="BY826" s="1057">
        <v>515</v>
      </c>
      <c r="BZ826" s="68"/>
      <c r="CA826" s="68"/>
      <c r="CB826" s="68"/>
      <c r="CC826" s="1112"/>
      <c r="CD826" s="68"/>
      <c r="CE826" s="68"/>
      <c r="CF826" s="68"/>
      <c r="CG826" s="68"/>
      <c r="CH826" s="1112"/>
      <c r="CI826" s="1112"/>
      <c r="CJ826" s="1112"/>
      <c r="CK826" s="1112"/>
      <c r="CL826" s="155"/>
    </row>
    <row r="827" spans="1:90" hidden="1" outlineLevel="1" x14ac:dyDescent="0.3">
      <c r="A827" s="67" t="s">
        <v>659</v>
      </c>
      <c r="B827" s="146"/>
      <c r="C827" s="1112"/>
      <c r="D827" s="1112"/>
      <c r="E827" s="1112"/>
      <c r="F827" s="1112"/>
      <c r="G827" s="68"/>
      <c r="H827" s="68"/>
      <c r="I827" s="68"/>
      <c r="J827" s="68"/>
      <c r="K827" s="1112"/>
      <c r="L827" s="68"/>
      <c r="M827" s="68"/>
      <c r="N827" s="68"/>
      <c r="O827" s="68"/>
      <c r="P827" s="1112"/>
      <c r="Q827" s="68"/>
      <c r="R827" s="68"/>
      <c r="S827" s="68"/>
      <c r="T827" s="68"/>
      <c r="U827" s="1112"/>
      <c r="V827" s="68"/>
      <c r="W827" s="68"/>
      <c r="X827" s="68"/>
      <c r="Y827" s="68"/>
      <c r="Z827" s="1112"/>
      <c r="AA827" s="68"/>
      <c r="AB827" s="68"/>
      <c r="AC827" s="68"/>
      <c r="AD827" s="68"/>
      <c r="AE827" s="1112"/>
      <c r="AF827" s="68"/>
      <c r="AG827" s="68"/>
      <c r="AH827" s="68"/>
      <c r="AI827" s="68"/>
      <c r="AJ827" s="1112"/>
      <c r="AK827" s="68"/>
      <c r="AL827" s="68"/>
      <c r="AM827" s="68"/>
      <c r="AN827" s="68"/>
      <c r="AO827" s="1112"/>
      <c r="AP827" s="68"/>
      <c r="AQ827" s="68"/>
      <c r="AR827" s="68"/>
      <c r="AS827" s="68"/>
      <c r="AT827" s="1112"/>
      <c r="AU827" s="68"/>
      <c r="AV827" s="68"/>
      <c r="AW827" s="68"/>
      <c r="AX827" s="68"/>
      <c r="AY827" s="1112"/>
      <c r="AZ827" s="68"/>
      <c r="BA827" s="68"/>
      <c r="BB827" s="1055">
        <v>-1000</v>
      </c>
      <c r="BC827" s="68">
        <f t="shared" si="1981"/>
        <v>-1000</v>
      </c>
      <c r="BD827" s="1113">
        <v>-1000</v>
      </c>
      <c r="BE827" s="68"/>
      <c r="BF827" s="68"/>
      <c r="BG827" s="68"/>
      <c r="BH827" s="68">
        <f t="shared" si="1982"/>
        <v>0</v>
      </c>
      <c r="BI827" s="1112"/>
      <c r="BJ827" s="68"/>
      <c r="BK827" s="1055">
        <v>-1250</v>
      </c>
      <c r="BL827" s="1055">
        <v>-1250</v>
      </c>
      <c r="BM827" s="68">
        <f t="shared" si="1983"/>
        <v>-1250</v>
      </c>
      <c r="BN827" s="1113">
        <v>-1250</v>
      </c>
      <c r="BO827" s="68"/>
      <c r="BP827" s="1055">
        <v>-1250</v>
      </c>
      <c r="BQ827" s="1055">
        <v>-1250</v>
      </c>
      <c r="BR827" s="68">
        <f t="shared" si="1984"/>
        <v>-1250</v>
      </c>
      <c r="BS827" s="1113">
        <v>-1250</v>
      </c>
      <c r="BT827" s="68"/>
      <c r="BU827" s="68"/>
      <c r="BV827" s="68"/>
      <c r="BW827" s="68">
        <f t="shared" si="1985"/>
        <v>0</v>
      </c>
      <c r="BX827" s="1112"/>
      <c r="BY827" s="588"/>
      <c r="BZ827" s="68"/>
      <c r="CA827" s="68"/>
      <c r="CB827" s="68"/>
      <c r="CC827" s="1112"/>
      <c r="CD827" s="68"/>
      <c r="CE827" s="68"/>
      <c r="CF827" s="68"/>
      <c r="CG827" s="68"/>
      <c r="CH827" s="1112"/>
      <c r="CI827" s="1112"/>
      <c r="CJ827" s="1112"/>
      <c r="CK827" s="1112"/>
      <c r="CL827" s="155"/>
    </row>
    <row r="828" spans="1:90" hidden="1" outlineLevel="1" x14ac:dyDescent="0.3">
      <c r="A828" s="67" t="s">
        <v>178</v>
      </c>
      <c r="B828" s="146"/>
      <c r="C828" s="1113">
        <v>-423.63600000000002</v>
      </c>
      <c r="D828" s="1112"/>
      <c r="E828" s="1112"/>
      <c r="F828" s="1112"/>
      <c r="G828" s="1055">
        <v>0</v>
      </c>
      <c r="H828" s="1055">
        <v>0</v>
      </c>
      <c r="I828" s="1055">
        <v>0</v>
      </c>
      <c r="J828" s="27">
        <f>K828</f>
        <v>-100</v>
      </c>
      <c r="K828" s="1113">
        <v>-100</v>
      </c>
      <c r="L828" s="1055">
        <v>-100</v>
      </c>
      <c r="M828" s="1055">
        <v>-850</v>
      </c>
      <c r="N828" s="1055">
        <v>-850</v>
      </c>
      <c r="O828" s="27">
        <f>P828</f>
        <v>-887.30399999999997</v>
      </c>
      <c r="P828" s="1113">
        <v>-887.30399999999997</v>
      </c>
      <c r="Q828" s="1055">
        <v>-500</v>
      </c>
      <c r="R828" s="1055">
        <v>-500</v>
      </c>
      <c r="S828" s="1055">
        <v>-810</v>
      </c>
      <c r="T828" s="27">
        <f>U828</f>
        <v>-814</v>
      </c>
      <c r="U828" s="1113">
        <v>-814</v>
      </c>
      <c r="V828" s="1055">
        <v>-53</v>
      </c>
      <c r="W828" s="1055">
        <v>-452</v>
      </c>
      <c r="X828" s="1055">
        <v>-452</v>
      </c>
      <c r="Y828" s="27">
        <f>Z828</f>
        <v>-587</v>
      </c>
      <c r="Z828" s="1113">
        <v>-587</v>
      </c>
      <c r="AA828" s="1055">
        <v>-500</v>
      </c>
      <c r="AB828" s="1055">
        <v>-509</v>
      </c>
      <c r="AC828" s="1055">
        <v>-509</v>
      </c>
      <c r="AD828" s="68">
        <f t="shared" ref="AD828:AD835" si="1990">AE828</f>
        <v>-739</v>
      </c>
      <c r="AE828" s="1113">
        <v>-739</v>
      </c>
      <c r="AF828" s="1055">
        <v>0</v>
      </c>
      <c r="AG828" s="1055">
        <v>-758</v>
      </c>
      <c r="AH828" s="1055">
        <v>-909</v>
      </c>
      <c r="AI828" s="68">
        <f t="shared" si="1986"/>
        <v>-909</v>
      </c>
      <c r="AJ828" s="1113">
        <v>-909</v>
      </c>
      <c r="AK828" s="1055">
        <v>-655</v>
      </c>
      <c r="AL828" s="1055">
        <v>-655</v>
      </c>
      <c r="AM828" s="1055">
        <v>-855</v>
      </c>
      <c r="AN828" s="68">
        <f t="shared" si="1987"/>
        <v>-1579</v>
      </c>
      <c r="AO828" s="1113">
        <v>-1579</v>
      </c>
      <c r="AP828" s="68"/>
      <c r="AQ828" s="68"/>
      <c r="AR828" s="68"/>
      <c r="AS828" s="68">
        <f t="shared" si="1988"/>
        <v>0</v>
      </c>
      <c r="AT828" s="1112"/>
      <c r="AU828" s="68"/>
      <c r="AV828" s="68"/>
      <c r="AW828" s="68"/>
      <c r="AX828" s="68">
        <f t="shared" si="1989"/>
        <v>0</v>
      </c>
      <c r="AY828" s="1112"/>
      <c r="AZ828" s="68"/>
      <c r="BA828" s="68"/>
      <c r="BB828" s="68"/>
      <c r="BC828" s="68">
        <f t="shared" ref="BC828:BC837" si="1991">BD828</f>
        <v>0</v>
      </c>
      <c r="BD828" s="1112"/>
      <c r="BE828" s="1055">
        <v>-1996</v>
      </c>
      <c r="BF828" s="1055">
        <v>-5341</v>
      </c>
      <c r="BG828" s="1055">
        <v>-8826</v>
      </c>
      <c r="BH828" s="68">
        <f t="shared" si="1982"/>
        <v>-10039</v>
      </c>
      <c r="BI828" s="1113">
        <v>-10039</v>
      </c>
      <c r="BJ828" s="1055">
        <v>0</v>
      </c>
      <c r="BK828" s="1055">
        <v>-3067</v>
      </c>
      <c r="BL828" s="1055">
        <v>-6874</v>
      </c>
      <c r="BM828" s="68">
        <f t="shared" si="1983"/>
        <v>-9533</v>
      </c>
      <c r="BN828" s="1113">
        <v>-9533</v>
      </c>
      <c r="BO828" s="1055">
        <v>-7740</v>
      </c>
      <c r="BP828" s="1055">
        <v>-14898</v>
      </c>
      <c r="BQ828" s="1055">
        <v>-25895</v>
      </c>
      <c r="BR828" s="68">
        <f t="shared" si="1984"/>
        <v>-33706</v>
      </c>
      <c r="BS828" s="1113">
        <v>-33706</v>
      </c>
      <c r="BT828" s="1055">
        <v>-14095</v>
      </c>
      <c r="BU828" s="1055">
        <v>-23815</v>
      </c>
      <c r="BV828" s="1055">
        <v>-36271</v>
      </c>
      <c r="BW828" s="68">
        <f t="shared" si="1985"/>
        <v>-40086</v>
      </c>
      <c r="BX828" s="1113">
        <v>-40086</v>
      </c>
      <c r="BY828" s="1057">
        <v>-19312</v>
      </c>
      <c r="BZ828" s="68"/>
      <c r="CA828" s="68"/>
      <c r="CB828" s="68"/>
      <c r="CC828" s="1112"/>
      <c r="CD828" s="68"/>
      <c r="CE828" s="68"/>
      <c r="CF828" s="68"/>
      <c r="CG828" s="68"/>
      <c r="CH828" s="1112"/>
      <c r="CI828" s="1112"/>
      <c r="CJ828" s="1112"/>
      <c r="CK828" s="1112"/>
      <c r="CL828" s="155"/>
    </row>
    <row r="829" spans="1:90" hidden="1" outlineLevel="1" x14ac:dyDescent="0.3">
      <c r="A829" s="67" t="s">
        <v>179</v>
      </c>
      <c r="B829" s="146"/>
      <c r="C829" s="1112"/>
      <c r="D829" s="1112"/>
      <c r="E829" s="1112"/>
      <c r="F829" s="1112"/>
      <c r="G829" s="68"/>
      <c r="H829" s="68"/>
      <c r="I829" s="68"/>
      <c r="J829" s="68"/>
      <c r="K829" s="1112"/>
      <c r="L829" s="68"/>
      <c r="M829" s="68"/>
      <c r="N829" s="68"/>
      <c r="O829" s="68"/>
      <c r="P829" s="1112"/>
      <c r="Q829" s="68"/>
      <c r="R829" s="68"/>
      <c r="S829" s="68"/>
      <c r="T829" s="68"/>
      <c r="U829" s="1112"/>
      <c r="V829" s="68"/>
      <c r="W829" s="68"/>
      <c r="X829" s="68"/>
      <c r="Y829" s="68"/>
      <c r="Z829" s="1112"/>
      <c r="AA829" s="68"/>
      <c r="AB829" s="68"/>
      <c r="AC829" s="1055">
        <v>-444</v>
      </c>
      <c r="AD829" s="68">
        <f t="shared" si="1990"/>
        <v>-673</v>
      </c>
      <c r="AE829" s="1113">
        <v>-673</v>
      </c>
      <c r="AF829" s="1055">
        <v>-605</v>
      </c>
      <c r="AG829" s="1055">
        <v>-741</v>
      </c>
      <c r="AH829" s="1055">
        <v>-803</v>
      </c>
      <c r="AI829" s="68">
        <f t="shared" si="1986"/>
        <v>-812</v>
      </c>
      <c r="AJ829" s="1113">
        <v>-812</v>
      </c>
      <c r="AK829" s="1055">
        <v>-2</v>
      </c>
      <c r="AL829" s="1055">
        <v>-2</v>
      </c>
      <c r="AM829" s="1055">
        <v>-12</v>
      </c>
      <c r="AN829" s="68">
        <f t="shared" si="1987"/>
        <v>-16</v>
      </c>
      <c r="AO829" s="1113">
        <v>-16</v>
      </c>
      <c r="AP829" s="68"/>
      <c r="AQ829" s="68"/>
      <c r="AR829" s="68"/>
      <c r="AS829" s="68">
        <f t="shared" si="1988"/>
        <v>0</v>
      </c>
      <c r="AT829" s="1112"/>
      <c r="AU829" s="68"/>
      <c r="AV829" s="68"/>
      <c r="AW829" s="68"/>
      <c r="AX829" s="68">
        <f t="shared" si="1989"/>
        <v>0</v>
      </c>
      <c r="AY829" s="1112"/>
      <c r="AZ829" s="68"/>
      <c r="BA829" s="68"/>
      <c r="BB829" s="68"/>
      <c r="BC829" s="68">
        <f t="shared" si="1991"/>
        <v>0</v>
      </c>
      <c r="BD829" s="1112"/>
      <c r="BE829" s="68"/>
      <c r="BF829" s="68"/>
      <c r="BG829" s="68"/>
      <c r="BH829" s="68">
        <f t="shared" si="1982"/>
        <v>0</v>
      </c>
      <c r="BI829" s="1112"/>
      <c r="BJ829" s="68"/>
      <c r="BK829" s="68"/>
      <c r="BL829" s="68"/>
      <c r="BM829" s="68">
        <f t="shared" si="1983"/>
        <v>0</v>
      </c>
      <c r="BN829" s="1112"/>
      <c r="BO829" s="68"/>
      <c r="BP829" s="68"/>
      <c r="BQ829" s="68"/>
      <c r="BR829" s="68">
        <f t="shared" si="1984"/>
        <v>0</v>
      </c>
      <c r="BS829" s="1112"/>
      <c r="BT829" s="68"/>
      <c r="BU829" s="68"/>
      <c r="BV829" s="68"/>
      <c r="BW829" s="68">
        <f t="shared" si="1985"/>
        <v>0</v>
      </c>
      <c r="BX829" s="1112"/>
      <c r="BY829" s="588"/>
      <c r="BZ829" s="68"/>
      <c r="CA829" s="68"/>
      <c r="CB829" s="68"/>
      <c r="CC829" s="1112"/>
      <c r="CD829" s="68"/>
      <c r="CE829" s="68"/>
      <c r="CF829" s="68"/>
      <c r="CG829" s="68"/>
      <c r="CH829" s="1112"/>
      <c r="CI829" s="1112"/>
      <c r="CJ829" s="1112"/>
      <c r="CK829" s="1112"/>
      <c r="CL829" s="155"/>
    </row>
    <row r="830" spans="1:90" hidden="1" outlineLevel="1" x14ac:dyDescent="0.3">
      <c r="A830" s="67" t="s">
        <v>180</v>
      </c>
      <c r="B830" s="146"/>
      <c r="C830" s="1112"/>
      <c r="D830" s="1112"/>
      <c r="E830" s="1112"/>
      <c r="F830" s="1112"/>
      <c r="G830" s="1055">
        <v>0</v>
      </c>
      <c r="H830" s="1055">
        <v>0</v>
      </c>
      <c r="I830" s="1055">
        <v>0</v>
      </c>
      <c r="J830" s="27">
        <f>K830</f>
        <v>-46.866</v>
      </c>
      <c r="K830" s="1113">
        <v>-46.866</v>
      </c>
      <c r="L830" s="1055">
        <v>-46.267000000000003</v>
      </c>
      <c r="M830" s="1055">
        <v>-89.61</v>
      </c>
      <c r="N830" s="1055">
        <v>-133.00700000000001</v>
      </c>
      <c r="O830" s="27">
        <f>P830</f>
        <v>-181.33600000000001</v>
      </c>
      <c r="P830" s="1113">
        <v>-181.33600000000001</v>
      </c>
      <c r="Q830" s="1055">
        <v>-47</v>
      </c>
      <c r="R830" s="1055">
        <v>-94</v>
      </c>
      <c r="S830" s="1055">
        <v>-140</v>
      </c>
      <c r="T830" s="27">
        <f>U830</f>
        <v>-186</v>
      </c>
      <c r="U830" s="1113">
        <v>-186</v>
      </c>
      <c r="V830" s="1055">
        <v>-46</v>
      </c>
      <c r="W830" s="1055">
        <v>-99</v>
      </c>
      <c r="X830" s="1055">
        <v>-152</v>
      </c>
      <c r="Y830" s="27">
        <f>Z830</f>
        <v>-213</v>
      </c>
      <c r="Z830" s="1113">
        <v>-213</v>
      </c>
      <c r="AA830" s="1055">
        <v>-62</v>
      </c>
      <c r="AB830" s="1055">
        <v>-124</v>
      </c>
      <c r="AC830" s="1055">
        <v>-185</v>
      </c>
      <c r="AD830" s="68">
        <f t="shared" si="1990"/>
        <v>-261</v>
      </c>
      <c r="AE830" s="1113">
        <v>-261</v>
      </c>
      <c r="AF830" s="1055">
        <v>-82</v>
      </c>
      <c r="AG830" s="1055">
        <v>-166</v>
      </c>
      <c r="AH830" s="1055">
        <v>-250</v>
      </c>
      <c r="AI830" s="68">
        <f t="shared" si="1986"/>
        <v>-341</v>
      </c>
      <c r="AJ830" s="1113">
        <v>-341</v>
      </c>
      <c r="AK830" s="1055">
        <v>-91</v>
      </c>
      <c r="AL830" s="1055">
        <v>-182</v>
      </c>
      <c r="AM830" s="1055">
        <v>-273</v>
      </c>
      <c r="AN830" s="68">
        <f t="shared" si="1987"/>
        <v>-371</v>
      </c>
      <c r="AO830" s="1113">
        <v>-371</v>
      </c>
      <c r="AP830" s="1055">
        <v>-97</v>
      </c>
      <c r="AQ830" s="1055">
        <v>-195</v>
      </c>
      <c r="AR830" s="1055">
        <v>-292</v>
      </c>
      <c r="AS830" s="68">
        <f t="shared" si="1988"/>
        <v>-390</v>
      </c>
      <c r="AT830" s="1113">
        <v>-390</v>
      </c>
      <c r="AU830" s="1055">
        <v>-98</v>
      </c>
      <c r="AV830" s="1055">
        <v>-197</v>
      </c>
      <c r="AW830" s="1055">
        <v>-296</v>
      </c>
      <c r="AX830" s="68">
        <f t="shared" si="1989"/>
        <v>-395</v>
      </c>
      <c r="AY830" s="1113">
        <v>-395</v>
      </c>
      <c r="AZ830" s="1055">
        <v>-99</v>
      </c>
      <c r="BA830" s="1055">
        <v>-198</v>
      </c>
      <c r="BB830" s="1055">
        <v>-298</v>
      </c>
      <c r="BC830" s="68">
        <f t="shared" si="1991"/>
        <v>-399</v>
      </c>
      <c r="BD830" s="1113">
        <v>-399</v>
      </c>
      <c r="BE830" s="1055">
        <v>-100</v>
      </c>
      <c r="BF830" s="1055">
        <v>-200</v>
      </c>
      <c r="BG830" s="1055">
        <v>-300</v>
      </c>
      <c r="BH830" s="68">
        <f t="shared" si="1982"/>
        <v>-398</v>
      </c>
      <c r="BI830" s="1113">
        <v>-398</v>
      </c>
      <c r="BJ830" s="1055">
        <v>-99</v>
      </c>
      <c r="BK830" s="1055">
        <v>-199</v>
      </c>
      <c r="BL830" s="1055">
        <v>-296</v>
      </c>
      <c r="BM830" s="68">
        <f t="shared" si="1983"/>
        <v>-395</v>
      </c>
      <c r="BN830" s="1113">
        <v>-395</v>
      </c>
      <c r="BO830" s="1055">
        <v>-98</v>
      </c>
      <c r="BP830" s="1055">
        <v>-344</v>
      </c>
      <c r="BQ830" s="1055">
        <v>-589</v>
      </c>
      <c r="BR830" s="68">
        <f t="shared" si="1984"/>
        <v>-834</v>
      </c>
      <c r="BS830" s="1113">
        <v>-834</v>
      </c>
      <c r="BT830" s="1055">
        <v>-244</v>
      </c>
      <c r="BU830" s="1055">
        <v>-488</v>
      </c>
      <c r="BV830" s="1055">
        <v>-732</v>
      </c>
      <c r="BW830" s="68">
        <f t="shared" si="1985"/>
        <v>-974</v>
      </c>
      <c r="BX830" s="1113">
        <v>-974</v>
      </c>
      <c r="BY830" s="1057">
        <v>-243</v>
      </c>
      <c r="BZ830" s="68"/>
      <c r="CA830" s="68"/>
      <c r="CB830" s="68"/>
      <c r="CC830" s="1112"/>
      <c r="CD830" s="68"/>
      <c r="CE830" s="68"/>
      <c r="CF830" s="68"/>
      <c r="CG830" s="68"/>
      <c r="CH830" s="1112"/>
      <c r="CI830" s="1112"/>
      <c r="CJ830" s="1112"/>
      <c r="CK830" s="1112"/>
      <c r="CL830" s="155"/>
    </row>
    <row r="831" spans="1:90" hidden="1" outlineLevel="1" x14ac:dyDescent="0.3">
      <c r="A831" s="67" t="s">
        <v>181</v>
      </c>
      <c r="B831" s="146"/>
      <c r="C831" s="1112"/>
      <c r="D831" s="1112"/>
      <c r="E831" s="1112"/>
      <c r="F831" s="1112"/>
      <c r="G831" s="68"/>
      <c r="H831" s="68"/>
      <c r="I831" s="68"/>
      <c r="J831" s="68">
        <f>K831</f>
        <v>0</v>
      </c>
      <c r="K831" s="1112"/>
      <c r="L831" s="68"/>
      <c r="M831" s="68"/>
      <c r="N831" s="68"/>
      <c r="O831" s="68">
        <f>P831</f>
        <v>0</v>
      </c>
      <c r="P831" s="1112"/>
      <c r="Q831" s="68"/>
      <c r="R831" s="68"/>
      <c r="S831" s="68"/>
      <c r="T831" s="68">
        <f>U831</f>
        <v>0</v>
      </c>
      <c r="U831" s="1112"/>
      <c r="V831" s="68"/>
      <c r="W831" s="68"/>
      <c r="X831" s="68"/>
      <c r="Y831" s="68">
        <f>Z831</f>
        <v>0</v>
      </c>
      <c r="Z831" s="1112"/>
      <c r="AA831" s="1055">
        <v>-51</v>
      </c>
      <c r="AB831" s="1055">
        <v>-51</v>
      </c>
      <c r="AC831" s="1055">
        <v>-177</v>
      </c>
      <c r="AD831" s="68">
        <f t="shared" si="1990"/>
        <v>-176</v>
      </c>
      <c r="AE831" s="1113">
        <v>-176</v>
      </c>
      <c r="AF831" s="1055">
        <v>-190</v>
      </c>
      <c r="AG831" s="1055">
        <v>-190</v>
      </c>
      <c r="AH831" s="1055">
        <v>-577</v>
      </c>
      <c r="AI831" s="68">
        <f t="shared" si="1986"/>
        <v>-612</v>
      </c>
      <c r="AJ831" s="1113">
        <v>-612</v>
      </c>
      <c r="AK831" s="1055">
        <v>-449</v>
      </c>
      <c r="AL831" s="1055">
        <v>-515</v>
      </c>
      <c r="AM831" s="1055">
        <v>-982</v>
      </c>
      <c r="AN831" s="68">
        <f t="shared" si="1987"/>
        <v>-1032</v>
      </c>
      <c r="AO831" s="1113">
        <v>-1032</v>
      </c>
      <c r="AP831" s="1055">
        <v>-211</v>
      </c>
      <c r="AQ831" s="1055">
        <v>-261</v>
      </c>
      <c r="AR831" s="1055">
        <v>-463</v>
      </c>
      <c r="AS831" s="68">
        <f t="shared" si="1988"/>
        <v>-551</v>
      </c>
      <c r="AT831" s="1113">
        <v>-551</v>
      </c>
      <c r="AU831" s="1055">
        <v>-222</v>
      </c>
      <c r="AV831" s="1055">
        <v>-418</v>
      </c>
      <c r="AW831" s="1055">
        <v>-716</v>
      </c>
      <c r="AX831" s="68">
        <f t="shared" ref="AX831" si="1992">AY831</f>
        <v>-942</v>
      </c>
      <c r="AY831" s="1113">
        <v>-942</v>
      </c>
      <c r="AZ831" s="1055">
        <v>-477</v>
      </c>
      <c r="BA831" s="1055">
        <v>-843</v>
      </c>
      <c r="BB831" s="1055">
        <v>-1282</v>
      </c>
      <c r="BC831" s="68">
        <f t="shared" ref="BC831" si="1993">BD831</f>
        <v>-1904</v>
      </c>
      <c r="BD831" s="1113">
        <v>-1904</v>
      </c>
      <c r="BE831" s="1055">
        <v>-532</v>
      </c>
      <c r="BF831" s="1055">
        <v>-837</v>
      </c>
      <c r="BG831" s="1055">
        <v>-1131</v>
      </c>
      <c r="BH831" s="68">
        <f t="shared" si="1982"/>
        <v>-1475</v>
      </c>
      <c r="BI831" s="1113">
        <v>-1475</v>
      </c>
      <c r="BJ831" s="1055">
        <v>-507</v>
      </c>
      <c r="BK831" s="1055">
        <v>-1179</v>
      </c>
      <c r="BL831" s="1055">
        <v>-1942</v>
      </c>
      <c r="BM831" s="68">
        <f t="shared" si="1983"/>
        <v>-2783</v>
      </c>
      <c r="BN831" s="1113">
        <v>-2783</v>
      </c>
      <c r="BO831" s="1055">
        <v>-1752</v>
      </c>
      <c r="BP831" s="1055">
        <v>-3389</v>
      </c>
      <c r="BQ831" s="1055">
        <v>-5068</v>
      </c>
      <c r="BR831" s="68">
        <f t="shared" si="1984"/>
        <v>-6930</v>
      </c>
      <c r="BS831" s="1113">
        <v>-6930</v>
      </c>
      <c r="BT831" s="1055">
        <v>-1532</v>
      </c>
      <c r="BU831" s="1055">
        <v>-3380</v>
      </c>
      <c r="BV831" s="1055">
        <v>-5809</v>
      </c>
      <c r="BW831" s="68">
        <f t="shared" si="1985"/>
        <v>-7948</v>
      </c>
      <c r="BX831" s="1113">
        <v>-7948</v>
      </c>
      <c r="BY831" s="1057">
        <v>-2129</v>
      </c>
      <c r="BZ831" s="68"/>
      <c r="CA831" s="68"/>
      <c r="CB831" s="68"/>
      <c r="CC831" s="1112"/>
      <c r="CD831" s="68"/>
      <c r="CE831" s="68"/>
      <c r="CF831" s="68"/>
      <c r="CG831" s="68"/>
      <c r="CH831" s="1112"/>
      <c r="CI831" s="1112"/>
      <c r="CJ831" s="1112"/>
      <c r="CK831" s="1112"/>
      <c r="CL831" s="155"/>
    </row>
    <row r="832" spans="1:90" hidden="1" outlineLevel="1" x14ac:dyDescent="0.3">
      <c r="A832" s="67" t="s">
        <v>150</v>
      </c>
      <c r="B832" s="146"/>
      <c r="C832" s="1112"/>
      <c r="D832" s="1112"/>
      <c r="E832" s="1113">
        <v>15.316000000000001</v>
      </c>
      <c r="F832" s="1113">
        <v>52.792999999999999</v>
      </c>
      <c r="G832" s="1055">
        <v>8.6750000000000007</v>
      </c>
      <c r="H832" s="1055">
        <v>18.154</v>
      </c>
      <c r="I832" s="1055">
        <v>25.646000000000001</v>
      </c>
      <c r="J832" s="27">
        <f>K832</f>
        <v>68.709999999999994</v>
      </c>
      <c r="K832" s="1113">
        <v>68.709999999999994</v>
      </c>
      <c r="L832" s="1055">
        <v>10.119999999999999</v>
      </c>
      <c r="M832" s="1055">
        <v>17.36</v>
      </c>
      <c r="N832" s="1055">
        <v>23.742999999999999</v>
      </c>
      <c r="O832" s="27">
        <f>P832</f>
        <v>25.800999999999998</v>
      </c>
      <c r="P832" s="1113">
        <v>25.800999999999998</v>
      </c>
      <c r="Q832" s="1055">
        <v>4</v>
      </c>
      <c r="R832" s="1055">
        <v>7</v>
      </c>
      <c r="S832" s="1055">
        <v>12</v>
      </c>
      <c r="T832" s="27">
        <f>U832</f>
        <v>18</v>
      </c>
      <c r="U832" s="1113">
        <v>18</v>
      </c>
      <c r="V832" s="1055">
        <v>6</v>
      </c>
      <c r="W832" s="1055">
        <v>6</v>
      </c>
      <c r="X832" s="1055">
        <v>5</v>
      </c>
      <c r="Y832" s="27">
        <f>Z832</f>
        <v>10</v>
      </c>
      <c r="Z832" s="1113">
        <v>10</v>
      </c>
      <c r="AA832" s="68"/>
      <c r="AB832" s="68"/>
      <c r="AC832" s="68"/>
      <c r="AD832" s="68">
        <f t="shared" si="1990"/>
        <v>0</v>
      </c>
      <c r="AE832" s="1112"/>
      <c r="AF832" s="68"/>
      <c r="AG832" s="68"/>
      <c r="AH832" s="68"/>
      <c r="AI832" s="68">
        <f t="shared" si="1986"/>
        <v>0</v>
      </c>
      <c r="AJ832" s="1112"/>
      <c r="AK832" s="68"/>
      <c r="AL832" s="68"/>
      <c r="AM832" s="68"/>
      <c r="AN832" s="68"/>
      <c r="AO832" s="1112"/>
      <c r="AP832" s="68"/>
      <c r="AQ832" s="68"/>
      <c r="AR832" s="68"/>
      <c r="AS832" s="68">
        <f t="shared" si="1988"/>
        <v>0</v>
      </c>
      <c r="AT832" s="1112"/>
      <c r="AU832" s="68"/>
      <c r="AV832" s="68"/>
      <c r="AW832" s="68"/>
      <c r="AX832" s="68">
        <f t="shared" si="1989"/>
        <v>0</v>
      </c>
      <c r="AY832" s="1112"/>
      <c r="AZ832" s="68"/>
      <c r="BA832" s="68"/>
      <c r="BB832" s="68"/>
      <c r="BC832" s="68">
        <f t="shared" si="1991"/>
        <v>0</v>
      </c>
      <c r="BD832" s="1112"/>
      <c r="BE832" s="68"/>
      <c r="BF832" s="68"/>
      <c r="BG832" s="68"/>
      <c r="BH832" s="68">
        <f t="shared" si="1982"/>
        <v>0</v>
      </c>
      <c r="BI832" s="1112"/>
      <c r="BJ832" s="68"/>
      <c r="BK832" s="68"/>
      <c r="BL832" s="68"/>
      <c r="BM832" s="68">
        <f t="shared" si="1983"/>
        <v>0</v>
      </c>
      <c r="BN832" s="1112"/>
      <c r="BO832" s="68"/>
      <c r="BP832" s="68"/>
      <c r="BQ832" s="68"/>
      <c r="BR832" s="68">
        <f t="shared" si="1984"/>
        <v>0</v>
      </c>
      <c r="BS832" s="1112"/>
      <c r="BT832" s="68"/>
      <c r="BU832" s="68"/>
      <c r="BV832" s="68"/>
      <c r="BW832" s="68">
        <f t="shared" si="1985"/>
        <v>0</v>
      </c>
      <c r="BX832" s="1112"/>
      <c r="BY832" s="588"/>
      <c r="BZ832" s="68"/>
      <c r="CA832" s="68"/>
      <c r="CB832" s="68"/>
      <c r="CC832" s="1112"/>
      <c r="CD832" s="68"/>
      <c r="CE832" s="68"/>
      <c r="CF832" s="68"/>
      <c r="CG832" s="68"/>
      <c r="CH832" s="1112"/>
      <c r="CI832" s="1112"/>
      <c r="CJ832" s="1112"/>
      <c r="CK832" s="1112"/>
      <c r="CL832" s="155"/>
    </row>
    <row r="833" spans="1:90" hidden="1" outlineLevel="1" x14ac:dyDescent="0.3">
      <c r="A833" s="67" t="s">
        <v>182</v>
      </c>
      <c r="B833" s="146"/>
      <c r="C833" s="1112"/>
      <c r="D833" s="1112"/>
      <c r="E833" s="1113">
        <v>0</v>
      </c>
      <c r="F833" s="1113">
        <v>-10.319000000000001</v>
      </c>
      <c r="G833" s="68"/>
      <c r="H833" s="68"/>
      <c r="I833" s="68"/>
      <c r="J833" s="27">
        <f>K833</f>
        <v>0</v>
      </c>
      <c r="K833" s="1113">
        <v>0</v>
      </c>
      <c r="L833" s="68"/>
      <c r="M833" s="68"/>
      <c r="N833" s="68"/>
      <c r="O833" s="68"/>
      <c r="P833" s="1112"/>
      <c r="Q833" s="68"/>
      <c r="R833" s="68"/>
      <c r="S833" s="68"/>
      <c r="T833" s="68"/>
      <c r="U833" s="1112"/>
      <c r="V833" s="68"/>
      <c r="W833" s="68"/>
      <c r="X833" s="68"/>
      <c r="Y833" s="68"/>
      <c r="Z833" s="1112"/>
      <c r="AA833" s="68"/>
      <c r="AB833" s="68"/>
      <c r="AC833" s="68"/>
      <c r="AD833" s="27">
        <f t="shared" si="1990"/>
        <v>0</v>
      </c>
      <c r="AE833" s="1112"/>
      <c r="AF833" s="68"/>
      <c r="AG833" s="68"/>
      <c r="AH833" s="68"/>
      <c r="AI833" s="27">
        <f t="shared" si="1986"/>
        <v>0</v>
      </c>
      <c r="AJ833" s="1112"/>
      <c r="AK833" s="68"/>
      <c r="AL833" s="68"/>
      <c r="AM833" s="68"/>
      <c r="AN833" s="27">
        <f t="shared" si="1987"/>
        <v>0</v>
      </c>
      <c r="AO833" s="1112"/>
      <c r="AP833" s="68"/>
      <c r="AQ833" s="68"/>
      <c r="AR833" s="68"/>
      <c r="AS833" s="27">
        <f t="shared" si="1988"/>
        <v>0</v>
      </c>
      <c r="AT833" s="1112"/>
      <c r="AU833" s="68"/>
      <c r="AV833" s="68"/>
      <c r="AW833" s="68"/>
      <c r="AX833" s="27">
        <f t="shared" si="1989"/>
        <v>0</v>
      </c>
      <c r="AY833" s="1112"/>
      <c r="AZ833" s="68"/>
      <c r="BA833" s="68"/>
      <c r="BB833" s="68"/>
      <c r="BC833" s="27">
        <f t="shared" si="1991"/>
        <v>0</v>
      </c>
      <c r="BD833" s="1112"/>
      <c r="BE833" s="68"/>
      <c r="BF833" s="68"/>
      <c r="BG833" s="68"/>
      <c r="BH833" s="27">
        <f t="shared" si="1982"/>
        <v>0</v>
      </c>
      <c r="BI833" s="1112"/>
      <c r="BJ833" s="68"/>
      <c r="BK833" s="68"/>
      <c r="BL833" s="68"/>
      <c r="BM833" s="27">
        <f t="shared" si="1983"/>
        <v>0</v>
      </c>
      <c r="BN833" s="1112"/>
      <c r="BO833" s="68"/>
      <c r="BP833" s="68"/>
      <c r="BQ833" s="68"/>
      <c r="BR833" s="27">
        <f t="shared" si="1984"/>
        <v>0</v>
      </c>
      <c r="BS833" s="1112"/>
      <c r="BT833" s="68"/>
      <c r="BU833" s="68"/>
      <c r="BV833" s="68"/>
      <c r="BW833" s="27">
        <f t="shared" si="1985"/>
        <v>0</v>
      </c>
      <c r="BX833" s="1112"/>
      <c r="BY833" s="588"/>
      <c r="BZ833" s="68"/>
      <c r="CA833" s="68"/>
      <c r="CB833" s="68"/>
      <c r="CC833" s="1112"/>
      <c r="CD833" s="68"/>
      <c r="CE833" s="68"/>
      <c r="CF833" s="68"/>
      <c r="CG833" s="68"/>
      <c r="CH833" s="1112"/>
      <c r="CI833" s="1112"/>
      <c r="CJ833" s="1112"/>
      <c r="CK833" s="1112"/>
      <c r="CL833" s="155"/>
    </row>
    <row r="834" spans="1:90" hidden="1" outlineLevel="1" x14ac:dyDescent="0.3">
      <c r="A834" s="67" t="s">
        <v>183</v>
      </c>
      <c r="B834" s="146"/>
      <c r="C834" s="1112"/>
      <c r="D834" s="1112"/>
      <c r="E834" s="1113">
        <v>-0.57099999999999995</v>
      </c>
      <c r="F834" s="1113">
        <v>-1.6080000000000001</v>
      </c>
      <c r="G834" s="1055">
        <v>-0.51500000000000001</v>
      </c>
      <c r="H834" s="1055">
        <v>-1.0109999999999999</v>
      </c>
      <c r="I834" s="1055">
        <v>0</v>
      </c>
      <c r="J834" s="27">
        <f>K834</f>
        <v>-2.0489999999999999</v>
      </c>
      <c r="K834" s="1113">
        <v>-2.0489999999999999</v>
      </c>
      <c r="L834" s="1055">
        <v>-0.57599999999999996</v>
      </c>
      <c r="M834" s="1055">
        <v>-1.169</v>
      </c>
      <c r="N834" s="1055">
        <v>-1.78</v>
      </c>
      <c r="O834" s="27">
        <f>P834</f>
        <v>-2.2389999999999999</v>
      </c>
      <c r="P834" s="1113">
        <v>-2.2389999999999999</v>
      </c>
      <c r="Q834" s="1055">
        <v>-1</v>
      </c>
      <c r="R834" s="1055">
        <v>-1</v>
      </c>
      <c r="S834" s="1055">
        <v>-2</v>
      </c>
      <c r="T834" s="27">
        <f>U834</f>
        <v>-3</v>
      </c>
      <c r="U834" s="1113">
        <v>-3</v>
      </c>
      <c r="V834" s="1055">
        <v>-1</v>
      </c>
      <c r="W834" s="1055">
        <v>-2</v>
      </c>
      <c r="X834" s="1055">
        <v>-3</v>
      </c>
      <c r="Y834" s="27">
        <f>Z834</f>
        <v>-3</v>
      </c>
      <c r="Z834" s="1113">
        <v>-3</v>
      </c>
      <c r="AA834" s="68"/>
      <c r="AB834" s="68"/>
      <c r="AC834" s="68"/>
      <c r="AD834" s="68">
        <f t="shared" si="1990"/>
        <v>0</v>
      </c>
      <c r="AE834" s="1112"/>
      <c r="AF834" s="68"/>
      <c r="AG834" s="68"/>
      <c r="AH834" s="68"/>
      <c r="AI834" s="68">
        <f t="shared" si="1986"/>
        <v>0</v>
      </c>
      <c r="AJ834" s="1112"/>
      <c r="AK834" s="68"/>
      <c r="AL834" s="68"/>
      <c r="AM834" s="68"/>
      <c r="AN834" s="68">
        <f t="shared" si="1987"/>
        <v>0</v>
      </c>
      <c r="AO834" s="1112"/>
      <c r="AP834" s="68"/>
      <c r="AQ834" s="68"/>
      <c r="AR834" s="68"/>
      <c r="AS834" s="68">
        <f t="shared" si="1988"/>
        <v>0</v>
      </c>
      <c r="AT834" s="1112"/>
      <c r="AU834" s="68"/>
      <c r="AV834" s="68"/>
      <c r="AW834" s="68"/>
      <c r="AX834" s="68">
        <f t="shared" si="1989"/>
        <v>0</v>
      </c>
      <c r="AY834" s="1112"/>
      <c r="AZ834" s="68"/>
      <c r="BA834" s="68"/>
      <c r="BB834" s="68"/>
      <c r="BC834" s="68">
        <f t="shared" si="1991"/>
        <v>0</v>
      </c>
      <c r="BD834" s="1112"/>
      <c r="BE834" s="68"/>
      <c r="BF834" s="68"/>
      <c r="BG834" s="68"/>
      <c r="BH834" s="68">
        <f t="shared" si="1982"/>
        <v>0</v>
      </c>
      <c r="BI834" s="1112"/>
      <c r="BJ834" s="68"/>
      <c r="BK834" s="68"/>
      <c r="BL834" s="68"/>
      <c r="BM834" s="68">
        <f t="shared" si="1983"/>
        <v>0</v>
      </c>
      <c r="BN834" s="1112"/>
      <c r="BO834" s="68"/>
      <c r="BP834" s="68"/>
      <c r="BQ834" s="68"/>
      <c r="BR834" s="68">
        <f t="shared" si="1984"/>
        <v>0</v>
      </c>
      <c r="BS834" s="1112"/>
      <c r="BT834" s="68"/>
      <c r="BU834" s="68"/>
      <c r="BV834" s="68"/>
      <c r="BW834" s="68">
        <f t="shared" si="1985"/>
        <v>0</v>
      </c>
      <c r="BX834" s="1112"/>
      <c r="BY834" s="588"/>
      <c r="BZ834" s="68"/>
      <c r="CA834" s="68"/>
      <c r="CB834" s="68"/>
      <c r="CC834" s="1112"/>
      <c r="CD834" s="68"/>
      <c r="CE834" s="68"/>
      <c r="CF834" s="68"/>
      <c r="CG834" s="68"/>
      <c r="CH834" s="1112"/>
      <c r="CI834" s="1112"/>
      <c r="CJ834" s="1112"/>
      <c r="CK834" s="1112"/>
      <c r="CL834" s="155"/>
    </row>
    <row r="835" spans="1:90" hidden="1" outlineLevel="1" x14ac:dyDescent="0.3">
      <c r="A835" s="67" t="s">
        <v>184</v>
      </c>
      <c r="B835" s="146"/>
      <c r="C835" s="1112"/>
      <c r="D835" s="1112"/>
      <c r="E835" s="1112"/>
      <c r="F835" s="1112"/>
      <c r="G835" s="68"/>
      <c r="H835" s="68"/>
      <c r="I835" s="68"/>
      <c r="J835" s="68"/>
      <c r="K835" s="1112"/>
      <c r="L835" s="68"/>
      <c r="M835" s="68"/>
      <c r="N835" s="68"/>
      <c r="O835" s="68"/>
      <c r="P835" s="1112"/>
      <c r="Q835" s="68"/>
      <c r="R835" s="68"/>
      <c r="S835" s="68"/>
      <c r="T835" s="68"/>
      <c r="U835" s="1112"/>
      <c r="V835" s="68"/>
      <c r="W835" s="68"/>
      <c r="X835" s="68"/>
      <c r="Y835" s="68"/>
      <c r="Z835" s="1112"/>
      <c r="AA835" s="68"/>
      <c r="AB835" s="68"/>
      <c r="AC835" s="68"/>
      <c r="AD835" s="68">
        <f t="shared" si="1990"/>
        <v>-8</v>
      </c>
      <c r="AE835" s="1113">
        <v>-8</v>
      </c>
      <c r="AF835" s="68"/>
      <c r="AG835" s="68"/>
      <c r="AH835" s="68"/>
      <c r="AI835" s="68">
        <f t="shared" si="1986"/>
        <v>0</v>
      </c>
      <c r="AJ835" s="1112"/>
      <c r="AK835" s="68"/>
      <c r="AL835" s="68"/>
      <c r="AM835" s="68"/>
      <c r="AN835" s="68">
        <f t="shared" si="1987"/>
        <v>0</v>
      </c>
      <c r="AO835" s="1112"/>
      <c r="AP835" s="68"/>
      <c r="AQ835" s="68"/>
      <c r="AR835" s="68"/>
      <c r="AS835" s="68">
        <f t="shared" si="1988"/>
        <v>0</v>
      </c>
      <c r="AT835" s="1112"/>
      <c r="AU835" s="68"/>
      <c r="AV835" s="68"/>
      <c r="AW835" s="68"/>
      <c r="AX835" s="68">
        <f t="shared" si="1989"/>
        <v>0</v>
      </c>
      <c r="AY835" s="1112"/>
      <c r="AZ835" s="68"/>
      <c r="BA835" s="68"/>
      <c r="BB835" s="68"/>
      <c r="BC835" s="68">
        <f t="shared" si="1991"/>
        <v>0</v>
      </c>
      <c r="BD835" s="1112"/>
      <c r="BE835" s="68"/>
      <c r="BF835" s="68"/>
      <c r="BG835" s="68"/>
      <c r="BH835" s="68">
        <f t="shared" si="1982"/>
        <v>0</v>
      </c>
      <c r="BI835" s="1112"/>
      <c r="BJ835" s="68"/>
      <c r="BK835" s="68"/>
      <c r="BL835" s="68"/>
      <c r="BM835" s="68">
        <f t="shared" si="1983"/>
        <v>0</v>
      </c>
      <c r="BN835" s="1112"/>
      <c r="BO835" s="68"/>
      <c r="BP835" s="68"/>
      <c r="BQ835" s="68"/>
      <c r="BR835" s="68">
        <f t="shared" si="1984"/>
        <v>0</v>
      </c>
      <c r="BS835" s="1112"/>
      <c r="BT835" s="68"/>
      <c r="BU835" s="68"/>
      <c r="BV835" s="68"/>
      <c r="BW835" s="68">
        <f t="shared" si="1985"/>
        <v>0</v>
      </c>
      <c r="BX835" s="1112"/>
      <c r="BY835" s="588"/>
      <c r="BZ835" s="68"/>
      <c r="CA835" s="68"/>
      <c r="CB835" s="68"/>
      <c r="CC835" s="1112"/>
      <c r="CD835" s="68"/>
      <c r="CE835" s="68"/>
      <c r="CF835" s="68"/>
      <c r="CG835" s="68"/>
      <c r="CH835" s="1112"/>
      <c r="CI835" s="1112"/>
      <c r="CJ835" s="1112"/>
      <c r="CK835" s="1112"/>
      <c r="CL835" s="155"/>
    </row>
    <row r="836" spans="1:90" hidden="1" outlineLevel="1" x14ac:dyDescent="0.3">
      <c r="A836" s="67" t="s">
        <v>620</v>
      </c>
      <c r="B836" s="146"/>
      <c r="C836" s="1112"/>
      <c r="D836" s="1112"/>
      <c r="E836" s="1112"/>
      <c r="F836" s="1112"/>
      <c r="G836" s="68"/>
      <c r="H836" s="68"/>
      <c r="I836" s="68"/>
      <c r="J836" s="68"/>
      <c r="K836" s="1112"/>
      <c r="L836" s="68"/>
      <c r="M836" s="68"/>
      <c r="N836" s="68"/>
      <c r="O836" s="68"/>
      <c r="P836" s="1112"/>
      <c r="Q836" s="68"/>
      <c r="R836" s="68"/>
      <c r="S836" s="68"/>
      <c r="T836" s="68"/>
      <c r="U836" s="1112"/>
      <c r="V836" s="68"/>
      <c r="W836" s="68"/>
      <c r="X836" s="68"/>
      <c r="Y836" s="68"/>
      <c r="Z836" s="1112"/>
      <c r="AA836" s="68"/>
      <c r="AB836" s="68"/>
      <c r="AC836" s="68"/>
      <c r="AD836" s="68"/>
      <c r="AE836" s="1112"/>
      <c r="AF836" s="68"/>
      <c r="AG836" s="68"/>
      <c r="AH836" s="68"/>
      <c r="AI836" s="68"/>
      <c r="AJ836" s="1112"/>
      <c r="AK836" s="68"/>
      <c r="AL836" s="68"/>
      <c r="AM836" s="68"/>
      <c r="AN836" s="68"/>
      <c r="AO836" s="1112"/>
      <c r="AP836" s="68"/>
      <c r="AQ836" s="68"/>
      <c r="AR836" s="68"/>
      <c r="AS836" s="68"/>
      <c r="AT836" s="1112"/>
      <c r="AU836" s="68"/>
      <c r="AV836" s="68"/>
      <c r="AW836" s="68"/>
      <c r="AX836" s="68">
        <f t="shared" si="1989"/>
        <v>-17</v>
      </c>
      <c r="AY836" s="1113">
        <v>-17</v>
      </c>
      <c r="AZ836" s="1055">
        <v>-19</v>
      </c>
      <c r="BA836" s="1055">
        <v>-40</v>
      </c>
      <c r="BB836" s="1055">
        <v>-62</v>
      </c>
      <c r="BC836" s="68">
        <f t="shared" si="1991"/>
        <v>-83</v>
      </c>
      <c r="BD836" s="1113">
        <v>-83</v>
      </c>
      <c r="BE836" s="1055">
        <v>-22</v>
      </c>
      <c r="BF836" s="1055">
        <v>-36</v>
      </c>
      <c r="BG836" s="1055">
        <v>-54</v>
      </c>
      <c r="BH836" s="68">
        <f t="shared" si="1982"/>
        <v>-58</v>
      </c>
      <c r="BI836" s="1113">
        <v>-58</v>
      </c>
      <c r="BJ836" s="1055">
        <v>-20</v>
      </c>
      <c r="BK836" s="1055">
        <v>-31</v>
      </c>
      <c r="BL836" s="1055">
        <v>-44</v>
      </c>
      <c r="BM836" s="68">
        <f t="shared" si="1983"/>
        <v>-74</v>
      </c>
      <c r="BN836" s="1113">
        <v>-74</v>
      </c>
      <c r="BO836" s="1055">
        <v>-40</v>
      </c>
      <c r="BP836" s="1055">
        <v>-69</v>
      </c>
      <c r="BQ836" s="1055">
        <v>-97</v>
      </c>
      <c r="BR836" s="68">
        <f t="shared" si="1984"/>
        <v>-129</v>
      </c>
      <c r="BS836" s="1113">
        <v>-129</v>
      </c>
      <c r="BT836" s="1055">
        <v>-52</v>
      </c>
      <c r="BU836" s="1055">
        <v>-73</v>
      </c>
      <c r="BV836" s="1055">
        <v>-97</v>
      </c>
      <c r="BW836" s="68">
        <f t="shared" si="1985"/>
        <v>-101</v>
      </c>
      <c r="BX836" s="1113">
        <v>-101</v>
      </c>
      <c r="BY836" s="1057">
        <v>-33</v>
      </c>
      <c r="BZ836" s="68"/>
      <c r="CA836" s="68"/>
      <c r="CB836" s="68"/>
      <c r="CC836" s="1112"/>
      <c r="CD836" s="68"/>
      <c r="CE836" s="68"/>
      <c r="CF836" s="68"/>
      <c r="CG836" s="68"/>
      <c r="CH836" s="1112"/>
      <c r="CI836" s="1112"/>
      <c r="CJ836" s="1112"/>
      <c r="CK836" s="1112"/>
      <c r="CL836" s="155"/>
    </row>
    <row r="837" spans="1:90" hidden="1" outlineLevel="1" x14ac:dyDescent="0.3">
      <c r="A837" s="67" t="s">
        <v>151</v>
      </c>
      <c r="B837" s="146"/>
      <c r="C837" s="1113">
        <v>0.81499999999999995</v>
      </c>
      <c r="D837" s="1113">
        <v>1.105</v>
      </c>
      <c r="E837" s="1112"/>
      <c r="F837" s="1112"/>
      <c r="G837" s="1055">
        <v>0</v>
      </c>
      <c r="H837" s="1055">
        <v>0</v>
      </c>
      <c r="I837" s="1055">
        <v>-1.522</v>
      </c>
      <c r="J837" s="27">
        <f>K837</f>
        <v>0</v>
      </c>
      <c r="K837" s="1113">
        <v>0</v>
      </c>
      <c r="L837" s="1055">
        <v>-2.5</v>
      </c>
      <c r="M837" s="1055">
        <v>-2.5</v>
      </c>
      <c r="N837" s="1055">
        <v>-2.5</v>
      </c>
      <c r="O837" s="27">
        <f>P837</f>
        <v>-5</v>
      </c>
      <c r="P837" s="1113">
        <v>-5</v>
      </c>
      <c r="Q837" s="68"/>
      <c r="R837" s="68"/>
      <c r="S837" s="68"/>
      <c r="T837" s="27">
        <f>U837</f>
        <v>-3</v>
      </c>
      <c r="U837" s="1113">
        <v>-3</v>
      </c>
      <c r="V837" s="68"/>
      <c r="W837" s="68"/>
      <c r="X837" s="68"/>
      <c r="Y837" s="27">
        <f>Z837</f>
        <v>-3</v>
      </c>
      <c r="Z837" s="1113">
        <v>-3</v>
      </c>
      <c r="AA837" s="1055">
        <v>-1</v>
      </c>
      <c r="AB837" s="1055">
        <v>-3</v>
      </c>
      <c r="AC837" s="1055">
        <v>-8</v>
      </c>
      <c r="AD837" s="68">
        <f>AE837</f>
        <v>-7</v>
      </c>
      <c r="AE837" s="1113">
        <v>-7</v>
      </c>
      <c r="AF837" s="1055">
        <v>-1</v>
      </c>
      <c r="AG837" s="1055">
        <v>-2</v>
      </c>
      <c r="AH837" s="1055">
        <v>-3</v>
      </c>
      <c r="AI837" s="68">
        <f t="shared" si="1986"/>
        <v>-9</v>
      </c>
      <c r="AJ837" s="1113">
        <v>-9</v>
      </c>
      <c r="AK837" s="68"/>
      <c r="AL837" s="1055">
        <v>-1</v>
      </c>
      <c r="AM837" s="1055">
        <v>-2</v>
      </c>
      <c r="AN837" s="68">
        <f t="shared" si="1987"/>
        <v>-5</v>
      </c>
      <c r="AO837" s="1113">
        <v>-5</v>
      </c>
      <c r="AP837" s="68"/>
      <c r="AQ837" s="68"/>
      <c r="AR837" s="68"/>
      <c r="AS837" s="68">
        <f t="shared" si="1988"/>
        <v>0</v>
      </c>
      <c r="AT837" s="1113">
        <v>0</v>
      </c>
      <c r="AU837" s="1055">
        <v>-3</v>
      </c>
      <c r="AV837" s="1055">
        <v>-3</v>
      </c>
      <c r="AW837" s="1055">
        <v>-3</v>
      </c>
      <c r="AX837" s="68">
        <f t="shared" si="1989"/>
        <v>-4</v>
      </c>
      <c r="AY837" s="1113">
        <v>-4</v>
      </c>
      <c r="AZ837" s="1055">
        <v>-2</v>
      </c>
      <c r="BA837" s="1055">
        <v>-2</v>
      </c>
      <c r="BB837" s="1055">
        <v>-2</v>
      </c>
      <c r="BC837" s="68">
        <f t="shared" si="1991"/>
        <v>-7</v>
      </c>
      <c r="BD837" s="1113">
        <v>-7</v>
      </c>
      <c r="BE837" s="1055">
        <v>0</v>
      </c>
      <c r="BF837" s="1055">
        <v>1</v>
      </c>
      <c r="BG837" s="1055">
        <v>1</v>
      </c>
      <c r="BH837" s="68">
        <f t="shared" si="1982"/>
        <v>-2</v>
      </c>
      <c r="BI837" s="1113">
        <v>-2</v>
      </c>
      <c r="BJ837" s="68"/>
      <c r="BK837" s="68"/>
      <c r="BL837" s="1055">
        <v>-1</v>
      </c>
      <c r="BM837" s="68">
        <f t="shared" si="1983"/>
        <v>-1</v>
      </c>
      <c r="BN837" s="1113">
        <v>-1</v>
      </c>
      <c r="BO837" s="68"/>
      <c r="BP837" s="68"/>
      <c r="BQ837" s="1055">
        <v>0</v>
      </c>
      <c r="BR837" s="68">
        <f t="shared" si="1984"/>
        <v>0</v>
      </c>
      <c r="BS837" s="1112"/>
      <c r="BT837" s="68"/>
      <c r="BU837" s="68"/>
      <c r="BV837" s="68"/>
      <c r="BW837" s="68">
        <f t="shared" si="1985"/>
        <v>-9</v>
      </c>
      <c r="BX837" s="1113">
        <v>-9</v>
      </c>
      <c r="BY837" s="1057">
        <v>-81</v>
      </c>
      <c r="BZ837" s="68"/>
      <c r="CA837" s="68"/>
      <c r="CB837" s="68"/>
      <c r="CC837" s="1112"/>
      <c r="CD837" s="68"/>
      <c r="CE837" s="68"/>
      <c r="CF837" s="68"/>
      <c r="CG837" s="68"/>
      <c r="CH837" s="1112"/>
      <c r="CI837" s="1112"/>
      <c r="CJ837" s="1112"/>
      <c r="CK837" s="1112"/>
      <c r="CL837" s="155"/>
    </row>
    <row r="838" spans="1:90" hidden="1" outlineLevel="1" x14ac:dyDescent="0.3">
      <c r="A838" s="59" t="s">
        <v>185</v>
      </c>
      <c r="B838" s="607"/>
      <c r="C838" s="1125">
        <f t="shared" ref="C838:AH838" si="1994">SUM(C821:C837)</f>
        <v>-349.27400000000006</v>
      </c>
      <c r="D838" s="1125">
        <f t="shared" si="1994"/>
        <v>61.05899999999999</v>
      </c>
      <c r="E838" s="1125">
        <f t="shared" si="1994"/>
        <v>192.02100000000002</v>
      </c>
      <c r="F838" s="1125">
        <f t="shared" si="1994"/>
        <v>236.72300000000001</v>
      </c>
      <c r="G838" s="60">
        <f t="shared" si="1994"/>
        <v>45.521000000000001</v>
      </c>
      <c r="H838" s="60">
        <f t="shared" si="1994"/>
        <v>59.820999999999991</v>
      </c>
      <c r="I838" s="60">
        <f t="shared" si="1994"/>
        <v>86.904999999999987</v>
      </c>
      <c r="J838" s="60">
        <f t="shared" si="1994"/>
        <v>-15.270000000000003</v>
      </c>
      <c r="K838" s="1125">
        <f t="shared" si="1994"/>
        <v>-15.270000000000003</v>
      </c>
      <c r="L838" s="60">
        <f t="shared" si="1994"/>
        <v>-116.227</v>
      </c>
      <c r="M838" s="60">
        <f t="shared" si="1994"/>
        <v>-894.61599999999999</v>
      </c>
      <c r="N838" s="60">
        <f t="shared" si="1994"/>
        <v>-898.79499999999996</v>
      </c>
      <c r="O838" s="60">
        <f t="shared" si="1994"/>
        <v>389.5920000000001</v>
      </c>
      <c r="P838" s="1125">
        <f t="shared" si="1994"/>
        <v>389.5920000000001</v>
      </c>
      <c r="Q838" s="60">
        <f t="shared" si="1994"/>
        <v>-464</v>
      </c>
      <c r="R838" s="60">
        <f t="shared" si="1994"/>
        <v>-490</v>
      </c>
      <c r="S838" s="60">
        <f t="shared" si="1994"/>
        <v>-811</v>
      </c>
      <c r="T838" s="60">
        <f t="shared" si="1994"/>
        <v>-834</v>
      </c>
      <c r="U838" s="1125">
        <f t="shared" si="1994"/>
        <v>-834</v>
      </c>
      <c r="V838" s="60">
        <f t="shared" si="1994"/>
        <v>-44</v>
      </c>
      <c r="W838" s="60">
        <f t="shared" si="1994"/>
        <v>-483</v>
      </c>
      <c r="X838" s="60">
        <f t="shared" si="1994"/>
        <v>-503</v>
      </c>
      <c r="Y838" s="60">
        <f t="shared" si="1994"/>
        <v>-676</v>
      </c>
      <c r="Z838" s="1125">
        <f t="shared" si="1994"/>
        <v>-676</v>
      </c>
      <c r="AA838" s="60">
        <f t="shared" si="1994"/>
        <v>-544</v>
      </c>
      <c r="AB838" s="60">
        <f t="shared" si="1994"/>
        <v>-596</v>
      </c>
      <c r="AC838" s="61">
        <f t="shared" si="1994"/>
        <v>813</v>
      </c>
      <c r="AD838" s="61">
        <f t="shared" si="1994"/>
        <v>291</v>
      </c>
      <c r="AE838" s="1124">
        <f t="shared" si="1994"/>
        <v>291</v>
      </c>
      <c r="AF838" s="61">
        <f t="shared" si="1994"/>
        <v>-813</v>
      </c>
      <c r="AG838" s="60">
        <f t="shared" si="1994"/>
        <v>-1781</v>
      </c>
      <c r="AH838" s="60">
        <f t="shared" si="1994"/>
        <v>-2410</v>
      </c>
      <c r="AI838" s="61">
        <f t="shared" ref="AI838:BG838" si="1995">SUM(AI821:AI837)</f>
        <v>-2544</v>
      </c>
      <c r="AJ838" s="1124">
        <f t="shared" si="1995"/>
        <v>-2544</v>
      </c>
      <c r="AK838" s="60">
        <f t="shared" si="1995"/>
        <v>-1131</v>
      </c>
      <c r="AL838" s="60">
        <f t="shared" si="1995"/>
        <v>-1286</v>
      </c>
      <c r="AM838" s="60">
        <f t="shared" si="1995"/>
        <v>-1989</v>
      </c>
      <c r="AN838" s="61">
        <f t="shared" si="1995"/>
        <v>-2866</v>
      </c>
      <c r="AO838" s="1124">
        <f t="shared" si="1995"/>
        <v>-2866</v>
      </c>
      <c r="AP838" s="60">
        <f t="shared" si="1995"/>
        <v>-225</v>
      </c>
      <c r="AQ838" s="61">
        <f t="shared" si="1995"/>
        <v>-373</v>
      </c>
      <c r="AR838" s="60">
        <f t="shared" si="1995"/>
        <v>-609</v>
      </c>
      <c r="AS838" s="61">
        <f t="shared" si="1995"/>
        <v>-792</v>
      </c>
      <c r="AT838" s="1124">
        <f t="shared" si="1995"/>
        <v>-792</v>
      </c>
      <c r="AU838" s="60">
        <f t="shared" si="1995"/>
        <v>4744</v>
      </c>
      <c r="AV838" s="61">
        <f t="shared" si="1995"/>
        <v>4447</v>
      </c>
      <c r="AW838" s="60">
        <f t="shared" si="1995"/>
        <v>4146</v>
      </c>
      <c r="AX838" s="61">
        <f t="shared" si="1995"/>
        <v>3804</v>
      </c>
      <c r="AY838" s="1124">
        <f t="shared" si="1995"/>
        <v>3804</v>
      </c>
      <c r="AZ838" s="60">
        <f t="shared" si="1995"/>
        <v>-471</v>
      </c>
      <c r="BA838" s="61">
        <f t="shared" si="1995"/>
        <v>4030</v>
      </c>
      <c r="BB838" s="60">
        <f t="shared" si="1995"/>
        <v>2610</v>
      </c>
      <c r="BC838" s="61">
        <f t="shared" si="1995"/>
        <v>1865</v>
      </c>
      <c r="BD838" s="1124">
        <f t="shared" si="1995"/>
        <v>1865</v>
      </c>
      <c r="BE838" s="60">
        <f t="shared" si="1995"/>
        <v>-2446</v>
      </c>
      <c r="BF838" s="61">
        <f t="shared" si="1995"/>
        <v>-6208</v>
      </c>
      <c r="BG838" s="60">
        <f t="shared" si="1995"/>
        <v>-9961</v>
      </c>
      <c r="BH838" s="61">
        <f t="shared" ref="BH838:BI838" si="1996">SUM(BH821:BH837)</f>
        <v>-11617</v>
      </c>
      <c r="BI838" s="1124">
        <f t="shared" si="1996"/>
        <v>-11617</v>
      </c>
      <c r="BJ838" s="60">
        <f t="shared" ref="BJ838:BO838" si="1997">SUM(BJ821:BJ837)</f>
        <v>-380</v>
      </c>
      <c r="BK838" s="61">
        <f t="shared" si="1997"/>
        <v>-5479</v>
      </c>
      <c r="BL838" s="60">
        <f t="shared" si="1997"/>
        <v>-10004</v>
      </c>
      <c r="BM838" s="61">
        <f t="shared" si="1997"/>
        <v>-13633</v>
      </c>
      <c r="BN838" s="1124">
        <f t="shared" si="1997"/>
        <v>-13633</v>
      </c>
      <c r="BO838" s="60">
        <f t="shared" si="1997"/>
        <v>-9345</v>
      </c>
      <c r="BP838" s="61">
        <f t="shared" ref="BP838:BU838" si="1998">SUM(BP821:BP837)</f>
        <v>-19665</v>
      </c>
      <c r="BQ838" s="60">
        <f t="shared" si="1998"/>
        <v>-32410</v>
      </c>
      <c r="BR838" s="61">
        <f t="shared" si="1998"/>
        <v>-42359</v>
      </c>
      <c r="BS838" s="1124">
        <f t="shared" si="1998"/>
        <v>-42359</v>
      </c>
      <c r="BT838" s="60">
        <f t="shared" si="1998"/>
        <v>-15553</v>
      </c>
      <c r="BU838" s="61">
        <f t="shared" si="1998"/>
        <v>-27386</v>
      </c>
      <c r="BV838" s="60">
        <f>SUM(BV821:BV837)</f>
        <v>-42266</v>
      </c>
      <c r="BW838" s="61">
        <f>SUM(BW821:BW837)</f>
        <v>-48474</v>
      </c>
      <c r="BX838" s="1124">
        <f>SUM(BX821:BX837)</f>
        <v>-48474</v>
      </c>
      <c r="BY838" s="895">
        <f>SUM(BY821:BY837)</f>
        <v>-21283</v>
      </c>
      <c r="BZ838" s="61"/>
      <c r="CA838" s="61"/>
      <c r="CB838" s="61"/>
      <c r="CC838" s="1124"/>
      <c r="CD838" s="61"/>
      <c r="CE838" s="61"/>
      <c r="CF838" s="61"/>
      <c r="CG838" s="61"/>
      <c r="CH838" s="1124"/>
      <c r="CI838" s="1124"/>
      <c r="CJ838" s="1124"/>
      <c r="CK838" s="1124"/>
      <c r="CL838" s="155"/>
    </row>
    <row r="839" spans="1:90" hidden="1" outlineLevel="1" x14ac:dyDescent="0.3">
      <c r="A839" s="600"/>
      <c r="B839" s="279"/>
      <c r="C839" s="1127"/>
      <c r="D839" s="1127"/>
      <c r="E839" s="1127"/>
      <c r="F839" s="1127"/>
      <c r="G839" s="63"/>
      <c r="H839" s="63"/>
      <c r="I839" s="63"/>
      <c r="J839" s="63"/>
      <c r="K839" s="1127"/>
      <c r="L839" s="63"/>
      <c r="M839" s="63"/>
      <c r="N839" s="63"/>
      <c r="O839" s="63"/>
      <c r="P839" s="1127"/>
      <c r="Q839" s="63"/>
      <c r="R839" s="63"/>
      <c r="S839" s="63"/>
      <c r="T839" s="63"/>
      <c r="U839" s="1127"/>
      <c r="V839" s="63"/>
      <c r="W839" s="63"/>
      <c r="X839" s="63"/>
      <c r="Y839" s="63"/>
      <c r="Z839" s="1127"/>
      <c r="AA839" s="63"/>
      <c r="AB839" s="63"/>
      <c r="AC839" s="63"/>
      <c r="AD839" s="63"/>
      <c r="AE839" s="1127"/>
      <c r="AF839" s="63"/>
      <c r="AG839" s="63"/>
      <c r="AH839" s="63"/>
      <c r="AI839" s="63"/>
      <c r="AJ839" s="1127"/>
      <c r="AK839" s="63"/>
      <c r="AL839" s="63"/>
      <c r="AM839" s="63"/>
      <c r="AN839" s="63"/>
      <c r="AO839" s="1127"/>
      <c r="AP839" s="63"/>
      <c r="AQ839" s="63"/>
      <c r="AR839" s="63"/>
      <c r="AS839" s="63"/>
      <c r="AT839" s="1127"/>
      <c r="AU839" s="63"/>
      <c r="AV839" s="63"/>
      <c r="AW839" s="63"/>
      <c r="AX839" s="63"/>
      <c r="AY839" s="1127"/>
      <c r="AZ839" s="63"/>
      <c r="BA839" s="63"/>
      <c r="BB839" s="63"/>
      <c r="BC839" s="63"/>
      <c r="BD839" s="1127"/>
      <c r="BE839" s="63"/>
      <c r="BF839" s="63"/>
      <c r="BG839" s="63"/>
      <c r="BH839" s="63"/>
      <c r="BI839" s="1127"/>
      <c r="BJ839" s="63"/>
      <c r="BK839" s="63"/>
      <c r="BL839" s="63"/>
      <c r="BM839" s="63"/>
      <c r="BN839" s="1127"/>
      <c r="BO839" s="63"/>
      <c r="BP839" s="63"/>
      <c r="BQ839" s="63"/>
      <c r="BR839" s="63"/>
      <c r="BS839" s="1127"/>
      <c r="BT839" s="63"/>
      <c r="BU839" s="63"/>
      <c r="BV839" s="63"/>
      <c r="BW839" s="63"/>
      <c r="BX839" s="1127"/>
      <c r="BY839" s="587"/>
      <c r="BZ839" s="63"/>
      <c r="CA839" s="63"/>
      <c r="CB839" s="63"/>
      <c r="CC839" s="1127"/>
      <c r="CD839" s="63"/>
      <c r="CE839" s="63"/>
      <c r="CF839" s="63"/>
      <c r="CG839" s="63"/>
      <c r="CH839" s="1127"/>
      <c r="CI839" s="1127"/>
      <c r="CJ839" s="1127"/>
      <c r="CK839" s="1127"/>
      <c r="CL839" s="155"/>
    </row>
    <row r="840" spans="1:90" hidden="1" outlineLevel="1" x14ac:dyDescent="0.3">
      <c r="A840" s="62" t="s">
        <v>186</v>
      </c>
      <c r="B840" s="279"/>
      <c r="C840" s="1127"/>
      <c r="D840" s="1127"/>
      <c r="E840" s="1127"/>
      <c r="F840" s="1127"/>
      <c r="G840" s="63"/>
      <c r="H840" s="63"/>
      <c r="I840" s="63"/>
      <c r="J840" s="28">
        <f>K840</f>
        <v>0</v>
      </c>
      <c r="K840" s="1127"/>
      <c r="L840" s="63"/>
      <c r="M840" s="63"/>
      <c r="N840" s="63"/>
      <c r="O840" s="28">
        <f>P840</f>
        <v>0</v>
      </c>
      <c r="P840" s="1127"/>
      <c r="Q840" s="63"/>
      <c r="R840" s="63"/>
      <c r="S840" s="63"/>
      <c r="T840" s="28">
        <f>U840</f>
        <v>0</v>
      </c>
      <c r="U840" s="1127"/>
      <c r="V840" s="63"/>
      <c r="W840" s="63"/>
      <c r="X840" s="63"/>
      <c r="Y840" s="28">
        <f>Z840</f>
        <v>0</v>
      </c>
      <c r="Z840" s="1127"/>
      <c r="AA840" s="63"/>
      <c r="AB840" s="63"/>
      <c r="AC840" s="63"/>
      <c r="AD840" s="63">
        <f>AE840</f>
        <v>0</v>
      </c>
      <c r="AE840" s="1127"/>
      <c r="AF840" s="63"/>
      <c r="AG840" s="63"/>
      <c r="AH840" s="63"/>
      <c r="AI840" s="63">
        <f>AJ840</f>
        <v>0</v>
      </c>
      <c r="AJ840" s="1127"/>
      <c r="AK840" s="63"/>
      <c r="AL840" s="63"/>
      <c r="AM840" s="63"/>
      <c r="AN840" s="63">
        <f>AO840</f>
        <v>0</v>
      </c>
      <c r="AO840" s="1127"/>
      <c r="AP840" s="63"/>
      <c r="AQ840" s="63"/>
      <c r="AR840" s="63"/>
      <c r="AS840" s="63">
        <f>AT840</f>
        <v>0</v>
      </c>
      <c r="AT840" s="1127"/>
      <c r="AU840" s="63"/>
      <c r="AV840" s="63"/>
      <c r="AW840" s="63"/>
      <c r="AX840" s="63">
        <f>AY840</f>
        <v>0</v>
      </c>
      <c r="AY840" s="1127"/>
      <c r="AZ840" s="63"/>
      <c r="BA840" s="63"/>
      <c r="BB840" s="63"/>
      <c r="BC840" s="63">
        <f>BD840</f>
        <v>0</v>
      </c>
      <c r="BD840" s="1127"/>
      <c r="BE840" s="63"/>
      <c r="BF840" s="63"/>
      <c r="BG840" s="63"/>
      <c r="BH840" s="63">
        <f>BI840</f>
        <v>0</v>
      </c>
      <c r="BI840" s="1127"/>
      <c r="BJ840" s="63"/>
      <c r="BK840" s="63"/>
      <c r="BL840" s="63"/>
      <c r="BM840" s="63">
        <f>BN840</f>
        <v>0</v>
      </c>
      <c r="BN840" s="1127"/>
      <c r="BO840" s="63"/>
      <c r="BP840" s="63"/>
      <c r="BQ840" s="63"/>
      <c r="BR840" s="63">
        <f>BS840</f>
        <v>0</v>
      </c>
      <c r="BS840" s="1127"/>
      <c r="BT840" s="63"/>
      <c r="BU840" s="63"/>
      <c r="BV840" s="63"/>
      <c r="BW840" s="63">
        <f>BX840</f>
        <v>0</v>
      </c>
      <c r="BX840" s="1127"/>
      <c r="BY840" s="587"/>
      <c r="BZ840" s="63"/>
      <c r="CA840" s="63"/>
      <c r="CB840" s="63"/>
      <c r="CC840" s="1127"/>
      <c r="CD840" s="63"/>
      <c r="CE840" s="63"/>
      <c r="CF840" s="63"/>
      <c r="CG840" s="63"/>
      <c r="CH840" s="1127"/>
      <c r="CI840" s="1127"/>
      <c r="CJ840" s="1127"/>
      <c r="CK840" s="1127"/>
      <c r="CL840" s="155"/>
    </row>
    <row r="841" spans="1:90" hidden="1" outlineLevel="1" x14ac:dyDescent="0.3">
      <c r="A841" s="62" t="s">
        <v>187</v>
      </c>
      <c r="B841" s="279"/>
      <c r="C841" s="1134">
        <f t="shared" ref="C841:AH841" si="1999">C838+C818+C805+C840</f>
        <v>-309.28099999999995</v>
      </c>
      <c r="D841" s="1134">
        <f t="shared" si="1999"/>
        <v>29.532999999999902</v>
      </c>
      <c r="E841" s="1134">
        <f t="shared" si="1999"/>
        <v>218.14000000000004</v>
      </c>
      <c r="F841" s="1134">
        <f t="shared" si="1999"/>
        <v>2.5150000000003274</v>
      </c>
      <c r="G841" s="28">
        <f t="shared" si="1999"/>
        <v>-298.74099999999999</v>
      </c>
      <c r="H841" s="28">
        <f t="shared" si="1999"/>
        <v>-168.25800000000007</v>
      </c>
      <c r="I841" s="28">
        <f t="shared" si="1999"/>
        <v>-142.48800000000028</v>
      </c>
      <c r="J841" s="28">
        <f t="shared" si="1999"/>
        <v>64.909999999999741</v>
      </c>
      <c r="K841" s="1134">
        <f t="shared" si="1999"/>
        <v>64.909999999999741</v>
      </c>
      <c r="L841" s="28">
        <f t="shared" si="1999"/>
        <v>-171.36300000000006</v>
      </c>
      <c r="M841" s="28">
        <f t="shared" si="1999"/>
        <v>-141.46499999999997</v>
      </c>
      <c r="N841" s="28">
        <f t="shared" si="1999"/>
        <v>-170.70200000000006</v>
      </c>
      <c r="O841" s="28">
        <f t="shared" si="1999"/>
        <v>418.80099999999982</v>
      </c>
      <c r="P841" s="1134">
        <f t="shared" si="1999"/>
        <v>418.80099999999982</v>
      </c>
      <c r="Q841" s="28">
        <f t="shared" si="1999"/>
        <v>-643</v>
      </c>
      <c r="R841" s="28">
        <f t="shared" si="1999"/>
        <v>-637</v>
      </c>
      <c r="S841" s="28">
        <f t="shared" si="1999"/>
        <v>-757</v>
      </c>
      <c r="T841" s="28">
        <f t="shared" si="1999"/>
        <v>-655</v>
      </c>
      <c r="U841" s="1134">
        <f t="shared" si="1999"/>
        <v>-655</v>
      </c>
      <c r="V841" s="28">
        <f t="shared" si="1999"/>
        <v>-33</v>
      </c>
      <c r="W841" s="28">
        <f t="shared" si="1999"/>
        <v>-62</v>
      </c>
      <c r="X841" s="28">
        <f t="shared" si="1999"/>
        <v>-26</v>
      </c>
      <c r="Y841" s="28">
        <f t="shared" si="1999"/>
        <v>99</v>
      </c>
      <c r="Z841" s="1134">
        <f t="shared" si="1999"/>
        <v>99</v>
      </c>
      <c r="AA841" s="28">
        <f t="shared" si="1999"/>
        <v>-49</v>
      </c>
      <c r="AB841" s="28">
        <f t="shared" si="1999"/>
        <v>-170</v>
      </c>
      <c r="AC841" s="63">
        <f t="shared" si="1999"/>
        <v>1344</v>
      </c>
      <c r="AD841" s="63">
        <f t="shared" si="1999"/>
        <v>1170</v>
      </c>
      <c r="AE841" s="1127">
        <f t="shared" si="1999"/>
        <v>1170</v>
      </c>
      <c r="AF841" s="63">
        <f t="shared" si="1999"/>
        <v>223</v>
      </c>
      <c r="AG841" s="28">
        <f t="shared" si="1999"/>
        <v>222</v>
      </c>
      <c r="AH841" s="28">
        <f t="shared" si="1999"/>
        <v>1036</v>
      </c>
      <c r="AI841" s="28">
        <f t="shared" ref="AI841:BG841" si="2000">AI838+AI818+AI805+AI840</f>
        <v>2236</v>
      </c>
      <c r="AJ841" s="1134">
        <f t="shared" si="2000"/>
        <v>2236</v>
      </c>
      <c r="AK841" s="28">
        <f t="shared" si="2000"/>
        <v>-3237</v>
      </c>
      <c r="AL841" s="28">
        <f t="shared" si="2000"/>
        <v>-3284</v>
      </c>
      <c r="AM841" s="28">
        <f t="shared" si="2000"/>
        <v>-3281</v>
      </c>
      <c r="AN841" s="63">
        <f t="shared" si="2000"/>
        <v>-3220</v>
      </c>
      <c r="AO841" s="1127">
        <f t="shared" si="2000"/>
        <v>-3220</v>
      </c>
      <c r="AP841" s="28">
        <f t="shared" si="2000"/>
        <v>1990</v>
      </c>
      <c r="AQ841" s="63">
        <f t="shared" si="2000"/>
        <v>6323</v>
      </c>
      <c r="AR841" s="28">
        <f t="shared" si="2000"/>
        <v>8983</v>
      </c>
      <c r="AS841" s="63">
        <f t="shared" si="2000"/>
        <v>10114</v>
      </c>
      <c r="AT841" s="1127">
        <f t="shared" si="2000"/>
        <v>10114</v>
      </c>
      <c r="AU841" s="28">
        <f t="shared" si="2000"/>
        <v>4598</v>
      </c>
      <c r="AV841" s="63">
        <f t="shared" si="2000"/>
        <v>-7622</v>
      </c>
      <c r="AW841" s="28">
        <f t="shared" si="2000"/>
        <v>-8645</v>
      </c>
      <c r="AX841" s="63">
        <f t="shared" si="2000"/>
        <v>-10049</v>
      </c>
      <c r="AY841" s="1127">
        <f t="shared" si="2000"/>
        <v>-10049</v>
      </c>
      <c r="AZ841" s="28">
        <f t="shared" si="2000"/>
        <v>131</v>
      </c>
      <c r="BA841" s="63">
        <f t="shared" si="2000"/>
        <v>4781</v>
      </c>
      <c r="BB841" s="28">
        <f t="shared" si="2000"/>
        <v>441</v>
      </c>
      <c r="BC841" s="63">
        <f t="shared" si="2000"/>
        <v>1143</v>
      </c>
      <c r="BD841" s="1127">
        <f t="shared" si="2000"/>
        <v>1143</v>
      </c>
      <c r="BE841" s="28">
        <f t="shared" si="2000"/>
        <v>1897</v>
      </c>
      <c r="BF841" s="63">
        <f t="shared" si="2000"/>
        <v>1023</v>
      </c>
      <c r="BG841" s="28">
        <f t="shared" si="2000"/>
        <v>810</v>
      </c>
      <c r="BH841" s="63">
        <f t="shared" ref="BH841:BI841" si="2001">BH838+BH818+BH805+BH840</f>
        <v>1399</v>
      </c>
      <c r="BI841" s="1127">
        <f t="shared" si="2001"/>
        <v>1399</v>
      </c>
      <c r="BJ841" s="28">
        <f t="shared" ref="BJ841:BO841" si="2002">BJ838+BJ818+BJ805+BJ840</f>
        <v>1690</v>
      </c>
      <c r="BK841" s="63">
        <f t="shared" si="2002"/>
        <v>2493</v>
      </c>
      <c r="BL841" s="28">
        <f t="shared" si="2002"/>
        <v>2130</v>
      </c>
      <c r="BM841" s="63">
        <f t="shared" si="2002"/>
        <v>3891</v>
      </c>
      <c r="BN841" s="1127">
        <f t="shared" si="2002"/>
        <v>3891</v>
      </c>
      <c r="BO841" s="28">
        <f t="shared" si="2002"/>
        <v>307</v>
      </c>
      <c r="BP841" s="63">
        <f t="shared" ref="BP841:BU841" si="2003">BP838+BP818+BP805+BP840</f>
        <v>1291</v>
      </c>
      <c r="BQ841" s="28">
        <f t="shared" si="2003"/>
        <v>1827</v>
      </c>
      <c r="BR841" s="63">
        <f t="shared" si="2003"/>
        <v>1309</v>
      </c>
      <c r="BS841" s="1127">
        <f t="shared" si="2003"/>
        <v>1309</v>
      </c>
      <c r="BT841" s="28">
        <f t="shared" si="2003"/>
        <v>6645</v>
      </c>
      <c r="BU841" s="63">
        <f t="shared" si="2003"/>
        <v>3050</v>
      </c>
      <c r="BV841" s="28">
        <f>BV838+BV818+BV805+BV840</f>
        <v>2897</v>
      </c>
      <c r="BW841" s="63">
        <f>BW838+BW818+BW805+BW840</f>
        <v>2016</v>
      </c>
      <c r="BX841" s="1127">
        <f>BX838+BX818+BX805+BX840</f>
        <v>2016</v>
      </c>
      <c r="BY841" s="505">
        <f>BY838+BY818+BY805+BY840</f>
        <v>2632</v>
      </c>
      <c r="BZ841" s="63"/>
      <c r="CA841" s="63"/>
      <c r="CB841" s="63"/>
      <c r="CC841" s="1127"/>
      <c r="CD841" s="63"/>
      <c r="CE841" s="63"/>
      <c r="CF841" s="63"/>
      <c r="CG841" s="63"/>
      <c r="CH841" s="1127"/>
      <c r="CI841" s="1127"/>
      <c r="CJ841" s="1127"/>
      <c r="CK841" s="1127"/>
      <c r="CL841" s="155"/>
    </row>
    <row r="842" spans="1:90" hidden="1" outlineLevel="1" x14ac:dyDescent="0.3">
      <c r="A842" s="600"/>
      <c r="B842" s="279"/>
      <c r="C842" s="1127"/>
      <c r="D842" s="1127"/>
      <c r="E842" s="1127"/>
      <c r="F842" s="1127"/>
      <c r="G842" s="63"/>
      <c r="H842" s="63"/>
      <c r="I842" s="63"/>
      <c r="J842" s="63"/>
      <c r="K842" s="1127"/>
      <c r="L842" s="63"/>
      <c r="M842" s="63"/>
      <c r="N842" s="63"/>
      <c r="O842" s="63"/>
      <c r="P842" s="1127"/>
      <c r="Q842" s="63"/>
      <c r="R842" s="63"/>
      <c r="S842" s="63"/>
      <c r="T842" s="63"/>
      <c r="U842" s="1127"/>
      <c r="V842" s="63"/>
      <c r="W842" s="63"/>
      <c r="X842" s="63"/>
      <c r="Y842" s="63"/>
      <c r="Z842" s="1127"/>
      <c r="AA842" s="63"/>
      <c r="AB842" s="63"/>
      <c r="AC842" s="63"/>
      <c r="AD842" s="63"/>
      <c r="AE842" s="1127"/>
      <c r="AF842" s="63"/>
      <c r="AG842" s="63"/>
      <c r="AH842" s="63"/>
      <c r="AI842" s="63"/>
      <c r="AJ842" s="1127"/>
      <c r="AK842" s="63"/>
      <c r="AL842" s="63"/>
      <c r="AM842" s="63"/>
      <c r="AN842" s="63"/>
      <c r="AO842" s="1127"/>
      <c r="AP842" s="63"/>
      <c r="AQ842" s="63"/>
      <c r="AR842" s="63"/>
      <c r="AS842" s="63"/>
      <c r="AT842" s="1127"/>
      <c r="AU842" s="63"/>
      <c r="AV842" s="63"/>
      <c r="AW842" s="63"/>
      <c r="AX842" s="63"/>
      <c r="AY842" s="1127"/>
      <c r="AZ842" s="63"/>
      <c r="BA842" s="63"/>
      <c r="BB842" s="63"/>
      <c r="BC842" s="63"/>
      <c r="BD842" s="1127"/>
      <c r="BE842" s="63"/>
      <c r="BF842" s="63"/>
      <c r="BG842" s="63"/>
      <c r="BH842" s="63"/>
      <c r="BI842" s="1127"/>
      <c r="BJ842" s="63"/>
      <c r="BK842" s="63"/>
      <c r="BL842" s="63"/>
      <c r="BM842" s="63"/>
      <c r="BN842" s="1127"/>
      <c r="BO842" s="63"/>
      <c r="BP842" s="63"/>
      <c r="BQ842" s="63"/>
      <c r="BR842" s="63"/>
      <c r="BS842" s="1127"/>
      <c r="BT842" s="63"/>
      <c r="BU842" s="63"/>
      <c r="BV842" s="63"/>
      <c r="BW842" s="63"/>
      <c r="BX842" s="1127"/>
      <c r="BY842" s="587"/>
      <c r="BZ842" s="63"/>
      <c r="CA842" s="63"/>
      <c r="CB842" s="63"/>
      <c r="CC842" s="1127"/>
      <c r="CD842" s="63"/>
      <c r="CE842" s="63"/>
      <c r="CF842" s="63"/>
      <c r="CG842" s="63"/>
      <c r="CH842" s="1127"/>
      <c r="CI842" s="1127"/>
      <c r="CJ842" s="1127"/>
      <c r="CK842" s="1127"/>
      <c r="CL842" s="155"/>
    </row>
    <row r="843" spans="1:90" hidden="1" outlineLevel="1" x14ac:dyDescent="0.3">
      <c r="A843" s="62" t="s">
        <v>188</v>
      </c>
      <c r="B843" s="279"/>
      <c r="C843" s="1150">
        <v>726.96900000000005</v>
      </c>
      <c r="D843" s="1134">
        <f>C844</f>
        <v>417.6880000000001</v>
      </c>
      <c r="E843" s="1134">
        <f>D844</f>
        <v>447.221</v>
      </c>
      <c r="F843" s="1134">
        <f>E844</f>
        <v>665.3610000000001</v>
      </c>
      <c r="G843" s="28">
        <f>F844</f>
        <v>667.87600000000043</v>
      </c>
      <c r="H843" s="28">
        <f>G843</f>
        <v>667.87600000000043</v>
      </c>
      <c r="I843" s="28">
        <f>H843</f>
        <v>667.87600000000043</v>
      </c>
      <c r="J843" s="28">
        <f>I843</f>
        <v>667.87600000000043</v>
      </c>
      <c r="K843" s="1134">
        <f>J843</f>
        <v>667.87600000000043</v>
      </c>
      <c r="L843" s="1064">
        <v>732.78599999999994</v>
      </c>
      <c r="M843" s="28">
        <f>L843</f>
        <v>732.78599999999994</v>
      </c>
      <c r="N843" s="28">
        <f>M843</f>
        <v>732.78599999999994</v>
      </c>
      <c r="O843" s="28">
        <f>N843</f>
        <v>732.78599999999994</v>
      </c>
      <c r="P843" s="1134">
        <f>O843</f>
        <v>732.78599999999994</v>
      </c>
      <c r="Q843" s="28">
        <f>P844</f>
        <v>1151.5869999999998</v>
      </c>
      <c r="R843" s="28">
        <f>Q843</f>
        <v>1151.5869999999998</v>
      </c>
      <c r="S843" s="28">
        <f>R843</f>
        <v>1151.5869999999998</v>
      </c>
      <c r="T843" s="28">
        <f>S843</f>
        <v>1151.5869999999998</v>
      </c>
      <c r="U843" s="1150">
        <v>1152</v>
      </c>
      <c r="V843" s="28">
        <f>U844</f>
        <v>497</v>
      </c>
      <c r="W843" s="28">
        <f>V843</f>
        <v>497</v>
      </c>
      <c r="X843" s="28">
        <f>W843</f>
        <v>497</v>
      </c>
      <c r="Y843" s="28">
        <f>X843</f>
        <v>497</v>
      </c>
      <c r="Z843" s="1134">
        <f>Y843</f>
        <v>497</v>
      </c>
      <c r="AA843" s="28">
        <f>Z844</f>
        <v>596</v>
      </c>
      <c r="AB843" s="28">
        <f>AA843</f>
        <v>596</v>
      </c>
      <c r="AC843" s="28">
        <f>AB843</f>
        <v>596</v>
      </c>
      <c r="AD843" s="28">
        <f>AC843</f>
        <v>596</v>
      </c>
      <c r="AE843" s="1134">
        <f>AD843</f>
        <v>596</v>
      </c>
      <c r="AF843" s="28">
        <f>AE844</f>
        <v>1766</v>
      </c>
      <c r="AG843" s="28">
        <f>AF843</f>
        <v>1766</v>
      </c>
      <c r="AH843" s="28">
        <f>AG843</f>
        <v>1766</v>
      </c>
      <c r="AI843" s="28">
        <f>AH843</f>
        <v>1766</v>
      </c>
      <c r="AJ843" s="1134">
        <f>AI843</f>
        <v>1766</v>
      </c>
      <c r="AK843" s="28">
        <f>AJ844</f>
        <v>4002</v>
      </c>
      <c r="AL843" s="28">
        <f>AK843</f>
        <v>4002</v>
      </c>
      <c r="AM843" s="28">
        <f>AL843</f>
        <v>4002</v>
      </c>
      <c r="AN843" s="28">
        <f>AM843</f>
        <v>4002</v>
      </c>
      <c r="AO843" s="1134">
        <f>AN843</f>
        <v>4002</v>
      </c>
      <c r="AP843" s="28">
        <f>AO844</f>
        <v>782</v>
      </c>
      <c r="AQ843" s="28">
        <f>AP843</f>
        <v>782</v>
      </c>
      <c r="AR843" s="28">
        <f>AQ843</f>
        <v>782</v>
      </c>
      <c r="AS843" s="28">
        <f>AR843</f>
        <v>782</v>
      </c>
      <c r="AT843" s="1134">
        <f>AS843</f>
        <v>782</v>
      </c>
      <c r="AU843" s="28">
        <f>AT844</f>
        <v>10896</v>
      </c>
      <c r="AV843" s="28">
        <f>AU843</f>
        <v>10896</v>
      </c>
      <c r="AW843" s="28">
        <f>AV843</f>
        <v>10896</v>
      </c>
      <c r="AX843" s="28">
        <f>AW843</f>
        <v>10896</v>
      </c>
      <c r="AY843" s="1134">
        <f>AX843</f>
        <v>10896</v>
      </c>
      <c r="AZ843" s="28">
        <f>AY844</f>
        <v>847</v>
      </c>
      <c r="BA843" s="28">
        <f>AZ843</f>
        <v>847</v>
      </c>
      <c r="BB843" s="28">
        <f>BA843</f>
        <v>847</v>
      </c>
      <c r="BC843" s="28">
        <f>BB843</f>
        <v>847</v>
      </c>
      <c r="BD843" s="1134">
        <f>BC843</f>
        <v>847</v>
      </c>
      <c r="BE843" s="28">
        <f>BD844</f>
        <v>1990</v>
      </c>
      <c r="BF843" s="28">
        <f>BE843</f>
        <v>1990</v>
      </c>
      <c r="BG843" s="28">
        <f>BF843</f>
        <v>1990</v>
      </c>
      <c r="BH843" s="28">
        <f>BG843</f>
        <v>1990</v>
      </c>
      <c r="BI843" s="1134">
        <f>BH843</f>
        <v>1990</v>
      </c>
      <c r="BJ843" s="28">
        <f>BI844</f>
        <v>3389</v>
      </c>
      <c r="BK843" s="28">
        <f>BJ843</f>
        <v>3389</v>
      </c>
      <c r="BL843" s="28">
        <f>BK843</f>
        <v>3389</v>
      </c>
      <c r="BM843" s="28">
        <f>BL843</f>
        <v>3389</v>
      </c>
      <c r="BN843" s="1134">
        <f>BM843</f>
        <v>3389</v>
      </c>
      <c r="BO843" s="28">
        <f>BN844</f>
        <v>7280</v>
      </c>
      <c r="BP843" s="28">
        <f>BO843</f>
        <v>7280</v>
      </c>
      <c r="BQ843" s="28">
        <f>BP843</f>
        <v>7280</v>
      </c>
      <c r="BR843" s="28">
        <f>BQ843</f>
        <v>7280</v>
      </c>
      <c r="BS843" s="1134">
        <f>BR843</f>
        <v>7280</v>
      </c>
      <c r="BT843" s="28">
        <f>BS844</f>
        <v>8589</v>
      </c>
      <c r="BU843" s="28">
        <f>BT843</f>
        <v>8589</v>
      </c>
      <c r="BV843" s="28">
        <f>BU843</f>
        <v>8589</v>
      </c>
      <c r="BW843" s="28">
        <f>BV843</f>
        <v>8589</v>
      </c>
      <c r="BX843" s="1134">
        <f>BW843</f>
        <v>8589</v>
      </c>
      <c r="BY843" s="505">
        <f>BX844</f>
        <v>10605</v>
      </c>
      <c r="BZ843" s="63"/>
      <c r="CA843" s="63"/>
      <c r="CB843" s="63"/>
      <c r="CC843" s="1127"/>
      <c r="CD843" s="63"/>
      <c r="CE843" s="63"/>
      <c r="CF843" s="63"/>
      <c r="CG843" s="63"/>
      <c r="CH843" s="1127"/>
      <c r="CI843" s="1127"/>
      <c r="CJ843" s="1127"/>
      <c r="CK843" s="1127"/>
      <c r="CL843" s="155"/>
    </row>
    <row r="844" spans="1:90" hidden="1" outlineLevel="1" x14ac:dyDescent="0.3">
      <c r="A844" s="62" t="s">
        <v>189</v>
      </c>
      <c r="B844" s="279"/>
      <c r="C844" s="1134">
        <f t="shared" ref="C844:AV844" si="2004">C841+C843</f>
        <v>417.6880000000001</v>
      </c>
      <c r="D844" s="1134">
        <f t="shared" si="2004"/>
        <v>447.221</v>
      </c>
      <c r="E844" s="1134">
        <f t="shared" si="2004"/>
        <v>665.3610000000001</v>
      </c>
      <c r="F844" s="1134">
        <f t="shared" si="2004"/>
        <v>667.87600000000043</v>
      </c>
      <c r="G844" s="28">
        <f t="shared" si="2004"/>
        <v>369.13500000000045</v>
      </c>
      <c r="H844" s="28">
        <f t="shared" si="2004"/>
        <v>499.61800000000039</v>
      </c>
      <c r="I844" s="28">
        <f t="shared" si="2004"/>
        <v>525.38800000000015</v>
      </c>
      <c r="J844" s="28">
        <f t="shared" si="2004"/>
        <v>732.78600000000017</v>
      </c>
      <c r="K844" s="1134">
        <f t="shared" si="2004"/>
        <v>732.78600000000017</v>
      </c>
      <c r="L844" s="28">
        <f t="shared" si="2004"/>
        <v>561.42299999999989</v>
      </c>
      <c r="M844" s="28">
        <f t="shared" si="2004"/>
        <v>591.32099999999991</v>
      </c>
      <c r="N844" s="28">
        <f t="shared" si="2004"/>
        <v>562.08399999999983</v>
      </c>
      <c r="O844" s="28">
        <f t="shared" si="2004"/>
        <v>1151.5869999999998</v>
      </c>
      <c r="P844" s="1134">
        <f t="shared" si="2004"/>
        <v>1151.5869999999998</v>
      </c>
      <c r="Q844" s="28">
        <f t="shared" si="2004"/>
        <v>508.58699999999976</v>
      </c>
      <c r="R844" s="28">
        <f t="shared" si="2004"/>
        <v>514.58699999999976</v>
      </c>
      <c r="S844" s="28">
        <f t="shared" si="2004"/>
        <v>394.58699999999976</v>
      </c>
      <c r="T844" s="28">
        <f t="shared" si="2004"/>
        <v>496.58699999999976</v>
      </c>
      <c r="U844" s="1134">
        <f t="shared" si="2004"/>
        <v>497</v>
      </c>
      <c r="V844" s="28">
        <f t="shared" si="2004"/>
        <v>464</v>
      </c>
      <c r="W844" s="28">
        <f t="shared" si="2004"/>
        <v>435</v>
      </c>
      <c r="X844" s="28">
        <f t="shared" si="2004"/>
        <v>471</v>
      </c>
      <c r="Y844" s="28">
        <f t="shared" si="2004"/>
        <v>596</v>
      </c>
      <c r="Z844" s="1134">
        <f t="shared" si="2004"/>
        <v>596</v>
      </c>
      <c r="AA844" s="28">
        <f t="shared" si="2004"/>
        <v>547</v>
      </c>
      <c r="AB844" s="28">
        <f t="shared" si="2004"/>
        <v>426</v>
      </c>
      <c r="AC844" s="28">
        <f t="shared" si="2004"/>
        <v>1940</v>
      </c>
      <c r="AD844" s="28">
        <f t="shared" si="2004"/>
        <v>1766</v>
      </c>
      <c r="AE844" s="1134">
        <f t="shared" si="2004"/>
        <v>1766</v>
      </c>
      <c r="AF844" s="28">
        <f t="shared" si="2004"/>
        <v>1989</v>
      </c>
      <c r="AG844" s="28">
        <f t="shared" si="2004"/>
        <v>1988</v>
      </c>
      <c r="AH844" s="28">
        <f t="shared" si="2004"/>
        <v>2802</v>
      </c>
      <c r="AI844" s="28">
        <f t="shared" si="2004"/>
        <v>4002</v>
      </c>
      <c r="AJ844" s="1134">
        <f t="shared" si="2004"/>
        <v>4002</v>
      </c>
      <c r="AK844" s="28">
        <f t="shared" si="2004"/>
        <v>765</v>
      </c>
      <c r="AL844" s="28">
        <f t="shared" si="2004"/>
        <v>718</v>
      </c>
      <c r="AM844" s="28">
        <f t="shared" si="2004"/>
        <v>721</v>
      </c>
      <c r="AN844" s="28">
        <f t="shared" si="2004"/>
        <v>782</v>
      </c>
      <c r="AO844" s="1134">
        <f t="shared" si="2004"/>
        <v>782</v>
      </c>
      <c r="AP844" s="28">
        <f t="shared" si="2004"/>
        <v>2772</v>
      </c>
      <c r="AQ844" s="28">
        <f t="shared" si="2004"/>
        <v>7105</v>
      </c>
      <c r="AR844" s="28">
        <f t="shared" si="2004"/>
        <v>9765</v>
      </c>
      <c r="AS844" s="28">
        <f t="shared" si="2004"/>
        <v>10896</v>
      </c>
      <c r="AT844" s="1134">
        <f t="shared" si="2004"/>
        <v>10896</v>
      </c>
      <c r="AU844" s="28">
        <f t="shared" si="2004"/>
        <v>15494</v>
      </c>
      <c r="AV844" s="28">
        <f t="shared" si="2004"/>
        <v>3274</v>
      </c>
      <c r="AW844" s="28">
        <f t="shared" ref="AW844:BB844" si="2005">AW841+AW843</f>
        <v>2251</v>
      </c>
      <c r="AX844" s="28">
        <f t="shared" si="2005"/>
        <v>847</v>
      </c>
      <c r="AY844" s="1134">
        <f t="shared" si="2005"/>
        <v>847</v>
      </c>
      <c r="AZ844" s="28">
        <f t="shared" si="2005"/>
        <v>978</v>
      </c>
      <c r="BA844" s="28">
        <f t="shared" si="2005"/>
        <v>5628</v>
      </c>
      <c r="BB844" s="28">
        <f t="shared" si="2005"/>
        <v>1288</v>
      </c>
      <c r="BC844" s="28">
        <f t="shared" ref="BC844:BI844" si="2006">BC841+BC843</f>
        <v>1990</v>
      </c>
      <c r="BD844" s="1134">
        <f t="shared" si="2006"/>
        <v>1990</v>
      </c>
      <c r="BE844" s="28">
        <f t="shared" si="2006"/>
        <v>3887</v>
      </c>
      <c r="BF844" s="28">
        <f t="shared" si="2006"/>
        <v>3013</v>
      </c>
      <c r="BG844" s="28">
        <f t="shared" si="2006"/>
        <v>2800</v>
      </c>
      <c r="BH844" s="28">
        <f t="shared" si="2006"/>
        <v>3389</v>
      </c>
      <c r="BI844" s="1134">
        <f t="shared" si="2006"/>
        <v>3389</v>
      </c>
      <c r="BJ844" s="28">
        <f t="shared" ref="BJ844:BO844" si="2007">BJ841+BJ843</f>
        <v>5079</v>
      </c>
      <c r="BK844" s="28">
        <f t="shared" si="2007"/>
        <v>5882</v>
      </c>
      <c r="BL844" s="28">
        <f t="shared" si="2007"/>
        <v>5519</v>
      </c>
      <c r="BM844" s="28">
        <f t="shared" si="2007"/>
        <v>7280</v>
      </c>
      <c r="BN844" s="1134">
        <f t="shared" si="2007"/>
        <v>7280</v>
      </c>
      <c r="BO844" s="28">
        <f t="shared" si="2007"/>
        <v>7587</v>
      </c>
      <c r="BP844" s="28">
        <f t="shared" ref="BP844:BU844" si="2008">BP841+BP843</f>
        <v>8571</v>
      </c>
      <c r="BQ844" s="28">
        <f t="shared" si="2008"/>
        <v>9107</v>
      </c>
      <c r="BR844" s="28">
        <f t="shared" si="2008"/>
        <v>8589</v>
      </c>
      <c r="BS844" s="1134">
        <f t="shared" si="2008"/>
        <v>8589</v>
      </c>
      <c r="BT844" s="28">
        <f t="shared" si="2008"/>
        <v>15234</v>
      </c>
      <c r="BU844" s="28">
        <f t="shared" si="2008"/>
        <v>11639</v>
      </c>
      <c r="BV844" s="28">
        <f>BV841+BV843</f>
        <v>11486</v>
      </c>
      <c r="BW844" s="28">
        <f>BW841+BW843</f>
        <v>10605</v>
      </c>
      <c r="BX844" s="1134">
        <f>BX841+BX843</f>
        <v>10605</v>
      </c>
      <c r="BY844" s="505">
        <f>BY841+BY843</f>
        <v>13237</v>
      </c>
      <c r="BZ844" s="63"/>
      <c r="CA844" s="63"/>
      <c r="CB844" s="63"/>
      <c r="CC844" s="1127"/>
      <c r="CD844" s="63"/>
      <c r="CE844" s="63"/>
      <c r="CF844" s="63"/>
      <c r="CG844" s="63"/>
      <c r="CH844" s="1127"/>
      <c r="CI844" s="1127"/>
      <c r="CJ844" s="1127"/>
      <c r="CK844" s="1127"/>
      <c r="CL844" s="155"/>
    </row>
    <row r="845" spans="1:90" hidden="1" outlineLevel="1" x14ac:dyDescent="0.3">
      <c r="A845" s="600"/>
      <c r="B845" s="279"/>
      <c r="C845" s="1127"/>
      <c r="D845" s="1127"/>
      <c r="E845" s="1127"/>
      <c r="F845" s="1127"/>
      <c r="G845" s="63"/>
      <c r="H845" s="63"/>
      <c r="I845" s="63"/>
      <c r="J845" s="63"/>
      <c r="K845" s="1127"/>
      <c r="L845" s="63"/>
      <c r="M845" s="63"/>
      <c r="N845" s="63"/>
      <c r="O845" s="63"/>
      <c r="P845" s="1127"/>
      <c r="Q845" s="63"/>
      <c r="R845" s="63"/>
      <c r="S845" s="63"/>
      <c r="T845" s="63"/>
      <c r="U845" s="1127"/>
      <c r="V845" s="63"/>
      <c r="W845" s="63"/>
      <c r="X845" s="63"/>
      <c r="Y845" s="63"/>
      <c r="Z845" s="1127"/>
      <c r="AA845" s="63"/>
      <c r="AB845" s="63"/>
      <c r="AC845" s="63"/>
      <c r="AD845" s="63"/>
      <c r="AE845" s="1127"/>
      <c r="AF845" s="63"/>
      <c r="AG845" s="63"/>
      <c r="AH845" s="63"/>
      <c r="AI845" s="63"/>
      <c r="AJ845" s="1127"/>
      <c r="AK845" s="63"/>
      <c r="AL845" s="63"/>
      <c r="AM845" s="63"/>
      <c r="AN845" s="63"/>
      <c r="AO845" s="1127"/>
      <c r="AP845" s="63"/>
      <c r="AQ845" s="63"/>
      <c r="AR845" s="63"/>
      <c r="AS845" s="63"/>
      <c r="AT845" s="1127"/>
      <c r="AU845" s="63"/>
      <c r="AV845" s="63"/>
      <c r="AW845" s="63"/>
      <c r="AX845" s="63"/>
      <c r="AY845" s="1127"/>
      <c r="AZ845" s="63"/>
      <c r="BA845" s="63"/>
      <c r="BB845" s="63"/>
      <c r="BC845" s="63"/>
      <c r="BD845" s="1127"/>
      <c r="BE845" s="63"/>
      <c r="BF845" s="63"/>
      <c r="BG845" s="63"/>
      <c r="BH845" s="63"/>
      <c r="BI845" s="1127"/>
      <c r="BJ845" s="63"/>
      <c r="BK845" s="63"/>
      <c r="BL845" s="63"/>
      <c r="BM845" s="63"/>
      <c r="BN845" s="1127"/>
      <c r="BO845" s="63"/>
      <c r="BP845" s="63"/>
      <c r="BQ845" s="63"/>
      <c r="BR845" s="63"/>
      <c r="BS845" s="1127"/>
      <c r="BT845" s="63"/>
      <c r="BU845" s="63"/>
      <c r="BV845" s="63"/>
      <c r="BW845" s="63"/>
      <c r="BX845" s="1127"/>
      <c r="BY845" s="587"/>
      <c r="BZ845" s="63"/>
      <c r="CA845" s="63"/>
      <c r="CB845" s="63"/>
      <c r="CC845" s="1127"/>
      <c r="CD845" s="63"/>
      <c r="CE845" s="63"/>
      <c r="CF845" s="63"/>
      <c r="CG845" s="63"/>
      <c r="CH845" s="1127"/>
      <c r="CI845" s="1127"/>
      <c r="CJ845" s="1127"/>
      <c r="CK845" s="1127"/>
      <c r="CL845" s="155"/>
    </row>
    <row r="846" spans="1:90" hidden="1" outlineLevel="1" x14ac:dyDescent="0.3">
      <c r="A846" s="100" t="s">
        <v>845</v>
      </c>
      <c r="B846" s="146"/>
      <c r="C846" s="1113">
        <v>0</v>
      </c>
      <c r="D846" s="1113">
        <v>3.2559999999999998</v>
      </c>
      <c r="E846" s="1113">
        <v>3.1269999999999998</v>
      </c>
      <c r="F846" s="1113">
        <v>3.008</v>
      </c>
      <c r="G846" s="1055">
        <v>0.74399999999999999</v>
      </c>
      <c r="H846" s="1055">
        <v>1.474</v>
      </c>
      <c r="I846" s="1055">
        <v>2.1890000000000001</v>
      </c>
      <c r="J846" s="27">
        <f>K846</f>
        <v>2.7719999999999998</v>
      </c>
      <c r="K846" s="1113">
        <v>2.7719999999999998</v>
      </c>
      <c r="L846" s="1055">
        <v>0.65500000000000003</v>
      </c>
      <c r="M846" s="1055">
        <v>1.294</v>
      </c>
      <c r="N846" s="68"/>
      <c r="O846" s="27">
        <f>P846</f>
        <v>2.5179999999999998</v>
      </c>
      <c r="P846" s="1113">
        <v>2.5179999999999998</v>
      </c>
      <c r="Q846" s="68"/>
      <c r="R846" s="68"/>
      <c r="S846" s="68"/>
      <c r="T846" s="68"/>
      <c r="U846" s="1113">
        <v>17</v>
      </c>
      <c r="V846" s="68"/>
      <c r="W846" s="68"/>
      <c r="X846" s="68"/>
      <c r="Y846" s="68"/>
      <c r="Z846" s="1113">
        <v>17</v>
      </c>
      <c r="AA846" s="68"/>
      <c r="AB846" s="68"/>
      <c r="AC846" s="68"/>
      <c r="AD846" s="68"/>
      <c r="AE846" s="1113">
        <v>13</v>
      </c>
      <c r="AF846" s="68"/>
      <c r="AG846" s="68"/>
      <c r="AH846" s="68"/>
      <c r="AI846" s="68"/>
      <c r="AJ846" s="1113">
        <v>55</v>
      </c>
      <c r="AK846" s="68"/>
      <c r="AL846" s="68"/>
      <c r="AM846" s="68"/>
      <c r="AN846" s="68"/>
      <c r="AO846" s="1113">
        <v>55</v>
      </c>
      <c r="AP846" s="68"/>
      <c r="AQ846" s="68"/>
      <c r="AR846" s="68"/>
      <c r="AS846" s="68"/>
      <c r="AT846" s="1113">
        <v>54</v>
      </c>
      <c r="AU846" s="68"/>
      <c r="AV846" s="68"/>
      <c r="AW846" s="68"/>
      <c r="AX846" s="68"/>
      <c r="AY846" s="1113">
        <v>138</v>
      </c>
      <c r="AZ846" s="68"/>
      <c r="BA846" s="68"/>
      <c r="BB846" s="68"/>
      <c r="BC846" s="68"/>
      <c r="BD846" s="1113">
        <v>246</v>
      </c>
      <c r="BE846" s="68"/>
      <c r="BF846" s="68"/>
      <c r="BG846" s="68"/>
      <c r="BH846" s="68"/>
      <c r="BI846" s="1113">
        <v>254</v>
      </c>
      <c r="BJ846" s="68"/>
      <c r="BK846" s="68"/>
      <c r="BL846" s="68"/>
      <c r="BM846" s="68">
        <f>BN846</f>
        <v>252</v>
      </c>
      <c r="BN846" s="1113">
        <v>252</v>
      </c>
      <c r="BO846" s="68"/>
      <c r="BP846" s="68"/>
      <c r="BQ846" s="68"/>
      <c r="BR846" s="68">
        <f>BS846</f>
        <v>246</v>
      </c>
      <c r="BS846" s="1113">
        <v>246</v>
      </c>
      <c r="BT846" s="68"/>
      <c r="BU846" s="68"/>
      <c r="BV846" s="68"/>
      <c r="BW846" s="68"/>
      <c r="BX846" s="1112"/>
      <c r="BY846" s="588"/>
      <c r="BZ846" s="68"/>
      <c r="CA846" s="68"/>
      <c r="CB846" s="68"/>
      <c r="CC846" s="1112"/>
      <c r="CD846" s="68"/>
      <c r="CE846" s="68"/>
      <c r="CF846" s="68"/>
      <c r="CG846" s="68"/>
      <c r="CH846" s="1112"/>
      <c r="CI846" s="1112"/>
      <c r="CJ846" s="1112"/>
      <c r="CK846" s="1112"/>
      <c r="CL846" s="155"/>
    </row>
    <row r="847" spans="1:90" hidden="1" outlineLevel="1" x14ac:dyDescent="0.3">
      <c r="A847" s="100" t="s">
        <v>846</v>
      </c>
      <c r="B847" s="146"/>
      <c r="C847" s="1113">
        <v>7.62</v>
      </c>
      <c r="D847" s="1113">
        <v>4.2169999999999996</v>
      </c>
      <c r="E847" s="1113">
        <v>-1.071</v>
      </c>
      <c r="F847" s="1113">
        <v>58.328000000000003</v>
      </c>
      <c r="G847" s="1055">
        <v>2.0099999999999998</v>
      </c>
      <c r="H847" s="1055">
        <v>-43.149000000000001</v>
      </c>
      <c r="I847" s="1055">
        <v>-40.442</v>
      </c>
      <c r="J847" s="27">
        <f>K847</f>
        <v>-38.607999999999997</v>
      </c>
      <c r="K847" s="1113">
        <v>-38.607999999999997</v>
      </c>
      <c r="L847" s="1055">
        <v>2.286</v>
      </c>
      <c r="M847" s="1055">
        <v>5.0830000000000002</v>
      </c>
      <c r="N847" s="68"/>
      <c r="O847" s="27">
        <f>P847</f>
        <v>14.615</v>
      </c>
      <c r="P847" s="1113">
        <v>14.615</v>
      </c>
      <c r="Q847" s="68"/>
      <c r="R847" s="68"/>
      <c r="S847" s="68"/>
      <c r="T847" s="68"/>
      <c r="U847" s="1113">
        <v>14</v>
      </c>
      <c r="V847" s="68"/>
      <c r="W847" s="68"/>
      <c r="X847" s="68"/>
      <c r="Y847" s="68"/>
      <c r="Z847" s="1113">
        <v>14</v>
      </c>
      <c r="AA847" s="68"/>
      <c r="AB847" s="68"/>
      <c r="AC847" s="68"/>
      <c r="AD847" s="68"/>
      <c r="AE847" s="1113">
        <v>14</v>
      </c>
      <c r="AF847" s="68"/>
      <c r="AG847" s="68"/>
      <c r="AH847" s="68"/>
      <c r="AI847" s="68"/>
      <c r="AJ847" s="1113">
        <v>22</v>
      </c>
      <c r="AK847" s="68"/>
      <c r="AL847" s="68"/>
      <c r="AM847" s="68"/>
      <c r="AN847" s="68"/>
      <c r="AO847" s="1113">
        <v>61</v>
      </c>
      <c r="AP847" s="68"/>
      <c r="AQ847" s="68"/>
      <c r="AR847" s="68"/>
      <c r="AS847" s="68"/>
      <c r="AT847" s="1113">
        <v>176</v>
      </c>
      <c r="AU847" s="68"/>
      <c r="AV847" s="68"/>
      <c r="AW847" s="68"/>
      <c r="AX847" s="68"/>
      <c r="AY847" s="1113">
        <v>249</v>
      </c>
      <c r="AZ847" s="68"/>
      <c r="BA847" s="68"/>
      <c r="BB847" s="68"/>
      <c r="BC847" s="68"/>
      <c r="BD847" s="1113">
        <v>396</v>
      </c>
      <c r="BE847" s="68"/>
      <c r="BF847" s="1055">
        <v>1108</v>
      </c>
      <c r="BG847" s="1055">
        <v>1372</v>
      </c>
      <c r="BH847" s="68">
        <f>BI847</f>
        <v>1404</v>
      </c>
      <c r="BI847" s="1113">
        <v>1404</v>
      </c>
      <c r="BJ847" s="68"/>
      <c r="BK847" s="1055">
        <v>328</v>
      </c>
      <c r="BL847" s="1055">
        <v>4676</v>
      </c>
      <c r="BM847" s="68">
        <f>BN847</f>
        <v>6549</v>
      </c>
      <c r="BN847" s="1113">
        <v>6549</v>
      </c>
      <c r="BO847" s="68"/>
      <c r="BP847" s="1055">
        <v>7449</v>
      </c>
      <c r="BQ847" s="1055">
        <v>10989</v>
      </c>
      <c r="BR847" s="68">
        <f>BS847</f>
        <v>15118</v>
      </c>
      <c r="BS847" s="1113">
        <v>15118</v>
      </c>
      <c r="BT847" s="68"/>
      <c r="BU847" s="1055">
        <v>8451</v>
      </c>
      <c r="BV847" s="1055">
        <v>13309</v>
      </c>
      <c r="BW847" s="68">
        <f>BX847</f>
        <v>20288</v>
      </c>
      <c r="BX847" s="1113">
        <v>20288</v>
      </c>
      <c r="BY847" s="1057">
        <v>0</v>
      </c>
      <c r="BZ847" s="68"/>
      <c r="CA847" s="68"/>
      <c r="CB847" s="68"/>
      <c r="CC847" s="1112"/>
      <c r="CD847" s="68"/>
      <c r="CE847" s="68"/>
      <c r="CF847" s="68"/>
      <c r="CG847" s="68"/>
      <c r="CH847" s="1112"/>
      <c r="CI847" s="1112"/>
      <c r="CJ847" s="1112"/>
      <c r="CK847" s="1112"/>
      <c r="CL847" s="155"/>
    </row>
    <row r="848" spans="1:90" collapsed="1" x14ac:dyDescent="0.3">
      <c r="A848" s="609"/>
      <c r="B848" s="610"/>
      <c r="C848" s="1161"/>
      <c r="D848" s="1161"/>
      <c r="E848" s="1161"/>
      <c r="F848" s="1161"/>
      <c r="G848" s="378"/>
      <c r="H848" s="378"/>
      <c r="I848" s="378"/>
      <c r="J848" s="378"/>
      <c r="K848" s="1161"/>
      <c r="L848" s="378"/>
      <c r="M848" s="378"/>
      <c r="N848" s="378"/>
      <c r="O848" s="378"/>
      <c r="P848" s="1161"/>
      <c r="Q848" s="378"/>
      <c r="R848" s="378"/>
      <c r="S848" s="378"/>
      <c r="T848" s="378"/>
      <c r="U848" s="1161"/>
      <c r="V848" s="378"/>
      <c r="W848" s="378"/>
      <c r="X848" s="378"/>
      <c r="Y848" s="378"/>
      <c r="Z848" s="1161"/>
      <c r="AA848" s="378"/>
      <c r="AB848" s="378"/>
      <c r="AC848" s="378"/>
      <c r="AD848" s="378"/>
      <c r="AE848" s="1161"/>
      <c r="AF848" s="378"/>
      <c r="AG848" s="378"/>
      <c r="AH848" s="378"/>
      <c r="AI848" s="378"/>
      <c r="AJ848" s="1161"/>
      <c r="AK848" s="378"/>
      <c r="AL848" s="378"/>
      <c r="AM848" s="378"/>
      <c r="AN848" s="378"/>
      <c r="AO848" s="1161"/>
      <c r="AP848" s="378"/>
      <c r="AQ848" s="378"/>
      <c r="AR848" s="378"/>
      <c r="AS848" s="378"/>
      <c r="AT848" s="1161"/>
      <c r="AU848" s="378"/>
      <c r="AV848" s="378"/>
      <c r="AW848" s="378"/>
      <c r="AX848" s="378"/>
      <c r="AY848" s="1161"/>
      <c r="AZ848" s="378"/>
      <c r="BA848" s="378"/>
      <c r="BB848" s="378"/>
      <c r="BC848" s="378"/>
      <c r="BD848" s="1161"/>
      <c r="BE848" s="378"/>
      <c r="BF848" s="378"/>
      <c r="BG848" s="378"/>
      <c r="BH848" s="378"/>
      <c r="BI848" s="1161"/>
      <c r="BJ848" s="378"/>
      <c r="BK848" s="378"/>
      <c r="BL848" s="378"/>
      <c r="BM848" s="378"/>
      <c r="BN848" s="1161"/>
      <c r="BO848" s="378"/>
      <c r="BP848" s="378"/>
      <c r="BQ848" s="378"/>
      <c r="BR848" s="378"/>
      <c r="BS848" s="1161"/>
      <c r="BT848" s="378"/>
      <c r="BU848" s="378"/>
      <c r="BV848" s="378"/>
      <c r="BW848" s="378"/>
      <c r="BX848" s="1161"/>
      <c r="BY848" s="1006"/>
      <c r="BZ848" s="378"/>
      <c r="CA848" s="378"/>
      <c r="CB848" s="378"/>
      <c r="CC848" s="1161"/>
      <c r="CD848" s="378"/>
      <c r="CE848" s="378"/>
      <c r="CF848" s="378"/>
      <c r="CG848" s="378"/>
      <c r="CH848" s="1161"/>
      <c r="CI848" s="1161"/>
      <c r="CJ848" s="1161"/>
      <c r="CK848" s="1161"/>
      <c r="CL848" s="155"/>
    </row>
    <row r="849" spans="1:90" x14ac:dyDescent="0.3">
      <c r="A849" s="45" t="s">
        <v>190</v>
      </c>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c r="AY849" s="45"/>
      <c r="AZ849" s="45"/>
      <c r="BA849" s="45"/>
      <c r="BB849" s="45"/>
      <c r="BC849" s="45"/>
      <c r="BD849" s="45"/>
      <c r="BE849" s="45"/>
      <c r="BF849" s="45"/>
      <c r="BG849" s="45"/>
      <c r="BH849" s="45"/>
      <c r="BI849" s="45"/>
      <c r="BJ849" s="45"/>
      <c r="BK849" s="45"/>
      <c r="BL849" s="45"/>
      <c r="BM849" s="45"/>
      <c r="BN849" s="45"/>
      <c r="BO849" s="45"/>
      <c r="BP849" s="45"/>
      <c r="BQ849" s="45"/>
      <c r="BR849" s="45"/>
      <c r="BS849" s="45"/>
      <c r="BT849" s="45"/>
      <c r="BU849" s="45"/>
      <c r="BV849" s="45"/>
      <c r="BW849" s="45"/>
      <c r="BX849" s="45"/>
      <c r="BY849" s="881"/>
      <c r="BZ849" s="45"/>
      <c r="CA849" s="45"/>
      <c r="CB849" s="45"/>
      <c r="CC849" s="45"/>
      <c r="CD849" s="45"/>
      <c r="CE849" s="45"/>
      <c r="CF849" s="45"/>
      <c r="CG849" s="45"/>
      <c r="CH849" s="45"/>
      <c r="CI849" s="45"/>
      <c r="CJ849" s="45"/>
      <c r="CK849" s="45"/>
      <c r="CL849" s="155"/>
    </row>
    <row r="850" spans="1:90" x14ac:dyDescent="0.3">
      <c r="A850" s="35" t="str">
        <f t="shared" ref="A850:A877" si="2009">A778</f>
        <v>CFO</v>
      </c>
      <c r="B850" s="610"/>
      <c r="C850" s="1161"/>
      <c r="D850" s="1161"/>
      <c r="E850" s="1161"/>
      <c r="F850" s="1161"/>
      <c r="G850" s="378"/>
      <c r="H850" s="378"/>
      <c r="I850" s="378"/>
      <c r="J850" s="378"/>
      <c r="K850" s="1161"/>
      <c r="L850" s="378"/>
      <c r="M850" s="378"/>
      <c r="N850" s="378"/>
      <c r="O850" s="378"/>
      <c r="P850" s="1161"/>
      <c r="Q850" s="378"/>
      <c r="R850" s="378"/>
      <c r="S850" s="378"/>
      <c r="T850" s="378"/>
      <c r="U850" s="1161"/>
      <c r="V850" s="378"/>
      <c r="W850" s="378"/>
      <c r="X850" s="378"/>
      <c r="Y850" s="378"/>
      <c r="Z850" s="1161"/>
      <c r="AA850" s="378"/>
      <c r="AB850" s="378"/>
      <c r="AC850" s="378"/>
      <c r="AD850" s="378"/>
      <c r="AE850" s="1161"/>
      <c r="AF850" s="378"/>
      <c r="AG850" s="378"/>
      <c r="AH850" s="378"/>
      <c r="AI850" s="378"/>
      <c r="AJ850" s="1161"/>
      <c r="AK850" s="378"/>
      <c r="AL850" s="378"/>
      <c r="AM850" s="378"/>
      <c r="AN850" s="378"/>
      <c r="AO850" s="1161"/>
      <c r="AP850" s="378"/>
      <c r="AQ850" s="378"/>
      <c r="AR850" s="378"/>
      <c r="AS850" s="378"/>
      <c r="AT850" s="1161"/>
      <c r="AU850" s="378"/>
      <c r="AV850" s="378"/>
      <c r="AW850" s="378"/>
      <c r="AX850" s="378"/>
      <c r="AY850" s="1161"/>
      <c r="AZ850" s="378"/>
      <c r="BA850" s="378"/>
      <c r="BB850" s="378"/>
      <c r="BC850" s="378"/>
      <c r="BD850" s="1161"/>
      <c r="BE850" s="378"/>
      <c r="BF850" s="378"/>
      <c r="BG850" s="378"/>
      <c r="BH850" s="378"/>
      <c r="BI850" s="1161"/>
      <c r="BJ850" s="378"/>
      <c r="BK850" s="378"/>
      <c r="BL850" s="378"/>
      <c r="BM850" s="378"/>
      <c r="BN850" s="1161"/>
      <c r="BO850" s="378"/>
      <c r="BP850" s="378"/>
      <c r="BQ850" s="378"/>
      <c r="BR850" s="378"/>
      <c r="BS850" s="1161"/>
      <c r="BT850" s="378"/>
      <c r="BU850" s="378"/>
      <c r="BV850" s="378"/>
      <c r="BW850" s="378"/>
      <c r="BX850" s="1161"/>
      <c r="BY850" s="1006"/>
      <c r="BZ850" s="378"/>
      <c r="CA850" s="378"/>
      <c r="CB850" s="378"/>
      <c r="CC850" s="1161"/>
      <c r="CD850" s="378"/>
      <c r="CE850" s="378"/>
      <c r="CF850" s="378"/>
      <c r="CG850" s="378"/>
      <c r="CH850" s="1161"/>
      <c r="CI850" s="1161"/>
      <c r="CJ850" s="1161"/>
      <c r="CK850" s="1161"/>
      <c r="CL850" s="155"/>
    </row>
    <row r="851" spans="1:90" x14ac:dyDescent="0.3">
      <c r="A851" s="99" t="str">
        <f t="shared" si="2009"/>
        <v>Net income</v>
      </c>
      <c r="B851" s="146"/>
      <c r="C851" s="1112">
        <f t="shared" ref="C851:G860" si="2010">C779</f>
        <v>-30.041</v>
      </c>
      <c r="D851" s="1112">
        <f t="shared" si="2010"/>
        <v>-67.986999999999995</v>
      </c>
      <c r="E851" s="1112">
        <f t="shared" si="2010"/>
        <v>253.14599999999999</v>
      </c>
      <c r="F851" s="1112">
        <f t="shared" si="2010"/>
        <v>581.09</v>
      </c>
      <c r="G851" s="68">
        <f t="shared" si="2010"/>
        <v>60.436999999999998</v>
      </c>
      <c r="H851" s="68">
        <f t="shared" ref="H851:J867" si="2011">H779-G779</f>
        <v>119.04600000000001</v>
      </c>
      <c r="I851" s="68">
        <f t="shared" si="2011"/>
        <v>209.07999999999998</v>
      </c>
      <c r="J851" s="68">
        <f t="shared" si="2011"/>
        <v>173.97299999999996</v>
      </c>
      <c r="K851" s="1112">
        <f t="shared" ref="K851:L867" si="2012">K779</f>
        <v>562.53599999999994</v>
      </c>
      <c r="L851" s="68">
        <f t="shared" si="2012"/>
        <v>77.891000000000005</v>
      </c>
      <c r="M851" s="68">
        <f t="shared" ref="M851:O867" si="2013">M779-L779</f>
        <v>96.447999999999993</v>
      </c>
      <c r="N851" s="68">
        <f t="shared" si="2013"/>
        <v>118.73399999999998</v>
      </c>
      <c r="O851" s="68">
        <f t="shared" si="2013"/>
        <v>146.91700000000003</v>
      </c>
      <c r="P851" s="1112">
        <f t="shared" ref="P851:Q867" si="2014">P779</f>
        <v>439.99</v>
      </c>
      <c r="Q851" s="68">
        <f t="shared" si="2014"/>
        <v>137</v>
      </c>
      <c r="R851" s="68">
        <f t="shared" ref="R851:T867" si="2015">R779-Q779</f>
        <v>128</v>
      </c>
      <c r="S851" s="68">
        <f t="shared" si="2015"/>
        <v>172</v>
      </c>
      <c r="T851" s="68">
        <f t="shared" si="2015"/>
        <v>194</v>
      </c>
      <c r="U851" s="1112">
        <f t="shared" ref="U851:V867" si="2016">U779</f>
        <v>631</v>
      </c>
      <c r="V851" s="68">
        <f t="shared" si="2016"/>
        <v>134</v>
      </c>
      <c r="W851" s="68">
        <f t="shared" ref="W851:Y867" si="2017">W779-V779</f>
        <v>26</v>
      </c>
      <c r="X851" s="68">
        <f t="shared" si="2017"/>
        <v>246</v>
      </c>
      <c r="Y851" s="68">
        <f t="shared" si="2017"/>
        <v>208</v>
      </c>
      <c r="Z851" s="1112">
        <f t="shared" ref="Z851:Z867" si="2018">SUM(V851,W851,X851,Y851)</f>
        <v>614</v>
      </c>
      <c r="AA851" s="68">
        <f t="shared" ref="AA851:AA867" si="2019">AA779</f>
        <v>208</v>
      </c>
      <c r="AB851" s="68">
        <f t="shared" ref="AB851:AD867" si="2020">AB779-AA779</f>
        <v>261</v>
      </c>
      <c r="AC851" s="68">
        <f t="shared" si="2020"/>
        <v>543</v>
      </c>
      <c r="AD851" s="68">
        <f t="shared" si="2020"/>
        <v>654</v>
      </c>
      <c r="AE851" s="1112">
        <f t="shared" ref="AE851:AE867" si="2021">SUM(AA851,AB851,AC851,AD851)</f>
        <v>1666</v>
      </c>
      <c r="AF851" s="68">
        <f t="shared" ref="AF851:AF867" si="2022">AF779</f>
        <v>507</v>
      </c>
      <c r="AG851" s="68">
        <f t="shared" ref="AG851:AI867" si="2023">AG779-AF779</f>
        <v>584</v>
      </c>
      <c r="AH851" s="68">
        <f t="shared" si="2023"/>
        <v>837</v>
      </c>
      <c r="AI851" s="68">
        <f t="shared" si="2023"/>
        <v>1119</v>
      </c>
      <c r="AJ851" s="1112">
        <f t="shared" ref="AJ851:AJ867" si="2024">SUM(AF851,AG851,AH851,AI851)</f>
        <v>3047</v>
      </c>
      <c r="AK851" s="68">
        <f t="shared" ref="AK851:AK867" si="2025">AK779</f>
        <v>1244</v>
      </c>
      <c r="AL851" s="68">
        <f t="shared" ref="AL851:AN867" si="2026">AL779-AK779</f>
        <v>1101</v>
      </c>
      <c r="AM851" s="68">
        <f t="shared" si="2026"/>
        <v>1230</v>
      </c>
      <c r="AN851" s="68">
        <f t="shared" si="2026"/>
        <v>566</v>
      </c>
      <c r="AO851" s="1112">
        <f t="shared" ref="AO851:AO867" si="2027">SUM(AK851,AL851,AM851,AN851)</f>
        <v>4141</v>
      </c>
      <c r="AP851" s="68">
        <f t="shared" ref="AP851:AP867" si="2028">AP779</f>
        <v>394</v>
      </c>
      <c r="AQ851" s="27">
        <f t="shared" ref="AQ851:AS867" si="2029">AQ779-AP779</f>
        <v>553</v>
      </c>
      <c r="AR851" s="68">
        <f t="shared" si="2029"/>
        <v>898</v>
      </c>
      <c r="AS851" s="68">
        <f t="shared" si="2029"/>
        <v>951</v>
      </c>
      <c r="AT851" s="1112">
        <f t="shared" ref="AT851:AT867" si="2030">SUM(AP851,AQ851,AR851,AS851)</f>
        <v>2796</v>
      </c>
      <c r="AU851" s="68">
        <f t="shared" ref="AU851:AU867" si="2031">AU779</f>
        <v>917</v>
      </c>
      <c r="AV851" s="27">
        <f t="shared" ref="AV851:AX867" si="2032">AV779-AU779</f>
        <v>622</v>
      </c>
      <c r="AW851" s="68">
        <f t="shared" si="2032"/>
        <v>1336</v>
      </c>
      <c r="AX851" s="68">
        <f t="shared" si="2032"/>
        <v>1457</v>
      </c>
      <c r="AY851" s="1112">
        <f t="shared" ref="AY851:AY867" si="2033">SUM(AU851,AV851,AW851,AX851)</f>
        <v>4332</v>
      </c>
      <c r="AZ851" s="68">
        <f t="shared" ref="AZ851:AZ867" si="2034">AZ779</f>
        <v>1912</v>
      </c>
      <c r="BA851" s="27">
        <f t="shared" ref="BA851:BC867" si="2035">BA779-AZ779</f>
        <v>2373</v>
      </c>
      <c r="BB851" s="68">
        <f t="shared" si="2035"/>
        <v>2464</v>
      </c>
      <c r="BC851" s="68">
        <f t="shared" si="2035"/>
        <v>3003</v>
      </c>
      <c r="BD851" s="1112">
        <f t="shared" ref="BD851:BD867" si="2036">SUM(AZ851,BA851,BB851,BC851)</f>
        <v>9752</v>
      </c>
      <c r="BE851" s="68">
        <f t="shared" ref="BE851:BE867" si="2037">BE779</f>
        <v>1618</v>
      </c>
      <c r="BF851" s="27">
        <f t="shared" ref="BF851:BH867" si="2038">BF779-BE779</f>
        <v>656</v>
      </c>
      <c r="BG851" s="68">
        <f t="shared" si="2038"/>
        <v>680</v>
      </c>
      <c r="BH851" s="68">
        <f t="shared" si="2038"/>
        <v>1414</v>
      </c>
      <c r="BI851" s="1112">
        <f t="shared" ref="BI851:BI867" si="2039">SUM(BE851,BF851,BG851,BH851)</f>
        <v>4368</v>
      </c>
      <c r="BJ851" s="68">
        <f t="shared" ref="BJ851:BJ867" si="2040">BJ779</f>
        <v>2043</v>
      </c>
      <c r="BK851" s="27">
        <f t="shared" ref="BK851:BM867" si="2041">BK779-BJ779</f>
        <v>6189</v>
      </c>
      <c r="BL851" s="68">
        <f t="shared" si="2041"/>
        <v>9243</v>
      </c>
      <c r="BM851" s="68">
        <f t="shared" si="2041"/>
        <v>12285</v>
      </c>
      <c r="BN851" s="1112">
        <f t="shared" ref="BN851:BN867" si="2042">SUM(BJ851,BK851,BL851,BM851)</f>
        <v>29760</v>
      </c>
      <c r="BO851" s="68">
        <f t="shared" ref="BO851:BO867" si="2043">BO779</f>
        <v>14881</v>
      </c>
      <c r="BP851" s="27">
        <f t="shared" ref="BP851:BR867" si="2044">BP779-BO779</f>
        <v>16599</v>
      </c>
      <c r="BQ851" s="68">
        <f t="shared" si="2044"/>
        <v>19309</v>
      </c>
      <c r="BR851" s="68">
        <f t="shared" si="2044"/>
        <v>22091</v>
      </c>
      <c r="BS851" s="1112">
        <f t="shared" ref="BS851:BS867" si="2045">SUM(BO851,BP851,BQ851,BR851)</f>
        <v>72880</v>
      </c>
      <c r="BT851" s="68">
        <f t="shared" ref="BT851:BT867" si="2046">BT779</f>
        <v>18775</v>
      </c>
      <c r="BU851" s="27">
        <f t="shared" ref="BU851:BU867" si="2047">BU779-BT779</f>
        <v>26422</v>
      </c>
      <c r="BV851" s="68">
        <f t="shared" ref="BV851:BV867" si="2048">BV779-BU779</f>
        <v>31910</v>
      </c>
      <c r="BW851" s="68">
        <f t="shared" ref="BW851:BW867" si="2049">BW779-BV779</f>
        <v>42960</v>
      </c>
      <c r="BX851" s="1112">
        <f t="shared" ref="BX851:BX867" si="2050">SUM(BT851,BU851,BV851,BW851)</f>
        <v>120067</v>
      </c>
      <c r="BY851" s="588">
        <f t="shared" ref="BY851:BY867" si="2051">BY779</f>
        <v>58321</v>
      </c>
      <c r="BZ851" s="68">
        <f>BZ424</f>
        <v>49305.855680994806</v>
      </c>
      <c r="CA851" s="68">
        <f>CA424</f>
        <v>52242.938255915949</v>
      </c>
      <c r="CB851" s="68">
        <f>CB424</f>
        <v>53603.985736230716</v>
      </c>
      <c r="CC851" s="1112">
        <f t="shared" ref="CC851:CC867" si="2052">SUM(BY851,BZ851,CA851,CB851)</f>
        <v>213473.77967314146</v>
      </c>
      <c r="CD851" s="68">
        <f>CD424</f>
        <v>60116.45855254159</v>
      </c>
      <c r="CE851" s="68">
        <f>CE424</f>
        <v>67306.748735863424</v>
      </c>
      <c r="CF851" s="68">
        <f>CF424</f>
        <v>67177.562691273226</v>
      </c>
      <c r="CG851" s="68">
        <f>CG424</f>
        <v>69062.707836977337</v>
      </c>
      <c r="CH851" s="1112">
        <f t="shared" ref="CH851:CH867" si="2053">SUM(CD851,CE851,CF851,CG851)</f>
        <v>263663.47781665559</v>
      </c>
      <c r="CI851" s="1112">
        <f>CI424</f>
        <v>321325.57569344895</v>
      </c>
      <c r="CJ851" s="1112">
        <f>CJ424</f>
        <v>384988.61180512508</v>
      </c>
      <c r="CK851" s="1112">
        <f>CK424</f>
        <v>460353.83008381887</v>
      </c>
      <c r="CL851" s="155"/>
    </row>
    <row r="852" spans="1:90" x14ac:dyDescent="0.3">
      <c r="A852" s="99" t="str">
        <f t="shared" si="2009"/>
        <v>Stock-based compensation expense related to stock option purchase</v>
      </c>
      <c r="B852" s="146"/>
      <c r="C852" s="1112">
        <f t="shared" si="2010"/>
        <v>0</v>
      </c>
      <c r="D852" s="1112">
        <f t="shared" si="2010"/>
        <v>135.73500000000001</v>
      </c>
      <c r="E852" s="1112">
        <f t="shared" si="2010"/>
        <v>0</v>
      </c>
      <c r="F852" s="1112">
        <f t="shared" si="2010"/>
        <v>0</v>
      </c>
      <c r="G852" s="68">
        <f t="shared" si="2010"/>
        <v>0</v>
      </c>
      <c r="H852" s="68">
        <f t="shared" si="2011"/>
        <v>0</v>
      </c>
      <c r="I852" s="68">
        <f t="shared" si="2011"/>
        <v>0</v>
      </c>
      <c r="J852" s="68">
        <f t="shared" si="2011"/>
        <v>0</v>
      </c>
      <c r="K852" s="1112">
        <f t="shared" si="2012"/>
        <v>0</v>
      </c>
      <c r="L852" s="68">
        <f t="shared" si="2012"/>
        <v>0</v>
      </c>
      <c r="M852" s="68">
        <f t="shared" si="2013"/>
        <v>0</v>
      </c>
      <c r="N852" s="68">
        <f t="shared" si="2013"/>
        <v>0</v>
      </c>
      <c r="O852" s="68">
        <f t="shared" si="2013"/>
        <v>0</v>
      </c>
      <c r="P852" s="1112">
        <f t="shared" si="2014"/>
        <v>0</v>
      </c>
      <c r="Q852" s="68">
        <f t="shared" si="2014"/>
        <v>0</v>
      </c>
      <c r="R852" s="68">
        <f t="shared" si="2015"/>
        <v>0</v>
      </c>
      <c r="S852" s="68">
        <f t="shared" si="2015"/>
        <v>0</v>
      </c>
      <c r="T852" s="68">
        <f t="shared" si="2015"/>
        <v>0</v>
      </c>
      <c r="U852" s="1112">
        <f t="shared" si="2016"/>
        <v>0</v>
      </c>
      <c r="V852" s="68">
        <f t="shared" si="2016"/>
        <v>0</v>
      </c>
      <c r="W852" s="68">
        <f t="shared" si="2017"/>
        <v>0</v>
      </c>
      <c r="X852" s="68">
        <f t="shared" si="2017"/>
        <v>0</v>
      </c>
      <c r="Y852" s="68">
        <f t="shared" si="2017"/>
        <v>0</v>
      </c>
      <c r="Z852" s="1112">
        <f t="shared" si="2018"/>
        <v>0</v>
      </c>
      <c r="AA852" s="68">
        <f t="shared" si="2019"/>
        <v>0</v>
      </c>
      <c r="AB852" s="68">
        <f t="shared" si="2020"/>
        <v>0</v>
      </c>
      <c r="AC852" s="68">
        <f t="shared" si="2020"/>
        <v>0</v>
      </c>
      <c r="AD852" s="68">
        <f t="shared" si="2020"/>
        <v>0</v>
      </c>
      <c r="AE852" s="1112">
        <f t="shared" si="2021"/>
        <v>0</v>
      </c>
      <c r="AF852" s="68">
        <f t="shared" si="2022"/>
        <v>0</v>
      </c>
      <c r="AG852" s="68">
        <f t="shared" si="2023"/>
        <v>0</v>
      </c>
      <c r="AH852" s="68">
        <f t="shared" si="2023"/>
        <v>0</v>
      </c>
      <c r="AI852" s="68">
        <f t="shared" si="2023"/>
        <v>0</v>
      </c>
      <c r="AJ852" s="1112">
        <f t="shared" si="2024"/>
        <v>0</v>
      </c>
      <c r="AK852" s="68">
        <f t="shared" si="2025"/>
        <v>0</v>
      </c>
      <c r="AL852" s="68">
        <f t="shared" si="2026"/>
        <v>0</v>
      </c>
      <c r="AM852" s="68">
        <f t="shared" si="2026"/>
        <v>0</v>
      </c>
      <c r="AN852" s="68">
        <f t="shared" si="2026"/>
        <v>0</v>
      </c>
      <c r="AO852" s="1112">
        <f t="shared" si="2027"/>
        <v>0</v>
      </c>
      <c r="AP852" s="68">
        <f t="shared" si="2028"/>
        <v>0</v>
      </c>
      <c r="AQ852" s="27">
        <f t="shared" si="2029"/>
        <v>0</v>
      </c>
      <c r="AR852" s="68">
        <f t="shared" si="2029"/>
        <v>0</v>
      </c>
      <c r="AS852" s="68">
        <f t="shared" si="2029"/>
        <v>0</v>
      </c>
      <c r="AT852" s="1112">
        <f t="shared" si="2030"/>
        <v>0</v>
      </c>
      <c r="AU852" s="68">
        <f t="shared" si="2031"/>
        <v>0</v>
      </c>
      <c r="AV852" s="27">
        <f t="shared" si="2032"/>
        <v>0</v>
      </c>
      <c r="AW852" s="68">
        <f t="shared" si="2032"/>
        <v>0</v>
      </c>
      <c r="AX852" s="68">
        <f t="shared" si="2032"/>
        <v>0</v>
      </c>
      <c r="AY852" s="1112">
        <f t="shared" si="2033"/>
        <v>0</v>
      </c>
      <c r="AZ852" s="68">
        <f t="shared" si="2034"/>
        <v>0</v>
      </c>
      <c r="BA852" s="27">
        <f t="shared" si="2035"/>
        <v>0</v>
      </c>
      <c r="BB852" s="68">
        <f t="shared" si="2035"/>
        <v>0</v>
      </c>
      <c r="BC852" s="68">
        <f t="shared" si="2035"/>
        <v>0</v>
      </c>
      <c r="BD852" s="1112">
        <f t="shared" si="2036"/>
        <v>0</v>
      </c>
      <c r="BE852" s="68">
        <f t="shared" si="2037"/>
        <v>0</v>
      </c>
      <c r="BF852" s="27">
        <f t="shared" si="2038"/>
        <v>0</v>
      </c>
      <c r="BG852" s="68">
        <f t="shared" si="2038"/>
        <v>0</v>
      </c>
      <c r="BH852" s="68">
        <f t="shared" si="2038"/>
        <v>0</v>
      </c>
      <c r="BI852" s="1112">
        <f t="shared" si="2039"/>
        <v>0</v>
      </c>
      <c r="BJ852" s="68">
        <f t="shared" si="2040"/>
        <v>0</v>
      </c>
      <c r="BK852" s="27">
        <f t="shared" si="2041"/>
        <v>0</v>
      </c>
      <c r="BL852" s="68">
        <f t="shared" si="2041"/>
        <v>0</v>
      </c>
      <c r="BM852" s="68">
        <f t="shared" si="2041"/>
        <v>0</v>
      </c>
      <c r="BN852" s="1112">
        <f t="shared" si="2042"/>
        <v>0</v>
      </c>
      <c r="BO852" s="68">
        <f t="shared" si="2043"/>
        <v>0</v>
      </c>
      <c r="BP852" s="27">
        <f t="shared" si="2044"/>
        <v>0</v>
      </c>
      <c r="BQ852" s="68">
        <f t="shared" si="2044"/>
        <v>0</v>
      </c>
      <c r="BR852" s="68">
        <f t="shared" si="2044"/>
        <v>0</v>
      </c>
      <c r="BS852" s="1112">
        <f t="shared" si="2045"/>
        <v>0</v>
      </c>
      <c r="BT852" s="68">
        <f t="shared" si="2046"/>
        <v>0</v>
      </c>
      <c r="BU852" s="27">
        <f t="shared" si="2047"/>
        <v>0</v>
      </c>
      <c r="BV852" s="68">
        <f t="shared" si="2048"/>
        <v>0</v>
      </c>
      <c r="BW852" s="68">
        <f t="shared" si="2049"/>
        <v>0</v>
      </c>
      <c r="BX852" s="1112">
        <f t="shared" si="2050"/>
        <v>0</v>
      </c>
      <c r="BY852" s="588">
        <f t="shared" si="2051"/>
        <v>0</v>
      </c>
      <c r="BZ852" s="68"/>
      <c r="CA852" s="68"/>
      <c r="CB852" s="68"/>
      <c r="CC852" s="1112">
        <f t="shared" si="2052"/>
        <v>0</v>
      </c>
      <c r="CD852" s="68"/>
      <c r="CE852" s="68"/>
      <c r="CF852" s="68"/>
      <c r="CG852" s="68"/>
      <c r="CH852" s="1112">
        <f t="shared" si="2053"/>
        <v>0</v>
      </c>
      <c r="CI852" s="1112"/>
      <c r="CJ852" s="1112"/>
      <c r="CK852" s="1112"/>
      <c r="CL852" s="155"/>
    </row>
    <row r="853" spans="1:90" x14ac:dyDescent="0.3">
      <c r="A853" s="99" t="str">
        <f t="shared" si="2009"/>
        <v>Acquisition termination cost</v>
      </c>
      <c r="B853" s="146"/>
      <c r="C853" s="1112">
        <f t="shared" si="2010"/>
        <v>0</v>
      </c>
      <c r="D853" s="1112">
        <f t="shared" si="2010"/>
        <v>0</v>
      </c>
      <c r="E853" s="1112">
        <f t="shared" si="2010"/>
        <v>0</v>
      </c>
      <c r="F853" s="1112">
        <f t="shared" si="2010"/>
        <v>0</v>
      </c>
      <c r="G853" s="68">
        <f t="shared" si="2010"/>
        <v>0</v>
      </c>
      <c r="H853" s="68">
        <f t="shared" si="2011"/>
        <v>0</v>
      </c>
      <c r="I853" s="68">
        <f t="shared" si="2011"/>
        <v>0</v>
      </c>
      <c r="J853" s="68">
        <f t="shared" si="2011"/>
        <v>0</v>
      </c>
      <c r="K853" s="1112">
        <f t="shared" si="2012"/>
        <v>0</v>
      </c>
      <c r="L853" s="68">
        <f t="shared" si="2012"/>
        <v>0</v>
      </c>
      <c r="M853" s="68">
        <f t="shared" si="2013"/>
        <v>0</v>
      </c>
      <c r="N853" s="68">
        <f t="shared" si="2013"/>
        <v>0</v>
      </c>
      <c r="O853" s="68">
        <f t="shared" si="2013"/>
        <v>0</v>
      </c>
      <c r="P853" s="1112">
        <f t="shared" si="2014"/>
        <v>0</v>
      </c>
      <c r="Q853" s="68">
        <f t="shared" si="2014"/>
        <v>0</v>
      </c>
      <c r="R853" s="68">
        <f t="shared" si="2015"/>
        <v>0</v>
      </c>
      <c r="S853" s="68">
        <f t="shared" si="2015"/>
        <v>0</v>
      </c>
      <c r="T853" s="68">
        <f t="shared" si="2015"/>
        <v>0</v>
      </c>
      <c r="U853" s="1112">
        <f t="shared" si="2016"/>
        <v>0</v>
      </c>
      <c r="V853" s="68">
        <f t="shared" si="2016"/>
        <v>0</v>
      </c>
      <c r="W853" s="68">
        <f t="shared" si="2017"/>
        <v>0</v>
      </c>
      <c r="X853" s="68">
        <f t="shared" si="2017"/>
        <v>0</v>
      </c>
      <c r="Y853" s="68">
        <f t="shared" si="2017"/>
        <v>0</v>
      </c>
      <c r="Z853" s="1112">
        <f t="shared" si="2018"/>
        <v>0</v>
      </c>
      <c r="AA853" s="68">
        <f t="shared" si="2019"/>
        <v>0</v>
      </c>
      <c r="AB853" s="68">
        <f t="shared" si="2020"/>
        <v>0</v>
      </c>
      <c r="AC853" s="68">
        <f t="shared" si="2020"/>
        <v>0</v>
      </c>
      <c r="AD853" s="68">
        <f t="shared" si="2020"/>
        <v>0</v>
      </c>
      <c r="AE853" s="1112">
        <f t="shared" si="2021"/>
        <v>0</v>
      </c>
      <c r="AF853" s="68">
        <f t="shared" si="2022"/>
        <v>0</v>
      </c>
      <c r="AG853" s="68">
        <f t="shared" si="2023"/>
        <v>0</v>
      </c>
      <c r="AH853" s="68">
        <f t="shared" si="2023"/>
        <v>0</v>
      </c>
      <c r="AI853" s="68">
        <f t="shared" si="2023"/>
        <v>0</v>
      </c>
      <c r="AJ853" s="1112">
        <f t="shared" si="2024"/>
        <v>0</v>
      </c>
      <c r="AK853" s="68">
        <f t="shared" si="2025"/>
        <v>0</v>
      </c>
      <c r="AL853" s="68">
        <f t="shared" si="2026"/>
        <v>0</v>
      </c>
      <c r="AM853" s="68">
        <f t="shared" si="2026"/>
        <v>0</v>
      </c>
      <c r="AN853" s="68">
        <f t="shared" si="2026"/>
        <v>0</v>
      </c>
      <c r="AO853" s="1112">
        <f t="shared" si="2027"/>
        <v>0</v>
      </c>
      <c r="AP853" s="68">
        <f t="shared" si="2028"/>
        <v>0</v>
      </c>
      <c r="AQ853" s="27">
        <f t="shared" si="2029"/>
        <v>0</v>
      </c>
      <c r="AR853" s="68">
        <f t="shared" si="2029"/>
        <v>0</v>
      </c>
      <c r="AS853" s="68">
        <f t="shared" si="2029"/>
        <v>0</v>
      </c>
      <c r="AT853" s="1112">
        <f t="shared" si="2030"/>
        <v>0</v>
      </c>
      <c r="AU853" s="68">
        <f t="shared" si="2031"/>
        <v>0</v>
      </c>
      <c r="AV853" s="27">
        <f t="shared" si="2032"/>
        <v>0</v>
      </c>
      <c r="AW853" s="68">
        <f t="shared" si="2032"/>
        <v>0</v>
      </c>
      <c r="AX853" s="68">
        <f t="shared" si="2032"/>
        <v>0</v>
      </c>
      <c r="AY853" s="1112">
        <f t="shared" si="2033"/>
        <v>0</v>
      </c>
      <c r="AZ853" s="68">
        <f t="shared" si="2034"/>
        <v>0</v>
      </c>
      <c r="BA853" s="27">
        <f t="shared" si="2035"/>
        <v>0</v>
      </c>
      <c r="BB853" s="68">
        <f t="shared" si="2035"/>
        <v>0</v>
      </c>
      <c r="BC853" s="68">
        <f t="shared" si="2035"/>
        <v>0</v>
      </c>
      <c r="BD853" s="1112">
        <f t="shared" si="2036"/>
        <v>0</v>
      </c>
      <c r="BE853" s="68">
        <f t="shared" si="2037"/>
        <v>1353</v>
      </c>
      <c r="BF853" s="27">
        <f t="shared" si="2038"/>
        <v>0</v>
      </c>
      <c r="BG853" s="68">
        <f t="shared" si="2038"/>
        <v>0</v>
      </c>
      <c r="BH853" s="68">
        <f t="shared" si="2038"/>
        <v>0</v>
      </c>
      <c r="BI853" s="1112">
        <f t="shared" si="2039"/>
        <v>1353</v>
      </c>
      <c r="BJ853" s="68">
        <f t="shared" si="2040"/>
        <v>0</v>
      </c>
      <c r="BK853" s="27">
        <f t="shared" si="2041"/>
        <v>0</v>
      </c>
      <c r="BL853" s="68">
        <f t="shared" si="2041"/>
        <v>0</v>
      </c>
      <c r="BM853" s="68">
        <f t="shared" si="2041"/>
        <v>0</v>
      </c>
      <c r="BN853" s="1112">
        <f t="shared" si="2042"/>
        <v>0</v>
      </c>
      <c r="BO853" s="68">
        <f t="shared" si="2043"/>
        <v>0</v>
      </c>
      <c r="BP853" s="27">
        <f t="shared" si="2044"/>
        <v>0</v>
      </c>
      <c r="BQ853" s="68">
        <f t="shared" si="2044"/>
        <v>0</v>
      </c>
      <c r="BR853" s="68">
        <f t="shared" si="2044"/>
        <v>0</v>
      </c>
      <c r="BS853" s="1112">
        <f t="shared" si="2045"/>
        <v>0</v>
      </c>
      <c r="BT853" s="68">
        <f t="shared" si="2046"/>
        <v>0</v>
      </c>
      <c r="BU853" s="27">
        <f t="shared" si="2047"/>
        <v>0</v>
      </c>
      <c r="BV853" s="68">
        <f t="shared" si="2048"/>
        <v>0</v>
      </c>
      <c r="BW853" s="68">
        <f t="shared" si="2049"/>
        <v>0</v>
      </c>
      <c r="BX853" s="1112">
        <f t="shared" si="2050"/>
        <v>0</v>
      </c>
      <c r="BY853" s="588">
        <f t="shared" si="2051"/>
        <v>0</v>
      </c>
      <c r="BZ853" s="68"/>
      <c r="CA853" s="68"/>
      <c r="CB853" s="68"/>
      <c r="CC853" s="1112">
        <f t="shared" si="2052"/>
        <v>0</v>
      </c>
      <c r="CD853" s="68"/>
      <c r="CE853" s="68"/>
      <c r="CF853" s="68"/>
      <c r="CG853" s="68"/>
      <c r="CH853" s="1112">
        <f t="shared" si="2053"/>
        <v>0</v>
      </c>
      <c r="CI853" s="1112"/>
      <c r="CJ853" s="1112"/>
      <c r="CK853" s="1112"/>
      <c r="CL853" s="155"/>
    </row>
    <row r="854" spans="1:90" x14ac:dyDescent="0.3">
      <c r="A854" s="99" t="str">
        <f t="shared" si="2009"/>
        <v>Depreciation and amortization</v>
      </c>
      <c r="B854" s="146"/>
      <c r="C854" s="1112">
        <f t="shared" si="2010"/>
        <v>185.023</v>
      </c>
      <c r="D854" s="1112">
        <f t="shared" si="2010"/>
        <v>196.66399999999999</v>
      </c>
      <c r="E854" s="1112">
        <f t="shared" si="2010"/>
        <v>186.989</v>
      </c>
      <c r="F854" s="1112">
        <f t="shared" si="2010"/>
        <v>204.20500000000001</v>
      </c>
      <c r="G854" s="68">
        <f t="shared" si="2010"/>
        <v>54.491</v>
      </c>
      <c r="H854" s="68">
        <f t="shared" si="2011"/>
        <v>56.195000000000007</v>
      </c>
      <c r="I854" s="68">
        <f t="shared" si="2011"/>
        <v>57.147999999999996</v>
      </c>
      <c r="J854" s="68">
        <f t="shared" si="2011"/>
        <v>58.40100000000001</v>
      </c>
      <c r="K854" s="1112">
        <f t="shared" si="2012"/>
        <v>226.23500000000001</v>
      </c>
      <c r="L854" s="68">
        <f t="shared" si="2012"/>
        <v>59.744</v>
      </c>
      <c r="M854" s="68">
        <f t="shared" si="2013"/>
        <v>61.84</v>
      </c>
      <c r="N854" s="68">
        <f t="shared" si="2013"/>
        <v>62.725999999999999</v>
      </c>
      <c r="O854" s="68">
        <f t="shared" si="2013"/>
        <v>54.837999999999994</v>
      </c>
      <c r="P854" s="1112">
        <f t="shared" si="2014"/>
        <v>239.148</v>
      </c>
      <c r="Q854" s="68">
        <f t="shared" si="2014"/>
        <v>55</v>
      </c>
      <c r="R854" s="68">
        <f t="shared" si="2015"/>
        <v>56</v>
      </c>
      <c r="S854" s="68">
        <f t="shared" si="2015"/>
        <v>55</v>
      </c>
      <c r="T854" s="68">
        <f t="shared" si="2015"/>
        <v>54</v>
      </c>
      <c r="U854" s="1112">
        <f t="shared" si="2016"/>
        <v>220</v>
      </c>
      <c r="V854" s="68">
        <f t="shared" si="2016"/>
        <v>54</v>
      </c>
      <c r="W854" s="68">
        <f t="shared" si="2017"/>
        <v>49</v>
      </c>
      <c r="X854" s="68">
        <f t="shared" si="2017"/>
        <v>48</v>
      </c>
      <c r="Y854" s="68">
        <f t="shared" si="2017"/>
        <v>46</v>
      </c>
      <c r="Z854" s="1112">
        <f t="shared" si="2018"/>
        <v>197</v>
      </c>
      <c r="AA854" s="68">
        <f t="shared" si="2019"/>
        <v>45</v>
      </c>
      <c r="AB854" s="68">
        <f t="shared" si="2020"/>
        <v>47</v>
      </c>
      <c r="AC854" s="68">
        <f t="shared" si="2020"/>
        <v>48</v>
      </c>
      <c r="AD854" s="68">
        <f t="shared" si="2020"/>
        <v>47</v>
      </c>
      <c r="AE854" s="1112">
        <f t="shared" si="2021"/>
        <v>187</v>
      </c>
      <c r="AF854" s="68">
        <f t="shared" si="2022"/>
        <v>47</v>
      </c>
      <c r="AG854" s="68">
        <f t="shared" si="2023"/>
        <v>49</v>
      </c>
      <c r="AH854" s="68">
        <f t="shared" si="2023"/>
        <v>49</v>
      </c>
      <c r="AI854" s="68">
        <f t="shared" si="2023"/>
        <v>54</v>
      </c>
      <c r="AJ854" s="1112">
        <f t="shared" si="2024"/>
        <v>199</v>
      </c>
      <c r="AK854" s="68">
        <f t="shared" si="2025"/>
        <v>57</v>
      </c>
      <c r="AL854" s="68">
        <f t="shared" si="2026"/>
        <v>59</v>
      </c>
      <c r="AM854" s="68">
        <f t="shared" si="2026"/>
        <v>68</v>
      </c>
      <c r="AN854" s="68">
        <f t="shared" si="2026"/>
        <v>78</v>
      </c>
      <c r="AO854" s="1112">
        <f t="shared" si="2027"/>
        <v>262</v>
      </c>
      <c r="AP854" s="68">
        <f t="shared" si="2028"/>
        <v>91</v>
      </c>
      <c r="AQ854" s="27">
        <f t="shared" si="2029"/>
        <v>92</v>
      </c>
      <c r="AR854" s="68">
        <f t="shared" si="2029"/>
        <v>92</v>
      </c>
      <c r="AS854" s="68">
        <f t="shared" si="2029"/>
        <v>106</v>
      </c>
      <c r="AT854" s="1112">
        <f t="shared" si="2030"/>
        <v>381</v>
      </c>
      <c r="AU854" s="68">
        <f t="shared" si="2031"/>
        <v>107</v>
      </c>
      <c r="AV854" s="27">
        <f t="shared" si="2032"/>
        <v>404</v>
      </c>
      <c r="AW854" s="68">
        <f t="shared" si="2032"/>
        <v>299</v>
      </c>
      <c r="AX854" s="68">
        <f t="shared" si="2032"/>
        <v>288</v>
      </c>
      <c r="AY854" s="1112">
        <f t="shared" si="2033"/>
        <v>1098</v>
      </c>
      <c r="AZ854" s="68">
        <f t="shared" si="2034"/>
        <v>281</v>
      </c>
      <c r="BA854" s="27">
        <f t="shared" si="2035"/>
        <v>286</v>
      </c>
      <c r="BB854" s="68">
        <f t="shared" si="2035"/>
        <v>298</v>
      </c>
      <c r="BC854" s="68">
        <f t="shared" si="2035"/>
        <v>309</v>
      </c>
      <c r="BD854" s="1112">
        <f t="shared" si="2036"/>
        <v>1174</v>
      </c>
      <c r="BE854" s="68">
        <f t="shared" si="2037"/>
        <v>334</v>
      </c>
      <c r="BF854" s="27">
        <f t="shared" si="2038"/>
        <v>378</v>
      </c>
      <c r="BG854" s="68">
        <f t="shared" si="2038"/>
        <v>406</v>
      </c>
      <c r="BH854" s="68">
        <f t="shared" si="2038"/>
        <v>426</v>
      </c>
      <c r="BI854" s="1112">
        <f t="shared" si="2039"/>
        <v>1544</v>
      </c>
      <c r="BJ854" s="68">
        <f t="shared" si="2040"/>
        <v>384</v>
      </c>
      <c r="BK854" s="27">
        <f t="shared" si="2041"/>
        <v>365</v>
      </c>
      <c r="BL854" s="68">
        <f t="shared" si="2041"/>
        <v>372</v>
      </c>
      <c r="BM854" s="68">
        <f t="shared" si="2041"/>
        <v>387</v>
      </c>
      <c r="BN854" s="1112">
        <f t="shared" si="2042"/>
        <v>1508</v>
      </c>
      <c r="BO854" s="68">
        <f t="shared" si="2043"/>
        <v>410</v>
      </c>
      <c r="BP854" s="27">
        <f t="shared" si="2044"/>
        <v>433</v>
      </c>
      <c r="BQ854" s="68">
        <f t="shared" si="2044"/>
        <v>478</v>
      </c>
      <c r="BR854" s="68">
        <f t="shared" si="2044"/>
        <v>543</v>
      </c>
      <c r="BS854" s="1112">
        <f t="shared" si="2045"/>
        <v>1864</v>
      </c>
      <c r="BT854" s="68">
        <f t="shared" si="2046"/>
        <v>611</v>
      </c>
      <c r="BU854" s="27">
        <f t="shared" si="2047"/>
        <v>669</v>
      </c>
      <c r="BV854" s="68">
        <f t="shared" si="2048"/>
        <v>751</v>
      </c>
      <c r="BW854" s="68">
        <f t="shared" si="2049"/>
        <v>812</v>
      </c>
      <c r="BX854" s="1112">
        <f t="shared" si="2050"/>
        <v>2843</v>
      </c>
      <c r="BY854" s="588">
        <f t="shared" si="2051"/>
        <v>997</v>
      </c>
      <c r="BZ854" s="68">
        <f>BZ119</f>
        <v>1020.5686792452831</v>
      </c>
      <c r="CA854" s="68">
        <f>CA119</f>
        <v>984.98243865127404</v>
      </c>
      <c r="CB854" s="68">
        <f>CB119</f>
        <v>991.71531264408202</v>
      </c>
      <c r="CC854" s="1112">
        <f t="shared" si="2052"/>
        <v>3994.2664305406392</v>
      </c>
      <c r="CD854" s="68">
        <f>CD119</f>
        <v>880.83646416840145</v>
      </c>
      <c r="CE854" s="68">
        <f>CE119</f>
        <v>863.05986717043174</v>
      </c>
      <c r="CF854" s="68">
        <f>CF119</f>
        <v>835.79959220442709</v>
      </c>
      <c r="CG854" s="68">
        <f>CG119</f>
        <v>809.63967565958342</v>
      </c>
      <c r="CH854" s="1112">
        <f t="shared" si="2053"/>
        <v>3389.3355992028437</v>
      </c>
      <c r="CI854" s="1112">
        <f>CI119</f>
        <v>3046.4413897764935</v>
      </c>
      <c r="CJ854" s="1112">
        <f>CJ119</f>
        <v>2573.7232531816658</v>
      </c>
      <c r="CK854" s="1112">
        <f>CK119</f>
        <v>2229.5048446773749</v>
      </c>
      <c r="CL854" s="155"/>
    </row>
    <row r="855" spans="1:90" x14ac:dyDescent="0.3">
      <c r="A855" s="99" t="str">
        <f t="shared" si="2009"/>
        <v>Stock-based compensation expense</v>
      </c>
      <c r="B855" s="146"/>
      <c r="C855" s="1112">
        <f t="shared" si="2010"/>
        <v>162.70599999999999</v>
      </c>
      <c r="D855" s="1112">
        <f t="shared" si="2010"/>
        <v>107.09099999999999</v>
      </c>
      <c r="E855" s="1112">
        <f t="shared" si="2010"/>
        <v>100.35299999999999</v>
      </c>
      <c r="F855" s="1112">
        <f t="shared" si="2010"/>
        <v>136.35400000000001</v>
      </c>
      <c r="G855" s="68">
        <f t="shared" si="2010"/>
        <v>35.569000000000003</v>
      </c>
      <c r="H855" s="68">
        <f t="shared" si="2011"/>
        <v>32.254999999999995</v>
      </c>
      <c r="I855" s="68">
        <f t="shared" si="2011"/>
        <v>33.069000000000003</v>
      </c>
      <c r="J855" s="68">
        <f t="shared" si="2011"/>
        <v>35.769000000000005</v>
      </c>
      <c r="K855" s="1112">
        <f t="shared" si="2012"/>
        <v>136.66200000000001</v>
      </c>
      <c r="L855" s="68">
        <f t="shared" si="2012"/>
        <v>33.396999999999998</v>
      </c>
      <c r="M855" s="68">
        <f t="shared" si="2013"/>
        <v>32.395000000000003</v>
      </c>
      <c r="N855" s="68">
        <f t="shared" si="2013"/>
        <v>34.298999999999992</v>
      </c>
      <c r="O855" s="68">
        <f t="shared" si="2013"/>
        <v>36.203999999999994</v>
      </c>
      <c r="P855" s="1112">
        <f t="shared" si="2014"/>
        <v>136.29499999999999</v>
      </c>
      <c r="Q855" s="68">
        <f t="shared" si="2014"/>
        <v>36</v>
      </c>
      <c r="R855" s="68">
        <f t="shared" si="2015"/>
        <v>38</v>
      </c>
      <c r="S855" s="68">
        <f t="shared" si="2015"/>
        <v>41</v>
      </c>
      <c r="T855" s="68">
        <f t="shared" si="2015"/>
        <v>43</v>
      </c>
      <c r="U855" s="1112">
        <f t="shared" si="2016"/>
        <v>158</v>
      </c>
      <c r="V855" s="68">
        <f t="shared" si="2016"/>
        <v>45</v>
      </c>
      <c r="W855" s="68">
        <f t="shared" si="2017"/>
        <v>48</v>
      </c>
      <c r="X855" s="68">
        <f t="shared" si="2017"/>
        <v>52</v>
      </c>
      <c r="Y855" s="68">
        <f t="shared" si="2017"/>
        <v>59</v>
      </c>
      <c r="Z855" s="1112">
        <f t="shared" si="2018"/>
        <v>204</v>
      </c>
      <c r="AA855" s="68">
        <f t="shared" si="2019"/>
        <v>53</v>
      </c>
      <c r="AB855" s="68">
        <f t="shared" si="2020"/>
        <v>58</v>
      </c>
      <c r="AC855" s="68">
        <f t="shared" si="2020"/>
        <v>65</v>
      </c>
      <c r="AD855" s="68">
        <f t="shared" si="2020"/>
        <v>71</v>
      </c>
      <c r="AE855" s="1112">
        <f t="shared" si="2021"/>
        <v>247</v>
      </c>
      <c r="AF855" s="68">
        <f t="shared" si="2022"/>
        <v>76</v>
      </c>
      <c r="AG855" s="68">
        <f t="shared" si="2023"/>
        <v>82</v>
      </c>
      <c r="AH855" s="68">
        <f t="shared" si="2023"/>
        <v>107</v>
      </c>
      <c r="AI855" s="68">
        <f t="shared" si="2023"/>
        <v>126</v>
      </c>
      <c r="AJ855" s="1112">
        <f t="shared" si="2024"/>
        <v>391</v>
      </c>
      <c r="AK855" s="68">
        <f t="shared" si="2025"/>
        <v>129</v>
      </c>
      <c r="AL855" s="68">
        <f t="shared" si="2026"/>
        <v>133</v>
      </c>
      <c r="AM855" s="68">
        <f t="shared" si="2026"/>
        <v>138</v>
      </c>
      <c r="AN855" s="68">
        <f t="shared" si="2026"/>
        <v>157</v>
      </c>
      <c r="AO855" s="1112">
        <f t="shared" si="2027"/>
        <v>557</v>
      </c>
      <c r="AP855" s="68">
        <f t="shared" si="2028"/>
        <v>178</v>
      </c>
      <c r="AQ855" s="27">
        <f t="shared" si="2029"/>
        <v>223</v>
      </c>
      <c r="AR855" s="68">
        <f t="shared" si="2029"/>
        <v>223</v>
      </c>
      <c r="AS855" s="68">
        <f t="shared" si="2029"/>
        <v>220</v>
      </c>
      <c r="AT855" s="1112">
        <f t="shared" si="2030"/>
        <v>844</v>
      </c>
      <c r="AU855" s="68">
        <f t="shared" si="2031"/>
        <v>224</v>
      </c>
      <c r="AV855" s="27">
        <f t="shared" si="2032"/>
        <v>374</v>
      </c>
      <c r="AW855" s="68">
        <f t="shared" si="2032"/>
        <v>383</v>
      </c>
      <c r="AX855" s="68">
        <f t="shared" si="2032"/>
        <v>416</v>
      </c>
      <c r="AY855" s="1112">
        <f t="shared" si="2033"/>
        <v>1397</v>
      </c>
      <c r="AZ855" s="68">
        <f t="shared" si="2034"/>
        <v>429</v>
      </c>
      <c r="BA855" s="27">
        <f t="shared" si="2035"/>
        <v>465</v>
      </c>
      <c r="BB855" s="68">
        <f t="shared" si="2035"/>
        <v>559</v>
      </c>
      <c r="BC855" s="68">
        <f t="shared" si="2035"/>
        <v>551</v>
      </c>
      <c r="BD855" s="1112">
        <f t="shared" si="2036"/>
        <v>2004</v>
      </c>
      <c r="BE855" s="68">
        <f t="shared" si="2037"/>
        <v>578</v>
      </c>
      <c r="BF855" s="27">
        <f t="shared" si="2038"/>
        <v>648</v>
      </c>
      <c r="BG855" s="68">
        <f t="shared" si="2038"/>
        <v>745</v>
      </c>
      <c r="BH855" s="68">
        <f t="shared" si="2038"/>
        <v>738</v>
      </c>
      <c r="BI855" s="1112">
        <f t="shared" si="2039"/>
        <v>2709</v>
      </c>
      <c r="BJ855" s="68">
        <f t="shared" si="2040"/>
        <v>735</v>
      </c>
      <c r="BK855" s="27">
        <f t="shared" si="2041"/>
        <v>841</v>
      </c>
      <c r="BL855" s="68">
        <f t="shared" si="2041"/>
        <v>979</v>
      </c>
      <c r="BM855" s="68">
        <f t="shared" si="2041"/>
        <v>994</v>
      </c>
      <c r="BN855" s="1112">
        <f t="shared" si="2042"/>
        <v>3549</v>
      </c>
      <c r="BO855" s="68">
        <f t="shared" si="2043"/>
        <v>1011</v>
      </c>
      <c r="BP855" s="27">
        <f t="shared" si="2044"/>
        <v>1153</v>
      </c>
      <c r="BQ855" s="68">
        <f t="shared" si="2044"/>
        <v>1252</v>
      </c>
      <c r="BR855" s="68">
        <f t="shared" si="2044"/>
        <v>1321</v>
      </c>
      <c r="BS855" s="1112">
        <f t="shared" si="2045"/>
        <v>4737</v>
      </c>
      <c r="BT855" s="68">
        <f t="shared" si="2046"/>
        <v>1474</v>
      </c>
      <c r="BU855" s="27">
        <f t="shared" si="2047"/>
        <v>1625</v>
      </c>
      <c r="BV855" s="68">
        <f t="shared" si="2048"/>
        <v>1654</v>
      </c>
      <c r="BW855" s="68">
        <f t="shared" si="2049"/>
        <v>1633</v>
      </c>
      <c r="BX855" s="1112">
        <f t="shared" si="2050"/>
        <v>6386</v>
      </c>
      <c r="BY855" s="588">
        <f t="shared" si="2051"/>
        <v>1928</v>
      </c>
      <c r="BZ855" s="68">
        <f>BZ416</f>
        <v>0</v>
      </c>
      <c r="CA855" s="68">
        <f>CA416</f>
        <v>0</v>
      </c>
      <c r="CB855" s="68">
        <f>CB416</f>
        <v>0</v>
      </c>
      <c r="CC855" s="1112">
        <f t="shared" si="2052"/>
        <v>1928</v>
      </c>
      <c r="CD855" s="68">
        <f>CD416</f>
        <v>0</v>
      </c>
      <c r="CE855" s="68">
        <f>CE416</f>
        <v>0</v>
      </c>
      <c r="CF855" s="68">
        <f>CF416</f>
        <v>0</v>
      </c>
      <c r="CG855" s="68">
        <f>CG416</f>
        <v>0</v>
      </c>
      <c r="CH855" s="1112">
        <f t="shared" si="2053"/>
        <v>0</v>
      </c>
      <c r="CI855" s="1112">
        <f>CI416</f>
        <v>0</v>
      </c>
      <c r="CJ855" s="1112">
        <f>CJ416</f>
        <v>0</v>
      </c>
      <c r="CK855" s="1112">
        <f>CK416</f>
        <v>0</v>
      </c>
      <c r="CL855" s="155"/>
    </row>
    <row r="856" spans="1:90" x14ac:dyDescent="0.3">
      <c r="A856" s="99" t="str">
        <f t="shared" si="2009"/>
        <v>Restructuring and other charges</v>
      </c>
      <c r="B856" s="146"/>
      <c r="C856" s="1112">
        <f t="shared" si="2010"/>
        <v>0</v>
      </c>
      <c r="D856" s="1112">
        <f t="shared" si="2010"/>
        <v>0</v>
      </c>
      <c r="E856" s="1112">
        <f t="shared" si="2010"/>
        <v>0</v>
      </c>
      <c r="F856" s="1112">
        <f t="shared" si="2010"/>
        <v>0</v>
      </c>
      <c r="G856" s="68">
        <f t="shared" si="2010"/>
        <v>0</v>
      </c>
      <c r="H856" s="68">
        <f t="shared" si="2011"/>
        <v>0</v>
      </c>
      <c r="I856" s="68">
        <f t="shared" si="2011"/>
        <v>0</v>
      </c>
      <c r="J856" s="68">
        <f t="shared" si="2011"/>
        <v>0</v>
      </c>
      <c r="K856" s="1112">
        <f t="shared" si="2012"/>
        <v>0</v>
      </c>
      <c r="L856" s="68">
        <f t="shared" si="2012"/>
        <v>0</v>
      </c>
      <c r="M856" s="68">
        <f t="shared" si="2013"/>
        <v>0</v>
      </c>
      <c r="N856" s="68">
        <f t="shared" si="2013"/>
        <v>0</v>
      </c>
      <c r="O856" s="68">
        <f t="shared" si="2013"/>
        <v>0</v>
      </c>
      <c r="P856" s="1112">
        <f t="shared" si="2014"/>
        <v>0</v>
      </c>
      <c r="Q856" s="68">
        <f t="shared" si="2014"/>
        <v>0</v>
      </c>
      <c r="R856" s="68">
        <f t="shared" si="2015"/>
        <v>0</v>
      </c>
      <c r="S856" s="68">
        <f t="shared" si="2015"/>
        <v>0</v>
      </c>
      <c r="T856" s="68">
        <f t="shared" si="2015"/>
        <v>0</v>
      </c>
      <c r="U856" s="1112">
        <f t="shared" si="2016"/>
        <v>0</v>
      </c>
      <c r="V856" s="68">
        <f t="shared" si="2016"/>
        <v>0</v>
      </c>
      <c r="W856" s="68">
        <f t="shared" si="2017"/>
        <v>32</v>
      </c>
      <c r="X856" s="68">
        <f t="shared" si="2017"/>
        <v>5</v>
      </c>
      <c r="Y856" s="68">
        <f t="shared" si="2017"/>
        <v>8</v>
      </c>
      <c r="Z856" s="1112">
        <f t="shared" si="2018"/>
        <v>45</v>
      </c>
      <c r="AA856" s="68">
        <f t="shared" si="2019"/>
        <v>0</v>
      </c>
      <c r="AB856" s="68">
        <f t="shared" si="2020"/>
        <v>0</v>
      </c>
      <c r="AC856" s="68">
        <f t="shared" si="2020"/>
        <v>0</v>
      </c>
      <c r="AD856" s="68">
        <f t="shared" si="2020"/>
        <v>0</v>
      </c>
      <c r="AE856" s="1112">
        <f t="shared" si="2021"/>
        <v>0</v>
      </c>
      <c r="AF856" s="68">
        <f t="shared" si="2022"/>
        <v>0</v>
      </c>
      <c r="AG856" s="68">
        <f t="shared" si="2023"/>
        <v>0</v>
      </c>
      <c r="AH856" s="68">
        <f t="shared" si="2023"/>
        <v>0</v>
      </c>
      <c r="AI856" s="68">
        <f t="shared" si="2023"/>
        <v>0</v>
      </c>
      <c r="AJ856" s="1112">
        <f t="shared" si="2024"/>
        <v>0</v>
      </c>
      <c r="AK856" s="68">
        <f t="shared" si="2025"/>
        <v>0</v>
      </c>
      <c r="AL856" s="68">
        <f t="shared" si="2026"/>
        <v>0</v>
      </c>
      <c r="AM856" s="68">
        <f t="shared" si="2026"/>
        <v>0</v>
      </c>
      <c r="AN856" s="68">
        <f t="shared" si="2026"/>
        <v>0</v>
      </c>
      <c r="AO856" s="1112">
        <f t="shared" si="2027"/>
        <v>0</v>
      </c>
      <c r="AP856" s="68">
        <f t="shared" si="2028"/>
        <v>0</v>
      </c>
      <c r="AQ856" s="27">
        <f t="shared" si="2029"/>
        <v>0</v>
      </c>
      <c r="AR856" s="68">
        <f t="shared" si="2029"/>
        <v>0</v>
      </c>
      <c r="AS856" s="68">
        <f t="shared" si="2029"/>
        <v>0</v>
      </c>
      <c r="AT856" s="1112">
        <f t="shared" si="2030"/>
        <v>0</v>
      </c>
      <c r="AU856" s="68">
        <f t="shared" si="2031"/>
        <v>0</v>
      </c>
      <c r="AV856" s="27">
        <f t="shared" si="2032"/>
        <v>0</v>
      </c>
      <c r="AW856" s="68">
        <f t="shared" si="2032"/>
        <v>0</v>
      </c>
      <c r="AX856" s="68">
        <f t="shared" si="2032"/>
        <v>0</v>
      </c>
      <c r="AY856" s="1112">
        <f t="shared" si="2033"/>
        <v>0</v>
      </c>
      <c r="AZ856" s="68">
        <f t="shared" si="2034"/>
        <v>0</v>
      </c>
      <c r="BA856" s="27">
        <f t="shared" si="2035"/>
        <v>0</v>
      </c>
      <c r="BB856" s="68">
        <f t="shared" si="2035"/>
        <v>0</v>
      </c>
      <c r="BC856" s="68">
        <f t="shared" si="2035"/>
        <v>0</v>
      </c>
      <c r="BD856" s="1112">
        <f t="shared" si="2036"/>
        <v>0</v>
      </c>
      <c r="BE856" s="68">
        <f t="shared" si="2037"/>
        <v>0</v>
      </c>
      <c r="BF856" s="27">
        <f t="shared" si="2038"/>
        <v>0</v>
      </c>
      <c r="BG856" s="68">
        <f t="shared" si="2038"/>
        <v>0</v>
      </c>
      <c r="BH856" s="68">
        <f t="shared" si="2038"/>
        <v>0</v>
      </c>
      <c r="BI856" s="1112">
        <f t="shared" si="2039"/>
        <v>0</v>
      </c>
      <c r="BJ856" s="68">
        <f t="shared" si="2040"/>
        <v>0</v>
      </c>
      <c r="BK856" s="27">
        <f t="shared" si="2041"/>
        <v>0</v>
      </c>
      <c r="BL856" s="68">
        <f t="shared" si="2041"/>
        <v>0</v>
      </c>
      <c r="BM856" s="68">
        <f t="shared" si="2041"/>
        <v>0</v>
      </c>
      <c r="BN856" s="1112">
        <f t="shared" si="2042"/>
        <v>0</v>
      </c>
      <c r="BO856" s="68">
        <f t="shared" si="2043"/>
        <v>0</v>
      </c>
      <c r="BP856" s="27">
        <f t="shared" si="2044"/>
        <v>0</v>
      </c>
      <c r="BQ856" s="68">
        <f t="shared" si="2044"/>
        <v>0</v>
      </c>
      <c r="BR856" s="68">
        <f t="shared" si="2044"/>
        <v>0</v>
      </c>
      <c r="BS856" s="1112">
        <f t="shared" si="2045"/>
        <v>0</v>
      </c>
      <c r="BT856" s="68">
        <f t="shared" si="2046"/>
        <v>0</v>
      </c>
      <c r="BU856" s="27">
        <f t="shared" si="2047"/>
        <v>0</v>
      </c>
      <c r="BV856" s="68">
        <f t="shared" si="2048"/>
        <v>0</v>
      </c>
      <c r="BW856" s="68">
        <f t="shared" si="2049"/>
        <v>0</v>
      </c>
      <c r="BX856" s="1112">
        <f t="shared" si="2050"/>
        <v>0</v>
      </c>
      <c r="BY856" s="588">
        <f t="shared" si="2051"/>
        <v>0</v>
      </c>
      <c r="BZ856" s="68"/>
      <c r="CA856" s="68"/>
      <c r="CB856" s="68"/>
      <c r="CC856" s="1112">
        <f t="shared" si="2052"/>
        <v>0</v>
      </c>
      <c r="CD856" s="68"/>
      <c r="CE856" s="68"/>
      <c r="CF856" s="68"/>
      <c r="CG856" s="68"/>
      <c r="CH856" s="1112">
        <f t="shared" si="2053"/>
        <v>0</v>
      </c>
      <c r="CI856" s="1112"/>
      <c r="CJ856" s="1112"/>
      <c r="CK856" s="1112"/>
      <c r="CL856" s="155"/>
    </row>
    <row r="857" spans="1:90" x14ac:dyDescent="0.3">
      <c r="A857" s="99" t="str">
        <f t="shared" si="2009"/>
        <v>Amortization of debt discount</v>
      </c>
      <c r="B857" s="146"/>
      <c r="C857" s="1112">
        <f t="shared" si="2010"/>
        <v>0</v>
      </c>
      <c r="D857" s="1112">
        <f t="shared" si="2010"/>
        <v>0</v>
      </c>
      <c r="E857" s="1112">
        <f t="shared" si="2010"/>
        <v>0</v>
      </c>
      <c r="F857" s="1112">
        <f t="shared" si="2010"/>
        <v>0</v>
      </c>
      <c r="G857" s="68">
        <f t="shared" si="2010"/>
        <v>0</v>
      </c>
      <c r="H857" s="68">
        <f t="shared" si="2011"/>
        <v>0</v>
      </c>
      <c r="I857" s="68">
        <f t="shared" si="2011"/>
        <v>0</v>
      </c>
      <c r="J857" s="68">
        <f t="shared" si="2011"/>
        <v>0</v>
      </c>
      <c r="K857" s="1112">
        <f t="shared" si="2012"/>
        <v>0</v>
      </c>
      <c r="L857" s="68">
        <f t="shared" si="2012"/>
        <v>0</v>
      </c>
      <c r="M857" s="68">
        <f t="shared" si="2013"/>
        <v>0</v>
      </c>
      <c r="N857" s="68">
        <f t="shared" si="2013"/>
        <v>0</v>
      </c>
      <c r="O857" s="68">
        <f t="shared" si="2013"/>
        <v>4.5999999999999996</v>
      </c>
      <c r="P857" s="1112">
        <f t="shared" si="2014"/>
        <v>4.5999999999999996</v>
      </c>
      <c r="Q857" s="68">
        <f t="shared" si="2014"/>
        <v>7</v>
      </c>
      <c r="R857" s="68">
        <f t="shared" si="2015"/>
        <v>7</v>
      </c>
      <c r="S857" s="68">
        <f t="shared" si="2015"/>
        <v>7</v>
      </c>
      <c r="T857" s="68">
        <f t="shared" si="2015"/>
        <v>7</v>
      </c>
      <c r="U857" s="1112">
        <f t="shared" si="2016"/>
        <v>28</v>
      </c>
      <c r="V857" s="68">
        <f t="shared" si="2016"/>
        <v>7</v>
      </c>
      <c r="W857" s="68">
        <f t="shared" si="2017"/>
        <v>7</v>
      </c>
      <c r="X857" s="68">
        <f t="shared" si="2017"/>
        <v>8</v>
      </c>
      <c r="Y857" s="68">
        <f t="shared" si="2017"/>
        <v>7</v>
      </c>
      <c r="Z857" s="1112">
        <f t="shared" si="2018"/>
        <v>29</v>
      </c>
      <c r="AA857" s="68">
        <f t="shared" si="2019"/>
        <v>8</v>
      </c>
      <c r="AB857" s="68">
        <f t="shared" si="2020"/>
        <v>6</v>
      </c>
      <c r="AC857" s="68">
        <f t="shared" si="2020"/>
        <v>6</v>
      </c>
      <c r="AD857" s="68">
        <f t="shared" si="2020"/>
        <v>5</v>
      </c>
      <c r="AE857" s="1112">
        <f t="shared" si="2021"/>
        <v>25</v>
      </c>
      <c r="AF857" s="68">
        <f t="shared" si="2022"/>
        <v>2</v>
      </c>
      <c r="AG857" s="68">
        <f t="shared" si="2023"/>
        <v>0</v>
      </c>
      <c r="AH857" s="68">
        <f t="shared" si="2023"/>
        <v>1</v>
      </c>
      <c r="AI857" s="68">
        <f t="shared" si="2023"/>
        <v>0</v>
      </c>
      <c r="AJ857" s="1112">
        <f t="shared" si="2024"/>
        <v>3</v>
      </c>
      <c r="AK857" s="68">
        <f t="shared" si="2025"/>
        <v>0</v>
      </c>
      <c r="AL857" s="68">
        <f t="shared" si="2026"/>
        <v>0</v>
      </c>
      <c r="AM857" s="68">
        <f t="shared" si="2026"/>
        <v>0</v>
      </c>
      <c r="AN857" s="68">
        <f t="shared" si="2026"/>
        <v>0</v>
      </c>
      <c r="AO857" s="1112">
        <f t="shared" si="2027"/>
        <v>0</v>
      </c>
      <c r="AP857" s="68">
        <f t="shared" si="2028"/>
        <v>0</v>
      </c>
      <c r="AQ857" s="27">
        <f t="shared" si="2029"/>
        <v>0</v>
      </c>
      <c r="AR857" s="68">
        <f t="shared" si="2029"/>
        <v>0</v>
      </c>
      <c r="AS857" s="68">
        <f t="shared" si="2029"/>
        <v>0</v>
      </c>
      <c r="AT857" s="1112">
        <f t="shared" si="2030"/>
        <v>0</v>
      </c>
      <c r="AU857" s="68">
        <f t="shared" si="2031"/>
        <v>0</v>
      </c>
      <c r="AV857" s="27">
        <f t="shared" si="2032"/>
        <v>0</v>
      </c>
      <c r="AW857" s="68">
        <f t="shared" si="2032"/>
        <v>0</v>
      </c>
      <c r="AX857" s="68">
        <f t="shared" si="2032"/>
        <v>0</v>
      </c>
      <c r="AY857" s="1112">
        <f t="shared" si="2033"/>
        <v>0</v>
      </c>
      <c r="AZ857" s="68">
        <f t="shared" si="2034"/>
        <v>0</v>
      </c>
      <c r="BA857" s="27">
        <f t="shared" si="2035"/>
        <v>0</v>
      </c>
      <c r="BB857" s="68">
        <f t="shared" si="2035"/>
        <v>0</v>
      </c>
      <c r="BC857" s="68">
        <f t="shared" si="2035"/>
        <v>0</v>
      </c>
      <c r="BD857" s="1112">
        <f t="shared" si="2036"/>
        <v>0</v>
      </c>
      <c r="BE857" s="68">
        <f t="shared" si="2037"/>
        <v>0</v>
      </c>
      <c r="BF857" s="27">
        <f t="shared" si="2038"/>
        <v>0</v>
      </c>
      <c r="BG857" s="68">
        <f t="shared" si="2038"/>
        <v>0</v>
      </c>
      <c r="BH857" s="68">
        <f t="shared" si="2038"/>
        <v>0</v>
      </c>
      <c r="BI857" s="1112">
        <f t="shared" si="2039"/>
        <v>0</v>
      </c>
      <c r="BJ857" s="68">
        <f t="shared" si="2040"/>
        <v>0</v>
      </c>
      <c r="BK857" s="27">
        <f t="shared" si="2041"/>
        <v>0</v>
      </c>
      <c r="BL857" s="68">
        <f t="shared" si="2041"/>
        <v>0</v>
      </c>
      <c r="BM857" s="68">
        <f t="shared" si="2041"/>
        <v>0</v>
      </c>
      <c r="BN857" s="1112">
        <f t="shared" si="2042"/>
        <v>0</v>
      </c>
      <c r="BO857" s="68">
        <f t="shared" si="2043"/>
        <v>0</v>
      </c>
      <c r="BP857" s="27">
        <f t="shared" si="2044"/>
        <v>0</v>
      </c>
      <c r="BQ857" s="68">
        <f t="shared" si="2044"/>
        <v>0</v>
      </c>
      <c r="BR857" s="68">
        <f t="shared" si="2044"/>
        <v>0</v>
      </c>
      <c r="BS857" s="1112">
        <f t="shared" si="2045"/>
        <v>0</v>
      </c>
      <c r="BT857" s="68">
        <f t="shared" si="2046"/>
        <v>0</v>
      </c>
      <c r="BU857" s="27">
        <f t="shared" si="2047"/>
        <v>0</v>
      </c>
      <c r="BV857" s="68">
        <f t="shared" si="2048"/>
        <v>0</v>
      </c>
      <c r="BW857" s="68">
        <f t="shared" si="2049"/>
        <v>0</v>
      </c>
      <c r="BX857" s="1112">
        <f t="shared" si="2050"/>
        <v>0</v>
      </c>
      <c r="BY857" s="588">
        <f t="shared" si="2051"/>
        <v>0</v>
      </c>
      <c r="BZ857" s="68"/>
      <c r="CA857" s="68"/>
      <c r="CB857" s="68"/>
      <c r="CC857" s="1112">
        <f t="shared" si="2052"/>
        <v>0</v>
      </c>
      <c r="CD857" s="68"/>
      <c r="CE857" s="68"/>
      <c r="CF857" s="68"/>
      <c r="CG857" s="68"/>
      <c r="CH857" s="1112">
        <f t="shared" si="2053"/>
        <v>0</v>
      </c>
      <c r="CI857" s="1112"/>
      <c r="CJ857" s="1112"/>
      <c r="CK857" s="1112"/>
      <c r="CL857" s="155"/>
    </row>
    <row r="858" spans="1:90" x14ac:dyDescent="0.3">
      <c r="A858" s="99" t="str">
        <f t="shared" si="2009"/>
        <v>Net gain on sale and disposal of long-lived assets and investments</v>
      </c>
      <c r="B858" s="146"/>
      <c r="C858" s="1112">
        <f t="shared" si="2010"/>
        <v>0</v>
      </c>
      <c r="D858" s="1112">
        <f t="shared" si="2010"/>
        <v>0</v>
      </c>
      <c r="E858" s="1112">
        <f t="shared" si="2010"/>
        <v>0</v>
      </c>
      <c r="F858" s="1112">
        <f t="shared" si="2010"/>
        <v>0</v>
      </c>
      <c r="G858" s="68">
        <f t="shared" si="2010"/>
        <v>0</v>
      </c>
      <c r="H858" s="68">
        <f t="shared" si="2011"/>
        <v>0</v>
      </c>
      <c r="I858" s="68">
        <f t="shared" si="2011"/>
        <v>0</v>
      </c>
      <c r="J858" s="68">
        <f t="shared" si="2011"/>
        <v>0</v>
      </c>
      <c r="K858" s="1112">
        <f t="shared" si="2012"/>
        <v>0</v>
      </c>
      <c r="L858" s="68">
        <f t="shared" si="2012"/>
        <v>0</v>
      </c>
      <c r="M858" s="68">
        <f t="shared" si="2013"/>
        <v>0</v>
      </c>
      <c r="N858" s="68">
        <f t="shared" si="2013"/>
        <v>-0.25800000000000001</v>
      </c>
      <c r="O858" s="68">
        <f t="shared" si="2013"/>
        <v>-7.8820000000000006</v>
      </c>
      <c r="P858" s="1112">
        <f t="shared" si="2014"/>
        <v>-8.14</v>
      </c>
      <c r="Q858" s="68">
        <f t="shared" si="2014"/>
        <v>-17</v>
      </c>
      <c r="R858" s="68">
        <f t="shared" si="2015"/>
        <v>3</v>
      </c>
      <c r="S858" s="68">
        <f t="shared" si="2015"/>
        <v>-4</v>
      </c>
      <c r="T858" s="68">
        <f t="shared" si="2015"/>
        <v>1</v>
      </c>
      <c r="U858" s="1112">
        <f t="shared" si="2016"/>
        <v>-17</v>
      </c>
      <c r="V858" s="68">
        <f t="shared" si="2016"/>
        <v>-3</v>
      </c>
      <c r="W858" s="68">
        <f t="shared" si="2017"/>
        <v>0</v>
      </c>
      <c r="X858" s="68">
        <f t="shared" si="2017"/>
        <v>-4</v>
      </c>
      <c r="Y858" s="68">
        <f t="shared" si="2017"/>
        <v>1</v>
      </c>
      <c r="Z858" s="1112">
        <f t="shared" si="2018"/>
        <v>-6</v>
      </c>
      <c r="AA858" s="68">
        <f t="shared" si="2019"/>
        <v>-3</v>
      </c>
      <c r="AB858" s="68">
        <f t="shared" si="2020"/>
        <v>0</v>
      </c>
      <c r="AC858" s="68">
        <f t="shared" si="2020"/>
        <v>1</v>
      </c>
      <c r="AD858" s="68">
        <f t="shared" si="2020"/>
        <v>-1</v>
      </c>
      <c r="AE858" s="1112">
        <f t="shared" si="2021"/>
        <v>-3</v>
      </c>
      <c r="AF858" s="68">
        <f t="shared" si="2022"/>
        <v>0</v>
      </c>
      <c r="AG858" s="68">
        <f t="shared" si="2023"/>
        <v>1</v>
      </c>
      <c r="AH858" s="68">
        <f t="shared" si="2023"/>
        <v>0</v>
      </c>
      <c r="AI858" s="68">
        <f t="shared" si="2023"/>
        <v>-2</v>
      </c>
      <c r="AJ858" s="1112">
        <f t="shared" si="2024"/>
        <v>-1</v>
      </c>
      <c r="AK858" s="68">
        <f t="shared" si="2025"/>
        <v>0</v>
      </c>
      <c r="AL858" s="68">
        <f t="shared" si="2026"/>
        <v>0</v>
      </c>
      <c r="AM858" s="68">
        <f t="shared" si="2026"/>
        <v>0</v>
      </c>
      <c r="AN858" s="68">
        <f t="shared" si="2026"/>
        <v>0</v>
      </c>
      <c r="AO858" s="1112">
        <f t="shared" si="2027"/>
        <v>0</v>
      </c>
      <c r="AP858" s="68">
        <f t="shared" si="2028"/>
        <v>0</v>
      </c>
      <c r="AQ858" s="27">
        <f t="shared" si="2029"/>
        <v>0</v>
      </c>
      <c r="AR858" s="68">
        <f t="shared" si="2029"/>
        <v>0</v>
      </c>
      <c r="AS858" s="68">
        <f t="shared" si="2029"/>
        <v>0</v>
      </c>
      <c r="AT858" s="1112">
        <f t="shared" si="2030"/>
        <v>0</v>
      </c>
      <c r="AU858" s="68">
        <f t="shared" si="2031"/>
        <v>0</v>
      </c>
      <c r="AV858" s="27">
        <f t="shared" si="2032"/>
        <v>0</v>
      </c>
      <c r="AW858" s="68">
        <f t="shared" si="2032"/>
        <v>0</v>
      </c>
      <c r="AX858" s="68">
        <f t="shared" si="2032"/>
        <v>0</v>
      </c>
      <c r="AY858" s="1112">
        <f t="shared" si="2033"/>
        <v>0</v>
      </c>
      <c r="AZ858" s="68">
        <f t="shared" si="2034"/>
        <v>0</v>
      </c>
      <c r="BA858" s="27">
        <f t="shared" si="2035"/>
        <v>0</v>
      </c>
      <c r="BB858" s="68">
        <f t="shared" si="2035"/>
        <v>0</v>
      </c>
      <c r="BC858" s="68">
        <f t="shared" si="2035"/>
        <v>0</v>
      </c>
      <c r="BD858" s="1112">
        <f t="shared" si="2036"/>
        <v>0</v>
      </c>
      <c r="BE858" s="68">
        <f t="shared" si="2037"/>
        <v>0</v>
      </c>
      <c r="BF858" s="27">
        <f t="shared" si="2038"/>
        <v>0</v>
      </c>
      <c r="BG858" s="68">
        <f t="shared" si="2038"/>
        <v>0</v>
      </c>
      <c r="BH858" s="68">
        <f t="shared" si="2038"/>
        <v>0</v>
      </c>
      <c r="BI858" s="1112">
        <f t="shared" si="2039"/>
        <v>0</v>
      </c>
      <c r="BJ858" s="68">
        <f t="shared" si="2040"/>
        <v>0</v>
      </c>
      <c r="BK858" s="27">
        <f t="shared" si="2041"/>
        <v>0</v>
      </c>
      <c r="BL858" s="68">
        <f t="shared" si="2041"/>
        <v>0</v>
      </c>
      <c r="BM858" s="68">
        <f t="shared" si="2041"/>
        <v>0</v>
      </c>
      <c r="BN858" s="1112">
        <f t="shared" si="2042"/>
        <v>0</v>
      </c>
      <c r="BO858" s="68">
        <f t="shared" si="2043"/>
        <v>0</v>
      </c>
      <c r="BP858" s="27">
        <f t="shared" si="2044"/>
        <v>0</v>
      </c>
      <c r="BQ858" s="68">
        <f t="shared" si="2044"/>
        <v>0</v>
      </c>
      <c r="BR858" s="68">
        <f t="shared" si="2044"/>
        <v>0</v>
      </c>
      <c r="BS858" s="1112">
        <f t="shared" si="2045"/>
        <v>0</v>
      </c>
      <c r="BT858" s="68">
        <f t="shared" si="2046"/>
        <v>0</v>
      </c>
      <c r="BU858" s="27">
        <f t="shared" si="2047"/>
        <v>0</v>
      </c>
      <c r="BV858" s="68">
        <f t="shared" si="2048"/>
        <v>0</v>
      </c>
      <c r="BW858" s="68">
        <f t="shared" si="2049"/>
        <v>0</v>
      </c>
      <c r="BX858" s="1112">
        <f t="shared" si="2050"/>
        <v>0</v>
      </c>
      <c r="BY858" s="588">
        <f t="shared" si="2051"/>
        <v>0</v>
      </c>
      <c r="BZ858" s="68"/>
      <c r="CA858" s="68"/>
      <c r="CB858" s="68"/>
      <c r="CC858" s="1112">
        <f t="shared" si="2052"/>
        <v>0</v>
      </c>
      <c r="CD858" s="68"/>
      <c r="CE858" s="68"/>
      <c r="CF858" s="68"/>
      <c r="CG858" s="68"/>
      <c r="CH858" s="1112">
        <f t="shared" si="2053"/>
        <v>0</v>
      </c>
      <c r="CI858" s="1112"/>
      <c r="CJ858" s="1112"/>
      <c r="CK858" s="1112"/>
      <c r="CL858" s="155"/>
    </row>
    <row r="859" spans="1:90" x14ac:dyDescent="0.3">
      <c r="A859" s="99" t="str">
        <f t="shared" si="2009"/>
        <v>Loss on early debt conversion</v>
      </c>
      <c r="B859" s="146"/>
      <c r="C859" s="1112">
        <f t="shared" si="2010"/>
        <v>0</v>
      </c>
      <c r="D859" s="1112">
        <f t="shared" si="2010"/>
        <v>0</v>
      </c>
      <c r="E859" s="1112">
        <f t="shared" si="2010"/>
        <v>0</v>
      </c>
      <c r="F859" s="1112">
        <f t="shared" si="2010"/>
        <v>0</v>
      </c>
      <c r="G859" s="68">
        <f t="shared" si="2010"/>
        <v>0</v>
      </c>
      <c r="H859" s="68">
        <f t="shared" si="2011"/>
        <v>0</v>
      </c>
      <c r="I859" s="68">
        <f t="shared" si="2011"/>
        <v>0</v>
      </c>
      <c r="J859" s="68">
        <f t="shared" si="2011"/>
        <v>0</v>
      </c>
      <c r="K859" s="1112">
        <f t="shared" si="2012"/>
        <v>0</v>
      </c>
      <c r="L859" s="68">
        <f t="shared" si="2012"/>
        <v>0</v>
      </c>
      <c r="M859" s="68">
        <f t="shared" si="2013"/>
        <v>0</v>
      </c>
      <c r="N859" s="68">
        <f t="shared" si="2013"/>
        <v>0</v>
      </c>
      <c r="O859" s="68">
        <f t="shared" si="2013"/>
        <v>0</v>
      </c>
      <c r="P859" s="1112">
        <f t="shared" si="2014"/>
        <v>0</v>
      </c>
      <c r="Q859" s="68">
        <f t="shared" si="2014"/>
        <v>0</v>
      </c>
      <c r="R859" s="68">
        <f t="shared" si="2015"/>
        <v>0</v>
      </c>
      <c r="S859" s="68">
        <f t="shared" si="2015"/>
        <v>0</v>
      </c>
      <c r="T859" s="68">
        <f t="shared" si="2015"/>
        <v>0</v>
      </c>
      <c r="U859" s="1112">
        <f t="shared" si="2016"/>
        <v>0</v>
      </c>
      <c r="V859" s="68">
        <f t="shared" si="2016"/>
        <v>0</v>
      </c>
      <c r="W859" s="68">
        <f t="shared" si="2017"/>
        <v>0</v>
      </c>
      <c r="X859" s="68">
        <f t="shared" si="2017"/>
        <v>0</v>
      </c>
      <c r="Y859" s="68">
        <f t="shared" si="2017"/>
        <v>0</v>
      </c>
      <c r="Z859" s="1112">
        <f t="shared" si="2018"/>
        <v>0</v>
      </c>
      <c r="AA859" s="68">
        <f t="shared" si="2019"/>
        <v>0</v>
      </c>
      <c r="AB859" s="68">
        <f t="shared" si="2020"/>
        <v>0</v>
      </c>
      <c r="AC859" s="68">
        <f t="shared" si="2020"/>
        <v>15</v>
      </c>
      <c r="AD859" s="68">
        <f t="shared" si="2020"/>
        <v>6</v>
      </c>
      <c r="AE859" s="1112">
        <f t="shared" si="2021"/>
        <v>21</v>
      </c>
      <c r="AF859" s="68">
        <f t="shared" si="2022"/>
        <v>14</v>
      </c>
      <c r="AG859" s="68">
        <f t="shared" si="2023"/>
        <v>3</v>
      </c>
      <c r="AH859" s="68">
        <f t="shared" si="2023"/>
        <v>2</v>
      </c>
      <c r="AI859" s="68">
        <f t="shared" si="2023"/>
        <v>0</v>
      </c>
      <c r="AJ859" s="1112">
        <f t="shared" si="2024"/>
        <v>19</v>
      </c>
      <c r="AK859" s="68">
        <f t="shared" si="2025"/>
        <v>0</v>
      </c>
      <c r="AL859" s="68">
        <f t="shared" si="2026"/>
        <v>0</v>
      </c>
      <c r="AM859" s="68">
        <f t="shared" si="2026"/>
        <v>0</v>
      </c>
      <c r="AN859" s="68">
        <f t="shared" si="2026"/>
        <v>0</v>
      </c>
      <c r="AO859" s="1112">
        <f t="shared" si="2027"/>
        <v>0</v>
      </c>
      <c r="AP859" s="68">
        <f t="shared" si="2028"/>
        <v>0</v>
      </c>
      <c r="AQ859" s="27">
        <f t="shared" si="2029"/>
        <v>0</v>
      </c>
      <c r="AR859" s="68">
        <f t="shared" si="2029"/>
        <v>0</v>
      </c>
      <c r="AS859" s="68">
        <f t="shared" si="2029"/>
        <v>0</v>
      </c>
      <c r="AT859" s="1112">
        <f t="shared" si="2030"/>
        <v>0</v>
      </c>
      <c r="AU859" s="68">
        <f t="shared" si="2031"/>
        <v>0</v>
      </c>
      <c r="AV859" s="27">
        <f t="shared" si="2032"/>
        <v>0</v>
      </c>
      <c r="AW859" s="68">
        <f t="shared" si="2032"/>
        <v>0</v>
      </c>
      <c r="AX859" s="68">
        <f t="shared" si="2032"/>
        <v>0</v>
      </c>
      <c r="AY859" s="1112">
        <f t="shared" si="2033"/>
        <v>0</v>
      </c>
      <c r="AZ859" s="68">
        <f t="shared" si="2034"/>
        <v>0</v>
      </c>
      <c r="BA859" s="27">
        <f t="shared" si="2035"/>
        <v>0</v>
      </c>
      <c r="BB859" s="68">
        <f t="shared" si="2035"/>
        <v>0</v>
      </c>
      <c r="BC859" s="68">
        <f t="shared" si="2035"/>
        <v>0</v>
      </c>
      <c r="BD859" s="1112">
        <f t="shared" si="2036"/>
        <v>0</v>
      </c>
      <c r="BE859" s="68">
        <f t="shared" si="2037"/>
        <v>0</v>
      </c>
      <c r="BF859" s="27">
        <f t="shared" si="2038"/>
        <v>0</v>
      </c>
      <c r="BG859" s="68">
        <f t="shared" si="2038"/>
        <v>0</v>
      </c>
      <c r="BH859" s="68">
        <f t="shared" si="2038"/>
        <v>0</v>
      </c>
      <c r="BI859" s="1112">
        <f t="shared" si="2039"/>
        <v>0</v>
      </c>
      <c r="BJ859" s="68">
        <f t="shared" si="2040"/>
        <v>0</v>
      </c>
      <c r="BK859" s="27">
        <f t="shared" si="2041"/>
        <v>0</v>
      </c>
      <c r="BL859" s="68">
        <f t="shared" si="2041"/>
        <v>0</v>
      </c>
      <c r="BM859" s="68">
        <f t="shared" si="2041"/>
        <v>0</v>
      </c>
      <c r="BN859" s="1112">
        <f t="shared" si="2042"/>
        <v>0</v>
      </c>
      <c r="BO859" s="68">
        <f t="shared" si="2043"/>
        <v>0</v>
      </c>
      <c r="BP859" s="27">
        <f t="shared" si="2044"/>
        <v>0</v>
      </c>
      <c r="BQ859" s="68">
        <f t="shared" si="2044"/>
        <v>0</v>
      </c>
      <c r="BR859" s="68">
        <f t="shared" si="2044"/>
        <v>0</v>
      </c>
      <c r="BS859" s="1112">
        <f t="shared" si="2045"/>
        <v>0</v>
      </c>
      <c r="BT859" s="68">
        <f t="shared" si="2046"/>
        <v>0</v>
      </c>
      <c r="BU859" s="27">
        <f t="shared" si="2047"/>
        <v>0</v>
      </c>
      <c r="BV859" s="68">
        <f t="shared" si="2048"/>
        <v>0</v>
      </c>
      <c r="BW859" s="68">
        <f t="shared" si="2049"/>
        <v>0</v>
      </c>
      <c r="BX859" s="1112">
        <f t="shared" si="2050"/>
        <v>0</v>
      </c>
      <c r="BY859" s="588">
        <f t="shared" si="2051"/>
        <v>0</v>
      </c>
      <c r="BZ859" s="68"/>
      <c r="CA859" s="68"/>
      <c r="CB859" s="68"/>
      <c r="CC859" s="1112">
        <f t="shared" si="2052"/>
        <v>0</v>
      </c>
      <c r="CD859" s="68"/>
      <c r="CE859" s="68"/>
      <c r="CF859" s="68"/>
      <c r="CG859" s="68"/>
      <c r="CH859" s="1112">
        <f t="shared" si="2053"/>
        <v>0</v>
      </c>
      <c r="CI859" s="1112"/>
      <c r="CJ859" s="1112"/>
      <c r="CK859" s="1112"/>
      <c r="CL859" s="155"/>
    </row>
    <row r="860" spans="1:90" x14ac:dyDescent="0.3">
      <c r="A860" s="99" t="str">
        <f t="shared" si="2009"/>
        <v>Deferred income taxes</v>
      </c>
      <c r="B860" s="146"/>
      <c r="C860" s="1112">
        <f t="shared" si="2010"/>
        <v>-23.277000000000001</v>
      </c>
      <c r="D860" s="1112">
        <f t="shared" si="2010"/>
        <v>-21.146999999999998</v>
      </c>
      <c r="E860" s="1112">
        <f t="shared" si="2010"/>
        <v>-2.6459999999999999</v>
      </c>
      <c r="F860" s="1112">
        <f t="shared" si="2010"/>
        <v>19.056000000000001</v>
      </c>
      <c r="G860" s="68">
        <f t="shared" si="2010"/>
        <v>3.63</v>
      </c>
      <c r="H860" s="68">
        <f t="shared" si="2011"/>
        <v>10.161000000000001</v>
      </c>
      <c r="I860" s="68">
        <f t="shared" si="2011"/>
        <v>28.892999999999997</v>
      </c>
      <c r="J860" s="68">
        <f t="shared" si="2011"/>
        <v>-10.823999999999998</v>
      </c>
      <c r="K860" s="1112">
        <f t="shared" si="2012"/>
        <v>31.86</v>
      </c>
      <c r="L860" s="68">
        <f t="shared" si="2012"/>
        <v>-3.0630000000000002</v>
      </c>
      <c r="M860" s="68">
        <f t="shared" si="2013"/>
        <v>2.452</v>
      </c>
      <c r="N860" s="68">
        <f t="shared" si="2013"/>
        <v>8.5250000000000004</v>
      </c>
      <c r="O860" s="68">
        <f t="shared" si="2013"/>
        <v>7.516</v>
      </c>
      <c r="P860" s="1112">
        <f t="shared" si="2014"/>
        <v>15.43</v>
      </c>
      <c r="Q860" s="68">
        <f t="shared" si="2014"/>
        <v>22</v>
      </c>
      <c r="R860" s="68">
        <f t="shared" si="2015"/>
        <v>16</v>
      </c>
      <c r="S860" s="68">
        <f t="shared" si="2015"/>
        <v>24</v>
      </c>
      <c r="T860" s="68">
        <f t="shared" si="2015"/>
        <v>21</v>
      </c>
      <c r="U860" s="1112">
        <f t="shared" si="2016"/>
        <v>83</v>
      </c>
      <c r="V860" s="68">
        <f t="shared" si="2016"/>
        <v>28</v>
      </c>
      <c r="W860" s="68">
        <f t="shared" si="2017"/>
        <v>37</v>
      </c>
      <c r="X860" s="68">
        <f t="shared" si="2017"/>
        <v>42</v>
      </c>
      <c r="Y860" s="68">
        <f t="shared" si="2017"/>
        <v>27</v>
      </c>
      <c r="Z860" s="1112">
        <f t="shared" si="2018"/>
        <v>134</v>
      </c>
      <c r="AA860" s="68">
        <f t="shared" si="2019"/>
        <v>30</v>
      </c>
      <c r="AB860" s="68">
        <f t="shared" si="2020"/>
        <v>47</v>
      </c>
      <c r="AC860" s="68">
        <f t="shared" si="2020"/>
        <v>69</v>
      </c>
      <c r="AD860" s="68">
        <f t="shared" si="2020"/>
        <v>51</v>
      </c>
      <c r="AE860" s="1112">
        <f t="shared" si="2021"/>
        <v>197</v>
      </c>
      <c r="AF860" s="68">
        <f t="shared" si="2022"/>
        <v>22</v>
      </c>
      <c r="AG860" s="68">
        <f t="shared" si="2023"/>
        <v>93</v>
      </c>
      <c r="AH860" s="68">
        <f t="shared" si="2023"/>
        <v>43</v>
      </c>
      <c r="AI860" s="68">
        <f t="shared" si="2023"/>
        <v>-517</v>
      </c>
      <c r="AJ860" s="1112">
        <f t="shared" si="2024"/>
        <v>-359</v>
      </c>
      <c r="AK860" s="68">
        <f t="shared" si="2025"/>
        <v>51</v>
      </c>
      <c r="AL860" s="68">
        <f t="shared" si="2026"/>
        <v>62</v>
      </c>
      <c r="AM860" s="68">
        <f t="shared" si="2026"/>
        <v>-83</v>
      </c>
      <c r="AN860" s="68">
        <f t="shared" si="2026"/>
        <v>-345</v>
      </c>
      <c r="AO860" s="1112">
        <f t="shared" si="2027"/>
        <v>-315</v>
      </c>
      <c r="AP860" s="68">
        <f t="shared" si="2028"/>
        <v>-42</v>
      </c>
      <c r="AQ860" s="27">
        <f t="shared" si="2029"/>
        <v>15</v>
      </c>
      <c r="AR860" s="68">
        <f t="shared" si="2029"/>
        <v>22</v>
      </c>
      <c r="AS860" s="68">
        <f t="shared" si="2029"/>
        <v>23</v>
      </c>
      <c r="AT860" s="1112">
        <f t="shared" si="2030"/>
        <v>18</v>
      </c>
      <c r="AU860" s="68">
        <f t="shared" si="2031"/>
        <v>16</v>
      </c>
      <c r="AV860" s="27">
        <f t="shared" si="2032"/>
        <v>-80</v>
      </c>
      <c r="AW860" s="68">
        <f t="shared" si="2032"/>
        <v>-53</v>
      </c>
      <c r="AX860" s="68">
        <f t="shared" si="2032"/>
        <v>-165</v>
      </c>
      <c r="AY860" s="1112">
        <f t="shared" si="2033"/>
        <v>-282</v>
      </c>
      <c r="AZ860" s="68">
        <f t="shared" si="2034"/>
        <v>24</v>
      </c>
      <c r="BA860" s="27">
        <f t="shared" si="2035"/>
        <v>-185</v>
      </c>
      <c r="BB860" s="68">
        <f t="shared" si="2035"/>
        <v>-21</v>
      </c>
      <c r="BC860" s="68">
        <f t="shared" si="2035"/>
        <v>-224</v>
      </c>
      <c r="BD860" s="1112">
        <f t="shared" si="2036"/>
        <v>-406</v>
      </c>
      <c r="BE860" s="68">
        <f t="shared" si="2037"/>
        <v>-542</v>
      </c>
      <c r="BF860" s="27">
        <f t="shared" si="2038"/>
        <v>-443</v>
      </c>
      <c r="BG860" s="68">
        <f t="shared" si="2038"/>
        <v>-532</v>
      </c>
      <c r="BH860" s="68">
        <f t="shared" si="2038"/>
        <v>-647</v>
      </c>
      <c r="BI860" s="1112">
        <f t="shared" si="2039"/>
        <v>-2164</v>
      </c>
      <c r="BJ860" s="68">
        <f t="shared" si="2040"/>
        <v>-1135</v>
      </c>
      <c r="BK860" s="27">
        <f t="shared" si="2041"/>
        <v>-746</v>
      </c>
      <c r="BL860" s="68">
        <f t="shared" si="2041"/>
        <v>-530</v>
      </c>
      <c r="BM860" s="68">
        <f t="shared" si="2041"/>
        <v>-78</v>
      </c>
      <c r="BN860" s="1112">
        <f t="shared" si="2042"/>
        <v>-2489</v>
      </c>
      <c r="BO860" s="68">
        <f t="shared" si="2043"/>
        <v>-1577</v>
      </c>
      <c r="BP860" s="27">
        <f t="shared" si="2044"/>
        <v>-1699</v>
      </c>
      <c r="BQ860" s="68">
        <f t="shared" si="2044"/>
        <v>-603</v>
      </c>
      <c r="BR860" s="68">
        <f t="shared" si="2044"/>
        <v>-598</v>
      </c>
      <c r="BS860" s="1112">
        <f t="shared" si="2045"/>
        <v>-4477</v>
      </c>
      <c r="BT860" s="68">
        <f t="shared" si="2046"/>
        <v>-2177</v>
      </c>
      <c r="BU860" s="27">
        <f t="shared" si="2047"/>
        <v>17</v>
      </c>
      <c r="BV860" s="68">
        <f t="shared" si="2048"/>
        <v>125</v>
      </c>
      <c r="BW860" s="68">
        <f t="shared" si="2049"/>
        <v>611</v>
      </c>
      <c r="BX860" s="1112">
        <f t="shared" si="2050"/>
        <v>-1424</v>
      </c>
      <c r="BY860" s="588">
        <f t="shared" si="2051"/>
        <v>1584</v>
      </c>
      <c r="BZ860" s="68">
        <f>BZ414*BZ429</f>
        <v>0</v>
      </c>
      <c r="CA860" s="68">
        <f>CA414*CA429</f>
        <v>0</v>
      </c>
      <c r="CB860" s="68">
        <f>CB414*CB429</f>
        <v>0</v>
      </c>
      <c r="CC860" s="1112">
        <f t="shared" si="2052"/>
        <v>1584</v>
      </c>
      <c r="CD860" s="68">
        <f>CD414*CD429</f>
        <v>0</v>
      </c>
      <c r="CE860" s="68">
        <f>CE414*CE429</f>
        <v>0</v>
      </c>
      <c r="CF860" s="68">
        <f>CF414*CF429</f>
        <v>0</v>
      </c>
      <c r="CG860" s="68">
        <f>CG414*CG429</f>
        <v>0</v>
      </c>
      <c r="CH860" s="1112">
        <f t="shared" si="2053"/>
        <v>0</v>
      </c>
      <c r="CI860" s="1112">
        <f>CI414*CI429</f>
        <v>0</v>
      </c>
      <c r="CJ860" s="1112">
        <f>CJ414*CJ429</f>
        <v>0</v>
      </c>
      <c r="CK860" s="1112">
        <f>CK414*CK429</f>
        <v>0</v>
      </c>
      <c r="CL860" s="155"/>
    </row>
    <row r="861" spans="1:90" x14ac:dyDescent="0.3">
      <c r="A861" s="99" t="str">
        <f t="shared" si="2009"/>
        <v>Payments under patent licensing arrangement</v>
      </c>
      <c r="B861" s="146"/>
      <c r="C861" s="1112">
        <f t="shared" ref="C861:G867" si="2054">C789</f>
        <v>-21.797000000000001</v>
      </c>
      <c r="D861" s="1112">
        <f t="shared" si="2054"/>
        <v>-0.85699999999999998</v>
      </c>
      <c r="E861" s="1112">
        <f t="shared" si="2054"/>
        <v>0</v>
      </c>
      <c r="F861" s="1112">
        <f t="shared" si="2054"/>
        <v>0</v>
      </c>
      <c r="G861" s="68">
        <f t="shared" si="2054"/>
        <v>0</v>
      </c>
      <c r="H861" s="68">
        <f t="shared" si="2011"/>
        <v>0</v>
      </c>
      <c r="I861" s="68">
        <f t="shared" si="2011"/>
        <v>0</v>
      </c>
      <c r="J861" s="68">
        <f t="shared" si="2011"/>
        <v>0</v>
      </c>
      <c r="K861" s="1112">
        <f t="shared" si="2012"/>
        <v>0</v>
      </c>
      <c r="L861" s="68">
        <f t="shared" si="2012"/>
        <v>0</v>
      </c>
      <c r="M861" s="68">
        <f t="shared" si="2013"/>
        <v>0</v>
      </c>
      <c r="N861" s="68">
        <f t="shared" si="2013"/>
        <v>0</v>
      </c>
      <c r="O861" s="68">
        <f t="shared" si="2013"/>
        <v>0</v>
      </c>
      <c r="P861" s="1112">
        <f t="shared" si="2014"/>
        <v>0</v>
      </c>
      <c r="Q861" s="68">
        <f t="shared" si="2014"/>
        <v>0</v>
      </c>
      <c r="R861" s="68">
        <f t="shared" si="2015"/>
        <v>0</v>
      </c>
      <c r="S861" s="68">
        <f t="shared" si="2015"/>
        <v>0</v>
      </c>
      <c r="T861" s="68">
        <f t="shared" si="2015"/>
        <v>0</v>
      </c>
      <c r="U861" s="1112">
        <f t="shared" si="2016"/>
        <v>0</v>
      </c>
      <c r="V861" s="68">
        <f t="shared" si="2016"/>
        <v>0</v>
      </c>
      <c r="W861" s="68">
        <f t="shared" si="2017"/>
        <v>0</v>
      </c>
      <c r="X861" s="68">
        <f t="shared" si="2017"/>
        <v>0</v>
      </c>
      <c r="Y861" s="68">
        <f t="shared" si="2017"/>
        <v>0</v>
      </c>
      <c r="Z861" s="1112">
        <f t="shared" si="2018"/>
        <v>0</v>
      </c>
      <c r="AA861" s="68">
        <f t="shared" si="2019"/>
        <v>0</v>
      </c>
      <c r="AB861" s="68">
        <f t="shared" si="2020"/>
        <v>0</v>
      </c>
      <c r="AC861" s="68">
        <f t="shared" si="2020"/>
        <v>0</v>
      </c>
      <c r="AD861" s="68">
        <f t="shared" si="2020"/>
        <v>0</v>
      </c>
      <c r="AE861" s="1112">
        <f t="shared" si="2021"/>
        <v>0</v>
      </c>
      <c r="AF861" s="68">
        <f t="shared" si="2022"/>
        <v>0</v>
      </c>
      <c r="AG861" s="68">
        <f t="shared" si="2023"/>
        <v>0</v>
      </c>
      <c r="AH861" s="68">
        <f t="shared" si="2023"/>
        <v>0</v>
      </c>
      <c r="AI861" s="68">
        <f t="shared" si="2023"/>
        <v>0</v>
      </c>
      <c r="AJ861" s="1112">
        <f t="shared" si="2024"/>
        <v>0</v>
      </c>
      <c r="AK861" s="68">
        <f t="shared" si="2025"/>
        <v>0</v>
      </c>
      <c r="AL861" s="68">
        <f t="shared" si="2026"/>
        <v>0</v>
      </c>
      <c r="AM861" s="68">
        <f t="shared" si="2026"/>
        <v>0</v>
      </c>
      <c r="AN861" s="68">
        <f t="shared" si="2026"/>
        <v>0</v>
      </c>
      <c r="AO861" s="1112">
        <f t="shared" si="2027"/>
        <v>0</v>
      </c>
      <c r="AP861" s="68">
        <f t="shared" si="2028"/>
        <v>0</v>
      </c>
      <c r="AQ861" s="27">
        <f t="shared" si="2029"/>
        <v>0</v>
      </c>
      <c r="AR861" s="68">
        <f t="shared" si="2029"/>
        <v>0</v>
      </c>
      <c r="AS861" s="68">
        <f t="shared" si="2029"/>
        <v>0</v>
      </c>
      <c r="AT861" s="1112">
        <f t="shared" si="2030"/>
        <v>0</v>
      </c>
      <c r="AU861" s="68">
        <f t="shared" si="2031"/>
        <v>0</v>
      </c>
      <c r="AV861" s="27">
        <f t="shared" si="2032"/>
        <v>0</v>
      </c>
      <c r="AW861" s="68">
        <f t="shared" si="2032"/>
        <v>0</v>
      </c>
      <c r="AX861" s="68">
        <f t="shared" si="2032"/>
        <v>0</v>
      </c>
      <c r="AY861" s="1112">
        <f t="shared" si="2033"/>
        <v>0</v>
      </c>
      <c r="AZ861" s="68">
        <f t="shared" si="2034"/>
        <v>0</v>
      </c>
      <c r="BA861" s="27">
        <f t="shared" si="2035"/>
        <v>0</v>
      </c>
      <c r="BB861" s="68">
        <f t="shared" si="2035"/>
        <v>0</v>
      </c>
      <c r="BC861" s="68">
        <f t="shared" si="2035"/>
        <v>0</v>
      </c>
      <c r="BD861" s="1112">
        <f t="shared" si="2036"/>
        <v>0</v>
      </c>
      <c r="BE861" s="68">
        <f t="shared" si="2037"/>
        <v>0</v>
      </c>
      <c r="BF861" s="27">
        <f t="shared" si="2038"/>
        <v>0</v>
      </c>
      <c r="BG861" s="68">
        <f t="shared" si="2038"/>
        <v>0</v>
      </c>
      <c r="BH861" s="68">
        <f t="shared" si="2038"/>
        <v>0</v>
      </c>
      <c r="BI861" s="1112">
        <f t="shared" si="2039"/>
        <v>0</v>
      </c>
      <c r="BJ861" s="68">
        <f t="shared" si="2040"/>
        <v>0</v>
      </c>
      <c r="BK861" s="27">
        <f t="shared" si="2041"/>
        <v>0</v>
      </c>
      <c r="BL861" s="68">
        <f t="shared" si="2041"/>
        <v>0</v>
      </c>
      <c r="BM861" s="68">
        <f t="shared" si="2041"/>
        <v>0</v>
      </c>
      <c r="BN861" s="1112">
        <f t="shared" si="2042"/>
        <v>0</v>
      </c>
      <c r="BO861" s="68">
        <f t="shared" si="2043"/>
        <v>0</v>
      </c>
      <c r="BP861" s="27">
        <f t="shared" si="2044"/>
        <v>0</v>
      </c>
      <c r="BQ861" s="68">
        <f t="shared" si="2044"/>
        <v>0</v>
      </c>
      <c r="BR861" s="68">
        <f t="shared" si="2044"/>
        <v>0</v>
      </c>
      <c r="BS861" s="1112">
        <f t="shared" si="2045"/>
        <v>0</v>
      </c>
      <c r="BT861" s="68">
        <f t="shared" si="2046"/>
        <v>0</v>
      </c>
      <c r="BU861" s="27">
        <f t="shared" si="2047"/>
        <v>0</v>
      </c>
      <c r="BV861" s="68">
        <f t="shared" si="2048"/>
        <v>0</v>
      </c>
      <c r="BW861" s="68">
        <f t="shared" si="2049"/>
        <v>0</v>
      </c>
      <c r="BX861" s="1112">
        <f t="shared" si="2050"/>
        <v>0</v>
      </c>
      <c r="BY861" s="588">
        <f t="shared" si="2051"/>
        <v>0</v>
      </c>
      <c r="BZ861" s="68"/>
      <c r="CA861" s="68"/>
      <c r="CB861" s="68"/>
      <c r="CC861" s="1112">
        <f t="shared" si="2052"/>
        <v>0</v>
      </c>
      <c r="CD861" s="68"/>
      <c r="CE861" s="68"/>
      <c r="CF861" s="68"/>
      <c r="CG861" s="68"/>
      <c r="CH861" s="1112">
        <f t="shared" si="2053"/>
        <v>0</v>
      </c>
      <c r="CI861" s="1112"/>
      <c r="CJ861" s="1112"/>
      <c r="CK861" s="1112"/>
      <c r="CL861" s="155"/>
    </row>
    <row r="862" spans="1:90" x14ac:dyDescent="0.3">
      <c r="A862" s="99" t="str">
        <f t="shared" si="2009"/>
        <v>In-process research and development expenses</v>
      </c>
      <c r="B862" s="146"/>
      <c r="C862" s="1112">
        <f t="shared" si="2054"/>
        <v>0</v>
      </c>
      <c r="D862" s="1112">
        <f t="shared" si="2054"/>
        <v>0</v>
      </c>
      <c r="E862" s="1112">
        <f t="shared" si="2054"/>
        <v>0</v>
      </c>
      <c r="F862" s="1112">
        <f t="shared" si="2054"/>
        <v>0</v>
      </c>
      <c r="G862" s="68">
        <f t="shared" si="2054"/>
        <v>0</v>
      </c>
      <c r="H862" s="68">
        <f t="shared" si="2011"/>
        <v>0</v>
      </c>
      <c r="I862" s="68">
        <f t="shared" si="2011"/>
        <v>0</v>
      </c>
      <c r="J862" s="68">
        <f t="shared" si="2011"/>
        <v>0</v>
      </c>
      <c r="K862" s="1112">
        <f t="shared" si="2012"/>
        <v>0</v>
      </c>
      <c r="L862" s="68">
        <f t="shared" si="2012"/>
        <v>0</v>
      </c>
      <c r="M862" s="68">
        <f t="shared" si="2013"/>
        <v>0</v>
      </c>
      <c r="N862" s="68">
        <f t="shared" si="2013"/>
        <v>0</v>
      </c>
      <c r="O862" s="68">
        <f t="shared" si="2013"/>
        <v>0</v>
      </c>
      <c r="P862" s="1112">
        <f t="shared" si="2014"/>
        <v>0</v>
      </c>
      <c r="Q862" s="68">
        <f t="shared" si="2014"/>
        <v>0</v>
      </c>
      <c r="R862" s="68">
        <f t="shared" si="2015"/>
        <v>0</v>
      </c>
      <c r="S862" s="68">
        <f t="shared" si="2015"/>
        <v>0</v>
      </c>
      <c r="T862" s="68">
        <f t="shared" si="2015"/>
        <v>0</v>
      </c>
      <c r="U862" s="1112">
        <f t="shared" si="2016"/>
        <v>0</v>
      </c>
      <c r="V862" s="68">
        <f t="shared" si="2016"/>
        <v>0</v>
      </c>
      <c r="W862" s="68">
        <f t="shared" si="2017"/>
        <v>0</v>
      </c>
      <c r="X862" s="68">
        <f t="shared" si="2017"/>
        <v>0</v>
      </c>
      <c r="Y862" s="68">
        <f t="shared" si="2017"/>
        <v>0</v>
      </c>
      <c r="Z862" s="1112">
        <f t="shared" si="2018"/>
        <v>0</v>
      </c>
      <c r="AA862" s="68">
        <f t="shared" si="2019"/>
        <v>0</v>
      </c>
      <c r="AB862" s="68">
        <f t="shared" si="2020"/>
        <v>0</v>
      </c>
      <c r="AC862" s="68">
        <f t="shared" si="2020"/>
        <v>0</v>
      </c>
      <c r="AD862" s="68">
        <f t="shared" si="2020"/>
        <v>0</v>
      </c>
      <c r="AE862" s="1112">
        <f t="shared" si="2021"/>
        <v>0</v>
      </c>
      <c r="AF862" s="68">
        <f t="shared" si="2022"/>
        <v>0</v>
      </c>
      <c r="AG862" s="68">
        <f t="shared" si="2023"/>
        <v>0</v>
      </c>
      <c r="AH862" s="68">
        <f t="shared" si="2023"/>
        <v>0</v>
      </c>
      <c r="AI862" s="68">
        <f t="shared" si="2023"/>
        <v>0</v>
      </c>
      <c r="AJ862" s="1112">
        <f t="shared" si="2024"/>
        <v>0</v>
      </c>
      <c r="AK862" s="68">
        <f t="shared" si="2025"/>
        <v>0</v>
      </c>
      <c r="AL862" s="68">
        <f t="shared" si="2026"/>
        <v>0</v>
      </c>
      <c r="AM862" s="68">
        <f t="shared" si="2026"/>
        <v>0</v>
      </c>
      <c r="AN862" s="68">
        <f t="shared" si="2026"/>
        <v>0</v>
      </c>
      <c r="AO862" s="1112">
        <f t="shared" si="2027"/>
        <v>0</v>
      </c>
      <c r="AP862" s="68">
        <f t="shared" si="2028"/>
        <v>0</v>
      </c>
      <c r="AQ862" s="27">
        <f t="shared" si="2029"/>
        <v>0</v>
      </c>
      <c r="AR862" s="68">
        <f t="shared" si="2029"/>
        <v>0</v>
      </c>
      <c r="AS862" s="68">
        <f t="shared" si="2029"/>
        <v>0</v>
      </c>
      <c r="AT862" s="1112">
        <f t="shared" si="2030"/>
        <v>0</v>
      </c>
      <c r="AU862" s="68">
        <f t="shared" si="2031"/>
        <v>0</v>
      </c>
      <c r="AV862" s="27">
        <f t="shared" si="2032"/>
        <v>0</v>
      </c>
      <c r="AW862" s="68">
        <f t="shared" si="2032"/>
        <v>0</v>
      </c>
      <c r="AX862" s="68">
        <f t="shared" si="2032"/>
        <v>0</v>
      </c>
      <c r="AY862" s="1112">
        <f t="shared" si="2033"/>
        <v>0</v>
      </c>
      <c r="AZ862" s="68">
        <f t="shared" si="2034"/>
        <v>0</v>
      </c>
      <c r="BA862" s="27">
        <f t="shared" si="2035"/>
        <v>0</v>
      </c>
      <c r="BB862" s="68">
        <f t="shared" si="2035"/>
        <v>0</v>
      </c>
      <c r="BC862" s="68">
        <f t="shared" si="2035"/>
        <v>0</v>
      </c>
      <c r="BD862" s="1112">
        <f t="shared" si="2036"/>
        <v>0</v>
      </c>
      <c r="BE862" s="68">
        <f t="shared" si="2037"/>
        <v>0</v>
      </c>
      <c r="BF862" s="27">
        <f t="shared" si="2038"/>
        <v>0</v>
      </c>
      <c r="BG862" s="68">
        <f t="shared" si="2038"/>
        <v>0</v>
      </c>
      <c r="BH862" s="68">
        <f t="shared" si="2038"/>
        <v>0</v>
      </c>
      <c r="BI862" s="1112">
        <f t="shared" si="2039"/>
        <v>0</v>
      </c>
      <c r="BJ862" s="68">
        <f t="shared" si="2040"/>
        <v>0</v>
      </c>
      <c r="BK862" s="27">
        <f t="shared" si="2041"/>
        <v>0</v>
      </c>
      <c r="BL862" s="68">
        <f t="shared" si="2041"/>
        <v>0</v>
      </c>
      <c r="BM862" s="68">
        <f t="shared" si="2041"/>
        <v>0</v>
      </c>
      <c r="BN862" s="1112">
        <f t="shared" si="2042"/>
        <v>0</v>
      </c>
      <c r="BO862" s="68">
        <f t="shared" si="2043"/>
        <v>0</v>
      </c>
      <c r="BP862" s="27">
        <f t="shared" si="2044"/>
        <v>0</v>
      </c>
      <c r="BQ862" s="68">
        <f t="shared" si="2044"/>
        <v>0</v>
      </c>
      <c r="BR862" s="68">
        <f t="shared" si="2044"/>
        <v>0</v>
      </c>
      <c r="BS862" s="1112">
        <f t="shared" si="2045"/>
        <v>0</v>
      </c>
      <c r="BT862" s="68">
        <f t="shared" si="2046"/>
        <v>0</v>
      </c>
      <c r="BU862" s="27">
        <f t="shared" si="2047"/>
        <v>0</v>
      </c>
      <c r="BV862" s="68">
        <f t="shared" si="2048"/>
        <v>0</v>
      </c>
      <c r="BW862" s="68">
        <f t="shared" si="2049"/>
        <v>0</v>
      </c>
      <c r="BX862" s="1112">
        <f t="shared" si="2050"/>
        <v>0</v>
      </c>
      <c r="BY862" s="588">
        <f t="shared" si="2051"/>
        <v>0</v>
      </c>
      <c r="BZ862" s="68"/>
      <c r="CA862" s="68"/>
      <c r="CB862" s="68"/>
      <c r="CC862" s="1112">
        <f t="shared" si="2052"/>
        <v>0</v>
      </c>
      <c r="CD862" s="68"/>
      <c r="CE862" s="68"/>
      <c r="CF862" s="68"/>
      <c r="CG862" s="68"/>
      <c r="CH862" s="1112">
        <f t="shared" si="2053"/>
        <v>0</v>
      </c>
      <c r="CI862" s="1112"/>
      <c r="CJ862" s="1112"/>
      <c r="CK862" s="1112"/>
      <c r="CL862" s="155"/>
    </row>
    <row r="863" spans="1:90" x14ac:dyDescent="0.3">
      <c r="A863" s="99" t="str">
        <f t="shared" si="2009"/>
        <v>Tax benefit from stock options</v>
      </c>
      <c r="B863" s="146"/>
      <c r="C863" s="1112">
        <f t="shared" si="2054"/>
        <v>0</v>
      </c>
      <c r="D863" s="1112">
        <f t="shared" si="2054"/>
        <v>0</v>
      </c>
      <c r="E863" s="1112">
        <f t="shared" si="2054"/>
        <v>0</v>
      </c>
      <c r="F863" s="1112">
        <f t="shared" si="2054"/>
        <v>0</v>
      </c>
      <c r="G863" s="68">
        <f t="shared" si="2054"/>
        <v>0</v>
      </c>
      <c r="H863" s="68">
        <f t="shared" si="2011"/>
        <v>0</v>
      </c>
      <c r="I863" s="68">
        <f t="shared" si="2011"/>
        <v>0</v>
      </c>
      <c r="J863" s="68">
        <f t="shared" si="2011"/>
        <v>0</v>
      </c>
      <c r="K863" s="1112">
        <f t="shared" si="2012"/>
        <v>0</v>
      </c>
      <c r="L863" s="68">
        <f t="shared" si="2012"/>
        <v>0</v>
      </c>
      <c r="M863" s="68">
        <f t="shared" si="2013"/>
        <v>0</v>
      </c>
      <c r="N863" s="68">
        <f t="shared" si="2013"/>
        <v>0</v>
      </c>
      <c r="O863" s="68">
        <f t="shared" si="2013"/>
        <v>0</v>
      </c>
      <c r="P863" s="1112">
        <f t="shared" si="2014"/>
        <v>0</v>
      </c>
      <c r="Q863" s="68">
        <f t="shared" si="2014"/>
        <v>0</v>
      </c>
      <c r="R863" s="68">
        <f t="shared" si="2015"/>
        <v>0</v>
      </c>
      <c r="S863" s="68">
        <f t="shared" si="2015"/>
        <v>0</v>
      </c>
      <c r="T863" s="68">
        <f t="shared" si="2015"/>
        <v>0</v>
      </c>
      <c r="U863" s="1112">
        <f t="shared" si="2016"/>
        <v>0</v>
      </c>
      <c r="V863" s="68">
        <f t="shared" si="2016"/>
        <v>0</v>
      </c>
      <c r="W863" s="68">
        <f t="shared" si="2017"/>
        <v>0</v>
      </c>
      <c r="X863" s="68">
        <f t="shared" si="2017"/>
        <v>0</v>
      </c>
      <c r="Y863" s="68">
        <f t="shared" si="2017"/>
        <v>0</v>
      </c>
      <c r="Z863" s="1112">
        <f t="shared" si="2018"/>
        <v>0</v>
      </c>
      <c r="AA863" s="68">
        <f t="shared" si="2019"/>
        <v>0</v>
      </c>
      <c r="AB863" s="68">
        <f t="shared" si="2020"/>
        <v>0</v>
      </c>
      <c r="AC863" s="68">
        <f t="shared" si="2020"/>
        <v>0</v>
      </c>
      <c r="AD863" s="68">
        <f t="shared" si="2020"/>
        <v>0</v>
      </c>
      <c r="AE863" s="1112">
        <f t="shared" si="2021"/>
        <v>0</v>
      </c>
      <c r="AF863" s="68">
        <f t="shared" si="2022"/>
        <v>0</v>
      </c>
      <c r="AG863" s="68">
        <f t="shared" si="2023"/>
        <v>0</v>
      </c>
      <c r="AH863" s="68">
        <f t="shared" si="2023"/>
        <v>0</v>
      </c>
      <c r="AI863" s="68">
        <f t="shared" si="2023"/>
        <v>0</v>
      </c>
      <c r="AJ863" s="1112">
        <f t="shared" si="2024"/>
        <v>0</v>
      </c>
      <c r="AK863" s="68">
        <f t="shared" si="2025"/>
        <v>0</v>
      </c>
      <c r="AL863" s="68">
        <f t="shared" si="2026"/>
        <v>0</v>
      </c>
      <c r="AM863" s="68">
        <f t="shared" si="2026"/>
        <v>0</v>
      </c>
      <c r="AN863" s="68">
        <f t="shared" si="2026"/>
        <v>0</v>
      </c>
      <c r="AO863" s="1112">
        <f t="shared" si="2027"/>
        <v>0</v>
      </c>
      <c r="AP863" s="68">
        <f t="shared" si="2028"/>
        <v>0</v>
      </c>
      <c r="AQ863" s="27">
        <f t="shared" si="2029"/>
        <v>0</v>
      </c>
      <c r="AR863" s="68">
        <f t="shared" si="2029"/>
        <v>0</v>
      </c>
      <c r="AS863" s="68">
        <f t="shared" si="2029"/>
        <v>0</v>
      </c>
      <c r="AT863" s="1112">
        <f t="shared" si="2030"/>
        <v>0</v>
      </c>
      <c r="AU863" s="68">
        <f t="shared" si="2031"/>
        <v>0</v>
      </c>
      <c r="AV863" s="27">
        <f t="shared" si="2032"/>
        <v>0</v>
      </c>
      <c r="AW863" s="68">
        <f t="shared" si="2032"/>
        <v>0</v>
      </c>
      <c r="AX863" s="68">
        <f t="shared" si="2032"/>
        <v>0</v>
      </c>
      <c r="AY863" s="1112">
        <f t="shared" si="2033"/>
        <v>0</v>
      </c>
      <c r="AZ863" s="68">
        <f t="shared" si="2034"/>
        <v>0</v>
      </c>
      <c r="BA863" s="27">
        <f t="shared" si="2035"/>
        <v>0</v>
      </c>
      <c r="BB863" s="68">
        <f t="shared" si="2035"/>
        <v>0</v>
      </c>
      <c r="BC863" s="68">
        <f t="shared" si="2035"/>
        <v>0</v>
      </c>
      <c r="BD863" s="1112">
        <f t="shared" si="2036"/>
        <v>0</v>
      </c>
      <c r="BE863" s="68">
        <f t="shared" si="2037"/>
        <v>0</v>
      </c>
      <c r="BF863" s="27">
        <f t="shared" si="2038"/>
        <v>0</v>
      </c>
      <c r="BG863" s="68">
        <f t="shared" si="2038"/>
        <v>0</v>
      </c>
      <c r="BH863" s="68">
        <f t="shared" si="2038"/>
        <v>0</v>
      </c>
      <c r="BI863" s="1112">
        <f t="shared" si="2039"/>
        <v>0</v>
      </c>
      <c r="BJ863" s="68">
        <f t="shared" si="2040"/>
        <v>0</v>
      </c>
      <c r="BK863" s="27">
        <f t="shared" si="2041"/>
        <v>0</v>
      </c>
      <c r="BL863" s="68">
        <f t="shared" si="2041"/>
        <v>0</v>
      </c>
      <c r="BM863" s="68">
        <f t="shared" si="2041"/>
        <v>0</v>
      </c>
      <c r="BN863" s="1112">
        <f t="shared" si="2042"/>
        <v>0</v>
      </c>
      <c r="BO863" s="68">
        <f t="shared" si="2043"/>
        <v>0</v>
      </c>
      <c r="BP863" s="27">
        <f t="shared" si="2044"/>
        <v>0</v>
      </c>
      <c r="BQ863" s="68">
        <f t="shared" si="2044"/>
        <v>0</v>
      </c>
      <c r="BR863" s="68">
        <f t="shared" si="2044"/>
        <v>0</v>
      </c>
      <c r="BS863" s="1112">
        <f t="shared" si="2045"/>
        <v>0</v>
      </c>
      <c r="BT863" s="68">
        <f t="shared" si="2046"/>
        <v>0</v>
      </c>
      <c r="BU863" s="27">
        <f t="shared" si="2047"/>
        <v>0</v>
      </c>
      <c r="BV863" s="68">
        <f t="shared" si="2048"/>
        <v>0</v>
      </c>
      <c r="BW863" s="68">
        <f t="shared" si="2049"/>
        <v>0</v>
      </c>
      <c r="BX863" s="1112">
        <f t="shared" si="2050"/>
        <v>0</v>
      </c>
      <c r="BY863" s="588">
        <f t="shared" si="2051"/>
        <v>0</v>
      </c>
      <c r="BZ863" s="68"/>
      <c r="CA863" s="68"/>
      <c r="CB863" s="68"/>
      <c r="CC863" s="1112">
        <f t="shared" si="2052"/>
        <v>0</v>
      </c>
      <c r="CD863" s="68"/>
      <c r="CE863" s="68"/>
      <c r="CF863" s="68"/>
      <c r="CG863" s="68"/>
      <c r="CH863" s="1112">
        <f t="shared" si="2053"/>
        <v>0</v>
      </c>
      <c r="CI863" s="1112"/>
      <c r="CJ863" s="1112"/>
      <c r="CK863" s="1112"/>
      <c r="CL863" s="155"/>
    </row>
    <row r="864" spans="1:90" x14ac:dyDescent="0.3">
      <c r="A864" s="99" t="str">
        <f t="shared" si="2009"/>
        <v>Tax benefit from stock-based compensation</v>
      </c>
      <c r="B864" s="146"/>
      <c r="C864" s="1112">
        <f t="shared" si="2054"/>
        <v>0</v>
      </c>
      <c r="D864" s="1112">
        <f t="shared" si="2054"/>
        <v>0</v>
      </c>
      <c r="E864" s="1112">
        <f t="shared" si="2054"/>
        <v>-15.316000000000001</v>
      </c>
      <c r="F864" s="1112">
        <f t="shared" si="2054"/>
        <v>-52.792999999999999</v>
      </c>
      <c r="G864" s="68">
        <f t="shared" si="2054"/>
        <v>-8.6750000000000007</v>
      </c>
      <c r="H864" s="68">
        <f t="shared" si="2011"/>
        <v>-9.4789999999999992</v>
      </c>
      <c r="I864" s="68">
        <f t="shared" si="2011"/>
        <v>-7.4920000000000009</v>
      </c>
      <c r="J864" s="68">
        <f t="shared" si="2011"/>
        <v>-43.063999999999993</v>
      </c>
      <c r="K864" s="1112">
        <f t="shared" si="2012"/>
        <v>-68.709999999999994</v>
      </c>
      <c r="L864" s="68">
        <f t="shared" si="2012"/>
        <v>-10.119999999999999</v>
      </c>
      <c r="M864" s="68">
        <f t="shared" si="2013"/>
        <v>-7.24</v>
      </c>
      <c r="N864" s="68">
        <f t="shared" si="2013"/>
        <v>-6.3829999999999991</v>
      </c>
      <c r="O864" s="68">
        <f t="shared" si="2013"/>
        <v>-2.0579999999999998</v>
      </c>
      <c r="P864" s="1112">
        <f t="shared" si="2014"/>
        <v>-25.800999999999998</v>
      </c>
      <c r="Q864" s="68">
        <f t="shared" si="2014"/>
        <v>-4</v>
      </c>
      <c r="R864" s="68">
        <f t="shared" si="2015"/>
        <v>-3</v>
      </c>
      <c r="S864" s="68">
        <f t="shared" si="2015"/>
        <v>-5</v>
      </c>
      <c r="T864" s="68">
        <f t="shared" si="2015"/>
        <v>-6</v>
      </c>
      <c r="U864" s="1112">
        <f t="shared" si="2016"/>
        <v>-18</v>
      </c>
      <c r="V864" s="68">
        <f t="shared" si="2016"/>
        <v>-6</v>
      </c>
      <c r="W864" s="68">
        <f t="shared" si="2017"/>
        <v>0</v>
      </c>
      <c r="X864" s="68">
        <f t="shared" si="2017"/>
        <v>1</v>
      </c>
      <c r="Y864" s="68">
        <f t="shared" si="2017"/>
        <v>-5</v>
      </c>
      <c r="Z864" s="1112">
        <f t="shared" si="2018"/>
        <v>-10</v>
      </c>
      <c r="AA864" s="68">
        <f t="shared" si="2019"/>
        <v>0</v>
      </c>
      <c r="AB864" s="68">
        <f t="shared" si="2020"/>
        <v>0</v>
      </c>
      <c r="AC864" s="68">
        <f t="shared" si="2020"/>
        <v>0</v>
      </c>
      <c r="AD864" s="68">
        <f t="shared" si="2020"/>
        <v>0</v>
      </c>
      <c r="AE864" s="1112">
        <f t="shared" si="2021"/>
        <v>0</v>
      </c>
      <c r="AF864" s="68">
        <f t="shared" si="2022"/>
        <v>0</v>
      </c>
      <c r="AG864" s="68">
        <f t="shared" si="2023"/>
        <v>0</v>
      </c>
      <c r="AH864" s="68">
        <f t="shared" si="2023"/>
        <v>0</v>
      </c>
      <c r="AI864" s="68">
        <f t="shared" si="2023"/>
        <v>0</v>
      </c>
      <c r="AJ864" s="1112">
        <f t="shared" si="2024"/>
        <v>0</v>
      </c>
      <c r="AK864" s="68">
        <f t="shared" si="2025"/>
        <v>0</v>
      </c>
      <c r="AL864" s="68">
        <f t="shared" si="2026"/>
        <v>0</v>
      </c>
      <c r="AM864" s="68">
        <f t="shared" si="2026"/>
        <v>0</v>
      </c>
      <c r="AN864" s="68">
        <f t="shared" si="2026"/>
        <v>0</v>
      </c>
      <c r="AO864" s="1112">
        <f t="shared" si="2027"/>
        <v>0</v>
      </c>
      <c r="AP864" s="68">
        <f t="shared" si="2028"/>
        <v>0</v>
      </c>
      <c r="AQ864" s="27">
        <f t="shared" si="2029"/>
        <v>0</v>
      </c>
      <c r="AR864" s="68">
        <f t="shared" si="2029"/>
        <v>0</v>
      </c>
      <c r="AS864" s="68">
        <f t="shared" si="2029"/>
        <v>0</v>
      </c>
      <c r="AT864" s="1112">
        <f t="shared" si="2030"/>
        <v>0</v>
      </c>
      <c r="AU864" s="68">
        <f t="shared" si="2031"/>
        <v>0</v>
      </c>
      <c r="AV864" s="27">
        <f t="shared" si="2032"/>
        <v>0</v>
      </c>
      <c r="AW864" s="68">
        <f t="shared" si="2032"/>
        <v>0</v>
      </c>
      <c r="AX864" s="68">
        <f t="shared" si="2032"/>
        <v>0</v>
      </c>
      <c r="AY864" s="1112">
        <f t="shared" si="2033"/>
        <v>0</v>
      </c>
      <c r="AZ864" s="68">
        <f t="shared" si="2034"/>
        <v>0</v>
      </c>
      <c r="BA864" s="27">
        <f t="shared" si="2035"/>
        <v>0</v>
      </c>
      <c r="BB864" s="68">
        <f t="shared" si="2035"/>
        <v>0</v>
      </c>
      <c r="BC864" s="68">
        <f t="shared" si="2035"/>
        <v>0</v>
      </c>
      <c r="BD864" s="1112">
        <f t="shared" si="2036"/>
        <v>0</v>
      </c>
      <c r="BE864" s="68">
        <f t="shared" si="2037"/>
        <v>0</v>
      </c>
      <c r="BF864" s="27">
        <f t="shared" si="2038"/>
        <v>0</v>
      </c>
      <c r="BG864" s="68">
        <f t="shared" si="2038"/>
        <v>0</v>
      </c>
      <c r="BH864" s="68">
        <f t="shared" si="2038"/>
        <v>0</v>
      </c>
      <c r="BI864" s="1112">
        <f t="shared" si="2039"/>
        <v>0</v>
      </c>
      <c r="BJ864" s="68">
        <f t="shared" si="2040"/>
        <v>0</v>
      </c>
      <c r="BK864" s="27">
        <f t="shared" si="2041"/>
        <v>0</v>
      </c>
      <c r="BL864" s="68">
        <f t="shared" si="2041"/>
        <v>0</v>
      </c>
      <c r="BM864" s="68">
        <f t="shared" si="2041"/>
        <v>0</v>
      </c>
      <c r="BN864" s="1112">
        <f t="shared" si="2042"/>
        <v>0</v>
      </c>
      <c r="BO864" s="68">
        <f t="shared" si="2043"/>
        <v>0</v>
      </c>
      <c r="BP864" s="27">
        <f t="shared" si="2044"/>
        <v>0</v>
      </c>
      <c r="BQ864" s="68">
        <f t="shared" si="2044"/>
        <v>0</v>
      </c>
      <c r="BR864" s="68">
        <f t="shared" si="2044"/>
        <v>0</v>
      </c>
      <c r="BS864" s="1112">
        <f t="shared" si="2045"/>
        <v>0</v>
      </c>
      <c r="BT864" s="68">
        <f t="shared" si="2046"/>
        <v>0</v>
      </c>
      <c r="BU864" s="27">
        <f t="shared" si="2047"/>
        <v>0</v>
      </c>
      <c r="BV864" s="68">
        <f t="shared" si="2048"/>
        <v>0</v>
      </c>
      <c r="BW864" s="68">
        <f t="shared" si="2049"/>
        <v>0</v>
      </c>
      <c r="BX864" s="1112">
        <f t="shared" si="2050"/>
        <v>0</v>
      </c>
      <c r="BY864" s="588">
        <f t="shared" si="2051"/>
        <v>0</v>
      </c>
      <c r="BZ864" s="68"/>
      <c r="CA864" s="68"/>
      <c r="CB864" s="68"/>
      <c r="CC864" s="1112">
        <f t="shared" si="2052"/>
        <v>0</v>
      </c>
      <c r="CD864" s="68"/>
      <c r="CE864" s="68"/>
      <c r="CF864" s="68"/>
      <c r="CG864" s="68"/>
      <c r="CH864" s="1112">
        <f t="shared" si="2053"/>
        <v>0</v>
      </c>
      <c r="CI864" s="1112"/>
      <c r="CJ864" s="1112"/>
      <c r="CK864" s="1112"/>
      <c r="CL864" s="155"/>
    </row>
    <row r="865" spans="1:90" x14ac:dyDescent="0.3">
      <c r="A865" s="99" t="str">
        <f t="shared" si="2009"/>
        <v>(Gains) losses on investments in non affiliates, net</v>
      </c>
      <c r="B865" s="146"/>
      <c r="C865" s="1112">
        <f t="shared" si="2054"/>
        <v>0</v>
      </c>
      <c r="D865" s="1112">
        <f t="shared" si="2054"/>
        <v>0</v>
      </c>
      <c r="E865" s="1112">
        <f t="shared" si="2054"/>
        <v>0</v>
      </c>
      <c r="F865" s="1112">
        <f t="shared" si="2054"/>
        <v>0</v>
      </c>
      <c r="G865" s="68">
        <f t="shared" si="2054"/>
        <v>0</v>
      </c>
      <c r="H865" s="68">
        <f t="shared" si="2011"/>
        <v>0</v>
      </c>
      <c r="I865" s="68">
        <f t="shared" si="2011"/>
        <v>0</v>
      </c>
      <c r="J865" s="68">
        <f t="shared" si="2011"/>
        <v>0</v>
      </c>
      <c r="K865" s="1112">
        <f t="shared" si="2012"/>
        <v>0</v>
      </c>
      <c r="L865" s="68">
        <f t="shared" si="2012"/>
        <v>0</v>
      </c>
      <c r="M865" s="68">
        <f t="shared" si="2013"/>
        <v>0</v>
      </c>
      <c r="N865" s="68">
        <f t="shared" si="2013"/>
        <v>0</v>
      </c>
      <c r="O865" s="68">
        <f t="shared" si="2013"/>
        <v>0</v>
      </c>
      <c r="P865" s="1112">
        <f t="shared" si="2014"/>
        <v>0</v>
      </c>
      <c r="Q865" s="68">
        <f t="shared" si="2014"/>
        <v>0</v>
      </c>
      <c r="R865" s="68">
        <f t="shared" si="2015"/>
        <v>0</v>
      </c>
      <c r="S865" s="68">
        <f t="shared" si="2015"/>
        <v>0</v>
      </c>
      <c r="T865" s="68">
        <f t="shared" si="2015"/>
        <v>0</v>
      </c>
      <c r="U865" s="1112">
        <f t="shared" si="2016"/>
        <v>0</v>
      </c>
      <c r="V865" s="68">
        <f t="shared" si="2016"/>
        <v>0</v>
      </c>
      <c r="W865" s="68">
        <f t="shared" si="2017"/>
        <v>0</v>
      </c>
      <c r="X865" s="68">
        <f t="shared" si="2017"/>
        <v>0</v>
      </c>
      <c r="Y865" s="68">
        <f t="shared" si="2017"/>
        <v>0</v>
      </c>
      <c r="Z865" s="1112">
        <f>SUM(V865,W865,X865,Y865)</f>
        <v>0</v>
      </c>
      <c r="AA865" s="68">
        <f t="shared" si="2019"/>
        <v>0</v>
      </c>
      <c r="AB865" s="68">
        <f t="shared" si="2020"/>
        <v>0</v>
      </c>
      <c r="AC865" s="68">
        <f t="shared" si="2020"/>
        <v>0</v>
      </c>
      <c r="AD865" s="68">
        <f t="shared" si="2020"/>
        <v>0</v>
      </c>
      <c r="AE865" s="1112">
        <f>SUM(AA865,AB865,AC865,AD865)</f>
        <v>0</v>
      </c>
      <c r="AF865" s="68">
        <f t="shared" si="2022"/>
        <v>0</v>
      </c>
      <c r="AG865" s="68">
        <f t="shared" si="2023"/>
        <v>0</v>
      </c>
      <c r="AH865" s="68">
        <f t="shared" si="2023"/>
        <v>0</v>
      </c>
      <c r="AI865" s="68">
        <f t="shared" si="2023"/>
        <v>0</v>
      </c>
      <c r="AJ865" s="1112">
        <f>SUM(AF865,AG865,AH865,AI865)</f>
        <v>0</v>
      </c>
      <c r="AK865" s="68">
        <f t="shared" si="2025"/>
        <v>0</v>
      </c>
      <c r="AL865" s="68">
        <f t="shared" si="2026"/>
        <v>0</v>
      </c>
      <c r="AM865" s="68">
        <f t="shared" si="2026"/>
        <v>0</v>
      </c>
      <c r="AN865" s="68">
        <f t="shared" si="2026"/>
        <v>0</v>
      </c>
      <c r="AO865" s="1112">
        <f>SUM(AK865,AL865,AM865,AN865)</f>
        <v>0</v>
      </c>
      <c r="AP865" s="68">
        <f t="shared" si="2028"/>
        <v>0</v>
      </c>
      <c r="AQ865" s="27">
        <f t="shared" si="2029"/>
        <v>0</v>
      </c>
      <c r="AR865" s="68">
        <f t="shared" si="2029"/>
        <v>0</v>
      </c>
      <c r="AS865" s="68">
        <f t="shared" si="2029"/>
        <v>0</v>
      </c>
      <c r="AT865" s="1112">
        <f>SUM(AP865,AQ865,AR865,AS865)</f>
        <v>0</v>
      </c>
      <c r="AU865" s="68">
        <f t="shared" si="2031"/>
        <v>0</v>
      </c>
      <c r="AV865" s="27">
        <f t="shared" si="2032"/>
        <v>0</v>
      </c>
      <c r="AW865" s="68">
        <f t="shared" si="2032"/>
        <v>0</v>
      </c>
      <c r="AX865" s="68">
        <f t="shared" si="2032"/>
        <v>0</v>
      </c>
      <c r="AY865" s="1112">
        <f>SUM(AU865,AV865,AW865,AX865)</f>
        <v>0</v>
      </c>
      <c r="AZ865" s="68">
        <f t="shared" si="2034"/>
        <v>-133</v>
      </c>
      <c r="BA865" s="27">
        <f t="shared" si="2035"/>
        <v>0</v>
      </c>
      <c r="BB865" s="68">
        <f t="shared" si="2035"/>
        <v>-19</v>
      </c>
      <c r="BC865" s="68">
        <f t="shared" si="2035"/>
        <v>52</v>
      </c>
      <c r="BD865" s="1112">
        <f t="shared" si="2036"/>
        <v>-100</v>
      </c>
      <c r="BE865" s="68">
        <f t="shared" si="2037"/>
        <v>17</v>
      </c>
      <c r="BF865" s="27">
        <f t="shared" si="2038"/>
        <v>7</v>
      </c>
      <c r="BG865" s="68">
        <f t="shared" si="2038"/>
        <v>11</v>
      </c>
      <c r="BH865" s="68">
        <f t="shared" si="2038"/>
        <v>10</v>
      </c>
      <c r="BI865" s="1112">
        <f t="shared" si="2039"/>
        <v>45</v>
      </c>
      <c r="BJ865" s="68">
        <f t="shared" si="2040"/>
        <v>14</v>
      </c>
      <c r="BK865" s="27">
        <f t="shared" si="2041"/>
        <v>-59</v>
      </c>
      <c r="BL865" s="68">
        <f t="shared" si="2041"/>
        <v>69</v>
      </c>
      <c r="BM865" s="68">
        <f t="shared" si="2041"/>
        <v>-262</v>
      </c>
      <c r="BN865" s="1112">
        <f t="shared" si="2042"/>
        <v>-238</v>
      </c>
      <c r="BO865" s="68">
        <f t="shared" si="2043"/>
        <v>-69</v>
      </c>
      <c r="BP865" s="27">
        <f t="shared" si="2044"/>
        <v>-195</v>
      </c>
      <c r="BQ865" s="68">
        <f t="shared" si="2044"/>
        <v>-38</v>
      </c>
      <c r="BR865" s="68">
        <f t="shared" si="2044"/>
        <v>-728</v>
      </c>
      <c r="BS865" s="1112">
        <f t="shared" si="2045"/>
        <v>-1030</v>
      </c>
      <c r="BT865" s="68">
        <f t="shared" si="2046"/>
        <v>175</v>
      </c>
      <c r="BU865" s="27">
        <f t="shared" si="2047"/>
        <v>-2248</v>
      </c>
      <c r="BV865" s="68">
        <f t="shared" si="2048"/>
        <v>-1353</v>
      </c>
      <c r="BW865" s="68">
        <f t="shared" si="2049"/>
        <v>-5492</v>
      </c>
      <c r="BX865" s="1112">
        <f t="shared" si="2050"/>
        <v>-8918</v>
      </c>
      <c r="BY865" s="588">
        <f t="shared" si="2051"/>
        <v>-15936</v>
      </c>
      <c r="BZ865" s="68"/>
      <c r="CA865" s="68"/>
      <c r="CB865" s="68"/>
      <c r="CC865" s="1112">
        <f t="shared" si="2052"/>
        <v>-15936</v>
      </c>
      <c r="CD865" s="68"/>
      <c r="CE865" s="68"/>
      <c r="CF865" s="68"/>
      <c r="CG865" s="68"/>
      <c r="CH865" s="1112">
        <f t="shared" si="2053"/>
        <v>0</v>
      </c>
      <c r="CI865" s="1112"/>
      <c r="CJ865" s="1112"/>
      <c r="CK865" s="1112"/>
      <c r="CL865" s="155"/>
    </row>
    <row r="866" spans="1:90" x14ac:dyDescent="0.3">
      <c r="A866" s="99" t="str">
        <f t="shared" si="2009"/>
        <v>Other</v>
      </c>
      <c r="B866" s="146"/>
      <c r="C866" s="1112">
        <f t="shared" si="2054"/>
        <v>0.188</v>
      </c>
      <c r="D866" s="1112">
        <f t="shared" si="2054"/>
        <v>1.893</v>
      </c>
      <c r="E866" s="1112">
        <f t="shared" si="2054"/>
        <v>1.5720000000000001</v>
      </c>
      <c r="F866" s="1112">
        <f t="shared" si="2054"/>
        <v>19.094999999999999</v>
      </c>
      <c r="G866" s="68">
        <f t="shared" si="2054"/>
        <v>5.4509999999999996</v>
      </c>
      <c r="H866" s="68">
        <f t="shared" si="2011"/>
        <v>27.045000000000002</v>
      </c>
      <c r="I866" s="68">
        <f t="shared" si="2011"/>
        <v>7.4819999999999993</v>
      </c>
      <c r="J866" s="68">
        <f t="shared" si="2011"/>
        <v>7.9329999999999998</v>
      </c>
      <c r="K866" s="1112">
        <f t="shared" si="2012"/>
        <v>47.911000000000001</v>
      </c>
      <c r="L866" s="68">
        <f t="shared" si="2012"/>
        <v>4.9880000000000004</v>
      </c>
      <c r="M866" s="68">
        <f t="shared" si="2013"/>
        <v>3.8790000000000004</v>
      </c>
      <c r="N866" s="68">
        <f t="shared" si="2013"/>
        <v>2.702</v>
      </c>
      <c r="O866" s="68">
        <f t="shared" si="2013"/>
        <v>9.8179999999999996</v>
      </c>
      <c r="P866" s="1112">
        <f t="shared" si="2014"/>
        <v>21.387</v>
      </c>
      <c r="Q866" s="68">
        <f t="shared" si="2014"/>
        <v>7</v>
      </c>
      <c r="R866" s="68">
        <f t="shared" si="2015"/>
        <v>7</v>
      </c>
      <c r="S866" s="68">
        <f t="shared" si="2015"/>
        <v>5</v>
      </c>
      <c r="T866" s="68">
        <f t="shared" si="2015"/>
        <v>5</v>
      </c>
      <c r="U866" s="1112">
        <f t="shared" si="2016"/>
        <v>24</v>
      </c>
      <c r="V866" s="68">
        <f t="shared" si="2016"/>
        <v>7</v>
      </c>
      <c r="W866" s="68">
        <f t="shared" si="2017"/>
        <v>4</v>
      </c>
      <c r="X866" s="68">
        <f t="shared" si="2017"/>
        <v>5</v>
      </c>
      <c r="Y866" s="68">
        <f t="shared" si="2017"/>
        <v>3</v>
      </c>
      <c r="Z866" s="1112">
        <f t="shared" si="2018"/>
        <v>19</v>
      </c>
      <c r="AA866" s="68">
        <f t="shared" si="2019"/>
        <v>-4</v>
      </c>
      <c r="AB866" s="68">
        <f t="shared" si="2020"/>
        <v>11</v>
      </c>
      <c r="AC866" s="68">
        <f t="shared" si="2020"/>
        <v>1</v>
      </c>
      <c r="AD866" s="68">
        <f t="shared" si="2020"/>
        <v>3</v>
      </c>
      <c r="AE866" s="1112">
        <f t="shared" si="2021"/>
        <v>11</v>
      </c>
      <c r="AF866" s="68">
        <f t="shared" si="2022"/>
        <v>5</v>
      </c>
      <c r="AG866" s="68">
        <f t="shared" si="2023"/>
        <v>3</v>
      </c>
      <c r="AH866" s="68">
        <f t="shared" si="2023"/>
        <v>3</v>
      </c>
      <c r="AI866" s="68">
        <f t="shared" si="2023"/>
        <v>7</v>
      </c>
      <c r="AJ866" s="1112">
        <f t="shared" si="2024"/>
        <v>18</v>
      </c>
      <c r="AK866" s="68">
        <f t="shared" si="2025"/>
        <v>-8</v>
      </c>
      <c r="AL866" s="68">
        <f t="shared" si="2026"/>
        <v>-14</v>
      </c>
      <c r="AM866" s="68">
        <f t="shared" si="2026"/>
        <v>-13</v>
      </c>
      <c r="AN866" s="68">
        <f t="shared" si="2026"/>
        <v>-10</v>
      </c>
      <c r="AO866" s="1112">
        <f t="shared" si="2027"/>
        <v>-45</v>
      </c>
      <c r="AP866" s="27">
        <f t="shared" si="2028"/>
        <v>-2</v>
      </c>
      <c r="AQ866" s="27">
        <f t="shared" si="2029"/>
        <v>3</v>
      </c>
      <c r="AR866" s="68">
        <f t="shared" si="2029"/>
        <v>4</v>
      </c>
      <c r="AS866" s="68">
        <f t="shared" si="2029"/>
        <v>0</v>
      </c>
      <c r="AT866" s="1112">
        <f t="shared" si="2030"/>
        <v>5</v>
      </c>
      <c r="AU866" s="27">
        <f t="shared" si="2031"/>
        <v>4</v>
      </c>
      <c r="AV866" s="27">
        <f t="shared" si="2032"/>
        <v>-9</v>
      </c>
      <c r="AW866" s="68">
        <f t="shared" si="2032"/>
        <v>3</v>
      </c>
      <c r="AX866" s="68">
        <f t="shared" si="2032"/>
        <v>-18</v>
      </c>
      <c r="AY866" s="1112">
        <f t="shared" si="2033"/>
        <v>-20</v>
      </c>
      <c r="AZ866" s="27">
        <f t="shared" si="2034"/>
        <v>-3</v>
      </c>
      <c r="BA866" s="27">
        <f t="shared" si="2035"/>
        <v>19</v>
      </c>
      <c r="BB866" s="68">
        <f t="shared" si="2035"/>
        <v>9</v>
      </c>
      <c r="BC866" s="68">
        <f t="shared" si="2035"/>
        <v>22</v>
      </c>
      <c r="BD866" s="1112">
        <f t="shared" si="2036"/>
        <v>47</v>
      </c>
      <c r="BE866" s="27">
        <f t="shared" si="2037"/>
        <v>23</v>
      </c>
      <c r="BF866" s="27">
        <f t="shared" si="2038"/>
        <v>-5</v>
      </c>
      <c r="BG866" s="68">
        <f t="shared" si="2038"/>
        <v>-45</v>
      </c>
      <c r="BH866" s="68">
        <f t="shared" si="2038"/>
        <v>20</v>
      </c>
      <c r="BI866" s="1112">
        <f t="shared" si="2039"/>
        <v>-7</v>
      </c>
      <c r="BJ866" s="27">
        <f t="shared" si="2040"/>
        <v>-34</v>
      </c>
      <c r="BK866" s="27">
        <f t="shared" si="2041"/>
        <v>-68</v>
      </c>
      <c r="BL866" s="68">
        <f t="shared" si="2041"/>
        <v>-68</v>
      </c>
      <c r="BM866" s="68">
        <f t="shared" si="2041"/>
        <v>-108</v>
      </c>
      <c r="BN866" s="1112">
        <f t="shared" si="2042"/>
        <v>-278</v>
      </c>
      <c r="BO866" s="27">
        <f t="shared" si="2043"/>
        <v>-145</v>
      </c>
      <c r="BP866" s="27">
        <f t="shared" si="2044"/>
        <v>-143</v>
      </c>
      <c r="BQ866" s="68">
        <f t="shared" si="2044"/>
        <v>-77</v>
      </c>
      <c r="BR866" s="68">
        <f t="shared" si="2044"/>
        <v>-137</v>
      </c>
      <c r="BS866" s="1112">
        <f t="shared" si="2045"/>
        <v>-502</v>
      </c>
      <c r="BT866" s="27">
        <f t="shared" si="2046"/>
        <v>-98</v>
      </c>
      <c r="BU866" s="27">
        <f t="shared" si="2047"/>
        <v>-98</v>
      </c>
      <c r="BV866" s="68">
        <f t="shared" si="2048"/>
        <v>-80</v>
      </c>
      <c r="BW866" s="68">
        <f t="shared" si="2049"/>
        <v>-11</v>
      </c>
      <c r="BX866" s="1112">
        <f t="shared" si="2050"/>
        <v>-287</v>
      </c>
      <c r="BY866" s="508">
        <f t="shared" si="2051"/>
        <v>-94</v>
      </c>
      <c r="BZ866" s="68"/>
      <c r="CA866" s="68"/>
      <c r="CB866" s="68"/>
      <c r="CC866" s="1112">
        <f t="shared" si="2052"/>
        <v>-94</v>
      </c>
      <c r="CD866" s="68"/>
      <c r="CE866" s="68"/>
      <c r="CF866" s="68"/>
      <c r="CG866" s="68"/>
      <c r="CH866" s="1112">
        <f t="shared" si="2053"/>
        <v>0</v>
      </c>
      <c r="CI866" s="1112"/>
      <c r="CJ866" s="1112"/>
      <c r="CK866" s="1112"/>
      <c r="CL866" s="155"/>
    </row>
    <row r="867" spans="1:90" x14ac:dyDescent="0.3">
      <c r="A867" s="99" t="str">
        <f t="shared" si="2009"/>
        <v>Impairment charge on investments</v>
      </c>
      <c r="B867" s="146"/>
      <c r="C867" s="1112">
        <f t="shared" si="2054"/>
        <v>9.891</v>
      </c>
      <c r="D867" s="1112">
        <f t="shared" si="2054"/>
        <v>0</v>
      </c>
      <c r="E867" s="1112">
        <f t="shared" si="2054"/>
        <v>0</v>
      </c>
      <c r="F867" s="1112">
        <f t="shared" si="2054"/>
        <v>0</v>
      </c>
      <c r="G867" s="68">
        <f t="shared" si="2054"/>
        <v>0</v>
      </c>
      <c r="H867" s="68">
        <f t="shared" si="2011"/>
        <v>0</v>
      </c>
      <c r="I867" s="68">
        <f t="shared" si="2011"/>
        <v>0</v>
      </c>
      <c r="J867" s="68">
        <f t="shared" si="2011"/>
        <v>0</v>
      </c>
      <c r="K867" s="1112">
        <f t="shared" si="2012"/>
        <v>0</v>
      </c>
      <c r="L867" s="68">
        <f t="shared" si="2012"/>
        <v>0</v>
      </c>
      <c r="M867" s="68">
        <f t="shared" si="2013"/>
        <v>0</v>
      </c>
      <c r="N867" s="68">
        <f t="shared" si="2013"/>
        <v>0</v>
      </c>
      <c r="O867" s="68">
        <f t="shared" si="2013"/>
        <v>0</v>
      </c>
      <c r="P867" s="1112">
        <f t="shared" si="2014"/>
        <v>0</v>
      </c>
      <c r="Q867" s="68">
        <f t="shared" si="2014"/>
        <v>0</v>
      </c>
      <c r="R867" s="68">
        <f t="shared" si="2015"/>
        <v>0</v>
      </c>
      <c r="S867" s="68">
        <f t="shared" si="2015"/>
        <v>0</v>
      </c>
      <c r="T867" s="68">
        <f t="shared" si="2015"/>
        <v>0</v>
      </c>
      <c r="U867" s="1112">
        <f t="shared" si="2016"/>
        <v>0</v>
      </c>
      <c r="V867" s="68">
        <f t="shared" si="2016"/>
        <v>0</v>
      </c>
      <c r="W867" s="68">
        <f t="shared" si="2017"/>
        <v>0</v>
      </c>
      <c r="X867" s="68">
        <f t="shared" si="2017"/>
        <v>0</v>
      </c>
      <c r="Y867" s="68">
        <f t="shared" si="2017"/>
        <v>0</v>
      </c>
      <c r="Z867" s="1112">
        <f t="shared" si="2018"/>
        <v>0</v>
      </c>
      <c r="AA867" s="68">
        <f t="shared" si="2019"/>
        <v>0</v>
      </c>
      <c r="AB867" s="68">
        <f t="shared" si="2020"/>
        <v>0</v>
      </c>
      <c r="AC867" s="68">
        <f t="shared" si="2020"/>
        <v>0</v>
      </c>
      <c r="AD867" s="68">
        <f t="shared" si="2020"/>
        <v>0</v>
      </c>
      <c r="AE867" s="1112">
        <f t="shared" si="2021"/>
        <v>0</v>
      </c>
      <c r="AF867" s="68">
        <f t="shared" si="2022"/>
        <v>0</v>
      </c>
      <c r="AG867" s="68">
        <f t="shared" si="2023"/>
        <v>0</v>
      </c>
      <c r="AH867" s="68">
        <f t="shared" si="2023"/>
        <v>0</v>
      </c>
      <c r="AI867" s="68">
        <f t="shared" si="2023"/>
        <v>0</v>
      </c>
      <c r="AJ867" s="1112">
        <f t="shared" si="2024"/>
        <v>0</v>
      </c>
      <c r="AK867" s="68">
        <f t="shared" si="2025"/>
        <v>0</v>
      </c>
      <c r="AL867" s="68">
        <f t="shared" si="2026"/>
        <v>0</v>
      </c>
      <c r="AM867" s="68">
        <f t="shared" si="2026"/>
        <v>0</v>
      </c>
      <c r="AN867" s="68">
        <f t="shared" si="2026"/>
        <v>0</v>
      </c>
      <c r="AO867" s="1112">
        <f t="shared" si="2027"/>
        <v>0</v>
      </c>
      <c r="AP867" s="68">
        <f t="shared" si="2028"/>
        <v>0</v>
      </c>
      <c r="AQ867" s="27">
        <f t="shared" si="2029"/>
        <v>0</v>
      </c>
      <c r="AR867" s="68">
        <f t="shared" si="2029"/>
        <v>0</v>
      </c>
      <c r="AS867" s="68">
        <f t="shared" si="2029"/>
        <v>0</v>
      </c>
      <c r="AT867" s="1112">
        <f t="shared" si="2030"/>
        <v>0</v>
      </c>
      <c r="AU867" s="68">
        <f t="shared" si="2031"/>
        <v>0</v>
      </c>
      <c r="AV867" s="27">
        <f t="shared" si="2032"/>
        <v>0</v>
      </c>
      <c r="AW867" s="68">
        <f t="shared" si="2032"/>
        <v>0</v>
      </c>
      <c r="AX867" s="68">
        <f t="shared" si="2032"/>
        <v>0</v>
      </c>
      <c r="AY867" s="1112">
        <f t="shared" si="2033"/>
        <v>0</v>
      </c>
      <c r="AZ867" s="68">
        <f t="shared" si="2034"/>
        <v>0</v>
      </c>
      <c r="BA867" s="27">
        <f t="shared" si="2035"/>
        <v>0</v>
      </c>
      <c r="BB867" s="68">
        <f t="shared" si="2035"/>
        <v>0</v>
      </c>
      <c r="BC867" s="68">
        <f t="shared" si="2035"/>
        <v>0</v>
      </c>
      <c r="BD867" s="1112">
        <f t="shared" si="2036"/>
        <v>0</v>
      </c>
      <c r="BE867" s="68">
        <f t="shared" si="2037"/>
        <v>0</v>
      </c>
      <c r="BF867" s="27">
        <f t="shared" si="2038"/>
        <v>0</v>
      </c>
      <c r="BG867" s="68">
        <f t="shared" si="2038"/>
        <v>0</v>
      </c>
      <c r="BH867" s="68">
        <f t="shared" si="2038"/>
        <v>0</v>
      </c>
      <c r="BI867" s="1112">
        <f t="shared" si="2039"/>
        <v>0</v>
      </c>
      <c r="BJ867" s="68">
        <f t="shared" si="2040"/>
        <v>0</v>
      </c>
      <c r="BK867" s="27">
        <f t="shared" si="2041"/>
        <v>0</v>
      </c>
      <c r="BL867" s="68">
        <f t="shared" si="2041"/>
        <v>0</v>
      </c>
      <c r="BM867" s="68">
        <f t="shared" si="2041"/>
        <v>0</v>
      </c>
      <c r="BN867" s="1112">
        <f t="shared" si="2042"/>
        <v>0</v>
      </c>
      <c r="BO867" s="68">
        <f t="shared" si="2043"/>
        <v>0</v>
      </c>
      <c r="BP867" s="27">
        <f t="shared" si="2044"/>
        <v>0</v>
      </c>
      <c r="BQ867" s="68">
        <f t="shared" si="2044"/>
        <v>0</v>
      </c>
      <c r="BR867" s="68">
        <f t="shared" si="2044"/>
        <v>0</v>
      </c>
      <c r="BS867" s="1112">
        <f t="shared" si="2045"/>
        <v>0</v>
      </c>
      <c r="BT867" s="68">
        <f t="shared" si="2046"/>
        <v>0</v>
      </c>
      <c r="BU867" s="27">
        <f t="shared" si="2047"/>
        <v>0</v>
      </c>
      <c r="BV867" s="68">
        <f t="shared" si="2048"/>
        <v>0</v>
      </c>
      <c r="BW867" s="68">
        <f t="shared" si="2049"/>
        <v>0</v>
      </c>
      <c r="BX867" s="1112">
        <f t="shared" si="2050"/>
        <v>0</v>
      </c>
      <c r="BY867" s="588">
        <f t="shared" si="2051"/>
        <v>0</v>
      </c>
      <c r="BZ867" s="68"/>
      <c r="CA867" s="68"/>
      <c r="CB867" s="68"/>
      <c r="CC867" s="1112">
        <f t="shared" si="2052"/>
        <v>0</v>
      </c>
      <c r="CD867" s="68"/>
      <c r="CE867" s="68"/>
      <c r="CF867" s="68"/>
      <c r="CG867" s="68"/>
      <c r="CH867" s="1112">
        <f t="shared" si="2053"/>
        <v>0</v>
      </c>
      <c r="CI867" s="1112"/>
      <c r="CJ867" s="1112"/>
      <c r="CK867" s="1112"/>
      <c r="CL867" s="155"/>
    </row>
    <row r="868" spans="1:90" x14ac:dyDescent="0.3">
      <c r="A868" s="59" t="str">
        <f t="shared" si="2009"/>
        <v>CFO before WC</v>
      </c>
      <c r="B868" s="607"/>
      <c r="C868" s="1125">
        <f t="shared" ref="C868:AH868" si="2055">SUM(C851:C867)</f>
        <v>282.69299999999998</v>
      </c>
      <c r="D868" s="1125">
        <f t="shared" si="2055"/>
        <v>351.392</v>
      </c>
      <c r="E868" s="1125">
        <f t="shared" si="2055"/>
        <v>524.09799999999996</v>
      </c>
      <c r="F868" s="1125">
        <f t="shared" si="2055"/>
        <v>907.00700000000018</v>
      </c>
      <c r="G868" s="60">
        <f t="shared" si="2055"/>
        <v>150.90299999999999</v>
      </c>
      <c r="H868" s="60">
        <f t="shared" si="2055"/>
        <v>235.22300000000001</v>
      </c>
      <c r="I868" s="60">
        <f t="shared" si="2055"/>
        <v>328.17999999999995</v>
      </c>
      <c r="J868" s="60">
        <f t="shared" si="2055"/>
        <v>222.18799999999996</v>
      </c>
      <c r="K868" s="1125">
        <f t="shared" si="2055"/>
        <v>936.49399999999991</v>
      </c>
      <c r="L868" s="60">
        <f t="shared" si="2055"/>
        <v>162.83699999999999</v>
      </c>
      <c r="M868" s="60">
        <f t="shared" si="2055"/>
        <v>189.774</v>
      </c>
      <c r="N868" s="60">
        <f t="shared" si="2055"/>
        <v>220.34499999999994</v>
      </c>
      <c r="O868" s="60">
        <f t="shared" si="2055"/>
        <v>249.953</v>
      </c>
      <c r="P868" s="1125">
        <f t="shared" si="2055"/>
        <v>822.90899999999988</v>
      </c>
      <c r="Q868" s="60">
        <f t="shared" si="2055"/>
        <v>243</v>
      </c>
      <c r="R868" s="60">
        <f t="shared" si="2055"/>
        <v>252</v>
      </c>
      <c r="S868" s="60">
        <f t="shared" si="2055"/>
        <v>295</v>
      </c>
      <c r="T868" s="60">
        <f t="shared" si="2055"/>
        <v>319</v>
      </c>
      <c r="U868" s="1125">
        <f t="shared" si="2055"/>
        <v>1109</v>
      </c>
      <c r="V868" s="60">
        <f t="shared" si="2055"/>
        <v>266</v>
      </c>
      <c r="W868" s="60">
        <f t="shared" si="2055"/>
        <v>203</v>
      </c>
      <c r="X868" s="60">
        <f t="shared" si="2055"/>
        <v>403</v>
      </c>
      <c r="Y868" s="60">
        <f t="shared" si="2055"/>
        <v>354</v>
      </c>
      <c r="Z868" s="1125">
        <f t="shared" si="2055"/>
        <v>1226</v>
      </c>
      <c r="AA868" s="60">
        <f t="shared" si="2055"/>
        <v>337</v>
      </c>
      <c r="AB868" s="60">
        <f t="shared" si="2055"/>
        <v>430</v>
      </c>
      <c r="AC868" s="60">
        <f t="shared" si="2055"/>
        <v>748</v>
      </c>
      <c r="AD868" s="60">
        <f t="shared" si="2055"/>
        <v>836</v>
      </c>
      <c r="AE868" s="1125">
        <f t="shared" si="2055"/>
        <v>2351</v>
      </c>
      <c r="AF868" s="60">
        <f t="shared" si="2055"/>
        <v>673</v>
      </c>
      <c r="AG868" s="60">
        <f t="shared" si="2055"/>
        <v>815</v>
      </c>
      <c r="AH868" s="60">
        <f t="shared" si="2055"/>
        <v>1042</v>
      </c>
      <c r="AI868" s="60">
        <f t="shared" ref="AI868:AV868" si="2056">SUM(AI851:AI867)</f>
        <v>787</v>
      </c>
      <c r="AJ868" s="1125">
        <f t="shared" si="2056"/>
        <v>3317</v>
      </c>
      <c r="AK868" s="60">
        <f t="shared" si="2056"/>
        <v>1473</v>
      </c>
      <c r="AL868" s="60">
        <f t="shared" si="2056"/>
        <v>1341</v>
      </c>
      <c r="AM868" s="60">
        <f t="shared" si="2056"/>
        <v>1340</v>
      </c>
      <c r="AN868" s="61">
        <f t="shared" si="2056"/>
        <v>446</v>
      </c>
      <c r="AO868" s="1124">
        <f t="shared" si="2056"/>
        <v>4600</v>
      </c>
      <c r="AP868" s="60">
        <f t="shared" si="2056"/>
        <v>619</v>
      </c>
      <c r="AQ868" s="60">
        <f t="shared" si="2056"/>
        <v>886</v>
      </c>
      <c r="AR868" s="60">
        <f t="shared" si="2056"/>
        <v>1239</v>
      </c>
      <c r="AS868" s="61">
        <f t="shared" si="2056"/>
        <v>1300</v>
      </c>
      <c r="AT868" s="1124">
        <f t="shared" si="2056"/>
        <v>4044</v>
      </c>
      <c r="AU868" s="60">
        <f t="shared" si="2056"/>
        <v>1268</v>
      </c>
      <c r="AV868" s="60">
        <f t="shared" si="2056"/>
        <v>1311</v>
      </c>
      <c r="AW868" s="60">
        <f t="shared" ref="AW868:BB868" si="2057">SUM(AW851:AW867)</f>
        <v>1968</v>
      </c>
      <c r="AX868" s="61">
        <f t="shared" si="2057"/>
        <v>1978</v>
      </c>
      <c r="AY868" s="1124">
        <f t="shared" si="2057"/>
        <v>6525</v>
      </c>
      <c r="AZ868" s="60">
        <f t="shared" si="2057"/>
        <v>2510</v>
      </c>
      <c r="BA868" s="60">
        <f t="shared" si="2057"/>
        <v>2958</v>
      </c>
      <c r="BB868" s="60">
        <f t="shared" si="2057"/>
        <v>3290</v>
      </c>
      <c r="BC868" s="61">
        <f t="shared" ref="BC868:BD868" si="2058">SUM(BC851:BC867)</f>
        <v>3713</v>
      </c>
      <c r="BD868" s="1124">
        <f t="shared" si="2058"/>
        <v>12471</v>
      </c>
      <c r="BE868" s="60">
        <f t="shared" ref="BE868:BI868" si="2059">SUM(BE851:BE867)</f>
        <v>3381</v>
      </c>
      <c r="BF868" s="60">
        <f t="shared" si="2059"/>
        <v>1241</v>
      </c>
      <c r="BG868" s="60">
        <f t="shared" si="2059"/>
        <v>1265</v>
      </c>
      <c r="BH868" s="61">
        <f t="shared" si="2059"/>
        <v>1961</v>
      </c>
      <c r="BI868" s="1124">
        <f t="shared" si="2059"/>
        <v>7848</v>
      </c>
      <c r="BJ868" s="60">
        <f t="shared" ref="BJ868:BN868" si="2060">SUM(BJ851:BJ867)</f>
        <v>2007</v>
      </c>
      <c r="BK868" s="60">
        <f t="shared" si="2060"/>
        <v>6522</v>
      </c>
      <c r="BL868" s="60">
        <f t="shared" si="2060"/>
        <v>10065</v>
      </c>
      <c r="BM868" s="61">
        <f t="shared" si="2060"/>
        <v>13218</v>
      </c>
      <c r="BN868" s="1124">
        <f t="shared" si="2060"/>
        <v>31812</v>
      </c>
      <c r="BO868" s="60">
        <f t="shared" ref="BO868:BS868" si="2061">SUM(BO851:BO867)</f>
        <v>14511</v>
      </c>
      <c r="BP868" s="60">
        <f t="shared" si="2061"/>
        <v>16148</v>
      </c>
      <c r="BQ868" s="60">
        <f t="shared" si="2061"/>
        <v>20321</v>
      </c>
      <c r="BR868" s="61">
        <f t="shared" si="2061"/>
        <v>22492</v>
      </c>
      <c r="BS868" s="1124">
        <f t="shared" si="2061"/>
        <v>73472</v>
      </c>
      <c r="BT868" s="60">
        <f t="shared" ref="BT868:CK868" si="2062">SUM(BT851:BT867)</f>
        <v>18760</v>
      </c>
      <c r="BU868" s="60">
        <f t="shared" si="2062"/>
        <v>26387</v>
      </c>
      <c r="BV868" s="60">
        <f t="shared" si="2062"/>
        <v>33007</v>
      </c>
      <c r="BW868" s="61">
        <f t="shared" si="2062"/>
        <v>40513</v>
      </c>
      <c r="BX868" s="1124">
        <f t="shared" si="2062"/>
        <v>118667</v>
      </c>
      <c r="BY868" s="895">
        <f>SUM(BY851:BY867)</f>
        <v>46800</v>
      </c>
      <c r="BZ868" s="61">
        <f t="shared" si="2062"/>
        <v>50326.424360240089</v>
      </c>
      <c r="CA868" s="61">
        <f t="shared" si="2062"/>
        <v>53227.920694567227</v>
      </c>
      <c r="CB868" s="61">
        <f t="shared" si="2062"/>
        <v>54595.701048874798</v>
      </c>
      <c r="CC868" s="1124">
        <f t="shared" si="2062"/>
        <v>204950.04610368211</v>
      </c>
      <c r="CD868" s="61">
        <f t="shared" si="2062"/>
        <v>60997.295016709992</v>
      </c>
      <c r="CE868" s="61">
        <f t="shared" si="2062"/>
        <v>68169.80860303386</v>
      </c>
      <c r="CF868" s="61">
        <f t="shared" si="2062"/>
        <v>68013.362283477647</v>
      </c>
      <c r="CG868" s="61">
        <f t="shared" si="2062"/>
        <v>69872.347512636916</v>
      </c>
      <c r="CH868" s="1124">
        <f t="shared" si="2062"/>
        <v>267052.81341585843</v>
      </c>
      <c r="CI868" s="1124">
        <f t="shared" si="2062"/>
        <v>324372.01708322542</v>
      </c>
      <c r="CJ868" s="1124">
        <f t="shared" si="2062"/>
        <v>387562.33505830675</v>
      </c>
      <c r="CK868" s="1124">
        <f t="shared" si="2062"/>
        <v>462583.33492849628</v>
      </c>
      <c r="CL868" s="155"/>
    </row>
    <row r="869" spans="1:90" x14ac:dyDescent="0.3">
      <c r="A869" s="99" t="str">
        <f t="shared" si="2009"/>
        <v>Accounts receivable</v>
      </c>
      <c r="B869" s="146"/>
      <c r="C869" s="1112">
        <f t="shared" ref="C869:G876" si="2063">C797</f>
        <v>348.87299999999999</v>
      </c>
      <c r="D869" s="1112">
        <f t="shared" si="2063"/>
        <v>-56.741</v>
      </c>
      <c r="E869" s="1112">
        <f t="shared" si="2063"/>
        <v>26.341000000000001</v>
      </c>
      <c r="F869" s="1112">
        <f t="shared" si="2063"/>
        <v>26.236000000000001</v>
      </c>
      <c r="G869" s="68">
        <f t="shared" si="2063"/>
        <v>-75.369</v>
      </c>
      <c r="H869" s="68">
        <f t="shared" ref="H869:J876" si="2064">H797-G797</f>
        <v>-33.849000000000004</v>
      </c>
      <c r="I869" s="68">
        <f t="shared" si="2064"/>
        <v>0.21000000000000796</v>
      </c>
      <c r="J869" s="68">
        <f t="shared" si="2064"/>
        <v>-9.9320000000000022</v>
      </c>
      <c r="K869" s="1112">
        <f t="shared" ref="K869:L876" si="2065">K797</f>
        <v>-118.94</v>
      </c>
      <c r="L869" s="68">
        <f t="shared" si="2065"/>
        <v>108.476</v>
      </c>
      <c r="M869" s="68">
        <f t="shared" ref="M869:O876" si="2066">M797-L797</f>
        <v>-71.204999999999998</v>
      </c>
      <c r="N869" s="68">
        <f t="shared" si="2066"/>
        <v>-29.465</v>
      </c>
      <c r="O869" s="68">
        <f t="shared" si="2066"/>
        <v>21.045999999999999</v>
      </c>
      <c r="P869" s="1112">
        <f t="shared" ref="P869:Q876" si="2067">P797</f>
        <v>28.852</v>
      </c>
      <c r="Q869" s="68">
        <f t="shared" si="2067"/>
        <v>28</v>
      </c>
      <c r="R869" s="68">
        <f t="shared" ref="R869:T876" si="2068">R797-Q797</f>
        <v>-74</v>
      </c>
      <c r="S869" s="68">
        <f t="shared" si="2068"/>
        <v>-92</v>
      </c>
      <c r="T869" s="68">
        <f t="shared" si="2068"/>
        <v>89</v>
      </c>
      <c r="U869" s="1112">
        <f t="shared" ref="U869:V876" si="2069">U797</f>
        <v>-49</v>
      </c>
      <c r="V869" s="68">
        <f t="shared" si="2069"/>
        <v>18</v>
      </c>
      <c r="W869" s="68">
        <f t="shared" ref="W869:Y876" si="2070">W797-V797</f>
        <v>-59</v>
      </c>
      <c r="X869" s="68">
        <f t="shared" si="2070"/>
        <v>-22</v>
      </c>
      <c r="Y869" s="68">
        <f t="shared" si="2070"/>
        <v>31</v>
      </c>
      <c r="Z869" s="1112">
        <f t="shared" ref="Z869:Z876" si="2071">SUM(V869,W869,X869,Y869)</f>
        <v>-32</v>
      </c>
      <c r="AA869" s="68">
        <f t="shared" ref="AA869:AA876" si="2072">AA797</f>
        <v>-17</v>
      </c>
      <c r="AB869" s="68">
        <f t="shared" ref="AB869:AD876" si="2073">AB797-AA797</f>
        <v>-121</v>
      </c>
      <c r="AC869" s="68">
        <f t="shared" si="2073"/>
        <v>-190</v>
      </c>
      <c r="AD869" s="68">
        <f t="shared" si="2073"/>
        <v>7</v>
      </c>
      <c r="AE869" s="1112">
        <f t="shared" ref="AE869:AE876" si="2074">SUM(AA869,AB869,AC869,AD869)</f>
        <v>-321</v>
      </c>
      <c r="AF869" s="68">
        <f t="shared" ref="AF869:AF876" si="2075">AF797</f>
        <v>-150</v>
      </c>
      <c r="AG869" s="68">
        <f t="shared" ref="AG869:AI876" si="2076">AG797-AF797</f>
        <v>-237</v>
      </c>
      <c r="AH869" s="68">
        <f t="shared" si="2076"/>
        <v>45</v>
      </c>
      <c r="AI869" s="68">
        <f t="shared" si="2076"/>
        <v>-98</v>
      </c>
      <c r="AJ869" s="1112">
        <f t="shared" ref="AJ869:AJ876" si="2077">SUM(AF869,AG869,AH869,AI869)</f>
        <v>-440</v>
      </c>
      <c r="AK869" s="68">
        <f t="shared" ref="AK869:AK876" si="2078">AK797</f>
        <v>56</v>
      </c>
      <c r="AL869" s="68">
        <f t="shared" ref="AL869:AN876" si="2079">AL797-AK797</f>
        <v>-442</v>
      </c>
      <c r="AM869" s="68">
        <f t="shared" si="2079"/>
        <v>-557</v>
      </c>
      <c r="AN869" s="68">
        <f t="shared" si="2079"/>
        <v>794</v>
      </c>
      <c r="AO869" s="1112">
        <f t="shared" ref="AO869:AO876" si="2080">SUM(AK869,AL869,AM869,AN869)</f>
        <v>-149</v>
      </c>
      <c r="AP869" s="68">
        <f t="shared" ref="AP869:AP876" si="2081">AP797</f>
        <v>182</v>
      </c>
      <c r="AQ869" s="27">
        <f t="shared" ref="AQ869:AS876" si="2082">AQ797-AP797</f>
        <v>-319</v>
      </c>
      <c r="AR869" s="68">
        <f t="shared" si="2082"/>
        <v>105</v>
      </c>
      <c r="AS869" s="68">
        <f t="shared" si="2082"/>
        <v>-201</v>
      </c>
      <c r="AT869" s="1112">
        <f t="shared" ref="AT869:AT876" si="2083">SUM(AP869,AQ869,AR869,AS869)</f>
        <v>-233</v>
      </c>
      <c r="AU869" s="68">
        <f t="shared" ref="AU869:AU876" si="2084">AU797</f>
        <v>-249</v>
      </c>
      <c r="AV869" s="27">
        <f t="shared" ref="AV869:AX876" si="2085">AV797-AU797</f>
        <v>44</v>
      </c>
      <c r="AW869" s="68">
        <f t="shared" si="2085"/>
        <v>-462</v>
      </c>
      <c r="AX869" s="68">
        <f t="shared" si="2085"/>
        <v>117</v>
      </c>
      <c r="AY869" s="1112">
        <f t="shared" ref="AY869:AY876" si="2086">SUM(AU869,AV869,AW869,AX869)</f>
        <v>-550</v>
      </c>
      <c r="AZ869" s="68">
        <f t="shared" ref="AZ869:AZ876" si="2087">AZ797</f>
        <v>-595</v>
      </c>
      <c r="BA869" s="27">
        <f t="shared" ref="BA869:BC876" si="2088">BA797-AZ797</f>
        <v>-562</v>
      </c>
      <c r="BB869" s="68">
        <f t="shared" si="2088"/>
        <v>-366</v>
      </c>
      <c r="BC869" s="68">
        <f t="shared" si="2088"/>
        <v>-692</v>
      </c>
      <c r="BD869" s="1112">
        <f t="shared" ref="BD869:BD876" si="2089">SUM(AZ869,BA869,BB869,BC869)</f>
        <v>-2215</v>
      </c>
      <c r="BE869" s="68">
        <f t="shared" ref="BE869:BE876" si="2090">BE797</f>
        <v>-788</v>
      </c>
      <c r="BF869" s="27">
        <f t="shared" ref="BF869:BH876" si="2091">BF797-BE797</f>
        <v>120</v>
      </c>
      <c r="BG869" s="68">
        <f t="shared" si="2091"/>
        <v>410</v>
      </c>
      <c r="BH869" s="68">
        <f t="shared" si="2091"/>
        <v>1080</v>
      </c>
      <c r="BI869" s="1112">
        <f t="shared" ref="BI869:BI876" si="2092">SUM(BE869,BF869,BG869,BH869)</f>
        <v>822</v>
      </c>
      <c r="BJ869" s="68">
        <f t="shared" ref="BJ869:BJ876" si="2093">BJ797</f>
        <v>-252</v>
      </c>
      <c r="BK869" s="27">
        <f t="shared" ref="BK869:BM876" si="2094">BK797-BJ797</f>
        <v>-2987</v>
      </c>
      <c r="BL869" s="68">
        <f t="shared" si="2094"/>
        <v>-1243</v>
      </c>
      <c r="BM869" s="68">
        <f t="shared" si="2094"/>
        <v>-1690</v>
      </c>
      <c r="BN869" s="1112">
        <f t="shared" ref="BN869:BN876" si="2095">SUM(BJ869,BK869,BL869,BM869)</f>
        <v>-6172</v>
      </c>
      <c r="BO869" s="68">
        <f t="shared" ref="BO869:BO876" si="2096">BO797</f>
        <v>-2366</v>
      </c>
      <c r="BP869" s="27">
        <f t="shared" ref="BP869:BR876" si="2097">BP797-BO797</f>
        <v>-1767</v>
      </c>
      <c r="BQ869" s="68">
        <f t="shared" si="2097"/>
        <v>-3561</v>
      </c>
      <c r="BR869" s="68">
        <f t="shared" si="2097"/>
        <v>-5369</v>
      </c>
      <c r="BS869" s="1112">
        <f t="shared" ref="BS869:BS876" si="2098">SUM(BO869,BP869,BQ869,BR869)</f>
        <v>-13063</v>
      </c>
      <c r="BT869" s="68">
        <f t="shared" ref="BT869:BT876" si="2099">BT797</f>
        <v>933</v>
      </c>
      <c r="BU869" s="27">
        <f t="shared" ref="BU869:BU876" si="2100">BU797-BT797</f>
        <v>-5676</v>
      </c>
      <c r="BV869" s="68">
        <f t="shared" ref="BV869:BV876" si="2101">BV797-BU797</f>
        <v>-5582</v>
      </c>
      <c r="BW869" s="68">
        <f t="shared" ref="BW869:BW876" si="2102">BW797-BV797</f>
        <v>-5074</v>
      </c>
      <c r="BX869" s="1112">
        <f t="shared" ref="BX869:BX876" si="2103">SUM(BT869,BU869,BV869,BW869)</f>
        <v>-15399</v>
      </c>
      <c r="BY869" s="588">
        <f t="shared" ref="BY869:BY876" si="2104">BY797</f>
        <v>-2243</v>
      </c>
      <c r="BZ869" s="68">
        <f>BY962-BZ962</f>
        <v>-9393.0570150952044</v>
      </c>
      <c r="CA869" s="68">
        <f>BZ962-CA962</f>
        <v>-9172.0772914206973</v>
      </c>
      <c r="CB869" s="68">
        <f>CA962-CB962</f>
        <v>-4512.1881741961552</v>
      </c>
      <c r="CC869" s="1112">
        <f t="shared" ref="CC869:CC876" si="2105">SUM(BY869,BZ869,CA869,CB869)</f>
        <v>-25320.322480712057</v>
      </c>
      <c r="CD869" s="68">
        <f>CC962-CD962</f>
        <v>2440.106244632676</v>
      </c>
      <c r="CE869" s="68">
        <f>CD962-CE962</f>
        <v>-7446.3603137880636</v>
      </c>
      <c r="CF869" s="68">
        <f>CE962-CF962</f>
        <v>-8177.4690992359101</v>
      </c>
      <c r="CG869" s="68">
        <f>CF962-CG962</f>
        <v>-3959.9950565251056</v>
      </c>
      <c r="CH869" s="1112">
        <f t="shared" ref="CH869:CH876" si="2106">SUM(CD869,CE869,CF869,CG869)</f>
        <v>-17143.718224916403</v>
      </c>
      <c r="CI869" s="1112">
        <f>CH962-CI962</f>
        <v>-15601.237138178098</v>
      </c>
      <c r="CJ869" s="1112">
        <f>CI962-CJ962</f>
        <v>-16861.035529291257</v>
      </c>
      <c r="CK869" s="1112">
        <f>CJ962-CK962</f>
        <v>-19844.544476304363</v>
      </c>
      <c r="CL869" s="155"/>
    </row>
    <row r="870" spans="1:90" x14ac:dyDescent="0.3">
      <c r="A870" s="99" t="str">
        <f t="shared" si="2009"/>
        <v>Inventories</v>
      </c>
      <c r="B870" s="146"/>
      <c r="C870" s="1112">
        <f t="shared" si="2063"/>
        <v>-177.29499999999999</v>
      </c>
      <c r="D870" s="1112">
        <f t="shared" si="2063"/>
        <v>204.65600000000001</v>
      </c>
      <c r="E870" s="1112">
        <f t="shared" si="2063"/>
        <v>-14.128</v>
      </c>
      <c r="F870" s="1112">
        <f t="shared" si="2063"/>
        <v>18.884</v>
      </c>
      <c r="G870" s="68">
        <f t="shared" si="2063"/>
        <v>-2.1909999999999998</v>
      </c>
      <c r="H870" s="68">
        <f t="shared" si="2064"/>
        <v>-44.643000000000001</v>
      </c>
      <c r="I870" s="68">
        <f t="shared" si="2064"/>
        <v>-41.543999999999997</v>
      </c>
      <c r="J870" s="68">
        <f t="shared" si="2064"/>
        <v>9.429000000000002</v>
      </c>
      <c r="K870" s="1112">
        <f t="shared" si="2065"/>
        <v>-78.948999999999998</v>
      </c>
      <c r="L870" s="68">
        <f t="shared" si="2065"/>
        <v>41.51</v>
      </c>
      <c r="M870" s="68">
        <f t="shared" si="2066"/>
        <v>-6.7879999999999967</v>
      </c>
      <c r="N870" s="68">
        <f t="shared" si="2066"/>
        <v>-2.544000000000004</v>
      </c>
      <c r="O870" s="68">
        <f t="shared" si="2066"/>
        <v>-7.5269999999999975</v>
      </c>
      <c r="P870" s="1112">
        <f t="shared" si="2067"/>
        <v>24.651</v>
      </c>
      <c r="Q870" s="68">
        <f t="shared" si="2067"/>
        <v>-6</v>
      </c>
      <c r="R870" s="68">
        <f t="shared" si="2068"/>
        <v>7</v>
      </c>
      <c r="S870" s="68">
        <f t="shared" si="2068"/>
        <v>-21</v>
      </c>
      <c r="T870" s="68">
        <f t="shared" si="2068"/>
        <v>-75</v>
      </c>
      <c r="U870" s="1112">
        <f t="shared" si="2069"/>
        <v>-95</v>
      </c>
      <c r="V870" s="68">
        <f t="shared" si="2069"/>
        <v>45</v>
      </c>
      <c r="W870" s="68">
        <f t="shared" si="2070"/>
        <v>-3</v>
      </c>
      <c r="X870" s="68">
        <f t="shared" si="2070"/>
        <v>17</v>
      </c>
      <c r="Y870" s="68">
        <f t="shared" si="2070"/>
        <v>7</v>
      </c>
      <c r="Z870" s="1112">
        <f t="shared" si="2071"/>
        <v>66</v>
      </c>
      <c r="AA870" s="68">
        <f t="shared" si="2072"/>
        <v>23</v>
      </c>
      <c r="AB870" s="68">
        <f t="shared" si="2073"/>
        <v>-127</v>
      </c>
      <c r="AC870" s="68">
        <f t="shared" si="2073"/>
        <v>-157</v>
      </c>
      <c r="AD870" s="68">
        <f t="shared" si="2073"/>
        <v>-114</v>
      </c>
      <c r="AE870" s="1112">
        <f t="shared" si="2074"/>
        <v>-375</v>
      </c>
      <c r="AF870" s="68">
        <f t="shared" si="2075"/>
        <v>-27</v>
      </c>
      <c r="AG870" s="68">
        <f t="shared" si="2076"/>
        <v>-34</v>
      </c>
      <c r="AH870" s="68">
        <f t="shared" si="2076"/>
        <v>0</v>
      </c>
      <c r="AI870" s="68">
        <f t="shared" si="2076"/>
        <v>61</v>
      </c>
      <c r="AJ870" s="1112">
        <f t="shared" si="2077"/>
        <v>0</v>
      </c>
      <c r="AK870" s="68">
        <f t="shared" si="2078"/>
        <v>-2</v>
      </c>
      <c r="AL870" s="68">
        <f t="shared" si="2079"/>
        <v>-293</v>
      </c>
      <c r="AM870" s="68">
        <f t="shared" si="2079"/>
        <v>-325</v>
      </c>
      <c r="AN870" s="68">
        <f t="shared" si="2079"/>
        <v>-156</v>
      </c>
      <c r="AO870" s="1112">
        <f t="shared" si="2080"/>
        <v>-776</v>
      </c>
      <c r="AP870" s="68">
        <f t="shared" si="2081"/>
        <v>153</v>
      </c>
      <c r="AQ870" s="27">
        <f t="shared" si="2082"/>
        <v>225</v>
      </c>
      <c r="AR870" s="68">
        <f t="shared" si="2082"/>
        <v>153</v>
      </c>
      <c r="AS870" s="68">
        <f t="shared" si="2082"/>
        <v>66</v>
      </c>
      <c r="AT870" s="1112">
        <f t="shared" si="2083"/>
        <v>597</v>
      </c>
      <c r="AU870" s="68">
        <f t="shared" si="2084"/>
        <v>-151</v>
      </c>
      <c r="AV870" s="27">
        <f t="shared" si="2085"/>
        <v>54</v>
      </c>
      <c r="AW870" s="68">
        <f t="shared" si="2085"/>
        <v>-93</v>
      </c>
      <c r="AX870" s="68">
        <f t="shared" si="2085"/>
        <v>-334</v>
      </c>
      <c r="AY870" s="1112">
        <f t="shared" si="2086"/>
        <v>-524</v>
      </c>
      <c r="AZ870" s="68">
        <f t="shared" si="2087"/>
        <v>-159</v>
      </c>
      <c r="BA870" s="27">
        <f t="shared" si="2088"/>
        <v>-123</v>
      </c>
      <c r="BB870" s="68">
        <f t="shared" si="2088"/>
        <v>-118</v>
      </c>
      <c r="BC870" s="68">
        <f t="shared" si="2088"/>
        <v>-374</v>
      </c>
      <c r="BD870" s="1112">
        <f t="shared" si="2089"/>
        <v>-774</v>
      </c>
      <c r="BE870" s="68">
        <f t="shared" si="2090"/>
        <v>-560</v>
      </c>
      <c r="BF870" s="27">
        <f t="shared" si="2091"/>
        <v>-725</v>
      </c>
      <c r="BG870" s="68">
        <f t="shared" si="2091"/>
        <v>-563</v>
      </c>
      <c r="BH870" s="68">
        <f t="shared" si="2091"/>
        <v>-706</v>
      </c>
      <c r="BI870" s="1112">
        <f t="shared" si="2092"/>
        <v>-2554</v>
      </c>
      <c r="BJ870" s="68">
        <f t="shared" si="2093"/>
        <v>566</v>
      </c>
      <c r="BK870" s="27">
        <f t="shared" si="2094"/>
        <v>295</v>
      </c>
      <c r="BL870" s="68">
        <f t="shared" si="2094"/>
        <v>-456</v>
      </c>
      <c r="BM870" s="68">
        <f t="shared" si="2094"/>
        <v>-503</v>
      </c>
      <c r="BN870" s="1112">
        <f t="shared" si="2095"/>
        <v>-98</v>
      </c>
      <c r="BO870" s="68">
        <f t="shared" si="2096"/>
        <v>-577</v>
      </c>
      <c r="BP870" s="27">
        <f t="shared" si="2097"/>
        <v>-803</v>
      </c>
      <c r="BQ870" s="68">
        <f t="shared" si="2097"/>
        <v>-977</v>
      </c>
      <c r="BR870" s="68">
        <f t="shared" si="2097"/>
        <v>-2424</v>
      </c>
      <c r="BS870" s="1112">
        <f t="shared" si="2098"/>
        <v>-4781</v>
      </c>
      <c r="BT870" s="68">
        <f t="shared" si="2099"/>
        <v>-1258</v>
      </c>
      <c r="BU870" s="27">
        <f t="shared" si="2100"/>
        <v>-3622</v>
      </c>
      <c r="BV870" s="68">
        <f t="shared" si="2101"/>
        <v>-4823</v>
      </c>
      <c r="BW870" s="68">
        <f t="shared" si="2102"/>
        <v>-1621</v>
      </c>
      <c r="BX870" s="1112">
        <f t="shared" si="2103"/>
        <v>-11324</v>
      </c>
      <c r="BY870" s="588">
        <f t="shared" si="2104"/>
        <v>-4420</v>
      </c>
      <c r="BZ870" s="68">
        <f>BY966-BZ966</f>
        <v>3116.9116046485869</v>
      </c>
      <c r="CA870" s="68">
        <f>BZ966-CA966</f>
        <v>-6858.4454279515594</v>
      </c>
      <c r="CB870" s="68">
        <f>CA966-CB966</f>
        <v>-1002.0071598146242</v>
      </c>
      <c r="CC870" s="1112">
        <f t="shared" si="2105"/>
        <v>-9163.5409831175966</v>
      </c>
      <c r="CD870" s="68">
        <f>CC966-CD966</f>
        <v>-6911.3042991631337</v>
      </c>
      <c r="CE870" s="68">
        <f>CD966-CE966</f>
        <v>6856.2596474824313</v>
      </c>
      <c r="CF870" s="68">
        <f>CE966-CF966</f>
        <v>-7401.0526318568882</v>
      </c>
      <c r="CG870" s="68">
        <f>CF966-CG966</f>
        <v>-761.93714922299841</v>
      </c>
      <c r="CH870" s="1112">
        <f t="shared" si="2106"/>
        <v>-8218.034432760589</v>
      </c>
      <c r="CI870" s="1112">
        <f>CH966-CI966</f>
        <v>-7657.2165699970501</v>
      </c>
      <c r="CJ870" s="1112">
        <f>CI966-CJ966</f>
        <v>-8107.3226000151553</v>
      </c>
      <c r="CK870" s="1112">
        <f>CJ966-CK966</f>
        <v>-9541.8886722736715</v>
      </c>
      <c r="CL870" s="155"/>
    </row>
    <row r="871" spans="1:90" x14ac:dyDescent="0.3">
      <c r="A871" s="99" t="str">
        <f t="shared" si="2009"/>
        <v>Prepaid expenses and other current assets</v>
      </c>
      <c r="B871" s="146"/>
      <c r="C871" s="1112">
        <f t="shared" si="2063"/>
        <v>21.527999999999999</v>
      </c>
      <c r="D871" s="1112">
        <f t="shared" si="2063"/>
        <v>1.58</v>
      </c>
      <c r="E871" s="1112">
        <f t="shared" si="2063"/>
        <v>8.5280000000000005</v>
      </c>
      <c r="F871" s="1112">
        <f t="shared" si="2063"/>
        <v>-14.803000000000001</v>
      </c>
      <c r="G871" s="68">
        <f t="shared" si="2063"/>
        <v>-48.1</v>
      </c>
      <c r="H871" s="68">
        <f t="shared" si="2064"/>
        <v>44.188000000000002</v>
      </c>
      <c r="I871" s="68">
        <f t="shared" si="2064"/>
        <v>-12.874000000000002</v>
      </c>
      <c r="J871" s="68">
        <f t="shared" si="2064"/>
        <v>-3.5039999999999978</v>
      </c>
      <c r="K871" s="1112">
        <f t="shared" si="2065"/>
        <v>-20.29</v>
      </c>
      <c r="L871" s="68">
        <f t="shared" si="2065"/>
        <v>7.367</v>
      </c>
      <c r="M871" s="68">
        <f t="shared" si="2066"/>
        <v>-12.323</v>
      </c>
      <c r="N871" s="68">
        <f t="shared" si="2066"/>
        <v>7.854000000000001</v>
      </c>
      <c r="O871" s="68">
        <f t="shared" si="2066"/>
        <v>8.6539999999999999</v>
      </c>
      <c r="P871" s="1112">
        <f t="shared" si="2067"/>
        <v>11.552</v>
      </c>
      <c r="Q871" s="68">
        <f t="shared" si="2067"/>
        <v>-1</v>
      </c>
      <c r="R871" s="68">
        <f t="shared" si="2068"/>
        <v>4</v>
      </c>
      <c r="S871" s="68">
        <f t="shared" si="2068"/>
        <v>2</v>
      </c>
      <c r="T871" s="68">
        <f t="shared" si="2068"/>
        <v>-1</v>
      </c>
      <c r="U871" s="1112">
        <f t="shared" si="2069"/>
        <v>4</v>
      </c>
      <c r="V871" s="68">
        <f t="shared" si="2069"/>
        <v>-17</v>
      </c>
      <c r="W871" s="68">
        <f t="shared" si="2070"/>
        <v>4</v>
      </c>
      <c r="X871" s="68">
        <f t="shared" si="2070"/>
        <v>-12</v>
      </c>
      <c r="Y871" s="68">
        <f t="shared" si="2070"/>
        <v>9</v>
      </c>
      <c r="Z871" s="1112">
        <f t="shared" si="2071"/>
        <v>-16</v>
      </c>
      <c r="AA871" s="68">
        <f t="shared" si="2072"/>
        <v>-18</v>
      </c>
      <c r="AB871" s="68">
        <f t="shared" si="2073"/>
        <v>1</v>
      </c>
      <c r="AC871" s="68">
        <f t="shared" si="2073"/>
        <v>-11</v>
      </c>
      <c r="AD871" s="68">
        <f t="shared" si="2073"/>
        <v>10</v>
      </c>
      <c r="AE871" s="1112">
        <f t="shared" si="2074"/>
        <v>-18</v>
      </c>
      <c r="AF871" s="68">
        <f t="shared" si="2075"/>
        <v>-2</v>
      </c>
      <c r="AG871" s="68">
        <f t="shared" si="2076"/>
        <v>-13</v>
      </c>
      <c r="AH871" s="68">
        <f t="shared" si="2076"/>
        <v>-11</v>
      </c>
      <c r="AI871" s="68">
        <f t="shared" si="2076"/>
        <v>47</v>
      </c>
      <c r="AJ871" s="1112">
        <f t="shared" si="2077"/>
        <v>21</v>
      </c>
      <c r="AK871" s="68">
        <f t="shared" si="2078"/>
        <v>-38</v>
      </c>
      <c r="AL871" s="68">
        <f t="shared" si="2079"/>
        <v>-6</v>
      </c>
      <c r="AM871" s="68">
        <f t="shared" si="2079"/>
        <v>-24</v>
      </c>
      <c r="AN871" s="68">
        <f t="shared" si="2079"/>
        <v>13</v>
      </c>
      <c r="AO871" s="1112">
        <f t="shared" si="2080"/>
        <v>-55</v>
      </c>
      <c r="AP871" s="68">
        <f t="shared" si="2081"/>
        <v>5</v>
      </c>
      <c r="AQ871" s="27">
        <f t="shared" si="2082"/>
        <v>31</v>
      </c>
      <c r="AR871" s="68">
        <f t="shared" si="2082"/>
        <v>19</v>
      </c>
      <c r="AS871" s="68">
        <f t="shared" si="2082"/>
        <v>22</v>
      </c>
      <c r="AT871" s="1112">
        <f t="shared" si="2083"/>
        <v>77</v>
      </c>
      <c r="AU871" s="68">
        <f t="shared" si="2084"/>
        <v>-8</v>
      </c>
      <c r="AV871" s="27">
        <f t="shared" si="2085"/>
        <v>42</v>
      </c>
      <c r="AW871" s="68">
        <f t="shared" si="2085"/>
        <v>-443</v>
      </c>
      <c r="AX871" s="68">
        <f t="shared" si="2085"/>
        <v>15</v>
      </c>
      <c r="AY871" s="1112">
        <f t="shared" si="2086"/>
        <v>-394</v>
      </c>
      <c r="AZ871" s="68">
        <f t="shared" si="2087"/>
        <v>2</v>
      </c>
      <c r="BA871" s="27">
        <f t="shared" si="2088"/>
        <v>16</v>
      </c>
      <c r="BB871" s="68">
        <f t="shared" si="2088"/>
        <v>-1575</v>
      </c>
      <c r="BC871" s="68">
        <f t="shared" si="2088"/>
        <v>-158</v>
      </c>
      <c r="BD871" s="1112">
        <f t="shared" si="2089"/>
        <v>-1715</v>
      </c>
      <c r="BE871" s="68">
        <f t="shared" si="2090"/>
        <v>-1261</v>
      </c>
      <c r="BF871" s="27">
        <f t="shared" si="2091"/>
        <v>-293</v>
      </c>
      <c r="BG871" s="68">
        <f t="shared" si="2091"/>
        <v>247</v>
      </c>
      <c r="BH871" s="68">
        <f t="shared" si="2091"/>
        <v>-210</v>
      </c>
      <c r="BI871" s="1112">
        <f t="shared" si="2092"/>
        <v>-1517</v>
      </c>
      <c r="BJ871" s="68">
        <f t="shared" si="2093"/>
        <v>-215</v>
      </c>
      <c r="BK871" s="27">
        <f t="shared" si="2094"/>
        <v>-377</v>
      </c>
      <c r="BL871" s="68">
        <f t="shared" si="2094"/>
        <v>255</v>
      </c>
      <c r="BM871" s="68">
        <f t="shared" si="2094"/>
        <v>-1185</v>
      </c>
      <c r="BN871" s="1112">
        <f t="shared" si="2095"/>
        <v>-1522</v>
      </c>
      <c r="BO871" s="68">
        <f t="shared" si="2096"/>
        <v>-726</v>
      </c>
      <c r="BP871" s="27">
        <f t="shared" si="2097"/>
        <v>714</v>
      </c>
      <c r="BQ871" s="68">
        <f t="shared" si="2097"/>
        <v>-714</v>
      </c>
      <c r="BR871" s="68">
        <f t="shared" si="2097"/>
        <v>331</v>
      </c>
      <c r="BS871" s="1112">
        <f t="shared" si="2098"/>
        <v>-395</v>
      </c>
      <c r="BT871" s="68">
        <f t="shared" si="2099"/>
        <v>560</v>
      </c>
      <c r="BU871" s="27">
        <f t="shared" si="2100"/>
        <v>386</v>
      </c>
      <c r="BV871" s="68">
        <f t="shared" si="2101"/>
        <v>-89</v>
      </c>
      <c r="BW871" s="68">
        <f t="shared" si="2102"/>
        <v>-280</v>
      </c>
      <c r="BX871" s="1112">
        <f t="shared" si="2103"/>
        <v>577</v>
      </c>
      <c r="BY871" s="588">
        <f t="shared" si="2104"/>
        <v>-983</v>
      </c>
      <c r="BZ871" s="68"/>
      <c r="CA871" s="68"/>
      <c r="CB871" s="68"/>
      <c r="CC871" s="1112">
        <f t="shared" si="2105"/>
        <v>-983</v>
      </c>
      <c r="CD871" s="68"/>
      <c r="CE871" s="68"/>
      <c r="CF871" s="68"/>
      <c r="CG871" s="68"/>
      <c r="CH871" s="1112">
        <f t="shared" si="2106"/>
        <v>0</v>
      </c>
      <c r="CI871" s="1112"/>
      <c r="CJ871" s="1112"/>
      <c r="CK871" s="1112"/>
      <c r="CL871" s="155"/>
    </row>
    <row r="872" spans="1:90" x14ac:dyDescent="0.3">
      <c r="A872" s="99" t="str">
        <f t="shared" si="2009"/>
        <v>Deposits and other assets</v>
      </c>
      <c r="B872" s="146"/>
      <c r="C872" s="1112">
        <f t="shared" si="2063"/>
        <v>-2.1080000000000001</v>
      </c>
      <c r="D872" s="1112">
        <f t="shared" si="2063"/>
        <v>3.8570000000000002</v>
      </c>
      <c r="E872" s="1112">
        <f t="shared" si="2063"/>
        <v>4.3310000000000004</v>
      </c>
      <c r="F872" s="1112">
        <f t="shared" si="2063"/>
        <v>-70.694000000000003</v>
      </c>
      <c r="G872" s="68">
        <f t="shared" si="2063"/>
        <v>-1.8819999999999999</v>
      </c>
      <c r="H872" s="68">
        <f t="shared" si="2064"/>
        <v>2.3759999999999999</v>
      </c>
      <c r="I872" s="68">
        <f t="shared" si="2064"/>
        <v>4.29</v>
      </c>
      <c r="J872" s="68">
        <f t="shared" si="2064"/>
        <v>3.7830000000000004</v>
      </c>
      <c r="K872" s="1112">
        <f t="shared" si="2065"/>
        <v>8.5670000000000002</v>
      </c>
      <c r="L872" s="68">
        <f t="shared" si="2065"/>
        <v>1.806</v>
      </c>
      <c r="M872" s="68">
        <f t="shared" si="2066"/>
        <v>2.6390000000000002</v>
      </c>
      <c r="N872" s="68">
        <f t="shared" si="2066"/>
        <v>-4.4450000000000003</v>
      </c>
      <c r="O872" s="68">
        <f t="shared" si="2066"/>
        <v>0</v>
      </c>
      <c r="P872" s="1112">
        <f t="shared" si="2067"/>
        <v>0</v>
      </c>
      <c r="Q872" s="68">
        <f t="shared" si="2067"/>
        <v>0</v>
      </c>
      <c r="R872" s="68">
        <f t="shared" si="2068"/>
        <v>0</v>
      </c>
      <c r="S872" s="68">
        <f t="shared" si="2068"/>
        <v>0</v>
      </c>
      <c r="T872" s="68">
        <f t="shared" si="2068"/>
        <v>0</v>
      </c>
      <c r="U872" s="1112">
        <f t="shared" si="2069"/>
        <v>0</v>
      </c>
      <c r="V872" s="68">
        <f t="shared" si="2069"/>
        <v>0</v>
      </c>
      <c r="W872" s="68">
        <f t="shared" si="2070"/>
        <v>0</v>
      </c>
      <c r="X872" s="68">
        <f t="shared" si="2070"/>
        <v>0</v>
      </c>
      <c r="Y872" s="68">
        <f t="shared" si="2070"/>
        <v>0</v>
      </c>
      <c r="Z872" s="1112">
        <f t="shared" si="2071"/>
        <v>0</v>
      </c>
      <c r="AA872" s="68">
        <f t="shared" si="2072"/>
        <v>0</v>
      </c>
      <c r="AB872" s="68">
        <f t="shared" si="2073"/>
        <v>0</v>
      </c>
      <c r="AC872" s="68">
        <f t="shared" si="2073"/>
        <v>0</v>
      </c>
      <c r="AD872" s="68">
        <f t="shared" si="2073"/>
        <v>0</v>
      </c>
      <c r="AE872" s="1112">
        <f t="shared" si="2074"/>
        <v>0</v>
      </c>
      <c r="AF872" s="68">
        <f t="shared" si="2075"/>
        <v>0</v>
      </c>
      <c r="AG872" s="68">
        <f t="shared" si="2076"/>
        <v>0</v>
      </c>
      <c r="AH872" s="68">
        <f t="shared" si="2076"/>
        <v>0</v>
      </c>
      <c r="AI872" s="68">
        <f t="shared" si="2076"/>
        <v>0</v>
      </c>
      <c r="AJ872" s="1112">
        <f t="shared" si="2077"/>
        <v>0</v>
      </c>
      <c r="AK872" s="68">
        <f t="shared" si="2078"/>
        <v>0</v>
      </c>
      <c r="AL872" s="68">
        <f t="shared" si="2079"/>
        <v>0</v>
      </c>
      <c r="AM872" s="68">
        <f t="shared" si="2079"/>
        <v>0</v>
      </c>
      <c r="AN872" s="68">
        <f t="shared" si="2079"/>
        <v>0</v>
      </c>
      <c r="AO872" s="1112">
        <f t="shared" si="2080"/>
        <v>0</v>
      </c>
      <c r="AP872" s="68">
        <f t="shared" si="2081"/>
        <v>0</v>
      </c>
      <c r="AQ872" s="68">
        <f t="shared" si="2082"/>
        <v>0</v>
      </c>
      <c r="AR872" s="68">
        <f t="shared" si="2082"/>
        <v>0</v>
      </c>
      <c r="AS872" s="68">
        <f t="shared" si="2082"/>
        <v>0</v>
      </c>
      <c r="AT872" s="1112">
        <f t="shared" si="2083"/>
        <v>0</v>
      </c>
      <c r="AU872" s="68">
        <f t="shared" si="2084"/>
        <v>0</v>
      </c>
      <c r="AV872" s="68">
        <f t="shared" si="2085"/>
        <v>0</v>
      </c>
      <c r="AW872" s="68">
        <f t="shared" si="2085"/>
        <v>0</v>
      </c>
      <c r="AX872" s="68">
        <f t="shared" si="2085"/>
        <v>0</v>
      </c>
      <c r="AY872" s="1112">
        <f t="shared" si="2086"/>
        <v>0</v>
      </c>
      <c r="AZ872" s="68">
        <f t="shared" si="2087"/>
        <v>0</v>
      </c>
      <c r="BA872" s="68">
        <f t="shared" si="2088"/>
        <v>0</v>
      </c>
      <c r="BB872" s="68">
        <f t="shared" si="2088"/>
        <v>0</v>
      </c>
      <c r="BC872" s="68">
        <f t="shared" si="2088"/>
        <v>0</v>
      </c>
      <c r="BD872" s="1112">
        <f t="shared" si="2089"/>
        <v>0</v>
      </c>
      <c r="BE872" s="68">
        <f t="shared" si="2090"/>
        <v>0</v>
      </c>
      <c r="BF872" s="68">
        <f t="shared" si="2091"/>
        <v>0</v>
      </c>
      <c r="BG872" s="68">
        <f t="shared" si="2091"/>
        <v>0</v>
      </c>
      <c r="BH872" s="68">
        <f t="shared" si="2091"/>
        <v>0</v>
      </c>
      <c r="BI872" s="1112">
        <f t="shared" si="2092"/>
        <v>0</v>
      </c>
      <c r="BJ872" s="68">
        <f t="shared" si="2093"/>
        <v>0</v>
      </c>
      <c r="BK872" s="68">
        <f t="shared" si="2094"/>
        <v>0</v>
      </c>
      <c r="BL872" s="68">
        <f t="shared" si="2094"/>
        <v>0</v>
      </c>
      <c r="BM872" s="68">
        <f t="shared" si="2094"/>
        <v>0</v>
      </c>
      <c r="BN872" s="1112">
        <f t="shared" si="2095"/>
        <v>0</v>
      </c>
      <c r="BO872" s="68">
        <f t="shared" si="2096"/>
        <v>0</v>
      </c>
      <c r="BP872" s="68">
        <f t="shared" si="2097"/>
        <v>0</v>
      </c>
      <c r="BQ872" s="68">
        <f t="shared" si="2097"/>
        <v>0</v>
      </c>
      <c r="BR872" s="68">
        <f t="shared" si="2097"/>
        <v>0</v>
      </c>
      <c r="BS872" s="1112">
        <f t="shared" si="2098"/>
        <v>0</v>
      </c>
      <c r="BT872" s="68">
        <f t="shared" si="2099"/>
        <v>0</v>
      </c>
      <c r="BU872" s="68">
        <f t="shared" si="2100"/>
        <v>0</v>
      </c>
      <c r="BV872" s="68">
        <f t="shared" si="2101"/>
        <v>0</v>
      </c>
      <c r="BW872" s="68">
        <f t="shared" si="2102"/>
        <v>0</v>
      </c>
      <c r="BX872" s="1112">
        <f t="shared" si="2103"/>
        <v>0</v>
      </c>
      <c r="BY872" s="588">
        <f t="shared" si="2104"/>
        <v>0</v>
      </c>
      <c r="BZ872" s="68"/>
      <c r="CA872" s="68"/>
      <c r="CB872" s="68"/>
      <c r="CC872" s="1112">
        <f t="shared" si="2105"/>
        <v>0</v>
      </c>
      <c r="CD872" s="68"/>
      <c r="CE872" s="68"/>
      <c r="CF872" s="68"/>
      <c r="CG872" s="68"/>
      <c r="CH872" s="1112">
        <f t="shared" si="2106"/>
        <v>0</v>
      </c>
      <c r="CI872" s="1112"/>
      <c r="CJ872" s="1112"/>
      <c r="CK872" s="1112"/>
      <c r="CL872" s="155"/>
    </row>
    <row r="873" spans="1:90" x14ac:dyDescent="0.3">
      <c r="A873" s="99" t="str">
        <f t="shared" si="2009"/>
        <v>Prepaid expenses and other assets</v>
      </c>
      <c r="B873" s="146"/>
      <c r="C873" s="1112">
        <f t="shared" si="2063"/>
        <v>0</v>
      </c>
      <c r="D873" s="1112">
        <f t="shared" si="2063"/>
        <v>0</v>
      </c>
      <c r="E873" s="1112">
        <f t="shared" si="2063"/>
        <v>0</v>
      </c>
      <c r="F873" s="1112">
        <f t="shared" si="2063"/>
        <v>0</v>
      </c>
      <c r="G873" s="68">
        <f t="shared" si="2063"/>
        <v>0</v>
      </c>
      <c r="H873" s="68">
        <f t="shared" si="2064"/>
        <v>0</v>
      </c>
      <c r="I873" s="68">
        <f t="shared" si="2064"/>
        <v>0</v>
      </c>
      <c r="J873" s="68">
        <f t="shared" si="2064"/>
        <v>0</v>
      </c>
      <c r="K873" s="1112">
        <f t="shared" si="2065"/>
        <v>0</v>
      </c>
      <c r="L873" s="68">
        <f t="shared" si="2065"/>
        <v>0</v>
      </c>
      <c r="M873" s="68">
        <f t="shared" si="2066"/>
        <v>0</v>
      </c>
      <c r="N873" s="68">
        <f t="shared" si="2066"/>
        <v>0</v>
      </c>
      <c r="O873" s="68">
        <f t="shared" si="2066"/>
        <v>0</v>
      </c>
      <c r="P873" s="1112">
        <f t="shared" si="2067"/>
        <v>0</v>
      </c>
      <c r="Q873" s="68">
        <f t="shared" si="2067"/>
        <v>0</v>
      </c>
      <c r="R873" s="68">
        <f t="shared" si="2068"/>
        <v>0</v>
      </c>
      <c r="S873" s="68">
        <f t="shared" si="2068"/>
        <v>0</v>
      </c>
      <c r="T873" s="68">
        <f t="shared" si="2068"/>
        <v>0</v>
      </c>
      <c r="U873" s="1112">
        <f t="shared" si="2069"/>
        <v>0</v>
      </c>
      <c r="V873" s="68">
        <f t="shared" si="2069"/>
        <v>0</v>
      </c>
      <c r="W873" s="68">
        <f t="shared" si="2070"/>
        <v>0</v>
      </c>
      <c r="X873" s="68">
        <f t="shared" si="2070"/>
        <v>0</v>
      </c>
      <c r="Y873" s="68">
        <f t="shared" si="2070"/>
        <v>0</v>
      </c>
      <c r="Z873" s="1112">
        <f t="shared" si="2071"/>
        <v>0</v>
      </c>
      <c r="AA873" s="68">
        <f t="shared" si="2072"/>
        <v>0</v>
      </c>
      <c r="AB873" s="68">
        <f t="shared" si="2073"/>
        <v>0</v>
      </c>
      <c r="AC873" s="68">
        <f t="shared" si="2073"/>
        <v>0</v>
      </c>
      <c r="AD873" s="68">
        <f t="shared" si="2073"/>
        <v>0</v>
      </c>
      <c r="AE873" s="1112">
        <f t="shared" si="2074"/>
        <v>0</v>
      </c>
      <c r="AF873" s="68">
        <f t="shared" si="2075"/>
        <v>0</v>
      </c>
      <c r="AG873" s="68">
        <f t="shared" si="2076"/>
        <v>0</v>
      </c>
      <c r="AH873" s="68">
        <f t="shared" si="2076"/>
        <v>0</v>
      </c>
      <c r="AI873" s="68">
        <f t="shared" si="2076"/>
        <v>0</v>
      </c>
      <c r="AJ873" s="1112">
        <f t="shared" si="2077"/>
        <v>0</v>
      </c>
      <c r="AK873" s="68">
        <f t="shared" si="2078"/>
        <v>0</v>
      </c>
      <c r="AL873" s="68">
        <f t="shared" si="2079"/>
        <v>0</v>
      </c>
      <c r="AM873" s="68">
        <f t="shared" si="2079"/>
        <v>0</v>
      </c>
      <c r="AN873" s="68">
        <f t="shared" si="2079"/>
        <v>0</v>
      </c>
      <c r="AO873" s="1112">
        <f t="shared" si="2080"/>
        <v>0</v>
      </c>
      <c r="AP873" s="68">
        <f t="shared" si="2081"/>
        <v>0</v>
      </c>
      <c r="AQ873" s="68">
        <f t="shared" si="2082"/>
        <v>0</v>
      </c>
      <c r="AR873" s="68">
        <f t="shared" si="2082"/>
        <v>0</v>
      </c>
      <c r="AS873" s="68">
        <f t="shared" si="2082"/>
        <v>0</v>
      </c>
      <c r="AT873" s="1112">
        <f t="shared" si="2083"/>
        <v>0</v>
      </c>
      <c r="AU873" s="68">
        <f t="shared" si="2084"/>
        <v>0</v>
      </c>
      <c r="AV873" s="68">
        <f t="shared" si="2085"/>
        <v>0</v>
      </c>
      <c r="AW873" s="68">
        <f t="shared" si="2085"/>
        <v>0</v>
      </c>
      <c r="AX873" s="68">
        <f t="shared" si="2085"/>
        <v>0</v>
      </c>
      <c r="AY873" s="1112">
        <f t="shared" si="2086"/>
        <v>0</v>
      </c>
      <c r="AZ873" s="68">
        <f t="shared" si="2087"/>
        <v>0</v>
      </c>
      <c r="BA873" s="68">
        <f t="shared" si="2088"/>
        <v>0</v>
      </c>
      <c r="BB873" s="68">
        <f t="shared" si="2088"/>
        <v>0</v>
      </c>
      <c r="BC873" s="68">
        <f t="shared" si="2088"/>
        <v>0</v>
      </c>
      <c r="BD873" s="1112">
        <f t="shared" si="2089"/>
        <v>0</v>
      </c>
      <c r="BE873" s="68">
        <f t="shared" si="2090"/>
        <v>0</v>
      </c>
      <c r="BF873" s="68">
        <f t="shared" si="2091"/>
        <v>0</v>
      </c>
      <c r="BG873" s="68">
        <f t="shared" si="2091"/>
        <v>0</v>
      </c>
      <c r="BH873" s="68">
        <f t="shared" si="2091"/>
        <v>0</v>
      </c>
      <c r="BI873" s="1112">
        <f t="shared" si="2092"/>
        <v>0</v>
      </c>
      <c r="BJ873" s="68">
        <f t="shared" si="2093"/>
        <v>0</v>
      </c>
      <c r="BK873" s="68">
        <f t="shared" si="2094"/>
        <v>0</v>
      </c>
      <c r="BL873" s="68">
        <f t="shared" si="2094"/>
        <v>0</v>
      </c>
      <c r="BM873" s="68">
        <f t="shared" si="2094"/>
        <v>0</v>
      </c>
      <c r="BN873" s="1112">
        <f t="shared" si="2095"/>
        <v>0</v>
      </c>
      <c r="BO873" s="68">
        <f t="shared" si="2096"/>
        <v>0</v>
      </c>
      <c r="BP873" s="68">
        <f t="shared" si="2097"/>
        <v>0</v>
      </c>
      <c r="BQ873" s="68">
        <f t="shared" si="2097"/>
        <v>0</v>
      </c>
      <c r="BR873" s="68">
        <f t="shared" si="2097"/>
        <v>0</v>
      </c>
      <c r="BS873" s="1112">
        <f t="shared" si="2098"/>
        <v>0</v>
      </c>
      <c r="BT873" s="68">
        <f t="shared" si="2099"/>
        <v>0</v>
      </c>
      <c r="BU873" s="68">
        <f t="shared" si="2100"/>
        <v>0</v>
      </c>
      <c r="BV873" s="68">
        <f t="shared" si="2101"/>
        <v>0</v>
      </c>
      <c r="BW873" s="68">
        <f t="shared" si="2102"/>
        <v>0</v>
      </c>
      <c r="BX873" s="1112">
        <f t="shared" si="2103"/>
        <v>0</v>
      </c>
      <c r="BY873" s="588">
        <f t="shared" si="2104"/>
        <v>0</v>
      </c>
      <c r="BZ873" s="68"/>
      <c r="CA873" s="68"/>
      <c r="CB873" s="68"/>
      <c r="CC873" s="1112">
        <f t="shared" si="2105"/>
        <v>0</v>
      </c>
      <c r="CD873" s="68"/>
      <c r="CE873" s="68"/>
      <c r="CF873" s="68"/>
      <c r="CG873" s="68"/>
      <c r="CH873" s="1112">
        <f t="shared" si="2106"/>
        <v>0</v>
      </c>
      <c r="CI873" s="1112"/>
      <c r="CJ873" s="1112"/>
      <c r="CK873" s="1112"/>
      <c r="CL873" s="155"/>
    </row>
    <row r="874" spans="1:90" x14ac:dyDescent="0.3">
      <c r="A874" s="99" t="str">
        <f t="shared" si="2009"/>
        <v>Accounts payable</v>
      </c>
      <c r="B874" s="146"/>
      <c r="C874" s="1112">
        <f t="shared" si="2063"/>
        <v>-283.20699999999999</v>
      </c>
      <c r="D874" s="1112">
        <f t="shared" si="2063"/>
        <v>119.366</v>
      </c>
      <c r="E874" s="1112">
        <f t="shared" si="2063"/>
        <v>-69.786000000000001</v>
      </c>
      <c r="F874" s="1112">
        <f t="shared" si="2063"/>
        <v>35.707999999999998</v>
      </c>
      <c r="G874" s="68">
        <f t="shared" si="2063"/>
        <v>33.515999999999998</v>
      </c>
      <c r="H874" s="68">
        <f t="shared" si="2064"/>
        <v>32.130000000000003</v>
      </c>
      <c r="I874" s="68">
        <f t="shared" si="2064"/>
        <v>-16.547000000000004</v>
      </c>
      <c r="J874" s="68">
        <f t="shared" si="2064"/>
        <v>-38.213999999999999</v>
      </c>
      <c r="K874" s="1112">
        <f t="shared" si="2065"/>
        <v>10.885</v>
      </c>
      <c r="L874" s="68">
        <f t="shared" si="2065"/>
        <v>-53.100999999999999</v>
      </c>
      <c r="M874" s="68">
        <f t="shared" si="2066"/>
        <v>16.649000000000001</v>
      </c>
      <c r="N874" s="68">
        <f t="shared" si="2066"/>
        <v>-1.9239999999999995</v>
      </c>
      <c r="O874" s="68">
        <f t="shared" si="2066"/>
        <v>17.993999999999996</v>
      </c>
      <c r="P874" s="1112">
        <f t="shared" si="2067"/>
        <v>-20.382000000000001</v>
      </c>
      <c r="Q874" s="68">
        <f t="shared" si="2067"/>
        <v>-15</v>
      </c>
      <c r="R874" s="68">
        <f t="shared" si="2068"/>
        <v>-49</v>
      </c>
      <c r="S874" s="68">
        <f t="shared" si="2068"/>
        <v>74</v>
      </c>
      <c r="T874" s="68">
        <f t="shared" si="2068"/>
        <v>-37</v>
      </c>
      <c r="U874" s="1112">
        <f t="shared" si="2069"/>
        <v>-27</v>
      </c>
      <c r="V874" s="68">
        <f t="shared" si="2069"/>
        <v>-67</v>
      </c>
      <c r="W874" s="68">
        <f t="shared" si="2070"/>
        <v>54</v>
      </c>
      <c r="X874" s="68">
        <f t="shared" si="2070"/>
        <v>20</v>
      </c>
      <c r="Y874" s="68">
        <f t="shared" si="2070"/>
        <v>-18</v>
      </c>
      <c r="Z874" s="1112">
        <f t="shared" si="2071"/>
        <v>-11</v>
      </c>
      <c r="AA874" s="68">
        <f t="shared" si="2072"/>
        <v>32</v>
      </c>
      <c r="AB874" s="68">
        <f t="shared" si="2073"/>
        <v>99</v>
      </c>
      <c r="AC874" s="68">
        <f t="shared" si="2073"/>
        <v>87</v>
      </c>
      <c r="AD874" s="68">
        <f t="shared" si="2073"/>
        <v>-34</v>
      </c>
      <c r="AE874" s="1112">
        <f t="shared" si="2074"/>
        <v>184</v>
      </c>
      <c r="AF874" s="68">
        <f t="shared" si="2075"/>
        <v>-133</v>
      </c>
      <c r="AG874" s="68">
        <f t="shared" si="2076"/>
        <v>70</v>
      </c>
      <c r="AH874" s="68">
        <f t="shared" si="2076"/>
        <v>90</v>
      </c>
      <c r="AI874" s="68">
        <f t="shared" si="2076"/>
        <v>63</v>
      </c>
      <c r="AJ874" s="1112">
        <f t="shared" si="2077"/>
        <v>90</v>
      </c>
      <c r="AK874" s="68">
        <f t="shared" si="2078"/>
        <v>22</v>
      </c>
      <c r="AL874" s="68">
        <f t="shared" si="2079"/>
        <v>150</v>
      </c>
      <c r="AM874" s="68">
        <f t="shared" si="2079"/>
        <v>52</v>
      </c>
      <c r="AN874" s="68">
        <f t="shared" si="2079"/>
        <v>-359</v>
      </c>
      <c r="AO874" s="1112">
        <f t="shared" si="2080"/>
        <v>-135</v>
      </c>
      <c r="AP874" s="68">
        <f t="shared" si="2081"/>
        <v>-123</v>
      </c>
      <c r="AQ874" s="27">
        <f t="shared" si="2082"/>
        <v>78</v>
      </c>
      <c r="AR874" s="68">
        <f t="shared" si="2082"/>
        <v>136</v>
      </c>
      <c r="AS874" s="68">
        <f t="shared" si="2082"/>
        <v>103</v>
      </c>
      <c r="AT874" s="1112">
        <f t="shared" si="2083"/>
        <v>194</v>
      </c>
      <c r="AU874" s="68">
        <f t="shared" si="2084"/>
        <v>71</v>
      </c>
      <c r="AV874" s="27">
        <f t="shared" si="2085"/>
        <v>-8</v>
      </c>
      <c r="AW874" s="68">
        <f t="shared" si="2085"/>
        <v>226</v>
      </c>
      <c r="AX874" s="68">
        <f t="shared" si="2085"/>
        <v>74</v>
      </c>
      <c r="AY874" s="1112">
        <f t="shared" si="2086"/>
        <v>363</v>
      </c>
      <c r="AZ874" s="68">
        <f t="shared" si="2087"/>
        <v>70</v>
      </c>
      <c r="BA874" s="27">
        <f t="shared" si="2088"/>
        <v>209</v>
      </c>
      <c r="BB874" s="68">
        <f t="shared" si="2088"/>
        <v>195</v>
      </c>
      <c r="BC874" s="68">
        <f t="shared" si="2088"/>
        <v>94</v>
      </c>
      <c r="BD874" s="1112">
        <f t="shared" si="2089"/>
        <v>568</v>
      </c>
      <c r="BE874" s="68">
        <f t="shared" si="2090"/>
        <v>255</v>
      </c>
      <c r="BF874" s="27">
        <f t="shared" si="2091"/>
        <v>304</v>
      </c>
      <c r="BG874" s="68">
        <f t="shared" si="2091"/>
        <v>-917</v>
      </c>
      <c r="BH874" s="68">
        <f t="shared" si="2091"/>
        <v>-193</v>
      </c>
      <c r="BI874" s="1112">
        <f t="shared" si="2092"/>
        <v>-551</v>
      </c>
      <c r="BJ874" s="68">
        <f t="shared" si="2093"/>
        <v>11</v>
      </c>
      <c r="BK874" s="27">
        <f t="shared" si="2094"/>
        <v>778</v>
      </c>
      <c r="BL874" s="68">
        <f t="shared" si="2094"/>
        <v>461</v>
      </c>
      <c r="BM874" s="68">
        <f t="shared" si="2094"/>
        <v>281</v>
      </c>
      <c r="BN874" s="1112">
        <f t="shared" si="2095"/>
        <v>1531</v>
      </c>
      <c r="BO874" s="68">
        <f t="shared" si="2096"/>
        <v>-22</v>
      </c>
      <c r="BP874" s="27">
        <f t="shared" si="2097"/>
        <v>823</v>
      </c>
      <c r="BQ874" s="68">
        <f t="shared" si="2097"/>
        <v>1689</v>
      </c>
      <c r="BR874" s="68">
        <f t="shared" si="2097"/>
        <v>867</v>
      </c>
      <c r="BS874" s="1112">
        <f t="shared" si="2098"/>
        <v>3357</v>
      </c>
      <c r="BT874" s="68">
        <f t="shared" si="2099"/>
        <v>941</v>
      </c>
      <c r="BU874" s="27">
        <f t="shared" si="2100"/>
        <v>1314</v>
      </c>
      <c r="BV874" s="68">
        <f t="shared" si="2101"/>
        <v>-223</v>
      </c>
      <c r="BW874" s="68">
        <f t="shared" si="2102"/>
        <v>1064</v>
      </c>
      <c r="BX874" s="1112">
        <f t="shared" si="2103"/>
        <v>3096</v>
      </c>
      <c r="BY874" s="588">
        <f t="shared" si="2104"/>
        <v>2210</v>
      </c>
      <c r="BZ874" s="68">
        <f>BZ993-BY993</f>
        <v>642.62847316302759</v>
      </c>
      <c r="CA874" s="68">
        <f>CA993-BZ993</f>
        <v>-863.55105241065939</v>
      </c>
      <c r="CB874" s="68">
        <f>CB993-CA993</f>
        <v>1124.9405732835075</v>
      </c>
      <c r="CC874" s="1112">
        <f t="shared" si="2105"/>
        <v>3114.0179940358757</v>
      </c>
      <c r="CD874" s="68">
        <f>CD993-CC993</f>
        <v>5013.0851056280662</v>
      </c>
      <c r="CE874" s="68">
        <f>CE993-CD993</f>
        <v>-479.25560642695564</v>
      </c>
      <c r="CF874" s="68">
        <f>CF993-CE993</f>
        <v>-1971.8163361588267</v>
      </c>
      <c r="CG874" s="68">
        <f>CG993-CF993</f>
        <v>1205.4658751414681</v>
      </c>
      <c r="CH874" s="1112">
        <f t="shared" si="2106"/>
        <v>3767.479038183752</v>
      </c>
      <c r="CI874" s="1112">
        <f>CI993-CH993</f>
        <v>3510.3774697384033</v>
      </c>
      <c r="CJ874" s="1112">
        <f>CJ993-CI993</f>
        <v>3716.7242606806867</v>
      </c>
      <c r="CK874" s="1112">
        <f>CK993-CJ993</f>
        <v>4374.3873126360413</v>
      </c>
      <c r="CL874" s="155"/>
    </row>
    <row r="875" spans="1:90" x14ac:dyDescent="0.3">
      <c r="A875" s="99" t="str">
        <f t="shared" si="2009"/>
        <v>Accrued and other current liabilities</v>
      </c>
      <c r="B875" s="146"/>
      <c r="C875" s="1112">
        <f t="shared" si="2063"/>
        <v>58.875999999999998</v>
      </c>
      <c r="D875" s="1112">
        <f t="shared" si="2063"/>
        <v>-136.303</v>
      </c>
      <c r="E875" s="1112">
        <f t="shared" si="2063"/>
        <v>196.41300000000001</v>
      </c>
      <c r="F875" s="1112">
        <f t="shared" si="2063"/>
        <v>6.8179999999999996</v>
      </c>
      <c r="G875" s="68">
        <f t="shared" si="2063"/>
        <v>-66.084999999999994</v>
      </c>
      <c r="H875" s="68">
        <f t="shared" si="2064"/>
        <v>-34.539000000000001</v>
      </c>
      <c r="I875" s="68">
        <f t="shared" si="2064"/>
        <v>-80.230000000000018</v>
      </c>
      <c r="J875" s="68">
        <f t="shared" si="2064"/>
        <v>267.25900000000001</v>
      </c>
      <c r="K875" s="1112">
        <f t="shared" si="2065"/>
        <v>86.405000000000001</v>
      </c>
      <c r="L875" s="68">
        <f t="shared" si="2065"/>
        <v>-93.245000000000005</v>
      </c>
      <c r="M875" s="68">
        <f t="shared" si="2066"/>
        <v>-22.277000000000001</v>
      </c>
      <c r="N875" s="68">
        <f t="shared" si="2066"/>
        <v>149.81800000000001</v>
      </c>
      <c r="O875" s="68">
        <f t="shared" si="2066"/>
        <v>-28.943999999999999</v>
      </c>
      <c r="P875" s="1112">
        <f t="shared" si="2067"/>
        <v>5.3520000000000003</v>
      </c>
      <c r="Q875" s="68">
        <f t="shared" si="2067"/>
        <v>-29</v>
      </c>
      <c r="R875" s="68">
        <f t="shared" si="2068"/>
        <v>17</v>
      </c>
      <c r="S875" s="68">
        <f t="shared" si="2068"/>
        <v>-11</v>
      </c>
      <c r="T875" s="68">
        <f t="shared" si="2068"/>
        <v>28</v>
      </c>
      <c r="U875" s="1112">
        <f t="shared" si="2069"/>
        <v>5</v>
      </c>
      <c r="V875" s="68">
        <f t="shared" si="2069"/>
        <v>58</v>
      </c>
      <c r="W875" s="68">
        <f t="shared" si="2070"/>
        <v>2</v>
      </c>
      <c r="X875" s="68">
        <f t="shared" si="2070"/>
        <v>-101</v>
      </c>
      <c r="Y875" s="68">
        <f t="shared" si="2070"/>
        <v>80</v>
      </c>
      <c r="Z875" s="1112">
        <f t="shared" si="2071"/>
        <v>39</v>
      </c>
      <c r="AA875" s="68">
        <f t="shared" si="2072"/>
        <v>-7</v>
      </c>
      <c r="AB875" s="68">
        <f t="shared" si="2073"/>
        <v>-78</v>
      </c>
      <c r="AC875" s="68">
        <f t="shared" si="2073"/>
        <v>-51</v>
      </c>
      <c r="AD875" s="68">
        <f t="shared" si="2073"/>
        <v>1</v>
      </c>
      <c r="AE875" s="1112">
        <f t="shared" si="2074"/>
        <v>-135</v>
      </c>
      <c r="AF875" s="68">
        <f t="shared" si="2075"/>
        <v>-87</v>
      </c>
      <c r="AG875" s="68">
        <f t="shared" si="2076"/>
        <v>96</v>
      </c>
      <c r="AH875" s="68">
        <f t="shared" si="2076"/>
        <v>-24</v>
      </c>
      <c r="AI875" s="68">
        <f t="shared" si="2076"/>
        <v>48</v>
      </c>
      <c r="AJ875" s="1112">
        <f t="shared" si="2077"/>
        <v>33</v>
      </c>
      <c r="AK875" s="68">
        <f t="shared" si="2078"/>
        <v>-81</v>
      </c>
      <c r="AL875" s="68">
        <f t="shared" si="2079"/>
        <v>177</v>
      </c>
      <c r="AM875" s="68">
        <f t="shared" si="2079"/>
        <v>51</v>
      </c>
      <c r="AN875" s="68">
        <f t="shared" si="2079"/>
        <v>109</v>
      </c>
      <c r="AO875" s="1112">
        <f t="shared" si="2080"/>
        <v>256</v>
      </c>
      <c r="AP875" s="68">
        <f t="shared" si="2081"/>
        <v>-129</v>
      </c>
      <c r="AQ875" s="27">
        <f t="shared" si="2082"/>
        <v>50</v>
      </c>
      <c r="AR875" s="68">
        <f t="shared" si="2082"/>
        <v>-24</v>
      </c>
      <c r="AS875" s="68">
        <f t="shared" si="2082"/>
        <v>157</v>
      </c>
      <c r="AT875" s="1112">
        <f t="shared" si="2083"/>
        <v>54</v>
      </c>
      <c r="AU875" s="68">
        <f t="shared" si="2084"/>
        <v>-32</v>
      </c>
      <c r="AV875" s="27">
        <f t="shared" si="2085"/>
        <v>113</v>
      </c>
      <c r="AW875" s="68">
        <f t="shared" si="2085"/>
        <v>30</v>
      </c>
      <c r="AX875" s="68">
        <f t="shared" si="2085"/>
        <v>128</v>
      </c>
      <c r="AY875" s="1112">
        <f t="shared" si="2086"/>
        <v>239</v>
      </c>
      <c r="AZ875" s="68">
        <f t="shared" si="2087"/>
        <v>-1</v>
      </c>
      <c r="BA875" s="27">
        <f t="shared" si="2088"/>
        <v>133</v>
      </c>
      <c r="BB875" s="68">
        <f t="shared" si="2088"/>
        <v>-62</v>
      </c>
      <c r="BC875" s="68">
        <f t="shared" si="2088"/>
        <v>511</v>
      </c>
      <c r="BD875" s="1112">
        <f t="shared" si="2089"/>
        <v>581</v>
      </c>
      <c r="BE875" s="68">
        <f t="shared" si="2090"/>
        <v>634</v>
      </c>
      <c r="BF875" s="27">
        <f t="shared" si="2091"/>
        <v>633</v>
      </c>
      <c r="BG875" s="68">
        <f t="shared" si="2091"/>
        <v>-92</v>
      </c>
      <c r="BH875" s="68">
        <f t="shared" si="2091"/>
        <v>166</v>
      </c>
      <c r="BI875" s="1112">
        <f t="shared" si="2092"/>
        <v>1341</v>
      </c>
      <c r="BJ875" s="68">
        <f t="shared" si="2093"/>
        <v>689</v>
      </c>
      <c r="BK875" s="27">
        <f t="shared" si="2094"/>
        <v>1986</v>
      </c>
      <c r="BL875" s="68">
        <f t="shared" si="2094"/>
        <v>-1722</v>
      </c>
      <c r="BM875" s="68">
        <f t="shared" si="2094"/>
        <v>1072</v>
      </c>
      <c r="BN875" s="1112">
        <f t="shared" si="2095"/>
        <v>2025</v>
      </c>
      <c r="BO875" s="68">
        <f t="shared" si="2096"/>
        <v>4202</v>
      </c>
      <c r="BP875" s="27">
        <f t="shared" si="2097"/>
        <v>-888</v>
      </c>
      <c r="BQ875" s="68">
        <f t="shared" si="2097"/>
        <v>604</v>
      </c>
      <c r="BR875" s="68">
        <f t="shared" si="2097"/>
        <v>360</v>
      </c>
      <c r="BS875" s="1112">
        <f t="shared" si="2098"/>
        <v>4278</v>
      </c>
      <c r="BT875" s="68">
        <f t="shared" si="2099"/>
        <v>7128</v>
      </c>
      <c r="BU875" s="27">
        <f t="shared" si="2100"/>
        <v>-4053</v>
      </c>
      <c r="BV875" s="68">
        <f t="shared" si="2101"/>
        <v>1129</v>
      </c>
      <c r="BW875" s="68">
        <f t="shared" si="2102"/>
        <v>1053</v>
      </c>
      <c r="BX875" s="1112">
        <f t="shared" si="2103"/>
        <v>5257</v>
      </c>
      <c r="BY875" s="588">
        <f t="shared" si="2104"/>
        <v>7763</v>
      </c>
      <c r="BZ875" s="68">
        <f>BZ995-BY995</f>
        <v>-2489.3427406214832</v>
      </c>
      <c r="CA875" s="68">
        <f>CA995-BZ995</f>
        <v>1768.3154521987854</v>
      </c>
      <c r="CB875" s="68">
        <f>CB995-CA995</f>
        <v>6190.7002371394592</v>
      </c>
      <c r="CC875" s="1112">
        <f t="shared" si="2105"/>
        <v>13232.672948716761</v>
      </c>
      <c r="CD875" s="68">
        <f>CD995-CC995</f>
        <v>9394.0906783548053</v>
      </c>
      <c r="CE875" s="68">
        <f>CE995-CD995</f>
        <v>-7343.7847008407698</v>
      </c>
      <c r="CF875" s="68">
        <f>CF995-CE995</f>
        <v>297.18753936484427</v>
      </c>
      <c r="CG875" s="68">
        <f>CG995-CF995</f>
        <v>7002.9772458400475</v>
      </c>
      <c r="CH875" s="1112">
        <f t="shared" si="2106"/>
        <v>9350.4707627189273</v>
      </c>
      <c r="CI875" s="1112">
        <f>CI995-CH995</f>
        <v>8509.1757697440917</v>
      </c>
      <c r="CJ875" s="1112">
        <f>CJ995-CI995</f>
        <v>9196.2908907744713</v>
      </c>
      <c r="CK875" s="1112">
        <f>CK995-CJ995</f>
        <v>10823.546589530124</v>
      </c>
      <c r="CL875" s="155"/>
    </row>
    <row r="876" spans="1:90" x14ac:dyDescent="0.3">
      <c r="A876" s="99" t="str">
        <f t="shared" si="2009"/>
        <v>Other long-term liabilities</v>
      </c>
      <c r="B876" s="146"/>
      <c r="C876" s="1112">
        <f t="shared" si="2063"/>
        <v>0</v>
      </c>
      <c r="D876" s="1112">
        <f t="shared" si="2063"/>
        <v>0</v>
      </c>
      <c r="E876" s="1112">
        <f t="shared" si="2063"/>
        <v>0</v>
      </c>
      <c r="F876" s="1112">
        <f t="shared" si="2063"/>
        <v>0</v>
      </c>
      <c r="G876" s="68">
        <f t="shared" si="2063"/>
        <v>0</v>
      </c>
      <c r="H876" s="68">
        <f t="shared" si="2064"/>
        <v>0</v>
      </c>
      <c r="I876" s="68">
        <f t="shared" si="2064"/>
        <v>0</v>
      </c>
      <c r="J876" s="68">
        <f t="shared" si="2064"/>
        <v>0</v>
      </c>
      <c r="K876" s="1112">
        <f t="shared" si="2065"/>
        <v>0</v>
      </c>
      <c r="L876" s="68">
        <f t="shared" si="2065"/>
        <v>0</v>
      </c>
      <c r="M876" s="68">
        <f t="shared" si="2066"/>
        <v>0</v>
      </c>
      <c r="N876" s="68">
        <f t="shared" si="2066"/>
        <v>-177.32400000000001</v>
      </c>
      <c r="O876" s="68">
        <f t="shared" si="2066"/>
        <v>139.536</v>
      </c>
      <c r="P876" s="1112">
        <f t="shared" si="2067"/>
        <v>-37.787999999999997</v>
      </c>
      <c r="Q876" s="68">
        <f t="shared" si="2067"/>
        <v>-69</v>
      </c>
      <c r="R876" s="68">
        <f t="shared" si="2068"/>
        <v>-61</v>
      </c>
      <c r="S876" s="68">
        <f t="shared" si="2068"/>
        <v>-31</v>
      </c>
      <c r="T876" s="68">
        <f t="shared" si="2068"/>
        <v>120</v>
      </c>
      <c r="U876" s="1112">
        <f t="shared" si="2069"/>
        <v>-41</v>
      </c>
      <c r="V876" s="68">
        <f t="shared" si="2069"/>
        <v>-57</v>
      </c>
      <c r="W876" s="68">
        <f t="shared" si="2070"/>
        <v>-38</v>
      </c>
      <c r="X876" s="68">
        <f t="shared" si="2070"/>
        <v>-50</v>
      </c>
      <c r="Y876" s="68">
        <f t="shared" si="2070"/>
        <v>48</v>
      </c>
      <c r="Z876" s="1112">
        <f t="shared" si="2071"/>
        <v>-97</v>
      </c>
      <c r="AA876" s="68">
        <f t="shared" si="2072"/>
        <v>-31</v>
      </c>
      <c r="AB876" s="68">
        <f t="shared" si="2073"/>
        <v>-4</v>
      </c>
      <c r="AC876" s="68">
        <f t="shared" si="2073"/>
        <v>6</v>
      </c>
      <c r="AD876" s="68">
        <f t="shared" si="2073"/>
        <v>15</v>
      </c>
      <c r="AE876" s="1112">
        <f t="shared" si="2074"/>
        <v>-14</v>
      </c>
      <c r="AF876" s="68">
        <f t="shared" si="2075"/>
        <v>8</v>
      </c>
      <c r="AG876" s="68">
        <f t="shared" si="2076"/>
        <v>8</v>
      </c>
      <c r="AH876" s="68">
        <f t="shared" si="2076"/>
        <v>15</v>
      </c>
      <c r="AI876" s="68">
        <f t="shared" si="2076"/>
        <v>450</v>
      </c>
      <c r="AJ876" s="1112">
        <f t="shared" si="2077"/>
        <v>481</v>
      </c>
      <c r="AK876" s="68">
        <f t="shared" si="2078"/>
        <v>15</v>
      </c>
      <c r="AL876" s="68">
        <f t="shared" si="2079"/>
        <v>-14</v>
      </c>
      <c r="AM876" s="68">
        <f t="shared" si="2079"/>
        <v>-50</v>
      </c>
      <c r="AN876" s="68">
        <f t="shared" si="2079"/>
        <v>51</v>
      </c>
      <c r="AO876" s="1112">
        <f t="shared" si="2080"/>
        <v>2</v>
      </c>
      <c r="AP876" s="68">
        <f t="shared" si="2081"/>
        <v>13</v>
      </c>
      <c r="AQ876" s="27">
        <f t="shared" si="2082"/>
        <v>-15</v>
      </c>
      <c r="AR876" s="68">
        <f t="shared" si="2082"/>
        <v>12</v>
      </c>
      <c r="AS876" s="68">
        <f t="shared" si="2082"/>
        <v>18</v>
      </c>
      <c r="AT876" s="1112">
        <f t="shared" si="2083"/>
        <v>28</v>
      </c>
      <c r="AU876" s="68">
        <f t="shared" si="2084"/>
        <v>10</v>
      </c>
      <c r="AV876" s="27">
        <f t="shared" si="2085"/>
        <v>11</v>
      </c>
      <c r="AW876" s="68">
        <f t="shared" si="2085"/>
        <v>53</v>
      </c>
      <c r="AX876" s="68">
        <f t="shared" si="2085"/>
        <v>89</v>
      </c>
      <c r="AY876" s="1112">
        <f t="shared" si="2086"/>
        <v>163</v>
      </c>
      <c r="AZ876" s="68">
        <f t="shared" si="2087"/>
        <v>47</v>
      </c>
      <c r="BA876" s="27">
        <f t="shared" si="2088"/>
        <v>51</v>
      </c>
      <c r="BB876" s="68">
        <f t="shared" si="2088"/>
        <v>155</v>
      </c>
      <c r="BC876" s="68">
        <f t="shared" si="2088"/>
        <v>-61</v>
      </c>
      <c r="BD876" s="1112">
        <f t="shared" si="2089"/>
        <v>192</v>
      </c>
      <c r="BE876" s="68">
        <f t="shared" si="2090"/>
        <v>70</v>
      </c>
      <c r="BF876" s="27">
        <f t="shared" si="2091"/>
        <v>-10</v>
      </c>
      <c r="BG876" s="68">
        <f t="shared" si="2091"/>
        <v>42</v>
      </c>
      <c r="BH876" s="68">
        <f t="shared" si="2091"/>
        <v>150</v>
      </c>
      <c r="BI876" s="1112">
        <f t="shared" si="2092"/>
        <v>252</v>
      </c>
      <c r="BJ876" s="68">
        <f t="shared" si="2093"/>
        <v>105</v>
      </c>
      <c r="BK876" s="27">
        <f t="shared" si="2094"/>
        <v>131</v>
      </c>
      <c r="BL876" s="68">
        <f t="shared" si="2094"/>
        <v>-28</v>
      </c>
      <c r="BM876" s="68">
        <f t="shared" si="2094"/>
        <v>306</v>
      </c>
      <c r="BN876" s="1112">
        <f t="shared" si="2095"/>
        <v>514</v>
      </c>
      <c r="BO876" s="68">
        <f t="shared" si="2096"/>
        <v>323</v>
      </c>
      <c r="BP876" s="27">
        <f t="shared" si="2097"/>
        <v>261</v>
      </c>
      <c r="BQ876" s="68">
        <f t="shared" si="2097"/>
        <v>265</v>
      </c>
      <c r="BR876" s="68">
        <f t="shared" si="2097"/>
        <v>372</v>
      </c>
      <c r="BS876" s="1112">
        <f t="shared" si="2098"/>
        <v>1221</v>
      </c>
      <c r="BT876" s="68">
        <f t="shared" si="2099"/>
        <v>350</v>
      </c>
      <c r="BU876" s="27">
        <f t="shared" si="2100"/>
        <v>629</v>
      </c>
      <c r="BV876" s="68">
        <f t="shared" si="2101"/>
        <v>332</v>
      </c>
      <c r="BW876" s="68">
        <f t="shared" si="2102"/>
        <v>533</v>
      </c>
      <c r="BX876" s="1112">
        <f t="shared" si="2103"/>
        <v>1844</v>
      </c>
      <c r="BY876" s="588">
        <f t="shared" si="2104"/>
        <v>1217</v>
      </c>
      <c r="BZ876" s="68"/>
      <c r="CA876" s="68"/>
      <c r="CB876" s="68"/>
      <c r="CC876" s="1112">
        <f t="shared" si="2105"/>
        <v>1217</v>
      </c>
      <c r="CD876" s="68"/>
      <c r="CE876" s="68"/>
      <c r="CF876" s="68"/>
      <c r="CG876" s="68"/>
      <c r="CH876" s="1112">
        <f t="shared" si="2106"/>
        <v>0</v>
      </c>
      <c r="CI876" s="1112"/>
      <c r="CJ876" s="1112"/>
      <c r="CK876" s="1112"/>
      <c r="CL876" s="155"/>
    </row>
    <row r="877" spans="1:90" x14ac:dyDescent="0.3">
      <c r="A877" s="59" t="str">
        <f t="shared" si="2009"/>
        <v>Net CFO</v>
      </c>
      <c r="B877" s="607"/>
      <c r="C877" s="1125">
        <f t="shared" ref="C877:AH877" si="2107">SUM(C868:C876)</f>
        <v>249.3600000000001</v>
      </c>
      <c r="D877" s="1125">
        <f t="shared" si="2107"/>
        <v>487.80700000000002</v>
      </c>
      <c r="E877" s="1125">
        <f t="shared" si="2107"/>
        <v>675.79700000000003</v>
      </c>
      <c r="F877" s="1125">
        <f t="shared" si="2107"/>
        <v>909.15600000000018</v>
      </c>
      <c r="G877" s="60">
        <f t="shared" si="2107"/>
        <v>-9.2080000000000126</v>
      </c>
      <c r="H877" s="60">
        <f t="shared" si="2107"/>
        <v>200.88600000000002</v>
      </c>
      <c r="I877" s="60">
        <f t="shared" si="2107"/>
        <v>181.48499999999996</v>
      </c>
      <c r="J877" s="60">
        <f t="shared" si="2107"/>
        <v>451.00900000000001</v>
      </c>
      <c r="K877" s="1125">
        <f t="shared" si="2107"/>
        <v>824.17199999999991</v>
      </c>
      <c r="L877" s="60">
        <f t="shared" si="2107"/>
        <v>175.64999999999998</v>
      </c>
      <c r="M877" s="60">
        <f t="shared" si="2107"/>
        <v>96.468999999999994</v>
      </c>
      <c r="N877" s="60">
        <f t="shared" si="2107"/>
        <v>162.31499999999994</v>
      </c>
      <c r="O877" s="60">
        <f t="shared" si="2107"/>
        <v>400.71199999999999</v>
      </c>
      <c r="P877" s="1125">
        <f t="shared" si="2107"/>
        <v>835.14599999999984</v>
      </c>
      <c r="Q877" s="60">
        <f t="shared" si="2107"/>
        <v>151</v>
      </c>
      <c r="R877" s="60">
        <f t="shared" si="2107"/>
        <v>96</v>
      </c>
      <c r="S877" s="60">
        <f t="shared" si="2107"/>
        <v>216</v>
      </c>
      <c r="T877" s="60">
        <f t="shared" si="2107"/>
        <v>443</v>
      </c>
      <c r="U877" s="1125">
        <f t="shared" si="2107"/>
        <v>906</v>
      </c>
      <c r="V877" s="60">
        <f t="shared" si="2107"/>
        <v>246</v>
      </c>
      <c r="W877" s="60">
        <f t="shared" si="2107"/>
        <v>163</v>
      </c>
      <c r="X877" s="60">
        <f t="shared" si="2107"/>
        <v>255</v>
      </c>
      <c r="Y877" s="60">
        <f t="shared" si="2107"/>
        <v>511</v>
      </c>
      <c r="Z877" s="1125">
        <f t="shared" si="2107"/>
        <v>1175</v>
      </c>
      <c r="AA877" s="60">
        <f t="shared" si="2107"/>
        <v>319</v>
      </c>
      <c r="AB877" s="60">
        <f t="shared" si="2107"/>
        <v>200</v>
      </c>
      <c r="AC877" s="60">
        <f t="shared" si="2107"/>
        <v>432</v>
      </c>
      <c r="AD877" s="60">
        <f t="shared" si="2107"/>
        <v>721</v>
      </c>
      <c r="AE877" s="1125">
        <f t="shared" si="2107"/>
        <v>1672</v>
      </c>
      <c r="AF877" s="60">
        <f t="shared" si="2107"/>
        <v>282</v>
      </c>
      <c r="AG877" s="60">
        <f t="shared" si="2107"/>
        <v>705</v>
      </c>
      <c r="AH877" s="60">
        <f t="shared" si="2107"/>
        <v>1157</v>
      </c>
      <c r="AI877" s="60">
        <f t="shared" ref="AI877:AV877" si="2108">SUM(AI868:AI876)</f>
        <v>1358</v>
      </c>
      <c r="AJ877" s="1125">
        <f t="shared" si="2108"/>
        <v>3502</v>
      </c>
      <c r="AK877" s="60">
        <f t="shared" si="2108"/>
        <v>1445</v>
      </c>
      <c r="AL877" s="60">
        <f t="shared" si="2108"/>
        <v>913</v>
      </c>
      <c r="AM877" s="60">
        <f t="shared" si="2108"/>
        <v>487</v>
      </c>
      <c r="AN877" s="61">
        <f t="shared" si="2108"/>
        <v>898</v>
      </c>
      <c r="AO877" s="1124">
        <f t="shared" si="2108"/>
        <v>3743</v>
      </c>
      <c r="AP877" s="60">
        <f t="shared" si="2108"/>
        <v>720</v>
      </c>
      <c r="AQ877" s="60">
        <f t="shared" si="2108"/>
        <v>936</v>
      </c>
      <c r="AR877" s="60">
        <f t="shared" si="2108"/>
        <v>1640</v>
      </c>
      <c r="AS877" s="61">
        <f t="shared" si="2108"/>
        <v>1465</v>
      </c>
      <c r="AT877" s="1124">
        <f t="shared" si="2108"/>
        <v>4761</v>
      </c>
      <c r="AU877" s="60">
        <f t="shared" si="2108"/>
        <v>909</v>
      </c>
      <c r="AV877" s="60">
        <f t="shared" si="2108"/>
        <v>1567</v>
      </c>
      <c r="AW877" s="60">
        <f t="shared" ref="AW877:BB877" si="2109">SUM(AW868:AW876)</f>
        <v>1279</v>
      </c>
      <c r="AX877" s="61">
        <f t="shared" si="2109"/>
        <v>2067</v>
      </c>
      <c r="AY877" s="1124">
        <f t="shared" si="2109"/>
        <v>5822</v>
      </c>
      <c r="AZ877" s="60">
        <f t="shared" si="2109"/>
        <v>1874</v>
      </c>
      <c r="BA877" s="60">
        <f t="shared" si="2109"/>
        <v>2682</v>
      </c>
      <c r="BB877" s="60">
        <f t="shared" si="2109"/>
        <v>1519</v>
      </c>
      <c r="BC877" s="61">
        <f t="shared" ref="BC877:BD877" si="2110">SUM(BC868:BC876)</f>
        <v>3033</v>
      </c>
      <c r="BD877" s="1124">
        <f t="shared" si="2110"/>
        <v>9108</v>
      </c>
      <c r="BE877" s="60">
        <f t="shared" ref="BE877:BI877" si="2111">SUM(BE868:BE876)</f>
        <v>1731</v>
      </c>
      <c r="BF877" s="60">
        <f t="shared" si="2111"/>
        <v>1270</v>
      </c>
      <c r="BG877" s="60">
        <f t="shared" si="2111"/>
        <v>392</v>
      </c>
      <c r="BH877" s="61">
        <f t="shared" si="2111"/>
        <v>2248</v>
      </c>
      <c r="BI877" s="1124">
        <f t="shared" si="2111"/>
        <v>5641</v>
      </c>
      <c r="BJ877" s="60">
        <f t="shared" ref="BJ877:BN877" si="2112">SUM(BJ868:BJ876)</f>
        <v>2911</v>
      </c>
      <c r="BK877" s="60">
        <f t="shared" si="2112"/>
        <v>6348</v>
      </c>
      <c r="BL877" s="60">
        <f t="shared" si="2112"/>
        <v>7332</v>
      </c>
      <c r="BM877" s="61">
        <f t="shared" si="2112"/>
        <v>11499</v>
      </c>
      <c r="BN877" s="1124">
        <f t="shared" si="2112"/>
        <v>28090</v>
      </c>
      <c r="BO877" s="60">
        <f t="shared" ref="BO877:BS877" si="2113">SUM(BO868:BO876)</f>
        <v>15345</v>
      </c>
      <c r="BP877" s="60">
        <f t="shared" si="2113"/>
        <v>14488</v>
      </c>
      <c r="BQ877" s="60">
        <f t="shared" si="2113"/>
        <v>17627</v>
      </c>
      <c r="BR877" s="61">
        <f t="shared" si="2113"/>
        <v>16629</v>
      </c>
      <c r="BS877" s="1124">
        <f t="shared" si="2113"/>
        <v>64089</v>
      </c>
      <c r="BT877" s="60">
        <f t="shared" ref="BT877:CK877" si="2114">SUM(BT868:BT876)</f>
        <v>27414</v>
      </c>
      <c r="BU877" s="60">
        <f t="shared" si="2114"/>
        <v>15365</v>
      </c>
      <c r="BV877" s="60">
        <f t="shared" si="2114"/>
        <v>23751</v>
      </c>
      <c r="BW877" s="61">
        <f t="shared" si="2114"/>
        <v>36188</v>
      </c>
      <c r="BX877" s="1124">
        <f t="shared" si="2114"/>
        <v>102718</v>
      </c>
      <c r="BY877" s="895">
        <f>SUM(BY868:BY876)</f>
        <v>50344</v>
      </c>
      <c r="BZ877" s="61">
        <f t="shared" si="2114"/>
        <v>42203.564682335018</v>
      </c>
      <c r="CA877" s="61">
        <f t="shared" si="2114"/>
        <v>38102.162374983091</v>
      </c>
      <c r="CB877" s="61">
        <f t="shared" si="2114"/>
        <v>56397.146525286982</v>
      </c>
      <c r="CC877" s="1124">
        <f t="shared" si="2114"/>
        <v>187046.8735826051</v>
      </c>
      <c r="CD877" s="61">
        <f t="shared" si="2114"/>
        <v>70933.272746162402</v>
      </c>
      <c r="CE877" s="61">
        <f t="shared" si="2114"/>
        <v>59756.667629460499</v>
      </c>
      <c r="CF877" s="61">
        <f t="shared" si="2114"/>
        <v>50760.21175559087</v>
      </c>
      <c r="CG877" s="61">
        <f t="shared" si="2114"/>
        <v>73358.85842787032</v>
      </c>
      <c r="CH877" s="1124">
        <f t="shared" si="2114"/>
        <v>254809.01055908413</v>
      </c>
      <c r="CI877" s="1124">
        <f t="shared" si="2114"/>
        <v>313133.11661453283</v>
      </c>
      <c r="CJ877" s="1124">
        <f t="shared" si="2114"/>
        <v>375506.99208045547</v>
      </c>
      <c r="CK877" s="1124">
        <f t="shared" si="2114"/>
        <v>448394.83568208438</v>
      </c>
      <c r="CL877" s="155"/>
    </row>
    <row r="878" spans="1:90" x14ac:dyDescent="0.3">
      <c r="A878" s="600"/>
      <c r="B878" s="279"/>
      <c r="C878" s="1127"/>
      <c r="D878" s="1127"/>
      <c r="E878" s="1127"/>
      <c r="F878" s="1127"/>
      <c r="G878" s="63"/>
      <c r="H878" s="63"/>
      <c r="I878" s="63"/>
      <c r="J878" s="63"/>
      <c r="K878" s="1127"/>
      <c r="L878" s="63"/>
      <c r="M878" s="63"/>
      <c r="N878" s="63"/>
      <c r="O878" s="63"/>
      <c r="P878" s="1127"/>
      <c r="Q878" s="63"/>
      <c r="R878" s="63"/>
      <c r="S878" s="63"/>
      <c r="T878" s="63"/>
      <c r="U878" s="1127"/>
      <c r="V878" s="63"/>
      <c r="W878" s="63"/>
      <c r="X878" s="63"/>
      <c r="Y878" s="63"/>
      <c r="Z878" s="1127"/>
      <c r="AA878" s="63"/>
      <c r="AB878" s="63"/>
      <c r="AC878" s="63"/>
      <c r="AD878" s="63"/>
      <c r="AE878" s="1127"/>
      <c r="AF878" s="63"/>
      <c r="AG878" s="63"/>
      <c r="AH878" s="63"/>
      <c r="AI878" s="63"/>
      <c r="AJ878" s="1127"/>
      <c r="AK878" s="63"/>
      <c r="AL878" s="63"/>
      <c r="AM878" s="63"/>
      <c r="AN878" s="63"/>
      <c r="AO878" s="1127"/>
      <c r="AP878" s="63"/>
      <c r="AQ878" s="63"/>
      <c r="AR878" s="63"/>
      <c r="AS878" s="63"/>
      <c r="AT878" s="1127"/>
      <c r="AU878" s="63"/>
      <c r="AV878" s="63"/>
      <c r="AW878" s="63"/>
      <c r="AX878" s="63"/>
      <c r="AY878" s="1127"/>
      <c r="AZ878" s="63"/>
      <c r="BA878" s="63"/>
      <c r="BB878" s="63"/>
      <c r="BC878" s="63"/>
      <c r="BD878" s="1127"/>
      <c r="BE878" s="63"/>
      <c r="BF878" s="63"/>
      <c r="BG878" s="63"/>
      <c r="BH878" s="63"/>
      <c r="BI878" s="1127"/>
      <c r="BJ878" s="63"/>
      <c r="BK878" s="63"/>
      <c r="BL878" s="63"/>
      <c r="BM878" s="63"/>
      <c r="BN878" s="1127"/>
      <c r="BO878" s="63"/>
      <c r="BP878" s="63"/>
      <c r="BQ878" s="63"/>
      <c r="BR878" s="63"/>
      <c r="BS878" s="1127"/>
      <c r="BT878" s="63"/>
      <c r="BU878" s="63"/>
      <c r="BV878" s="63"/>
      <c r="BW878" s="63"/>
      <c r="BX878" s="1127"/>
      <c r="BY878" s="587"/>
      <c r="BZ878" s="63"/>
      <c r="CA878" s="63"/>
      <c r="CB878" s="63"/>
      <c r="CC878" s="1127"/>
      <c r="CD878" s="63"/>
      <c r="CE878" s="63"/>
      <c r="CF878" s="63"/>
      <c r="CG878" s="63"/>
      <c r="CH878" s="1127"/>
      <c r="CI878" s="1127"/>
      <c r="CJ878" s="1127"/>
      <c r="CK878" s="1127"/>
      <c r="CL878" s="155"/>
    </row>
    <row r="879" spans="1:90" x14ac:dyDescent="0.3">
      <c r="A879" s="62" t="str">
        <f t="shared" ref="A879:A890" si="2115">A807</f>
        <v>CFI</v>
      </c>
      <c r="B879" s="279"/>
      <c r="C879" s="1127"/>
      <c r="D879" s="1127"/>
      <c r="E879" s="1127"/>
      <c r="F879" s="1127"/>
      <c r="G879" s="63"/>
      <c r="H879" s="63"/>
      <c r="I879" s="63"/>
      <c r="J879" s="63"/>
      <c r="K879" s="1127"/>
      <c r="L879" s="63"/>
      <c r="M879" s="63"/>
      <c r="N879" s="63"/>
      <c r="O879" s="63"/>
      <c r="P879" s="1127"/>
      <c r="Q879" s="63"/>
      <c r="R879" s="63"/>
      <c r="S879" s="63"/>
      <c r="T879" s="63"/>
      <c r="U879" s="1127"/>
      <c r="V879" s="63"/>
      <c r="W879" s="63"/>
      <c r="X879" s="63"/>
      <c r="Y879" s="63"/>
      <c r="Z879" s="1127"/>
      <c r="AA879" s="63"/>
      <c r="AB879" s="63"/>
      <c r="AC879" s="63"/>
      <c r="AD879" s="63"/>
      <c r="AE879" s="1127"/>
      <c r="AF879" s="63"/>
      <c r="AG879" s="63"/>
      <c r="AH879" s="63"/>
      <c r="AI879" s="63"/>
      <c r="AJ879" s="1127"/>
      <c r="AK879" s="63"/>
      <c r="AL879" s="63"/>
      <c r="AM879" s="63"/>
      <c r="AN879" s="63"/>
      <c r="AO879" s="1127"/>
      <c r="AP879" s="63"/>
      <c r="AQ879" s="63"/>
      <c r="AR879" s="63"/>
      <c r="AS879" s="63"/>
      <c r="AT879" s="1127"/>
      <c r="AU879" s="63"/>
      <c r="AV879" s="63"/>
      <c r="AW879" s="63"/>
      <c r="AX879" s="63"/>
      <c r="AY879" s="1127"/>
      <c r="AZ879" s="63"/>
      <c r="BA879" s="63"/>
      <c r="BB879" s="63"/>
      <c r="BC879" s="63"/>
      <c r="BD879" s="1127"/>
      <c r="BE879" s="63"/>
      <c r="BF879" s="63"/>
      <c r="BG879" s="63"/>
      <c r="BH879" s="63"/>
      <c r="BI879" s="1127"/>
      <c r="BJ879" s="63"/>
      <c r="BK879" s="63"/>
      <c r="BL879" s="63"/>
      <c r="BM879" s="63"/>
      <c r="BN879" s="1127"/>
      <c r="BO879" s="63"/>
      <c r="BP879" s="63"/>
      <c r="BQ879" s="63"/>
      <c r="BR879" s="63"/>
      <c r="BS879" s="1127"/>
      <c r="BT879" s="63"/>
      <c r="BU879" s="63"/>
      <c r="BV879" s="63"/>
      <c r="BW879" s="63"/>
      <c r="BX879" s="1127"/>
      <c r="BY879" s="587"/>
      <c r="BZ879" s="63"/>
      <c r="CA879" s="63"/>
      <c r="CB879" s="63"/>
      <c r="CC879" s="1127"/>
      <c r="CD879" s="63"/>
      <c r="CE879" s="63"/>
      <c r="CF879" s="63"/>
      <c r="CG879" s="63"/>
      <c r="CH879" s="1127"/>
      <c r="CI879" s="1127"/>
      <c r="CJ879" s="1127"/>
      <c r="CK879" s="1127"/>
      <c r="CL879" s="155"/>
    </row>
    <row r="880" spans="1:90" x14ac:dyDescent="0.3">
      <c r="A880" s="99" t="str">
        <f t="shared" si="2115"/>
        <v>Purchases of marketable securities</v>
      </c>
      <c r="B880" s="68"/>
      <c r="C880" s="1112">
        <f t="shared" ref="C880:G889" si="2116">C808</f>
        <v>-999.95299999999997</v>
      </c>
      <c r="D880" s="1112">
        <f t="shared" si="2116"/>
        <v>-1193.9480000000001</v>
      </c>
      <c r="E880" s="1112">
        <f t="shared" si="2116"/>
        <v>-1719.7</v>
      </c>
      <c r="F880" s="1112">
        <f t="shared" si="2116"/>
        <v>-1964.8979999999999</v>
      </c>
      <c r="G880" s="68">
        <f t="shared" si="2116"/>
        <v>-814.22199999999998</v>
      </c>
      <c r="H880" s="68">
        <f t="shared" ref="H880:J889" si="2117">H808-G808</f>
        <v>-433.44200000000001</v>
      </c>
      <c r="I880" s="68">
        <f t="shared" si="2117"/>
        <v>-481.64300000000003</v>
      </c>
      <c r="J880" s="68">
        <f t="shared" si="2117"/>
        <v>-649.13800000000015</v>
      </c>
      <c r="K880" s="1112">
        <f t="shared" ref="K880:L889" si="2118">K808</f>
        <v>-2378.4450000000002</v>
      </c>
      <c r="L880" s="68">
        <f t="shared" si="2118"/>
        <v>-541.95000000000005</v>
      </c>
      <c r="M880" s="68">
        <f t="shared" ref="M880:O889" si="2119">M808-L808</f>
        <v>-394.26400000000001</v>
      </c>
      <c r="N880" s="68">
        <f t="shared" si="2119"/>
        <v>-484.25699999999995</v>
      </c>
      <c r="O880" s="68">
        <f t="shared" si="2119"/>
        <v>-1644.933</v>
      </c>
      <c r="P880" s="1112">
        <f t="shared" ref="P880:Q889" si="2120">P808</f>
        <v>-3065.404</v>
      </c>
      <c r="Q880" s="68">
        <f t="shared" si="2120"/>
        <v>-1001</v>
      </c>
      <c r="R880" s="68">
        <f t="shared" ref="R880:T889" si="2121">R808-Q808</f>
        <v>-682</v>
      </c>
      <c r="S880" s="68">
        <f t="shared" si="2121"/>
        <v>-443</v>
      </c>
      <c r="T880" s="68">
        <f t="shared" si="2121"/>
        <v>-736</v>
      </c>
      <c r="U880" s="1112">
        <f t="shared" ref="U880:V889" si="2122">U808</f>
        <v>-2862</v>
      </c>
      <c r="V880" s="68">
        <f t="shared" si="2122"/>
        <v>-1267</v>
      </c>
      <c r="W880" s="68">
        <f t="shared" ref="W880:Y889" si="2123">W808-V808</f>
        <v>-594</v>
      </c>
      <c r="X880" s="68">
        <f t="shared" si="2123"/>
        <v>-808</v>
      </c>
      <c r="Y880" s="68">
        <f t="shared" si="2123"/>
        <v>-808</v>
      </c>
      <c r="Z880" s="1112">
        <f t="shared" ref="Z880:Z889" si="2124">SUM(V880,W880,X880,Y880)</f>
        <v>-3477</v>
      </c>
      <c r="AA880" s="68">
        <f t="shared" ref="AA880:AA889" si="2125">AA808</f>
        <v>-469</v>
      </c>
      <c r="AB880" s="68">
        <f t="shared" ref="AB880:AD889" si="2126">AB808-AA808</f>
        <v>-946</v>
      </c>
      <c r="AC880" s="68">
        <f t="shared" si="2126"/>
        <v>-834</v>
      </c>
      <c r="AD880" s="68">
        <f t="shared" si="2126"/>
        <v>-885</v>
      </c>
      <c r="AE880" s="1112">
        <f t="shared" ref="AE880:AE889" si="2127">SUM(AA880,AB880,AC880,AD880)</f>
        <v>-3134</v>
      </c>
      <c r="AF880" s="68">
        <f t="shared" ref="AF880:AF889" si="2128">AF808</f>
        <v>-36</v>
      </c>
      <c r="AG880" s="68">
        <f t="shared" ref="AG880:AI889" si="2129">AG808-AF808</f>
        <v>0</v>
      </c>
      <c r="AH880" s="68">
        <f t="shared" si="2129"/>
        <v>0</v>
      </c>
      <c r="AI880" s="68">
        <f t="shared" si="2129"/>
        <v>0</v>
      </c>
      <c r="AJ880" s="1112">
        <f t="shared" ref="AJ880:AJ889" si="2130">SUM(AF880,AG880,AH880,AI880)</f>
        <v>-36</v>
      </c>
      <c r="AK880" s="68">
        <f t="shared" ref="AK880:AK889" si="2131">AK808</f>
        <v>-3705</v>
      </c>
      <c r="AL880" s="68">
        <f t="shared" ref="AL880:AN889" si="2132">AL808-AK808</f>
        <v>-3431</v>
      </c>
      <c r="AM880" s="68">
        <f t="shared" si="2132"/>
        <v>-2976</v>
      </c>
      <c r="AN880" s="68">
        <f t="shared" si="2132"/>
        <v>-1036</v>
      </c>
      <c r="AO880" s="1112">
        <f t="shared" ref="AO880:AO889" si="2133">SUM(AK880,AL880,AM880,AN880)</f>
        <v>-11148</v>
      </c>
      <c r="AP880" s="68">
        <f t="shared" ref="AP880:AP889" si="2134">AP808</f>
        <v>-622</v>
      </c>
      <c r="AQ880" s="27">
        <f t="shared" ref="AQ880:AS889" si="2135">AQ808-AP808</f>
        <v>-839</v>
      </c>
      <c r="AR880" s="68">
        <f t="shared" si="2135"/>
        <v>0</v>
      </c>
      <c r="AS880" s="68">
        <f t="shared" si="2135"/>
        <v>0</v>
      </c>
      <c r="AT880" s="1112">
        <f t="shared" ref="AT880:AT889" si="2136">SUM(AP880,AQ880,AR880,AS880)</f>
        <v>-1461</v>
      </c>
      <c r="AU880" s="68">
        <f t="shared" ref="AU880:AU889" si="2137">AU808</f>
        <v>-861</v>
      </c>
      <c r="AV880" s="27">
        <f t="shared" ref="AV880:AX889" si="2138">AV808-AU808</f>
        <v>-7425</v>
      </c>
      <c r="AW880" s="68">
        <f t="shared" si="2138"/>
        <v>-4554</v>
      </c>
      <c r="AX880" s="68">
        <f t="shared" si="2138"/>
        <v>-6468</v>
      </c>
      <c r="AY880" s="1112">
        <f t="shared" ref="AY880:AY889" si="2139">SUM(AU880,AV880,AW880,AX880)</f>
        <v>-19308</v>
      </c>
      <c r="AZ880" s="68">
        <f t="shared" ref="AZ880:AZ889" si="2140">AZ808</f>
        <v>-4470</v>
      </c>
      <c r="BA880" s="27">
        <f t="shared" ref="BA880:BC889" si="2141">BA808-AZ808</f>
        <v>-4798</v>
      </c>
      <c r="BB880" s="68">
        <f t="shared" si="2141"/>
        <v>-6752</v>
      </c>
      <c r="BC880" s="68">
        <f t="shared" si="2141"/>
        <v>-8767</v>
      </c>
      <c r="BD880" s="1112">
        <f t="shared" ref="BD880:BD889" si="2142">SUM(AZ880,BA880,BB880,BC880)</f>
        <v>-24787</v>
      </c>
      <c r="BE880" s="68">
        <f t="shared" ref="BE880:BE889" si="2143">BE808</f>
        <v>-3932</v>
      </c>
      <c r="BF880" s="27">
        <f t="shared" ref="BF880:BH889" si="2144">BF808-BE808</f>
        <v>-3644</v>
      </c>
      <c r="BG880" s="68">
        <f t="shared" si="2144"/>
        <v>-2188</v>
      </c>
      <c r="BH880" s="68">
        <f t="shared" si="2144"/>
        <v>-2133</v>
      </c>
      <c r="BI880" s="1112">
        <f t="shared" ref="BI880:BI889" si="2145">SUM(BE880,BF880,BG880,BH880)</f>
        <v>-11897</v>
      </c>
      <c r="BJ880" s="68">
        <f t="shared" ref="BJ880:BJ889" si="2146">BJ808</f>
        <v>-2801</v>
      </c>
      <c r="BK880" s="27">
        <f t="shared" ref="BK880:BM889" si="2147">BK808-BJ808</f>
        <v>-2542</v>
      </c>
      <c r="BL880" s="68">
        <f t="shared" si="2147"/>
        <v>-5345</v>
      </c>
      <c r="BM880" s="68">
        <f t="shared" si="2147"/>
        <v>-7523</v>
      </c>
      <c r="BN880" s="1112">
        <f t="shared" ref="BN880:BN889" si="2148">SUM(BJ880,BK880,BL880,BM880)</f>
        <v>-18211</v>
      </c>
      <c r="BO880" s="68">
        <f t="shared" ref="BO880:BO889" si="2149">BO808</f>
        <v>-9303</v>
      </c>
      <c r="BP880" s="27">
        <f t="shared" ref="BP880:BR889" si="2150">BP808-BO808</f>
        <v>-5744</v>
      </c>
      <c r="BQ880" s="68">
        <f t="shared" si="2150"/>
        <v>-4518</v>
      </c>
      <c r="BR880" s="68">
        <f t="shared" si="2150"/>
        <v>-7010</v>
      </c>
      <c r="BS880" s="1112">
        <f t="shared" ref="BS880:BS889" si="2151">SUM(BO880,BP880,BQ880,BR880)</f>
        <v>-26575</v>
      </c>
      <c r="BT880" s="68">
        <f t="shared" ref="BT880:BT889" si="2152">BT808</f>
        <v>-6546</v>
      </c>
      <c r="BU880" s="27">
        <f t="shared" ref="BU880:BU889" si="2153">BU808-BT808</f>
        <v>-7812</v>
      </c>
      <c r="BV880" s="68">
        <f t="shared" ref="BV880:BV889" si="2154">BV808-BU808</f>
        <v>-5718</v>
      </c>
      <c r="BW880" s="68">
        <f t="shared" ref="BW880:BW889" si="2155">BW808-BV808</f>
        <v>-20540</v>
      </c>
      <c r="BX880" s="1112">
        <f>SUM(BT880,BU880,BV880,BW880)</f>
        <v>-40616</v>
      </c>
      <c r="BY880" s="588">
        <f t="shared" ref="BY880:BY889" si="2156">BY808</f>
        <v>-8000</v>
      </c>
      <c r="BZ880" s="68"/>
      <c r="CA880" s="68"/>
      <c r="CB880" s="68"/>
      <c r="CC880" s="1112">
        <f t="shared" ref="CC880:CC889" si="2157">SUM(BY880,BZ880,CA880,CB880)</f>
        <v>-8000</v>
      </c>
      <c r="CD880" s="68"/>
      <c r="CE880" s="68"/>
      <c r="CF880" s="68"/>
      <c r="CG880" s="68"/>
      <c r="CH880" s="1112">
        <f t="shared" ref="CH880:CH889" si="2158">SUM(CD880,CE880,CF880,CG880)</f>
        <v>0</v>
      </c>
      <c r="CI880" s="1112"/>
      <c r="CJ880" s="1112"/>
      <c r="CK880" s="1112"/>
      <c r="CL880" s="155"/>
    </row>
    <row r="881" spans="1:90" x14ac:dyDescent="0.3">
      <c r="A881" s="99" t="str">
        <f t="shared" si="2115"/>
        <v>Proceeds from sales of marketable securities</v>
      </c>
      <c r="B881" s="68"/>
      <c r="C881" s="1112">
        <f t="shared" si="2116"/>
        <v>1226.646</v>
      </c>
      <c r="D881" s="1112">
        <f t="shared" si="2116"/>
        <v>752.43399999999997</v>
      </c>
      <c r="E881" s="1112">
        <f t="shared" si="2116"/>
        <v>1170.075</v>
      </c>
      <c r="F881" s="1112">
        <f t="shared" si="2116"/>
        <v>1310.7429999999999</v>
      </c>
      <c r="G881" s="68">
        <f t="shared" si="2116"/>
        <v>507.875</v>
      </c>
      <c r="H881" s="68">
        <f t="shared" si="2117"/>
        <v>-31.495999999999981</v>
      </c>
      <c r="I881" s="68">
        <f t="shared" si="2117"/>
        <v>159.35399999999993</v>
      </c>
      <c r="J881" s="68">
        <f t="shared" si="2117"/>
        <v>219.2600000000001</v>
      </c>
      <c r="K881" s="1112">
        <f t="shared" si="2118"/>
        <v>854.99300000000005</v>
      </c>
      <c r="L881" s="68">
        <f t="shared" si="2118"/>
        <v>199.19900000000001</v>
      </c>
      <c r="M881" s="68">
        <f t="shared" si="2119"/>
        <v>1049.3119999999999</v>
      </c>
      <c r="N881" s="68">
        <f t="shared" si="2119"/>
        <v>226.89200000000005</v>
      </c>
      <c r="O881" s="68">
        <f t="shared" si="2119"/>
        <v>451.41399999999999</v>
      </c>
      <c r="P881" s="1112">
        <f t="shared" si="2120"/>
        <v>1926.817</v>
      </c>
      <c r="Q881" s="68">
        <f t="shared" si="2120"/>
        <v>545</v>
      </c>
      <c r="R881" s="68">
        <f t="shared" si="2121"/>
        <v>324</v>
      </c>
      <c r="S881" s="68">
        <f t="shared" si="2121"/>
        <v>231</v>
      </c>
      <c r="T881" s="68">
        <f t="shared" si="2121"/>
        <v>272</v>
      </c>
      <c r="U881" s="1112">
        <f t="shared" si="2122"/>
        <v>1372</v>
      </c>
      <c r="V881" s="68">
        <f t="shared" si="2122"/>
        <v>825</v>
      </c>
      <c r="W881" s="68">
        <f t="shared" si="2123"/>
        <v>590</v>
      </c>
      <c r="X881" s="68">
        <f t="shared" si="2123"/>
        <v>236</v>
      </c>
      <c r="Y881" s="68">
        <f t="shared" si="2123"/>
        <v>451</v>
      </c>
      <c r="Z881" s="1112">
        <f t="shared" si="2124"/>
        <v>2102</v>
      </c>
      <c r="AA881" s="68">
        <f t="shared" si="2125"/>
        <v>175</v>
      </c>
      <c r="AB881" s="68">
        <f t="shared" si="2126"/>
        <v>331</v>
      </c>
      <c r="AC881" s="68">
        <f t="shared" si="2126"/>
        <v>206</v>
      </c>
      <c r="AD881" s="68">
        <f t="shared" si="2126"/>
        <v>834</v>
      </c>
      <c r="AE881" s="1112">
        <f t="shared" si="2127"/>
        <v>1546</v>
      </c>
      <c r="AF881" s="68">
        <f t="shared" si="2128"/>
        <v>649</v>
      </c>
      <c r="AG881" s="68">
        <f t="shared" si="2129"/>
        <v>-199</v>
      </c>
      <c r="AH881" s="68">
        <f t="shared" si="2129"/>
        <v>352</v>
      </c>
      <c r="AI881" s="68">
        <f t="shared" si="2129"/>
        <v>61</v>
      </c>
      <c r="AJ881" s="1112">
        <f t="shared" si="2130"/>
        <v>863</v>
      </c>
      <c r="AK881" s="68">
        <f t="shared" si="2131"/>
        <v>33</v>
      </c>
      <c r="AL881" s="68">
        <f t="shared" si="2132"/>
        <v>44</v>
      </c>
      <c r="AM881" s="68">
        <f t="shared" si="2132"/>
        <v>37</v>
      </c>
      <c r="AN881" s="68">
        <f t="shared" si="2132"/>
        <v>314</v>
      </c>
      <c r="AO881" s="1112">
        <f t="shared" si="2133"/>
        <v>428</v>
      </c>
      <c r="AP881" s="68">
        <f t="shared" si="2134"/>
        <v>26</v>
      </c>
      <c r="AQ881" s="27">
        <f t="shared" si="2135"/>
        <v>3126</v>
      </c>
      <c r="AR881" s="68">
        <f t="shared" si="2135"/>
        <v>211</v>
      </c>
      <c r="AS881" s="68">
        <f t="shared" si="2135"/>
        <v>2</v>
      </c>
      <c r="AT881" s="1112">
        <f t="shared" si="2136"/>
        <v>3365</v>
      </c>
      <c r="AU881" s="68">
        <f t="shared" si="2137"/>
        <v>1</v>
      </c>
      <c r="AV881" s="27">
        <f t="shared" si="2138"/>
        <v>258</v>
      </c>
      <c r="AW881" s="68">
        <f t="shared" si="2138"/>
        <v>243</v>
      </c>
      <c r="AX881" s="68">
        <f t="shared" si="2138"/>
        <v>25</v>
      </c>
      <c r="AY881" s="1112">
        <f t="shared" si="2139"/>
        <v>527</v>
      </c>
      <c r="AZ881" s="68">
        <f t="shared" si="2140"/>
        <v>358</v>
      </c>
      <c r="BA881" s="27">
        <f t="shared" si="2141"/>
        <v>347</v>
      </c>
      <c r="BB881" s="68">
        <f t="shared" si="2141"/>
        <v>211</v>
      </c>
      <c r="BC881" s="68">
        <f t="shared" si="2141"/>
        <v>107</v>
      </c>
      <c r="BD881" s="1112">
        <f t="shared" si="2142"/>
        <v>1023</v>
      </c>
      <c r="BE881" s="68">
        <f t="shared" si="2143"/>
        <v>1029</v>
      </c>
      <c r="BF881" s="27">
        <f t="shared" si="2144"/>
        <v>702</v>
      </c>
      <c r="BG881" s="68">
        <f t="shared" si="2144"/>
        <v>75</v>
      </c>
      <c r="BH881" s="68">
        <f t="shared" si="2144"/>
        <v>0</v>
      </c>
      <c r="BI881" s="1112">
        <f t="shared" si="2145"/>
        <v>1806</v>
      </c>
      <c r="BJ881" s="68">
        <f t="shared" si="2146"/>
        <v>0</v>
      </c>
      <c r="BK881" s="27">
        <f t="shared" si="2147"/>
        <v>0</v>
      </c>
      <c r="BL881" s="68">
        <f t="shared" si="2147"/>
        <v>0</v>
      </c>
      <c r="BM881" s="68">
        <f t="shared" si="2147"/>
        <v>50</v>
      </c>
      <c r="BN881" s="1112">
        <f t="shared" si="2148"/>
        <v>50</v>
      </c>
      <c r="BO881" s="68">
        <f t="shared" si="2149"/>
        <v>149</v>
      </c>
      <c r="BP881" s="27">
        <f t="shared" si="2150"/>
        <v>15</v>
      </c>
      <c r="BQ881" s="68">
        <f t="shared" si="2150"/>
        <v>154</v>
      </c>
      <c r="BR881" s="68">
        <f t="shared" si="2150"/>
        <v>177</v>
      </c>
      <c r="BS881" s="1112">
        <f t="shared" si="2151"/>
        <v>495</v>
      </c>
      <c r="BT881" s="68">
        <f t="shared" si="2152"/>
        <v>467</v>
      </c>
      <c r="BU881" s="27">
        <f t="shared" si="2153"/>
        <v>20</v>
      </c>
      <c r="BV881" s="68">
        <f t="shared" si="2154"/>
        <v>0</v>
      </c>
      <c r="BW881" s="68">
        <f t="shared" si="2155"/>
        <v>14670</v>
      </c>
      <c r="BX881" s="1112">
        <f>SUM(BT881,BU881,BV881,BW881)</f>
        <v>15157</v>
      </c>
      <c r="BY881" s="588">
        <f t="shared" si="2156"/>
        <v>25</v>
      </c>
      <c r="BZ881" s="68"/>
      <c r="CA881" s="68"/>
      <c r="CB881" s="68"/>
      <c r="CC881" s="1112">
        <f t="shared" si="2157"/>
        <v>25</v>
      </c>
      <c r="CD881" s="68"/>
      <c r="CE881" s="68"/>
      <c r="CF881" s="68"/>
      <c r="CG881" s="68"/>
      <c r="CH881" s="1112">
        <f t="shared" si="2158"/>
        <v>0</v>
      </c>
      <c r="CI881" s="1112"/>
      <c r="CJ881" s="1112"/>
      <c r="CK881" s="1112"/>
      <c r="CL881" s="155"/>
    </row>
    <row r="882" spans="1:90" x14ac:dyDescent="0.3">
      <c r="A882" s="99" t="str">
        <f t="shared" si="2115"/>
        <v>Proceeds from maturities of marketable securities</v>
      </c>
      <c r="B882" s="68"/>
      <c r="C882" s="1112">
        <f t="shared" si="2116"/>
        <v>0</v>
      </c>
      <c r="D882" s="1112">
        <f t="shared" si="2116"/>
        <v>0</v>
      </c>
      <c r="E882" s="1112">
        <f t="shared" si="2116"/>
        <v>0</v>
      </c>
      <c r="F882" s="1112">
        <f t="shared" si="2116"/>
        <v>0</v>
      </c>
      <c r="G882" s="68">
        <f t="shared" si="2116"/>
        <v>0</v>
      </c>
      <c r="H882" s="68">
        <f t="shared" si="2117"/>
        <v>442.47699999999998</v>
      </c>
      <c r="I882" s="68">
        <f t="shared" si="2117"/>
        <v>183.95699999999999</v>
      </c>
      <c r="J882" s="68">
        <f t="shared" si="2117"/>
        <v>335.98300000000006</v>
      </c>
      <c r="K882" s="1112">
        <f t="shared" si="2118"/>
        <v>962.41700000000003</v>
      </c>
      <c r="L882" s="68">
        <f t="shared" si="2118"/>
        <v>179.08199999999999</v>
      </c>
      <c r="M882" s="68">
        <f t="shared" si="2119"/>
        <v>141.75600000000003</v>
      </c>
      <c r="N882" s="68">
        <f t="shared" si="2119"/>
        <v>126.29599999999999</v>
      </c>
      <c r="O882" s="68">
        <f t="shared" si="2119"/>
        <v>138.01599999999996</v>
      </c>
      <c r="P882" s="1112">
        <f t="shared" si="2120"/>
        <v>585.15</v>
      </c>
      <c r="Q882" s="68">
        <f t="shared" si="2120"/>
        <v>134</v>
      </c>
      <c r="R882" s="68">
        <f t="shared" si="2121"/>
        <v>317</v>
      </c>
      <c r="S882" s="68">
        <f t="shared" si="2121"/>
        <v>237</v>
      </c>
      <c r="T882" s="68">
        <f t="shared" si="2121"/>
        <v>177</v>
      </c>
      <c r="U882" s="1112">
        <f t="shared" si="2122"/>
        <v>865</v>
      </c>
      <c r="V882" s="68">
        <f t="shared" si="2122"/>
        <v>238</v>
      </c>
      <c r="W882" s="68">
        <f t="shared" si="2123"/>
        <v>249</v>
      </c>
      <c r="X882" s="68">
        <f t="shared" si="2123"/>
        <v>385</v>
      </c>
      <c r="Y882" s="68">
        <f t="shared" si="2123"/>
        <v>164</v>
      </c>
      <c r="Z882" s="1112">
        <f t="shared" si="2124"/>
        <v>1036</v>
      </c>
      <c r="AA882" s="68">
        <f t="shared" si="2125"/>
        <v>529</v>
      </c>
      <c r="AB882" s="68">
        <f t="shared" si="2126"/>
        <v>372</v>
      </c>
      <c r="AC882" s="68">
        <f t="shared" si="2126"/>
        <v>338</v>
      </c>
      <c r="AD882" s="68">
        <f t="shared" si="2126"/>
        <v>-270</v>
      </c>
      <c r="AE882" s="1112">
        <f t="shared" si="2127"/>
        <v>969</v>
      </c>
      <c r="AF882" s="68">
        <f t="shared" si="2128"/>
        <v>200</v>
      </c>
      <c r="AG882" s="68">
        <f t="shared" si="2129"/>
        <v>526</v>
      </c>
      <c r="AH882" s="68">
        <f t="shared" si="2129"/>
        <v>13</v>
      </c>
      <c r="AI882" s="68">
        <f t="shared" si="2129"/>
        <v>339</v>
      </c>
      <c r="AJ882" s="1112">
        <f t="shared" si="2130"/>
        <v>1078</v>
      </c>
      <c r="AK882" s="68">
        <f t="shared" si="2131"/>
        <v>239</v>
      </c>
      <c r="AL882" s="68">
        <f t="shared" si="2132"/>
        <v>2718</v>
      </c>
      <c r="AM882" s="68">
        <f t="shared" si="2132"/>
        <v>3310</v>
      </c>
      <c r="AN882" s="68">
        <f t="shared" si="2132"/>
        <v>965</v>
      </c>
      <c r="AO882" s="1112">
        <f t="shared" si="2133"/>
        <v>7232</v>
      </c>
      <c r="AP882" s="68">
        <f t="shared" si="2134"/>
        <v>2219</v>
      </c>
      <c r="AQ882" s="27">
        <f t="shared" si="2135"/>
        <v>1373</v>
      </c>
      <c r="AR882" s="68">
        <f t="shared" si="2135"/>
        <v>1152</v>
      </c>
      <c r="AS882" s="68">
        <f t="shared" si="2135"/>
        <v>0</v>
      </c>
      <c r="AT882" s="1112">
        <f t="shared" si="2136"/>
        <v>4744</v>
      </c>
      <c r="AU882" s="68">
        <f t="shared" si="2137"/>
        <v>0</v>
      </c>
      <c r="AV882" s="27">
        <f t="shared" si="2138"/>
        <v>1032</v>
      </c>
      <c r="AW882" s="68">
        <f t="shared" si="2138"/>
        <v>4133</v>
      </c>
      <c r="AX882" s="68">
        <f t="shared" si="2138"/>
        <v>3627</v>
      </c>
      <c r="AY882" s="1112">
        <f t="shared" si="2139"/>
        <v>8792</v>
      </c>
      <c r="AZ882" s="68">
        <f t="shared" si="2140"/>
        <v>3140</v>
      </c>
      <c r="BA882" s="27">
        <f t="shared" si="2141"/>
        <v>2096</v>
      </c>
      <c r="BB882" s="68">
        <f t="shared" si="2141"/>
        <v>2544</v>
      </c>
      <c r="BC882" s="68">
        <f t="shared" si="2141"/>
        <v>7417</v>
      </c>
      <c r="BD882" s="1112">
        <f t="shared" si="2142"/>
        <v>15197</v>
      </c>
      <c r="BE882" s="68">
        <f t="shared" si="2143"/>
        <v>5947</v>
      </c>
      <c r="BF882" s="27">
        <f t="shared" si="2144"/>
        <v>5036</v>
      </c>
      <c r="BG882" s="68">
        <f t="shared" si="2144"/>
        <v>5809</v>
      </c>
      <c r="BH882" s="68">
        <f t="shared" si="2144"/>
        <v>2633</v>
      </c>
      <c r="BI882" s="1112">
        <f t="shared" si="2145"/>
        <v>19425</v>
      </c>
      <c r="BJ882" s="68">
        <f t="shared" si="2146"/>
        <v>2512</v>
      </c>
      <c r="BK882" s="27">
        <f t="shared" si="2147"/>
        <v>2599</v>
      </c>
      <c r="BL882" s="68">
        <f t="shared" si="2147"/>
        <v>2890</v>
      </c>
      <c r="BM882" s="68">
        <f t="shared" si="2147"/>
        <v>1731</v>
      </c>
      <c r="BN882" s="1112">
        <f t="shared" si="2148"/>
        <v>9732</v>
      </c>
      <c r="BO882" s="68">
        <f t="shared" si="2149"/>
        <v>4004</v>
      </c>
      <c r="BP882" s="27">
        <f t="shared" si="2150"/>
        <v>4094</v>
      </c>
      <c r="BQ882" s="68">
        <f t="shared" si="2150"/>
        <v>1387</v>
      </c>
      <c r="BR882" s="68">
        <f t="shared" si="2150"/>
        <v>1710</v>
      </c>
      <c r="BS882" s="1112">
        <f t="shared" si="2151"/>
        <v>11195</v>
      </c>
      <c r="BT882" s="68">
        <f t="shared" si="2152"/>
        <v>3122</v>
      </c>
      <c r="BU882" s="27">
        <f t="shared" si="2153"/>
        <v>3130</v>
      </c>
      <c r="BV882" s="68">
        <f t="shared" si="2154"/>
        <v>2728</v>
      </c>
      <c r="BW882" s="68">
        <f t="shared" si="2155"/>
        <v>2246</v>
      </c>
      <c r="BX882" s="1112">
        <f>SUM(BT882,BU882,BV882,BW882)</f>
        <v>11226</v>
      </c>
      <c r="BY882" s="588">
        <f t="shared" si="2156"/>
        <v>1946</v>
      </c>
      <c r="BZ882" s="68"/>
      <c r="CA882" s="68"/>
      <c r="CB882" s="68"/>
      <c r="CC882" s="1112">
        <f t="shared" si="2157"/>
        <v>1946</v>
      </c>
      <c r="CD882" s="68"/>
      <c r="CE882" s="68"/>
      <c r="CF882" s="68"/>
      <c r="CG882" s="68"/>
      <c r="CH882" s="1112">
        <f t="shared" si="2158"/>
        <v>0</v>
      </c>
      <c r="CI882" s="1112"/>
      <c r="CJ882" s="1112"/>
      <c r="CK882" s="1112"/>
      <c r="CL882" s="155"/>
    </row>
    <row r="883" spans="1:90" x14ac:dyDescent="0.3">
      <c r="A883" s="99" t="str">
        <f t="shared" si="2115"/>
        <v>Proceeds from sales of non-marketable equity securities</v>
      </c>
      <c r="B883" s="68"/>
      <c r="C883" s="1112">
        <f t="shared" si="2116"/>
        <v>0</v>
      </c>
      <c r="D883" s="1112">
        <f t="shared" si="2116"/>
        <v>0</v>
      </c>
      <c r="E883" s="1112">
        <f t="shared" si="2116"/>
        <v>0</v>
      </c>
      <c r="F883" s="1112">
        <f t="shared" si="2116"/>
        <v>0</v>
      </c>
      <c r="G883" s="68">
        <f t="shared" si="2116"/>
        <v>0</v>
      </c>
      <c r="H883" s="68">
        <f t="shared" si="2117"/>
        <v>0</v>
      </c>
      <c r="I883" s="68">
        <f t="shared" si="2117"/>
        <v>0</v>
      </c>
      <c r="J883" s="68">
        <f t="shared" si="2117"/>
        <v>0</v>
      </c>
      <c r="K883" s="1112">
        <f t="shared" si="2118"/>
        <v>0</v>
      </c>
      <c r="L883" s="68">
        <f t="shared" si="2118"/>
        <v>0</v>
      </c>
      <c r="M883" s="68">
        <f t="shared" si="2119"/>
        <v>0</v>
      </c>
      <c r="N883" s="68">
        <f t="shared" si="2119"/>
        <v>0</v>
      </c>
      <c r="O883" s="68">
        <f t="shared" si="2119"/>
        <v>0</v>
      </c>
      <c r="P883" s="1112">
        <f t="shared" si="2120"/>
        <v>0</v>
      </c>
      <c r="Q883" s="68">
        <f t="shared" si="2120"/>
        <v>0</v>
      </c>
      <c r="R883" s="68">
        <f t="shared" si="2121"/>
        <v>0</v>
      </c>
      <c r="S883" s="68">
        <f t="shared" si="2121"/>
        <v>0</v>
      </c>
      <c r="T883" s="68">
        <f t="shared" si="2121"/>
        <v>0</v>
      </c>
      <c r="U883" s="1112">
        <f t="shared" si="2122"/>
        <v>0</v>
      </c>
      <c r="V883" s="68">
        <f t="shared" si="2122"/>
        <v>0</v>
      </c>
      <c r="W883" s="68">
        <f t="shared" si="2123"/>
        <v>0</v>
      </c>
      <c r="X883" s="68">
        <f t="shared" si="2123"/>
        <v>0</v>
      </c>
      <c r="Y883" s="68">
        <f t="shared" si="2123"/>
        <v>0</v>
      </c>
      <c r="Z883" s="1112">
        <f>Z811</f>
        <v>0</v>
      </c>
      <c r="AA883" s="68">
        <f t="shared" si="2125"/>
        <v>0</v>
      </c>
      <c r="AB883" s="68">
        <f t="shared" si="2126"/>
        <v>0</v>
      </c>
      <c r="AC883" s="68">
        <f t="shared" si="2126"/>
        <v>0</v>
      </c>
      <c r="AD883" s="68">
        <f t="shared" si="2126"/>
        <v>0</v>
      </c>
      <c r="AE883" s="1112">
        <f>AE811</f>
        <v>0</v>
      </c>
      <c r="AF883" s="68">
        <f t="shared" si="2128"/>
        <v>0</v>
      </c>
      <c r="AG883" s="68">
        <f t="shared" si="2129"/>
        <v>0</v>
      </c>
      <c r="AH883" s="68">
        <f t="shared" si="2129"/>
        <v>0</v>
      </c>
      <c r="AI883" s="68">
        <f t="shared" si="2129"/>
        <v>0</v>
      </c>
      <c r="AJ883" s="1112">
        <f>AJ811</f>
        <v>0</v>
      </c>
      <c r="AK883" s="68">
        <f t="shared" si="2131"/>
        <v>0</v>
      </c>
      <c r="AL883" s="68">
        <f t="shared" si="2132"/>
        <v>0</v>
      </c>
      <c r="AM883" s="68">
        <f t="shared" si="2132"/>
        <v>0</v>
      </c>
      <c r="AN883" s="68">
        <f t="shared" si="2132"/>
        <v>0</v>
      </c>
      <c r="AO883" s="1112">
        <f>AO811</f>
        <v>0</v>
      </c>
      <c r="AP883" s="68">
        <f t="shared" si="2134"/>
        <v>0</v>
      </c>
      <c r="AQ883" s="27">
        <f t="shared" si="2135"/>
        <v>0</v>
      </c>
      <c r="AR883" s="68">
        <f t="shared" si="2135"/>
        <v>0</v>
      </c>
      <c r="AS883" s="68">
        <f t="shared" si="2135"/>
        <v>0</v>
      </c>
      <c r="AT883" s="1112">
        <f>AT811</f>
        <v>0</v>
      </c>
      <c r="AU883" s="68">
        <f t="shared" si="2137"/>
        <v>0</v>
      </c>
      <c r="AV883" s="27">
        <f t="shared" si="2138"/>
        <v>0</v>
      </c>
      <c r="AW883" s="68">
        <f t="shared" si="2138"/>
        <v>0</v>
      </c>
      <c r="AX883" s="68">
        <f t="shared" si="2138"/>
        <v>0</v>
      </c>
      <c r="AY883" s="1112">
        <f>AY811</f>
        <v>0</v>
      </c>
      <c r="AZ883" s="68">
        <f t="shared" si="2140"/>
        <v>0</v>
      </c>
      <c r="BA883" s="27">
        <f t="shared" si="2141"/>
        <v>0</v>
      </c>
      <c r="BB883" s="68">
        <f t="shared" si="2141"/>
        <v>0</v>
      </c>
      <c r="BC883" s="68">
        <f t="shared" si="2141"/>
        <v>0</v>
      </c>
      <c r="BD883" s="1112">
        <f>BD811</f>
        <v>0</v>
      </c>
      <c r="BE883" s="68">
        <f t="shared" si="2143"/>
        <v>0</v>
      </c>
      <c r="BF883" s="27">
        <f t="shared" si="2144"/>
        <v>0</v>
      </c>
      <c r="BG883" s="68">
        <f t="shared" si="2144"/>
        <v>0</v>
      </c>
      <c r="BH883" s="68">
        <f t="shared" si="2144"/>
        <v>0</v>
      </c>
      <c r="BI883" s="1112">
        <f>BI811</f>
        <v>0</v>
      </c>
      <c r="BJ883" s="68">
        <f t="shared" si="2146"/>
        <v>0</v>
      </c>
      <c r="BK883" s="27">
        <f t="shared" si="2147"/>
        <v>0</v>
      </c>
      <c r="BL883" s="68">
        <f t="shared" si="2147"/>
        <v>0</v>
      </c>
      <c r="BM883" s="68">
        <f t="shared" si="2147"/>
        <v>0</v>
      </c>
      <c r="BN883" s="1112">
        <f>BN811</f>
        <v>0</v>
      </c>
      <c r="BO883" s="68">
        <f t="shared" si="2149"/>
        <v>0</v>
      </c>
      <c r="BP883" s="27">
        <f t="shared" si="2150"/>
        <v>0</v>
      </c>
      <c r="BQ883" s="68">
        <f t="shared" si="2150"/>
        <v>0</v>
      </c>
      <c r="BR883" s="68">
        <f t="shared" si="2150"/>
        <v>171</v>
      </c>
      <c r="BS883" s="1112">
        <f>BS811</f>
        <v>171</v>
      </c>
      <c r="BT883" s="68">
        <f t="shared" si="2152"/>
        <v>0</v>
      </c>
      <c r="BU883" s="27">
        <f t="shared" si="2153"/>
        <v>0</v>
      </c>
      <c r="BV883" s="68">
        <f t="shared" si="2154"/>
        <v>0</v>
      </c>
      <c r="BW883" s="68">
        <f t="shared" si="2155"/>
        <v>84</v>
      </c>
      <c r="BX883" s="1112">
        <f>BX811</f>
        <v>84</v>
      </c>
      <c r="BY883" s="588">
        <f t="shared" si="2156"/>
        <v>26</v>
      </c>
      <c r="BZ883" s="68"/>
      <c r="CA883" s="68"/>
      <c r="CB883" s="68"/>
      <c r="CC883" s="1112">
        <f t="shared" si="2157"/>
        <v>26</v>
      </c>
      <c r="CD883" s="68"/>
      <c r="CE883" s="68"/>
      <c r="CF883" s="68"/>
      <c r="CG883" s="68"/>
      <c r="CH883" s="1112">
        <f t="shared" si="2158"/>
        <v>0</v>
      </c>
      <c r="CI883" s="1112"/>
      <c r="CJ883" s="1112"/>
      <c r="CK883" s="1112"/>
      <c r="CL883" s="155"/>
    </row>
    <row r="884" spans="1:90" x14ac:dyDescent="0.3">
      <c r="A884" s="67" t="str">
        <f t="shared" si="2115"/>
        <v>Purchases of property and equipment and intangible assets</v>
      </c>
      <c r="B884" s="68"/>
      <c r="C884" s="1114">
        <f t="shared" si="2116"/>
        <v>-407.67</v>
      </c>
      <c r="D884" s="1114">
        <f t="shared" si="2116"/>
        <v>-77.600999999999999</v>
      </c>
      <c r="E884" s="1114">
        <f t="shared" si="2116"/>
        <v>-97.89</v>
      </c>
      <c r="F884" s="1114">
        <f t="shared" si="2116"/>
        <v>-138.73500000000001</v>
      </c>
      <c r="G884" s="27">
        <f t="shared" si="2116"/>
        <v>-28.922999999999998</v>
      </c>
      <c r="H884" s="27">
        <f t="shared" si="2117"/>
        <v>-61.944000000000003</v>
      </c>
      <c r="I884" s="27">
        <f t="shared" si="2117"/>
        <v>-44.683999999999983</v>
      </c>
      <c r="J884" s="27">
        <f t="shared" si="2117"/>
        <v>-47.75800000000001</v>
      </c>
      <c r="K884" s="1114">
        <f t="shared" si="2118"/>
        <v>-183.309</v>
      </c>
      <c r="L884" s="27">
        <f t="shared" si="2118"/>
        <v>-65.667000000000002</v>
      </c>
      <c r="M884" s="27">
        <f t="shared" si="2119"/>
        <v>-84.98599999999999</v>
      </c>
      <c r="N884" s="27">
        <f t="shared" si="2119"/>
        <v>-38.15900000000002</v>
      </c>
      <c r="O884" s="27">
        <f t="shared" si="2119"/>
        <v>-66.373999999999995</v>
      </c>
      <c r="P884" s="1114">
        <f t="shared" si="2120"/>
        <v>-255.18600000000001</v>
      </c>
      <c r="Q884" s="27">
        <f t="shared" si="2120"/>
        <v>-29</v>
      </c>
      <c r="R884" s="27">
        <f t="shared" si="2121"/>
        <v>-23</v>
      </c>
      <c r="S884" s="27">
        <f t="shared" si="2121"/>
        <v>-39</v>
      </c>
      <c r="T884" s="27">
        <f t="shared" si="2121"/>
        <v>-31</v>
      </c>
      <c r="U884" s="1114">
        <f t="shared" si="2122"/>
        <v>-122</v>
      </c>
      <c r="V884" s="27">
        <f t="shared" si="2122"/>
        <v>-30</v>
      </c>
      <c r="W884" s="27">
        <f t="shared" si="2123"/>
        <v>-24</v>
      </c>
      <c r="X884" s="27">
        <f t="shared" si="2123"/>
        <v>-17</v>
      </c>
      <c r="Y884" s="27">
        <f t="shared" si="2123"/>
        <v>-15</v>
      </c>
      <c r="Z884" s="1114">
        <f t="shared" si="2124"/>
        <v>-86</v>
      </c>
      <c r="AA884" s="27">
        <f t="shared" si="2125"/>
        <v>-55</v>
      </c>
      <c r="AB884" s="27">
        <f t="shared" si="2126"/>
        <v>-32</v>
      </c>
      <c r="AC884" s="27">
        <f t="shared" si="2126"/>
        <v>-38</v>
      </c>
      <c r="AD884" s="27">
        <f t="shared" si="2126"/>
        <v>-51</v>
      </c>
      <c r="AE884" s="1114">
        <f t="shared" si="2127"/>
        <v>-176</v>
      </c>
      <c r="AF884" s="27">
        <f t="shared" si="2128"/>
        <v>-54</v>
      </c>
      <c r="AG884" s="27">
        <f t="shared" si="2129"/>
        <v>-54</v>
      </c>
      <c r="AH884" s="27">
        <f t="shared" si="2129"/>
        <v>-69</v>
      </c>
      <c r="AI884" s="27">
        <f t="shared" si="2129"/>
        <v>-416</v>
      </c>
      <c r="AJ884" s="1114">
        <f t="shared" si="2130"/>
        <v>-593</v>
      </c>
      <c r="AK884" s="27">
        <f t="shared" si="2131"/>
        <v>-118</v>
      </c>
      <c r="AL884" s="27">
        <f t="shared" si="2132"/>
        <v>-129</v>
      </c>
      <c r="AM884" s="27">
        <f t="shared" si="2132"/>
        <v>-150</v>
      </c>
      <c r="AN884" s="68">
        <f t="shared" si="2132"/>
        <v>-203</v>
      </c>
      <c r="AO884" s="1112">
        <f t="shared" si="2133"/>
        <v>-600</v>
      </c>
      <c r="AP884" s="27">
        <f t="shared" si="2134"/>
        <v>-128</v>
      </c>
      <c r="AQ884" s="27">
        <f t="shared" si="2135"/>
        <v>-113</v>
      </c>
      <c r="AR884" s="27">
        <f t="shared" si="2135"/>
        <v>-103</v>
      </c>
      <c r="AS884" s="68">
        <f t="shared" si="2135"/>
        <v>-145</v>
      </c>
      <c r="AT884" s="1112">
        <f t="shared" si="2136"/>
        <v>-489</v>
      </c>
      <c r="AU884" s="27">
        <f t="shared" si="2137"/>
        <v>-155</v>
      </c>
      <c r="AV884" s="27">
        <f t="shared" si="2138"/>
        <v>-217</v>
      </c>
      <c r="AW884" s="27">
        <f t="shared" si="2138"/>
        <v>-473</v>
      </c>
      <c r="AX884" s="68">
        <f t="shared" si="2138"/>
        <v>-283</v>
      </c>
      <c r="AY884" s="1112">
        <f t="shared" si="2139"/>
        <v>-1128</v>
      </c>
      <c r="AZ884" s="27">
        <f t="shared" si="2140"/>
        <v>-298</v>
      </c>
      <c r="BA884" s="27">
        <f t="shared" si="2141"/>
        <v>-183</v>
      </c>
      <c r="BB884" s="27">
        <f t="shared" si="2141"/>
        <v>-222</v>
      </c>
      <c r="BC884" s="68">
        <f t="shared" si="2141"/>
        <v>-273</v>
      </c>
      <c r="BD884" s="1112">
        <f t="shared" si="2142"/>
        <v>-976</v>
      </c>
      <c r="BE884" s="27">
        <f t="shared" si="2143"/>
        <v>-361</v>
      </c>
      <c r="BF884" s="27">
        <f t="shared" si="2144"/>
        <v>-433</v>
      </c>
      <c r="BG884" s="27">
        <f t="shared" si="2144"/>
        <v>-530</v>
      </c>
      <c r="BH884" s="68">
        <f t="shared" si="2144"/>
        <v>-509</v>
      </c>
      <c r="BI884" s="1112">
        <f t="shared" si="2145"/>
        <v>-1833</v>
      </c>
      <c r="BJ884" s="27">
        <f t="shared" si="2146"/>
        <v>-248</v>
      </c>
      <c r="BK884" s="27">
        <f t="shared" si="2147"/>
        <v>-289</v>
      </c>
      <c r="BL884" s="27">
        <f t="shared" si="2147"/>
        <v>-278</v>
      </c>
      <c r="BM884" s="68">
        <f t="shared" si="2147"/>
        <v>-254</v>
      </c>
      <c r="BN884" s="1112">
        <f t="shared" si="2148"/>
        <v>-1069</v>
      </c>
      <c r="BO884" s="27">
        <f t="shared" si="2149"/>
        <v>-369</v>
      </c>
      <c r="BP884" s="27">
        <f t="shared" si="2150"/>
        <v>-977</v>
      </c>
      <c r="BQ884" s="27">
        <f t="shared" si="2150"/>
        <v>-813</v>
      </c>
      <c r="BR884" s="68">
        <f t="shared" si="2150"/>
        <v>-1077</v>
      </c>
      <c r="BS884" s="1112">
        <f t="shared" si="2151"/>
        <v>-3236</v>
      </c>
      <c r="BT884" s="27">
        <f t="shared" si="2152"/>
        <v>-1227</v>
      </c>
      <c r="BU884" s="27">
        <f t="shared" si="2153"/>
        <v>-1895</v>
      </c>
      <c r="BV884" s="27">
        <f t="shared" si="2154"/>
        <v>-1636</v>
      </c>
      <c r="BW884" s="68">
        <f t="shared" si="2155"/>
        <v>-1284</v>
      </c>
      <c r="BX884" s="1112">
        <f t="shared" ref="BX884:BX889" si="2159">SUM(BT884,BU884,BV884,BW884)</f>
        <v>-6042</v>
      </c>
      <c r="BY884" s="508">
        <f t="shared" si="2156"/>
        <v>-1757</v>
      </c>
      <c r="BZ884" s="68">
        <f>BZ709</f>
        <v>-325</v>
      </c>
      <c r="CA884" s="68">
        <f>CA709</f>
        <v>-325</v>
      </c>
      <c r="CB884" s="68">
        <f>CB709</f>
        <v>-325</v>
      </c>
      <c r="CC884" s="1112">
        <f t="shared" si="2157"/>
        <v>-2732</v>
      </c>
      <c r="CD884" s="68">
        <f>CD709</f>
        <v>-325</v>
      </c>
      <c r="CE884" s="68">
        <f>CE709</f>
        <v>-325</v>
      </c>
      <c r="CF884" s="68">
        <f>CF709</f>
        <v>-325</v>
      </c>
      <c r="CG884" s="68">
        <f>CG709</f>
        <v>-325</v>
      </c>
      <c r="CH884" s="1112">
        <f t="shared" si="2158"/>
        <v>-1300</v>
      </c>
      <c r="CI884" s="1112">
        <f>CI709</f>
        <v>-1300</v>
      </c>
      <c r="CJ884" s="1112">
        <f>CJ709</f>
        <v>-1300</v>
      </c>
      <c r="CK884" s="1112">
        <f>CK709</f>
        <v>-1300</v>
      </c>
      <c r="CL884" s="155"/>
    </row>
    <row r="885" spans="1:90" x14ac:dyDescent="0.3">
      <c r="A885" s="99" t="str">
        <f t="shared" si="2115"/>
        <v>Proceeds from sale of long-lived assets and investments</v>
      </c>
      <c r="B885" s="68"/>
      <c r="C885" s="1112">
        <f t="shared" si="2116"/>
        <v>0</v>
      </c>
      <c r="D885" s="1112">
        <f t="shared" si="2116"/>
        <v>0</v>
      </c>
      <c r="E885" s="1112">
        <f t="shared" si="2116"/>
        <v>0</v>
      </c>
      <c r="F885" s="1112">
        <f t="shared" si="2116"/>
        <v>0</v>
      </c>
      <c r="G885" s="68">
        <f t="shared" si="2116"/>
        <v>0</v>
      </c>
      <c r="H885" s="68">
        <f t="shared" si="2117"/>
        <v>0</v>
      </c>
      <c r="I885" s="68">
        <f t="shared" si="2117"/>
        <v>0</v>
      </c>
      <c r="J885" s="68">
        <f t="shared" si="2117"/>
        <v>0</v>
      </c>
      <c r="K885" s="1112">
        <f t="shared" si="2118"/>
        <v>0</v>
      </c>
      <c r="L885" s="68">
        <f t="shared" si="2118"/>
        <v>0</v>
      </c>
      <c r="M885" s="68">
        <f t="shared" si="2119"/>
        <v>0</v>
      </c>
      <c r="N885" s="68">
        <f t="shared" si="2119"/>
        <v>0</v>
      </c>
      <c r="O885" s="68">
        <f t="shared" si="2119"/>
        <v>24.780999999999999</v>
      </c>
      <c r="P885" s="1112">
        <f t="shared" si="2120"/>
        <v>24.780999999999999</v>
      </c>
      <c r="Q885" s="68">
        <f t="shared" si="2120"/>
        <v>21</v>
      </c>
      <c r="R885" s="68">
        <f t="shared" si="2121"/>
        <v>0</v>
      </c>
      <c r="S885" s="68">
        <f t="shared" si="2121"/>
        <v>0</v>
      </c>
      <c r="T885" s="68">
        <f t="shared" si="2121"/>
        <v>0</v>
      </c>
      <c r="U885" s="1112">
        <f t="shared" si="2122"/>
        <v>21</v>
      </c>
      <c r="V885" s="68">
        <f t="shared" si="2122"/>
        <v>0</v>
      </c>
      <c r="W885" s="68">
        <f t="shared" si="2123"/>
        <v>2</v>
      </c>
      <c r="X885" s="68">
        <f t="shared" si="2123"/>
        <v>5</v>
      </c>
      <c r="Y885" s="68">
        <f t="shared" si="2123"/>
        <v>0</v>
      </c>
      <c r="Z885" s="1112">
        <f t="shared" si="2124"/>
        <v>7</v>
      </c>
      <c r="AA885" s="68">
        <f t="shared" si="2125"/>
        <v>0</v>
      </c>
      <c r="AB885" s="68">
        <f t="shared" si="2126"/>
        <v>6</v>
      </c>
      <c r="AC885" s="68">
        <f t="shared" si="2126"/>
        <v>0</v>
      </c>
      <c r="AD885" s="68">
        <f t="shared" si="2126"/>
        <v>1</v>
      </c>
      <c r="AE885" s="1112">
        <f t="shared" si="2127"/>
        <v>7</v>
      </c>
      <c r="AF885" s="27">
        <f t="shared" si="2128"/>
        <v>0</v>
      </c>
      <c r="AG885" s="27">
        <f t="shared" si="2129"/>
        <v>0</v>
      </c>
      <c r="AH885" s="27">
        <f t="shared" si="2129"/>
        <v>0</v>
      </c>
      <c r="AI885" s="68">
        <f t="shared" si="2129"/>
        <v>2</v>
      </c>
      <c r="AJ885" s="1112">
        <f t="shared" si="2130"/>
        <v>2</v>
      </c>
      <c r="AK885" s="27">
        <f t="shared" si="2131"/>
        <v>0</v>
      </c>
      <c r="AL885" s="27">
        <f t="shared" si="2132"/>
        <v>0</v>
      </c>
      <c r="AM885" s="27">
        <f t="shared" si="2132"/>
        <v>0</v>
      </c>
      <c r="AN885" s="68">
        <f t="shared" si="2132"/>
        <v>0</v>
      </c>
      <c r="AO885" s="1112">
        <f t="shared" si="2133"/>
        <v>0</v>
      </c>
      <c r="AP885" s="27">
        <f t="shared" si="2134"/>
        <v>0</v>
      </c>
      <c r="AQ885" s="27">
        <f t="shared" si="2135"/>
        <v>0</v>
      </c>
      <c r="AR885" s="27">
        <f t="shared" si="2135"/>
        <v>0</v>
      </c>
      <c r="AS885" s="68">
        <f t="shared" si="2135"/>
        <v>0</v>
      </c>
      <c r="AT885" s="1112">
        <f t="shared" si="2136"/>
        <v>0</v>
      </c>
      <c r="AU885" s="27">
        <f t="shared" si="2137"/>
        <v>0</v>
      </c>
      <c r="AV885" s="27">
        <f t="shared" si="2138"/>
        <v>0</v>
      </c>
      <c r="AW885" s="27">
        <f t="shared" si="2138"/>
        <v>0</v>
      </c>
      <c r="AX885" s="68">
        <f t="shared" si="2138"/>
        <v>0</v>
      </c>
      <c r="AY885" s="1112">
        <f t="shared" si="2139"/>
        <v>0</v>
      </c>
      <c r="AZ885" s="27">
        <f t="shared" si="2140"/>
        <v>0</v>
      </c>
      <c r="BA885" s="27">
        <f t="shared" si="2141"/>
        <v>0</v>
      </c>
      <c r="BB885" s="27">
        <f t="shared" si="2141"/>
        <v>0</v>
      </c>
      <c r="BC885" s="68">
        <f t="shared" si="2141"/>
        <v>0</v>
      </c>
      <c r="BD885" s="1112">
        <f t="shared" si="2142"/>
        <v>0</v>
      </c>
      <c r="BE885" s="27">
        <f t="shared" si="2143"/>
        <v>0</v>
      </c>
      <c r="BF885" s="27">
        <f t="shared" si="2144"/>
        <v>0</v>
      </c>
      <c r="BG885" s="27">
        <f t="shared" si="2144"/>
        <v>0</v>
      </c>
      <c r="BH885" s="68">
        <f t="shared" si="2144"/>
        <v>0</v>
      </c>
      <c r="BI885" s="1112">
        <f t="shared" si="2145"/>
        <v>0</v>
      </c>
      <c r="BJ885" s="27">
        <f t="shared" si="2146"/>
        <v>0</v>
      </c>
      <c r="BK885" s="27">
        <f t="shared" si="2147"/>
        <v>0</v>
      </c>
      <c r="BL885" s="27">
        <f t="shared" si="2147"/>
        <v>0</v>
      </c>
      <c r="BM885" s="68">
        <f t="shared" si="2147"/>
        <v>0</v>
      </c>
      <c r="BN885" s="1112">
        <f t="shared" si="2148"/>
        <v>0</v>
      </c>
      <c r="BO885" s="27">
        <f t="shared" si="2149"/>
        <v>0</v>
      </c>
      <c r="BP885" s="27">
        <f t="shared" si="2150"/>
        <v>0</v>
      </c>
      <c r="BQ885" s="27">
        <f t="shared" si="2150"/>
        <v>0</v>
      </c>
      <c r="BR885" s="68">
        <f t="shared" si="2150"/>
        <v>0</v>
      </c>
      <c r="BS885" s="1112">
        <f t="shared" si="2151"/>
        <v>0</v>
      </c>
      <c r="BT885" s="27">
        <f t="shared" si="2152"/>
        <v>0</v>
      </c>
      <c r="BU885" s="27">
        <f t="shared" si="2153"/>
        <v>0</v>
      </c>
      <c r="BV885" s="27">
        <f t="shared" si="2154"/>
        <v>0</v>
      </c>
      <c r="BW885" s="68">
        <f t="shared" si="2155"/>
        <v>0</v>
      </c>
      <c r="BX885" s="1112">
        <f t="shared" si="2159"/>
        <v>0</v>
      </c>
      <c r="BY885" s="508">
        <f t="shared" si="2156"/>
        <v>0</v>
      </c>
      <c r="BZ885" s="68">
        <f>BZ713</f>
        <v>0</v>
      </c>
      <c r="CA885" s="68">
        <f>CA713</f>
        <v>0</v>
      </c>
      <c r="CB885" s="68">
        <f>CB713</f>
        <v>0</v>
      </c>
      <c r="CC885" s="1112">
        <f t="shared" si="2157"/>
        <v>0</v>
      </c>
      <c r="CD885" s="68">
        <f>CD713</f>
        <v>0</v>
      </c>
      <c r="CE885" s="68">
        <f>CE713</f>
        <v>0</v>
      </c>
      <c r="CF885" s="68">
        <f>CF713</f>
        <v>0</v>
      </c>
      <c r="CG885" s="68">
        <f>CG713</f>
        <v>0</v>
      </c>
      <c r="CH885" s="1112">
        <f t="shared" si="2158"/>
        <v>0</v>
      </c>
      <c r="CI885" s="1112">
        <f>CI713</f>
        <v>0</v>
      </c>
      <c r="CJ885" s="1112">
        <f>CJ713</f>
        <v>0</v>
      </c>
      <c r="CK885" s="1112">
        <f>CK713</f>
        <v>0</v>
      </c>
      <c r="CL885" s="155"/>
    </row>
    <row r="886" spans="1:90" x14ac:dyDescent="0.3">
      <c r="A886" s="99" t="str">
        <f t="shared" si="2115"/>
        <v>Acquisition of businesses, net of cash and cash equivalents</v>
      </c>
      <c r="B886" s="68"/>
      <c r="C886" s="1112">
        <f t="shared" si="2116"/>
        <v>-27.948</v>
      </c>
      <c r="D886" s="1112">
        <f t="shared" si="2116"/>
        <v>0</v>
      </c>
      <c r="E886" s="1112">
        <f t="shared" si="2116"/>
        <v>0</v>
      </c>
      <c r="F886" s="1112">
        <f t="shared" si="2116"/>
        <v>-348.88400000000001</v>
      </c>
      <c r="G886" s="68">
        <f t="shared" si="2116"/>
        <v>0</v>
      </c>
      <c r="H886" s="68">
        <f t="shared" si="2117"/>
        <v>0</v>
      </c>
      <c r="I886" s="68">
        <f t="shared" si="2117"/>
        <v>0</v>
      </c>
      <c r="J886" s="68">
        <f t="shared" si="2117"/>
        <v>0</v>
      </c>
      <c r="K886" s="1112">
        <f t="shared" si="2118"/>
        <v>0</v>
      </c>
      <c r="L886" s="68">
        <f t="shared" si="2118"/>
        <v>0</v>
      </c>
      <c r="M886" s="68">
        <f t="shared" si="2119"/>
        <v>0</v>
      </c>
      <c r="N886" s="68">
        <f t="shared" si="2119"/>
        <v>-17.145</v>
      </c>
      <c r="O886" s="68">
        <f t="shared" si="2119"/>
        <v>0</v>
      </c>
      <c r="P886" s="1112">
        <f t="shared" si="2120"/>
        <v>-17.145</v>
      </c>
      <c r="Q886" s="68">
        <f t="shared" si="2120"/>
        <v>0</v>
      </c>
      <c r="R886" s="68">
        <f t="shared" si="2121"/>
        <v>0</v>
      </c>
      <c r="S886" s="68">
        <f t="shared" si="2121"/>
        <v>0</v>
      </c>
      <c r="T886" s="68">
        <f t="shared" si="2121"/>
        <v>0</v>
      </c>
      <c r="U886" s="1112">
        <f t="shared" si="2122"/>
        <v>0</v>
      </c>
      <c r="V886" s="68">
        <f t="shared" si="2122"/>
        <v>0</v>
      </c>
      <c r="W886" s="68">
        <f t="shared" si="2123"/>
        <v>0</v>
      </c>
      <c r="X886" s="68">
        <f t="shared" si="2123"/>
        <v>0</v>
      </c>
      <c r="Y886" s="68">
        <f t="shared" si="2123"/>
        <v>0</v>
      </c>
      <c r="Z886" s="1112">
        <f t="shared" si="2124"/>
        <v>0</v>
      </c>
      <c r="AA886" s="68">
        <f t="shared" si="2125"/>
        <v>0</v>
      </c>
      <c r="AB886" s="68">
        <f t="shared" si="2126"/>
        <v>0</v>
      </c>
      <c r="AC886" s="68">
        <f t="shared" si="2126"/>
        <v>0</v>
      </c>
      <c r="AD886" s="68">
        <f t="shared" si="2126"/>
        <v>0</v>
      </c>
      <c r="AE886" s="1112">
        <f t="shared" si="2127"/>
        <v>0</v>
      </c>
      <c r="AF886" s="68">
        <f t="shared" si="2128"/>
        <v>0</v>
      </c>
      <c r="AG886" s="68">
        <f t="shared" si="2129"/>
        <v>0</v>
      </c>
      <c r="AH886" s="68">
        <f t="shared" si="2129"/>
        <v>0</v>
      </c>
      <c r="AI886" s="68">
        <f t="shared" si="2129"/>
        <v>0</v>
      </c>
      <c r="AJ886" s="1112">
        <f t="shared" si="2130"/>
        <v>0</v>
      </c>
      <c r="AK886" s="68">
        <f t="shared" si="2131"/>
        <v>0</v>
      </c>
      <c r="AL886" s="68">
        <f t="shared" si="2132"/>
        <v>0</v>
      </c>
      <c r="AM886" s="68">
        <f t="shared" si="2132"/>
        <v>0</v>
      </c>
      <c r="AN886" s="68">
        <f t="shared" si="2132"/>
        <v>0</v>
      </c>
      <c r="AO886" s="1112">
        <f t="shared" si="2133"/>
        <v>0</v>
      </c>
      <c r="AP886" s="68">
        <f t="shared" si="2134"/>
        <v>0</v>
      </c>
      <c r="AQ886" s="27">
        <f t="shared" si="2135"/>
        <v>0</v>
      </c>
      <c r="AR886" s="68">
        <f t="shared" si="2135"/>
        <v>0</v>
      </c>
      <c r="AS886" s="68">
        <f t="shared" si="2135"/>
        <v>0</v>
      </c>
      <c r="AT886" s="1112">
        <f t="shared" si="2136"/>
        <v>0</v>
      </c>
      <c r="AU886" s="68">
        <f t="shared" si="2137"/>
        <v>-34</v>
      </c>
      <c r="AV886" s="27">
        <f t="shared" si="2138"/>
        <v>-7137</v>
      </c>
      <c r="AW886" s="68">
        <f t="shared" si="2138"/>
        <v>-1353</v>
      </c>
      <c r="AX886" s="68">
        <f t="shared" si="2138"/>
        <v>0</v>
      </c>
      <c r="AY886" s="1112">
        <f t="shared" si="2139"/>
        <v>-8524</v>
      </c>
      <c r="AZ886" s="68">
        <f t="shared" si="2140"/>
        <v>0</v>
      </c>
      <c r="BA886" s="27">
        <f t="shared" si="2141"/>
        <v>0</v>
      </c>
      <c r="BB886" s="68">
        <f t="shared" si="2141"/>
        <v>-203</v>
      </c>
      <c r="BC886" s="68">
        <f t="shared" si="2141"/>
        <v>-60</v>
      </c>
      <c r="BD886" s="1112">
        <f t="shared" si="2142"/>
        <v>-263</v>
      </c>
      <c r="BE886" s="68">
        <f t="shared" si="2143"/>
        <v>-36</v>
      </c>
      <c r="BF886" s="27">
        <f t="shared" si="2144"/>
        <v>-13</v>
      </c>
      <c r="BG886" s="68">
        <f t="shared" si="2144"/>
        <v>0</v>
      </c>
      <c r="BH886" s="68">
        <f t="shared" si="2144"/>
        <v>0</v>
      </c>
      <c r="BI886" s="1112">
        <f t="shared" si="2145"/>
        <v>-49</v>
      </c>
      <c r="BJ886" s="68">
        <f t="shared" si="2146"/>
        <v>-83</v>
      </c>
      <c r="BK886" s="27">
        <f t="shared" si="2147"/>
        <v>0</v>
      </c>
      <c r="BL886" s="68">
        <f t="shared" si="2147"/>
        <v>0</v>
      </c>
      <c r="BM886" s="68">
        <f t="shared" si="2147"/>
        <v>0</v>
      </c>
      <c r="BN886" s="1112">
        <f t="shared" si="2148"/>
        <v>-83</v>
      </c>
      <c r="BO886" s="68">
        <f t="shared" si="2149"/>
        <v>-39</v>
      </c>
      <c r="BP886" s="27">
        <f t="shared" si="2150"/>
        <v>-278</v>
      </c>
      <c r="BQ886" s="68">
        <f t="shared" si="2150"/>
        <v>-148</v>
      </c>
      <c r="BR886" s="68">
        <f t="shared" si="2150"/>
        <v>-542</v>
      </c>
      <c r="BS886" s="1112">
        <f t="shared" si="2151"/>
        <v>-1007</v>
      </c>
      <c r="BT886" s="68">
        <f t="shared" si="2152"/>
        <v>-383</v>
      </c>
      <c r="BU886" s="27">
        <f t="shared" si="2153"/>
        <v>-294</v>
      </c>
      <c r="BV886" s="68">
        <f t="shared" si="2154"/>
        <v>-693</v>
      </c>
      <c r="BW886" s="68">
        <f t="shared" si="2155"/>
        <v>-13165</v>
      </c>
      <c r="BX886" s="1112">
        <f t="shared" si="2159"/>
        <v>-14535</v>
      </c>
      <c r="BY886" s="588">
        <f t="shared" si="2156"/>
        <v>-87</v>
      </c>
      <c r="BZ886" s="68">
        <f>BZ712</f>
        <v>0</v>
      </c>
      <c r="CA886" s="68">
        <f>CA712</f>
        <v>0</v>
      </c>
      <c r="CB886" s="68">
        <f>CB712</f>
        <v>0</v>
      </c>
      <c r="CC886" s="1112">
        <f t="shared" si="2157"/>
        <v>-87</v>
      </c>
      <c r="CD886" s="68">
        <f>CD712</f>
        <v>0</v>
      </c>
      <c r="CE886" s="68">
        <f>CE712</f>
        <v>0</v>
      </c>
      <c r="CF886" s="68">
        <f>CF712</f>
        <v>0</v>
      </c>
      <c r="CG886" s="68">
        <f>CG712</f>
        <v>0</v>
      </c>
      <c r="CH886" s="1112">
        <f t="shared" si="2158"/>
        <v>0</v>
      </c>
      <c r="CI886" s="1112">
        <f>CI712</f>
        <v>0</v>
      </c>
      <c r="CJ886" s="1112">
        <f>CJ712</f>
        <v>0</v>
      </c>
      <c r="CK886" s="1112">
        <f>CK712</f>
        <v>0</v>
      </c>
      <c r="CL886" s="155"/>
    </row>
    <row r="887" spans="1:90" x14ac:dyDescent="0.3">
      <c r="A887" s="99" t="str">
        <f t="shared" si="2115"/>
        <v>Reimbursement of headquarters building development costs from banks</v>
      </c>
      <c r="B887" s="68"/>
      <c r="C887" s="1112">
        <f t="shared" si="2116"/>
        <v>0</v>
      </c>
      <c r="D887" s="1112">
        <f t="shared" si="2116"/>
        <v>0</v>
      </c>
      <c r="E887" s="1112">
        <f t="shared" si="2116"/>
        <v>0</v>
      </c>
      <c r="F887" s="1112">
        <f t="shared" si="2116"/>
        <v>0</v>
      </c>
      <c r="G887" s="68">
        <f t="shared" si="2116"/>
        <v>0</v>
      </c>
      <c r="H887" s="68">
        <f t="shared" si="2117"/>
        <v>0</v>
      </c>
      <c r="I887" s="68">
        <f t="shared" si="2117"/>
        <v>0</v>
      </c>
      <c r="J887" s="68">
        <f t="shared" si="2117"/>
        <v>0</v>
      </c>
      <c r="K887" s="1112">
        <f t="shared" si="2118"/>
        <v>0</v>
      </c>
      <c r="L887" s="68">
        <f t="shared" si="2118"/>
        <v>0</v>
      </c>
      <c r="M887" s="68">
        <f t="shared" si="2119"/>
        <v>0</v>
      </c>
      <c r="N887" s="68">
        <f t="shared" si="2119"/>
        <v>0</v>
      </c>
      <c r="O887" s="68">
        <f t="shared" si="2119"/>
        <v>-4.95</v>
      </c>
      <c r="P887" s="1112">
        <f t="shared" si="2120"/>
        <v>-4.95</v>
      </c>
      <c r="Q887" s="68">
        <f t="shared" si="2120"/>
        <v>0</v>
      </c>
      <c r="R887" s="68">
        <f t="shared" si="2121"/>
        <v>0</v>
      </c>
      <c r="S887" s="68">
        <f t="shared" si="2121"/>
        <v>0</v>
      </c>
      <c r="T887" s="68">
        <f t="shared" si="2121"/>
        <v>0</v>
      </c>
      <c r="U887" s="1112">
        <f t="shared" si="2122"/>
        <v>0</v>
      </c>
      <c r="V887" s="68">
        <f t="shared" si="2122"/>
        <v>0</v>
      </c>
      <c r="W887" s="68">
        <f t="shared" si="2123"/>
        <v>24</v>
      </c>
      <c r="X887" s="68">
        <f t="shared" si="2123"/>
        <v>0</v>
      </c>
      <c r="Y887" s="68">
        <f t="shared" si="2123"/>
        <v>0</v>
      </c>
      <c r="Z887" s="1112">
        <f t="shared" si="2124"/>
        <v>24</v>
      </c>
      <c r="AA887" s="68">
        <f t="shared" si="2125"/>
        <v>0</v>
      </c>
      <c r="AB887" s="68">
        <f t="shared" si="2126"/>
        <v>0</v>
      </c>
      <c r="AC887" s="68">
        <f t="shared" si="2126"/>
        <v>0</v>
      </c>
      <c r="AD887" s="68">
        <f t="shared" si="2126"/>
        <v>0</v>
      </c>
      <c r="AE887" s="1112">
        <f t="shared" si="2127"/>
        <v>0</v>
      </c>
      <c r="AF887" s="68">
        <f t="shared" si="2128"/>
        <v>0</v>
      </c>
      <c r="AG887" s="68">
        <f t="shared" si="2129"/>
        <v>0</v>
      </c>
      <c r="AH887" s="68">
        <f t="shared" si="2129"/>
        <v>0</v>
      </c>
      <c r="AI887" s="68">
        <f t="shared" si="2129"/>
        <v>0</v>
      </c>
      <c r="AJ887" s="1112">
        <f t="shared" si="2130"/>
        <v>0</v>
      </c>
      <c r="AK887" s="68">
        <f t="shared" si="2131"/>
        <v>0</v>
      </c>
      <c r="AL887" s="68">
        <f t="shared" si="2132"/>
        <v>0</v>
      </c>
      <c r="AM887" s="68">
        <f t="shared" si="2132"/>
        <v>0</v>
      </c>
      <c r="AN887" s="68">
        <f t="shared" si="2132"/>
        <v>0</v>
      </c>
      <c r="AO887" s="1112">
        <f t="shared" si="2133"/>
        <v>0</v>
      </c>
      <c r="AP887" s="68">
        <f t="shared" si="2134"/>
        <v>0</v>
      </c>
      <c r="AQ887" s="27">
        <f t="shared" si="2135"/>
        <v>0</v>
      </c>
      <c r="AR887" s="68">
        <f t="shared" si="2135"/>
        <v>0</v>
      </c>
      <c r="AS887" s="68">
        <f t="shared" si="2135"/>
        <v>0</v>
      </c>
      <c r="AT887" s="1112">
        <f t="shared" si="2136"/>
        <v>0</v>
      </c>
      <c r="AU887" s="68">
        <f t="shared" si="2137"/>
        <v>0</v>
      </c>
      <c r="AV887" s="27">
        <f t="shared" si="2138"/>
        <v>0</v>
      </c>
      <c r="AW887" s="68">
        <f t="shared" si="2138"/>
        <v>0</v>
      </c>
      <c r="AX887" s="68">
        <f t="shared" si="2138"/>
        <v>0</v>
      </c>
      <c r="AY887" s="1112">
        <f t="shared" si="2139"/>
        <v>0</v>
      </c>
      <c r="AZ887" s="68">
        <f t="shared" si="2140"/>
        <v>0</v>
      </c>
      <c r="BA887" s="27">
        <f t="shared" si="2141"/>
        <v>0</v>
      </c>
      <c r="BB887" s="68">
        <f t="shared" si="2141"/>
        <v>0</v>
      </c>
      <c r="BC887" s="68">
        <f t="shared" si="2141"/>
        <v>0</v>
      </c>
      <c r="BD887" s="1112">
        <f t="shared" si="2142"/>
        <v>0</v>
      </c>
      <c r="BE887" s="68">
        <f t="shared" si="2143"/>
        <v>0</v>
      </c>
      <c r="BF887" s="27">
        <f t="shared" si="2144"/>
        <v>0</v>
      </c>
      <c r="BG887" s="68">
        <f t="shared" si="2144"/>
        <v>0</v>
      </c>
      <c r="BH887" s="68">
        <f t="shared" si="2144"/>
        <v>0</v>
      </c>
      <c r="BI887" s="1112">
        <f t="shared" si="2145"/>
        <v>0</v>
      </c>
      <c r="BJ887" s="68">
        <f t="shared" si="2146"/>
        <v>0</v>
      </c>
      <c r="BK887" s="27">
        <f t="shared" si="2147"/>
        <v>0</v>
      </c>
      <c r="BL887" s="68">
        <f t="shared" si="2147"/>
        <v>0</v>
      </c>
      <c r="BM887" s="68">
        <f t="shared" si="2147"/>
        <v>0</v>
      </c>
      <c r="BN887" s="1112">
        <f t="shared" si="2148"/>
        <v>0</v>
      </c>
      <c r="BO887" s="68">
        <f t="shared" si="2149"/>
        <v>0</v>
      </c>
      <c r="BP887" s="27">
        <f t="shared" si="2150"/>
        <v>0</v>
      </c>
      <c r="BQ887" s="68">
        <f t="shared" si="2150"/>
        <v>0</v>
      </c>
      <c r="BR887" s="68">
        <f t="shared" si="2150"/>
        <v>0</v>
      </c>
      <c r="BS887" s="1112">
        <f t="shared" si="2151"/>
        <v>0</v>
      </c>
      <c r="BT887" s="68">
        <f t="shared" si="2152"/>
        <v>0</v>
      </c>
      <c r="BU887" s="27">
        <f t="shared" si="2153"/>
        <v>0</v>
      </c>
      <c r="BV887" s="68">
        <f t="shared" si="2154"/>
        <v>0</v>
      </c>
      <c r="BW887" s="68">
        <f t="shared" si="2155"/>
        <v>0</v>
      </c>
      <c r="BX887" s="1112">
        <f t="shared" si="2159"/>
        <v>0</v>
      </c>
      <c r="BY887" s="588">
        <f t="shared" si="2156"/>
        <v>0</v>
      </c>
      <c r="BZ887" s="68"/>
      <c r="CA887" s="68"/>
      <c r="CB887" s="68"/>
      <c r="CC887" s="1112">
        <f t="shared" si="2157"/>
        <v>0</v>
      </c>
      <c r="CD887" s="68"/>
      <c r="CE887" s="68"/>
      <c r="CF887" s="68"/>
      <c r="CG887" s="68"/>
      <c r="CH887" s="1112">
        <f t="shared" si="2158"/>
        <v>0</v>
      </c>
      <c r="CI887" s="1112"/>
      <c r="CJ887" s="1112"/>
      <c r="CK887" s="1112"/>
      <c r="CL887" s="155"/>
    </row>
    <row r="888" spans="1:90" x14ac:dyDescent="0.3">
      <c r="A888" s="99" t="str">
        <f t="shared" si="2115"/>
        <v>Investment in non-affiliates</v>
      </c>
      <c r="B888" s="68"/>
      <c r="C888" s="1112">
        <f t="shared" si="2116"/>
        <v>0</v>
      </c>
      <c r="D888" s="1112">
        <f t="shared" si="2116"/>
        <v>0</v>
      </c>
      <c r="E888" s="1112">
        <f t="shared" si="2116"/>
        <v>0</v>
      </c>
      <c r="F888" s="1112">
        <f t="shared" si="2116"/>
        <v>0</v>
      </c>
      <c r="G888" s="68">
        <f t="shared" si="2116"/>
        <v>0</v>
      </c>
      <c r="H888" s="68">
        <f t="shared" si="2117"/>
        <v>0</v>
      </c>
      <c r="I888" s="68">
        <f t="shared" si="2117"/>
        <v>0</v>
      </c>
      <c r="J888" s="68">
        <f t="shared" si="2117"/>
        <v>0</v>
      </c>
      <c r="K888" s="1112">
        <f t="shared" si="2118"/>
        <v>0</v>
      </c>
      <c r="L888" s="68">
        <f t="shared" si="2118"/>
        <v>0</v>
      </c>
      <c r="M888" s="68">
        <f t="shared" si="2119"/>
        <v>0</v>
      </c>
      <c r="N888" s="68">
        <f t="shared" si="2119"/>
        <v>0</v>
      </c>
      <c r="O888" s="68">
        <f t="shared" si="2119"/>
        <v>0</v>
      </c>
      <c r="P888" s="1112">
        <f t="shared" si="2120"/>
        <v>0</v>
      </c>
      <c r="Q888" s="68">
        <f t="shared" si="2120"/>
        <v>0</v>
      </c>
      <c r="R888" s="68">
        <f t="shared" si="2121"/>
        <v>0</v>
      </c>
      <c r="S888" s="68">
        <f t="shared" si="2121"/>
        <v>0</v>
      </c>
      <c r="T888" s="68">
        <f t="shared" si="2121"/>
        <v>0</v>
      </c>
      <c r="U888" s="1112">
        <f t="shared" si="2122"/>
        <v>0</v>
      </c>
      <c r="V888" s="68">
        <f t="shared" si="2122"/>
        <v>0</v>
      </c>
      <c r="W888" s="68">
        <f t="shared" si="2123"/>
        <v>0</v>
      </c>
      <c r="X888" s="68">
        <f t="shared" si="2123"/>
        <v>0</v>
      </c>
      <c r="Y888" s="68">
        <f t="shared" si="2123"/>
        <v>0</v>
      </c>
      <c r="Z888" s="1112">
        <f t="shared" si="2124"/>
        <v>0</v>
      </c>
      <c r="AA888" s="68">
        <f t="shared" si="2125"/>
        <v>0</v>
      </c>
      <c r="AB888" s="68">
        <f t="shared" si="2126"/>
        <v>0</v>
      </c>
      <c r="AC888" s="68">
        <f t="shared" si="2126"/>
        <v>0</v>
      </c>
      <c r="AD888" s="68">
        <f t="shared" si="2126"/>
        <v>0</v>
      </c>
      <c r="AE888" s="1112">
        <f t="shared" si="2127"/>
        <v>0</v>
      </c>
      <c r="AF888" s="68">
        <f t="shared" si="2128"/>
        <v>0</v>
      </c>
      <c r="AG888" s="68">
        <f t="shared" si="2129"/>
        <v>0</v>
      </c>
      <c r="AH888" s="68">
        <f t="shared" si="2129"/>
        <v>0</v>
      </c>
      <c r="AI888" s="68">
        <f t="shared" si="2129"/>
        <v>0</v>
      </c>
      <c r="AJ888" s="1112">
        <f t="shared" si="2130"/>
        <v>0</v>
      </c>
      <c r="AK888" s="68">
        <f t="shared" si="2131"/>
        <v>0</v>
      </c>
      <c r="AL888" s="68">
        <f t="shared" si="2132"/>
        <v>-7</v>
      </c>
      <c r="AM888" s="68">
        <f t="shared" si="2132"/>
        <v>7</v>
      </c>
      <c r="AN888" s="68">
        <f t="shared" si="2132"/>
        <v>0</v>
      </c>
      <c r="AO888" s="1112">
        <f t="shared" si="2133"/>
        <v>0</v>
      </c>
      <c r="AP888" s="68">
        <f t="shared" si="2134"/>
        <v>0</v>
      </c>
      <c r="AQ888" s="27">
        <f t="shared" si="2135"/>
        <v>-2</v>
      </c>
      <c r="AR888" s="68">
        <f t="shared" si="2135"/>
        <v>-4</v>
      </c>
      <c r="AS888" s="68">
        <f t="shared" si="2135"/>
        <v>-8</v>
      </c>
      <c r="AT888" s="1112">
        <f t="shared" si="2136"/>
        <v>-14</v>
      </c>
      <c r="AU888" s="68">
        <f t="shared" si="2137"/>
        <v>-6</v>
      </c>
      <c r="AV888" s="27">
        <f t="shared" si="2138"/>
        <v>-1</v>
      </c>
      <c r="AW888" s="68">
        <f t="shared" si="2138"/>
        <v>3</v>
      </c>
      <c r="AX888" s="68">
        <f t="shared" si="2138"/>
        <v>-30</v>
      </c>
      <c r="AY888" s="1112">
        <f t="shared" si="2139"/>
        <v>-34</v>
      </c>
      <c r="AZ888" s="68">
        <f t="shared" si="2140"/>
        <v>-2</v>
      </c>
      <c r="BA888" s="27">
        <f t="shared" si="2141"/>
        <v>5</v>
      </c>
      <c r="BB888" s="68">
        <f t="shared" si="2141"/>
        <v>-17</v>
      </c>
      <c r="BC888" s="68">
        <f t="shared" si="2141"/>
        <v>-10</v>
      </c>
      <c r="BD888" s="1112">
        <f t="shared" si="2142"/>
        <v>-24</v>
      </c>
      <c r="BE888" s="68">
        <f t="shared" si="2143"/>
        <v>-35</v>
      </c>
      <c r="BF888" s="27">
        <f t="shared" si="2144"/>
        <v>-30</v>
      </c>
      <c r="BG888" s="68">
        <f t="shared" si="2144"/>
        <v>-18</v>
      </c>
      <c r="BH888" s="68">
        <f t="shared" si="2144"/>
        <v>6</v>
      </c>
      <c r="BI888" s="1112">
        <f t="shared" si="2145"/>
        <v>-77</v>
      </c>
      <c r="BJ888" s="68">
        <f t="shared" si="2146"/>
        <v>-221</v>
      </c>
      <c r="BK888" s="27">
        <f t="shared" si="2147"/>
        <v>-214</v>
      </c>
      <c r="BL888" s="68">
        <f t="shared" si="2147"/>
        <v>-437</v>
      </c>
      <c r="BM888" s="68">
        <f t="shared" si="2147"/>
        <v>-113</v>
      </c>
      <c r="BN888" s="1112">
        <f t="shared" si="2148"/>
        <v>-985</v>
      </c>
      <c r="BO888" s="68">
        <f t="shared" si="2149"/>
        <v>-135</v>
      </c>
      <c r="BP888" s="27">
        <f t="shared" si="2150"/>
        <v>-294</v>
      </c>
      <c r="BQ888" s="68">
        <f t="shared" si="2150"/>
        <v>-408</v>
      </c>
      <c r="BR888" s="68">
        <f t="shared" si="2150"/>
        <v>-649</v>
      </c>
      <c r="BS888" s="1112">
        <f t="shared" si="2151"/>
        <v>-1486</v>
      </c>
      <c r="BT888" s="68">
        <f t="shared" si="2152"/>
        <v>-649</v>
      </c>
      <c r="BU888" s="27">
        <f t="shared" si="2153"/>
        <v>-276</v>
      </c>
      <c r="BV888" s="68">
        <f t="shared" si="2154"/>
        <v>-3705</v>
      </c>
      <c r="BW888" s="68">
        <f t="shared" si="2155"/>
        <v>-12872</v>
      </c>
      <c r="BX888" s="1112">
        <f t="shared" si="2159"/>
        <v>-17502</v>
      </c>
      <c r="BY888" s="588">
        <f t="shared" si="2156"/>
        <v>-18582</v>
      </c>
      <c r="BZ888" s="68"/>
      <c r="CA888" s="68"/>
      <c r="CB888" s="68"/>
      <c r="CC888" s="1112">
        <f t="shared" si="2157"/>
        <v>-18582</v>
      </c>
      <c r="CD888" s="68"/>
      <c r="CE888" s="68"/>
      <c r="CF888" s="68"/>
      <c r="CG888" s="68"/>
      <c r="CH888" s="1112">
        <f t="shared" si="2158"/>
        <v>0</v>
      </c>
      <c r="CI888" s="1112"/>
      <c r="CJ888" s="1112"/>
      <c r="CK888" s="1112"/>
      <c r="CL888" s="155"/>
    </row>
    <row r="889" spans="1:90" x14ac:dyDescent="0.3">
      <c r="A889" s="99" t="str">
        <f t="shared" si="2115"/>
        <v>Other</v>
      </c>
      <c r="B889" s="68"/>
      <c r="C889" s="1112">
        <f t="shared" si="2116"/>
        <v>-0.442</v>
      </c>
      <c r="D889" s="1112">
        <f t="shared" si="2116"/>
        <v>-0.218</v>
      </c>
      <c r="E889" s="1112">
        <f t="shared" si="2116"/>
        <v>-2.1629999999999998</v>
      </c>
      <c r="F889" s="1112">
        <f t="shared" si="2116"/>
        <v>-1.59</v>
      </c>
      <c r="G889" s="68">
        <f t="shared" si="2116"/>
        <v>0.216</v>
      </c>
      <c r="H889" s="68">
        <f t="shared" si="2117"/>
        <v>-0.29799999999999999</v>
      </c>
      <c r="I889" s="68">
        <f t="shared" si="2117"/>
        <v>0.21700000000000003</v>
      </c>
      <c r="J889" s="68">
        <f t="shared" si="2117"/>
        <v>0.21699999999999997</v>
      </c>
      <c r="K889" s="1112">
        <f t="shared" si="2118"/>
        <v>0.35199999999999998</v>
      </c>
      <c r="L889" s="68">
        <f t="shared" si="2118"/>
        <v>-1.45</v>
      </c>
      <c r="M889" s="68">
        <f t="shared" si="2119"/>
        <v>0</v>
      </c>
      <c r="N889" s="68">
        <f t="shared" si="2119"/>
        <v>-1.0000000000000002</v>
      </c>
      <c r="O889" s="68">
        <f t="shared" si="2119"/>
        <v>2.4500000000000002</v>
      </c>
      <c r="P889" s="1112">
        <f t="shared" si="2120"/>
        <v>0</v>
      </c>
      <c r="Q889" s="68">
        <f t="shared" si="2120"/>
        <v>0</v>
      </c>
      <c r="R889" s="68">
        <f t="shared" si="2121"/>
        <v>0</v>
      </c>
      <c r="S889" s="68">
        <f t="shared" si="2121"/>
        <v>-1</v>
      </c>
      <c r="T889" s="68">
        <f t="shared" si="2121"/>
        <v>0</v>
      </c>
      <c r="U889" s="1112">
        <f t="shared" si="2122"/>
        <v>-1</v>
      </c>
      <c r="V889" s="68">
        <f t="shared" si="2122"/>
        <v>-1</v>
      </c>
      <c r="W889" s="68">
        <f t="shared" si="2123"/>
        <v>0</v>
      </c>
      <c r="X889" s="68">
        <f t="shared" si="2123"/>
        <v>0</v>
      </c>
      <c r="Y889" s="68">
        <f t="shared" si="2123"/>
        <v>-5</v>
      </c>
      <c r="Z889" s="1112">
        <f t="shared" si="2124"/>
        <v>-6</v>
      </c>
      <c r="AA889" s="68">
        <f t="shared" si="2125"/>
        <v>-4</v>
      </c>
      <c r="AB889" s="68">
        <f t="shared" si="2126"/>
        <v>0</v>
      </c>
      <c r="AC889" s="68">
        <f t="shared" si="2126"/>
        <v>1</v>
      </c>
      <c r="AD889" s="68">
        <f t="shared" si="2126"/>
        <v>-2</v>
      </c>
      <c r="AE889" s="1112">
        <f t="shared" si="2127"/>
        <v>-5</v>
      </c>
      <c r="AF889" s="68">
        <f t="shared" si="2128"/>
        <v>-5</v>
      </c>
      <c r="AG889" s="68">
        <f t="shared" si="2129"/>
        <v>-11</v>
      </c>
      <c r="AH889" s="68">
        <f t="shared" si="2129"/>
        <v>-10</v>
      </c>
      <c r="AI889" s="68">
        <f t="shared" si="2129"/>
        <v>-10</v>
      </c>
      <c r="AJ889" s="1112">
        <f t="shared" si="2130"/>
        <v>-36</v>
      </c>
      <c r="AK889" s="68">
        <f t="shared" si="2131"/>
        <v>0</v>
      </c>
      <c r="AL889" s="68">
        <f t="shared" si="2132"/>
        <v>0</v>
      </c>
      <c r="AM889" s="68">
        <f t="shared" si="2132"/>
        <v>-9</v>
      </c>
      <c r="AN889" s="68">
        <f t="shared" si="2132"/>
        <v>0</v>
      </c>
      <c r="AO889" s="1112">
        <f t="shared" si="2133"/>
        <v>-9</v>
      </c>
      <c r="AP889" s="68">
        <f t="shared" si="2134"/>
        <v>0</v>
      </c>
      <c r="AQ889" s="27">
        <f t="shared" si="2135"/>
        <v>0</v>
      </c>
      <c r="AR889" s="68">
        <f t="shared" si="2135"/>
        <v>0</v>
      </c>
      <c r="AS889" s="68">
        <f t="shared" si="2135"/>
        <v>0</v>
      </c>
      <c r="AT889" s="1112">
        <f t="shared" si="2136"/>
        <v>0</v>
      </c>
      <c r="AU889" s="68">
        <f t="shared" si="2137"/>
        <v>0</v>
      </c>
      <c r="AV889" s="27">
        <f t="shared" si="2138"/>
        <v>0</v>
      </c>
      <c r="AW889" s="68">
        <f t="shared" si="2138"/>
        <v>0</v>
      </c>
      <c r="AX889" s="68">
        <f t="shared" si="2138"/>
        <v>0</v>
      </c>
      <c r="AY889" s="1112">
        <f t="shared" si="2139"/>
        <v>0</v>
      </c>
      <c r="AZ889" s="68">
        <f t="shared" si="2140"/>
        <v>0</v>
      </c>
      <c r="BA889" s="27">
        <f t="shared" si="2141"/>
        <v>0</v>
      </c>
      <c r="BB889" s="68">
        <f t="shared" si="2141"/>
        <v>0</v>
      </c>
      <c r="BC889" s="68">
        <f t="shared" si="2141"/>
        <v>0</v>
      </c>
      <c r="BD889" s="1112">
        <f t="shared" si="2142"/>
        <v>0</v>
      </c>
      <c r="BE889" s="68">
        <f t="shared" si="2143"/>
        <v>0</v>
      </c>
      <c r="BF889" s="27">
        <f t="shared" si="2144"/>
        <v>0</v>
      </c>
      <c r="BG889" s="68">
        <f t="shared" si="2144"/>
        <v>0</v>
      </c>
      <c r="BH889" s="68">
        <f t="shared" si="2144"/>
        <v>0</v>
      </c>
      <c r="BI889" s="1112">
        <f t="shared" si="2145"/>
        <v>0</v>
      </c>
      <c r="BJ889" s="68">
        <f t="shared" si="2146"/>
        <v>0</v>
      </c>
      <c r="BK889" s="27">
        <f t="shared" si="2147"/>
        <v>0</v>
      </c>
      <c r="BL889" s="68">
        <f t="shared" si="2147"/>
        <v>0</v>
      </c>
      <c r="BM889" s="68">
        <f t="shared" si="2147"/>
        <v>0</v>
      </c>
      <c r="BN889" s="1112">
        <f t="shared" si="2148"/>
        <v>0</v>
      </c>
      <c r="BO889" s="68">
        <f t="shared" si="2149"/>
        <v>0</v>
      </c>
      <c r="BP889" s="27">
        <f t="shared" si="2150"/>
        <v>0</v>
      </c>
      <c r="BQ889" s="68">
        <f t="shared" si="2150"/>
        <v>0</v>
      </c>
      <c r="BR889" s="68">
        <f t="shared" si="2150"/>
        <v>22</v>
      </c>
      <c r="BS889" s="1112">
        <f t="shared" si="2151"/>
        <v>22</v>
      </c>
      <c r="BT889" s="68">
        <f t="shared" si="2152"/>
        <v>0</v>
      </c>
      <c r="BU889" s="27">
        <f t="shared" si="2153"/>
        <v>0</v>
      </c>
      <c r="BV889" s="68">
        <f t="shared" si="2154"/>
        <v>0</v>
      </c>
      <c r="BW889" s="68">
        <f t="shared" si="2155"/>
        <v>0</v>
      </c>
      <c r="BX889" s="1112">
        <f t="shared" si="2159"/>
        <v>0</v>
      </c>
      <c r="BY889" s="588">
        <f t="shared" si="2156"/>
        <v>0</v>
      </c>
      <c r="BZ889" s="68"/>
      <c r="CA889" s="68"/>
      <c r="CB889" s="68"/>
      <c r="CC889" s="1112">
        <f t="shared" si="2157"/>
        <v>0</v>
      </c>
      <c r="CD889" s="68"/>
      <c r="CE889" s="68"/>
      <c r="CF889" s="68"/>
      <c r="CG889" s="68"/>
      <c r="CH889" s="1112">
        <f t="shared" si="2158"/>
        <v>0</v>
      </c>
      <c r="CI889" s="1112"/>
      <c r="CJ889" s="1112"/>
      <c r="CK889" s="1112"/>
      <c r="CL889" s="155"/>
    </row>
    <row r="890" spans="1:90" x14ac:dyDescent="0.3">
      <c r="A890" s="59" t="str">
        <f t="shared" si="2115"/>
        <v>Net CFI</v>
      </c>
      <c r="B890" s="607"/>
      <c r="C890" s="1125">
        <f t="shared" ref="C890:AH890" si="2160">SUM(C880:C889)</f>
        <v>-209.36700000000005</v>
      </c>
      <c r="D890" s="1125">
        <f t="shared" si="2160"/>
        <v>-519.33300000000008</v>
      </c>
      <c r="E890" s="1125">
        <f t="shared" si="2160"/>
        <v>-649.678</v>
      </c>
      <c r="F890" s="1125">
        <f t="shared" si="2160"/>
        <v>-1143.3639999999998</v>
      </c>
      <c r="G890" s="60">
        <f t="shared" si="2160"/>
        <v>-335.05399999999997</v>
      </c>
      <c r="H890" s="60">
        <f t="shared" si="2160"/>
        <v>-84.703000000000017</v>
      </c>
      <c r="I890" s="60">
        <f t="shared" si="2160"/>
        <v>-182.79900000000006</v>
      </c>
      <c r="J890" s="60">
        <f t="shared" si="2160"/>
        <v>-141.43599999999998</v>
      </c>
      <c r="K890" s="1125">
        <f t="shared" si="2160"/>
        <v>-743.99200000000019</v>
      </c>
      <c r="L890" s="60">
        <f t="shared" si="2160"/>
        <v>-230.78600000000003</v>
      </c>
      <c r="M890" s="60">
        <f t="shared" si="2160"/>
        <v>711.81799999999987</v>
      </c>
      <c r="N890" s="60">
        <f t="shared" si="2160"/>
        <v>-187.37299999999993</v>
      </c>
      <c r="O890" s="60">
        <f t="shared" si="2160"/>
        <v>-1099.5960000000002</v>
      </c>
      <c r="P890" s="1125">
        <f t="shared" si="2160"/>
        <v>-805.93700000000013</v>
      </c>
      <c r="Q890" s="60">
        <f t="shared" si="2160"/>
        <v>-330</v>
      </c>
      <c r="R890" s="60">
        <f t="shared" si="2160"/>
        <v>-64</v>
      </c>
      <c r="S890" s="60">
        <f t="shared" si="2160"/>
        <v>-15</v>
      </c>
      <c r="T890" s="60">
        <f t="shared" si="2160"/>
        <v>-318</v>
      </c>
      <c r="U890" s="1125">
        <f t="shared" si="2160"/>
        <v>-727</v>
      </c>
      <c r="V890" s="60">
        <f t="shared" si="2160"/>
        <v>-235</v>
      </c>
      <c r="W890" s="60">
        <f t="shared" si="2160"/>
        <v>247</v>
      </c>
      <c r="X890" s="60">
        <f t="shared" si="2160"/>
        <v>-199</v>
      </c>
      <c r="Y890" s="60">
        <f t="shared" si="2160"/>
        <v>-213</v>
      </c>
      <c r="Z890" s="1125">
        <f t="shared" si="2160"/>
        <v>-400</v>
      </c>
      <c r="AA890" s="60">
        <f t="shared" si="2160"/>
        <v>176</v>
      </c>
      <c r="AB890" s="60">
        <f t="shared" si="2160"/>
        <v>-269</v>
      </c>
      <c r="AC890" s="60">
        <f t="shared" si="2160"/>
        <v>-327</v>
      </c>
      <c r="AD890" s="60">
        <f t="shared" si="2160"/>
        <v>-373</v>
      </c>
      <c r="AE890" s="1125">
        <f t="shared" si="2160"/>
        <v>-793</v>
      </c>
      <c r="AF890" s="60">
        <f t="shared" si="2160"/>
        <v>754</v>
      </c>
      <c r="AG890" s="60">
        <f t="shared" si="2160"/>
        <v>262</v>
      </c>
      <c r="AH890" s="60">
        <f t="shared" si="2160"/>
        <v>286</v>
      </c>
      <c r="AI890" s="60">
        <f t="shared" ref="AI890:AV890" si="2161">SUM(AI880:AI889)</f>
        <v>-24</v>
      </c>
      <c r="AJ890" s="1125">
        <f t="shared" si="2161"/>
        <v>1278</v>
      </c>
      <c r="AK890" s="60">
        <f t="shared" si="2161"/>
        <v>-3551</v>
      </c>
      <c r="AL890" s="60">
        <f t="shared" si="2161"/>
        <v>-805</v>
      </c>
      <c r="AM890" s="60">
        <f t="shared" si="2161"/>
        <v>219</v>
      </c>
      <c r="AN890" s="61">
        <f t="shared" si="2161"/>
        <v>40</v>
      </c>
      <c r="AO890" s="1124">
        <f t="shared" si="2161"/>
        <v>-4097</v>
      </c>
      <c r="AP890" s="60">
        <f t="shared" si="2161"/>
        <v>1495</v>
      </c>
      <c r="AQ890" s="60">
        <f t="shared" si="2161"/>
        <v>3545</v>
      </c>
      <c r="AR890" s="60">
        <f t="shared" si="2161"/>
        <v>1256</v>
      </c>
      <c r="AS890" s="61">
        <f t="shared" si="2161"/>
        <v>-151</v>
      </c>
      <c r="AT890" s="1124">
        <f t="shared" si="2161"/>
        <v>6145</v>
      </c>
      <c r="AU890" s="60">
        <f t="shared" si="2161"/>
        <v>-1055</v>
      </c>
      <c r="AV890" s="60">
        <f t="shared" si="2161"/>
        <v>-13490</v>
      </c>
      <c r="AW890" s="60">
        <f t="shared" ref="AW890:BB890" si="2162">SUM(AW880:AW889)</f>
        <v>-2001</v>
      </c>
      <c r="AX890" s="61">
        <f t="shared" si="2162"/>
        <v>-3129</v>
      </c>
      <c r="AY890" s="1124">
        <f t="shared" si="2162"/>
        <v>-19675</v>
      </c>
      <c r="AZ890" s="60">
        <f t="shared" si="2162"/>
        <v>-1272</v>
      </c>
      <c r="BA890" s="60">
        <f t="shared" si="2162"/>
        <v>-2533</v>
      </c>
      <c r="BB890" s="60">
        <f t="shared" si="2162"/>
        <v>-4439</v>
      </c>
      <c r="BC890" s="61">
        <f t="shared" ref="BC890:BD890" si="2163">SUM(BC880:BC889)</f>
        <v>-1586</v>
      </c>
      <c r="BD890" s="1124">
        <f t="shared" si="2163"/>
        <v>-9830</v>
      </c>
      <c r="BE890" s="60">
        <f t="shared" ref="BE890:BI890" si="2164">SUM(BE880:BE889)</f>
        <v>2612</v>
      </c>
      <c r="BF890" s="60">
        <f t="shared" si="2164"/>
        <v>1618</v>
      </c>
      <c r="BG890" s="60">
        <f t="shared" si="2164"/>
        <v>3148</v>
      </c>
      <c r="BH890" s="61">
        <f t="shared" si="2164"/>
        <v>-3</v>
      </c>
      <c r="BI890" s="1124">
        <f t="shared" si="2164"/>
        <v>7375</v>
      </c>
      <c r="BJ890" s="60">
        <f t="shared" ref="BJ890:BN890" si="2165">SUM(BJ880:BJ889)</f>
        <v>-841</v>
      </c>
      <c r="BK890" s="60">
        <f t="shared" si="2165"/>
        <v>-446</v>
      </c>
      <c r="BL890" s="60">
        <f t="shared" si="2165"/>
        <v>-3170</v>
      </c>
      <c r="BM890" s="61">
        <f t="shared" si="2165"/>
        <v>-6109</v>
      </c>
      <c r="BN890" s="1124">
        <f t="shared" si="2165"/>
        <v>-10566</v>
      </c>
      <c r="BO890" s="60">
        <f t="shared" ref="BO890:BS890" si="2166">SUM(BO880:BO889)</f>
        <v>-5693</v>
      </c>
      <c r="BP890" s="60">
        <f t="shared" si="2166"/>
        <v>-3184</v>
      </c>
      <c r="BQ890" s="60">
        <f t="shared" si="2166"/>
        <v>-4346</v>
      </c>
      <c r="BR890" s="61">
        <f t="shared" si="2166"/>
        <v>-7198</v>
      </c>
      <c r="BS890" s="1124">
        <f t="shared" si="2166"/>
        <v>-20421</v>
      </c>
      <c r="BT890" s="60">
        <f t="shared" ref="BT890:CK890" si="2167">SUM(BT880:BT889)</f>
        <v>-5216</v>
      </c>
      <c r="BU890" s="60">
        <f t="shared" si="2167"/>
        <v>-7127</v>
      </c>
      <c r="BV890" s="60">
        <f t="shared" si="2167"/>
        <v>-9024</v>
      </c>
      <c r="BW890" s="61">
        <f t="shared" si="2167"/>
        <v>-30861</v>
      </c>
      <c r="BX890" s="1124">
        <f t="shared" si="2167"/>
        <v>-52228</v>
      </c>
      <c r="BY890" s="895">
        <f>SUM(BY880:BY889)</f>
        <v>-26429</v>
      </c>
      <c r="BZ890" s="61">
        <f t="shared" si="2167"/>
        <v>-325</v>
      </c>
      <c r="CA890" s="61">
        <f t="shared" si="2167"/>
        <v>-325</v>
      </c>
      <c r="CB890" s="61">
        <f t="shared" si="2167"/>
        <v>-325</v>
      </c>
      <c r="CC890" s="1124">
        <f t="shared" si="2167"/>
        <v>-27404</v>
      </c>
      <c r="CD890" s="61">
        <f t="shared" si="2167"/>
        <v>-325</v>
      </c>
      <c r="CE890" s="61">
        <f t="shared" si="2167"/>
        <v>-325</v>
      </c>
      <c r="CF890" s="61">
        <f t="shared" si="2167"/>
        <v>-325</v>
      </c>
      <c r="CG890" s="61">
        <f t="shared" si="2167"/>
        <v>-325</v>
      </c>
      <c r="CH890" s="1124">
        <f t="shared" si="2167"/>
        <v>-1300</v>
      </c>
      <c r="CI890" s="1124">
        <f t="shared" si="2167"/>
        <v>-1300</v>
      </c>
      <c r="CJ890" s="1124">
        <f t="shared" si="2167"/>
        <v>-1300</v>
      </c>
      <c r="CK890" s="1124">
        <f t="shared" si="2167"/>
        <v>-1300</v>
      </c>
      <c r="CL890" s="155"/>
    </row>
    <row r="891" spans="1:90" x14ac:dyDescent="0.3">
      <c r="A891" s="600"/>
      <c r="B891" s="279"/>
      <c r="C891" s="1127"/>
      <c r="D891" s="1127"/>
      <c r="E891" s="1127"/>
      <c r="F891" s="1127"/>
      <c r="G891" s="63"/>
      <c r="H891" s="63"/>
      <c r="I891" s="63"/>
      <c r="J891" s="63"/>
      <c r="K891" s="1127"/>
      <c r="L891" s="63"/>
      <c r="M891" s="63"/>
      <c r="N891" s="63"/>
      <c r="O891" s="63"/>
      <c r="P891" s="1127"/>
      <c r="Q891" s="63"/>
      <c r="R891" s="63"/>
      <c r="S891" s="63"/>
      <c r="T891" s="63"/>
      <c r="U891" s="1127"/>
      <c r="V891" s="63"/>
      <c r="W891" s="63"/>
      <c r="X891" s="63"/>
      <c r="Y891" s="63"/>
      <c r="Z891" s="1127"/>
      <c r="AA891" s="63"/>
      <c r="AB891" s="63"/>
      <c r="AC891" s="63"/>
      <c r="AD891" s="63"/>
      <c r="AE891" s="1127"/>
      <c r="AF891" s="63"/>
      <c r="AG891" s="63"/>
      <c r="AH891" s="63"/>
      <c r="AI891" s="63"/>
      <c r="AJ891" s="1127"/>
      <c r="AK891" s="63"/>
      <c r="AL891" s="63"/>
      <c r="AM891" s="63"/>
      <c r="AN891" s="63"/>
      <c r="AO891" s="1127"/>
      <c r="AP891" s="63"/>
      <c r="AQ891" s="63"/>
      <c r="AR891" s="63"/>
      <c r="AS891" s="63"/>
      <c r="AT891" s="1127"/>
      <c r="AU891" s="63"/>
      <c r="AV891" s="63"/>
      <c r="AW891" s="63"/>
      <c r="AX891" s="63"/>
      <c r="AY891" s="1127"/>
      <c r="AZ891" s="63"/>
      <c r="BA891" s="63"/>
      <c r="BB891" s="63"/>
      <c r="BC891" s="63"/>
      <c r="BD891" s="1127"/>
      <c r="BE891" s="63"/>
      <c r="BF891" s="63"/>
      <c r="BG891" s="63"/>
      <c r="BH891" s="63"/>
      <c r="BI891" s="1127"/>
      <c r="BJ891" s="63"/>
      <c r="BK891" s="63"/>
      <c r="BL891" s="63"/>
      <c r="BM891" s="63"/>
      <c r="BN891" s="1127"/>
      <c r="BO891" s="63"/>
      <c r="BP891" s="63"/>
      <c r="BQ891" s="63"/>
      <c r="BR891" s="63"/>
      <c r="BS891" s="1127"/>
      <c r="BT891" s="63"/>
      <c r="BU891" s="63"/>
      <c r="BV891" s="63"/>
      <c r="BW891" s="63"/>
      <c r="BX891" s="1127"/>
      <c r="BY891" s="587"/>
      <c r="BZ891" s="63"/>
      <c r="CA891" s="63"/>
      <c r="CB891" s="63"/>
      <c r="CC891" s="1127"/>
      <c r="CD891" s="63"/>
      <c r="CE891" s="63"/>
      <c r="CF891" s="63"/>
      <c r="CG891" s="63"/>
      <c r="CH891" s="1127"/>
      <c r="CI891" s="1127"/>
      <c r="CJ891" s="1127"/>
      <c r="CK891" s="1127"/>
      <c r="CL891" s="155"/>
    </row>
    <row r="892" spans="1:90" x14ac:dyDescent="0.3">
      <c r="A892" s="62" t="str">
        <f t="shared" ref="A892:A910" si="2168">A820</f>
        <v>CFF</v>
      </c>
      <c r="B892" s="279"/>
      <c r="C892" s="1127"/>
      <c r="D892" s="1127"/>
      <c r="E892" s="1127"/>
      <c r="F892" s="1127"/>
      <c r="G892" s="63"/>
      <c r="H892" s="63"/>
      <c r="I892" s="63"/>
      <c r="J892" s="63"/>
      <c r="K892" s="1127"/>
      <c r="L892" s="63"/>
      <c r="M892" s="63"/>
      <c r="N892" s="63"/>
      <c r="O892" s="63"/>
      <c r="P892" s="1127"/>
      <c r="Q892" s="63"/>
      <c r="R892" s="63"/>
      <c r="S892" s="63"/>
      <c r="T892" s="63"/>
      <c r="U892" s="1127"/>
      <c r="V892" s="63"/>
      <c r="W892" s="63"/>
      <c r="X892" s="63"/>
      <c r="Y892" s="63"/>
      <c r="Z892" s="1127"/>
      <c r="AA892" s="63"/>
      <c r="AB892" s="63"/>
      <c r="AC892" s="63"/>
      <c r="AD892" s="63"/>
      <c r="AE892" s="1127"/>
      <c r="AF892" s="63"/>
      <c r="AG892" s="63"/>
      <c r="AH892" s="63"/>
      <c r="AI892" s="63"/>
      <c r="AJ892" s="1127"/>
      <c r="AK892" s="63"/>
      <c r="AL892" s="63"/>
      <c r="AM892" s="63"/>
      <c r="AN892" s="63"/>
      <c r="AO892" s="1127"/>
      <c r="AP892" s="63"/>
      <c r="AQ892" s="63"/>
      <c r="AR892" s="63"/>
      <c r="AS892" s="63"/>
      <c r="AT892" s="1127"/>
      <c r="AU892" s="63"/>
      <c r="AV892" s="63"/>
      <c r="AW892" s="63"/>
      <c r="AX892" s="63"/>
      <c r="AY892" s="1127"/>
      <c r="AZ892" s="63"/>
      <c r="BA892" s="63"/>
      <c r="BB892" s="63"/>
      <c r="BC892" s="63"/>
      <c r="BD892" s="1127"/>
      <c r="BE892" s="63"/>
      <c r="BF892" s="63"/>
      <c r="BG892" s="63"/>
      <c r="BH892" s="63"/>
      <c r="BI892" s="1127"/>
      <c r="BJ892" s="63"/>
      <c r="BK892" s="63"/>
      <c r="BL892" s="63"/>
      <c r="BM892" s="63"/>
      <c r="BN892" s="1127"/>
      <c r="BO892" s="63"/>
      <c r="BP892" s="63"/>
      <c r="BQ892" s="63"/>
      <c r="BR892" s="63"/>
      <c r="BS892" s="1127"/>
      <c r="BT892" s="63"/>
      <c r="BU892" s="63"/>
      <c r="BV892" s="63"/>
      <c r="BW892" s="63"/>
      <c r="BX892" s="1127"/>
      <c r="BY892" s="587"/>
      <c r="BZ892" s="63"/>
      <c r="CA892" s="63"/>
      <c r="CB892" s="63"/>
      <c r="CC892" s="1127"/>
      <c r="CD892" s="63"/>
      <c r="CE892" s="63"/>
      <c r="CF892" s="63"/>
      <c r="CG892" s="63"/>
      <c r="CH892" s="1127"/>
      <c r="CI892" s="1127"/>
      <c r="CJ892" s="1127"/>
      <c r="CK892" s="1127"/>
      <c r="CL892" s="155"/>
    </row>
    <row r="893" spans="1:90" x14ac:dyDescent="0.3">
      <c r="A893" s="99" t="str">
        <f t="shared" si="2168"/>
        <v>Payments related to stock option purchase</v>
      </c>
      <c r="B893" s="68"/>
      <c r="C893" s="1112">
        <f t="shared" ref="C893:G902" si="2169">C821</f>
        <v>0</v>
      </c>
      <c r="D893" s="1112">
        <f t="shared" si="2169"/>
        <v>-78.075000000000003</v>
      </c>
      <c r="E893" s="1112">
        <f t="shared" si="2169"/>
        <v>0</v>
      </c>
      <c r="F893" s="1112">
        <f t="shared" si="2169"/>
        <v>0</v>
      </c>
      <c r="G893" s="68">
        <f t="shared" si="2169"/>
        <v>0</v>
      </c>
      <c r="H893" s="68">
        <f t="shared" ref="H893:J909" si="2170">H821-G821</f>
        <v>0</v>
      </c>
      <c r="I893" s="68">
        <f t="shared" si="2170"/>
        <v>0</v>
      </c>
      <c r="J893" s="68">
        <f t="shared" si="2170"/>
        <v>0</v>
      </c>
      <c r="K893" s="1112">
        <f t="shared" ref="K893:L909" si="2171">K821</f>
        <v>0</v>
      </c>
      <c r="L893" s="68">
        <f t="shared" si="2171"/>
        <v>0</v>
      </c>
      <c r="M893" s="68">
        <f t="shared" ref="M893:O909" si="2172">M821-L821</f>
        <v>0</v>
      </c>
      <c r="N893" s="68">
        <f t="shared" si="2172"/>
        <v>0</v>
      </c>
      <c r="O893" s="68">
        <f t="shared" si="2172"/>
        <v>0</v>
      </c>
      <c r="P893" s="1112">
        <f t="shared" ref="P893:Q909" si="2173">P821</f>
        <v>0</v>
      </c>
      <c r="Q893" s="68">
        <f t="shared" si="2173"/>
        <v>0</v>
      </c>
      <c r="R893" s="68">
        <f t="shared" ref="R893:T909" si="2174">R821-Q821</f>
        <v>0</v>
      </c>
      <c r="S893" s="68">
        <f t="shared" si="2174"/>
        <v>0</v>
      </c>
      <c r="T893" s="68">
        <f t="shared" si="2174"/>
        <v>0</v>
      </c>
      <c r="U893" s="1112">
        <f t="shared" ref="U893:V909" si="2175">U821</f>
        <v>0</v>
      </c>
      <c r="V893" s="68">
        <f t="shared" si="2175"/>
        <v>0</v>
      </c>
      <c r="W893" s="68">
        <f t="shared" ref="W893:Y909" si="2176">W821-V821</f>
        <v>0</v>
      </c>
      <c r="X893" s="68">
        <f t="shared" si="2176"/>
        <v>0</v>
      </c>
      <c r="Y893" s="68">
        <f t="shared" si="2176"/>
        <v>0</v>
      </c>
      <c r="Z893" s="1112">
        <f t="shared" ref="Z893:Z909" si="2177">SUM(V893,W893,X893,Y893)</f>
        <v>0</v>
      </c>
      <c r="AA893" s="68">
        <f t="shared" ref="AA893:AA909" si="2178">AA821</f>
        <v>0</v>
      </c>
      <c r="AB893" s="68">
        <f t="shared" ref="AB893:AD909" si="2179">AB821-AA821</f>
        <v>0</v>
      </c>
      <c r="AC893" s="68">
        <f t="shared" si="2179"/>
        <v>0</v>
      </c>
      <c r="AD893" s="68">
        <f t="shared" si="2179"/>
        <v>0</v>
      </c>
      <c r="AE893" s="1112">
        <f t="shared" ref="AE893:AE909" si="2180">SUM(AA893,AB893,AC893,AD893)</f>
        <v>0</v>
      </c>
      <c r="AF893" s="68">
        <f t="shared" ref="AF893:AF909" si="2181">AF821</f>
        <v>0</v>
      </c>
      <c r="AG893" s="68">
        <f t="shared" ref="AG893:AI909" si="2182">AG821-AF821</f>
        <v>0</v>
      </c>
      <c r="AH893" s="68">
        <f t="shared" si="2182"/>
        <v>0</v>
      </c>
      <c r="AI893" s="68">
        <f t="shared" si="2182"/>
        <v>0</v>
      </c>
      <c r="AJ893" s="1112">
        <f t="shared" ref="AJ893:AJ909" si="2183">SUM(AF893,AG893,AH893,AI893)</f>
        <v>0</v>
      </c>
      <c r="AK893" s="68">
        <f t="shared" ref="AK893:AK909" si="2184">AK821</f>
        <v>0</v>
      </c>
      <c r="AL893" s="68">
        <f t="shared" ref="AL893:AN909" si="2185">AL821-AK821</f>
        <v>0</v>
      </c>
      <c r="AM893" s="68">
        <f t="shared" si="2185"/>
        <v>0</v>
      </c>
      <c r="AN893" s="68">
        <f t="shared" si="2185"/>
        <v>0</v>
      </c>
      <c r="AO893" s="1112">
        <f t="shared" ref="AO893:AO909" si="2186">SUM(AK893,AL893,AM893,AN893)</f>
        <v>0</v>
      </c>
      <c r="AP893" s="68">
        <f t="shared" ref="AP893:AP909" si="2187">AP821</f>
        <v>0</v>
      </c>
      <c r="AQ893" s="27">
        <f t="shared" ref="AQ893:AS909" si="2188">AQ821-AP821</f>
        <v>0</v>
      </c>
      <c r="AR893" s="68">
        <f t="shared" si="2188"/>
        <v>0</v>
      </c>
      <c r="AS893" s="68">
        <f t="shared" si="2188"/>
        <v>0</v>
      </c>
      <c r="AT893" s="1112">
        <f t="shared" ref="AT893:AT909" si="2189">SUM(AP893,AQ893,AR893,AS893)</f>
        <v>0</v>
      </c>
      <c r="AU893" s="68">
        <f t="shared" ref="AU893:AU909" si="2190">AU821</f>
        <v>0</v>
      </c>
      <c r="AV893" s="27">
        <f t="shared" ref="AV893:AX909" si="2191">AV821-AU821</f>
        <v>0</v>
      </c>
      <c r="AW893" s="68">
        <f t="shared" si="2191"/>
        <v>0</v>
      </c>
      <c r="AX893" s="68">
        <f t="shared" si="2191"/>
        <v>0</v>
      </c>
      <c r="AY893" s="1112">
        <f t="shared" ref="AY893:AY909" si="2192">SUM(AU893,AV893,AW893,AX893)</f>
        <v>0</v>
      </c>
      <c r="AZ893" s="68">
        <f t="shared" ref="AZ893:AZ909" si="2193">AZ821</f>
        <v>0</v>
      </c>
      <c r="BA893" s="27">
        <f t="shared" ref="BA893:BC909" si="2194">BA821-AZ821</f>
        <v>0</v>
      </c>
      <c r="BB893" s="68">
        <f t="shared" si="2194"/>
        <v>0</v>
      </c>
      <c r="BC893" s="68">
        <f t="shared" si="2194"/>
        <v>0</v>
      </c>
      <c r="BD893" s="1112">
        <f t="shared" ref="BD893:BD909" si="2195">SUM(AZ893,BA893,BB893,BC893)</f>
        <v>0</v>
      </c>
      <c r="BE893" s="68">
        <f t="shared" ref="BE893:BE909" si="2196">BE821</f>
        <v>0</v>
      </c>
      <c r="BF893" s="27">
        <f t="shared" ref="BF893:BH909" si="2197">BF821-BE821</f>
        <v>0</v>
      </c>
      <c r="BG893" s="68">
        <f t="shared" si="2197"/>
        <v>0</v>
      </c>
      <c r="BH893" s="68">
        <f t="shared" si="2197"/>
        <v>0</v>
      </c>
      <c r="BI893" s="1112">
        <f t="shared" ref="BI893:BI909" si="2198">SUM(BE893,BF893,BG893,BH893)</f>
        <v>0</v>
      </c>
      <c r="BJ893" s="68">
        <f t="shared" ref="BJ893:BJ909" si="2199">BJ821</f>
        <v>0</v>
      </c>
      <c r="BK893" s="27">
        <f t="shared" ref="BK893:BM909" si="2200">BK821-BJ821</f>
        <v>0</v>
      </c>
      <c r="BL893" s="68">
        <f t="shared" si="2200"/>
        <v>0</v>
      </c>
      <c r="BM893" s="68">
        <f t="shared" si="2200"/>
        <v>0</v>
      </c>
      <c r="BN893" s="1112">
        <f t="shared" ref="BN893:BN909" si="2201">SUM(BJ893,BK893,BL893,BM893)</f>
        <v>0</v>
      </c>
      <c r="BO893" s="68">
        <f t="shared" ref="BO893:BO909" si="2202">BO821</f>
        <v>0</v>
      </c>
      <c r="BP893" s="27">
        <f t="shared" ref="BP893:BR909" si="2203">BP821-BO821</f>
        <v>0</v>
      </c>
      <c r="BQ893" s="68">
        <f t="shared" si="2203"/>
        <v>0</v>
      </c>
      <c r="BR893" s="68">
        <f t="shared" si="2203"/>
        <v>0</v>
      </c>
      <c r="BS893" s="1112">
        <f t="shared" ref="BS893:BS909" si="2204">SUM(BO893,BP893,BQ893,BR893)</f>
        <v>0</v>
      </c>
      <c r="BT893" s="68">
        <f t="shared" ref="BT893:BT909" si="2205">BT821</f>
        <v>0</v>
      </c>
      <c r="BU893" s="27">
        <f t="shared" ref="BU893:BU909" si="2206">BU821-BT821</f>
        <v>0</v>
      </c>
      <c r="BV893" s="68">
        <f t="shared" ref="BV893:BV909" si="2207">BV821-BU821</f>
        <v>0</v>
      </c>
      <c r="BW893" s="68">
        <f t="shared" ref="BW893:BW909" si="2208">BW821-BV821</f>
        <v>0</v>
      </c>
      <c r="BX893" s="1112">
        <f t="shared" ref="BX893:BX909" si="2209">SUM(BT893,BU893,BV893,BW893)</f>
        <v>0</v>
      </c>
      <c r="BY893" s="588">
        <f t="shared" ref="BY893:BY909" si="2210">BY821</f>
        <v>0</v>
      </c>
      <c r="BZ893" s="68"/>
      <c r="CA893" s="68"/>
      <c r="CB893" s="68"/>
      <c r="CC893" s="1112">
        <f t="shared" ref="CC893:CC909" si="2211">SUM(BY893,BZ893,CA893,CB893)</f>
        <v>0</v>
      </c>
      <c r="CD893" s="68"/>
      <c r="CE893" s="68"/>
      <c r="CF893" s="68"/>
      <c r="CG893" s="68"/>
      <c r="CH893" s="1112">
        <f t="shared" ref="CH893:CH909" si="2212">SUM(CD893,CE893,CF893,CG893)</f>
        <v>0</v>
      </c>
      <c r="CI893" s="1112"/>
      <c r="CJ893" s="1112"/>
      <c r="CK893" s="1112"/>
      <c r="CL893" s="155"/>
    </row>
    <row r="894" spans="1:90" x14ac:dyDescent="0.3">
      <c r="A894" s="99" t="str">
        <f t="shared" si="2168"/>
        <v>Proceeds from issuance of convertible notes, net</v>
      </c>
      <c r="B894" s="68"/>
      <c r="C894" s="1112">
        <f t="shared" si="2169"/>
        <v>0</v>
      </c>
      <c r="D894" s="1112">
        <f t="shared" si="2169"/>
        <v>0</v>
      </c>
      <c r="E894" s="1112">
        <f t="shared" si="2169"/>
        <v>0</v>
      </c>
      <c r="F894" s="1112">
        <f t="shared" si="2169"/>
        <v>0</v>
      </c>
      <c r="G894" s="68">
        <f t="shared" si="2169"/>
        <v>0</v>
      </c>
      <c r="H894" s="68">
        <f t="shared" si="2170"/>
        <v>0</v>
      </c>
      <c r="I894" s="68">
        <f t="shared" si="2170"/>
        <v>0</v>
      </c>
      <c r="J894" s="68">
        <f t="shared" si="2170"/>
        <v>0</v>
      </c>
      <c r="K894" s="1112">
        <f t="shared" si="2171"/>
        <v>0</v>
      </c>
      <c r="L894" s="68">
        <f t="shared" si="2171"/>
        <v>0</v>
      </c>
      <c r="M894" s="68">
        <f t="shared" si="2172"/>
        <v>0</v>
      </c>
      <c r="N894" s="68">
        <f t="shared" si="2172"/>
        <v>0</v>
      </c>
      <c r="O894" s="68">
        <f t="shared" si="2172"/>
        <v>1477.5</v>
      </c>
      <c r="P894" s="1112">
        <f t="shared" si="2173"/>
        <v>1477.5</v>
      </c>
      <c r="Q894" s="68">
        <f t="shared" si="2173"/>
        <v>0</v>
      </c>
      <c r="R894" s="68">
        <f t="shared" si="2174"/>
        <v>0</v>
      </c>
      <c r="S894" s="68">
        <f t="shared" si="2174"/>
        <v>0</v>
      </c>
      <c r="T894" s="68">
        <f t="shared" si="2174"/>
        <v>0</v>
      </c>
      <c r="U894" s="1112">
        <f t="shared" si="2175"/>
        <v>0</v>
      </c>
      <c r="V894" s="68">
        <f t="shared" si="2175"/>
        <v>0</v>
      </c>
      <c r="W894" s="68">
        <f t="shared" si="2176"/>
        <v>0</v>
      </c>
      <c r="X894" s="68">
        <f t="shared" si="2176"/>
        <v>0</v>
      </c>
      <c r="Y894" s="68">
        <f t="shared" si="2176"/>
        <v>0</v>
      </c>
      <c r="Z894" s="1112">
        <f t="shared" si="2177"/>
        <v>0</v>
      </c>
      <c r="AA894" s="68">
        <f t="shared" si="2178"/>
        <v>0</v>
      </c>
      <c r="AB894" s="68">
        <f t="shared" si="2179"/>
        <v>0</v>
      </c>
      <c r="AC894" s="68">
        <f t="shared" si="2179"/>
        <v>1988</v>
      </c>
      <c r="AD894" s="68">
        <f t="shared" si="2179"/>
        <v>0</v>
      </c>
      <c r="AE894" s="1112">
        <f t="shared" si="2180"/>
        <v>1988</v>
      </c>
      <c r="AF894" s="68">
        <f t="shared" si="2181"/>
        <v>0</v>
      </c>
      <c r="AG894" s="68">
        <f t="shared" si="2182"/>
        <v>0</v>
      </c>
      <c r="AH894" s="68">
        <f t="shared" si="2182"/>
        <v>0</v>
      </c>
      <c r="AI894" s="68">
        <f t="shared" si="2182"/>
        <v>0</v>
      </c>
      <c r="AJ894" s="1112">
        <f t="shared" si="2183"/>
        <v>0</v>
      </c>
      <c r="AK894" s="68">
        <f t="shared" si="2184"/>
        <v>0</v>
      </c>
      <c r="AL894" s="68">
        <f t="shared" si="2185"/>
        <v>0</v>
      </c>
      <c r="AM894" s="68">
        <f t="shared" si="2185"/>
        <v>0</v>
      </c>
      <c r="AN894" s="68">
        <f t="shared" si="2185"/>
        <v>0</v>
      </c>
      <c r="AO894" s="1112">
        <f t="shared" si="2186"/>
        <v>0</v>
      </c>
      <c r="AP894" s="68">
        <f t="shared" si="2187"/>
        <v>0</v>
      </c>
      <c r="AQ894" s="27">
        <f t="shared" si="2188"/>
        <v>0</v>
      </c>
      <c r="AR894" s="68">
        <f t="shared" si="2188"/>
        <v>0</v>
      </c>
      <c r="AS894" s="68">
        <f t="shared" si="2188"/>
        <v>0</v>
      </c>
      <c r="AT894" s="1112">
        <f t="shared" si="2189"/>
        <v>0</v>
      </c>
      <c r="AU894" s="68">
        <f t="shared" si="2190"/>
        <v>0</v>
      </c>
      <c r="AV894" s="27">
        <f t="shared" si="2191"/>
        <v>0</v>
      </c>
      <c r="AW894" s="68">
        <f t="shared" si="2191"/>
        <v>0</v>
      </c>
      <c r="AX894" s="68">
        <f t="shared" si="2191"/>
        <v>0</v>
      </c>
      <c r="AY894" s="1112">
        <f t="shared" si="2192"/>
        <v>0</v>
      </c>
      <c r="AZ894" s="68">
        <f t="shared" si="2193"/>
        <v>0</v>
      </c>
      <c r="BA894" s="27">
        <f t="shared" si="2194"/>
        <v>0</v>
      </c>
      <c r="BB894" s="68">
        <f t="shared" si="2194"/>
        <v>0</v>
      </c>
      <c r="BC894" s="68">
        <f t="shared" si="2194"/>
        <v>0</v>
      </c>
      <c r="BD894" s="1112">
        <f t="shared" si="2195"/>
        <v>0</v>
      </c>
      <c r="BE894" s="68">
        <f t="shared" si="2196"/>
        <v>0</v>
      </c>
      <c r="BF894" s="27">
        <f t="shared" si="2197"/>
        <v>0</v>
      </c>
      <c r="BG894" s="68">
        <f t="shared" si="2197"/>
        <v>0</v>
      </c>
      <c r="BH894" s="68">
        <f t="shared" si="2197"/>
        <v>0</v>
      </c>
      <c r="BI894" s="1112">
        <f t="shared" si="2198"/>
        <v>0</v>
      </c>
      <c r="BJ894" s="68">
        <f t="shared" si="2199"/>
        <v>0</v>
      </c>
      <c r="BK894" s="27">
        <f t="shared" si="2200"/>
        <v>0</v>
      </c>
      <c r="BL894" s="68">
        <f t="shared" si="2200"/>
        <v>0</v>
      </c>
      <c r="BM894" s="68">
        <f t="shared" si="2200"/>
        <v>0</v>
      </c>
      <c r="BN894" s="1112">
        <f t="shared" si="2201"/>
        <v>0</v>
      </c>
      <c r="BO894" s="68">
        <f t="shared" si="2202"/>
        <v>0</v>
      </c>
      <c r="BP894" s="27">
        <f t="shared" si="2203"/>
        <v>0</v>
      </c>
      <c r="BQ894" s="68">
        <f t="shared" si="2203"/>
        <v>0</v>
      </c>
      <c r="BR894" s="68">
        <f t="shared" si="2203"/>
        <v>0</v>
      </c>
      <c r="BS894" s="1112">
        <f t="shared" si="2204"/>
        <v>0</v>
      </c>
      <c r="BT894" s="68">
        <f t="shared" si="2205"/>
        <v>0</v>
      </c>
      <c r="BU894" s="27">
        <f t="shared" si="2206"/>
        <v>0</v>
      </c>
      <c r="BV894" s="68">
        <f t="shared" si="2207"/>
        <v>0</v>
      </c>
      <c r="BW894" s="68">
        <f t="shared" si="2208"/>
        <v>0</v>
      </c>
      <c r="BX894" s="1112">
        <f t="shared" si="2209"/>
        <v>0</v>
      </c>
      <c r="BY894" s="588">
        <f t="shared" si="2210"/>
        <v>0</v>
      </c>
      <c r="BZ894" s="68"/>
      <c r="CA894" s="68"/>
      <c r="CB894" s="68"/>
      <c r="CC894" s="1112">
        <f t="shared" si="2211"/>
        <v>0</v>
      </c>
      <c r="CD894" s="68"/>
      <c r="CE894" s="68"/>
      <c r="CF894" s="68"/>
      <c r="CG894" s="68"/>
      <c r="CH894" s="1112">
        <f t="shared" si="2212"/>
        <v>0</v>
      </c>
      <c r="CI894" s="1112"/>
      <c r="CJ894" s="1112"/>
      <c r="CK894" s="1112"/>
      <c r="CL894" s="155"/>
    </row>
    <row r="895" spans="1:90" x14ac:dyDescent="0.3">
      <c r="A895" s="99" t="str">
        <f t="shared" si="2168"/>
        <v>Issuance of debt, net of issuance costs</v>
      </c>
      <c r="B895" s="68"/>
      <c r="C895" s="1112">
        <f t="shared" si="2169"/>
        <v>0</v>
      </c>
      <c r="D895" s="1112">
        <f t="shared" si="2169"/>
        <v>0</v>
      </c>
      <c r="E895" s="1112">
        <f t="shared" si="2169"/>
        <v>0</v>
      </c>
      <c r="F895" s="1112">
        <f t="shared" si="2169"/>
        <v>0</v>
      </c>
      <c r="G895" s="68">
        <f t="shared" si="2169"/>
        <v>0</v>
      </c>
      <c r="H895" s="68">
        <f t="shared" si="2170"/>
        <v>0</v>
      </c>
      <c r="I895" s="68">
        <f t="shared" si="2170"/>
        <v>0</v>
      </c>
      <c r="J895" s="68">
        <f t="shared" si="2170"/>
        <v>0</v>
      </c>
      <c r="K895" s="1112">
        <f t="shared" si="2171"/>
        <v>0</v>
      </c>
      <c r="L895" s="68">
        <f t="shared" si="2171"/>
        <v>0</v>
      </c>
      <c r="M895" s="68">
        <f t="shared" si="2172"/>
        <v>0</v>
      </c>
      <c r="N895" s="68">
        <f t="shared" si="2172"/>
        <v>0</v>
      </c>
      <c r="O895" s="68">
        <f t="shared" si="2172"/>
        <v>0</v>
      </c>
      <c r="P895" s="1112">
        <f t="shared" si="2173"/>
        <v>0</v>
      </c>
      <c r="Q895" s="68">
        <f t="shared" si="2173"/>
        <v>0</v>
      </c>
      <c r="R895" s="68">
        <f t="shared" si="2174"/>
        <v>0</v>
      </c>
      <c r="S895" s="68">
        <f t="shared" si="2174"/>
        <v>0</v>
      </c>
      <c r="T895" s="68">
        <f t="shared" si="2174"/>
        <v>0</v>
      </c>
      <c r="U895" s="1112">
        <f t="shared" si="2175"/>
        <v>0</v>
      </c>
      <c r="V895" s="68">
        <f t="shared" si="2175"/>
        <v>0</v>
      </c>
      <c r="W895" s="68">
        <f t="shared" si="2176"/>
        <v>0</v>
      </c>
      <c r="X895" s="68">
        <f t="shared" si="2176"/>
        <v>0</v>
      </c>
      <c r="Y895" s="68">
        <f t="shared" si="2176"/>
        <v>0</v>
      </c>
      <c r="Z895" s="1112">
        <f t="shared" si="2177"/>
        <v>0</v>
      </c>
      <c r="AA895" s="68">
        <f t="shared" si="2178"/>
        <v>0</v>
      </c>
      <c r="AB895" s="68">
        <f t="shared" si="2179"/>
        <v>0</v>
      </c>
      <c r="AC895" s="68">
        <f t="shared" si="2179"/>
        <v>0</v>
      </c>
      <c r="AD895" s="68">
        <f t="shared" si="2179"/>
        <v>0</v>
      </c>
      <c r="AE895" s="1112">
        <f t="shared" si="2180"/>
        <v>0</v>
      </c>
      <c r="AF895" s="68">
        <f t="shared" si="2181"/>
        <v>0</v>
      </c>
      <c r="AG895" s="68">
        <f t="shared" si="2182"/>
        <v>0</v>
      </c>
      <c r="AH895" s="68">
        <f t="shared" si="2182"/>
        <v>0</v>
      </c>
      <c r="AI895" s="68">
        <f t="shared" si="2182"/>
        <v>0</v>
      </c>
      <c r="AJ895" s="1112">
        <f t="shared" si="2183"/>
        <v>0</v>
      </c>
      <c r="AK895" s="68">
        <f t="shared" si="2184"/>
        <v>0</v>
      </c>
      <c r="AL895" s="68">
        <f t="shared" si="2185"/>
        <v>0</v>
      </c>
      <c r="AM895" s="68">
        <f t="shared" si="2185"/>
        <v>0</v>
      </c>
      <c r="AN895" s="68">
        <f t="shared" si="2185"/>
        <v>0</v>
      </c>
      <c r="AO895" s="1112">
        <f t="shared" si="2186"/>
        <v>0</v>
      </c>
      <c r="AP895" s="68">
        <f t="shared" si="2187"/>
        <v>0</v>
      </c>
      <c r="AQ895" s="68">
        <f t="shared" si="2188"/>
        <v>0</v>
      </c>
      <c r="AR895" s="68">
        <f t="shared" si="2188"/>
        <v>0</v>
      </c>
      <c r="AS895" s="68">
        <f t="shared" si="2188"/>
        <v>0</v>
      </c>
      <c r="AT895" s="1112">
        <f t="shared" si="2189"/>
        <v>0</v>
      </c>
      <c r="AU895" s="68">
        <f t="shared" si="2190"/>
        <v>4979</v>
      </c>
      <c r="AV895" s="68">
        <f t="shared" si="2191"/>
        <v>-8</v>
      </c>
      <c r="AW895" s="68">
        <f t="shared" si="2191"/>
        <v>0</v>
      </c>
      <c r="AX895" s="68">
        <f t="shared" si="2191"/>
        <v>-3</v>
      </c>
      <c r="AY895" s="1112">
        <f t="shared" si="2192"/>
        <v>4968</v>
      </c>
      <c r="AZ895" s="68">
        <f t="shared" si="2193"/>
        <v>0</v>
      </c>
      <c r="BA895" s="68">
        <f t="shared" si="2194"/>
        <v>4985</v>
      </c>
      <c r="BB895" s="68">
        <f t="shared" si="2194"/>
        <v>-8</v>
      </c>
      <c r="BC895" s="68">
        <f t="shared" si="2194"/>
        <v>0</v>
      </c>
      <c r="BD895" s="1112">
        <f t="shared" si="2195"/>
        <v>4977</v>
      </c>
      <c r="BE895" s="68">
        <f t="shared" si="2196"/>
        <v>0</v>
      </c>
      <c r="BF895" s="68">
        <f t="shared" si="2197"/>
        <v>0</v>
      </c>
      <c r="BG895" s="68">
        <f t="shared" si="2197"/>
        <v>0</v>
      </c>
      <c r="BH895" s="68">
        <f t="shared" si="2197"/>
        <v>0</v>
      </c>
      <c r="BI895" s="1112">
        <f t="shared" si="2198"/>
        <v>0</v>
      </c>
      <c r="BJ895" s="68">
        <f t="shared" si="2199"/>
        <v>0</v>
      </c>
      <c r="BK895" s="68">
        <f t="shared" si="2200"/>
        <v>0</v>
      </c>
      <c r="BL895" s="68">
        <f t="shared" si="2200"/>
        <v>0</v>
      </c>
      <c r="BM895" s="68">
        <f t="shared" si="2200"/>
        <v>0</v>
      </c>
      <c r="BN895" s="1112">
        <f t="shared" si="2201"/>
        <v>0</v>
      </c>
      <c r="BO895" s="68">
        <f t="shared" si="2202"/>
        <v>0</v>
      </c>
      <c r="BP895" s="68">
        <f t="shared" si="2203"/>
        <v>0</v>
      </c>
      <c r="BQ895" s="68">
        <f t="shared" si="2203"/>
        <v>0</v>
      </c>
      <c r="BR895" s="68">
        <f t="shared" si="2203"/>
        <v>0</v>
      </c>
      <c r="BS895" s="1112">
        <f t="shared" si="2204"/>
        <v>0</v>
      </c>
      <c r="BT895" s="68">
        <f t="shared" si="2205"/>
        <v>0</v>
      </c>
      <c r="BU895" s="68">
        <f t="shared" si="2206"/>
        <v>0</v>
      </c>
      <c r="BV895" s="68">
        <f t="shared" si="2207"/>
        <v>0</v>
      </c>
      <c r="BW895" s="68">
        <f t="shared" si="2208"/>
        <v>0</v>
      </c>
      <c r="BX895" s="1112">
        <f t="shared" si="2209"/>
        <v>0</v>
      </c>
      <c r="BY895" s="588">
        <f t="shared" si="2210"/>
        <v>0</v>
      </c>
      <c r="BZ895" s="68">
        <f>BZ717</f>
        <v>0</v>
      </c>
      <c r="CA895" s="68">
        <f>CA717</f>
        <v>0</v>
      </c>
      <c r="CB895" s="68">
        <f>CB717</f>
        <v>0</v>
      </c>
      <c r="CC895" s="1112">
        <f t="shared" si="2211"/>
        <v>0</v>
      </c>
      <c r="CD895" s="68">
        <f>CD717</f>
        <v>0</v>
      </c>
      <c r="CE895" s="68">
        <f>CE717</f>
        <v>0</v>
      </c>
      <c r="CF895" s="68">
        <f>CF717</f>
        <v>0</v>
      </c>
      <c r="CG895" s="68">
        <f>CG717</f>
        <v>0</v>
      </c>
      <c r="CH895" s="1112">
        <f t="shared" si="2212"/>
        <v>0</v>
      </c>
      <c r="CI895" s="1112">
        <f>CI717</f>
        <v>0</v>
      </c>
      <c r="CJ895" s="1112">
        <f>CJ717</f>
        <v>0</v>
      </c>
      <c r="CK895" s="1112">
        <f>CK717</f>
        <v>0</v>
      </c>
      <c r="CL895" s="155"/>
    </row>
    <row r="896" spans="1:90" x14ac:dyDescent="0.3">
      <c r="A896" s="99" t="str">
        <f t="shared" si="2168"/>
        <v>Purchase of convertible note hedges</v>
      </c>
      <c r="B896" s="68"/>
      <c r="C896" s="1112">
        <f t="shared" si="2169"/>
        <v>0</v>
      </c>
      <c r="D896" s="1112">
        <f t="shared" si="2169"/>
        <v>0</v>
      </c>
      <c r="E896" s="1112">
        <f t="shared" si="2169"/>
        <v>0</v>
      </c>
      <c r="F896" s="1112">
        <f t="shared" si="2169"/>
        <v>0</v>
      </c>
      <c r="G896" s="68">
        <f t="shared" si="2169"/>
        <v>0</v>
      </c>
      <c r="H896" s="68">
        <f t="shared" si="2170"/>
        <v>0</v>
      </c>
      <c r="I896" s="68">
        <f t="shared" si="2170"/>
        <v>0</v>
      </c>
      <c r="J896" s="68">
        <f t="shared" si="2170"/>
        <v>0</v>
      </c>
      <c r="K896" s="1112">
        <f t="shared" si="2171"/>
        <v>0</v>
      </c>
      <c r="L896" s="68">
        <f t="shared" si="2171"/>
        <v>0</v>
      </c>
      <c r="M896" s="68">
        <f t="shared" si="2172"/>
        <v>0</v>
      </c>
      <c r="N896" s="68">
        <f t="shared" si="2172"/>
        <v>0</v>
      </c>
      <c r="O896" s="68">
        <f t="shared" si="2172"/>
        <v>-167.1</v>
      </c>
      <c r="P896" s="1112">
        <f t="shared" si="2173"/>
        <v>-167.1</v>
      </c>
      <c r="Q896" s="68">
        <f t="shared" si="2173"/>
        <v>0</v>
      </c>
      <c r="R896" s="68">
        <f t="shared" si="2174"/>
        <v>0</v>
      </c>
      <c r="S896" s="68">
        <f t="shared" si="2174"/>
        <v>0</v>
      </c>
      <c r="T896" s="68">
        <f t="shared" si="2174"/>
        <v>0</v>
      </c>
      <c r="U896" s="1112">
        <f t="shared" si="2175"/>
        <v>0</v>
      </c>
      <c r="V896" s="68">
        <f t="shared" si="2175"/>
        <v>0</v>
      </c>
      <c r="W896" s="68">
        <f t="shared" si="2176"/>
        <v>0</v>
      </c>
      <c r="X896" s="68">
        <f t="shared" si="2176"/>
        <v>0</v>
      </c>
      <c r="Y896" s="68">
        <f t="shared" si="2176"/>
        <v>0</v>
      </c>
      <c r="Z896" s="1112">
        <f t="shared" si="2177"/>
        <v>0</v>
      </c>
      <c r="AA896" s="68">
        <f t="shared" si="2178"/>
        <v>0</v>
      </c>
      <c r="AB896" s="68">
        <f t="shared" si="2179"/>
        <v>0</v>
      </c>
      <c r="AC896" s="68">
        <f t="shared" si="2179"/>
        <v>0</v>
      </c>
      <c r="AD896" s="68">
        <f t="shared" si="2179"/>
        <v>0</v>
      </c>
      <c r="AE896" s="1112">
        <f t="shared" si="2180"/>
        <v>0</v>
      </c>
      <c r="AF896" s="68">
        <f t="shared" si="2181"/>
        <v>0</v>
      </c>
      <c r="AG896" s="68">
        <f t="shared" si="2182"/>
        <v>0</v>
      </c>
      <c r="AH896" s="68">
        <f t="shared" si="2182"/>
        <v>0</v>
      </c>
      <c r="AI896" s="68">
        <f t="shared" si="2182"/>
        <v>0</v>
      </c>
      <c r="AJ896" s="1112">
        <f t="shared" si="2183"/>
        <v>0</v>
      </c>
      <c r="AK896" s="68">
        <f t="shared" si="2184"/>
        <v>0</v>
      </c>
      <c r="AL896" s="68">
        <f t="shared" si="2185"/>
        <v>0</v>
      </c>
      <c r="AM896" s="68">
        <f t="shared" si="2185"/>
        <v>0</v>
      </c>
      <c r="AN896" s="68">
        <f t="shared" si="2185"/>
        <v>0</v>
      </c>
      <c r="AO896" s="1112">
        <f t="shared" si="2186"/>
        <v>0</v>
      </c>
      <c r="AP896" s="68">
        <f t="shared" si="2187"/>
        <v>0</v>
      </c>
      <c r="AQ896" s="27">
        <f t="shared" si="2188"/>
        <v>0</v>
      </c>
      <c r="AR896" s="68">
        <f t="shared" si="2188"/>
        <v>0</v>
      </c>
      <c r="AS896" s="68">
        <f t="shared" si="2188"/>
        <v>0</v>
      </c>
      <c r="AT896" s="1112">
        <f t="shared" si="2189"/>
        <v>0</v>
      </c>
      <c r="AU896" s="68">
        <f t="shared" si="2190"/>
        <v>0</v>
      </c>
      <c r="AV896" s="27">
        <f t="shared" si="2191"/>
        <v>0</v>
      </c>
      <c r="AW896" s="68">
        <f t="shared" si="2191"/>
        <v>0</v>
      </c>
      <c r="AX896" s="68">
        <f t="shared" si="2191"/>
        <v>0</v>
      </c>
      <c r="AY896" s="1112">
        <f t="shared" si="2192"/>
        <v>0</v>
      </c>
      <c r="AZ896" s="68">
        <f t="shared" si="2193"/>
        <v>0</v>
      </c>
      <c r="BA896" s="27">
        <f t="shared" si="2194"/>
        <v>0</v>
      </c>
      <c r="BB896" s="68">
        <f t="shared" si="2194"/>
        <v>0</v>
      </c>
      <c r="BC896" s="68">
        <f t="shared" si="2194"/>
        <v>0</v>
      </c>
      <c r="BD896" s="1112">
        <f t="shared" si="2195"/>
        <v>0</v>
      </c>
      <c r="BE896" s="68">
        <f t="shared" si="2196"/>
        <v>0</v>
      </c>
      <c r="BF896" s="27">
        <f t="shared" si="2197"/>
        <v>0</v>
      </c>
      <c r="BG896" s="68">
        <f t="shared" si="2197"/>
        <v>0</v>
      </c>
      <c r="BH896" s="68">
        <f t="shared" si="2197"/>
        <v>0</v>
      </c>
      <c r="BI896" s="1112">
        <f t="shared" si="2198"/>
        <v>0</v>
      </c>
      <c r="BJ896" s="68">
        <f t="shared" si="2199"/>
        <v>0</v>
      </c>
      <c r="BK896" s="27">
        <f t="shared" si="2200"/>
        <v>0</v>
      </c>
      <c r="BL896" s="68">
        <f t="shared" si="2200"/>
        <v>0</v>
      </c>
      <c r="BM896" s="68">
        <f t="shared" si="2200"/>
        <v>0</v>
      </c>
      <c r="BN896" s="1112">
        <f t="shared" si="2201"/>
        <v>0</v>
      </c>
      <c r="BO896" s="68">
        <f t="shared" si="2202"/>
        <v>0</v>
      </c>
      <c r="BP896" s="27">
        <f t="shared" si="2203"/>
        <v>0</v>
      </c>
      <c r="BQ896" s="68">
        <f t="shared" si="2203"/>
        <v>0</v>
      </c>
      <c r="BR896" s="68">
        <f t="shared" si="2203"/>
        <v>0</v>
      </c>
      <c r="BS896" s="1112">
        <f t="shared" si="2204"/>
        <v>0</v>
      </c>
      <c r="BT896" s="68">
        <f t="shared" si="2205"/>
        <v>0</v>
      </c>
      <c r="BU896" s="27">
        <f t="shared" si="2206"/>
        <v>0</v>
      </c>
      <c r="BV896" s="68">
        <f t="shared" si="2207"/>
        <v>0</v>
      </c>
      <c r="BW896" s="68">
        <f t="shared" si="2208"/>
        <v>0</v>
      </c>
      <c r="BX896" s="1112">
        <f t="shared" si="2209"/>
        <v>0</v>
      </c>
      <c r="BY896" s="588">
        <f t="shared" si="2210"/>
        <v>0</v>
      </c>
      <c r="BZ896" s="68"/>
      <c r="CA896" s="68"/>
      <c r="CB896" s="68"/>
      <c r="CC896" s="1112">
        <f t="shared" si="2211"/>
        <v>0</v>
      </c>
      <c r="CD896" s="68"/>
      <c r="CE896" s="68"/>
      <c r="CF896" s="68"/>
      <c r="CG896" s="68"/>
      <c r="CH896" s="1112">
        <f t="shared" si="2212"/>
        <v>0</v>
      </c>
      <c r="CI896" s="1112"/>
      <c r="CJ896" s="1112"/>
      <c r="CK896" s="1112"/>
      <c r="CL896" s="155"/>
    </row>
    <row r="897" spans="1:90" x14ac:dyDescent="0.3">
      <c r="A897" s="99" t="str">
        <f t="shared" si="2168"/>
        <v>Proceeds from the sale of common stock warrants</v>
      </c>
      <c r="B897" s="68"/>
      <c r="C897" s="1112">
        <f t="shared" si="2169"/>
        <v>0</v>
      </c>
      <c r="D897" s="1112">
        <f t="shared" si="2169"/>
        <v>0</v>
      </c>
      <c r="E897" s="1112">
        <f t="shared" si="2169"/>
        <v>0</v>
      </c>
      <c r="F897" s="1112">
        <f t="shared" si="2169"/>
        <v>0</v>
      </c>
      <c r="G897" s="68">
        <f t="shared" si="2169"/>
        <v>0</v>
      </c>
      <c r="H897" s="68">
        <f t="shared" si="2170"/>
        <v>0</v>
      </c>
      <c r="I897" s="68">
        <f t="shared" si="2170"/>
        <v>0</v>
      </c>
      <c r="J897" s="68">
        <f t="shared" si="2170"/>
        <v>0</v>
      </c>
      <c r="K897" s="1112">
        <f t="shared" si="2171"/>
        <v>0</v>
      </c>
      <c r="L897" s="68">
        <f t="shared" si="2171"/>
        <v>0</v>
      </c>
      <c r="M897" s="68">
        <f t="shared" si="2172"/>
        <v>0</v>
      </c>
      <c r="N897" s="68">
        <f t="shared" si="2172"/>
        <v>0</v>
      </c>
      <c r="O897" s="68">
        <f t="shared" si="2172"/>
        <v>59.1</v>
      </c>
      <c r="P897" s="1112">
        <f t="shared" si="2173"/>
        <v>59.1</v>
      </c>
      <c r="Q897" s="68">
        <f t="shared" si="2173"/>
        <v>0</v>
      </c>
      <c r="R897" s="68">
        <f t="shared" si="2174"/>
        <v>0</v>
      </c>
      <c r="S897" s="68">
        <f t="shared" si="2174"/>
        <v>0</v>
      </c>
      <c r="T897" s="68">
        <f t="shared" si="2174"/>
        <v>0</v>
      </c>
      <c r="U897" s="1112">
        <f t="shared" si="2175"/>
        <v>0</v>
      </c>
      <c r="V897" s="68">
        <f t="shared" si="2175"/>
        <v>0</v>
      </c>
      <c r="W897" s="68">
        <f t="shared" si="2176"/>
        <v>0</v>
      </c>
      <c r="X897" s="68">
        <f t="shared" si="2176"/>
        <v>0</v>
      </c>
      <c r="Y897" s="68">
        <f t="shared" si="2176"/>
        <v>0</v>
      </c>
      <c r="Z897" s="1112">
        <f t="shared" si="2177"/>
        <v>0</v>
      </c>
      <c r="AA897" s="68">
        <f t="shared" si="2178"/>
        <v>0</v>
      </c>
      <c r="AB897" s="68">
        <f t="shared" si="2179"/>
        <v>0</v>
      </c>
      <c r="AC897" s="68">
        <f t="shared" si="2179"/>
        <v>0</v>
      </c>
      <c r="AD897" s="68">
        <f t="shared" si="2179"/>
        <v>0</v>
      </c>
      <c r="AE897" s="1112">
        <f t="shared" si="2180"/>
        <v>0</v>
      </c>
      <c r="AF897" s="68">
        <f t="shared" si="2181"/>
        <v>0</v>
      </c>
      <c r="AG897" s="68">
        <f t="shared" si="2182"/>
        <v>0</v>
      </c>
      <c r="AH897" s="68">
        <f t="shared" si="2182"/>
        <v>0</v>
      </c>
      <c r="AI897" s="68">
        <f t="shared" si="2182"/>
        <v>0</v>
      </c>
      <c r="AJ897" s="1112">
        <f t="shared" si="2183"/>
        <v>0</v>
      </c>
      <c r="AK897" s="68">
        <f t="shared" si="2184"/>
        <v>0</v>
      </c>
      <c r="AL897" s="68">
        <f t="shared" si="2185"/>
        <v>0</v>
      </c>
      <c r="AM897" s="68">
        <f t="shared" si="2185"/>
        <v>0</v>
      </c>
      <c r="AN897" s="68">
        <f t="shared" si="2185"/>
        <v>0</v>
      </c>
      <c r="AO897" s="1112">
        <f t="shared" si="2186"/>
        <v>0</v>
      </c>
      <c r="AP897" s="68">
        <f t="shared" si="2187"/>
        <v>0</v>
      </c>
      <c r="AQ897" s="27">
        <f t="shared" si="2188"/>
        <v>0</v>
      </c>
      <c r="AR897" s="68">
        <f t="shared" si="2188"/>
        <v>0</v>
      </c>
      <c r="AS897" s="68">
        <f t="shared" si="2188"/>
        <v>0</v>
      </c>
      <c r="AT897" s="1112">
        <f t="shared" si="2189"/>
        <v>0</v>
      </c>
      <c r="AU897" s="68">
        <f t="shared" si="2190"/>
        <v>0</v>
      </c>
      <c r="AV897" s="27">
        <f t="shared" si="2191"/>
        <v>0</v>
      </c>
      <c r="AW897" s="68">
        <f t="shared" si="2191"/>
        <v>0</v>
      </c>
      <c r="AX897" s="68">
        <f t="shared" si="2191"/>
        <v>0</v>
      </c>
      <c r="AY897" s="1112">
        <f t="shared" si="2192"/>
        <v>0</v>
      </c>
      <c r="AZ897" s="68">
        <f t="shared" si="2193"/>
        <v>0</v>
      </c>
      <c r="BA897" s="27">
        <f t="shared" si="2194"/>
        <v>0</v>
      </c>
      <c r="BB897" s="68">
        <f t="shared" si="2194"/>
        <v>0</v>
      </c>
      <c r="BC897" s="68">
        <f t="shared" si="2194"/>
        <v>0</v>
      </c>
      <c r="BD897" s="1112">
        <f t="shared" si="2195"/>
        <v>0</v>
      </c>
      <c r="BE897" s="68">
        <f t="shared" si="2196"/>
        <v>0</v>
      </c>
      <c r="BF897" s="27">
        <f t="shared" si="2197"/>
        <v>0</v>
      </c>
      <c r="BG897" s="68">
        <f t="shared" si="2197"/>
        <v>0</v>
      </c>
      <c r="BH897" s="68">
        <f t="shared" si="2197"/>
        <v>0</v>
      </c>
      <c r="BI897" s="1112">
        <f t="shared" si="2198"/>
        <v>0</v>
      </c>
      <c r="BJ897" s="68">
        <f t="shared" si="2199"/>
        <v>0</v>
      </c>
      <c r="BK897" s="27">
        <f t="shared" si="2200"/>
        <v>0</v>
      </c>
      <c r="BL897" s="68">
        <f t="shared" si="2200"/>
        <v>0</v>
      </c>
      <c r="BM897" s="68">
        <f t="shared" si="2200"/>
        <v>0</v>
      </c>
      <c r="BN897" s="1112">
        <f t="shared" si="2201"/>
        <v>0</v>
      </c>
      <c r="BO897" s="68">
        <f t="shared" si="2202"/>
        <v>0</v>
      </c>
      <c r="BP897" s="27">
        <f t="shared" si="2203"/>
        <v>0</v>
      </c>
      <c r="BQ897" s="68">
        <f t="shared" si="2203"/>
        <v>0</v>
      </c>
      <c r="BR897" s="68">
        <f t="shared" si="2203"/>
        <v>0</v>
      </c>
      <c r="BS897" s="1112">
        <f t="shared" si="2204"/>
        <v>0</v>
      </c>
      <c r="BT897" s="68">
        <f t="shared" si="2205"/>
        <v>0</v>
      </c>
      <c r="BU897" s="27">
        <f t="shared" si="2206"/>
        <v>0</v>
      </c>
      <c r="BV897" s="68">
        <f t="shared" si="2207"/>
        <v>0</v>
      </c>
      <c r="BW897" s="68">
        <f t="shared" si="2208"/>
        <v>0</v>
      </c>
      <c r="BX897" s="1112">
        <f t="shared" si="2209"/>
        <v>0</v>
      </c>
      <c r="BY897" s="588">
        <f t="shared" si="2210"/>
        <v>0</v>
      </c>
      <c r="BZ897" s="68"/>
      <c r="CA897" s="68"/>
      <c r="CB897" s="68"/>
      <c r="CC897" s="1112">
        <f t="shared" si="2211"/>
        <v>0</v>
      </c>
      <c r="CD897" s="68"/>
      <c r="CE897" s="68"/>
      <c r="CF897" s="68"/>
      <c r="CG897" s="68"/>
      <c r="CH897" s="1112">
        <f t="shared" si="2212"/>
        <v>0</v>
      </c>
      <c r="CI897" s="1112"/>
      <c r="CJ897" s="1112"/>
      <c r="CK897" s="1112"/>
      <c r="CL897" s="155"/>
    </row>
    <row r="898" spans="1:90" x14ac:dyDescent="0.3">
      <c r="A898" s="99" t="str">
        <f t="shared" si="2168"/>
        <v>Proceeds from issuance of common stock under employee stock plans</v>
      </c>
      <c r="B898" s="68"/>
      <c r="C898" s="1112">
        <f t="shared" si="2169"/>
        <v>73.546999999999997</v>
      </c>
      <c r="D898" s="1112">
        <f t="shared" si="2169"/>
        <v>138.029</v>
      </c>
      <c r="E898" s="1112">
        <f t="shared" si="2169"/>
        <v>177.27600000000001</v>
      </c>
      <c r="F898" s="1112">
        <f t="shared" si="2169"/>
        <v>195.857</v>
      </c>
      <c r="G898" s="68">
        <f t="shared" si="2169"/>
        <v>37.360999999999997</v>
      </c>
      <c r="H898" s="68">
        <f t="shared" si="2170"/>
        <v>5.3170000000000002</v>
      </c>
      <c r="I898" s="68">
        <f t="shared" si="2170"/>
        <v>20.103000000000002</v>
      </c>
      <c r="J898" s="68">
        <f t="shared" si="2170"/>
        <v>2.1540000000000035</v>
      </c>
      <c r="K898" s="1112">
        <f t="shared" si="2171"/>
        <v>64.935000000000002</v>
      </c>
      <c r="L898" s="68">
        <f t="shared" si="2171"/>
        <v>22.995999999999999</v>
      </c>
      <c r="M898" s="68">
        <f t="shared" si="2172"/>
        <v>8.3070000000000022</v>
      </c>
      <c r="N898" s="68">
        <f t="shared" si="2172"/>
        <v>33.445999999999998</v>
      </c>
      <c r="O898" s="68">
        <f t="shared" si="2172"/>
        <v>5.4210000000000065</v>
      </c>
      <c r="P898" s="1112">
        <f t="shared" si="2173"/>
        <v>70.17</v>
      </c>
      <c r="Q898" s="68">
        <f t="shared" si="2173"/>
        <v>80</v>
      </c>
      <c r="R898" s="68">
        <f t="shared" si="2174"/>
        <v>18</v>
      </c>
      <c r="S898" s="68">
        <f t="shared" si="2174"/>
        <v>31</v>
      </c>
      <c r="T898" s="68">
        <f t="shared" si="2174"/>
        <v>25</v>
      </c>
      <c r="U898" s="1112">
        <f t="shared" si="2175"/>
        <v>154</v>
      </c>
      <c r="V898" s="68">
        <f t="shared" si="2175"/>
        <v>50</v>
      </c>
      <c r="W898" s="68">
        <f t="shared" si="2176"/>
        <v>14</v>
      </c>
      <c r="X898" s="68">
        <f t="shared" si="2176"/>
        <v>35</v>
      </c>
      <c r="Y898" s="68">
        <f t="shared" si="2176"/>
        <v>21</v>
      </c>
      <c r="Z898" s="1112">
        <f t="shared" si="2177"/>
        <v>120</v>
      </c>
      <c r="AA898" s="68">
        <f t="shared" si="2178"/>
        <v>70</v>
      </c>
      <c r="AB898" s="68">
        <f t="shared" si="2179"/>
        <v>21</v>
      </c>
      <c r="AC898" s="68">
        <f t="shared" si="2179"/>
        <v>57</v>
      </c>
      <c r="AD898" s="68">
        <f t="shared" si="2179"/>
        <v>19</v>
      </c>
      <c r="AE898" s="1112">
        <f t="shared" si="2180"/>
        <v>167</v>
      </c>
      <c r="AF898" s="68">
        <f t="shared" si="2181"/>
        <v>65</v>
      </c>
      <c r="AG898" s="68">
        <f t="shared" si="2182"/>
        <v>11</v>
      </c>
      <c r="AH898" s="68">
        <f t="shared" si="2182"/>
        <v>56</v>
      </c>
      <c r="AI898" s="68">
        <f t="shared" si="2182"/>
        <v>7</v>
      </c>
      <c r="AJ898" s="1112">
        <f t="shared" si="2183"/>
        <v>139</v>
      </c>
      <c r="AK898" s="68">
        <f t="shared" si="2184"/>
        <v>66</v>
      </c>
      <c r="AL898" s="68">
        <f t="shared" si="2185"/>
        <v>3</v>
      </c>
      <c r="AM898" s="68">
        <f t="shared" si="2185"/>
        <v>66</v>
      </c>
      <c r="AN898" s="68">
        <f t="shared" si="2185"/>
        <v>2</v>
      </c>
      <c r="AO898" s="1112">
        <f t="shared" si="2186"/>
        <v>137</v>
      </c>
      <c r="AP898" s="68">
        <f t="shared" si="2187"/>
        <v>83</v>
      </c>
      <c r="AQ898" s="27">
        <f t="shared" si="2188"/>
        <v>0</v>
      </c>
      <c r="AR898" s="68">
        <f t="shared" si="2188"/>
        <v>63</v>
      </c>
      <c r="AS898" s="68">
        <f t="shared" si="2188"/>
        <v>3</v>
      </c>
      <c r="AT898" s="1112">
        <f t="shared" si="2189"/>
        <v>149</v>
      </c>
      <c r="AU898" s="68">
        <f t="shared" si="2190"/>
        <v>88</v>
      </c>
      <c r="AV898" s="27">
        <f t="shared" si="2191"/>
        <v>6</v>
      </c>
      <c r="AW898" s="68">
        <f t="shared" si="2191"/>
        <v>96</v>
      </c>
      <c r="AX898" s="68">
        <f t="shared" si="2191"/>
        <v>4</v>
      </c>
      <c r="AY898" s="1112">
        <f t="shared" si="2192"/>
        <v>194</v>
      </c>
      <c r="AZ898" s="68">
        <f t="shared" si="2193"/>
        <v>126</v>
      </c>
      <c r="BA898" s="27">
        <f t="shared" si="2194"/>
        <v>2</v>
      </c>
      <c r="BB898" s="68">
        <f t="shared" si="2194"/>
        <v>149</v>
      </c>
      <c r="BC898" s="68">
        <f t="shared" si="2194"/>
        <v>4</v>
      </c>
      <c r="BD898" s="1112">
        <f t="shared" si="2195"/>
        <v>281</v>
      </c>
      <c r="BE898" s="68">
        <f t="shared" si="2196"/>
        <v>204</v>
      </c>
      <c r="BF898" s="27">
        <f t="shared" si="2197"/>
        <v>1</v>
      </c>
      <c r="BG898" s="68">
        <f t="shared" si="2197"/>
        <v>144</v>
      </c>
      <c r="BH898" s="68">
        <f t="shared" si="2197"/>
        <v>6</v>
      </c>
      <c r="BI898" s="1112">
        <f t="shared" si="2198"/>
        <v>355</v>
      </c>
      <c r="BJ898" s="68">
        <f t="shared" si="2199"/>
        <v>246</v>
      </c>
      <c r="BK898" s="27">
        <f t="shared" si="2200"/>
        <v>1</v>
      </c>
      <c r="BL898" s="68">
        <f t="shared" si="2200"/>
        <v>156</v>
      </c>
      <c r="BM898" s="68">
        <f t="shared" si="2200"/>
        <v>0</v>
      </c>
      <c r="BN898" s="1112">
        <f t="shared" si="2201"/>
        <v>403</v>
      </c>
      <c r="BO898" s="68">
        <f t="shared" si="2202"/>
        <v>285</v>
      </c>
      <c r="BP898" s="27">
        <f t="shared" si="2203"/>
        <v>0</v>
      </c>
      <c r="BQ898" s="68">
        <f t="shared" si="2203"/>
        <v>204</v>
      </c>
      <c r="BR898" s="68">
        <f t="shared" si="2203"/>
        <v>1</v>
      </c>
      <c r="BS898" s="1112">
        <f t="shared" si="2204"/>
        <v>490</v>
      </c>
      <c r="BT898" s="68">
        <f t="shared" si="2205"/>
        <v>370</v>
      </c>
      <c r="BU898" s="27">
        <f t="shared" si="2206"/>
        <v>0</v>
      </c>
      <c r="BV898" s="68">
        <f t="shared" si="2207"/>
        <v>273</v>
      </c>
      <c r="BW898" s="68">
        <f t="shared" si="2208"/>
        <v>1</v>
      </c>
      <c r="BX898" s="1112">
        <f t="shared" si="2209"/>
        <v>644</v>
      </c>
      <c r="BY898" s="588">
        <f t="shared" si="2210"/>
        <v>515</v>
      </c>
      <c r="BZ898" s="68"/>
      <c r="CA898" s="68"/>
      <c r="CB898" s="68"/>
      <c r="CC898" s="1112">
        <f t="shared" si="2211"/>
        <v>515</v>
      </c>
      <c r="CD898" s="68"/>
      <c r="CE898" s="68"/>
      <c r="CF898" s="68"/>
      <c r="CG898" s="68"/>
      <c r="CH898" s="1112">
        <f t="shared" si="2212"/>
        <v>0</v>
      </c>
      <c r="CI898" s="1112"/>
      <c r="CJ898" s="1112"/>
      <c r="CK898" s="1112"/>
      <c r="CL898" s="155"/>
    </row>
    <row r="899" spans="1:90" x14ac:dyDescent="0.3">
      <c r="A899" s="99" t="str">
        <f t="shared" si="2168"/>
        <v>Repayment of debt</v>
      </c>
      <c r="B899" s="68"/>
      <c r="C899" s="1112">
        <f t="shared" si="2169"/>
        <v>0</v>
      </c>
      <c r="D899" s="1112">
        <f t="shared" si="2169"/>
        <v>0</v>
      </c>
      <c r="E899" s="1112">
        <f t="shared" si="2169"/>
        <v>0</v>
      </c>
      <c r="F899" s="1112">
        <f t="shared" si="2169"/>
        <v>0</v>
      </c>
      <c r="G899" s="68">
        <f t="shared" si="2169"/>
        <v>0</v>
      </c>
      <c r="H899" s="68">
        <f t="shared" si="2170"/>
        <v>0</v>
      </c>
      <c r="I899" s="68">
        <f t="shared" si="2170"/>
        <v>0</v>
      </c>
      <c r="J899" s="68">
        <f t="shared" si="2170"/>
        <v>0</v>
      </c>
      <c r="K899" s="1112">
        <f t="shared" si="2171"/>
        <v>0</v>
      </c>
      <c r="L899" s="68">
        <f t="shared" si="2171"/>
        <v>0</v>
      </c>
      <c r="M899" s="68">
        <f t="shared" si="2172"/>
        <v>0</v>
      </c>
      <c r="N899" s="68">
        <f t="shared" si="2172"/>
        <v>0</v>
      </c>
      <c r="O899" s="68">
        <f t="shared" si="2172"/>
        <v>0</v>
      </c>
      <c r="P899" s="1112">
        <f t="shared" si="2173"/>
        <v>0</v>
      </c>
      <c r="Q899" s="68">
        <f t="shared" si="2173"/>
        <v>0</v>
      </c>
      <c r="R899" s="68">
        <f t="shared" si="2174"/>
        <v>0</v>
      </c>
      <c r="S899" s="68">
        <f t="shared" si="2174"/>
        <v>0</v>
      </c>
      <c r="T899" s="68">
        <f t="shared" si="2174"/>
        <v>0</v>
      </c>
      <c r="U899" s="1112">
        <f t="shared" si="2175"/>
        <v>0</v>
      </c>
      <c r="V899" s="68">
        <f t="shared" si="2175"/>
        <v>0</v>
      </c>
      <c r="W899" s="68">
        <f t="shared" si="2176"/>
        <v>0</v>
      </c>
      <c r="X899" s="68">
        <f t="shared" si="2176"/>
        <v>0</v>
      </c>
      <c r="Y899" s="68">
        <f t="shared" si="2176"/>
        <v>0</v>
      </c>
      <c r="Z899" s="1112">
        <f t="shared" si="2177"/>
        <v>0</v>
      </c>
      <c r="AA899" s="68">
        <f t="shared" si="2178"/>
        <v>0</v>
      </c>
      <c r="AB899" s="68">
        <f t="shared" si="2179"/>
        <v>0</v>
      </c>
      <c r="AC899" s="68">
        <f t="shared" si="2179"/>
        <v>0</v>
      </c>
      <c r="AD899" s="68">
        <f t="shared" si="2179"/>
        <v>0</v>
      </c>
      <c r="AE899" s="1112">
        <f t="shared" si="2180"/>
        <v>0</v>
      </c>
      <c r="AF899" s="68">
        <f t="shared" si="2181"/>
        <v>0</v>
      </c>
      <c r="AG899" s="68">
        <f t="shared" si="2182"/>
        <v>0</v>
      </c>
      <c r="AH899" s="68">
        <f t="shared" si="2182"/>
        <v>0</v>
      </c>
      <c r="AI899" s="68">
        <f t="shared" si="2182"/>
        <v>0</v>
      </c>
      <c r="AJ899" s="1112">
        <f t="shared" si="2183"/>
        <v>0</v>
      </c>
      <c r="AK899" s="68">
        <f t="shared" si="2184"/>
        <v>0</v>
      </c>
      <c r="AL899" s="68">
        <f t="shared" si="2185"/>
        <v>0</v>
      </c>
      <c r="AM899" s="68">
        <f t="shared" si="2185"/>
        <v>0</v>
      </c>
      <c r="AN899" s="68">
        <f t="shared" si="2185"/>
        <v>0</v>
      </c>
      <c r="AO899" s="1112">
        <f t="shared" si="2186"/>
        <v>0</v>
      </c>
      <c r="AP899" s="68">
        <f t="shared" si="2187"/>
        <v>0</v>
      </c>
      <c r="AQ899" s="27">
        <f t="shared" si="2188"/>
        <v>0</v>
      </c>
      <c r="AR899" s="68">
        <f t="shared" si="2188"/>
        <v>0</v>
      </c>
      <c r="AS899" s="68">
        <f t="shared" si="2188"/>
        <v>0</v>
      </c>
      <c r="AT899" s="1112">
        <f t="shared" si="2189"/>
        <v>0</v>
      </c>
      <c r="AU899" s="68">
        <f t="shared" si="2190"/>
        <v>0</v>
      </c>
      <c r="AV899" s="27">
        <f t="shared" si="2191"/>
        <v>0</v>
      </c>
      <c r="AW899" s="68">
        <f t="shared" si="2191"/>
        <v>0</v>
      </c>
      <c r="AX899" s="68">
        <f t="shared" si="2191"/>
        <v>0</v>
      </c>
      <c r="AY899" s="1112">
        <f t="shared" si="2192"/>
        <v>0</v>
      </c>
      <c r="AZ899" s="68">
        <f t="shared" si="2193"/>
        <v>0</v>
      </c>
      <c r="BA899" s="27">
        <f t="shared" si="2194"/>
        <v>0</v>
      </c>
      <c r="BB899" s="68">
        <f t="shared" si="2194"/>
        <v>-1000</v>
      </c>
      <c r="BC899" s="68">
        <f t="shared" si="2194"/>
        <v>0</v>
      </c>
      <c r="BD899" s="1112">
        <f t="shared" si="2195"/>
        <v>-1000</v>
      </c>
      <c r="BE899" s="68">
        <f t="shared" si="2196"/>
        <v>0</v>
      </c>
      <c r="BF899" s="27">
        <f t="shared" si="2197"/>
        <v>0</v>
      </c>
      <c r="BG899" s="68">
        <f t="shared" si="2197"/>
        <v>0</v>
      </c>
      <c r="BH899" s="68">
        <f t="shared" si="2197"/>
        <v>0</v>
      </c>
      <c r="BI899" s="1112">
        <f t="shared" si="2198"/>
        <v>0</v>
      </c>
      <c r="BJ899" s="68">
        <f t="shared" si="2199"/>
        <v>0</v>
      </c>
      <c r="BK899" s="27">
        <f t="shared" si="2200"/>
        <v>-1250</v>
      </c>
      <c r="BL899" s="68">
        <f t="shared" si="2200"/>
        <v>0</v>
      </c>
      <c r="BM899" s="68">
        <f t="shared" si="2200"/>
        <v>0</v>
      </c>
      <c r="BN899" s="1112">
        <f t="shared" si="2201"/>
        <v>-1250</v>
      </c>
      <c r="BO899" s="68">
        <f t="shared" si="2202"/>
        <v>0</v>
      </c>
      <c r="BP899" s="27">
        <f t="shared" si="2203"/>
        <v>-1250</v>
      </c>
      <c r="BQ899" s="68">
        <f t="shared" si="2203"/>
        <v>0</v>
      </c>
      <c r="BR899" s="68">
        <f t="shared" si="2203"/>
        <v>0</v>
      </c>
      <c r="BS899" s="1112">
        <f t="shared" si="2204"/>
        <v>-1250</v>
      </c>
      <c r="BT899" s="68">
        <f t="shared" si="2205"/>
        <v>0</v>
      </c>
      <c r="BU899" s="27">
        <f t="shared" si="2206"/>
        <v>0</v>
      </c>
      <c r="BV899" s="68">
        <f t="shared" si="2207"/>
        <v>0</v>
      </c>
      <c r="BW899" s="68">
        <f t="shared" si="2208"/>
        <v>0</v>
      </c>
      <c r="BX899" s="1112">
        <f t="shared" si="2209"/>
        <v>0</v>
      </c>
      <c r="BY899" s="588">
        <f t="shared" si="2210"/>
        <v>0</v>
      </c>
      <c r="BZ899" s="68"/>
      <c r="CA899" s="68"/>
      <c r="CB899" s="68"/>
      <c r="CC899" s="1112">
        <f t="shared" si="2211"/>
        <v>0</v>
      </c>
      <c r="CD899" s="68"/>
      <c r="CE899" s="68"/>
      <c r="CF899" s="68"/>
      <c r="CG899" s="68"/>
      <c r="CH899" s="1112">
        <f t="shared" si="2212"/>
        <v>0</v>
      </c>
      <c r="CI899" s="1112"/>
      <c r="CJ899" s="1112"/>
      <c r="CK899" s="1112"/>
      <c r="CL899" s="155"/>
    </row>
    <row r="900" spans="1:90" x14ac:dyDescent="0.3">
      <c r="A900" s="99" t="str">
        <f t="shared" si="2168"/>
        <v>Payments related to repurchases of common stock</v>
      </c>
      <c r="B900" s="68"/>
      <c r="C900" s="1112">
        <f t="shared" si="2169"/>
        <v>-423.63600000000002</v>
      </c>
      <c r="D900" s="1112">
        <f t="shared" si="2169"/>
        <v>0</v>
      </c>
      <c r="E900" s="1112">
        <f t="shared" si="2169"/>
        <v>0</v>
      </c>
      <c r="F900" s="1112">
        <f t="shared" si="2169"/>
        <v>0</v>
      </c>
      <c r="G900" s="68">
        <f t="shared" si="2169"/>
        <v>0</v>
      </c>
      <c r="H900" s="68">
        <f t="shared" si="2170"/>
        <v>0</v>
      </c>
      <c r="I900" s="68">
        <f t="shared" si="2170"/>
        <v>0</v>
      </c>
      <c r="J900" s="68">
        <f t="shared" si="2170"/>
        <v>-100</v>
      </c>
      <c r="K900" s="1112">
        <f t="shared" si="2171"/>
        <v>-100</v>
      </c>
      <c r="L900" s="68">
        <f t="shared" si="2171"/>
        <v>-100</v>
      </c>
      <c r="M900" s="68">
        <f t="shared" si="2172"/>
        <v>-750</v>
      </c>
      <c r="N900" s="68">
        <f t="shared" si="2172"/>
        <v>0</v>
      </c>
      <c r="O900" s="68">
        <f t="shared" si="2172"/>
        <v>-37.303999999999974</v>
      </c>
      <c r="P900" s="1112">
        <f t="shared" si="2173"/>
        <v>-887.30399999999997</v>
      </c>
      <c r="Q900" s="68">
        <f t="shared" si="2173"/>
        <v>-500</v>
      </c>
      <c r="R900" s="68">
        <f t="shared" si="2174"/>
        <v>0</v>
      </c>
      <c r="S900" s="68">
        <f t="shared" si="2174"/>
        <v>-310</v>
      </c>
      <c r="T900" s="68">
        <f t="shared" si="2174"/>
        <v>-4</v>
      </c>
      <c r="U900" s="1112">
        <f t="shared" si="2175"/>
        <v>-814</v>
      </c>
      <c r="V900" s="68">
        <f t="shared" si="2175"/>
        <v>-53</v>
      </c>
      <c r="W900" s="68">
        <f t="shared" si="2176"/>
        <v>-399</v>
      </c>
      <c r="X900" s="68">
        <f t="shared" si="2176"/>
        <v>0</v>
      </c>
      <c r="Y900" s="68">
        <f t="shared" si="2176"/>
        <v>-135</v>
      </c>
      <c r="Z900" s="1112">
        <f t="shared" si="2177"/>
        <v>-587</v>
      </c>
      <c r="AA900" s="68">
        <f t="shared" si="2178"/>
        <v>-500</v>
      </c>
      <c r="AB900" s="68">
        <f t="shared" si="2179"/>
        <v>-9</v>
      </c>
      <c r="AC900" s="68">
        <f t="shared" si="2179"/>
        <v>0</v>
      </c>
      <c r="AD900" s="68">
        <f t="shared" si="2179"/>
        <v>-230</v>
      </c>
      <c r="AE900" s="1112">
        <f t="shared" si="2180"/>
        <v>-739</v>
      </c>
      <c r="AF900" s="68">
        <f t="shared" si="2181"/>
        <v>0</v>
      </c>
      <c r="AG900" s="68">
        <f t="shared" si="2182"/>
        <v>-758</v>
      </c>
      <c r="AH900" s="68">
        <f t="shared" si="2182"/>
        <v>-151</v>
      </c>
      <c r="AI900" s="68">
        <f t="shared" si="2182"/>
        <v>0</v>
      </c>
      <c r="AJ900" s="1112">
        <f t="shared" si="2183"/>
        <v>-909</v>
      </c>
      <c r="AK900" s="68">
        <f t="shared" si="2184"/>
        <v>-655</v>
      </c>
      <c r="AL900" s="68">
        <f t="shared" si="2185"/>
        <v>0</v>
      </c>
      <c r="AM900" s="68">
        <f t="shared" si="2185"/>
        <v>-200</v>
      </c>
      <c r="AN900" s="68">
        <f t="shared" si="2185"/>
        <v>-724</v>
      </c>
      <c r="AO900" s="1112">
        <f t="shared" si="2186"/>
        <v>-1579</v>
      </c>
      <c r="AP900" s="68">
        <f t="shared" si="2187"/>
        <v>0</v>
      </c>
      <c r="AQ900" s="68">
        <f t="shared" si="2188"/>
        <v>0</v>
      </c>
      <c r="AR900" s="68">
        <f t="shared" si="2188"/>
        <v>0</v>
      </c>
      <c r="AS900" s="68">
        <f t="shared" si="2188"/>
        <v>0</v>
      </c>
      <c r="AT900" s="1112">
        <f t="shared" si="2189"/>
        <v>0</v>
      </c>
      <c r="AU900" s="68">
        <f t="shared" si="2190"/>
        <v>0</v>
      </c>
      <c r="AV900" s="68">
        <f t="shared" si="2191"/>
        <v>0</v>
      </c>
      <c r="AW900" s="68">
        <f t="shared" si="2191"/>
        <v>0</v>
      </c>
      <c r="AX900" s="68">
        <f t="shared" si="2191"/>
        <v>0</v>
      </c>
      <c r="AY900" s="1112">
        <f t="shared" si="2192"/>
        <v>0</v>
      </c>
      <c r="AZ900" s="68">
        <f t="shared" si="2193"/>
        <v>0</v>
      </c>
      <c r="BA900" s="68">
        <f t="shared" si="2194"/>
        <v>0</v>
      </c>
      <c r="BB900" s="68">
        <f t="shared" si="2194"/>
        <v>0</v>
      </c>
      <c r="BC900" s="68">
        <f t="shared" si="2194"/>
        <v>0</v>
      </c>
      <c r="BD900" s="1112">
        <f t="shared" si="2195"/>
        <v>0</v>
      </c>
      <c r="BE900" s="68">
        <f t="shared" si="2196"/>
        <v>-1996</v>
      </c>
      <c r="BF900" s="68">
        <f t="shared" si="2197"/>
        <v>-3345</v>
      </c>
      <c r="BG900" s="68">
        <f t="shared" si="2197"/>
        <v>-3485</v>
      </c>
      <c r="BH900" s="68">
        <f t="shared" si="2197"/>
        <v>-1213</v>
      </c>
      <c r="BI900" s="1112">
        <f t="shared" si="2198"/>
        <v>-10039</v>
      </c>
      <c r="BJ900" s="68">
        <f t="shared" si="2199"/>
        <v>0</v>
      </c>
      <c r="BK900" s="68">
        <f t="shared" si="2200"/>
        <v>-3067</v>
      </c>
      <c r="BL900" s="68">
        <f t="shared" si="2200"/>
        <v>-3807</v>
      </c>
      <c r="BM900" s="68">
        <f t="shared" si="2200"/>
        <v>-2659</v>
      </c>
      <c r="BN900" s="1112">
        <f t="shared" si="2201"/>
        <v>-9533</v>
      </c>
      <c r="BO900" s="68">
        <f t="shared" si="2202"/>
        <v>-7740</v>
      </c>
      <c r="BP900" s="68">
        <f t="shared" si="2203"/>
        <v>-7158</v>
      </c>
      <c r="BQ900" s="68">
        <f t="shared" si="2203"/>
        <v>-10997</v>
      </c>
      <c r="BR900" s="68">
        <f t="shared" si="2203"/>
        <v>-7811</v>
      </c>
      <c r="BS900" s="1112">
        <f t="shared" si="2204"/>
        <v>-33706</v>
      </c>
      <c r="BT900" s="68">
        <f t="shared" si="2205"/>
        <v>-14095</v>
      </c>
      <c r="BU900" s="68">
        <f t="shared" si="2206"/>
        <v>-9720</v>
      </c>
      <c r="BV900" s="68">
        <f t="shared" si="2207"/>
        <v>-12456</v>
      </c>
      <c r="BW900" s="68">
        <f t="shared" si="2208"/>
        <v>-3815</v>
      </c>
      <c r="BX900" s="1112">
        <f t="shared" si="2209"/>
        <v>-40086</v>
      </c>
      <c r="BY900" s="588">
        <f t="shared" si="2210"/>
        <v>-19312</v>
      </c>
      <c r="BZ900" s="68">
        <f>BZ718</f>
        <v>0</v>
      </c>
      <c r="CA900" s="68">
        <f>CA718</f>
        <v>0</v>
      </c>
      <c r="CB900" s="68">
        <f>CB718</f>
        <v>0</v>
      </c>
      <c r="CC900" s="1112">
        <f t="shared" si="2211"/>
        <v>-19312</v>
      </c>
      <c r="CD900" s="68">
        <f>CD718</f>
        <v>0</v>
      </c>
      <c r="CE900" s="68">
        <f>CE718</f>
        <v>0</v>
      </c>
      <c r="CF900" s="68">
        <f>CF718</f>
        <v>0</v>
      </c>
      <c r="CG900" s="68">
        <f>CG718</f>
        <v>0</v>
      </c>
      <c r="CH900" s="1112">
        <f t="shared" si="2212"/>
        <v>0</v>
      </c>
      <c r="CI900" s="1112">
        <f>CI718</f>
        <v>0</v>
      </c>
      <c r="CJ900" s="1112">
        <f>CJ718</f>
        <v>0</v>
      </c>
      <c r="CK900" s="1112">
        <f>CK718</f>
        <v>0</v>
      </c>
      <c r="CL900" s="155"/>
    </row>
    <row r="901" spans="1:90" x14ac:dyDescent="0.3">
      <c r="A901" s="99" t="str">
        <f t="shared" si="2168"/>
        <v>Repayment of Convertible Notes</v>
      </c>
      <c r="B901" s="68"/>
      <c r="C901" s="1112">
        <f t="shared" si="2169"/>
        <v>0</v>
      </c>
      <c r="D901" s="1112">
        <f t="shared" si="2169"/>
        <v>0</v>
      </c>
      <c r="E901" s="1112">
        <f t="shared" si="2169"/>
        <v>0</v>
      </c>
      <c r="F901" s="1112">
        <f t="shared" si="2169"/>
        <v>0</v>
      </c>
      <c r="G901" s="68">
        <f t="shared" si="2169"/>
        <v>0</v>
      </c>
      <c r="H901" s="68">
        <f t="shared" si="2170"/>
        <v>0</v>
      </c>
      <c r="I901" s="68">
        <f t="shared" si="2170"/>
        <v>0</v>
      </c>
      <c r="J901" s="68">
        <f t="shared" si="2170"/>
        <v>0</v>
      </c>
      <c r="K901" s="1112">
        <f t="shared" si="2171"/>
        <v>0</v>
      </c>
      <c r="L901" s="68">
        <f t="shared" si="2171"/>
        <v>0</v>
      </c>
      <c r="M901" s="68">
        <f t="shared" si="2172"/>
        <v>0</v>
      </c>
      <c r="N901" s="68">
        <f t="shared" si="2172"/>
        <v>0</v>
      </c>
      <c r="O901" s="68">
        <f t="shared" si="2172"/>
        <v>0</v>
      </c>
      <c r="P901" s="1112">
        <f t="shared" si="2173"/>
        <v>0</v>
      </c>
      <c r="Q901" s="68">
        <f t="shared" si="2173"/>
        <v>0</v>
      </c>
      <c r="R901" s="68">
        <f t="shared" si="2174"/>
        <v>0</v>
      </c>
      <c r="S901" s="68">
        <f t="shared" si="2174"/>
        <v>0</v>
      </c>
      <c r="T901" s="68">
        <f t="shared" si="2174"/>
        <v>0</v>
      </c>
      <c r="U901" s="1112">
        <f t="shared" si="2175"/>
        <v>0</v>
      </c>
      <c r="V901" s="68">
        <f t="shared" si="2175"/>
        <v>0</v>
      </c>
      <c r="W901" s="68">
        <f t="shared" si="2176"/>
        <v>0</v>
      </c>
      <c r="X901" s="68">
        <f t="shared" si="2176"/>
        <v>0</v>
      </c>
      <c r="Y901" s="68">
        <f t="shared" si="2176"/>
        <v>0</v>
      </c>
      <c r="Z901" s="1112">
        <f t="shared" si="2177"/>
        <v>0</v>
      </c>
      <c r="AA901" s="68">
        <f t="shared" si="2178"/>
        <v>0</v>
      </c>
      <c r="AB901" s="68">
        <f t="shared" si="2179"/>
        <v>0</v>
      </c>
      <c r="AC901" s="68">
        <f t="shared" si="2179"/>
        <v>-444</v>
      </c>
      <c r="AD901" s="68">
        <f t="shared" si="2179"/>
        <v>-229</v>
      </c>
      <c r="AE901" s="1112">
        <f t="shared" si="2180"/>
        <v>-673</v>
      </c>
      <c r="AF901" s="68">
        <f t="shared" si="2181"/>
        <v>-605</v>
      </c>
      <c r="AG901" s="68">
        <f t="shared" si="2182"/>
        <v>-136</v>
      </c>
      <c r="AH901" s="68">
        <f t="shared" si="2182"/>
        <v>-62</v>
      </c>
      <c r="AI901" s="68">
        <f t="shared" si="2182"/>
        <v>-9</v>
      </c>
      <c r="AJ901" s="1112">
        <f t="shared" si="2183"/>
        <v>-812</v>
      </c>
      <c r="AK901" s="68">
        <f t="shared" si="2184"/>
        <v>-2</v>
      </c>
      <c r="AL901" s="68">
        <f t="shared" si="2185"/>
        <v>0</v>
      </c>
      <c r="AM901" s="68">
        <f t="shared" si="2185"/>
        <v>-10</v>
      </c>
      <c r="AN901" s="68">
        <f t="shared" si="2185"/>
        <v>-4</v>
      </c>
      <c r="AO901" s="1112">
        <f t="shared" si="2186"/>
        <v>-16</v>
      </c>
      <c r="AP901" s="68">
        <f t="shared" si="2187"/>
        <v>0</v>
      </c>
      <c r="AQ901" s="27">
        <f t="shared" si="2188"/>
        <v>0</v>
      </c>
      <c r="AR901" s="68">
        <f t="shared" si="2188"/>
        <v>0</v>
      </c>
      <c r="AS901" s="68">
        <f t="shared" si="2188"/>
        <v>0</v>
      </c>
      <c r="AT901" s="1112">
        <f t="shared" si="2189"/>
        <v>0</v>
      </c>
      <c r="AU901" s="68">
        <f t="shared" si="2190"/>
        <v>0</v>
      </c>
      <c r="AV901" s="27">
        <f t="shared" si="2191"/>
        <v>0</v>
      </c>
      <c r="AW901" s="68">
        <f t="shared" si="2191"/>
        <v>0</v>
      </c>
      <c r="AX901" s="68">
        <f t="shared" si="2191"/>
        <v>0</v>
      </c>
      <c r="AY901" s="1112">
        <f t="shared" si="2192"/>
        <v>0</v>
      </c>
      <c r="AZ901" s="68">
        <f t="shared" si="2193"/>
        <v>0</v>
      </c>
      <c r="BA901" s="27">
        <f t="shared" si="2194"/>
        <v>0</v>
      </c>
      <c r="BB901" s="68">
        <f t="shared" si="2194"/>
        <v>0</v>
      </c>
      <c r="BC901" s="68">
        <f t="shared" si="2194"/>
        <v>0</v>
      </c>
      <c r="BD901" s="1112">
        <f t="shared" si="2195"/>
        <v>0</v>
      </c>
      <c r="BE901" s="68">
        <f t="shared" si="2196"/>
        <v>0</v>
      </c>
      <c r="BF901" s="27">
        <f t="shared" si="2197"/>
        <v>0</v>
      </c>
      <c r="BG901" s="68">
        <f t="shared" si="2197"/>
        <v>0</v>
      </c>
      <c r="BH901" s="68">
        <f t="shared" si="2197"/>
        <v>0</v>
      </c>
      <c r="BI901" s="1112">
        <f t="shared" si="2198"/>
        <v>0</v>
      </c>
      <c r="BJ901" s="68">
        <f t="shared" si="2199"/>
        <v>0</v>
      </c>
      <c r="BK901" s="27">
        <f t="shared" si="2200"/>
        <v>0</v>
      </c>
      <c r="BL901" s="68">
        <f t="shared" si="2200"/>
        <v>0</v>
      </c>
      <c r="BM901" s="68">
        <f t="shared" si="2200"/>
        <v>0</v>
      </c>
      <c r="BN901" s="1112">
        <f t="shared" si="2201"/>
        <v>0</v>
      </c>
      <c r="BO901" s="68">
        <f t="shared" si="2202"/>
        <v>0</v>
      </c>
      <c r="BP901" s="27">
        <f t="shared" si="2203"/>
        <v>0</v>
      </c>
      <c r="BQ901" s="68">
        <f t="shared" si="2203"/>
        <v>0</v>
      </c>
      <c r="BR901" s="68">
        <f t="shared" si="2203"/>
        <v>0</v>
      </c>
      <c r="BS901" s="1112">
        <f t="shared" si="2204"/>
        <v>0</v>
      </c>
      <c r="BT901" s="68">
        <f t="shared" si="2205"/>
        <v>0</v>
      </c>
      <c r="BU901" s="27">
        <f t="shared" si="2206"/>
        <v>0</v>
      </c>
      <c r="BV901" s="68">
        <f t="shared" si="2207"/>
        <v>0</v>
      </c>
      <c r="BW901" s="68">
        <f t="shared" si="2208"/>
        <v>0</v>
      </c>
      <c r="BX901" s="1112">
        <f t="shared" si="2209"/>
        <v>0</v>
      </c>
      <c r="BY901" s="588">
        <f t="shared" si="2210"/>
        <v>0</v>
      </c>
      <c r="BZ901" s="68"/>
      <c r="CA901" s="68"/>
      <c r="CB901" s="68"/>
      <c r="CC901" s="1112">
        <f t="shared" si="2211"/>
        <v>0</v>
      </c>
      <c r="CD901" s="68"/>
      <c r="CE901" s="68"/>
      <c r="CF901" s="68"/>
      <c r="CG901" s="68"/>
      <c r="CH901" s="1112">
        <f t="shared" si="2212"/>
        <v>0</v>
      </c>
      <c r="CI901" s="1112"/>
      <c r="CJ901" s="1112"/>
      <c r="CK901" s="1112"/>
      <c r="CL901" s="155"/>
    </row>
    <row r="902" spans="1:90" x14ac:dyDescent="0.3">
      <c r="A902" s="99" t="str">
        <f t="shared" si="2168"/>
        <v>Dividends paid</v>
      </c>
      <c r="B902" s="68"/>
      <c r="C902" s="1112">
        <f t="shared" si="2169"/>
        <v>0</v>
      </c>
      <c r="D902" s="1112">
        <f t="shared" si="2169"/>
        <v>0</v>
      </c>
      <c r="E902" s="1112">
        <f t="shared" si="2169"/>
        <v>0</v>
      </c>
      <c r="F902" s="1112">
        <f t="shared" si="2169"/>
        <v>0</v>
      </c>
      <c r="G902" s="68">
        <f t="shared" si="2169"/>
        <v>0</v>
      </c>
      <c r="H902" s="68">
        <f t="shared" si="2170"/>
        <v>0</v>
      </c>
      <c r="I902" s="68">
        <f t="shared" si="2170"/>
        <v>0</v>
      </c>
      <c r="J902" s="68">
        <f t="shared" si="2170"/>
        <v>-46.866</v>
      </c>
      <c r="K902" s="1112">
        <f t="shared" si="2171"/>
        <v>-46.866</v>
      </c>
      <c r="L902" s="68">
        <f t="shared" si="2171"/>
        <v>-46.267000000000003</v>
      </c>
      <c r="M902" s="68">
        <f t="shared" si="2172"/>
        <v>-43.342999999999996</v>
      </c>
      <c r="N902" s="68">
        <f t="shared" si="2172"/>
        <v>-43.397000000000006</v>
      </c>
      <c r="O902" s="68">
        <f t="shared" si="2172"/>
        <v>-48.329000000000008</v>
      </c>
      <c r="P902" s="1112">
        <f t="shared" si="2173"/>
        <v>-181.33600000000001</v>
      </c>
      <c r="Q902" s="68">
        <f t="shared" si="2173"/>
        <v>-47</v>
      </c>
      <c r="R902" s="68">
        <f t="shared" si="2174"/>
        <v>-47</v>
      </c>
      <c r="S902" s="68">
        <f t="shared" si="2174"/>
        <v>-46</v>
      </c>
      <c r="T902" s="68">
        <f t="shared" si="2174"/>
        <v>-46</v>
      </c>
      <c r="U902" s="1112">
        <f t="shared" si="2175"/>
        <v>-186</v>
      </c>
      <c r="V902" s="68">
        <f t="shared" si="2175"/>
        <v>-46</v>
      </c>
      <c r="W902" s="68">
        <f t="shared" si="2176"/>
        <v>-53</v>
      </c>
      <c r="X902" s="68">
        <f t="shared" si="2176"/>
        <v>-53</v>
      </c>
      <c r="Y902" s="68">
        <f t="shared" si="2176"/>
        <v>-61</v>
      </c>
      <c r="Z902" s="1112">
        <f t="shared" si="2177"/>
        <v>-213</v>
      </c>
      <c r="AA902" s="68">
        <f t="shared" si="2178"/>
        <v>-62</v>
      </c>
      <c r="AB902" s="68">
        <f t="shared" si="2179"/>
        <v>-62</v>
      </c>
      <c r="AC902" s="68">
        <f t="shared" si="2179"/>
        <v>-61</v>
      </c>
      <c r="AD902" s="68">
        <f t="shared" si="2179"/>
        <v>-76</v>
      </c>
      <c r="AE902" s="1112">
        <f t="shared" si="2180"/>
        <v>-261</v>
      </c>
      <c r="AF902" s="68">
        <f t="shared" si="2181"/>
        <v>-82</v>
      </c>
      <c r="AG902" s="68">
        <f t="shared" si="2182"/>
        <v>-84</v>
      </c>
      <c r="AH902" s="68">
        <f t="shared" si="2182"/>
        <v>-84</v>
      </c>
      <c r="AI902" s="68">
        <f t="shared" si="2182"/>
        <v>-91</v>
      </c>
      <c r="AJ902" s="1112">
        <f t="shared" si="2183"/>
        <v>-341</v>
      </c>
      <c r="AK902" s="68">
        <f t="shared" si="2184"/>
        <v>-91</v>
      </c>
      <c r="AL902" s="68">
        <f t="shared" si="2185"/>
        <v>-91</v>
      </c>
      <c r="AM902" s="68">
        <f t="shared" si="2185"/>
        <v>-91</v>
      </c>
      <c r="AN902" s="68">
        <f t="shared" si="2185"/>
        <v>-98</v>
      </c>
      <c r="AO902" s="1112">
        <f t="shared" si="2186"/>
        <v>-371</v>
      </c>
      <c r="AP902" s="68">
        <f t="shared" si="2187"/>
        <v>-97</v>
      </c>
      <c r="AQ902" s="27">
        <f t="shared" si="2188"/>
        <v>-98</v>
      </c>
      <c r="AR902" s="68">
        <f t="shared" si="2188"/>
        <v>-97</v>
      </c>
      <c r="AS902" s="68">
        <f t="shared" si="2188"/>
        <v>-98</v>
      </c>
      <c r="AT902" s="1112">
        <f t="shared" si="2189"/>
        <v>-390</v>
      </c>
      <c r="AU902" s="68">
        <f t="shared" si="2190"/>
        <v>-98</v>
      </c>
      <c r="AV902" s="27">
        <f t="shared" si="2191"/>
        <v>-99</v>
      </c>
      <c r="AW902" s="68">
        <f t="shared" si="2191"/>
        <v>-99</v>
      </c>
      <c r="AX902" s="68">
        <f t="shared" si="2191"/>
        <v>-99</v>
      </c>
      <c r="AY902" s="1112">
        <f t="shared" si="2192"/>
        <v>-395</v>
      </c>
      <c r="AZ902" s="68">
        <f t="shared" si="2193"/>
        <v>-99</v>
      </c>
      <c r="BA902" s="27">
        <f t="shared" si="2194"/>
        <v>-99</v>
      </c>
      <c r="BB902" s="68">
        <f t="shared" si="2194"/>
        <v>-100</v>
      </c>
      <c r="BC902" s="68">
        <f t="shared" si="2194"/>
        <v>-101</v>
      </c>
      <c r="BD902" s="1112">
        <f t="shared" si="2195"/>
        <v>-399</v>
      </c>
      <c r="BE902" s="68">
        <f t="shared" si="2196"/>
        <v>-100</v>
      </c>
      <c r="BF902" s="27">
        <f t="shared" si="2197"/>
        <v>-100</v>
      </c>
      <c r="BG902" s="68">
        <f t="shared" si="2197"/>
        <v>-100</v>
      </c>
      <c r="BH902" s="68">
        <f t="shared" si="2197"/>
        <v>-98</v>
      </c>
      <c r="BI902" s="1112">
        <f t="shared" si="2198"/>
        <v>-398</v>
      </c>
      <c r="BJ902" s="68">
        <f t="shared" si="2199"/>
        <v>-99</v>
      </c>
      <c r="BK902" s="27">
        <f t="shared" si="2200"/>
        <v>-100</v>
      </c>
      <c r="BL902" s="68">
        <f t="shared" si="2200"/>
        <v>-97</v>
      </c>
      <c r="BM902" s="68">
        <f t="shared" si="2200"/>
        <v>-99</v>
      </c>
      <c r="BN902" s="1112">
        <f t="shared" si="2201"/>
        <v>-395</v>
      </c>
      <c r="BO902" s="68">
        <f t="shared" si="2202"/>
        <v>-98</v>
      </c>
      <c r="BP902" s="27">
        <f t="shared" si="2203"/>
        <v>-246</v>
      </c>
      <c r="BQ902" s="68">
        <f t="shared" si="2203"/>
        <v>-245</v>
      </c>
      <c r="BR902" s="68">
        <f t="shared" si="2203"/>
        <v>-245</v>
      </c>
      <c r="BS902" s="1112">
        <f t="shared" si="2204"/>
        <v>-834</v>
      </c>
      <c r="BT902" s="68">
        <f t="shared" si="2205"/>
        <v>-244</v>
      </c>
      <c r="BU902" s="27">
        <f t="shared" si="2206"/>
        <v>-244</v>
      </c>
      <c r="BV902" s="68">
        <f t="shared" si="2207"/>
        <v>-244</v>
      </c>
      <c r="BW902" s="68">
        <f t="shared" si="2208"/>
        <v>-242</v>
      </c>
      <c r="BX902" s="1112">
        <f t="shared" si="2209"/>
        <v>-974</v>
      </c>
      <c r="BY902" s="588">
        <f t="shared" si="2210"/>
        <v>-243</v>
      </c>
      <c r="BZ902" s="68">
        <f>BZ714</f>
        <v>-6055.25</v>
      </c>
      <c r="CA902" s="68">
        <f>CA714</f>
        <v>-6055.25</v>
      </c>
      <c r="CB902" s="68">
        <f>CB714</f>
        <v>-6055.25</v>
      </c>
      <c r="CC902" s="1112">
        <f t="shared" si="2211"/>
        <v>-18408.75</v>
      </c>
      <c r="CD902" s="68">
        <f>CD714</f>
        <v>-6055.25</v>
      </c>
      <c r="CE902" s="68">
        <f>CE714</f>
        <v>-6055.25</v>
      </c>
      <c r="CF902" s="68">
        <f>CF714</f>
        <v>-6055.25</v>
      </c>
      <c r="CG902" s="68">
        <f>CG714</f>
        <v>-6055.25</v>
      </c>
      <c r="CH902" s="1112">
        <f t="shared" si="2212"/>
        <v>-24221</v>
      </c>
      <c r="CI902" s="1112">
        <f>CI714</f>
        <v>-24221</v>
      </c>
      <c r="CJ902" s="1112">
        <f>CJ714</f>
        <v>-24221</v>
      </c>
      <c r="CK902" s="1112">
        <f>CK714</f>
        <v>-24221</v>
      </c>
      <c r="CL902" s="155"/>
    </row>
    <row r="903" spans="1:90" x14ac:dyDescent="0.3">
      <c r="A903" s="99" t="str">
        <f t="shared" si="2168"/>
        <v>Payments related to tax on restricted stock units</v>
      </c>
      <c r="B903" s="68"/>
      <c r="C903" s="1112">
        <f t="shared" ref="C903:G909" si="2213">C831</f>
        <v>0</v>
      </c>
      <c r="D903" s="1112">
        <f t="shared" si="2213"/>
        <v>0</v>
      </c>
      <c r="E903" s="1112">
        <f t="shared" si="2213"/>
        <v>0</v>
      </c>
      <c r="F903" s="1112">
        <f t="shared" si="2213"/>
        <v>0</v>
      </c>
      <c r="G903" s="68">
        <f t="shared" si="2213"/>
        <v>0</v>
      </c>
      <c r="H903" s="68">
        <f t="shared" si="2170"/>
        <v>0</v>
      </c>
      <c r="I903" s="68">
        <f t="shared" si="2170"/>
        <v>0</v>
      </c>
      <c r="J903" s="68">
        <f t="shared" si="2170"/>
        <v>0</v>
      </c>
      <c r="K903" s="1112">
        <f t="shared" si="2171"/>
        <v>0</v>
      </c>
      <c r="L903" s="68">
        <f t="shared" si="2171"/>
        <v>0</v>
      </c>
      <c r="M903" s="68">
        <f t="shared" si="2172"/>
        <v>0</v>
      </c>
      <c r="N903" s="68">
        <f t="shared" si="2172"/>
        <v>0</v>
      </c>
      <c r="O903" s="68">
        <f t="shared" si="2172"/>
        <v>0</v>
      </c>
      <c r="P903" s="1112">
        <f t="shared" si="2173"/>
        <v>0</v>
      </c>
      <c r="Q903" s="68">
        <f t="shared" si="2173"/>
        <v>0</v>
      </c>
      <c r="R903" s="68">
        <f t="shared" si="2174"/>
        <v>0</v>
      </c>
      <c r="S903" s="68">
        <f t="shared" si="2174"/>
        <v>0</v>
      </c>
      <c r="T903" s="68">
        <f t="shared" si="2174"/>
        <v>0</v>
      </c>
      <c r="U903" s="1112">
        <f t="shared" si="2175"/>
        <v>0</v>
      </c>
      <c r="V903" s="68">
        <f t="shared" si="2175"/>
        <v>0</v>
      </c>
      <c r="W903" s="68">
        <f t="shared" si="2176"/>
        <v>0</v>
      </c>
      <c r="X903" s="68">
        <f t="shared" si="2176"/>
        <v>0</v>
      </c>
      <c r="Y903" s="68">
        <f t="shared" si="2176"/>
        <v>0</v>
      </c>
      <c r="Z903" s="1112">
        <f t="shared" si="2177"/>
        <v>0</v>
      </c>
      <c r="AA903" s="68">
        <f t="shared" si="2178"/>
        <v>-51</v>
      </c>
      <c r="AB903" s="68">
        <f t="shared" si="2179"/>
        <v>0</v>
      </c>
      <c r="AC903" s="68">
        <f t="shared" si="2179"/>
        <v>-126</v>
      </c>
      <c r="AD903" s="68">
        <f t="shared" si="2179"/>
        <v>1</v>
      </c>
      <c r="AE903" s="1112">
        <f t="shared" si="2180"/>
        <v>-176</v>
      </c>
      <c r="AF903" s="68">
        <f t="shared" si="2181"/>
        <v>-190</v>
      </c>
      <c r="AG903" s="68">
        <f t="shared" si="2182"/>
        <v>0</v>
      </c>
      <c r="AH903" s="68">
        <f t="shared" si="2182"/>
        <v>-387</v>
      </c>
      <c r="AI903" s="68">
        <f t="shared" si="2182"/>
        <v>-35</v>
      </c>
      <c r="AJ903" s="1112">
        <f t="shared" si="2183"/>
        <v>-612</v>
      </c>
      <c r="AK903" s="68">
        <f t="shared" si="2184"/>
        <v>-449</v>
      </c>
      <c r="AL903" s="68">
        <f t="shared" si="2185"/>
        <v>-66</v>
      </c>
      <c r="AM903" s="68">
        <f t="shared" si="2185"/>
        <v>-467</v>
      </c>
      <c r="AN903" s="68">
        <f t="shared" si="2185"/>
        <v>-50</v>
      </c>
      <c r="AO903" s="1112">
        <f t="shared" si="2186"/>
        <v>-1032</v>
      </c>
      <c r="AP903" s="68">
        <f t="shared" si="2187"/>
        <v>-211</v>
      </c>
      <c r="AQ903" s="27">
        <f t="shared" si="2188"/>
        <v>-50</v>
      </c>
      <c r="AR903" s="68">
        <f t="shared" si="2188"/>
        <v>-202</v>
      </c>
      <c r="AS903" s="68">
        <f t="shared" si="2188"/>
        <v>-88</v>
      </c>
      <c r="AT903" s="1112">
        <f t="shared" si="2189"/>
        <v>-551</v>
      </c>
      <c r="AU903" s="68">
        <f t="shared" si="2190"/>
        <v>-222</v>
      </c>
      <c r="AV903" s="27">
        <f t="shared" si="2191"/>
        <v>-196</v>
      </c>
      <c r="AW903" s="68">
        <f t="shared" si="2191"/>
        <v>-298</v>
      </c>
      <c r="AX903" s="68">
        <f t="shared" si="2191"/>
        <v>-226</v>
      </c>
      <c r="AY903" s="1112">
        <f t="shared" si="2192"/>
        <v>-942</v>
      </c>
      <c r="AZ903" s="68">
        <f t="shared" si="2193"/>
        <v>-477</v>
      </c>
      <c r="BA903" s="27">
        <f t="shared" si="2194"/>
        <v>-366</v>
      </c>
      <c r="BB903" s="68">
        <f t="shared" si="2194"/>
        <v>-439</v>
      </c>
      <c r="BC903" s="68">
        <f t="shared" si="2194"/>
        <v>-622</v>
      </c>
      <c r="BD903" s="1112">
        <f t="shared" si="2195"/>
        <v>-1904</v>
      </c>
      <c r="BE903" s="68">
        <f t="shared" si="2196"/>
        <v>-532</v>
      </c>
      <c r="BF903" s="27">
        <f t="shared" si="2197"/>
        <v>-305</v>
      </c>
      <c r="BG903" s="68">
        <f t="shared" si="2197"/>
        <v>-294</v>
      </c>
      <c r="BH903" s="68">
        <f t="shared" si="2197"/>
        <v>-344</v>
      </c>
      <c r="BI903" s="1112">
        <f t="shared" si="2198"/>
        <v>-1475</v>
      </c>
      <c r="BJ903" s="68">
        <f t="shared" si="2199"/>
        <v>-507</v>
      </c>
      <c r="BK903" s="27">
        <f t="shared" si="2200"/>
        <v>-672</v>
      </c>
      <c r="BL903" s="68">
        <f t="shared" si="2200"/>
        <v>-763</v>
      </c>
      <c r="BM903" s="68">
        <f t="shared" si="2200"/>
        <v>-841</v>
      </c>
      <c r="BN903" s="1112">
        <f t="shared" si="2201"/>
        <v>-2783</v>
      </c>
      <c r="BO903" s="68">
        <f t="shared" si="2202"/>
        <v>-1752</v>
      </c>
      <c r="BP903" s="27">
        <f t="shared" si="2203"/>
        <v>-1637</v>
      </c>
      <c r="BQ903" s="68">
        <f t="shared" si="2203"/>
        <v>-1679</v>
      </c>
      <c r="BR903" s="68">
        <f t="shared" si="2203"/>
        <v>-1862</v>
      </c>
      <c r="BS903" s="1112">
        <f t="shared" si="2204"/>
        <v>-6930</v>
      </c>
      <c r="BT903" s="68">
        <f t="shared" si="2205"/>
        <v>-1532</v>
      </c>
      <c r="BU903" s="27">
        <f t="shared" si="2206"/>
        <v>-1848</v>
      </c>
      <c r="BV903" s="68">
        <f t="shared" si="2207"/>
        <v>-2429</v>
      </c>
      <c r="BW903" s="68">
        <f t="shared" si="2208"/>
        <v>-2139</v>
      </c>
      <c r="BX903" s="1112">
        <f t="shared" si="2209"/>
        <v>-7948</v>
      </c>
      <c r="BY903" s="588">
        <f t="shared" si="2210"/>
        <v>-2129</v>
      </c>
      <c r="BZ903" s="68"/>
      <c r="CA903" s="68"/>
      <c r="CB903" s="68"/>
      <c r="CC903" s="1112">
        <f t="shared" si="2211"/>
        <v>-2129</v>
      </c>
      <c r="CD903" s="68"/>
      <c r="CE903" s="68"/>
      <c r="CF903" s="68"/>
      <c r="CG903" s="68"/>
      <c r="CH903" s="1112">
        <f t="shared" si="2212"/>
        <v>0</v>
      </c>
      <c r="CI903" s="1112"/>
      <c r="CJ903" s="1112"/>
      <c r="CK903" s="1112"/>
      <c r="CL903" s="155"/>
    </row>
    <row r="904" spans="1:90" x14ac:dyDescent="0.3">
      <c r="A904" s="99" t="str">
        <f t="shared" si="2168"/>
        <v>Tax benefit from stock-based compensation</v>
      </c>
      <c r="B904" s="68"/>
      <c r="C904" s="1112">
        <f t="shared" si="2213"/>
        <v>0</v>
      </c>
      <c r="D904" s="1112">
        <f t="shared" si="2213"/>
        <v>0</v>
      </c>
      <c r="E904" s="1112">
        <f t="shared" si="2213"/>
        <v>15.316000000000001</v>
      </c>
      <c r="F904" s="1112">
        <f t="shared" si="2213"/>
        <v>52.792999999999999</v>
      </c>
      <c r="G904" s="68">
        <f t="shared" si="2213"/>
        <v>8.6750000000000007</v>
      </c>
      <c r="H904" s="68">
        <f t="shared" si="2170"/>
        <v>9.4789999999999992</v>
      </c>
      <c r="I904" s="68">
        <f t="shared" si="2170"/>
        <v>7.4920000000000009</v>
      </c>
      <c r="J904" s="68">
        <f t="shared" si="2170"/>
        <v>43.063999999999993</v>
      </c>
      <c r="K904" s="1112">
        <f t="shared" si="2171"/>
        <v>68.709999999999994</v>
      </c>
      <c r="L904" s="68">
        <f t="shared" si="2171"/>
        <v>10.119999999999999</v>
      </c>
      <c r="M904" s="68">
        <f t="shared" si="2172"/>
        <v>7.24</v>
      </c>
      <c r="N904" s="68">
        <f t="shared" si="2172"/>
        <v>6.3829999999999991</v>
      </c>
      <c r="O904" s="68">
        <f t="shared" si="2172"/>
        <v>2.0579999999999998</v>
      </c>
      <c r="P904" s="1112">
        <f t="shared" si="2173"/>
        <v>25.800999999999998</v>
      </c>
      <c r="Q904" s="68">
        <f t="shared" si="2173"/>
        <v>4</v>
      </c>
      <c r="R904" s="68">
        <f t="shared" si="2174"/>
        <v>3</v>
      </c>
      <c r="S904" s="68">
        <f t="shared" si="2174"/>
        <v>5</v>
      </c>
      <c r="T904" s="68">
        <f t="shared" si="2174"/>
        <v>6</v>
      </c>
      <c r="U904" s="1112">
        <f t="shared" si="2175"/>
        <v>18</v>
      </c>
      <c r="V904" s="68">
        <f t="shared" si="2175"/>
        <v>6</v>
      </c>
      <c r="W904" s="68">
        <f t="shared" si="2176"/>
        <v>0</v>
      </c>
      <c r="X904" s="68">
        <f t="shared" si="2176"/>
        <v>-1</v>
      </c>
      <c r="Y904" s="68">
        <f t="shared" si="2176"/>
        <v>5</v>
      </c>
      <c r="Z904" s="1112">
        <f t="shared" si="2177"/>
        <v>10</v>
      </c>
      <c r="AA904" s="68">
        <f t="shared" si="2178"/>
        <v>0</v>
      </c>
      <c r="AB904" s="68">
        <f t="shared" si="2179"/>
        <v>0</v>
      </c>
      <c r="AC904" s="68">
        <f t="shared" si="2179"/>
        <v>0</v>
      </c>
      <c r="AD904" s="68">
        <f t="shared" si="2179"/>
        <v>0</v>
      </c>
      <c r="AE904" s="1112">
        <f t="shared" si="2180"/>
        <v>0</v>
      </c>
      <c r="AF904" s="68">
        <f t="shared" si="2181"/>
        <v>0</v>
      </c>
      <c r="AG904" s="68">
        <f t="shared" si="2182"/>
        <v>0</v>
      </c>
      <c r="AH904" s="68">
        <f t="shared" si="2182"/>
        <v>0</v>
      </c>
      <c r="AI904" s="68">
        <f t="shared" si="2182"/>
        <v>0</v>
      </c>
      <c r="AJ904" s="1112">
        <f t="shared" si="2183"/>
        <v>0</v>
      </c>
      <c r="AK904" s="68">
        <f t="shared" si="2184"/>
        <v>0</v>
      </c>
      <c r="AL904" s="68">
        <f t="shared" si="2185"/>
        <v>0</v>
      </c>
      <c r="AM904" s="68">
        <f t="shared" si="2185"/>
        <v>0</v>
      </c>
      <c r="AN904" s="68">
        <f t="shared" si="2185"/>
        <v>0</v>
      </c>
      <c r="AO904" s="1112">
        <f t="shared" si="2186"/>
        <v>0</v>
      </c>
      <c r="AP904" s="68">
        <f t="shared" si="2187"/>
        <v>0</v>
      </c>
      <c r="AQ904" s="27">
        <f t="shared" si="2188"/>
        <v>0</v>
      </c>
      <c r="AR904" s="68">
        <f t="shared" si="2188"/>
        <v>0</v>
      </c>
      <c r="AS904" s="68">
        <f t="shared" si="2188"/>
        <v>0</v>
      </c>
      <c r="AT904" s="1112">
        <f t="shared" si="2189"/>
        <v>0</v>
      </c>
      <c r="AU904" s="68">
        <f t="shared" si="2190"/>
        <v>0</v>
      </c>
      <c r="AV904" s="27">
        <f t="shared" si="2191"/>
        <v>0</v>
      </c>
      <c r="AW904" s="68">
        <f t="shared" si="2191"/>
        <v>0</v>
      </c>
      <c r="AX904" s="68">
        <f t="shared" si="2191"/>
        <v>0</v>
      </c>
      <c r="AY904" s="1112">
        <f t="shared" si="2192"/>
        <v>0</v>
      </c>
      <c r="AZ904" s="68">
        <f t="shared" si="2193"/>
        <v>0</v>
      </c>
      <c r="BA904" s="27">
        <f t="shared" si="2194"/>
        <v>0</v>
      </c>
      <c r="BB904" s="68">
        <f t="shared" si="2194"/>
        <v>0</v>
      </c>
      <c r="BC904" s="68">
        <f t="shared" si="2194"/>
        <v>0</v>
      </c>
      <c r="BD904" s="1112">
        <f t="shared" si="2195"/>
        <v>0</v>
      </c>
      <c r="BE904" s="68">
        <f t="shared" si="2196"/>
        <v>0</v>
      </c>
      <c r="BF904" s="27">
        <f t="shared" si="2197"/>
        <v>0</v>
      </c>
      <c r="BG904" s="68">
        <f t="shared" si="2197"/>
        <v>0</v>
      </c>
      <c r="BH904" s="68">
        <f t="shared" si="2197"/>
        <v>0</v>
      </c>
      <c r="BI904" s="1112">
        <f t="shared" si="2198"/>
        <v>0</v>
      </c>
      <c r="BJ904" s="68">
        <f t="shared" si="2199"/>
        <v>0</v>
      </c>
      <c r="BK904" s="27">
        <f t="shared" si="2200"/>
        <v>0</v>
      </c>
      <c r="BL904" s="68">
        <f t="shared" si="2200"/>
        <v>0</v>
      </c>
      <c r="BM904" s="68">
        <f t="shared" si="2200"/>
        <v>0</v>
      </c>
      <c r="BN904" s="1112">
        <f t="shared" si="2201"/>
        <v>0</v>
      </c>
      <c r="BO904" s="68">
        <f t="shared" si="2202"/>
        <v>0</v>
      </c>
      <c r="BP904" s="27">
        <f t="shared" si="2203"/>
        <v>0</v>
      </c>
      <c r="BQ904" s="68">
        <f t="shared" si="2203"/>
        <v>0</v>
      </c>
      <c r="BR904" s="68">
        <f t="shared" si="2203"/>
        <v>0</v>
      </c>
      <c r="BS904" s="1112">
        <f t="shared" si="2204"/>
        <v>0</v>
      </c>
      <c r="BT904" s="68">
        <f t="shared" si="2205"/>
        <v>0</v>
      </c>
      <c r="BU904" s="27">
        <f t="shared" si="2206"/>
        <v>0</v>
      </c>
      <c r="BV904" s="68">
        <f t="shared" si="2207"/>
        <v>0</v>
      </c>
      <c r="BW904" s="68">
        <f t="shared" si="2208"/>
        <v>0</v>
      </c>
      <c r="BX904" s="1112">
        <f t="shared" si="2209"/>
        <v>0</v>
      </c>
      <c r="BY904" s="588">
        <f t="shared" si="2210"/>
        <v>0</v>
      </c>
      <c r="BZ904" s="68"/>
      <c r="CA904" s="68"/>
      <c r="CB904" s="68"/>
      <c r="CC904" s="1112">
        <f t="shared" si="2211"/>
        <v>0</v>
      </c>
      <c r="CD904" s="68"/>
      <c r="CE904" s="68"/>
      <c r="CF904" s="68"/>
      <c r="CG904" s="68"/>
      <c r="CH904" s="1112">
        <f t="shared" si="2212"/>
        <v>0</v>
      </c>
      <c r="CI904" s="1112"/>
      <c r="CJ904" s="1112"/>
      <c r="CK904" s="1112"/>
      <c r="CL904" s="155"/>
    </row>
    <row r="905" spans="1:90" x14ac:dyDescent="0.3">
      <c r="A905" s="99" t="str">
        <f t="shared" si="2168"/>
        <v>Payment of notes payable from acquisition</v>
      </c>
      <c r="B905" s="68"/>
      <c r="C905" s="1112">
        <f t="shared" si="2213"/>
        <v>0</v>
      </c>
      <c r="D905" s="1112">
        <f t="shared" si="2213"/>
        <v>0</v>
      </c>
      <c r="E905" s="1112">
        <f t="shared" si="2213"/>
        <v>0</v>
      </c>
      <c r="F905" s="1112">
        <f t="shared" si="2213"/>
        <v>-10.319000000000001</v>
      </c>
      <c r="G905" s="68">
        <f t="shared" si="2213"/>
        <v>0</v>
      </c>
      <c r="H905" s="68">
        <f t="shared" si="2170"/>
        <v>0</v>
      </c>
      <c r="I905" s="68">
        <f t="shared" si="2170"/>
        <v>0</v>
      </c>
      <c r="J905" s="68">
        <f t="shared" si="2170"/>
        <v>0</v>
      </c>
      <c r="K905" s="1112">
        <f t="shared" si="2171"/>
        <v>0</v>
      </c>
      <c r="L905" s="68">
        <f t="shared" si="2171"/>
        <v>0</v>
      </c>
      <c r="M905" s="68">
        <f t="shared" si="2172"/>
        <v>0</v>
      </c>
      <c r="N905" s="68">
        <f t="shared" si="2172"/>
        <v>0</v>
      </c>
      <c r="O905" s="68">
        <f t="shared" si="2172"/>
        <v>0</v>
      </c>
      <c r="P905" s="1112">
        <f t="shared" si="2173"/>
        <v>0</v>
      </c>
      <c r="Q905" s="68">
        <f t="shared" si="2173"/>
        <v>0</v>
      </c>
      <c r="R905" s="68">
        <f t="shared" si="2174"/>
        <v>0</v>
      </c>
      <c r="S905" s="68">
        <f t="shared" si="2174"/>
        <v>0</v>
      </c>
      <c r="T905" s="68">
        <f t="shared" si="2174"/>
        <v>0</v>
      </c>
      <c r="U905" s="1112">
        <f t="shared" si="2175"/>
        <v>0</v>
      </c>
      <c r="V905" s="68">
        <f t="shared" si="2175"/>
        <v>0</v>
      </c>
      <c r="W905" s="68">
        <f t="shared" si="2176"/>
        <v>0</v>
      </c>
      <c r="X905" s="68">
        <f t="shared" si="2176"/>
        <v>0</v>
      </c>
      <c r="Y905" s="68">
        <f t="shared" si="2176"/>
        <v>0</v>
      </c>
      <c r="Z905" s="1112">
        <f t="shared" si="2177"/>
        <v>0</v>
      </c>
      <c r="AA905" s="68">
        <f t="shared" si="2178"/>
        <v>0</v>
      </c>
      <c r="AB905" s="68">
        <f t="shared" si="2179"/>
        <v>0</v>
      </c>
      <c r="AC905" s="68">
        <f t="shared" si="2179"/>
        <v>0</v>
      </c>
      <c r="AD905" s="68">
        <f t="shared" si="2179"/>
        <v>0</v>
      </c>
      <c r="AE905" s="1112">
        <f t="shared" si="2180"/>
        <v>0</v>
      </c>
      <c r="AF905" s="68">
        <f t="shared" si="2181"/>
        <v>0</v>
      </c>
      <c r="AG905" s="68">
        <f t="shared" si="2182"/>
        <v>0</v>
      </c>
      <c r="AH905" s="68">
        <f t="shared" si="2182"/>
        <v>0</v>
      </c>
      <c r="AI905" s="68">
        <f t="shared" si="2182"/>
        <v>0</v>
      </c>
      <c r="AJ905" s="1112">
        <f t="shared" si="2183"/>
        <v>0</v>
      </c>
      <c r="AK905" s="68">
        <f t="shared" si="2184"/>
        <v>0</v>
      </c>
      <c r="AL905" s="68">
        <f t="shared" si="2185"/>
        <v>0</v>
      </c>
      <c r="AM905" s="68">
        <f t="shared" si="2185"/>
        <v>0</v>
      </c>
      <c r="AN905" s="68">
        <f t="shared" si="2185"/>
        <v>0</v>
      </c>
      <c r="AO905" s="1112">
        <f t="shared" si="2186"/>
        <v>0</v>
      </c>
      <c r="AP905" s="68">
        <f t="shared" si="2187"/>
        <v>0</v>
      </c>
      <c r="AQ905" s="27">
        <f t="shared" si="2188"/>
        <v>0</v>
      </c>
      <c r="AR905" s="68">
        <f t="shared" si="2188"/>
        <v>0</v>
      </c>
      <c r="AS905" s="68">
        <f t="shared" si="2188"/>
        <v>0</v>
      </c>
      <c r="AT905" s="1112">
        <f t="shared" si="2189"/>
        <v>0</v>
      </c>
      <c r="AU905" s="68">
        <f t="shared" si="2190"/>
        <v>0</v>
      </c>
      <c r="AV905" s="27">
        <f t="shared" si="2191"/>
        <v>0</v>
      </c>
      <c r="AW905" s="68">
        <f t="shared" si="2191"/>
        <v>0</v>
      </c>
      <c r="AX905" s="68">
        <f t="shared" si="2191"/>
        <v>0</v>
      </c>
      <c r="AY905" s="1112">
        <f t="shared" si="2192"/>
        <v>0</v>
      </c>
      <c r="AZ905" s="68">
        <f t="shared" si="2193"/>
        <v>0</v>
      </c>
      <c r="BA905" s="27">
        <f t="shared" si="2194"/>
        <v>0</v>
      </c>
      <c r="BB905" s="68">
        <f t="shared" si="2194"/>
        <v>0</v>
      </c>
      <c r="BC905" s="68">
        <f t="shared" si="2194"/>
        <v>0</v>
      </c>
      <c r="BD905" s="1112">
        <f t="shared" si="2195"/>
        <v>0</v>
      </c>
      <c r="BE905" s="68">
        <f t="shared" si="2196"/>
        <v>0</v>
      </c>
      <c r="BF905" s="27">
        <f t="shared" si="2197"/>
        <v>0</v>
      </c>
      <c r="BG905" s="68">
        <f t="shared" si="2197"/>
        <v>0</v>
      </c>
      <c r="BH905" s="68">
        <f t="shared" si="2197"/>
        <v>0</v>
      </c>
      <c r="BI905" s="1112">
        <f t="shared" si="2198"/>
        <v>0</v>
      </c>
      <c r="BJ905" s="68">
        <f t="shared" si="2199"/>
        <v>0</v>
      </c>
      <c r="BK905" s="27">
        <f t="shared" si="2200"/>
        <v>0</v>
      </c>
      <c r="BL905" s="68">
        <f t="shared" si="2200"/>
        <v>0</v>
      </c>
      <c r="BM905" s="68">
        <f t="shared" si="2200"/>
        <v>0</v>
      </c>
      <c r="BN905" s="1112">
        <f t="shared" si="2201"/>
        <v>0</v>
      </c>
      <c r="BO905" s="68">
        <f t="shared" si="2202"/>
        <v>0</v>
      </c>
      <c r="BP905" s="27">
        <f t="shared" si="2203"/>
        <v>0</v>
      </c>
      <c r="BQ905" s="68">
        <f t="shared" si="2203"/>
        <v>0</v>
      </c>
      <c r="BR905" s="68">
        <f t="shared" si="2203"/>
        <v>0</v>
      </c>
      <c r="BS905" s="1112">
        <f t="shared" si="2204"/>
        <v>0</v>
      </c>
      <c r="BT905" s="68">
        <f t="shared" si="2205"/>
        <v>0</v>
      </c>
      <c r="BU905" s="27">
        <f t="shared" si="2206"/>
        <v>0</v>
      </c>
      <c r="BV905" s="68">
        <f t="shared" si="2207"/>
        <v>0</v>
      </c>
      <c r="BW905" s="68">
        <f t="shared" si="2208"/>
        <v>0</v>
      </c>
      <c r="BX905" s="1112">
        <f t="shared" si="2209"/>
        <v>0</v>
      </c>
      <c r="BY905" s="588">
        <f t="shared" si="2210"/>
        <v>0</v>
      </c>
      <c r="BZ905" s="68"/>
      <c r="CA905" s="68"/>
      <c r="CB905" s="68"/>
      <c r="CC905" s="1112">
        <f t="shared" si="2211"/>
        <v>0</v>
      </c>
      <c r="CD905" s="68"/>
      <c r="CE905" s="68"/>
      <c r="CF905" s="68"/>
      <c r="CG905" s="68"/>
      <c r="CH905" s="1112">
        <f t="shared" si="2212"/>
        <v>0</v>
      </c>
      <c r="CI905" s="1112"/>
      <c r="CJ905" s="1112"/>
      <c r="CK905" s="1112"/>
      <c r="CL905" s="155"/>
    </row>
    <row r="906" spans="1:90" x14ac:dyDescent="0.3">
      <c r="A906" s="99" t="str">
        <f t="shared" si="2168"/>
        <v>Payments under capital lease obligations</v>
      </c>
      <c r="B906" s="68"/>
      <c r="C906" s="1112">
        <f t="shared" si="2213"/>
        <v>0</v>
      </c>
      <c r="D906" s="1112">
        <f t="shared" si="2213"/>
        <v>0</v>
      </c>
      <c r="E906" s="1112">
        <f t="shared" si="2213"/>
        <v>-0.57099999999999995</v>
      </c>
      <c r="F906" s="1112">
        <f t="shared" si="2213"/>
        <v>-1.6080000000000001</v>
      </c>
      <c r="G906" s="68">
        <f t="shared" si="2213"/>
        <v>-0.51500000000000001</v>
      </c>
      <c r="H906" s="68">
        <f t="shared" si="2170"/>
        <v>-0.49599999999999989</v>
      </c>
      <c r="I906" s="68">
        <f t="shared" si="2170"/>
        <v>1.0109999999999999</v>
      </c>
      <c r="J906" s="68">
        <f t="shared" si="2170"/>
        <v>-2.0489999999999999</v>
      </c>
      <c r="K906" s="1112">
        <f t="shared" si="2171"/>
        <v>-2.0489999999999999</v>
      </c>
      <c r="L906" s="68">
        <f t="shared" si="2171"/>
        <v>-0.57599999999999996</v>
      </c>
      <c r="M906" s="68">
        <f t="shared" si="2172"/>
        <v>-0.59300000000000008</v>
      </c>
      <c r="N906" s="68">
        <f t="shared" si="2172"/>
        <v>-0.61099999999999999</v>
      </c>
      <c r="O906" s="68">
        <f t="shared" si="2172"/>
        <v>-0.45899999999999985</v>
      </c>
      <c r="P906" s="1112">
        <f t="shared" si="2173"/>
        <v>-2.2389999999999999</v>
      </c>
      <c r="Q906" s="68">
        <f t="shared" si="2173"/>
        <v>-1</v>
      </c>
      <c r="R906" s="68">
        <f t="shared" si="2174"/>
        <v>0</v>
      </c>
      <c r="S906" s="68">
        <f t="shared" si="2174"/>
        <v>-1</v>
      </c>
      <c r="T906" s="68">
        <f t="shared" si="2174"/>
        <v>-1</v>
      </c>
      <c r="U906" s="1112">
        <f t="shared" si="2175"/>
        <v>-3</v>
      </c>
      <c r="V906" s="68">
        <f t="shared" si="2175"/>
        <v>-1</v>
      </c>
      <c r="W906" s="68">
        <f t="shared" si="2176"/>
        <v>-1</v>
      </c>
      <c r="X906" s="68">
        <f t="shared" si="2176"/>
        <v>-1</v>
      </c>
      <c r="Y906" s="68">
        <f t="shared" si="2176"/>
        <v>0</v>
      </c>
      <c r="Z906" s="1112">
        <f t="shared" si="2177"/>
        <v>-3</v>
      </c>
      <c r="AA906" s="68">
        <f t="shared" si="2178"/>
        <v>0</v>
      </c>
      <c r="AB906" s="68">
        <f t="shared" si="2179"/>
        <v>0</v>
      </c>
      <c r="AC906" s="68">
        <f t="shared" si="2179"/>
        <v>0</v>
      </c>
      <c r="AD906" s="68">
        <f t="shared" si="2179"/>
        <v>0</v>
      </c>
      <c r="AE906" s="1112">
        <f t="shared" si="2180"/>
        <v>0</v>
      </c>
      <c r="AF906" s="68">
        <f t="shared" si="2181"/>
        <v>0</v>
      </c>
      <c r="AG906" s="68">
        <f t="shared" si="2182"/>
        <v>0</v>
      </c>
      <c r="AH906" s="68">
        <f t="shared" si="2182"/>
        <v>0</v>
      </c>
      <c r="AI906" s="68">
        <f t="shared" si="2182"/>
        <v>0</v>
      </c>
      <c r="AJ906" s="1112">
        <f t="shared" si="2183"/>
        <v>0</v>
      </c>
      <c r="AK906" s="68">
        <f t="shared" si="2184"/>
        <v>0</v>
      </c>
      <c r="AL906" s="68">
        <f t="shared" si="2185"/>
        <v>0</v>
      </c>
      <c r="AM906" s="68">
        <f t="shared" si="2185"/>
        <v>0</v>
      </c>
      <c r="AN906" s="68">
        <f t="shared" si="2185"/>
        <v>0</v>
      </c>
      <c r="AO906" s="1112">
        <f t="shared" si="2186"/>
        <v>0</v>
      </c>
      <c r="AP906" s="68">
        <f t="shared" si="2187"/>
        <v>0</v>
      </c>
      <c r="AQ906" s="27">
        <f t="shared" si="2188"/>
        <v>0</v>
      </c>
      <c r="AR906" s="68">
        <f t="shared" si="2188"/>
        <v>0</v>
      </c>
      <c r="AS906" s="68">
        <f t="shared" si="2188"/>
        <v>0</v>
      </c>
      <c r="AT906" s="1112">
        <f t="shared" si="2189"/>
        <v>0</v>
      </c>
      <c r="AU906" s="68">
        <f t="shared" si="2190"/>
        <v>0</v>
      </c>
      <c r="AV906" s="27">
        <f t="shared" si="2191"/>
        <v>0</v>
      </c>
      <c r="AW906" s="68">
        <f t="shared" si="2191"/>
        <v>0</v>
      </c>
      <c r="AX906" s="68">
        <f t="shared" si="2191"/>
        <v>0</v>
      </c>
      <c r="AY906" s="1112">
        <f t="shared" si="2192"/>
        <v>0</v>
      </c>
      <c r="AZ906" s="68">
        <f t="shared" si="2193"/>
        <v>0</v>
      </c>
      <c r="BA906" s="27">
        <f t="shared" si="2194"/>
        <v>0</v>
      </c>
      <c r="BB906" s="68">
        <f t="shared" si="2194"/>
        <v>0</v>
      </c>
      <c r="BC906" s="68">
        <f t="shared" si="2194"/>
        <v>0</v>
      </c>
      <c r="BD906" s="1112">
        <f t="shared" si="2195"/>
        <v>0</v>
      </c>
      <c r="BE906" s="68">
        <f t="shared" si="2196"/>
        <v>0</v>
      </c>
      <c r="BF906" s="27">
        <f t="shared" si="2197"/>
        <v>0</v>
      </c>
      <c r="BG906" s="68">
        <f t="shared" si="2197"/>
        <v>0</v>
      </c>
      <c r="BH906" s="68">
        <f t="shared" si="2197"/>
        <v>0</v>
      </c>
      <c r="BI906" s="1112">
        <f t="shared" si="2198"/>
        <v>0</v>
      </c>
      <c r="BJ906" s="68">
        <f t="shared" si="2199"/>
        <v>0</v>
      </c>
      <c r="BK906" s="27">
        <f t="shared" si="2200"/>
        <v>0</v>
      </c>
      <c r="BL906" s="68">
        <f t="shared" si="2200"/>
        <v>0</v>
      </c>
      <c r="BM906" s="68">
        <f t="shared" si="2200"/>
        <v>0</v>
      </c>
      <c r="BN906" s="1112">
        <f t="shared" si="2201"/>
        <v>0</v>
      </c>
      <c r="BO906" s="68">
        <f t="shared" si="2202"/>
        <v>0</v>
      </c>
      <c r="BP906" s="27">
        <f t="shared" si="2203"/>
        <v>0</v>
      </c>
      <c r="BQ906" s="68">
        <f t="shared" si="2203"/>
        <v>0</v>
      </c>
      <c r="BR906" s="68">
        <f t="shared" si="2203"/>
        <v>0</v>
      </c>
      <c r="BS906" s="1112">
        <f t="shared" si="2204"/>
        <v>0</v>
      </c>
      <c r="BT906" s="68">
        <f t="shared" si="2205"/>
        <v>0</v>
      </c>
      <c r="BU906" s="27">
        <f t="shared" si="2206"/>
        <v>0</v>
      </c>
      <c r="BV906" s="68">
        <f t="shared" si="2207"/>
        <v>0</v>
      </c>
      <c r="BW906" s="68">
        <f t="shared" si="2208"/>
        <v>0</v>
      </c>
      <c r="BX906" s="1112">
        <f t="shared" si="2209"/>
        <v>0</v>
      </c>
      <c r="BY906" s="588">
        <f t="shared" si="2210"/>
        <v>0</v>
      </c>
      <c r="BZ906" s="68"/>
      <c r="CA906" s="68"/>
      <c r="CB906" s="68"/>
      <c r="CC906" s="1112">
        <f t="shared" si="2211"/>
        <v>0</v>
      </c>
      <c r="CD906" s="68"/>
      <c r="CE906" s="68"/>
      <c r="CF906" s="68"/>
      <c r="CG906" s="68"/>
      <c r="CH906" s="1112">
        <f t="shared" si="2212"/>
        <v>0</v>
      </c>
      <c r="CI906" s="1112"/>
      <c r="CJ906" s="1112"/>
      <c r="CK906" s="1112"/>
      <c r="CL906" s="155"/>
    </row>
    <row r="907" spans="1:90" x14ac:dyDescent="0.3">
      <c r="A907" s="99" t="str">
        <f t="shared" si="2168"/>
        <v>Payments for debt issuance costs</v>
      </c>
      <c r="B907" s="68"/>
      <c r="C907" s="1112">
        <f t="shared" si="2213"/>
        <v>0</v>
      </c>
      <c r="D907" s="1112">
        <f t="shared" si="2213"/>
        <v>0</v>
      </c>
      <c r="E907" s="1112">
        <f t="shared" si="2213"/>
        <v>0</v>
      </c>
      <c r="F907" s="1112">
        <f t="shared" si="2213"/>
        <v>0</v>
      </c>
      <c r="G907" s="68">
        <f t="shared" si="2213"/>
        <v>0</v>
      </c>
      <c r="H907" s="68">
        <f t="shared" si="2170"/>
        <v>0</v>
      </c>
      <c r="I907" s="68">
        <f t="shared" si="2170"/>
        <v>0</v>
      </c>
      <c r="J907" s="68">
        <f t="shared" si="2170"/>
        <v>0</v>
      </c>
      <c r="K907" s="1112">
        <f t="shared" si="2171"/>
        <v>0</v>
      </c>
      <c r="L907" s="68">
        <f t="shared" si="2171"/>
        <v>0</v>
      </c>
      <c r="M907" s="68">
        <f t="shared" si="2172"/>
        <v>0</v>
      </c>
      <c r="N907" s="68">
        <f t="shared" si="2172"/>
        <v>0</v>
      </c>
      <c r="O907" s="68">
        <f t="shared" si="2172"/>
        <v>0</v>
      </c>
      <c r="P907" s="1112">
        <f t="shared" si="2173"/>
        <v>0</v>
      </c>
      <c r="Q907" s="68">
        <f t="shared" si="2173"/>
        <v>0</v>
      </c>
      <c r="R907" s="68">
        <f t="shared" si="2174"/>
        <v>0</v>
      </c>
      <c r="S907" s="68">
        <f t="shared" si="2174"/>
        <v>0</v>
      </c>
      <c r="T907" s="68">
        <f t="shared" si="2174"/>
        <v>0</v>
      </c>
      <c r="U907" s="1112">
        <f t="shared" si="2175"/>
        <v>0</v>
      </c>
      <c r="V907" s="68">
        <f t="shared" si="2175"/>
        <v>0</v>
      </c>
      <c r="W907" s="68">
        <f t="shared" si="2176"/>
        <v>0</v>
      </c>
      <c r="X907" s="68">
        <f t="shared" si="2176"/>
        <v>0</v>
      </c>
      <c r="Y907" s="68">
        <f t="shared" si="2176"/>
        <v>0</v>
      </c>
      <c r="Z907" s="1112">
        <f t="shared" si="2177"/>
        <v>0</v>
      </c>
      <c r="AA907" s="68">
        <f t="shared" si="2178"/>
        <v>0</v>
      </c>
      <c r="AB907" s="68">
        <f t="shared" si="2179"/>
        <v>0</v>
      </c>
      <c r="AC907" s="68">
        <f t="shared" si="2179"/>
        <v>0</v>
      </c>
      <c r="AD907" s="68">
        <f t="shared" si="2179"/>
        <v>-8</v>
      </c>
      <c r="AE907" s="1112">
        <f t="shared" si="2180"/>
        <v>-8</v>
      </c>
      <c r="AF907" s="68">
        <f t="shared" si="2181"/>
        <v>0</v>
      </c>
      <c r="AG907" s="68">
        <f t="shared" si="2182"/>
        <v>0</v>
      </c>
      <c r="AH907" s="68">
        <f t="shared" si="2182"/>
        <v>0</v>
      </c>
      <c r="AI907" s="68">
        <f t="shared" si="2182"/>
        <v>0</v>
      </c>
      <c r="AJ907" s="1112">
        <f t="shared" si="2183"/>
        <v>0</v>
      </c>
      <c r="AK907" s="68">
        <f t="shared" si="2184"/>
        <v>0</v>
      </c>
      <c r="AL907" s="68">
        <f t="shared" si="2185"/>
        <v>0</v>
      </c>
      <c r="AM907" s="68">
        <f t="shared" si="2185"/>
        <v>0</v>
      </c>
      <c r="AN907" s="68">
        <f t="shared" si="2185"/>
        <v>0</v>
      </c>
      <c r="AO907" s="1112">
        <f t="shared" si="2186"/>
        <v>0</v>
      </c>
      <c r="AP907" s="68">
        <f t="shared" si="2187"/>
        <v>0</v>
      </c>
      <c r="AQ907" s="27">
        <f t="shared" si="2188"/>
        <v>0</v>
      </c>
      <c r="AR907" s="68">
        <f t="shared" si="2188"/>
        <v>0</v>
      </c>
      <c r="AS907" s="68">
        <f t="shared" si="2188"/>
        <v>0</v>
      </c>
      <c r="AT907" s="1112">
        <f t="shared" si="2189"/>
        <v>0</v>
      </c>
      <c r="AU907" s="68">
        <f t="shared" si="2190"/>
        <v>0</v>
      </c>
      <c r="AV907" s="27">
        <f t="shared" si="2191"/>
        <v>0</v>
      </c>
      <c r="AW907" s="68">
        <f t="shared" si="2191"/>
        <v>0</v>
      </c>
      <c r="AX907" s="68">
        <f t="shared" si="2191"/>
        <v>0</v>
      </c>
      <c r="AY907" s="1112">
        <f t="shared" si="2192"/>
        <v>0</v>
      </c>
      <c r="AZ907" s="68">
        <f t="shared" si="2193"/>
        <v>0</v>
      </c>
      <c r="BA907" s="27">
        <f t="shared" si="2194"/>
        <v>0</v>
      </c>
      <c r="BB907" s="68">
        <f t="shared" si="2194"/>
        <v>0</v>
      </c>
      <c r="BC907" s="68">
        <f t="shared" si="2194"/>
        <v>0</v>
      </c>
      <c r="BD907" s="1112">
        <f t="shared" si="2195"/>
        <v>0</v>
      </c>
      <c r="BE907" s="68">
        <f t="shared" si="2196"/>
        <v>0</v>
      </c>
      <c r="BF907" s="27">
        <f t="shared" si="2197"/>
        <v>0</v>
      </c>
      <c r="BG907" s="68">
        <f t="shared" si="2197"/>
        <v>0</v>
      </c>
      <c r="BH907" s="68">
        <f t="shared" si="2197"/>
        <v>0</v>
      </c>
      <c r="BI907" s="1112">
        <f t="shared" si="2198"/>
        <v>0</v>
      </c>
      <c r="BJ907" s="68">
        <f t="shared" si="2199"/>
        <v>0</v>
      </c>
      <c r="BK907" s="27">
        <f t="shared" si="2200"/>
        <v>0</v>
      </c>
      <c r="BL907" s="68">
        <f t="shared" si="2200"/>
        <v>0</v>
      </c>
      <c r="BM907" s="68">
        <f t="shared" si="2200"/>
        <v>0</v>
      </c>
      <c r="BN907" s="1112">
        <f t="shared" si="2201"/>
        <v>0</v>
      </c>
      <c r="BO907" s="68">
        <f t="shared" si="2202"/>
        <v>0</v>
      </c>
      <c r="BP907" s="27">
        <f t="shared" si="2203"/>
        <v>0</v>
      </c>
      <c r="BQ907" s="68">
        <f t="shared" si="2203"/>
        <v>0</v>
      </c>
      <c r="BR907" s="68">
        <f t="shared" si="2203"/>
        <v>0</v>
      </c>
      <c r="BS907" s="1112">
        <f t="shared" si="2204"/>
        <v>0</v>
      </c>
      <c r="BT907" s="68">
        <f t="shared" si="2205"/>
        <v>0</v>
      </c>
      <c r="BU907" s="27">
        <f t="shared" si="2206"/>
        <v>0</v>
      </c>
      <c r="BV907" s="68">
        <f t="shared" si="2207"/>
        <v>0</v>
      </c>
      <c r="BW907" s="68">
        <f t="shared" si="2208"/>
        <v>0</v>
      </c>
      <c r="BX907" s="1112">
        <f t="shared" si="2209"/>
        <v>0</v>
      </c>
      <c r="BY907" s="588">
        <f t="shared" si="2210"/>
        <v>0</v>
      </c>
      <c r="BZ907" s="68"/>
      <c r="CA907" s="68"/>
      <c r="CB907" s="68"/>
      <c r="CC907" s="1112">
        <f t="shared" si="2211"/>
        <v>0</v>
      </c>
      <c r="CD907" s="68"/>
      <c r="CE907" s="68"/>
      <c r="CF907" s="68"/>
      <c r="CG907" s="68"/>
      <c r="CH907" s="1112">
        <f t="shared" si="2212"/>
        <v>0</v>
      </c>
      <c r="CI907" s="1112"/>
      <c r="CJ907" s="1112"/>
      <c r="CK907" s="1112"/>
      <c r="CL907" s="155"/>
    </row>
    <row r="908" spans="1:90" x14ac:dyDescent="0.3">
      <c r="A908" s="99" t="str">
        <f t="shared" si="2168"/>
        <v>Principal payments on property and equipment</v>
      </c>
      <c r="B908" s="68"/>
      <c r="C908" s="1112">
        <f t="shared" si="2213"/>
        <v>0</v>
      </c>
      <c r="D908" s="1112">
        <f t="shared" si="2213"/>
        <v>0</v>
      </c>
      <c r="E908" s="1112">
        <f t="shared" si="2213"/>
        <v>0</v>
      </c>
      <c r="F908" s="1112">
        <f t="shared" si="2213"/>
        <v>0</v>
      </c>
      <c r="G908" s="68">
        <f t="shared" si="2213"/>
        <v>0</v>
      </c>
      <c r="H908" s="68">
        <f t="shared" si="2170"/>
        <v>0</v>
      </c>
      <c r="I908" s="68">
        <f t="shared" si="2170"/>
        <v>0</v>
      </c>
      <c r="J908" s="68">
        <f t="shared" si="2170"/>
        <v>0</v>
      </c>
      <c r="K908" s="1112">
        <f t="shared" si="2171"/>
        <v>0</v>
      </c>
      <c r="L908" s="68">
        <f t="shared" si="2171"/>
        <v>0</v>
      </c>
      <c r="M908" s="68">
        <f t="shared" si="2172"/>
        <v>0</v>
      </c>
      <c r="N908" s="68">
        <f t="shared" si="2172"/>
        <v>0</v>
      </c>
      <c r="O908" s="68">
        <f t="shared" si="2172"/>
        <v>0</v>
      </c>
      <c r="P908" s="1112">
        <f t="shared" si="2173"/>
        <v>0</v>
      </c>
      <c r="Q908" s="68">
        <f t="shared" si="2173"/>
        <v>0</v>
      </c>
      <c r="R908" s="68">
        <f t="shared" si="2174"/>
        <v>0</v>
      </c>
      <c r="S908" s="68">
        <f t="shared" si="2174"/>
        <v>0</v>
      </c>
      <c r="T908" s="68">
        <f t="shared" si="2174"/>
        <v>0</v>
      </c>
      <c r="U908" s="1112">
        <f t="shared" si="2175"/>
        <v>0</v>
      </c>
      <c r="V908" s="68">
        <f t="shared" si="2175"/>
        <v>0</v>
      </c>
      <c r="W908" s="68">
        <f t="shared" si="2176"/>
        <v>0</v>
      </c>
      <c r="X908" s="68">
        <f t="shared" si="2176"/>
        <v>0</v>
      </c>
      <c r="Y908" s="68">
        <f t="shared" si="2176"/>
        <v>0</v>
      </c>
      <c r="Z908" s="1112">
        <f t="shared" si="2177"/>
        <v>0</v>
      </c>
      <c r="AA908" s="68">
        <f t="shared" si="2178"/>
        <v>0</v>
      </c>
      <c r="AB908" s="68">
        <f t="shared" si="2179"/>
        <v>0</v>
      </c>
      <c r="AC908" s="68">
        <f t="shared" si="2179"/>
        <v>0</v>
      </c>
      <c r="AD908" s="68">
        <f t="shared" si="2179"/>
        <v>0</v>
      </c>
      <c r="AE908" s="1112">
        <f t="shared" si="2180"/>
        <v>0</v>
      </c>
      <c r="AF908" s="68">
        <f t="shared" si="2181"/>
        <v>0</v>
      </c>
      <c r="AG908" s="68">
        <f t="shared" si="2182"/>
        <v>0</v>
      </c>
      <c r="AH908" s="68">
        <f t="shared" si="2182"/>
        <v>0</v>
      </c>
      <c r="AI908" s="68">
        <f t="shared" si="2182"/>
        <v>0</v>
      </c>
      <c r="AJ908" s="1112">
        <f t="shared" si="2183"/>
        <v>0</v>
      </c>
      <c r="AK908" s="68">
        <f t="shared" si="2184"/>
        <v>0</v>
      </c>
      <c r="AL908" s="68">
        <f t="shared" si="2185"/>
        <v>0</v>
      </c>
      <c r="AM908" s="68">
        <f t="shared" si="2185"/>
        <v>0</v>
      </c>
      <c r="AN908" s="68">
        <f t="shared" si="2185"/>
        <v>0</v>
      </c>
      <c r="AO908" s="1112">
        <f t="shared" si="2186"/>
        <v>0</v>
      </c>
      <c r="AP908" s="68">
        <f t="shared" si="2187"/>
        <v>0</v>
      </c>
      <c r="AQ908" s="27">
        <f t="shared" si="2188"/>
        <v>0</v>
      </c>
      <c r="AR908" s="68">
        <f t="shared" si="2188"/>
        <v>0</v>
      </c>
      <c r="AS908" s="68">
        <f t="shared" si="2188"/>
        <v>0</v>
      </c>
      <c r="AT908" s="1112">
        <f t="shared" si="2189"/>
        <v>0</v>
      </c>
      <c r="AU908" s="68">
        <f t="shared" si="2190"/>
        <v>0</v>
      </c>
      <c r="AV908" s="27">
        <f t="shared" si="2191"/>
        <v>0</v>
      </c>
      <c r="AW908" s="68">
        <f t="shared" si="2191"/>
        <v>0</v>
      </c>
      <c r="AX908" s="68">
        <f t="shared" si="2191"/>
        <v>-17</v>
      </c>
      <c r="AY908" s="1112">
        <f t="shared" si="2192"/>
        <v>-17</v>
      </c>
      <c r="AZ908" s="68">
        <f t="shared" si="2193"/>
        <v>-19</v>
      </c>
      <c r="BA908" s="27">
        <f t="shared" si="2194"/>
        <v>-21</v>
      </c>
      <c r="BB908" s="68">
        <f t="shared" si="2194"/>
        <v>-22</v>
      </c>
      <c r="BC908" s="68">
        <f t="shared" si="2194"/>
        <v>-21</v>
      </c>
      <c r="BD908" s="1112">
        <f t="shared" si="2195"/>
        <v>-83</v>
      </c>
      <c r="BE908" s="68">
        <f t="shared" si="2196"/>
        <v>-22</v>
      </c>
      <c r="BF908" s="27">
        <f t="shared" si="2197"/>
        <v>-14</v>
      </c>
      <c r="BG908" s="68">
        <f t="shared" si="2197"/>
        <v>-18</v>
      </c>
      <c r="BH908" s="68">
        <f t="shared" si="2197"/>
        <v>-4</v>
      </c>
      <c r="BI908" s="1112">
        <f t="shared" si="2198"/>
        <v>-58</v>
      </c>
      <c r="BJ908" s="68">
        <f t="shared" si="2199"/>
        <v>-20</v>
      </c>
      <c r="BK908" s="27">
        <f t="shared" si="2200"/>
        <v>-11</v>
      </c>
      <c r="BL908" s="68">
        <f t="shared" si="2200"/>
        <v>-13</v>
      </c>
      <c r="BM908" s="68">
        <f t="shared" si="2200"/>
        <v>-30</v>
      </c>
      <c r="BN908" s="1112">
        <f t="shared" si="2201"/>
        <v>-74</v>
      </c>
      <c r="BO908" s="68">
        <f t="shared" si="2202"/>
        <v>-40</v>
      </c>
      <c r="BP908" s="27">
        <f t="shared" si="2203"/>
        <v>-29</v>
      </c>
      <c r="BQ908" s="68">
        <f t="shared" si="2203"/>
        <v>-28</v>
      </c>
      <c r="BR908" s="68">
        <f t="shared" si="2203"/>
        <v>-32</v>
      </c>
      <c r="BS908" s="1112">
        <f t="shared" si="2204"/>
        <v>-129</v>
      </c>
      <c r="BT908" s="68">
        <f t="shared" si="2205"/>
        <v>-52</v>
      </c>
      <c r="BU908" s="27">
        <f t="shared" si="2206"/>
        <v>-21</v>
      </c>
      <c r="BV908" s="68">
        <f t="shared" si="2207"/>
        <v>-24</v>
      </c>
      <c r="BW908" s="68">
        <f t="shared" si="2208"/>
        <v>-4</v>
      </c>
      <c r="BX908" s="1112">
        <f t="shared" si="2209"/>
        <v>-101</v>
      </c>
      <c r="BY908" s="588">
        <f t="shared" si="2210"/>
        <v>-33</v>
      </c>
      <c r="BZ908" s="68"/>
      <c r="CA908" s="68"/>
      <c r="CB908" s="68"/>
      <c r="CC908" s="1112">
        <f t="shared" si="2211"/>
        <v>-33</v>
      </c>
      <c r="CD908" s="68"/>
      <c r="CE908" s="68"/>
      <c r="CF908" s="68"/>
      <c r="CG908" s="68"/>
      <c r="CH908" s="1112">
        <f t="shared" si="2212"/>
        <v>0</v>
      </c>
      <c r="CI908" s="1112"/>
      <c r="CJ908" s="1112"/>
      <c r="CK908" s="1112"/>
      <c r="CL908" s="155"/>
    </row>
    <row r="909" spans="1:90" x14ac:dyDescent="0.3">
      <c r="A909" s="99" t="str">
        <f t="shared" si="2168"/>
        <v>Other</v>
      </c>
      <c r="B909" s="68"/>
      <c r="C909" s="1112">
        <f t="shared" si="2213"/>
        <v>0.81499999999999995</v>
      </c>
      <c r="D909" s="1112">
        <f t="shared" si="2213"/>
        <v>1.105</v>
      </c>
      <c r="E909" s="1112">
        <f t="shared" si="2213"/>
        <v>0</v>
      </c>
      <c r="F909" s="1112">
        <f t="shared" si="2213"/>
        <v>0</v>
      </c>
      <c r="G909" s="68">
        <f t="shared" si="2213"/>
        <v>0</v>
      </c>
      <c r="H909" s="68">
        <f t="shared" si="2170"/>
        <v>0</v>
      </c>
      <c r="I909" s="68">
        <f t="shared" si="2170"/>
        <v>-1.522</v>
      </c>
      <c r="J909" s="68">
        <f t="shared" si="2170"/>
        <v>1.522</v>
      </c>
      <c r="K909" s="1112">
        <f t="shared" si="2171"/>
        <v>0</v>
      </c>
      <c r="L909" s="68">
        <f t="shared" si="2171"/>
        <v>-2.5</v>
      </c>
      <c r="M909" s="68">
        <f t="shared" si="2172"/>
        <v>0</v>
      </c>
      <c r="N909" s="68">
        <f t="shared" si="2172"/>
        <v>0</v>
      </c>
      <c r="O909" s="68">
        <f t="shared" si="2172"/>
        <v>-2.5</v>
      </c>
      <c r="P909" s="1112">
        <f t="shared" si="2173"/>
        <v>-5</v>
      </c>
      <c r="Q909" s="68">
        <f t="shared" si="2173"/>
        <v>0</v>
      </c>
      <c r="R909" s="68">
        <f t="shared" si="2174"/>
        <v>0</v>
      </c>
      <c r="S909" s="68">
        <f t="shared" si="2174"/>
        <v>0</v>
      </c>
      <c r="T909" s="68">
        <f t="shared" si="2174"/>
        <v>-3</v>
      </c>
      <c r="U909" s="1112">
        <f t="shared" si="2175"/>
        <v>-3</v>
      </c>
      <c r="V909" s="68">
        <f t="shared" si="2175"/>
        <v>0</v>
      </c>
      <c r="W909" s="68">
        <f t="shared" si="2176"/>
        <v>0</v>
      </c>
      <c r="X909" s="68">
        <f t="shared" si="2176"/>
        <v>0</v>
      </c>
      <c r="Y909" s="68">
        <f t="shared" si="2176"/>
        <v>-3</v>
      </c>
      <c r="Z909" s="1112">
        <f t="shared" si="2177"/>
        <v>-3</v>
      </c>
      <c r="AA909" s="68">
        <f t="shared" si="2178"/>
        <v>-1</v>
      </c>
      <c r="AB909" s="68">
        <f t="shared" si="2179"/>
        <v>-2</v>
      </c>
      <c r="AC909" s="68">
        <f t="shared" si="2179"/>
        <v>-5</v>
      </c>
      <c r="AD909" s="68">
        <f t="shared" si="2179"/>
        <v>1</v>
      </c>
      <c r="AE909" s="1112">
        <f t="shared" si="2180"/>
        <v>-7</v>
      </c>
      <c r="AF909" s="68">
        <f t="shared" si="2181"/>
        <v>-1</v>
      </c>
      <c r="AG909" s="68">
        <f t="shared" si="2182"/>
        <v>-1</v>
      </c>
      <c r="AH909" s="68">
        <f t="shared" si="2182"/>
        <v>-1</v>
      </c>
      <c r="AI909" s="68">
        <f t="shared" si="2182"/>
        <v>-6</v>
      </c>
      <c r="AJ909" s="1112">
        <f t="shared" si="2183"/>
        <v>-9</v>
      </c>
      <c r="AK909" s="68">
        <f t="shared" si="2184"/>
        <v>0</v>
      </c>
      <c r="AL909" s="68">
        <f t="shared" si="2185"/>
        <v>-1</v>
      </c>
      <c r="AM909" s="68">
        <f t="shared" si="2185"/>
        <v>-1</v>
      </c>
      <c r="AN909" s="68">
        <f t="shared" si="2185"/>
        <v>-3</v>
      </c>
      <c r="AO909" s="1112">
        <f t="shared" si="2186"/>
        <v>-5</v>
      </c>
      <c r="AP909" s="68">
        <f t="shared" si="2187"/>
        <v>0</v>
      </c>
      <c r="AQ909" s="27">
        <f t="shared" si="2188"/>
        <v>0</v>
      </c>
      <c r="AR909" s="68">
        <f t="shared" si="2188"/>
        <v>0</v>
      </c>
      <c r="AS909" s="68">
        <f t="shared" si="2188"/>
        <v>0</v>
      </c>
      <c r="AT909" s="1112">
        <f t="shared" si="2189"/>
        <v>0</v>
      </c>
      <c r="AU909" s="68">
        <f t="shared" si="2190"/>
        <v>-3</v>
      </c>
      <c r="AV909" s="27">
        <f t="shared" si="2191"/>
        <v>0</v>
      </c>
      <c r="AW909" s="68">
        <f t="shared" si="2191"/>
        <v>0</v>
      </c>
      <c r="AX909" s="68">
        <f t="shared" si="2191"/>
        <v>-1</v>
      </c>
      <c r="AY909" s="1112">
        <f t="shared" si="2192"/>
        <v>-4</v>
      </c>
      <c r="AZ909" s="68">
        <f t="shared" si="2193"/>
        <v>-2</v>
      </c>
      <c r="BA909" s="27">
        <f t="shared" si="2194"/>
        <v>0</v>
      </c>
      <c r="BB909" s="68">
        <f t="shared" si="2194"/>
        <v>0</v>
      </c>
      <c r="BC909" s="68">
        <f t="shared" si="2194"/>
        <v>-5</v>
      </c>
      <c r="BD909" s="1112">
        <f t="shared" si="2195"/>
        <v>-7</v>
      </c>
      <c r="BE909" s="68">
        <f t="shared" si="2196"/>
        <v>0</v>
      </c>
      <c r="BF909" s="27">
        <f t="shared" si="2197"/>
        <v>1</v>
      </c>
      <c r="BG909" s="68">
        <f t="shared" si="2197"/>
        <v>0</v>
      </c>
      <c r="BH909" s="68">
        <f t="shared" si="2197"/>
        <v>-3</v>
      </c>
      <c r="BI909" s="1112">
        <f t="shared" si="2198"/>
        <v>-2</v>
      </c>
      <c r="BJ909" s="68">
        <f t="shared" si="2199"/>
        <v>0</v>
      </c>
      <c r="BK909" s="27">
        <f t="shared" si="2200"/>
        <v>0</v>
      </c>
      <c r="BL909" s="68">
        <f t="shared" si="2200"/>
        <v>-1</v>
      </c>
      <c r="BM909" s="68">
        <f t="shared" si="2200"/>
        <v>0</v>
      </c>
      <c r="BN909" s="1112">
        <f t="shared" si="2201"/>
        <v>-1</v>
      </c>
      <c r="BO909" s="68">
        <f t="shared" si="2202"/>
        <v>0</v>
      </c>
      <c r="BP909" s="27">
        <f t="shared" si="2203"/>
        <v>0</v>
      </c>
      <c r="BQ909" s="68">
        <f t="shared" si="2203"/>
        <v>0</v>
      </c>
      <c r="BR909" s="68">
        <f t="shared" si="2203"/>
        <v>0</v>
      </c>
      <c r="BS909" s="1112">
        <f t="shared" si="2204"/>
        <v>0</v>
      </c>
      <c r="BT909" s="68">
        <f t="shared" si="2205"/>
        <v>0</v>
      </c>
      <c r="BU909" s="27">
        <f t="shared" si="2206"/>
        <v>0</v>
      </c>
      <c r="BV909" s="68">
        <f t="shared" si="2207"/>
        <v>0</v>
      </c>
      <c r="BW909" s="68">
        <f t="shared" si="2208"/>
        <v>-9</v>
      </c>
      <c r="BX909" s="1112">
        <f t="shared" si="2209"/>
        <v>-9</v>
      </c>
      <c r="BY909" s="588">
        <f t="shared" si="2210"/>
        <v>-81</v>
      </c>
      <c r="BZ909" s="68"/>
      <c r="CA909" s="68"/>
      <c r="CB909" s="68"/>
      <c r="CC909" s="1112">
        <f t="shared" si="2211"/>
        <v>-81</v>
      </c>
      <c r="CD909" s="68"/>
      <c r="CE909" s="68"/>
      <c r="CF909" s="68"/>
      <c r="CG909" s="68"/>
      <c r="CH909" s="1112">
        <f t="shared" si="2212"/>
        <v>0</v>
      </c>
      <c r="CI909" s="1112"/>
      <c r="CJ909" s="1112"/>
      <c r="CK909" s="1112"/>
      <c r="CL909" s="155"/>
    </row>
    <row r="910" spans="1:90" x14ac:dyDescent="0.3">
      <c r="A910" s="59" t="str">
        <f t="shared" si="2168"/>
        <v>Net CFF</v>
      </c>
      <c r="B910" s="607"/>
      <c r="C910" s="1125">
        <f t="shared" ref="C910:AH910" si="2214">SUM(C893:C909)</f>
        <v>-349.27400000000006</v>
      </c>
      <c r="D910" s="1125">
        <f t="shared" si="2214"/>
        <v>61.05899999999999</v>
      </c>
      <c r="E910" s="1125">
        <f t="shared" si="2214"/>
        <v>192.02100000000002</v>
      </c>
      <c r="F910" s="1125">
        <f t="shared" si="2214"/>
        <v>236.72300000000001</v>
      </c>
      <c r="G910" s="60">
        <f t="shared" si="2214"/>
        <v>45.521000000000001</v>
      </c>
      <c r="H910" s="60">
        <f t="shared" si="2214"/>
        <v>14.299999999999999</v>
      </c>
      <c r="I910" s="60">
        <f t="shared" si="2214"/>
        <v>27.084000000000003</v>
      </c>
      <c r="J910" s="60">
        <f t="shared" si="2214"/>
        <v>-102.175</v>
      </c>
      <c r="K910" s="1125">
        <f t="shared" si="2214"/>
        <v>-15.270000000000003</v>
      </c>
      <c r="L910" s="60">
        <f t="shared" si="2214"/>
        <v>-116.227</v>
      </c>
      <c r="M910" s="60">
        <f t="shared" si="2214"/>
        <v>-778.3889999999999</v>
      </c>
      <c r="N910" s="60">
        <f t="shared" si="2214"/>
        <v>-4.1790000000000083</v>
      </c>
      <c r="O910" s="60">
        <f t="shared" si="2214"/>
        <v>1288.3870000000002</v>
      </c>
      <c r="P910" s="1125">
        <f t="shared" si="2214"/>
        <v>389.5920000000001</v>
      </c>
      <c r="Q910" s="60">
        <f t="shared" si="2214"/>
        <v>-464</v>
      </c>
      <c r="R910" s="60">
        <f t="shared" si="2214"/>
        <v>-26</v>
      </c>
      <c r="S910" s="60">
        <f t="shared" si="2214"/>
        <v>-321</v>
      </c>
      <c r="T910" s="60">
        <f t="shared" si="2214"/>
        <v>-23</v>
      </c>
      <c r="U910" s="1125">
        <f t="shared" si="2214"/>
        <v>-834</v>
      </c>
      <c r="V910" s="60">
        <f t="shared" si="2214"/>
        <v>-44</v>
      </c>
      <c r="W910" s="60">
        <f t="shared" si="2214"/>
        <v>-439</v>
      </c>
      <c r="X910" s="60">
        <f t="shared" si="2214"/>
        <v>-20</v>
      </c>
      <c r="Y910" s="60">
        <f t="shared" si="2214"/>
        <v>-173</v>
      </c>
      <c r="Z910" s="1125">
        <f t="shared" si="2214"/>
        <v>-676</v>
      </c>
      <c r="AA910" s="60">
        <f t="shared" si="2214"/>
        <v>-544</v>
      </c>
      <c r="AB910" s="60">
        <f t="shared" si="2214"/>
        <v>-52</v>
      </c>
      <c r="AC910" s="60">
        <f t="shared" si="2214"/>
        <v>1409</v>
      </c>
      <c r="AD910" s="60">
        <f t="shared" si="2214"/>
        <v>-522</v>
      </c>
      <c r="AE910" s="1125">
        <f t="shared" si="2214"/>
        <v>291</v>
      </c>
      <c r="AF910" s="60">
        <f t="shared" si="2214"/>
        <v>-813</v>
      </c>
      <c r="AG910" s="60">
        <f t="shared" si="2214"/>
        <v>-968</v>
      </c>
      <c r="AH910" s="60">
        <f t="shared" si="2214"/>
        <v>-629</v>
      </c>
      <c r="AI910" s="60">
        <f t="shared" ref="AI910:BG910" si="2215">SUM(AI893:AI909)</f>
        <v>-134</v>
      </c>
      <c r="AJ910" s="1125">
        <f t="shared" si="2215"/>
        <v>-2544</v>
      </c>
      <c r="AK910" s="60">
        <f t="shared" si="2215"/>
        <v>-1131</v>
      </c>
      <c r="AL910" s="60">
        <f t="shared" si="2215"/>
        <v>-155</v>
      </c>
      <c r="AM910" s="60">
        <f t="shared" si="2215"/>
        <v>-703</v>
      </c>
      <c r="AN910" s="61">
        <f t="shared" si="2215"/>
        <v>-877</v>
      </c>
      <c r="AO910" s="1124">
        <f t="shared" si="2215"/>
        <v>-2866</v>
      </c>
      <c r="AP910" s="60">
        <f t="shared" si="2215"/>
        <v>-225</v>
      </c>
      <c r="AQ910" s="60">
        <f t="shared" si="2215"/>
        <v>-148</v>
      </c>
      <c r="AR910" s="60">
        <f t="shared" si="2215"/>
        <v>-236</v>
      </c>
      <c r="AS910" s="61">
        <f t="shared" si="2215"/>
        <v>-183</v>
      </c>
      <c r="AT910" s="1124">
        <f t="shared" si="2215"/>
        <v>-792</v>
      </c>
      <c r="AU910" s="60">
        <f t="shared" si="2215"/>
        <v>4744</v>
      </c>
      <c r="AV910" s="60">
        <f t="shared" si="2215"/>
        <v>-297</v>
      </c>
      <c r="AW910" s="60">
        <f t="shared" si="2215"/>
        <v>-301</v>
      </c>
      <c r="AX910" s="61">
        <f t="shared" si="2215"/>
        <v>-342</v>
      </c>
      <c r="AY910" s="1124">
        <f t="shared" si="2215"/>
        <v>3804</v>
      </c>
      <c r="AZ910" s="60">
        <f t="shared" si="2215"/>
        <v>-471</v>
      </c>
      <c r="BA910" s="60">
        <f t="shared" si="2215"/>
        <v>4501</v>
      </c>
      <c r="BB910" s="60">
        <f t="shared" si="2215"/>
        <v>-1420</v>
      </c>
      <c r="BC910" s="61">
        <f t="shared" si="2215"/>
        <v>-745</v>
      </c>
      <c r="BD910" s="1124">
        <f t="shared" si="2215"/>
        <v>1865</v>
      </c>
      <c r="BE910" s="60">
        <f t="shared" si="2215"/>
        <v>-2446</v>
      </c>
      <c r="BF910" s="60">
        <f t="shared" si="2215"/>
        <v>-3762</v>
      </c>
      <c r="BG910" s="60">
        <f t="shared" si="2215"/>
        <v>-3753</v>
      </c>
      <c r="BH910" s="61">
        <f t="shared" ref="BH910:BI910" si="2216">SUM(BH893:BH909)</f>
        <v>-1656</v>
      </c>
      <c r="BI910" s="1124">
        <f t="shared" si="2216"/>
        <v>-11617</v>
      </c>
      <c r="BJ910" s="60">
        <f t="shared" ref="BJ910:BN910" si="2217">SUM(BJ893:BJ909)</f>
        <v>-380</v>
      </c>
      <c r="BK910" s="60">
        <f t="shared" si="2217"/>
        <v>-5099</v>
      </c>
      <c r="BL910" s="60">
        <f t="shared" si="2217"/>
        <v>-4525</v>
      </c>
      <c r="BM910" s="61">
        <f t="shared" si="2217"/>
        <v>-3629</v>
      </c>
      <c r="BN910" s="1124">
        <f t="shared" si="2217"/>
        <v>-13633</v>
      </c>
      <c r="BO910" s="60">
        <f t="shared" ref="BO910:BS910" si="2218">SUM(BO893:BO909)</f>
        <v>-9345</v>
      </c>
      <c r="BP910" s="60">
        <f t="shared" si="2218"/>
        <v>-10320</v>
      </c>
      <c r="BQ910" s="60">
        <f t="shared" si="2218"/>
        <v>-12745</v>
      </c>
      <c r="BR910" s="61">
        <f t="shared" si="2218"/>
        <v>-9949</v>
      </c>
      <c r="BS910" s="1124">
        <f t="shared" si="2218"/>
        <v>-42359</v>
      </c>
      <c r="BT910" s="60">
        <f t="shared" ref="BT910:CK910" si="2219">SUM(BT893:BT909)</f>
        <v>-15553</v>
      </c>
      <c r="BU910" s="60">
        <f t="shared" si="2219"/>
        <v>-11833</v>
      </c>
      <c r="BV910" s="60">
        <f t="shared" si="2219"/>
        <v>-14880</v>
      </c>
      <c r="BW910" s="61">
        <f t="shared" si="2219"/>
        <v>-6208</v>
      </c>
      <c r="BX910" s="1124">
        <f t="shared" si="2219"/>
        <v>-48474</v>
      </c>
      <c r="BY910" s="895">
        <f>SUM(BY893:BY909)</f>
        <v>-21283</v>
      </c>
      <c r="BZ910" s="61">
        <f t="shared" si="2219"/>
        <v>-6055.25</v>
      </c>
      <c r="CA910" s="61">
        <f t="shared" si="2219"/>
        <v>-6055.25</v>
      </c>
      <c r="CB910" s="61">
        <f t="shared" si="2219"/>
        <v>-6055.25</v>
      </c>
      <c r="CC910" s="1124">
        <f t="shared" si="2219"/>
        <v>-39448.75</v>
      </c>
      <c r="CD910" s="61">
        <f t="shared" si="2219"/>
        <v>-6055.25</v>
      </c>
      <c r="CE910" s="61">
        <f t="shared" si="2219"/>
        <v>-6055.25</v>
      </c>
      <c r="CF910" s="61">
        <f t="shared" si="2219"/>
        <v>-6055.25</v>
      </c>
      <c r="CG910" s="61">
        <f t="shared" si="2219"/>
        <v>-6055.25</v>
      </c>
      <c r="CH910" s="1124">
        <f t="shared" si="2219"/>
        <v>-24221</v>
      </c>
      <c r="CI910" s="1124">
        <f t="shared" si="2219"/>
        <v>-24221</v>
      </c>
      <c r="CJ910" s="1124">
        <f t="shared" si="2219"/>
        <v>-24221</v>
      </c>
      <c r="CK910" s="1124">
        <f t="shared" si="2219"/>
        <v>-24221</v>
      </c>
      <c r="CL910" s="155"/>
    </row>
    <row r="911" spans="1:90" x14ac:dyDescent="0.3">
      <c r="A911" s="600"/>
      <c r="B911" s="279"/>
      <c r="C911" s="1127"/>
      <c r="D911" s="1127"/>
      <c r="E911" s="1127"/>
      <c r="F911" s="1127"/>
      <c r="G911" s="63"/>
      <c r="H911" s="63"/>
      <c r="I911" s="63"/>
      <c r="J911" s="63"/>
      <c r="K911" s="1127"/>
      <c r="L911" s="63"/>
      <c r="M911" s="63"/>
      <c r="N911" s="63"/>
      <c r="O911" s="63"/>
      <c r="P911" s="1127"/>
      <c r="Q911" s="63"/>
      <c r="R911" s="63"/>
      <c r="S911" s="63"/>
      <c r="T911" s="63"/>
      <c r="U911" s="1127"/>
      <c r="V911" s="63"/>
      <c r="W911" s="63"/>
      <c r="X911" s="63"/>
      <c r="Y911" s="63"/>
      <c r="Z911" s="1127"/>
      <c r="AA911" s="63"/>
      <c r="AB911" s="63"/>
      <c r="AC911" s="63"/>
      <c r="AD911" s="63"/>
      <c r="AE911" s="1127"/>
      <c r="AF911" s="63"/>
      <c r="AG911" s="63"/>
      <c r="AH911" s="63"/>
      <c r="AI911" s="63"/>
      <c r="AJ911" s="1127"/>
      <c r="AK911" s="63"/>
      <c r="AL911" s="63"/>
      <c r="AM911" s="63"/>
      <c r="AN911" s="63"/>
      <c r="AO911" s="1127"/>
      <c r="AP911" s="63"/>
      <c r="AQ911" s="63"/>
      <c r="AR911" s="63"/>
      <c r="AS911" s="63"/>
      <c r="AT911" s="1127"/>
      <c r="AU911" s="63"/>
      <c r="AV911" s="63"/>
      <c r="AW911" s="63"/>
      <c r="AX911" s="63"/>
      <c r="AY911" s="1127"/>
      <c r="AZ911" s="63"/>
      <c r="BA911" s="63"/>
      <c r="BB911" s="63"/>
      <c r="BC911" s="63"/>
      <c r="BD911" s="1127"/>
      <c r="BE911" s="63"/>
      <c r="BF911" s="63"/>
      <c r="BG911" s="63"/>
      <c r="BH911" s="63"/>
      <c r="BI911" s="1127"/>
      <c r="BJ911" s="63"/>
      <c r="BK911" s="63"/>
      <c r="BL911" s="63"/>
      <c r="BM911" s="63"/>
      <c r="BN911" s="1127"/>
      <c r="BO911" s="63"/>
      <c r="BP911" s="63"/>
      <c r="BQ911" s="63"/>
      <c r="BR911" s="63"/>
      <c r="BS911" s="1127"/>
      <c r="BT911" s="63"/>
      <c r="BU911" s="63"/>
      <c r="BV911" s="63"/>
      <c r="BW911" s="63"/>
      <c r="BX911" s="1127"/>
      <c r="BY911" s="587"/>
      <c r="BZ911" s="63"/>
      <c r="CA911" s="63"/>
      <c r="CB911" s="63"/>
      <c r="CC911" s="1127"/>
      <c r="CD911" s="63"/>
      <c r="CE911" s="63"/>
      <c r="CF911" s="63"/>
      <c r="CG911" s="63"/>
      <c r="CH911" s="1127"/>
      <c r="CI911" s="1127"/>
      <c r="CJ911" s="1127"/>
      <c r="CK911" s="1127"/>
      <c r="CL911" s="155"/>
    </row>
    <row r="912" spans="1:90" x14ac:dyDescent="0.3">
      <c r="A912" s="100" t="str">
        <f>A840</f>
        <v>FX</v>
      </c>
      <c r="B912" s="146"/>
      <c r="C912" s="1114">
        <f>C840</f>
        <v>0</v>
      </c>
      <c r="D912" s="1114">
        <f>D840</f>
        <v>0</v>
      </c>
      <c r="E912" s="1114">
        <f>E840</f>
        <v>0</v>
      </c>
      <c r="F912" s="1114">
        <f>F840</f>
        <v>0</v>
      </c>
      <c r="G912" s="27">
        <f>G840</f>
        <v>0</v>
      </c>
      <c r="H912" s="27">
        <f>H840-G840</f>
        <v>0</v>
      </c>
      <c r="I912" s="27">
        <f>I840-H840</f>
        <v>0</v>
      </c>
      <c r="J912" s="27">
        <f>J840-I840</f>
        <v>0</v>
      </c>
      <c r="K912" s="1114">
        <f>K840</f>
        <v>0</v>
      </c>
      <c r="L912" s="27">
        <f>L840</f>
        <v>0</v>
      </c>
      <c r="M912" s="27">
        <f>M840-L840</f>
        <v>0</v>
      </c>
      <c r="N912" s="27">
        <f>N840-M840</f>
        <v>0</v>
      </c>
      <c r="O912" s="27">
        <f>O840-N840</f>
        <v>0</v>
      </c>
      <c r="P912" s="1114">
        <f>P840</f>
        <v>0</v>
      </c>
      <c r="Q912" s="27">
        <f>Q840</f>
        <v>0</v>
      </c>
      <c r="R912" s="27">
        <f>R840-Q840</f>
        <v>0</v>
      </c>
      <c r="S912" s="27">
        <f>S840-R840</f>
        <v>0</v>
      </c>
      <c r="T912" s="27">
        <f>T840-S840</f>
        <v>0</v>
      </c>
      <c r="U912" s="1114">
        <f>U840</f>
        <v>0</v>
      </c>
      <c r="V912" s="27">
        <f>V840</f>
        <v>0</v>
      </c>
      <c r="W912" s="27">
        <f>W840-V840</f>
        <v>0</v>
      </c>
      <c r="X912" s="27">
        <f>X840-W840</f>
        <v>0</v>
      </c>
      <c r="Y912" s="27">
        <f>Y840-X840</f>
        <v>0</v>
      </c>
      <c r="Z912" s="1114">
        <f>SUM(V912,W912,X912,Y912)</f>
        <v>0</v>
      </c>
      <c r="AA912" s="27">
        <f>AA840</f>
        <v>0</v>
      </c>
      <c r="AB912" s="27">
        <f>AB840-AA840</f>
        <v>0</v>
      </c>
      <c r="AC912" s="27">
        <f>AC840-AB840</f>
        <v>0</v>
      </c>
      <c r="AD912" s="27">
        <f>AD840-AC840</f>
        <v>0</v>
      </c>
      <c r="AE912" s="1114">
        <f>SUM(AA912,AB912,AC912,AD912)</f>
        <v>0</v>
      </c>
      <c r="AF912" s="27">
        <f>AF840</f>
        <v>0</v>
      </c>
      <c r="AG912" s="27">
        <f>AG840-AF840</f>
        <v>0</v>
      </c>
      <c r="AH912" s="27">
        <f>AH840-AG840</f>
        <v>0</v>
      </c>
      <c r="AI912" s="27">
        <f>AI840-AH840</f>
        <v>0</v>
      </c>
      <c r="AJ912" s="1114">
        <f>SUM(AF912,AG912,AH912,AI912)</f>
        <v>0</v>
      </c>
      <c r="AK912" s="27">
        <f>AK840</f>
        <v>0</v>
      </c>
      <c r="AL912" s="27">
        <f>AL840-AK840</f>
        <v>0</v>
      </c>
      <c r="AM912" s="27">
        <f>AM840-AL840</f>
        <v>0</v>
      </c>
      <c r="AN912" s="68">
        <f>AN840-AM840</f>
        <v>0</v>
      </c>
      <c r="AO912" s="1112">
        <f>SUM(AK912,AL912,AM912,AN912)</f>
        <v>0</v>
      </c>
      <c r="AP912" s="27">
        <f>AP840</f>
        <v>0</v>
      </c>
      <c r="AQ912" s="27">
        <f>AQ840-AP840</f>
        <v>0</v>
      </c>
      <c r="AR912" s="27">
        <f>AR840-AQ840</f>
        <v>0</v>
      </c>
      <c r="AS912" s="68">
        <f>AS840-AR840</f>
        <v>0</v>
      </c>
      <c r="AT912" s="1112">
        <f>SUM(AP912,AQ912,AR912,AS912)</f>
        <v>0</v>
      </c>
      <c r="AU912" s="27">
        <f>AU840</f>
        <v>0</v>
      </c>
      <c r="AV912" s="27">
        <f>AV840-AU840</f>
        <v>0</v>
      </c>
      <c r="AW912" s="27">
        <f>AW840-AV840</f>
        <v>0</v>
      </c>
      <c r="AX912" s="68">
        <f>AX840-AW840</f>
        <v>0</v>
      </c>
      <c r="AY912" s="1112">
        <f>SUM(AU912,AV912,AW912,AX912)</f>
        <v>0</v>
      </c>
      <c r="AZ912" s="27">
        <f>AZ840</f>
        <v>0</v>
      </c>
      <c r="BA912" s="27">
        <f>BA840-AZ840</f>
        <v>0</v>
      </c>
      <c r="BB912" s="27">
        <f>BB840-BA840</f>
        <v>0</v>
      </c>
      <c r="BC912" s="68">
        <f>BC840-BB840</f>
        <v>0</v>
      </c>
      <c r="BD912" s="1112">
        <f>SUM(AZ912,BA912,BB912,BC912)</f>
        <v>0</v>
      </c>
      <c r="BE912" s="27">
        <f>BE840</f>
        <v>0</v>
      </c>
      <c r="BF912" s="27">
        <f>BF840-BE840</f>
        <v>0</v>
      </c>
      <c r="BG912" s="27">
        <f>BG840-BF840</f>
        <v>0</v>
      </c>
      <c r="BH912" s="68">
        <f>BH840-BG840</f>
        <v>0</v>
      </c>
      <c r="BI912" s="1112">
        <f>SUM(BE912,BF912,BG912,BH912)</f>
        <v>0</v>
      </c>
      <c r="BJ912" s="27">
        <f>BJ840</f>
        <v>0</v>
      </c>
      <c r="BK912" s="27">
        <f>BK840-BJ840</f>
        <v>0</v>
      </c>
      <c r="BL912" s="27">
        <f>BL840-BK840</f>
        <v>0</v>
      </c>
      <c r="BM912" s="68">
        <f>BM840-BL840</f>
        <v>0</v>
      </c>
      <c r="BN912" s="1112">
        <f>SUM(BJ912,BK912,BL912,BM912)</f>
        <v>0</v>
      </c>
      <c r="BO912" s="27">
        <f>BO840</f>
        <v>0</v>
      </c>
      <c r="BP912" s="27">
        <f>BP840-BO840</f>
        <v>0</v>
      </c>
      <c r="BQ912" s="27">
        <f>BQ840-BP840</f>
        <v>0</v>
      </c>
      <c r="BR912" s="68">
        <f>BR840-BQ840</f>
        <v>0</v>
      </c>
      <c r="BS912" s="1112">
        <f>SUM(BO912,BP912,BQ912,BR912)</f>
        <v>0</v>
      </c>
      <c r="BT912" s="27">
        <f>BT840</f>
        <v>0</v>
      </c>
      <c r="BU912" s="27">
        <f>BU840-BT840</f>
        <v>0</v>
      </c>
      <c r="BV912" s="27">
        <f>BV840-BU840</f>
        <v>0</v>
      </c>
      <c r="BW912" s="68">
        <f>BW840-BV840</f>
        <v>0</v>
      </c>
      <c r="BX912" s="1112">
        <f>SUM(BT912,BU912,BV912,BW912)</f>
        <v>0</v>
      </c>
      <c r="BY912" s="508">
        <f>BY840</f>
        <v>0</v>
      </c>
      <c r="BZ912" s="68"/>
      <c r="CA912" s="68"/>
      <c r="CB912" s="68"/>
      <c r="CC912" s="1112">
        <f>SUM(BY912,BZ912,CA912,CB912)</f>
        <v>0</v>
      </c>
      <c r="CD912" s="68"/>
      <c r="CE912" s="68"/>
      <c r="CF912" s="68"/>
      <c r="CG912" s="68"/>
      <c r="CH912" s="1112">
        <f>SUM(CD912,CE912,CF912,CG912)</f>
        <v>0</v>
      </c>
      <c r="CI912" s="1112"/>
      <c r="CJ912" s="1112"/>
      <c r="CK912" s="1112"/>
      <c r="CL912" s="155"/>
    </row>
    <row r="913" spans="1:90" x14ac:dyDescent="0.3">
      <c r="A913" s="62" t="str">
        <f>A841</f>
        <v>Net Change in Cash Balance</v>
      </c>
      <c r="B913" s="279"/>
      <c r="C913" s="1134">
        <f t="shared" ref="C913:AN913" si="2220">C910+C890+C877+C912</f>
        <v>-309.28099999999995</v>
      </c>
      <c r="D913" s="1134">
        <f t="shared" si="2220"/>
        <v>29.532999999999902</v>
      </c>
      <c r="E913" s="1134">
        <f t="shared" si="2220"/>
        <v>218.14000000000004</v>
      </c>
      <c r="F913" s="1134">
        <f t="shared" si="2220"/>
        <v>2.5150000000003274</v>
      </c>
      <c r="G913" s="28">
        <f t="shared" si="2220"/>
        <v>-298.74099999999999</v>
      </c>
      <c r="H913" s="28">
        <f t="shared" si="2220"/>
        <v>130.483</v>
      </c>
      <c r="I913" s="28">
        <f t="shared" si="2220"/>
        <v>25.769999999999897</v>
      </c>
      <c r="J913" s="28">
        <f t="shared" si="2220"/>
        <v>207.39800000000002</v>
      </c>
      <c r="K913" s="1134">
        <f t="shared" si="2220"/>
        <v>64.909999999999741</v>
      </c>
      <c r="L913" s="28">
        <f t="shared" si="2220"/>
        <v>-171.36300000000006</v>
      </c>
      <c r="M913" s="28">
        <f t="shared" si="2220"/>
        <v>29.897999999999968</v>
      </c>
      <c r="N913" s="28">
        <f t="shared" si="2220"/>
        <v>-29.236999999999995</v>
      </c>
      <c r="O913" s="28">
        <f t="shared" si="2220"/>
        <v>589.50299999999993</v>
      </c>
      <c r="P913" s="1134">
        <f t="shared" si="2220"/>
        <v>418.80099999999982</v>
      </c>
      <c r="Q913" s="28">
        <f t="shared" si="2220"/>
        <v>-643</v>
      </c>
      <c r="R913" s="28">
        <f t="shared" si="2220"/>
        <v>6</v>
      </c>
      <c r="S913" s="28">
        <f t="shared" si="2220"/>
        <v>-120</v>
      </c>
      <c r="T913" s="28">
        <f t="shared" si="2220"/>
        <v>102</v>
      </c>
      <c r="U913" s="1134">
        <f t="shared" si="2220"/>
        <v>-655</v>
      </c>
      <c r="V913" s="28">
        <f t="shared" si="2220"/>
        <v>-33</v>
      </c>
      <c r="W913" s="28">
        <f t="shared" si="2220"/>
        <v>-29</v>
      </c>
      <c r="X913" s="28">
        <f t="shared" si="2220"/>
        <v>36</v>
      </c>
      <c r="Y913" s="28">
        <f t="shared" si="2220"/>
        <v>125</v>
      </c>
      <c r="Z913" s="1134">
        <f t="shared" si="2220"/>
        <v>99</v>
      </c>
      <c r="AA913" s="28">
        <f t="shared" si="2220"/>
        <v>-49</v>
      </c>
      <c r="AB913" s="28">
        <f t="shared" si="2220"/>
        <v>-121</v>
      </c>
      <c r="AC913" s="28">
        <f t="shared" si="2220"/>
        <v>1514</v>
      </c>
      <c r="AD913" s="28">
        <f t="shared" si="2220"/>
        <v>-174</v>
      </c>
      <c r="AE913" s="1134">
        <f t="shared" si="2220"/>
        <v>1170</v>
      </c>
      <c r="AF913" s="28">
        <f t="shared" si="2220"/>
        <v>223</v>
      </c>
      <c r="AG913" s="28">
        <f t="shared" si="2220"/>
        <v>-1</v>
      </c>
      <c r="AH913" s="28">
        <f t="shared" si="2220"/>
        <v>814</v>
      </c>
      <c r="AI913" s="28">
        <f t="shared" si="2220"/>
        <v>1200</v>
      </c>
      <c r="AJ913" s="1134">
        <f t="shared" si="2220"/>
        <v>2236</v>
      </c>
      <c r="AK913" s="28">
        <f t="shared" si="2220"/>
        <v>-3237</v>
      </c>
      <c r="AL913" s="28">
        <f t="shared" si="2220"/>
        <v>-47</v>
      </c>
      <c r="AM913" s="28">
        <f t="shared" si="2220"/>
        <v>3</v>
      </c>
      <c r="AN913" s="63">
        <f t="shared" si="2220"/>
        <v>61</v>
      </c>
      <c r="AO913" s="1127">
        <f>SUM(AK913,AL913,AM913,AN913)</f>
        <v>-3220</v>
      </c>
      <c r="AP913" s="28">
        <f>AP910+AP890+AP877+AP912</f>
        <v>1990</v>
      </c>
      <c r="AQ913" s="28">
        <f>AQ910+AQ890+AQ877+AQ912</f>
        <v>4333</v>
      </c>
      <c r="AR913" s="28">
        <f>AR910+AR890+AR877+AR912</f>
        <v>2660</v>
      </c>
      <c r="AS913" s="63">
        <f>AS910+AS890+AS877+AS912</f>
        <v>1131</v>
      </c>
      <c r="AT913" s="1127">
        <f>SUM(AP913,AQ913,AR913,AS913)</f>
        <v>10114</v>
      </c>
      <c r="AU913" s="28">
        <f>AU910+AU890+AU877+AU912</f>
        <v>4598</v>
      </c>
      <c r="AV913" s="28">
        <f>AV910+AV890+AV877+AV912</f>
        <v>-12220</v>
      </c>
      <c r="AW913" s="28">
        <f>AW910+AW890+AW877+AW912</f>
        <v>-1023</v>
      </c>
      <c r="AX913" s="63">
        <f>AX910+AX890+AX877+AX912</f>
        <v>-1404</v>
      </c>
      <c r="AY913" s="1127">
        <f>SUM(AU913,AV913,AW913,AX913)</f>
        <v>-10049</v>
      </c>
      <c r="AZ913" s="28">
        <f>AZ910+AZ890+AZ877+AZ912</f>
        <v>131</v>
      </c>
      <c r="BA913" s="28">
        <f>BA910+BA890+BA877+BA912</f>
        <v>4650</v>
      </c>
      <c r="BB913" s="28">
        <f>BB910+BB890+BB877+BB912</f>
        <v>-4340</v>
      </c>
      <c r="BC913" s="63">
        <f>BC910+BC890+BC877+BC912</f>
        <v>702</v>
      </c>
      <c r="BD913" s="1127">
        <f>SUM(AZ913,BA913,BB913,BC913)</f>
        <v>1143</v>
      </c>
      <c r="BE913" s="28">
        <f t="shared" ref="BE913:BG913" si="2221">BE910+BE890+BE877+BE912</f>
        <v>1897</v>
      </c>
      <c r="BF913" s="28">
        <f t="shared" si="2221"/>
        <v>-874</v>
      </c>
      <c r="BG913" s="28">
        <f t="shared" si="2221"/>
        <v>-213</v>
      </c>
      <c r="BH913" s="63">
        <f>BH910+BH890+BH877+BH912</f>
        <v>589</v>
      </c>
      <c r="BI913" s="1127">
        <f>SUM(BE913,BF913,BG913,BH913)</f>
        <v>1399</v>
      </c>
      <c r="BJ913" s="28">
        <f>BJ910+BJ890+BJ877+BJ912</f>
        <v>1690</v>
      </c>
      <c r="BK913" s="28">
        <f>BK910+BK890+BK877+BK912</f>
        <v>803</v>
      </c>
      <c r="BL913" s="28">
        <f>BL910+BL890+BL877+BL912</f>
        <v>-363</v>
      </c>
      <c r="BM913" s="63">
        <f>BM910+BM890+BM877+BM912</f>
        <v>1761</v>
      </c>
      <c r="BN913" s="1127">
        <f>SUM(BJ913,BK913,BL913,BM913)</f>
        <v>3891</v>
      </c>
      <c r="BO913" s="28">
        <f>BO910+BO890+BO877+BO912</f>
        <v>307</v>
      </c>
      <c r="BP913" s="28">
        <f>BP910+BP890+BP877+BP912</f>
        <v>984</v>
      </c>
      <c r="BQ913" s="28">
        <f>BQ910+BQ890+BQ877+BQ912</f>
        <v>536</v>
      </c>
      <c r="BR913" s="63">
        <f>BR910+BR890+BR877+BR912</f>
        <v>-518</v>
      </c>
      <c r="BS913" s="1127">
        <f>SUM(BO913,BP913,BQ913,BR913)</f>
        <v>1309</v>
      </c>
      <c r="BT913" s="28">
        <f>BT910+BT890+BT877+BT912</f>
        <v>6645</v>
      </c>
      <c r="BU913" s="28">
        <f>BU910+BU890+BU877+BU912</f>
        <v>-3595</v>
      </c>
      <c r="BV913" s="28">
        <f>BV910+BV890+BV877+BV912</f>
        <v>-153</v>
      </c>
      <c r="BW913" s="63">
        <f>BW910+BW890+BW877+BW912</f>
        <v>-881</v>
      </c>
      <c r="BX913" s="1127">
        <f>SUM(BT913,BU913,BV913,BW913)</f>
        <v>2016</v>
      </c>
      <c r="BY913" s="505">
        <f>BY910+BY890+BY877+BY912</f>
        <v>2632</v>
      </c>
      <c r="BZ913" s="63">
        <f t="shared" ref="BZ913:CK913" si="2222">BZ910+BZ890+BZ877+BZ912</f>
        <v>35823.314682335018</v>
      </c>
      <c r="CA913" s="63">
        <f t="shared" si="2222"/>
        <v>31721.912374983091</v>
      </c>
      <c r="CB913" s="63">
        <f t="shared" si="2222"/>
        <v>50016.896525286982</v>
      </c>
      <c r="CC913" s="1127">
        <f t="shared" si="2222"/>
        <v>120194.1235826051</v>
      </c>
      <c r="CD913" s="63">
        <f t="shared" si="2222"/>
        <v>64553.022746162402</v>
      </c>
      <c r="CE913" s="63">
        <f t="shared" si="2222"/>
        <v>53376.417629460499</v>
      </c>
      <c r="CF913" s="63">
        <f t="shared" si="2222"/>
        <v>44379.96175559087</v>
      </c>
      <c r="CG913" s="63">
        <f t="shared" si="2222"/>
        <v>66978.60842787032</v>
      </c>
      <c r="CH913" s="1127">
        <f t="shared" si="2222"/>
        <v>229288.01055908413</v>
      </c>
      <c r="CI913" s="1127">
        <f t="shared" si="2222"/>
        <v>287612.11661453283</v>
      </c>
      <c r="CJ913" s="1127">
        <f t="shared" si="2222"/>
        <v>349985.99208045547</v>
      </c>
      <c r="CK913" s="1127">
        <f t="shared" si="2222"/>
        <v>422873.83568208438</v>
      </c>
      <c r="CL913" s="155"/>
    </row>
    <row r="914" spans="1:90" x14ac:dyDescent="0.3">
      <c r="A914" s="600"/>
      <c r="B914" s="279"/>
      <c r="C914" s="1127"/>
      <c r="D914" s="1127"/>
      <c r="E914" s="1127"/>
      <c r="F914" s="1127"/>
      <c r="G914" s="63"/>
      <c r="H914" s="63"/>
      <c r="I914" s="63"/>
      <c r="J914" s="63"/>
      <c r="K914" s="1127"/>
      <c r="L914" s="63"/>
      <c r="M914" s="63"/>
      <c r="N914" s="63"/>
      <c r="O914" s="63"/>
      <c r="P914" s="1127"/>
      <c r="Q914" s="63"/>
      <c r="R914" s="63"/>
      <c r="S914" s="63"/>
      <c r="T914" s="63"/>
      <c r="U914" s="1127"/>
      <c r="V914" s="63"/>
      <c r="W914" s="63"/>
      <c r="X914" s="63"/>
      <c r="Y914" s="63"/>
      <c r="Z914" s="1127"/>
      <c r="AA914" s="63"/>
      <c r="AB914" s="63"/>
      <c r="AC914" s="63"/>
      <c r="AD914" s="63"/>
      <c r="AE914" s="1127"/>
      <c r="AF914" s="63"/>
      <c r="AG914" s="63"/>
      <c r="AH914" s="63"/>
      <c r="AI914" s="63"/>
      <c r="AJ914" s="1127"/>
      <c r="AK914" s="63"/>
      <c r="AL914" s="63"/>
      <c r="AM914" s="63"/>
      <c r="AN914" s="63"/>
      <c r="AO914" s="1127"/>
      <c r="AP914" s="63"/>
      <c r="AQ914" s="63"/>
      <c r="AR914" s="63"/>
      <c r="AS914" s="63"/>
      <c r="AT914" s="1127"/>
      <c r="AU914" s="63"/>
      <c r="AV914" s="63"/>
      <c r="AW914" s="63"/>
      <c r="AX914" s="63"/>
      <c r="AY914" s="1127"/>
      <c r="AZ914" s="63"/>
      <c r="BA914" s="63"/>
      <c r="BB914" s="63"/>
      <c r="BC914" s="63"/>
      <c r="BD914" s="1127"/>
      <c r="BE914" s="63"/>
      <c r="BF914" s="63"/>
      <c r="BG914" s="63"/>
      <c r="BH914" s="63"/>
      <c r="BI914" s="1127"/>
      <c r="BJ914" s="63"/>
      <c r="BK914" s="63"/>
      <c r="BL914" s="63"/>
      <c r="BM914" s="63"/>
      <c r="BN914" s="1127"/>
      <c r="BO914" s="63"/>
      <c r="BP914" s="63"/>
      <c r="BQ914" s="63"/>
      <c r="BR914" s="63"/>
      <c r="BS914" s="1127"/>
      <c r="BT914" s="63"/>
      <c r="BU914" s="63"/>
      <c r="BV914" s="63"/>
      <c r="BW914" s="63"/>
      <c r="BX914" s="1127"/>
      <c r="BY914" s="587"/>
      <c r="BZ914" s="63"/>
      <c r="CA914" s="63"/>
      <c r="CB914" s="63"/>
      <c r="CC914" s="1127"/>
      <c r="CD914" s="63"/>
      <c r="CE914" s="63"/>
      <c r="CF914" s="63"/>
      <c r="CG914" s="63"/>
      <c r="CH914" s="1127"/>
      <c r="CI914" s="1127"/>
      <c r="CJ914" s="1127"/>
      <c r="CK914" s="1127"/>
      <c r="CL914" s="155"/>
    </row>
    <row r="915" spans="1:90" x14ac:dyDescent="0.3">
      <c r="A915" s="62" t="str">
        <f>A843</f>
        <v>Beginning Cash Balance</v>
      </c>
      <c r="B915" s="279"/>
      <c r="C915" s="1150">
        <v>726.96900000000005</v>
      </c>
      <c r="D915" s="1134">
        <f t="shared" ref="D915:J915" si="2223">C916</f>
        <v>417.6880000000001</v>
      </c>
      <c r="E915" s="1134">
        <f t="shared" si="2223"/>
        <v>447.221</v>
      </c>
      <c r="F915" s="1134">
        <f t="shared" si="2223"/>
        <v>665.3610000000001</v>
      </c>
      <c r="G915" s="28">
        <f t="shared" si="2223"/>
        <v>667.87600000000043</v>
      </c>
      <c r="H915" s="28">
        <f t="shared" si="2223"/>
        <v>369.13500000000045</v>
      </c>
      <c r="I915" s="28">
        <f t="shared" si="2223"/>
        <v>499.61800000000045</v>
      </c>
      <c r="J915" s="28">
        <f t="shared" si="2223"/>
        <v>525.38800000000037</v>
      </c>
      <c r="K915" s="1134">
        <f>F916</f>
        <v>667.87600000000043</v>
      </c>
      <c r="L915" s="28">
        <f>K916</f>
        <v>732.78600000000017</v>
      </c>
      <c r="M915" s="28">
        <f>L916</f>
        <v>561.42300000000012</v>
      </c>
      <c r="N915" s="28">
        <f>M916</f>
        <v>591.32100000000014</v>
      </c>
      <c r="O915" s="28">
        <f>N916</f>
        <v>562.08400000000017</v>
      </c>
      <c r="P915" s="1134">
        <f>K916</f>
        <v>732.78600000000017</v>
      </c>
      <c r="Q915" s="28">
        <f>P916</f>
        <v>1151.587</v>
      </c>
      <c r="R915" s="28">
        <f>Q916</f>
        <v>508.58699999999999</v>
      </c>
      <c r="S915" s="28">
        <f>R916</f>
        <v>514.58699999999999</v>
      </c>
      <c r="T915" s="28">
        <f>S916</f>
        <v>394.58699999999999</v>
      </c>
      <c r="U915" s="1150">
        <v>1152</v>
      </c>
      <c r="V915" s="28">
        <f>U916</f>
        <v>497</v>
      </c>
      <c r="W915" s="28">
        <f>V916</f>
        <v>464</v>
      </c>
      <c r="X915" s="28">
        <f>W916</f>
        <v>435</v>
      </c>
      <c r="Y915" s="28">
        <f>X916</f>
        <v>471</v>
      </c>
      <c r="Z915" s="1134">
        <f>U916</f>
        <v>497</v>
      </c>
      <c r="AA915" s="28">
        <f>Z916</f>
        <v>596</v>
      </c>
      <c r="AB915" s="28">
        <f>AA916</f>
        <v>547</v>
      </c>
      <c r="AC915" s="28">
        <f>AB916</f>
        <v>426</v>
      </c>
      <c r="AD915" s="28">
        <f>AC916</f>
        <v>1940</v>
      </c>
      <c r="AE915" s="1134">
        <f>Z916</f>
        <v>596</v>
      </c>
      <c r="AF915" s="28">
        <f>AE916</f>
        <v>1766</v>
      </c>
      <c r="AG915" s="28">
        <f>AF916</f>
        <v>1989</v>
      </c>
      <c r="AH915" s="28">
        <f>AG916</f>
        <v>1988</v>
      </c>
      <c r="AI915" s="28">
        <f>AH916</f>
        <v>2802</v>
      </c>
      <c r="AJ915" s="1134">
        <f>AE916</f>
        <v>1766</v>
      </c>
      <c r="AK915" s="28">
        <f>AJ916</f>
        <v>4002</v>
      </c>
      <c r="AL915" s="28">
        <f>AK916</f>
        <v>765</v>
      </c>
      <c r="AM915" s="28">
        <f>AL916</f>
        <v>718</v>
      </c>
      <c r="AN915" s="63">
        <f>AM916</f>
        <v>721</v>
      </c>
      <c r="AO915" s="1127">
        <f>AJ916</f>
        <v>4002</v>
      </c>
      <c r="AP915" s="28">
        <f>AO916</f>
        <v>782</v>
      </c>
      <c r="AQ915" s="28">
        <f>AP916</f>
        <v>2772</v>
      </c>
      <c r="AR915" s="28">
        <f>AQ916</f>
        <v>7105</v>
      </c>
      <c r="AS915" s="63">
        <f>AR916</f>
        <v>9765</v>
      </c>
      <c r="AT915" s="1127">
        <f>AO916</f>
        <v>782</v>
      </c>
      <c r="AU915" s="28">
        <f>AT916</f>
        <v>10896</v>
      </c>
      <c r="AV915" s="28">
        <f>AU916</f>
        <v>15494</v>
      </c>
      <c r="AW915" s="28">
        <f>AV916</f>
        <v>3274</v>
      </c>
      <c r="AX915" s="63">
        <f>AW916</f>
        <v>2251</v>
      </c>
      <c r="AY915" s="1127">
        <f>AT916</f>
        <v>10896</v>
      </c>
      <c r="AZ915" s="28">
        <f>AY916</f>
        <v>847</v>
      </c>
      <c r="BA915" s="28">
        <f>AZ916</f>
        <v>978</v>
      </c>
      <c r="BB915" s="28">
        <f>BA916</f>
        <v>5628</v>
      </c>
      <c r="BC915" s="63">
        <f>BB916</f>
        <v>1288</v>
      </c>
      <c r="BD915" s="1127">
        <f>AY916</f>
        <v>847</v>
      </c>
      <c r="BE915" s="28">
        <f>BD916</f>
        <v>1990</v>
      </c>
      <c r="BF915" s="28">
        <f>BE916</f>
        <v>3887</v>
      </c>
      <c r="BG915" s="28">
        <f>BF916</f>
        <v>3013</v>
      </c>
      <c r="BH915" s="63">
        <f>BG916</f>
        <v>2800</v>
      </c>
      <c r="BI915" s="1127">
        <f>BD916</f>
        <v>1990</v>
      </c>
      <c r="BJ915" s="28">
        <f>BI916</f>
        <v>3389</v>
      </c>
      <c r="BK915" s="28">
        <f>BJ916</f>
        <v>5079</v>
      </c>
      <c r="BL915" s="28">
        <f>BK916</f>
        <v>5882</v>
      </c>
      <c r="BM915" s="63">
        <f>BL916</f>
        <v>5519</v>
      </c>
      <c r="BN915" s="1127">
        <f>BI916</f>
        <v>3389</v>
      </c>
      <c r="BO915" s="28">
        <f>BN916</f>
        <v>7280</v>
      </c>
      <c r="BP915" s="28">
        <f>BO916</f>
        <v>7587</v>
      </c>
      <c r="BQ915" s="28">
        <f>BP916</f>
        <v>8571</v>
      </c>
      <c r="BR915" s="63">
        <f>BQ916</f>
        <v>9107</v>
      </c>
      <c r="BS915" s="1127">
        <f>BN916</f>
        <v>7280</v>
      </c>
      <c r="BT915" s="28">
        <f>BS916</f>
        <v>8589</v>
      </c>
      <c r="BU915" s="28">
        <f>BT916</f>
        <v>15234</v>
      </c>
      <c r="BV915" s="28">
        <f>BU916</f>
        <v>11639</v>
      </c>
      <c r="BW915" s="63">
        <f>BV916</f>
        <v>11486</v>
      </c>
      <c r="BX915" s="1127">
        <f>BS916</f>
        <v>8589</v>
      </c>
      <c r="BY915" s="505">
        <f>BX916</f>
        <v>10605</v>
      </c>
      <c r="BZ915" s="63">
        <f>BY916</f>
        <v>13237</v>
      </c>
      <c r="CA915" s="63">
        <f>BZ916</f>
        <v>49060.314682335018</v>
      </c>
      <c r="CB915" s="63">
        <f>CA916</f>
        <v>80782.227057318116</v>
      </c>
      <c r="CC915" s="1127">
        <f>BX916</f>
        <v>10605</v>
      </c>
      <c r="CD915" s="63">
        <f>CC916</f>
        <v>130799.1235826051</v>
      </c>
      <c r="CE915" s="63">
        <f>CD916</f>
        <v>195352.1463287675</v>
      </c>
      <c r="CF915" s="63">
        <f>CE916</f>
        <v>248728.56395822798</v>
      </c>
      <c r="CG915" s="63">
        <f>CF916</f>
        <v>293108.52571381885</v>
      </c>
      <c r="CH915" s="1127">
        <f>CC916</f>
        <v>130799.1235826051</v>
      </c>
      <c r="CI915" s="1127">
        <f>CH916</f>
        <v>360087.13414168922</v>
      </c>
      <c r="CJ915" s="1127">
        <f>CI916</f>
        <v>647699.25075622206</v>
      </c>
      <c r="CK915" s="1127">
        <f>CJ916</f>
        <v>997685.24283667747</v>
      </c>
      <c r="CL915" s="155"/>
    </row>
    <row r="916" spans="1:90" x14ac:dyDescent="0.3">
      <c r="A916" s="62" t="str">
        <f>A844</f>
        <v>Ending Cash Balance</v>
      </c>
      <c r="B916" s="279"/>
      <c r="C916" s="1134">
        <f t="shared" ref="C916:AH916" si="2224">C915+C913</f>
        <v>417.6880000000001</v>
      </c>
      <c r="D916" s="1134">
        <f t="shared" si="2224"/>
        <v>447.221</v>
      </c>
      <c r="E916" s="1134">
        <f t="shared" si="2224"/>
        <v>665.3610000000001</v>
      </c>
      <c r="F916" s="1134">
        <f t="shared" si="2224"/>
        <v>667.87600000000043</v>
      </c>
      <c r="G916" s="28">
        <f t="shared" si="2224"/>
        <v>369.13500000000045</v>
      </c>
      <c r="H916" s="28">
        <f t="shared" si="2224"/>
        <v>499.61800000000045</v>
      </c>
      <c r="I916" s="28">
        <f t="shared" si="2224"/>
        <v>525.38800000000037</v>
      </c>
      <c r="J916" s="28">
        <f t="shared" si="2224"/>
        <v>732.7860000000004</v>
      </c>
      <c r="K916" s="1134">
        <f t="shared" si="2224"/>
        <v>732.78600000000017</v>
      </c>
      <c r="L916" s="28">
        <f t="shared" si="2224"/>
        <v>561.42300000000012</v>
      </c>
      <c r="M916" s="28">
        <f t="shared" si="2224"/>
        <v>591.32100000000014</v>
      </c>
      <c r="N916" s="28">
        <f t="shared" si="2224"/>
        <v>562.08400000000017</v>
      </c>
      <c r="O916" s="28">
        <f t="shared" si="2224"/>
        <v>1151.587</v>
      </c>
      <c r="P916" s="1134">
        <f t="shared" si="2224"/>
        <v>1151.587</v>
      </c>
      <c r="Q916" s="28">
        <f t="shared" si="2224"/>
        <v>508.58699999999999</v>
      </c>
      <c r="R916" s="28">
        <f t="shared" si="2224"/>
        <v>514.58699999999999</v>
      </c>
      <c r="S916" s="28">
        <f t="shared" si="2224"/>
        <v>394.58699999999999</v>
      </c>
      <c r="T916" s="28">
        <f t="shared" si="2224"/>
        <v>496.58699999999999</v>
      </c>
      <c r="U916" s="1134">
        <f t="shared" si="2224"/>
        <v>497</v>
      </c>
      <c r="V916" s="28">
        <f t="shared" si="2224"/>
        <v>464</v>
      </c>
      <c r="W916" s="28">
        <f t="shared" si="2224"/>
        <v>435</v>
      </c>
      <c r="X916" s="28">
        <f t="shared" si="2224"/>
        <v>471</v>
      </c>
      <c r="Y916" s="28">
        <f t="shared" si="2224"/>
        <v>596</v>
      </c>
      <c r="Z916" s="1134">
        <f t="shared" si="2224"/>
        <v>596</v>
      </c>
      <c r="AA916" s="28">
        <f t="shared" si="2224"/>
        <v>547</v>
      </c>
      <c r="AB916" s="28">
        <f t="shared" si="2224"/>
        <v>426</v>
      </c>
      <c r="AC916" s="28">
        <f t="shared" si="2224"/>
        <v>1940</v>
      </c>
      <c r="AD916" s="28">
        <f t="shared" si="2224"/>
        <v>1766</v>
      </c>
      <c r="AE916" s="1134">
        <f t="shared" si="2224"/>
        <v>1766</v>
      </c>
      <c r="AF916" s="28">
        <f t="shared" si="2224"/>
        <v>1989</v>
      </c>
      <c r="AG916" s="28">
        <f t="shared" si="2224"/>
        <v>1988</v>
      </c>
      <c r="AH916" s="28">
        <f t="shared" si="2224"/>
        <v>2802</v>
      </c>
      <c r="AI916" s="28">
        <f t="shared" ref="AI916:AV916" si="2225">AI915+AI913</f>
        <v>4002</v>
      </c>
      <c r="AJ916" s="1134">
        <f t="shared" si="2225"/>
        <v>4002</v>
      </c>
      <c r="AK916" s="28">
        <f t="shared" si="2225"/>
        <v>765</v>
      </c>
      <c r="AL916" s="28">
        <f t="shared" si="2225"/>
        <v>718</v>
      </c>
      <c r="AM916" s="28">
        <f t="shared" si="2225"/>
        <v>721</v>
      </c>
      <c r="AN916" s="63">
        <f t="shared" si="2225"/>
        <v>782</v>
      </c>
      <c r="AO916" s="1127">
        <f t="shared" si="2225"/>
        <v>782</v>
      </c>
      <c r="AP916" s="28">
        <f t="shared" si="2225"/>
        <v>2772</v>
      </c>
      <c r="AQ916" s="28">
        <f t="shared" si="2225"/>
        <v>7105</v>
      </c>
      <c r="AR916" s="28">
        <f t="shared" si="2225"/>
        <v>9765</v>
      </c>
      <c r="AS916" s="63">
        <f t="shared" si="2225"/>
        <v>10896</v>
      </c>
      <c r="AT916" s="1127">
        <f t="shared" si="2225"/>
        <v>10896</v>
      </c>
      <c r="AU916" s="28">
        <f t="shared" si="2225"/>
        <v>15494</v>
      </c>
      <c r="AV916" s="28">
        <f t="shared" si="2225"/>
        <v>3274</v>
      </c>
      <c r="AW916" s="28">
        <f t="shared" ref="AW916:BB916" si="2226">AW915+AW913</f>
        <v>2251</v>
      </c>
      <c r="AX916" s="63">
        <f t="shared" si="2226"/>
        <v>847</v>
      </c>
      <c r="AY916" s="1127">
        <f t="shared" si="2226"/>
        <v>847</v>
      </c>
      <c r="AZ916" s="28">
        <f t="shared" si="2226"/>
        <v>978</v>
      </c>
      <c r="BA916" s="28">
        <f t="shared" si="2226"/>
        <v>5628</v>
      </c>
      <c r="BB916" s="28">
        <f t="shared" si="2226"/>
        <v>1288</v>
      </c>
      <c r="BC916" s="63">
        <f t="shared" ref="BC916:BD916" si="2227">BC915+BC913</f>
        <v>1990</v>
      </c>
      <c r="BD916" s="1127">
        <f t="shared" si="2227"/>
        <v>1990</v>
      </c>
      <c r="BE916" s="28">
        <f t="shared" ref="BE916:BI916" si="2228">BE915+BE913</f>
        <v>3887</v>
      </c>
      <c r="BF916" s="28">
        <f t="shared" si="2228"/>
        <v>3013</v>
      </c>
      <c r="BG916" s="28">
        <f t="shared" si="2228"/>
        <v>2800</v>
      </c>
      <c r="BH916" s="63">
        <f t="shared" si="2228"/>
        <v>3389</v>
      </c>
      <c r="BI916" s="1127">
        <f t="shared" si="2228"/>
        <v>3389</v>
      </c>
      <c r="BJ916" s="28">
        <f t="shared" ref="BJ916:BN916" si="2229">BJ915+BJ913</f>
        <v>5079</v>
      </c>
      <c r="BK916" s="28">
        <f t="shared" si="2229"/>
        <v>5882</v>
      </c>
      <c r="BL916" s="28">
        <f t="shared" si="2229"/>
        <v>5519</v>
      </c>
      <c r="BM916" s="63">
        <f t="shared" si="2229"/>
        <v>7280</v>
      </c>
      <c r="BN916" s="1127">
        <f t="shared" si="2229"/>
        <v>7280</v>
      </c>
      <c r="BO916" s="28">
        <f t="shared" ref="BO916:BS916" si="2230">BO915+BO913</f>
        <v>7587</v>
      </c>
      <c r="BP916" s="28">
        <f t="shared" si="2230"/>
        <v>8571</v>
      </c>
      <c r="BQ916" s="28">
        <f t="shared" si="2230"/>
        <v>9107</v>
      </c>
      <c r="BR916" s="63">
        <f t="shared" si="2230"/>
        <v>8589</v>
      </c>
      <c r="BS916" s="1127">
        <f t="shared" si="2230"/>
        <v>8589</v>
      </c>
      <c r="BT916" s="28">
        <f t="shared" ref="BT916:CK916" si="2231">BT915+BT913</f>
        <v>15234</v>
      </c>
      <c r="BU916" s="28">
        <f t="shared" si="2231"/>
        <v>11639</v>
      </c>
      <c r="BV916" s="28">
        <f t="shared" si="2231"/>
        <v>11486</v>
      </c>
      <c r="BW916" s="63">
        <f t="shared" si="2231"/>
        <v>10605</v>
      </c>
      <c r="BX916" s="1127">
        <f t="shared" si="2231"/>
        <v>10605</v>
      </c>
      <c r="BY916" s="505">
        <f>BY915+BY913</f>
        <v>13237</v>
      </c>
      <c r="BZ916" s="63">
        <f t="shared" si="2231"/>
        <v>49060.314682335018</v>
      </c>
      <c r="CA916" s="63">
        <f t="shared" si="2231"/>
        <v>80782.227057318116</v>
      </c>
      <c r="CB916" s="63">
        <f t="shared" si="2231"/>
        <v>130799.1235826051</v>
      </c>
      <c r="CC916" s="1127">
        <f t="shared" si="2231"/>
        <v>130799.1235826051</v>
      </c>
      <c r="CD916" s="63">
        <f t="shared" si="2231"/>
        <v>195352.1463287675</v>
      </c>
      <c r="CE916" s="63">
        <f t="shared" si="2231"/>
        <v>248728.56395822798</v>
      </c>
      <c r="CF916" s="63">
        <f t="shared" si="2231"/>
        <v>293108.52571381885</v>
      </c>
      <c r="CG916" s="63">
        <f t="shared" si="2231"/>
        <v>360087.13414168917</v>
      </c>
      <c r="CH916" s="1127">
        <f t="shared" si="2231"/>
        <v>360087.13414168922</v>
      </c>
      <c r="CI916" s="1127">
        <f t="shared" si="2231"/>
        <v>647699.25075622206</v>
      </c>
      <c r="CJ916" s="1127">
        <f t="shared" si="2231"/>
        <v>997685.24283667747</v>
      </c>
      <c r="CK916" s="1127">
        <f t="shared" si="2231"/>
        <v>1420559.0785187618</v>
      </c>
      <c r="CL916" s="155"/>
    </row>
    <row r="917" spans="1:90" x14ac:dyDescent="0.3">
      <c r="A917" s="600"/>
      <c r="B917" s="279"/>
      <c r="C917" s="1127"/>
      <c r="D917" s="1127"/>
      <c r="E917" s="1127"/>
      <c r="F917" s="1127"/>
      <c r="G917" s="63"/>
      <c r="H917" s="63"/>
      <c r="I917" s="63"/>
      <c r="J917" s="63"/>
      <c r="K917" s="1127"/>
      <c r="L917" s="63"/>
      <c r="M917" s="63"/>
      <c r="N917" s="63"/>
      <c r="O917" s="63"/>
      <c r="P917" s="1127"/>
      <c r="Q917" s="63"/>
      <c r="R917" s="63"/>
      <c r="S917" s="63"/>
      <c r="T917" s="63"/>
      <c r="U917" s="1127"/>
      <c r="V917" s="63"/>
      <c r="W917" s="63"/>
      <c r="X917" s="63"/>
      <c r="Y917" s="63"/>
      <c r="Z917" s="1127"/>
      <c r="AA917" s="63"/>
      <c r="AB917" s="63"/>
      <c r="AC917" s="63"/>
      <c r="AD917" s="63"/>
      <c r="AE917" s="1127"/>
      <c r="AF917" s="63"/>
      <c r="AG917" s="63"/>
      <c r="AH917" s="63"/>
      <c r="AI917" s="63"/>
      <c r="AJ917" s="1127"/>
      <c r="AK917" s="63"/>
      <c r="AL917" s="63"/>
      <c r="AM917" s="63"/>
      <c r="AN917" s="63"/>
      <c r="AO917" s="1127"/>
      <c r="AP917" s="63"/>
      <c r="AQ917" s="63"/>
      <c r="AR917" s="63"/>
      <c r="AS917" s="63"/>
      <c r="AT917" s="1127"/>
      <c r="AU917" s="63"/>
      <c r="AV917" s="63"/>
      <c r="AW917" s="63"/>
      <c r="AX917" s="63"/>
      <c r="AY917" s="1127"/>
      <c r="AZ917" s="63"/>
      <c r="BA917" s="63"/>
      <c r="BB917" s="63"/>
      <c r="BC917" s="63"/>
      <c r="BD917" s="1127"/>
      <c r="BE917" s="63"/>
      <c r="BF917" s="63"/>
      <c r="BG917" s="63"/>
      <c r="BH917" s="63"/>
      <c r="BI917" s="1127"/>
      <c r="BJ917" s="63"/>
      <c r="BK917" s="63"/>
      <c r="BL917" s="63"/>
      <c r="BM917" s="63"/>
      <c r="BN917" s="1127"/>
      <c r="BO917" s="63"/>
      <c r="BP917" s="63"/>
      <c r="BQ917" s="63"/>
      <c r="BR917" s="63"/>
      <c r="BS917" s="1127"/>
      <c r="BT917" s="63"/>
      <c r="BU917" s="63"/>
      <c r="BV917" s="63"/>
      <c r="BW917" s="63"/>
      <c r="BX917" s="1127"/>
      <c r="BY917" s="587"/>
      <c r="BZ917" s="63"/>
      <c r="CA917" s="63"/>
      <c r="CB917" s="63"/>
      <c r="CC917" s="1127"/>
      <c r="CD917" s="63"/>
      <c r="CE917" s="63"/>
      <c r="CF917" s="63"/>
      <c r="CG917" s="63"/>
      <c r="CH917" s="1127"/>
      <c r="CI917" s="1127"/>
      <c r="CJ917" s="1127"/>
      <c r="CK917" s="1127"/>
      <c r="CL917" s="155"/>
    </row>
    <row r="918" spans="1:90" x14ac:dyDescent="0.3">
      <c r="A918" s="100" t="str">
        <f>A846</f>
        <v>Cash paid for interest</v>
      </c>
      <c r="B918" s="146"/>
      <c r="C918" s="1114">
        <f t="shared" ref="C918:G919" si="2232">C846</f>
        <v>0</v>
      </c>
      <c r="D918" s="1114">
        <f t="shared" si="2232"/>
        <v>3.2559999999999998</v>
      </c>
      <c r="E918" s="1114">
        <f t="shared" si="2232"/>
        <v>3.1269999999999998</v>
      </c>
      <c r="F918" s="1114">
        <f t="shared" si="2232"/>
        <v>3.008</v>
      </c>
      <c r="G918" s="27">
        <f t="shared" si="2232"/>
        <v>0.74399999999999999</v>
      </c>
      <c r="H918" s="27">
        <f t="shared" ref="H918:J919" si="2233">H846-G846</f>
        <v>0.73</v>
      </c>
      <c r="I918" s="27">
        <f t="shared" si="2233"/>
        <v>0.71500000000000008</v>
      </c>
      <c r="J918" s="27">
        <f t="shared" si="2233"/>
        <v>0.58299999999999974</v>
      </c>
      <c r="K918" s="1114">
        <f>K846</f>
        <v>2.7719999999999998</v>
      </c>
      <c r="L918" s="27">
        <f>L846</f>
        <v>0.65500000000000003</v>
      </c>
      <c r="M918" s="27">
        <f>M846-L846</f>
        <v>0.63900000000000001</v>
      </c>
      <c r="N918" s="68"/>
      <c r="O918" s="68"/>
      <c r="P918" s="1114">
        <f>P846</f>
        <v>2.5179999999999998</v>
      </c>
      <c r="Q918" s="68"/>
      <c r="R918" s="68"/>
      <c r="S918" s="68"/>
      <c r="T918" s="68"/>
      <c r="U918" s="1114">
        <f>U846</f>
        <v>17</v>
      </c>
      <c r="V918" s="68"/>
      <c r="W918" s="68"/>
      <c r="X918" s="68"/>
      <c r="Y918" s="68"/>
      <c r="Z918" s="1114">
        <f>Z846</f>
        <v>17</v>
      </c>
      <c r="AA918" s="68"/>
      <c r="AB918" s="68"/>
      <c r="AC918" s="68"/>
      <c r="AD918" s="68"/>
      <c r="AE918" s="1114">
        <f>AE846</f>
        <v>13</v>
      </c>
      <c r="AF918" s="68"/>
      <c r="AG918" s="68"/>
      <c r="AH918" s="68"/>
      <c r="AI918" s="68"/>
      <c r="AJ918" s="1114">
        <f>AJ846</f>
        <v>55</v>
      </c>
      <c r="AK918" s="68"/>
      <c r="AL918" s="68"/>
      <c r="AM918" s="68"/>
      <c r="AN918" s="68"/>
      <c r="AO918" s="1112">
        <f>AO846</f>
        <v>55</v>
      </c>
      <c r="AP918" s="68"/>
      <c r="AQ918" s="68"/>
      <c r="AR918" s="68"/>
      <c r="AS918" s="68"/>
      <c r="AT918" s="1112">
        <f>AT846</f>
        <v>54</v>
      </c>
      <c r="AU918" s="68"/>
      <c r="AV918" s="68"/>
      <c r="AW918" s="68"/>
      <c r="AX918" s="68"/>
      <c r="AY918" s="1112">
        <f>AY846</f>
        <v>138</v>
      </c>
      <c r="AZ918" s="68"/>
      <c r="BA918" s="68"/>
      <c r="BB918" s="68"/>
      <c r="BC918" s="68"/>
      <c r="BD918" s="1112">
        <f>BD846</f>
        <v>246</v>
      </c>
      <c r="BE918" s="68"/>
      <c r="BF918" s="68"/>
      <c r="BG918" s="68"/>
      <c r="BH918" s="68"/>
      <c r="BI918" s="1112">
        <f>BI846</f>
        <v>254</v>
      </c>
      <c r="BJ918" s="68"/>
      <c r="BK918" s="68"/>
      <c r="BL918" s="68"/>
      <c r="BM918" s="1055">
        <v>26</v>
      </c>
      <c r="BN918" s="1113">
        <v>252</v>
      </c>
      <c r="BO918" s="68">
        <f>BO846</f>
        <v>0</v>
      </c>
      <c r="BP918" s="68"/>
      <c r="BQ918" s="68"/>
      <c r="BR918" s="1055">
        <v>22</v>
      </c>
      <c r="BS918" s="1112">
        <f>BS846</f>
        <v>246</v>
      </c>
      <c r="BT918" s="68">
        <f>BT846</f>
        <v>0</v>
      </c>
      <c r="BU918" s="68"/>
      <c r="BV918" s="68"/>
      <c r="BW918" s="68"/>
      <c r="BX918" s="1112"/>
      <c r="BY918" s="588"/>
      <c r="BZ918" s="68"/>
      <c r="CA918" s="68"/>
      <c r="CB918" s="68"/>
      <c r="CC918" s="1112"/>
      <c r="CD918" s="68"/>
      <c r="CE918" s="68"/>
      <c r="CF918" s="68"/>
      <c r="CG918" s="68"/>
      <c r="CH918" s="1112"/>
      <c r="CI918" s="1112"/>
      <c r="CJ918" s="1112"/>
      <c r="CK918" s="1112"/>
      <c r="CL918" s="155"/>
    </row>
    <row r="919" spans="1:90" x14ac:dyDescent="0.3">
      <c r="A919" s="100" t="str">
        <f>A847</f>
        <v>Cash (received) paid for income taxes, net</v>
      </c>
      <c r="B919" s="146"/>
      <c r="C919" s="1114">
        <f t="shared" si="2232"/>
        <v>7.62</v>
      </c>
      <c r="D919" s="1114">
        <f t="shared" si="2232"/>
        <v>4.2169999999999996</v>
      </c>
      <c r="E919" s="1114">
        <f t="shared" si="2232"/>
        <v>-1.071</v>
      </c>
      <c r="F919" s="1114">
        <f t="shared" si="2232"/>
        <v>58.328000000000003</v>
      </c>
      <c r="G919" s="27">
        <f t="shared" si="2232"/>
        <v>2.0099999999999998</v>
      </c>
      <c r="H919" s="27">
        <f t="shared" si="2233"/>
        <v>-45.158999999999999</v>
      </c>
      <c r="I919" s="27">
        <f t="shared" si="2233"/>
        <v>2.7070000000000007</v>
      </c>
      <c r="J919" s="27">
        <f t="shared" si="2233"/>
        <v>1.8340000000000032</v>
      </c>
      <c r="K919" s="1114">
        <f>K847</f>
        <v>-38.607999999999997</v>
      </c>
      <c r="L919" s="27">
        <f>L847</f>
        <v>2.286</v>
      </c>
      <c r="M919" s="27">
        <f>M847-L847</f>
        <v>2.7970000000000002</v>
      </c>
      <c r="N919" s="68"/>
      <c r="O919" s="68"/>
      <c r="P919" s="1114">
        <f>P847</f>
        <v>14.615</v>
      </c>
      <c r="Q919" s="68"/>
      <c r="R919" s="68"/>
      <c r="S919" s="68"/>
      <c r="T919" s="68"/>
      <c r="U919" s="1114">
        <f>U847</f>
        <v>14</v>
      </c>
      <c r="V919" s="68"/>
      <c r="W919" s="68"/>
      <c r="X919" s="68"/>
      <c r="Y919" s="68"/>
      <c r="Z919" s="1114">
        <f>Z847</f>
        <v>14</v>
      </c>
      <c r="AA919" s="68"/>
      <c r="AB919" s="68"/>
      <c r="AC919" s="68"/>
      <c r="AD919" s="68"/>
      <c r="AE919" s="1114">
        <f>AE847</f>
        <v>14</v>
      </c>
      <c r="AF919" s="68"/>
      <c r="AG919" s="68"/>
      <c r="AH919" s="68"/>
      <c r="AI919" s="68"/>
      <c r="AJ919" s="1114">
        <f>AJ847</f>
        <v>22</v>
      </c>
      <c r="AK919" s="68"/>
      <c r="AL919" s="68"/>
      <c r="AM919" s="68"/>
      <c r="AN919" s="68"/>
      <c r="AO919" s="1112">
        <f>AO847</f>
        <v>61</v>
      </c>
      <c r="AP919" s="68"/>
      <c r="AQ919" s="68"/>
      <c r="AR919" s="68"/>
      <c r="AS919" s="68"/>
      <c r="AT919" s="1112">
        <f>AT847</f>
        <v>176</v>
      </c>
      <c r="AU919" s="68"/>
      <c r="AV919" s="68"/>
      <c r="AW919" s="68"/>
      <c r="AX919" s="68"/>
      <c r="AY919" s="1112">
        <f>AY847</f>
        <v>249</v>
      </c>
      <c r="AZ919" s="68"/>
      <c r="BA919" s="68"/>
      <c r="BB919" s="68"/>
      <c r="BC919" s="68"/>
      <c r="BD919" s="1112">
        <f>BD847</f>
        <v>396</v>
      </c>
      <c r="BE919" s="68"/>
      <c r="BF919" s="1055">
        <v>1081</v>
      </c>
      <c r="BG919" s="27">
        <f>BG847-BF847</f>
        <v>264</v>
      </c>
      <c r="BH919" s="68">
        <f>BH847-BG847</f>
        <v>32</v>
      </c>
      <c r="BI919" s="1112">
        <f>BI847</f>
        <v>1404</v>
      </c>
      <c r="BJ919" s="68"/>
      <c r="BK919" s="1055">
        <v>227</v>
      </c>
      <c r="BL919" s="27">
        <f>BL847-BK847</f>
        <v>4348</v>
      </c>
      <c r="BM919" s="68">
        <f>BM847-BL847</f>
        <v>1873</v>
      </c>
      <c r="BN919" s="1113">
        <v>6549</v>
      </c>
      <c r="BO919" s="68">
        <f>BP847-BP919</f>
        <v>241</v>
      </c>
      <c r="BP919" s="1055">
        <v>7208</v>
      </c>
      <c r="BQ919" s="68">
        <f>BQ847-BP847</f>
        <v>3540</v>
      </c>
      <c r="BR919" s="68">
        <f>BR847-BQ847</f>
        <v>4129</v>
      </c>
      <c r="BS919" s="1112">
        <f>BS847</f>
        <v>15118</v>
      </c>
      <c r="BT919" s="68">
        <f>BU847-BU919</f>
        <v>357</v>
      </c>
      <c r="BU919" s="1055">
        <v>8094</v>
      </c>
      <c r="BV919" s="68">
        <f>BV847-BU847</f>
        <v>4858</v>
      </c>
      <c r="BW919" s="68">
        <f>BW847-BV847</f>
        <v>6979</v>
      </c>
      <c r="BX919" s="1112">
        <f>BX847</f>
        <v>20288</v>
      </c>
      <c r="BY919" s="588">
        <f>BY847</f>
        <v>0</v>
      </c>
      <c r="BZ919" s="68"/>
      <c r="CA919" s="68"/>
      <c r="CB919" s="68"/>
      <c r="CC919" s="1112"/>
      <c r="CD919" s="68"/>
      <c r="CE919" s="68"/>
      <c r="CF919" s="68"/>
      <c r="CG919" s="68"/>
      <c r="CH919" s="1112"/>
      <c r="CI919" s="1112"/>
      <c r="CJ919" s="1112"/>
      <c r="CK919" s="1112"/>
      <c r="CL919" s="155"/>
    </row>
    <row r="920" spans="1:90" x14ac:dyDescent="0.3">
      <c r="A920" s="600"/>
      <c r="B920" s="279"/>
      <c r="C920" s="1127"/>
      <c r="D920" s="1127"/>
      <c r="E920" s="1127"/>
      <c r="F920" s="1127"/>
      <c r="G920" s="63"/>
      <c r="H920" s="63"/>
      <c r="I920" s="63"/>
      <c r="J920" s="63"/>
      <c r="K920" s="1127"/>
      <c r="L920" s="63"/>
      <c r="M920" s="63"/>
      <c r="N920" s="63"/>
      <c r="O920" s="63"/>
      <c r="P920" s="1127"/>
      <c r="Q920" s="63"/>
      <c r="R920" s="63"/>
      <c r="S920" s="63"/>
      <c r="T920" s="63"/>
      <c r="U920" s="1127"/>
      <c r="V920" s="63"/>
      <c r="W920" s="63"/>
      <c r="X920" s="63"/>
      <c r="Y920" s="63"/>
      <c r="Z920" s="1127"/>
      <c r="AA920" s="63"/>
      <c r="AB920" s="63"/>
      <c r="AC920" s="63"/>
      <c r="AD920" s="63"/>
      <c r="AE920" s="1127"/>
      <c r="AF920" s="63"/>
      <c r="AG920" s="63"/>
      <c r="AH920" s="63"/>
      <c r="AI920" s="63"/>
      <c r="AJ920" s="1127"/>
      <c r="AK920" s="63"/>
      <c r="AL920" s="63"/>
      <c r="AM920" s="63"/>
      <c r="AN920" s="63"/>
      <c r="AO920" s="1127"/>
      <c r="AP920" s="63"/>
      <c r="AQ920" s="63"/>
      <c r="AR920" s="63"/>
      <c r="AS920" s="63"/>
      <c r="AT920" s="1127"/>
      <c r="AU920" s="63"/>
      <c r="AV920" s="63"/>
      <c r="AW920" s="63"/>
      <c r="AX920" s="63"/>
      <c r="AY920" s="1127"/>
      <c r="AZ920" s="63"/>
      <c r="BA920" s="63"/>
      <c r="BB920" s="63"/>
      <c r="BC920" s="63"/>
      <c r="BD920" s="1127"/>
      <c r="BE920" s="63"/>
      <c r="BF920" s="63"/>
      <c r="BG920" s="63"/>
      <c r="BH920" s="63"/>
      <c r="BI920" s="1127"/>
      <c r="BJ920" s="63"/>
      <c r="BK920" s="63"/>
      <c r="BL920" s="63"/>
      <c r="BM920" s="63"/>
      <c r="BN920" s="1127"/>
      <c r="BO920" s="63"/>
      <c r="BP920" s="63"/>
      <c r="BQ920" s="63"/>
      <c r="BR920" s="63"/>
      <c r="BS920" s="1127"/>
      <c r="BT920" s="63"/>
      <c r="BU920" s="63"/>
      <c r="BV920" s="63"/>
      <c r="BW920" s="63"/>
      <c r="BX920" s="1127"/>
      <c r="BY920" s="587"/>
      <c r="BZ920" s="63"/>
      <c r="CA920" s="63"/>
      <c r="CB920" s="63"/>
      <c r="CC920" s="1127"/>
      <c r="CD920" s="63"/>
      <c r="CE920" s="63"/>
      <c r="CF920" s="63"/>
      <c r="CG920" s="63"/>
      <c r="CH920" s="1127"/>
      <c r="CI920" s="1127"/>
      <c r="CJ920" s="1127"/>
      <c r="CK920" s="1127"/>
      <c r="CL920" s="155"/>
    </row>
    <row r="921" spans="1:90" x14ac:dyDescent="0.3">
      <c r="A921" s="1009" t="s">
        <v>191</v>
      </c>
      <c r="B921" s="1009"/>
      <c r="C921" s="1010">
        <f t="shared" ref="C921:AH921" si="2234">ROUND(C916-C960,6)</f>
        <v>0</v>
      </c>
      <c r="D921" s="1010">
        <f t="shared" si="2234"/>
        <v>0</v>
      </c>
      <c r="E921" s="1010">
        <f t="shared" si="2234"/>
        <v>0</v>
      </c>
      <c r="F921" s="1010">
        <f t="shared" si="2234"/>
        <v>0</v>
      </c>
      <c r="G921" s="1010">
        <f t="shared" si="2234"/>
        <v>0</v>
      </c>
      <c r="H921" s="1010">
        <f t="shared" si="2234"/>
        <v>0</v>
      </c>
      <c r="I921" s="1010">
        <f t="shared" si="2234"/>
        <v>0</v>
      </c>
      <c r="J921" s="1010">
        <f t="shared" si="2234"/>
        <v>0</v>
      </c>
      <c r="K921" s="1010">
        <f t="shared" si="2234"/>
        <v>0</v>
      </c>
      <c r="L921" s="1010">
        <f t="shared" si="2234"/>
        <v>0</v>
      </c>
      <c r="M921" s="1010">
        <f t="shared" si="2234"/>
        <v>0</v>
      </c>
      <c r="N921" s="1010">
        <f t="shared" si="2234"/>
        <v>0</v>
      </c>
      <c r="O921" s="1010">
        <f t="shared" si="2234"/>
        <v>0</v>
      </c>
      <c r="P921" s="1010">
        <f t="shared" si="2234"/>
        <v>0</v>
      </c>
      <c r="Q921" s="1010">
        <f t="shared" si="2234"/>
        <v>-0.57799999999999996</v>
      </c>
      <c r="R921" s="1010">
        <f t="shared" si="2234"/>
        <v>-0.505</v>
      </c>
      <c r="S921" s="1010">
        <f t="shared" si="2234"/>
        <v>-9.6000000000000002E-2</v>
      </c>
      <c r="T921" s="1010">
        <f t="shared" si="2234"/>
        <v>-0.41299999999999998</v>
      </c>
      <c r="U921" s="1010">
        <f t="shared" si="2234"/>
        <v>0</v>
      </c>
      <c r="V921" s="1010">
        <f t="shared" si="2234"/>
        <v>0</v>
      </c>
      <c r="W921" s="1010">
        <f t="shared" si="2234"/>
        <v>0</v>
      </c>
      <c r="X921" s="1010">
        <f t="shared" si="2234"/>
        <v>0</v>
      </c>
      <c r="Y921" s="1010">
        <f t="shared" si="2234"/>
        <v>0</v>
      </c>
      <c r="Z921" s="1010">
        <f t="shared" si="2234"/>
        <v>0</v>
      </c>
      <c r="AA921" s="1010">
        <f t="shared" si="2234"/>
        <v>0</v>
      </c>
      <c r="AB921" s="1010">
        <f t="shared" si="2234"/>
        <v>0</v>
      </c>
      <c r="AC921" s="1032">
        <f t="shared" si="2234"/>
        <v>0</v>
      </c>
      <c r="AD921" s="1032">
        <f t="shared" si="2234"/>
        <v>0</v>
      </c>
      <c r="AE921" s="1032">
        <f t="shared" si="2234"/>
        <v>0</v>
      </c>
      <c r="AF921" s="1010">
        <f t="shared" si="2234"/>
        <v>0</v>
      </c>
      <c r="AG921" s="1010">
        <f t="shared" si="2234"/>
        <v>0</v>
      </c>
      <c r="AH921" s="1010">
        <f t="shared" si="2234"/>
        <v>0</v>
      </c>
      <c r="AI921" s="1032">
        <f t="shared" ref="AI921:BJ921" si="2235">ROUND(AI916-AI960,6)</f>
        <v>0</v>
      </c>
      <c r="AJ921" s="1032">
        <f t="shared" si="2235"/>
        <v>0</v>
      </c>
      <c r="AK921" s="1010">
        <f t="shared" si="2235"/>
        <v>0</v>
      </c>
      <c r="AL921" s="1010">
        <f t="shared" si="2235"/>
        <v>0</v>
      </c>
      <c r="AM921" s="1010">
        <f t="shared" si="2235"/>
        <v>0</v>
      </c>
      <c r="AN921" s="1010">
        <f t="shared" si="2235"/>
        <v>0</v>
      </c>
      <c r="AO921" s="1010">
        <f t="shared" si="2235"/>
        <v>0</v>
      </c>
      <c r="AP921" s="1010">
        <f t="shared" si="2235"/>
        <v>0</v>
      </c>
      <c r="AQ921" s="1010">
        <f t="shared" si="2235"/>
        <v>0</v>
      </c>
      <c r="AR921" s="1010">
        <f t="shared" si="2235"/>
        <v>0</v>
      </c>
      <c r="AS921" s="1010">
        <f t="shared" si="2235"/>
        <v>0</v>
      </c>
      <c r="AT921" s="1010">
        <f t="shared" si="2235"/>
        <v>0</v>
      </c>
      <c r="AU921" s="1010">
        <f t="shared" si="2235"/>
        <v>0</v>
      </c>
      <c r="AV921" s="1010">
        <f t="shared" si="2235"/>
        <v>0</v>
      </c>
      <c r="AW921" s="1010">
        <f t="shared" si="2235"/>
        <v>0</v>
      </c>
      <c r="AX921" s="1010">
        <f t="shared" si="2235"/>
        <v>0</v>
      </c>
      <c r="AY921" s="1010">
        <f t="shared" si="2235"/>
        <v>0</v>
      </c>
      <c r="AZ921" s="1010">
        <f t="shared" si="2235"/>
        <v>0</v>
      </c>
      <c r="BA921" s="1010">
        <f t="shared" si="2235"/>
        <v>0</v>
      </c>
      <c r="BB921" s="1010">
        <f t="shared" si="2235"/>
        <v>0</v>
      </c>
      <c r="BC921" s="1010">
        <f t="shared" si="2235"/>
        <v>0</v>
      </c>
      <c r="BD921" s="1010">
        <f t="shared" si="2235"/>
        <v>0</v>
      </c>
      <c r="BE921" s="1010">
        <f t="shared" si="2235"/>
        <v>0</v>
      </c>
      <c r="BF921" s="1010">
        <f t="shared" si="2235"/>
        <v>0</v>
      </c>
      <c r="BG921" s="1010">
        <f t="shared" si="2235"/>
        <v>0</v>
      </c>
      <c r="BH921" s="1010">
        <f t="shared" si="2235"/>
        <v>0</v>
      </c>
      <c r="BI921" s="1010">
        <f t="shared" si="2235"/>
        <v>0</v>
      </c>
      <c r="BJ921" s="1010">
        <f t="shared" si="2235"/>
        <v>0</v>
      </c>
      <c r="BK921" s="1010">
        <f t="shared" ref="BK921:BL921" si="2236">ROUND(BK916-BK960-BK967,6)</f>
        <v>0</v>
      </c>
      <c r="BL921" s="1010">
        <f t="shared" si="2236"/>
        <v>0</v>
      </c>
      <c r="BM921" s="1010">
        <f>ROUND(BM916-BM960,6)</f>
        <v>0</v>
      </c>
      <c r="BN921" s="1010">
        <f>ROUND(BN916-BN960,6)</f>
        <v>0</v>
      </c>
      <c r="BO921" s="1010">
        <f>ROUND(BO916-BO960-BO967,6)</f>
        <v>0</v>
      </c>
      <c r="BP921" s="1010">
        <f>ROUND(BP916-BP960-BP967,6)</f>
        <v>0</v>
      </c>
      <c r="BQ921" s="1010">
        <f>ROUND(BQ916-BQ960-BQ967,6)</f>
        <v>0</v>
      </c>
      <c r="BR921" s="1010">
        <f>ROUND(BR916-BR960,6)</f>
        <v>0</v>
      </c>
      <c r="BS921" s="1010">
        <f>ROUND(BS916-BS960,6)</f>
        <v>0</v>
      </c>
      <c r="BT921" s="1010">
        <f>ROUND(BT916-BT960-BT967,6)</f>
        <v>0</v>
      </c>
      <c r="BU921" s="1010">
        <f>ROUND(BU916-BU960-BU967,6)</f>
        <v>0</v>
      </c>
      <c r="BV921" s="1010">
        <f>ROUND(BV916-BV960-BV967,6)</f>
        <v>0</v>
      </c>
      <c r="BW921" s="1010">
        <f>ROUND(BW916-BW960,6)</f>
        <v>0</v>
      </c>
      <c r="BX921" s="1010">
        <f>ROUND(BX916-BX960,6)</f>
        <v>0</v>
      </c>
      <c r="BY921" s="1011">
        <f>ROUND(BY916-BY960-BY967,6)</f>
        <v>0</v>
      </c>
      <c r="BZ921" s="1010">
        <f>ROUND(BZ916-BZ960-BZ967,6)</f>
        <v>0</v>
      </c>
      <c r="CA921" s="1010">
        <f>ROUND(CA916-CA960-CA967,6)</f>
        <v>0</v>
      </c>
      <c r="CB921" s="1010">
        <f>ROUND(CB916-CB960-CB967,6)</f>
        <v>0</v>
      </c>
      <c r="CC921" s="1010">
        <f t="shared" ref="CC921" si="2237">ROUND(CC916-CC960-CC967,6)</f>
        <v>0</v>
      </c>
      <c r="CD921" s="1010">
        <f t="shared" ref="CD921:CK921" si="2238">ROUND(CD916-CD960-CD967,6)</f>
        <v>0</v>
      </c>
      <c r="CE921" s="1010">
        <f t="shared" si="2238"/>
        <v>0</v>
      </c>
      <c r="CF921" s="1010">
        <f t="shared" si="2238"/>
        <v>0</v>
      </c>
      <c r="CG921" s="1010">
        <f t="shared" si="2238"/>
        <v>0</v>
      </c>
      <c r="CH921" s="1010">
        <f t="shared" si="2238"/>
        <v>0</v>
      </c>
      <c r="CI921" s="1010">
        <f t="shared" si="2238"/>
        <v>0</v>
      </c>
      <c r="CJ921" s="1010">
        <f t="shared" si="2238"/>
        <v>0</v>
      </c>
      <c r="CK921" s="1010">
        <f t="shared" si="2238"/>
        <v>0</v>
      </c>
      <c r="CL921" s="155"/>
    </row>
    <row r="922" spans="1:90" x14ac:dyDescent="0.3">
      <c r="A922" s="600"/>
      <c r="B922" s="279"/>
      <c r="C922" s="1127"/>
      <c r="D922" s="1127"/>
      <c r="E922" s="1127"/>
      <c r="F922" s="1127"/>
      <c r="G922" s="63"/>
      <c r="H922" s="63"/>
      <c r="I922" s="63"/>
      <c r="J922" s="63"/>
      <c r="K922" s="1127"/>
      <c r="L922" s="63"/>
      <c r="M922" s="63"/>
      <c r="N922" s="63"/>
      <c r="O922" s="63"/>
      <c r="P922" s="1127"/>
      <c r="Q922" s="63"/>
      <c r="R922" s="63"/>
      <c r="S922" s="63"/>
      <c r="T922" s="63"/>
      <c r="U922" s="1127"/>
      <c r="V922" s="63"/>
      <c r="W922" s="63"/>
      <c r="X922" s="63"/>
      <c r="Y922" s="63"/>
      <c r="Z922" s="1127"/>
      <c r="AA922" s="63"/>
      <c r="AB922" s="63"/>
      <c r="AC922" s="63"/>
      <c r="AD922" s="63"/>
      <c r="AE922" s="1127"/>
      <c r="AF922" s="63"/>
      <c r="AG922" s="63"/>
      <c r="AH922" s="63"/>
      <c r="AI922" s="63"/>
      <c r="AJ922" s="1127"/>
      <c r="AK922" s="63"/>
      <c r="AL922" s="63"/>
      <c r="AM922" s="63"/>
      <c r="AN922" s="63"/>
      <c r="AO922" s="1127"/>
      <c r="AP922" s="63"/>
      <c r="AQ922" s="63"/>
      <c r="AR922" s="63"/>
      <c r="AS922" s="63"/>
      <c r="AT922" s="1127"/>
      <c r="AU922" s="63"/>
      <c r="AV922" s="63"/>
      <c r="AW922" s="63"/>
      <c r="AX922" s="63"/>
      <c r="AY922" s="1127"/>
      <c r="AZ922" s="63"/>
      <c r="BA922" s="63"/>
      <c r="BB922" s="63"/>
      <c r="BC922" s="63"/>
      <c r="BD922" s="1127"/>
      <c r="BE922" s="63"/>
      <c r="BF922" s="63"/>
      <c r="BG922" s="63"/>
      <c r="BH922" s="63"/>
      <c r="BI922" s="1127"/>
      <c r="BJ922" s="63"/>
      <c r="BK922" s="63"/>
      <c r="BL922" s="63"/>
      <c r="BM922" s="63"/>
      <c r="BN922" s="1127"/>
      <c r="BO922" s="63"/>
      <c r="BP922" s="63"/>
      <c r="BQ922" s="63"/>
      <c r="BR922" s="63"/>
      <c r="BS922" s="1127"/>
      <c r="BT922" s="63"/>
      <c r="BU922" s="63"/>
      <c r="BV922" s="63"/>
      <c r="BW922" s="63"/>
      <c r="BX922" s="1127"/>
      <c r="BY922" s="587"/>
      <c r="BZ922" s="63"/>
      <c r="CA922" s="63"/>
      <c r="CB922" s="63"/>
      <c r="CC922" s="1127"/>
      <c r="CD922" s="63"/>
      <c r="CE922" s="63"/>
      <c r="CF922" s="63"/>
      <c r="CG922" s="63"/>
      <c r="CH922" s="1127"/>
      <c r="CI922" s="1127"/>
      <c r="CJ922" s="1127"/>
      <c r="CK922" s="1127"/>
      <c r="CL922" s="155"/>
    </row>
    <row r="923" spans="1:90" x14ac:dyDescent="0.3">
      <c r="A923" s="241" t="s">
        <v>759</v>
      </c>
      <c r="B923" s="242"/>
      <c r="C923" s="650"/>
      <c r="D923" s="650"/>
      <c r="E923" s="650"/>
      <c r="F923" s="650"/>
      <c r="G923" s="650"/>
      <c r="H923" s="650"/>
      <c r="I923" s="650"/>
      <c r="J923" s="650"/>
      <c r="K923" s="650"/>
      <c r="L923" s="650"/>
      <c r="M923" s="650"/>
      <c r="N923" s="650"/>
      <c r="O923" s="650"/>
      <c r="P923" s="650"/>
      <c r="Q923" s="650"/>
      <c r="R923" s="650"/>
      <c r="S923" s="650"/>
      <c r="T923" s="650"/>
      <c r="U923" s="650"/>
      <c r="V923" s="650"/>
      <c r="W923" s="650"/>
      <c r="X923" s="650"/>
      <c r="Y923" s="650"/>
      <c r="Z923" s="650"/>
      <c r="AA923" s="650"/>
      <c r="AB923" s="650"/>
      <c r="AC923" s="650"/>
      <c r="AD923" s="650"/>
      <c r="AE923" s="650"/>
      <c r="AF923" s="650"/>
      <c r="AG923" s="650"/>
      <c r="AH923" s="650"/>
      <c r="AI923" s="650"/>
      <c r="AJ923" s="650"/>
      <c r="AK923" s="650"/>
      <c r="AL923" s="650"/>
      <c r="AM923" s="650"/>
      <c r="AN923" s="650"/>
      <c r="AO923" s="650"/>
      <c r="AP923" s="650"/>
      <c r="AQ923" s="650"/>
      <c r="AR923" s="650"/>
      <c r="AS923" s="650"/>
      <c r="AT923" s="650"/>
      <c r="AU923" s="650"/>
      <c r="AV923" s="650"/>
      <c r="AW923" s="650"/>
      <c r="AX923" s="650"/>
      <c r="AY923" s="650"/>
      <c r="AZ923" s="650"/>
      <c r="BA923" s="650"/>
      <c r="BB923" s="650"/>
      <c r="BC923" s="650"/>
      <c r="BD923" s="650"/>
      <c r="BE923" s="650"/>
      <c r="BF923" s="650"/>
      <c r="BG923" s="650"/>
      <c r="BH923" s="650"/>
      <c r="BI923" s="650"/>
      <c r="BJ923" s="650"/>
      <c r="BK923" s="650"/>
      <c r="BL923" s="650"/>
      <c r="BM923" s="650"/>
      <c r="BN923" s="650"/>
      <c r="BO923" s="650"/>
      <c r="BP923" s="650"/>
      <c r="BQ923" s="650"/>
      <c r="BR923" s="650"/>
      <c r="BS923" s="650"/>
      <c r="BT923" s="650"/>
      <c r="BU923" s="650"/>
      <c r="BV923" s="650"/>
      <c r="BW923" s="650"/>
      <c r="BX923" s="650"/>
      <c r="BY923" s="700"/>
      <c r="BZ923" s="650"/>
      <c r="CA923" s="650"/>
      <c r="CB923" s="650"/>
      <c r="CC923" s="650"/>
      <c r="CD923" s="650"/>
      <c r="CE923" s="650"/>
      <c r="CF923" s="650"/>
      <c r="CG923" s="650"/>
      <c r="CH923" s="650"/>
      <c r="CI923" s="650"/>
      <c r="CJ923" s="650"/>
      <c r="CK923" s="650"/>
      <c r="CL923" s="155"/>
    </row>
    <row r="924" spans="1:90" x14ac:dyDescent="0.3">
      <c r="A924" s="600" t="s">
        <v>761</v>
      </c>
      <c r="B924" s="279"/>
      <c r="C924" s="1155"/>
      <c r="D924" s="1155">
        <f t="shared" ref="D924:J924" si="2239">C928</f>
        <v>625.798</v>
      </c>
      <c r="E924" s="1155">
        <f t="shared" si="2239"/>
        <v>571.85799999999995</v>
      </c>
      <c r="F924" s="1155">
        <f t="shared" si="2239"/>
        <v>568.85699999999997</v>
      </c>
      <c r="G924" s="654">
        <f t="shared" si="2239"/>
        <v>560.072</v>
      </c>
      <c r="H924" s="654">
        <f t="shared" si="2239"/>
        <v>553.54100000000005</v>
      </c>
      <c r="I924" s="654">
        <f t="shared" si="2239"/>
        <v>574.05600000000004</v>
      </c>
      <c r="J924" s="654">
        <f t="shared" si="2239"/>
        <v>566.54</v>
      </c>
      <c r="K924" s="1155">
        <f>F928</f>
        <v>560.072</v>
      </c>
      <c r="L924" s="654">
        <f>K928</f>
        <v>576.14400000000001</v>
      </c>
      <c r="M924" s="654">
        <f>L928</f>
        <v>588.02300000000002</v>
      </c>
      <c r="N924" s="654">
        <f>M928</f>
        <v>578.94799999999998</v>
      </c>
      <c r="O924" s="654">
        <f>N928</f>
        <v>595.41800000000001</v>
      </c>
      <c r="P924" s="1155">
        <f>K928</f>
        <v>576.14400000000001</v>
      </c>
      <c r="Q924" s="654">
        <f>P928</f>
        <v>582.74</v>
      </c>
      <c r="R924" s="654">
        <f>Q928</f>
        <v>570.80200000000002</v>
      </c>
      <c r="S924" s="654">
        <f>R928</f>
        <v>556.91099999999994</v>
      </c>
      <c r="T924" s="654">
        <f>S928</f>
        <v>566.601</v>
      </c>
      <c r="U924" s="1155">
        <f>P928</f>
        <v>582.74</v>
      </c>
      <c r="V924" s="654">
        <f>U928</f>
        <v>557</v>
      </c>
      <c r="W924" s="654">
        <f>V928</f>
        <v>547</v>
      </c>
      <c r="X924" s="654">
        <f>W928</f>
        <v>497</v>
      </c>
      <c r="Y924" s="654">
        <f>X928</f>
        <v>477</v>
      </c>
      <c r="Z924" s="1155">
        <f>U928</f>
        <v>557</v>
      </c>
      <c r="AA924" s="654">
        <f>Z928</f>
        <v>466</v>
      </c>
      <c r="AB924" s="654">
        <f>AA928</f>
        <v>479</v>
      </c>
      <c r="AC924" s="654">
        <f>AB928</f>
        <v>485</v>
      </c>
      <c r="AD924" s="654">
        <f>AC928</f>
        <v>503</v>
      </c>
      <c r="AE924" s="1155">
        <f>Z928</f>
        <v>466</v>
      </c>
      <c r="AF924" s="654">
        <f>AE928</f>
        <v>521</v>
      </c>
      <c r="AG924" s="654">
        <f>AF928</f>
        <v>539</v>
      </c>
      <c r="AH924" s="654">
        <f>AG928</f>
        <v>578</v>
      </c>
      <c r="AI924" s="654">
        <f>AH928</f>
        <v>600</v>
      </c>
      <c r="AJ924" s="1155">
        <f>AE928</f>
        <v>521</v>
      </c>
      <c r="AK924" s="654">
        <f>AJ928</f>
        <v>997</v>
      </c>
      <c r="AL924" s="654">
        <f>AK928</f>
        <v>1066</v>
      </c>
      <c r="AM924" s="654">
        <f>AL928</f>
        <v>1162</v>
      </c>
      <c r="AN924" s="654">
        <f>AM928</f>
        <v>1292</v>
      </c>
      <c r="AO924" s="1155">
        <f>AJ928</f>
        <v>997</v>
      </c>
      <c r="AP924" s="654">
        <f>AO928</f>
        <v>1404</v>
      </c>
      <c r="AQ924" s="654">
        <f>AP928</f>
        <v>1473</v>
      </c>
      <c r="AR924" s="654">
        <f>AQ928</f>
        <v>1484</v>
      </c>
      <c r="AS924" s="654">
        <f>AR928</f>
        <v>1517</v>
      </c>
      <c r="AT924" s="1155">
        <f>AO928</f>
        <v>1404</v>
      </c>
      <c r="AU924" s="654">
        <f>AT928</f>
        <v>1674</v>
      </c>
      <c r="AV924" s="654">
        <f>AU928</f>
        <v>1715</v>
      </c>
      <c r="AW924" s="654">
        <f>AV928</f>
        <v>1964</v>
      </c>
      <c r="AX924" s="654">
        <f>AW928</f>
        <v>2059</v>
      </c>
      <c r="AY924" s="1155">
        <f>AT928</f>
        <v>1674</v>
      </c>
      <c r="AZ924" s="654">
        <f>AY928</f>
        <v>2149</v>
      </c>
      <c r="BA924" s="654">
        <f>AZ928</f>
        <v>2268</v>
      </c>
      <c r="BB924" s="654">
        <f>BA928</f>
        <v>2364</v>
      </c>
      <c r="BC924" s="654">
        <f>BB928</f>
        <v>2509</v>
      </c>
      <c r="BD924" s="1155">
        <f>AY928</f>
        <v>2149</v>
      </c>
      <c r="BE924" s="654">
        <f>BD928</f>
        <v>2778</v>
      </c>
      <c r="BF924" s="654">
        <f>BE928</f>
        <v>2916</v>
      </c>
      <c r="BG924" s="654">
        <f>BF928</f>
        <v>3233</v>
      </c>
      <c r="BH924" s="654">
        <f>BG928</f>
        <v>3774</v>
      </c>
      <c r="BI924" s="1155">
        <f>BD928</f>
        <v>2778</v>
      </c>
      <c r="BJ924" s="654">
        <f>BI928</f>
        <v>3807</v>
      </c>
      <c r="BK924" s="654">
        <f>BJ928</f>
        <v>3740</v>
      </c>
      <c r="BL924" s="654">
        <f>BK928</f>
        <v>3799</v>
      </c>
      <c r="BM924" s="654">
        <f>BL928</f>
        <v>3844</v>
      </c>
      <c r="BN924" s="1155">
        <f>BI928</f>
        <v>3807</v>
      </c>
      <c r="BO924" s="654">
        <f>BN928</f>
        <v>3914</v>
      </c>
      <c r="BP924" s="654">
        <f>BO928</f>
        <v>4006</v>
      </c>
      <c r="BQ924" s="654">
        <f>BP928</f>
        <v>4885</v>
      </c>
      <c r="BR924" s="654">
        <f>BQ928</f>
        <v>5343</v>
      </c>
      <c r="BS924" s="1155">
        <f>BN928</f>
        <v>3914</v>
      </c>
      <c r="BT924" s="654">
        <f>BS928</f>
        <v>6283</v>
      </c>
      <c r="BU924" s="654">
        <f>BT928</f>
        <v>7136</v>
      </c>
      <c r="BV924" s="654">
        <f>BU928</f>
        <v>9141</v>
      </c>
      <c r="BW924" s="654">
        <f>BV928</f>
        <v>9780</v>
      </c>
      <c r="BX924" s="1155">
        <f>BS928</f>
        <v>6283</v>
      </c>
      <c r="BY924" s="947">
        <f>BX928</f>
        <v>10383</v>
      </c>
      <c r="BZ924" s="654">
        <f>BY928</f>
        <v>12403</v>
      </c>
      <c r="CA924" s="654">
        <f>BZ928</f>
        <v>11904.516226415095</v>
      </c>
      <c r="CB924" s="654">
        <f>CA928</f>
        <v>11429.479762437066</v>
      </c>
      <c r="CC924" s="1155">
        <f>BX928</f>
        <v>10383</v>
      </c>
      <c r="CD924" s="654">
        <f>CC928</f>
        <v>10945.02159637598</v>
      </c>
      <c r="CE924" s="654">
        <f>CD928</f>
        <v>10543.637213526281</v>
      </c>
      <c r="CF924" s="654">
        <f>CE928</f>
        <v>10152.678428671399</v>
      </c>
      <c r="CG924" s="654">
        <f>CF928</f>
        <v>9779.8302971266876</v>
      </c>
      <c r="CH924" s="1155">
        <f>CC928</f>
        <v>10945.02159637598</v>
      </c>
      <c r="CI924" s="1155">
        <f>CH928</f>
        <v>9424.450032511555</v>
      </c>
      <c r="CJ924" s="1155">
        <f>CI928</f>
        <v>8144.0930240585512</v>
      </c>
      <c r="CK924" s="1155">
        <f>CJ928</f>
        <v>7196.6288378033278</v>
      </c>
      <c r="CL924" s="155"/>
    </row>
    <row r="925" spans="1:90" x14ac:dyDescent="0.3">
      <c r="A925" s="99" t="s">
        <v>762</v>
      </c>
      <c r="B925" s="146"/>
      <c r="C925" s="1153"/>
      <c r="D925" s="1153">
        <f t="shared" ref="D925:AI925" si="2240">-D399</f>
        <v>-164.76399999999998</v>
      </c>
      <c r="E925" s="1153">
        <f t="shared" si="2240"/>
        <v>-156.989</v>
      </c>
      <c r="F925" s="1153">
        <f t="shared" si="2240"/>
        <v>-145.20500000000001</v>
      </c>
      <c r="G925" s="563">
        <f t="shared" si="2240"/>
        <v>-37.890999999999998</v>
      </c>
      <c r="H925" s="563">
        <f t="shared" si="2240"/>
        <v>-38.995000000000005</v>
      </c>
      <c r="I925" s="563">
        <f t="shared" si="2240"/>
        <v>-39.847999999999999</v>
      </c>
      <c r="J925" s="563">
        <f t="shared" si="2240"/>
        <v>-41.100999999999999</v>
      </c>
      <c r="K925" s="1153">
        <f t="shared" si="2240"/>
        <v>-157.83500000000001</v>
      </c>
      <c r="L925" s="563">
        <f t="shared" si="2240"/>
        <v>-42.344000000000001</v>
      </c>
      <c r="M925" s="563">
        <f t="shared" si="2240"/>
        <v>-43.24</v>
      </c>
      <c r="N925" s="563">
        <f t="shared" si="2240"/>
        <v>-43.125999999999998</v>
      </c>
      <c r="O925" s="563">
        <f t="shared" si="2240"/>
        <v>-37.737999999999992</v>
      </c>
      <c r="P925" s="1153">
        <f t="shared" si="2240"/>
        <v>-166.44799999999998</v>
      </c>
      <c r="Q925" s="563">
        <f t="shared" si="2240"/>
        <v>-36</v>
      </c>
      <c r="R925" s="563">
        <f t="shared" si="2240"/>
        <v>-37</v>
      </c>
      <c r="S925" s="563">
        <f t="shared" si="2240"/>
        <v>-36</v>
      </c>
      <c r="T925" s="563">
        <f t="shared" si="2240"/>
        <v>-34</v>
      </c>
      <c r="U925" s="1153">
        <f t="shared" si="2240"/>
        <v>-143</v>
      </c>
      <c r="V925" s="563">
        <f t="shared" si="2240"/>
        <v>-35</v>
      </c>
      <c r="W925" s="563">
        <f t="shared" si="2240"/>
        <v>-30</v>
      </c>
      <c r="X925" s="563">
        <f t="shared" si="2240"/>
        <v>-30</v>
      </c>
      <c r="Y925" s="563">
        <f t="shared" si="2240"/>
        <v>-29</v>
      </c>
      <c r="Z925" s="1153">
        <f t="shared" si="2240"/>
        <v>-124</v>
      </c>
      <c r="AA925" s="563">
        <f t="shared" si="2240"/>
        <v>-28</v>
      </c>
      <c r="AB925" s="563">
        <f t="shared" si="2240"/>
        <v>-29</v>
      </c>
      <c r="AC925" s="563">
        <f t="shared" si="2240"/>
        <v>-30</v>
      </c>
      <c r="AD925" s="563">
        <f t="shared" si="2240"/>
        <v>-32</v>
      </c>
      <c r="AE925" s="1153">
        <f t="shared" si="2240"/>
        <v>-119</v>
      </c>
      <c r="AF925" s="563">
        <f t="shared" si="2240"/>
        <v>-32</v>
      </c>
      <c r="AG925" s="563">
        <f t="shared" si="2240"/>
        <v>-35</v>
      </c>
      <c r="AH925" s="563">
        <f t="shared" si="2240"/>
        <v>-36</v>
      </c>
      <c r="AI925" s="563">
        <f t="shared" si="2240"/>
        <v>-41</v>
      </c>
      <c r="AJ925" s="1153">
        <f t="shared" ref="AJ925:BI925" si="2241">-AJ399</f>
        <v>-144</v>
      </c>
      <c r="AK925" s="563">
        <f t="shared" si="2241"/>
        <v>-46</v>
      </c>
      <c r="AL925" s="563">
        <f t="shared" si="2241"/>
        <v>-53</v>
      </c>
      <c r="AM925" s="563">
        <f t="shared" si="2241"/>
        <v>-61</v>
      </c>
      <c r="AN925" s="563">
        <f t="shared" si="2241"/>
        <v>-73</v>
      </c>
      <c r="AO925" s="1153">
        <f t="shared" si="2241"/>
        <v>-233</v>
      </c>
      <c r="AP925" s="563">
        <f t="shared" si="2241"/>
        <v>-84</v>
      </c>
      <c r="AQ925" s="563">
        <f t="shared" si="2241"/>
        <v>-86</v>
      </c>
      <c r="AR925" s="563">
        <f t="shared" si="2241"/>
        <v>-86</v>
      </c>
      <c r="AS925" s="563">
        <f t="shared" si="2241"/>
        <v>-100</v>
      </c>
      <c r="AT925" s="1153">
        <f t="shared" si="2241"/>
        <v>-356</v>
      </c>
      <c r="AU925" s="563">
        <f t="shared" si="2241"/>
        <v>-100</v>
      </c>
      <c r="AV925" s="563">
        <f t="shared" si="2241"/>
        <v>-120</v>
      </c>
      <c r="AW925" s="563">
        <f t="shared" si="2241"/>
        <v>-125</v>
      </c>
      <c r="AX925" s="563">
        <f t="shared" si="2241"/>
        <v>-141</v>
      </c>
      <c r="AY925" s="1153">
        <f t="shared" si="2241"/>
        <v>-486</v>
      </c>
      <c r="AZ925" s="563">
        <f t="shared" si="2241"/>
        <v>-144</v>
      </c>
      <c r="BA925" s="563">
        <f t="shared" si="2241"/>
        <v>-148</v>
      </c>
      <c r="BB925" s="563">
        <f t="shared" si="2241"/>
        <v>-155</v>
      </c>
      <c r="BC925" s="563">
        <f t="shared" si="2241"/>
        <v>-164</v>
      </c>
      <c r="BD925" s="1153">
        <f t="shared" si="2241"/>
        <v>-611</v>
      </c>
      <c r="BE925" s="563">
        <f t="shared" si="2241"/>
        <v>-179</v>
      </c>
      <c r="BF925" s="563">
        <f t="shared" si="2241"/>
        <v>-196</v>
      </c>
      <c r="BG925" s="563">
        <f t="shared" si="2241"/>
        <v>-225</v>
      </c>
      <c r="BH925" s="563">
        <f t="shared" si="2241"/>
        <v>-244</v>
      </c>
      <c r="BI925" s="1153">
        <f t="shared" si="2241"/>
        <v>-844</v>
      </c>
      <c r="BJ925" s="563">
        <f t="shared" ref="BJ925:BO925" si="2242">-BJ399</f>
        <v>-203</v>
      </c>
      <c r="BK925" s="563">
        <f t="shared" si="2242"/>
        <v>-219</v>
      </c>
      <c r="BL925" s="563">
        <f t="shared" si="2242"/>
        <v>-228</v>
      </c>
      <c r="BM925" s="563">
        <f t="shared" si="2242"/>
        <v>-244</v>
      </c>
      <c r="BN925" s="1153">
        <f t="shared" si="2242"/>
        <v>-894</v>
      </c>
      <c r="BO925" s="563">
        <f t="shared" si="2242"/>
        <v>-267</v>
      </c>
      <c r="BP925" s="563">
        <f t="shared" ref="BP925:BU925" si="2243">-BP399</f>
        <v>-287</v>
      </c>
      <c r="BQ925" s="563">
        <f t="shared" si="2243"/>
        <v>-329</v>
      </c>
      <c r="BR925" s="563">
        <f t="shared" si="2243"/>
        <v>-388</v>
      </c>
      <c r="BS925" s="1153">
        <f t="shared" si="2243"/>
        <v>-1271</v>
      </c>
      <c r="BT925" s="563">
        <f t="shared" si="2243"/>
        <v>-452</v>
      </c>
      <c r="BU925" s="563">
        <f t="shared" si="2243"/>
        <v>-583</v>
      </c>
      <c r="BV925" s="563">
        <f>-BV399</f>
        <v>-655</v>
      </c>
      <c r="BW925" s="563">
        <f>-BW399</f>
        <v>-665</v>
      </c>
      <c r="BX925" s="1153">
        <f>-BX399</f>
        <v>-2355</v>
      </c>
      <c r="BY925" s="731">
        <f>-BY399</f>
        <v>-765</v>
      </c>
      <c r="BZ925" s="563">
        <f>-BZ924*BZ936*BZ3/CC3</f>
        <v>-790.98377358490575</v>
      </c>
      <c r="CA925" s="563">
        <f>-CA924*CA936*CA3/CC3</f>
        <v>-767.53646397802993</v>
      </c>
      <c r="CB925" s="563">
        <f>-CB924*CB936*CB3/CC3</f>
        <v>-776.95816606108576</v>
      </c>
      <c r="CC925" s="1153">
        <f>IF(OR(ISBLANK(BY925),ISBLANK(BZ925),ISBLANK(CA925),ISBLANK(CB925)),"n/a",SUM(BY925,BZ925,CA925,CB925))</f>
        <v>-3100.4784036240212</v>
      </c>
      <c r="CD925" s="563">
        <f>-CD924*CD936*CD3/CH3</f>
        <v>-693.88438284969925</v>
      </c>
      <c r="CE925" s="563">
        <f>-CE924*CE936*CE3/CH3</f>
        <v>-683.45878485488163</v>
      </c>
      <c r="CF925" s="563">
        <f>-CF924*CF936*CF3/CH3</f>
        <v>-665.34813154471203</v>
      </c>
      <c r="CG925" s="563">
        <f>-CG924*CG936*CG3/CH3</f>
        <v>-647.88026461513232</v>
      </c>
      <c r="CH925" s="1153">
        <f>IF(OR(ISBLANK(CD925),ISBLANK(CE925),ISBLANK(CF925),ISBLANK(CG925)),"n/a",SUM(CD925,CE925,CF925,CG925))</f>
        <v>-2690.5715638644251</v>
      </c>
      <c r="CI925" s="1153">
        <f>-CI924*CI936</f>
        <v>-2450.3570084530043</v>
      </c>
      <c r="CJ925" s="1153">
        <f>-CJ924*CJ936</f>
        <v>-2117.4641862552235</v>
      </c>
      <c r="CK925" s="1153">
        <f>-CK924*CK936</f>
        <v>-1871.1234978288653</v>
      </c>
      <c r="CL925" s="155"/>
    </row>
    <row r="926" spans="1:90" x14ac:dyDescent="0.3">
      <c r="A926" s="99" t="s">
        <v>764</v>
      </c>
      <c r="B926" s="146"/>
      <c r="C926" s="1153"/>
      <c r="D926" s="1153">
        <f t="shared" ref="D926:AI926" si="2244">-D884</f>
        <v>77.600999999999999</v>
      </c>
      <c r="E926" s="1153">
        <f t="shared" si="2244"/>
        <v>97.89</v>
      </c>
      <c r="F926" s="1153">
        <f t="shared" si="2244"/>
        <v>138.73500000000001</v>
      </c>
      <c r="G926" s="563">
        <f t="shared" si="2244"/>
        <v>28.922999999999998</v>
      </c>
      <c r="H926" s="563">
        <f t="shared" si="2244"/>
        <v>61.944000000000003</v>
      </c>
      <c r="I926" s="563">
        <f t="shared" si="2244"/>
        <v>44.683999999999983</v>
      </c>
      <c r="J926" s="563">
        <f t="shared" si="2244"/>
        <v>47.75800000000001</v>
      </c>
      <c r="K926" s="1153">
        <f t="shared" si="2244"/>
        <v>183.309</v>
      </c>
      <c r="L926" s="563">
        <f t="shared" si="2244"/>
        <v>65.667000000000002</v>
      </c>
      <c r="M926" s="563">
        <f t="shared" si="2244"/>
        <v>84.98599999999999</v>
      </c>
      <c r="N926" s="563">
        <f t="shared" si="2244"/>
        <v>38.15900000000002</v>
      </c>
      <c r="O926" s="563">
        <f t="shared" si="2244"/>
        <v>66.373999999999995</v>
      </c>
      <c r="P926" s="1153">
        <f t="shared" si="2244"/>
        <v>255.18600000000001</v>
      </c>
      <c r="Q926" s="563">
        <f t="shared" si="2244"/>
        <v>29</v>
      </c>
      <c r="R926" s="563">
        <f t="shared" si="2244"/>
        <v>23</v>
      </c>
      <c r="S926" s="563">
        <f t="shared" si="2244"/>
        <v>39</v>
      </c>
      <c r="T926" s="563">
        <f t="shared" si="2244"/>
        <v>31</v>
      </c>
      <c r="U926" s="1153">
        <f t="shared" si="2244"/>
        <v>122</v>
      </c>
      <c r="V926" s="563">
        <f t="shared" si="2244"/>
        <v>30</v>
      </c>
      <c r="W926" s="563">
        <f t="shared" si="2244"/>
        <v>24</v>
      </c>
      <c r="X926" s="563">
        <f t="shared" si="2244"/>
        <v>17</v>
      </c>
      <c r="Y926" s="563">
        <f t="shared" si="2244"/>
        <v>15</v>
      </c>
      <c r="Z926" s="1153">
        <f t="shared" si="2244"/>
        <v>86</v>
      </c>
      <c r="AA926" s="563">
        <f t="shared" si="2244"/>
        <v>55</v>
      </c>
      <c r="AB926" s="563">
        <f t="shared" si="2244"/>
        <v>32</v>
      </c>
      <c r="AC926" s="563">
        <f t="shared" si="2244"/>
        <v>38</v>
      </c>
      <c r="AD926" s="563">
        <f t="shared" si="2244"/>
        <v>51</v>
      </c>
      <c r="AE926" s="1153">
        <f t="shared" si="2244"/>
        <v>176</v>
      </c>
      <c r="AF926" s="563">
        <f t="shared" si="2244"/>
        <v>54</v>
      </c>
      <c r="AG926" s="563">
        <f t="shared" si="2244"/>
        <v>54</v>
      </c>
      <c r="AH926" s="563">
        <f t="shared" si="2244"/>
        <v>69</v>
      </c>
      <c r="AI926" s="563">
        <f t="shared" si="2244"/>
        <v>416</v>
      </c>
      <c r="AJ926" s="1153">
        <f t="shared" ref="AJ926:BI926" si="2245">-AJ884</f>
        <v>593</v>
      </c>
      <c r="AK926" s="563">
        <f t="shared" si="2245"/>
        <v>118</v>
      </c>
      <c r="AL926" s="563">
        <f t="shared" si="2245"/>
        <v>129</v>
      </c>
      <c r="AM926" s="563">
        <f t="shared" si="2245"/>
        <v>150</v>
      </c>
      <c r="AN926" s="563">
        <f t="shared" si="2245"/>
        <v>203</v>
      </c>
      <c r="AO926" s="1153">
        <f t="shared" si="2245"/>
        <v>600</v>
      </c>
      <c r="AP926" s="563">
        <f t="shared" si="2245"/>
        <v>128</v>
      </c>
      <c r="AQ926" s="563">
        <f t="shared" si="2245"/>
        <v>113</v>
      </c>
      <c r="AR926" s="563">
        <f t="shared" si="2245"/>
        <v>103</v>
      </c>
      <c r="AS926" s="563">
        <f t="shared" si="2245"/>
        <v>145</v>
      </c>
      <c r="AT926" s="1153">
        <f t="shared" si="2245"/>
        <v>489</v>
      </c>
      <c r="AU926" s="563">
        <f t="shared" si="2245"/>
        <v>155</v>
      </c>
      <c r="AV926" s="563">
        <f t="shared" si="2245"/>
        <v>217</v>
      </c>
      <c r="AW926" s="563">
        <f t="shared" si="2245"/>
        <v>473</v>
      </c>
      <c r="AX926" s="563">
        <f t="shared" si="2245"/>
        <v>283</v>
      </c>
      <c r="AY926" s="1153">
        <f t="shared" si="2245"/>
        <v>1128</v>
      </c>
      <c r="AZ926" s="563">
        <f t="shared" si="2245"/>
        <v>298</v>
      </c>
      <c r="BA926" s="563">
        <f t="shared" si="2245"/>
        <v>183</v>
      </c>
      <c r="BB926" s="563">
        <f t="shared" si="2245"/>
        <v>222</v>
      </c>
      <c r="BC926" s="563">
        <f t="shared" si="2245"/>
        <v>273</v>
      </c>
      <c r="BD926" s="1153">
        <f t="shared" si="2245"/>
        <v>976</v>
      </c>
      <c r="BE926" s="563">
        <f t="shared" si="2245"/>
        <v>361</v>
      </c>
      <c r="BF926" s="563">
        <f t="shared" si="2245"/>
        <v>433</v>
      </c>
      <c r="BG926" s="563">
        <f t="shared" si="2245"/>
        <v>530</v>
      </c>
      <c r="BH926" s="563">
        <f t="shared" si="2245"/>
        <v>509</v>
      </c>
      <c r="BI926" s="1153">
        <f t="shared" si="2245"/>
        <v>1833</v>
      </c>
      <c r="BJ926" s="563">
        <f t="shared" ref="BJ926:BO926" si="2246">-BJ884</f>
        <v>248</v>
      </c>
      <c r="BK926" s="563">
        <f t="shared" si="2246"/>
        <v>289</v>
      </c>
      <c r="BL926" s="563">
        <f t="shared" si="2246"/>
        <v>278</v>
      </c>
      <c r="BM926" s="563">
        <f t="shared" si="2246"/>
        <v>254</v>
      </c>
      <c r="BN926" s="1153">
        <f t="shared" si="2246"/>
        <v>1069</v>
      </c>
      <c r="BO926" s="563">
        <f t="shared" si="2246"/>
        <v>369</v>
      </c>
      <c r="BP926" s="563">
        <f t="shared" ref="BP926:BU926" si="2247">-BP884</f>
        <v>977</v>
      </c>
      <c r="BQ926" s="563">
        <f t="shared" si="2247"/>
        <v>813</v>
      </c>
      <c r="BR926" s="563">
        <f t="shared" si="2247"/>
        <v>1077</v>
      </c>
      <c r="BS926" s="1153">
        <f t="shared" si="2247"/>
        <v>3236</v>
      </c>
      <c r="BT926" s="563">
        <f t="shared" si="2247"/>
        <v>1227</v>
      </c>
      <c r="BU926" s="563">
        <f t="shared" si="2247"/>
        <v>1895</v>
      </c>
      <c r="BV926" s="563">
        <f>-BV884</f>
        <v>1636</v>
      </c>
      <c r="BW926" s="563">
        <f>-BW884</f>
        <v>1284</v>
      </c>
      <c r="BX926" s="1153">
        <f>-BX884</f>
        <v>6042</v>
      </c>
      <c r="BY926" s="731">
        <f>-BY884</f>
        <v>1757</v>
      </c>
      <c r="BZ926" s="563">
        <f>BZ942*(1-BZ943)+BZ944*(1-BZ945)</f>
        <v>292.5</v>
      </c>
      <c r="CA926" s="563">
        <f>CA942*(1-CA943)+CA944*(1-CA945)</f>
        <v>292.5</v>
      </c>
      <c r="CB926" s="563">
        <f>CB942*(1-CB943)+CB944*(1-CB945)</f>
        <v>292.5</v>
      </c>
      <c r="CC926" s="1153">
        <f>IF(OR(ISBLANK(BY926),ISBLANK(BZ926),ISBLANK(CA926),ISBLANK(CB926)),"n/a",SUM(BY926,BZ926,CA926,CB926))</f>
        <v>2634.5</v>
      </c>
      <c r="CD926" s="563">
        <f>CD942*(1-CD943)+CD944*(1-CD945)</f>
        <v>292.5</v>
      </c>
      <c r="CE926" s="563">
        <f>CE942*(1-CE943)+CE944*(1-CE945)</f>
        <v>292.5</v>
      </c>
      <c r="CF926" s="563">
        <f>CF942*(1-CF943)+CF944*(1-CF945)</f>
        <v>292.5</v>
      </c>
      <c r="CG926" s="563">
        <f>CG942*(1-CG943)+CG944*(1-CG945)</f>
        <v>292.5</v>
      </c>
      <c r="CH926" s="1153">
        <f>IF(OR(ISBLANK(CD926),ISBLANK(CE926),ISBLANK(CF926),ISBLANK(CG926)),"n/a",SUM(CD926,CE926,CF926,CG926))</f>
        <v>1170</v>
      </c>
      <c r="CI926" s="1153">
        <f>CI942*(1-CI943)+CI944*(1-CI945)</f>
        <v>1170</v>
      </c>
      <c r="CJ926" s="1153">
        <f>CJ942*(1-CJ943)+CJ944*(1-CJ945)</f>
        <v>1170</v>
      </c>
      <c r="CK926" s="1153">
        <f>CK942*(1-CK943)+CK944*(1-CK945)</f>
        <v>1170</v>
      </c>
      <c r="CL926" s="155"/>
    </row>
    <row r="927" spans="1:90" x14ac:dyDescent="0.3">
      <c r="A927" s="99" t="s">
        <v>765</v>
      </c>
      <c r="B927" s="146"/>
      <c r="C927" s="1153"/>
      <c r="D927" s="1153">
        <f t="shared" ref="D927:AI927" si="2248">ROUND(D928-D924-D925-D926,6)</f>
        <v>33.222999999999999</v>
      </c>
      <c r="E927" s="1153">
        <f t="shared" si="2248"/>
        <v>56.097999999999999</v>
      </c>
      <c r="F927" s="1153">
        <f t="shared" si="2248"/>
        <v>-2.3149999999999999</v>
      </c>
      <c r="G927" s="563">
        <f t="shared" si="2248"/>
        <v>2.4369999999999998</v>
      </c>
      <c r="H927" s="563">
        <f t="shared" si="2248"/>
        <v>-2.4340000000000002</v>
      </c>
      <c r="I927" s="563">
        <f t="shared" si="2248"/>
        <v>-12.352</v>
      </c>
      <c r="J927" s="563">
        <f t="shared" si="2248"/>
        <v>2.9470000000000001</v>
      </c>
      <c r="K927" s="1153">
        <f t="shared" si="2248"/>
        <v>-9.4019999999999992</v>
      </c>
      <c r="L927" s="563">
        <f t="shared" si="2248"/>
        <v>-11.444000000000001</v>
      </c>
      <c r="M927" s="563">
        <f t="shared" si="2248"/>
        <v>-50.820999999999998</v>
      </c>
      <c r="N927" s="563">
        <f t="shared" si="2248"/>
        <v>21.437000000000001</v>
      </c>
      <c r="O927" s="563">
        <f t="shared" si="2248"/>
        <v>-41.314</v>
      </c>
      <c r="P927" s="1153">
        <f t="shared" si="2248"/>
        <v>-82.141999999999996</v>
      </c>
      <c r="Q927" s="563">
        <f t="shared" si="2248"/>
        <v>-4.9379999999999997</v>
      </c>
      <c r="R927" s="563">
        <f t="shared" si="2248"/>
        <v>0.109</v>
      </c>
      <c r="S927" s="563">
        <f t="shared" si="2248"/>
        <v>6.69</v>
      </c>
      <c r="T927" s="563">
        <f t="shared" si="2248"/>
        <v>-6.601</v>
      </c>
      <c r="U927" s="1153">
        <f t="shared" si="2248"/>
        <v>-4.74</v>
      </c>
      <c r="V927" s="563">
        <f t="shared" si="2248"/>
        <v>-5</v>
      </c>
      <c r="W927" s="563">
        <f t="shared" si="2248"/>
        <v>-44</v>
      </c>
      <c r="X927" s="563">
        <f t="shared" si="2248"/>
        <v>-7</v>
      </c>
      <c r="Y927" s="563">
        <f t="shared" si="2248"/>
        <v>3</v>
      </c>
      <c r="Z927" s="1153">
        <f t="shared" si="2248"/>
        <v>-53</v>
      </c>
      <c r="AA927" s="563">
        <f t="shared" si="2248"/>
        <v>-14</v>
      </c>
      <c r="AB927" s="563">
        <f t="shared" si="2248"/>
        <v>3</v>
      </c>
      <c r="AC927" s="563">
        <f t="shared" si="2248"/>
        <v>10</v>
      </c>
      <c r="AD927" s="563">
        <f t="shared" si="2248"/>
        <v>-1</v>
      </c>
      <c r="AE927" s="1153">
        <f t="shared" si="2248"/>
        <v>-2</v>
      </c>
      <c r="AF927" s="563">
        <f t="shared" si="2248"/>
        <v>-4</v>
      </c>
      <c r="AG927" s="563">
        <f t="shared" si="2248"/>
        <v>20</v>
      </c>
      <c r="AH927" s="563">
        <f t="shared" si="2248"/>
        <v>-11</v>
      </c>
      <c r="AI927" s="563">
        <f t="shared" si="2248"/>
        <v>22</v>
      </c>
      <c r="AJ927" s="1153">
        <f t="shared" ref="AJ927:BE927" si="2249">ROUND(AJ928-AJ924-AJ925-AJ926,6)</f>
        <v>27</v>
      </c>
      <c r="AK927" s="563">
        <f t="shared" si="2249"/>
        <v>-3</v>
      </c>
      <c r="AL927" s="563">
        <f t="shared" si="2249"/>
        <v>20</v>
      </c>
      <c r="AM927" s="563">
        <f t="shared" si="2249"/>
        <v>41</v>
      </c>
      <c r="AN927" s="563">
        <f t="shared" si="2249"/>
        <v>-18</v>
      </c>
      <c r="AO927" s="1153">
        <f t="shared" si="2249"/>
        <v>40</v>
      </c>
      <c r="AP927" s="563">
        <f t="shared" si="2249"/>
        <v>25</v>
      </c>
      <c r="AQ927" s="563">
        <f t="shared" si="2249"/>
        <v>-16</v>
      </c>
      <c r="AR927" s="563">
        <f t="shared" si="2249"/>
        <v>16</v>
      </c>
      <c r="AS927" s="563">
        <f t="shared" si="2249"/>
        <v>112</v>
      </c>
      <c r="AT927" s="1153">
        <f t="shared" si="2249"/>
        <v>137</v>
      </c>
      <c r="AU927" s="563">
        <f t="shared" si="2249"/>
        <v>-14</v>
      </c>
      <c r="AV927" s="563">
        <f t="shared" si="2249"/>
        <v>152</v>
      </c>
      <c r="AW927" s="563">
        <f t="shared" si="2249"/>
        <v>-253</v>
      </c>
      <c r="AX927" s="563">
        <f t="shared" si="2249"/>
        <v>-52</v>
      </c>
      <c r="AY927" s="1153">
        <f t="shared" si="2249"/>
        <v>-167</v>
      </c>
      <c r="AZ927" s="563">
        <f t="shared" si="2249"/>
        <v>-35</v>
      </c>
      <c r="BA927" s="563">
        <f t="shared" si="2249"/>
        <v>61</v>
      </c>
      <c r="BB927" s="563">
        <f t="shared" si="2249"/>
        <v>78</v>
      </c>
      <c r="BC927" s="563">
        <f t="shared" si="2249"/>
        <v>160</v>
      </c>
      <c r="BD927" s="1153">
        <f t="shared" si="2249"/>
        <v>264</v>
      </c>
      <c r="BE927" s="563">
        <f t="shared" si="2249"/>
        <v>-44</v>
      </c>
      <c r="BF927" s="563">
        <f t="shared" ref="BF927:BI927" si="2250">ROUND(BF928-BF924-BF925-BF926,6)</f>
        <v>80</v>
      </c>
      <c r="BG927" s="563">
        <f t="shared" si="2250"/>
        <v>236</v>
      </c>
      <c r="BH927" s="563">
        <f t="shared" si="2250"/>
        <v>-232</v>
      </c>
      <c r="BI927" s="1153">
        <f t="shared" si="2250"/>
        <v>40</v>
      </c>
      <c r="BJ927" s="563">
        <f t="shared" ref="BJ927:BN927" si="2251">ROUND(BJ928-BJ924-BJ925-BJ926,6)</f>
        <v>-112</v>
      </c>
      <c r="BK927" s="563">
        <f t="shared" si="2251"/>
        <v>-11</v>
      </c>
      <c r="BL927" s="563">
        <f t="shared" si="2251"/>
        <v>-5</v>
      </c>
      <c r="BM927" s="563">
        <f t="shared" si="2251"/>
        <v>60</v>
      </c>
      <c r="BN927" s="1153">
        <f t="shared" si="2251"/>
        <v>-68</v>
      </c>
      <c r="BO927" s="563">
        <f t="shared" ref="BO927:BS927" si="2252">ROUND(BO928-BO924-BO925-BO926,6)</f>
        <v>-10</v>
      </c>
      <c r="BP927" s="563">
        <f t="shared" si="2252"/>
        <v>189</v>
      </c>
      <c r="BQ927" s="563">
        <f t="shared" si="2252"/>
        <v>-26</v>
      </c>
      <c r="BR927" s="563">
        <f t="shared" si="2252"/>
        <v>251</v>
      </c>
      <c r="BS927" s="1153">
        <f t="shared" si="2252"/>
        <v>404</v>
      </c>
      <c r="BT927" s="563">
        <f t="shared" ref="BT927:CB927" si="2253">ROUND(BT928-BT924-BT925-BT926,6)</f>
        <v>78</v>
      </c>
      <c r="BU927" s="563">
        <f t="shared" si="2253"/>
        <v>693</v>
      </c>
      <c r="BV927" s="563">
        <f t="shared" si="2253"/>
        <v>-342</v>
      </c>
      <c r="BW927" s="563">
        <f t="shared" si="2253"/>
        <v>-16</v>
      </c>
      <c r="BX927" s="1153">
        <f t="shared" si="2253"/>
        <v>413</v>
      </c>
      <c r="BY927" s="731">
        <f>ROUND(BY928-BY924-BY925-BY926,6)</f>
        <v>1028</v>
      </c>
      <c r="BZ927" s="563">
        <f t="shared" si="2253"/>
        <v>0</v>
      </c>
      <c r="CA927" s="563">
        <f t="shared" si="2253"/>
        <v>0</v>
      </c>
      <c r="CB927" s="563">
        <f t="shared" si="2253"/>
        <v>0</v>
      </c>
      <c r="CC927" s="1153">
        <f>ROUND(CC928-CC924-IF(ISNUMBER(CC925),CC925,0)-IF(ISNUMBER(CC926),CC926,0),6)</f>
        <v>1028</v>
      </c>
      <c r="CD927" s="563">
        <f>ROUND(CD928-CD924-CD925-CD926,6)</f>
        <v>0</v>
      </c>
      <c r="CE927" s="563">
        <f>ROUND(CE928-CE924-CE925-CE926,6)</f>
        <v>0</v>
      </c>
      <c r="CF927" s="563">
        <f>ROUND(CF928-CF924-CF925-CF926,6)</f>
        <v>0</v>
      </c>
      <c r="CG927" s="563">
        <f>ROUND(CG928-CG924-CG925-CG926,6)</f>
        <v>0</v>
      </c>
      <c r="CH927" s="1153">
        <f>ROUND(CH928-CH924-IF(ISNUMBER(CH925),CH925,0)-IF(ISNUMBER(CH926),CH926,0),6)</f>
        <v>0</v>
      </c>
      <c r="CI927" s="1153">
        <f>ROUND(CI928-CI924-CI925-CI926,6)</f>
        <v>0</v>
      </c>
      <c r="CJ927" s="1153">
        <f>ROUND(CJ928-CJ924-CJ925-CJ926,6)</f>
        <v>0</v>
      </c>
      <c r="CK927" s="1153">
        <f>ROUND(CK928-CK924-CK925-CK926,6)</f>
        <v>0</v>
      </c>
      <c r="CL927" s="155"/>
    </row>
    <row r="928" spans="1:90" x14ac:dyDescent="0.3">
      <c r="A928" s="651" t="s">
        <v>760</v>
      </c>
      <c r="B928" s="652"/>
      <c r="C928" s="1233">
        <f t="shared" ref="C928:AH928" si="2254">C973</f>
        <v>625.798</v>
      </c>
      <c r="D928" s="1233">
        <f t="shared" si="2254"/>
        <v>571.85799999999995</v>
      </c>
      <c r="E928" s="1233">
        <f t="shared" si="2254"/>
        <v>568.85699999999997</v>
      </c>
      <c r="F928" s="1233">
        <f t="shared" si="2254"/>
        <v>560.072</v>
      </c>
      <c r="G928" s="653">
        <f t="shared" si="2254"/>
        <v>553.54100000000005</v>
      </c>
      <c r="H928" s="653">
        <f t="shared" si="2254"/>
        <v>574.05600000000004</v>
      </c>
      <c r="I928" s="653">
        <f t="shared" si="2254"/>
        <v>566.54</v>
      </c>
      <c r="J928" s="653">
        <f t="shared" si="2254"/>
        <v>576.14400000000001</v>
      </c>
      <c r="K928" s="1233">
        <f t="shared" si="2254"/>
        <v>576.14400000000001</v>
      </c>
      <c r="L928" s="653">
        <f t="shared" si="2254"/>
        <v>588.02300000000002</v>
      </c>
      <c r="M928" s="653">
        <f t="shared" si="2254"/>
        <v>578.94799999999998</v>
      </c>
      <c r="N928" s="653">
        <f t="shared" si="2254"/>
        <v>595.41800000000001</v>
      </c>
      <c r="O928" s="653">
        <f t="shared" si="2254"/>
        <v>582.74</v>
      </c>
      <c r="P928" s="1233">
        <f t="shared" si="2254"/>
        <v>582.74</v>
      </c>
      <c r="Q928" s="653">
        <f t="shared" si="2254"/>
        <v>570.80200000000002</v>
      </c>
      <c r="R928" s="653">
        <f t="shared" si="2254"/>
        <v>556.91099999999994</v>
      </c>
      <c r="S928" s="653">
        <f t="shared" si="2254"/>
        <v>566.601</v>
      </c>
      <c r="T928" s="653">
        <f t="shared" si="2254"/>
        <v>557</v>
      </c>
      <c r="U928" s="1233">
        <f t="shared" si="2254"/>
        <v>557</v>
      </c>
      <c r="V928" s="653">
        <f t="shared" si="2254"/>
        <v>547</v>
      </c>
      <c r="W928" s="653">
        <f t="shared" si="2254"/>
        <v>497</v>
      </c>
      <c r="X928" s="653">
        <f t="shared" si="2254"/>
        <v>477</v>
      </c>
      <c r="Y928" s="653">
        <f t="shared" si="2254"/>
        <v>466</v>
      </c>
      <c r="Z928" s="1233">
        <f t="shared" si="2254"/>
        <v>466</v>
      </c>
      <c r="AA928" s="653">
        <f t="shared" si="2254"/>
        <v>479</v>
      </c>
      <c r="AB928" s="653">
        <f t="shared" si="2254"/>
        <v>485</v>
      </c>
      <c r="AC928" s="653">
        <f t="shared" si="2254"/>
        <v>503</v>
      </c>
      <c r="AD928" s="653">
        <f t="shared" si="2254"/>
        <v>521</v>
      </c>
      <c r="AE928" s="1233">
        <f t="shared" si="2254"/>
        <v>521</v>
      </c>
      <c r="AF928" s="653">
        <f t="shared" si="2254"/>
        <v>539</v>
      </c>
      <c r="AG928" s="653">
        <f t="shared" si="2254"/>
        <v>578</v>
      </c>
      <c r="AH928" s="653">
        <f t="shared" si="2254"/>
        <v>600</v>
      </c>
      <c r="AI928" s="653">
        <f t="shared" ref="AI928:BE928" si="2255">AI973</f>
        <v>997</v>
      </c>
      <c r="AJ928" s="1233">
        <f t="shared" si="2255"/>
        <v>997</v>
      </c>
      <c r="AK928" s="653">
        <f t="shared" si="2255"/>
        <v>1066</v>
      </c>
      <c r="AL928" s="653">
        <f t="shared" si="2255"/>
        <v>1162</v>
      </c>
      <c r="AM928" s="653">
        <f t="shared" si="2255"/>
        <v>1292</v>
      </c>
      <c r="AN928" s="653">
        <f t="shared" si="2255"/>
        <v>1404</v>
      </c>
      <c r="AO928" s="1233">
        <f t="shared" si="2255"/>
        <v>1404</v>
      </c>
      <c r="AP928" s="653">
        <f t="shared" si="2255"/>
        <v>1473</v>
      </c>
      <c r="AQ928" s="653">
        <f t="shared" si="2255"/>
        <v>1484</v>
      </c>
      <c r="AR928" s="653">
        <f t="shared" si="2255"/>
        <v>1517</v>
      </c>
      <c r="AS928" s="653">
        <f t="shared" si="2255"/>
        <v>1674</v>
      </c>
      <c r="AT928" s="1233">
        <f t="shared" si="2255"/>
        <v>1674</v>
      </c>
      <c r="AU928" s="653">
        <f t="shared" si="2255"/>
        <v>1715</v>
      </c>
      <c r="AV928" s="653">
        <f t="shared" si="2255"/>
        <v>1964</v>
      </c>
      <c r="AW928" s="653">
        <f t="shared" si="2255"/>
        <v>2059</v>
      </c>
      <c r="AX928" s="653">
        <f t="shared" si="2255"/>
        <v>2149</v>
      </c>
      <c r="AY928" s="1233">
        <f t="shared" si="2255"/>
        <v>2149</v>
      </c>
      <c r="AZ928" s="653">
        <f t="shared" si="2255"/>
        <v>2268</v>
      </c>
      <c r="BA928" s="653">
        <f t="shared" si="2255"/>
        <v>2364</v>
      </c>
      <c r="BB928" s="653">
        <f t="shared" si="2255"/>
        <v>2509</v>
      </c>
      <c r="BC928" s="653">
        <f t="shared" si="2255"/>
        <v>2778</v>
      </c>
      <c r="BD928" s="1233">
        <f t="shared" si="2255"/>
        <v>2778</v>
      </c>
      <c r="BE928" s="653">
        <f t="shared" si="2255"/>
        <v>2916</v>
      </c>
      <c r="BF928" s="653">
        <f t="shared" ref="BF928:BI928" si="2256">BF973</f>
        <v>3233</v>
      </c>
      <c r="BG928" s="653">
        <f t="shared" si="2256"/>
        <v>3774</v>
      </c>
      <c r="BH928" s="653">
        <f t="shared" si="2256"/>
        <v>3807</v>
      </c>
      <c r="BI928" s="1233">
        <f t="shared" si="2256"/>
        <v>3807</v>
      </c>
      <c r="BJ928" s="653">
        <f t="shared" ref="BJ928:BN928" si="2257">BJ973</f>
        <v>3740</v>
      </c>
      <c r="BK928" s="653">
        <f t="shared" si="2257"/>
        <v>3799</v>
      </c>
      <c r="BL928" s="653">
        <f t="shared" si="2257"/>
        <v>3844</v>
      </c>
      <c r="BM928" s="653">
        <f t="shared" si="2257"/>
        <v>3914</v>
      </c>
      <c r="BN928" s="1233">
        <f t="shared" si="2257"/>
        <v>3914</v>
      </c>
      <c r="BO928" s="653">
        <f t="shared" ref="BO928:BS928" si="2258">BO973</f>
        <v>4006</v>
      </c>
      <c r="BP928" s="653">
        <f t="shared" si="2258"/>
        <v>4885</v>
      </c>
      <c r="BQ928" s="653">
        <f t="shared" si="2258"/>
        <v>5343</v>
      </c>
      <c r="BR928" s="653">
        <f t="shared" si="2258"/>
        <v>6283</v>
      </c>
      <c r="BS928" s="1233">
        <f t="shared" si="2258"/>
        <v>6283</v>
      </c>
      <c r="BT928" s="653">
        <f t="shared" ref="BT928:CK928" si="2259">BT973</f>
        <v>7136</v>
      </c>
      <c r="BU928" s="653">
        <f t="shared" si="2259"/>
        <v>9141</v>
      </c>
      <c r="BV928" s="653">
        <f t="shared" si="2259"/>
        <v>9780</v>
      </c>
      <c r="BW928" s="653">
        <f t="shared" si="2259"/>
        <v>10383</v>
      </c>
      <c r="BX928" s="1233">
        <f t="shared" si="2259"/>
        <v>10383</v>
      </c>
      <c r="BY928" s="948">
        <f>BY973</f>
        <v>12403</v>
      </c>
      <c r="BZ928" s="653">
        <f t="shared" si="2259"/>
        <v>11904.516226415095</v>
      </c>
      <c r="CA928" s="653">
        <f t="shared" si="2259"/>
        <v>11429.479762437066</v>
      </c>
      <c r="CB928" s="653">
        <f t="shared" si="2259"/>
        <v>10945.02159637598</v>
      </c>
      <c r="CC928" s="1233">
        <f t="shared" si="2259"/>
        <v>10945.02159637598</v>
      </c>
      <c r="CD928" s="653">
        <f t="shared" si="2259"/>
        <v>10543.637213526281</v>
      </c>
      <c r="CE928" s="653">
        <f t="shared" si="2259"/>
        <v>10152.678428671399</v>
      </c>
      <c r="CF928" s="653">
        <f t="shared" si="2259"/>
        <v>9779.8302971266876</v>
      </c>
      <c r="CG928" s="653">
        <f t="shared" si="2259"/>
        <v>9424.450032511555</v>
      </c>
      <c r="CH928" s="1233">
        <f t="shared" si="2259"/>
        <v>9424.450032511555</v>
      </c>
      <c r="CI928" s="1233">
        <f t="shared" si="2259"/>
        <v>8144.0930240585512</v>
      </c>
      <c r="CJ928" s="1233">
        <f t="shared" si="2259"/>
        <v>7196.6288378033278</v>
      </c>
      <c r="CK928" s="1233">
        <f t="shared" si="2259"/>
        <v>6495.5053399744629</v>
      </c>
      <c r="CL928" s="155"/>
    </row>
    <row r="929" spans="1:90" x14ac:dyDescent="0.3">
      <c r="A929" s="99"/>
      <c r="B929" s="146"/>
      <c r="C929" s="1153"/>
      <c r="D929" s="1153"/>
      <c r="E929" s="1153"/>
      <c r="F929" s="1153"/>
      <c r="G929" s="563"/>
      <c r="H929" s="563"/>
      <c r="I929" s="563"/>
      <c r="J929" s="563"/>
      <c r="K929" s="1153"/>
      <c r="L929" s="563"/>
      <c r="M929" s="563"/>
      <c r="N929" s="563"/>
      <c r="O929" s="563"/>
      <c r="P929" s="1153"/>
      <c r="Q929" s="563"/>
      <c r="R929" s="563"/>
      <c r="S929" s="563"/>
      <c r="T929" s="563"/>
      <c r="U929" s="1153"/>
      <c r="V929" s="563"/>
      <c r="W929" s="563"/>
      <c r="X929" s="563"/>
      <c r="Y929" s="563"/>
      <c r="Z929" s="1153"/>
      <c r="AA929" s="563"/>
      <c r="AB929" s="563"/>
      <c r="AC929" s="563"/>
      <c r="AD929" s="563"/>
      <c r="AE929" s="1153"/>
      <c r="AF929" s="563"/>
      <c r="AG929" s="563"/>
      <c r="AH929" s="563"/>
      <c r="AI929" s="563"/>
      <c r="AJ929" s="1153"/>
      <c r="AK929" s="563"/>
      <c r="AL929" s="563"/>
      <c r="AM929" s="563"/>
      <c r="AN929" s="563"/>
      <c r="AO929" s="1153"/>
      <c r="AP929" s="563"/>
      <c r="AQ929" s="563"/>
      <c r="AR929" s="563"/>
      <c r="AS929" s="563"/>
      <c r="AT929" s="1153"/>
      <c r="AU929" s="563"/>
      <c r="AV929" s="563"/>
      <c r="AW929" s="563"/>
      <c r="AX929" s="563"/>
      <c r="AY929" s="1153"/>
      <c r="AZ929" s="563"/>
      <c r="BA929" s="563"/>
      <c r="BB929" s="563"/>
      <c r="BC929" s="563"/>
      <c r="BD929" s="1153"/>
      <c r="BE929" s="563"/>
      <c r="BF929" s="563"/>
      <c r="BG929" s="563"/>
      <c r="BH929" s="563"/>
      <c r="BI929" s="1153"/>
      <c r="BJ929" s="563"/>
      <c r="BK929" s="563"/>
      <c r="BL929" s="563"/>
      <c r="BM929" s="563"/>
      <c r="BN929" s="1153"/>
      <c r="BO929" s="563"/>
      <c r="BP929" s="563"/>
      <c r="BQ929" s="563"/>
      <c r="BR929" s="563"/>
      <c r="BS929" s="1153"/>
      <c r="BT929" s="563"/>
      <c r="BU929" s="563"/>
      <c r="BV929" s="563"/>
      <c r="BW929" s="563"/>
      <c r="BX929" s="1153"/>
      <c r="BY929" s="731"/>
      <c r="BZ929" s="563"/>
      <c r="CA929" s="563"/>
      <c r="CB929" s="563"/>
      <c r="CC929" s="1153"/>
      <c r="CD929" s="563"/>
      <c r="CE929" s="563"/>
      <c r="CF929" s="563"/>
      <c r="CG929" s="563"/>
      <c r="CH929" s="1153"/>
      <c r="CI929" s="1153"/>
      <c r="CJ929" s="1153"/>
      <c r="CK929" s="1153"/>
      <c r="CL929" s="155"/>
    </row>
    <row r="930" spans="1:90" x14ac:dyDescent="0.3">
      <c r="A930" s="600" t="s">
        <v>767</v>
      </c>
      <c r="B930" s="279"/>
      <c r="C930" s="1155"/>
      <c r="D930" s="1155">
        <f t="shared" ref="D930:J930" si="2260">C934</f>
        <v>147.101</v>
      </c>
      <c r="E930" s="1155">
        <f t="shared" si="2260"/>
        <v>120.458</v>
      </c>
      <c r="F930" s="1155">
        <f t="shared" si="2260"/>
        <v>288.745</v>
      </c>
      <c r="G930" s="654">
        <f t="shared" si="2260"/>
        <v>326.13600000000002</v>
      </c>
      <c r="H930" s="654">
        <f t="shared" si="2260"/>
        <v>363.39499999999998</v>
      </c>
      <c r="I930" s="654">
        <f t="shared" si="2260"/>
        <v>346.93799999999999</v>
      </c>
      <c r="J930" s="654">
        <f t="shared" si="2260"/>
        <v>331.24799999999999</v>
      </c>
      <c r="K930" s="1155">
        <f>F934</f>
        <v>326.13600000000002</v>
      </c>
      <c r="L930" s="654">
        <f>K934</f>
        <v>312.33199999999999</v>
      </c>
      <c r="M930" s="654">
        <f>L934</f>
        <v>336.733</v>
      </c>
      <c r="N930" s="654">
        <f>M934</f>
        <v>322.52</v>
      </c>
      <c r="O930" s="654">
        <f>N934</f>
        <v>320.589</v>
      </c>
      <c r="P930" s="1155">
        <f>K934</f>
        <v>312.33199999999999</v>
      </c>
      <c r="Q930" s="654">
        <f>P934</f>
        <v>296.012</v>
      </c>
      <c r="R930" s="654">
        <f>Q934</f>
        <v>277.52999999999997</v>
      </c>
      <c r="S930" s="654">
        <f>R934</f>
        <v>260.613</v>
      </c>
      <c r="T930" s="654">
        <f>S934</f>
        <v>241.30099999999999</v>
      </c>
      <c r="U930" s="1155">
        <f>P934</f>
        <v>296.012</v>
      </c>
      <c r="V930" s="654">
        <f>U934</f>
        <v>222</v>
      </c>
      <c r="W930" s="654">
        <f>V934</f>
        <v>205</v>
      </c>
      <c r="X930" s="654">
        <f>W934</f>
        <v>190</v>
      </c>
      <c r="Y930" s="654">
        <f>X934</f>
        <v>172</v>
      </c>
      <c r="Z930" s="1155">
        <f>U934</f>
        <v>222</v>
      </c>
      <c r="AA930" s="654">
        <f>Z934</f>
        <v>166</v>
      </c>
      <c r="AB930" s="654">
        <f>AA934</f>
        <v>155</v>
      </c>
      <c r="AC930" s="654">
        <f>AB934</f>
        <v>138</v>
      </c>
      <c r="AD930" s="654">
        <f>AC934</f>
        <v>120</v>
      </c>
      <c r="AE930" s="1155">
        <f>Z934</f>
        <v>166</v>
      </c>
      <c r="AF930" s="654">
        <f>AE934</f>
        <v>104</v>
      </c>
      <c r="AG930" s="654">
        <f>AF934</f>
        <v>90</v>
      </c>
      <c r="AH930" s="654">
        <f>AG934</f>
        <v>76</v>
      </c>
      <c r="AI930" s="654">
        <f>AH934</f>
        <v>63</v>
      </c>
      <c r="AJ930" s="1155">
        <f>AE934</f>
        <v>104</v>
      </c>
      <c r="AK930" s="654">
        <f>AJ934</f>
        <v>52</v>
      </c>
      <c r="AL930" s="654">
        <f>AK934</f>
        <v>55</v>
      </c>
      <c r="AM930" s="654">
        <f>AL934</f>
        <v>51</v>
      </c>
      <c r="AN930" s="654">
        <f>AM934</f>
        <v>49</v>
      </c>
      <c r="AO930" s="1155">
        <f>AJ934</f>
        <v>52</v>
      </c>
      <c r="AP930" s="654">
        <f>AO934</f>
        <v>45</v>
      </c>
      <c r="AQ930" s="654">
        <f>AP934</f>
        <v>54</v>
      </c>
      <c r="AR930" s="654">
        <f>AQ934</f>
        <v>49</v>
      </c>
      <c r="AS930" s="654">
        <f>AR934</f>
        <v>43</v>
      </c>
      <c r="AT930" s="1155">
        <f>AO934</f>
        <v>45</v>
      </c>
      <c r="AU930" s="654">
        <f>AT934</f>
        <v>49</v>
      </c>
      <c r="AV930" s="654">
        <f>AU934</f>
        <v>80</v>
      </c>
      <c r="AW930" s="654">
        <f>AV934</f>
        <v>2854</v>
      </c>
      <c r="AX930" s="654">
        <f>AW934</f>
        <v>2861</v>
      </c>
      <c r="AY930" s="1155">
        <f>AT934</f>
        <v>49</v>
      </c>
      <c r="AZ930" s="654">
        <f>AY934</f>
        <v>2737</v>
      </c>
      <c r="BA930" s="654">
        <f>AZ934</f>
        <v>2613</v>
      </c>
      <c r="BB930" s="654">
        <f>BA934</f>
        <v>2478</v>
      </c>
      <c r="BC930" s="654">
        <f>BB934</f>
        <v>2454</v>
      </c>
      <c r="BD930" s="1155">
        <f>AY934</f>
        <v>2737</v>
      </c>
      <c r="BE930" s="654">
        <f>BD934</f>
        <v>2339</v>
      </c>
      <c r="BF930" s="654">
        <f>BE934</f>
        <v>2211</v>
      </c>
      <c r="BG930" s="654">
        <f>BF934</f>
        <v>2036</v>
      </c>
      <c r="BH930" s="654">
        <f>BG934</f>
        <v>1850</v>
      </c>
      <c r="BI930" s="1155">
        <f>BD934</f>
        <v>2339</v>
      </c>
      <c r="BJ930" s="654">
        <f>BI934</f>
        <v>1676</v>
      </c>
      <c r="BK930" s="654">
        <f>BJ934</f>
        <v>1541</v>
      </c>
      <c r="BL930" s="654">
        <f>BK934</f>
        <v>1395</v>
      </c>
      <c r="BM930" s="654">
        <f>BL934</f>
        <v>1251</v>
      </c>
      <c r="BN930" s="1155">
        <f>BI934</f>
        <v>1676</v>
      </c>
      <c r="BO930" s="654">
        <f>BN934</f>
        <v>1112</v>
      </c>
      <c r="BP930" s="654">
        <f>BO934</f>
        <v>986</v>
      </c>
      <c r="BQ930" s="654">
        <f>BP934</f>
        <v>952</v>
      </c>
      <c r="BR930" s="654">
        <f>BQ934</f>
        <v>838</v>
      </c>
      <c r="BS930" s="1155">
        <f>BN934</f>
        <v>1112</v>
      </c>
      <c r="BT930" s="654">
        <f>BS934</f>
        <v>807</v>
      </c>
      <c r="BU930" s="654">
        <f>BT934</f>
        <v>769</v>
      </c>
      <c r="BV930" s="654">
        <f>BU934</f>
        <v>755</v>
      </c>
      <c r="BW930" s="654">
        <f>BV934</f>
        <v>936</v>
      </c>
      <c r="BX930" s="1155">
        <f>BS934</f>
        <v>807</v>
      </c>
      <c r="BY930" s="947">
        <f>BX934</f>
        <v>3306</v>
      </c>
      <c r="BZ930" s="654">
        <f>BY934</f>
        <v>3120</v>
      </c>
      <c r="CA930" s="654">
        <f>BZ934</f>
        <v>2922.9150943396226</v>
      </c>
      <c r="CB930" s="654">
        <f>CA934</f>
        <v>2737.9691196663784</v>
      </c>
      <c r="CC930" s="1155">
        <f>BX934</f>
        <v>3306</v>
      </c>
      <c r="CD930" s="654">
        <f>CC934</f>
        <v>2555.7119730833824</v>
      </c>
      <c r="CE930" s="654">
        <f>CD934</f>
        <v>2401.2598917646801</v>
      </c>
      <c r="CF930" s="654">
        <f>CE934</f>
        <v>2254.1588094491299</v>
      </c>
      <c r="CG930" s="654">
        <f>CF934</f>
        <v>2116.2073487894149</v>
      </c>
      <c r="CH930" s="1155">
        <f>CC934</f>
        <v>2555.7119730833824</v>
      </c>
      <c r="CI930" s="1155">
        <f>CH934</f>
        <v>1986.9479377449638</v>
      </c>
      <c r="CJ930" s="1155">
        <f>CI934</f>
        <v>1520.8635564214746</v>
      </c>
      <c r="CK930" s="1155">
        <f>CJ934</f>
        <v>1194.6044894950323</v>
      </c>
      <c r="CL930" s="155"/>
    </row>
    <row r="931" spans="1:90" x14ac:dyDescent="0.3">
      <c r="A931" s="99" t="s">
        <v>768</v>
      </c>
      <c r="B931" s="146"/>
      <c r="C931" s="1153"/>
      <c r="D931" s="1153">
        <f t="shared" ref="D931:AI931" si="2261">-D118</f>
        <v>-31.9</v>
      </c>
      <c r="E931" s="1153">
        <f t="shared" si="2261"/>
        <v>-30</v>
      </c>
      <c r="F931" s="1153">
        <f t="shared" si="2261"/>
        <v>-59</v>
      </c>
      <c r="G931" s="563">
        <f t="shared" si="2261"/>
        <v>-16.600000000000001</v>
      </c>
      <c r="H931" s="563">
        <f t="shared" si="2261"/>
        <v>-17.2</v>
      </c>
      <c r="I931" s="563">
        <f t="shared" si="2261"/>
        <v>-17.3</v>
      </c>
      <c r="J931" s="563">
        <f t="shared" si="2261"/>
        <v>-17.300000000000011</v>
      </c>
      <c r="K931" s="1153">
        <f t="shared" si="2261"/>
        <v>-68.400000000000006</v>
      </c>
      <c r="L931" s="563">
        <f t="shared" si="2261"/>
        <v>-17.399999999999999</v>
      </c>
      <c r="M931" s="563">
        <f t="shared" si="2261"/>
        <v>-18.600000000000001</v>
      </c>
      <c r="N931" s="563">
        <f t="shared" si="2261"/>
        <v>-19.600000000000001</v>
      </c>
      <c r="O931" s="563">
        <f t="shared" si="2261"/>
        <v>-17.100000000000001</v>
      </c>
      <c r="P931" s="1153">
        <f t="shared" si="2261"/>
        <v>-72.7</v>
      </c>
      <c r="Q931" s="563">
        <f t="shared" si="2261"/>
        <v>-19</v>
      </c>
      <c r="R931" s="563">
        <f t="shared" si="2261"/>
        <v>-19</v>
      </c>
      <c r="S931" s="563">
        <f t="shared" si="2261"/>
        <v>-19</v>
      </c>
      <c r="T931" s="563">
        <f t="shared" si="2261"/>
        <v>-20</v>
      </c>
      <c r="U931" s="1153">
        <f t="shared" si="2261"/>
        <v>-77</v>
      </c>
      <c r="V931" s="563">
        <f t="shared" si="2261"/>
        <v>-19</v>
      </c>
      <c r="W931" s="563">
        <f t="shared" si="2261"/>
        <v>-19</v>
      </c>
      <c r="X931" s="563">
        <f t="shared" si="2261"/>
        <v>-18</v>
      </c>
      <c r="Y931" s="563">
        <f t="shared" si="2261"/>
        <v>-17</v>
      </c>
      <c r="Z931" s="1153">
        <f t="shared" si="2261"/>
        <v>-73</v>
      </c>
      <c r="AA931" s="563">
        <f t="shared" si="2261"/>
        <v>-17</v>
      </c>
      <c r="AB931" s="563">
        <f t="shared" si="2261"/>
        <v>-18</v>
      </c>
      <c r="AC931" s="563">
        <f t="shared" si="2261"/>
        <v>-18</v>
      </c>
      <c r="AD931" s="563">
        <f t="shared" si="2261"/>
        <v>-15</v>
      </c>
      <c r="AE931" s="1153">
        <f t="shared" si="2261"/>
        <v>-68</v>
      </c>
      <c r="AF931" s="563">
        <f t="shared" si="2261"/>
        <v>-15</v>
      </c>
      <c r="AG931" s="563">
        <f t="shared" si="2261"/>
        <v>-14</v>
      </c>
      <c r="AH931" s="563">
        <f t="shared" si="2261"/>
        <v>-13</v>
      </c>
      <c r="AI931" s="563">
        <f t="shared" si="2261"/>
        <v>-13</v>
      </c>
      <c r="AJ931" s="1153">
        <f t="shared" ref="AJ931:BO931" si="2262">-AJ118</f>
        <v>-55</v>
      </c>
      <c r="AK931" s="563">
        <f t="shared" si="2262"/>
        <v>-11</v>
      </c>
      <c r="AL931" s="563">
        <f t="shared" si="2262"/>
        <v>-6</v>
      </c>
      <c r="AM931" s="563">
        <f t="shared" si="2262"/>
        <v>-7</v>
      </c>
      <c r="AN931" s="563">
        <f t="shared" si="2262"/>
        <v>-5</v>
      </c>
      <c r="AO931" s="1153">
        <f t="shared" si="2262"/>
        <v>-29</v>
      </c>
      <c r="AP931" s="563">
        <f t="shared" si="2262"/>
        <v>-7</v>
      </c>
      <c r="AQ931" s="563">
        <f t="shared" si="2262"/>
        <v>-6</v>
      </c>
      <c r="AR931" s="563">
        <f t="shared" si="2262"/>
        <v>-6</v>
      </c>
      <c r="AS931" s="563">
        <f t="shared" si="2262"/>
        <v>-6</v>
      </c>
      <c r="AT931" s="1153">
        <f t="shared" si="2262"/>
        <v>-25</v>
      </c>
      <c r="AU931" s="563">
        <f t="shared" si="2262"/>
        <v>-7</v>
      </c>
      <c r="AV931" s="563">
        <f t="shared" si="2262"/>
        <v>-284</v>
      </c>
      <c r="AW931" s="563">
        <f t="shared" si="2262"/>
        <v>-174</v>
      </c>
      <c r="AX931" s="563">
        <f t="shared" si="2262"/>
        <v>-147</v>
      </c>
      <c r="AY931" s="1153">
        <f t="shared" si="2262"/>
        <v>-612</v>
      </c>
      <c r="AZ931" s="563">
        <f t="shared" si="2262"/>
        <v>-137</v>
      </c>
      <c r="BA931" s="563">
        <f t="shared" si="2262"/>
        <v>-138</v>
      </c>
      <c r="BB931" s="563">
        <f t="shared" si="2262"/>
        <v>-143</v>
      </c>
      <c r="BC931" s="563">
        <f t="shared" si="2262"/>
        <v>-145</v>
      </c>
      <c r="BD931" s="1153">
        <f t="shared" si="2262"/>
        <v>-563</v>
      </c>
      <c r="BE931" s="563">
        <f t="shared" si="2262"/>
        <v>-155</v>
      </c>
      <c r="BF931" s="563">
        <f t="shared" si="2262"/>
        <v>-182</v>
      </c>
      <c r="BG931" s="563">
        <f t="shared" si="2262"/>
        <v>-181</v>
      </c>
      <c r="BH931" s="563">
        <f t="shared" si="2262"/>
        <v>-181</v>
      </c>
      <c r="BI931" s="1153">
        <f t="shared" si="2262"/>
        <v>-699</v>
      </c>
      <c r="BJ931" s="563">
        <f t="shared" si="2262"/>
        <v>-181</v>
      </c>
      <c r="BK931" s="563">
        <f t="shared" si="2262"/>
        <v>-146</v>
      </c>
      <c r="BL931" s="563">
        <f t="shared" si="2262"/>
        <v>-144</v>
      </c>
      <c r="BM931" s="563">
        <f t="shared" si="2262"/>
        <v>-143</v>
      </c>
      <c r="BN931" s="1153">
        <f t="shared" si="2262"/>
        <v>-614</v>
      </c>
      <c r="BO931" s="563">
        <f t="shared" si="2262"/>
        <v>-143</v>
      </c>
      <c r="BP931" s="563">
        <f t="shared" ref="BP931:BX931" si="2263">-BP118</f>
        <v>-146</v>
      </c>
      <c r="BQ931" s="563">
        <f t="shared" si="2263"/>
        <v>-149</v>
      </c>
      <c r="BR931" s="563">
        <f t="shared" si="2263"/>
        <v>-155</v>
      </c>
      <c r="BS931" s="1153">
        <f t="shared" si="2263"/>
        <v>-593</v>
      </c>
      <c r="BT931" s="563">
        <f t="shared" si="2263"/>
        <v>-159</v>
      </c>
      <c r="BU931" s="563">
        <f t="shared" si="2263"/>
        <v>-86</v>
      </c>
      <c r="BV931" s="563">
        <f t="shared" si="2263"/>
        <v>-96</v>
      </c>
      <c r="BW931" s="563">
        <f t="shared" si="2263"/>
        <v>-147</v>
      </c>
      <c r="BX931" s="1153">
        <f t="shared" si="2263"/>
        <v>-488</v>
      </c>
      <c r="BY931" s="731">
        <f>-BY118</f>
        <v>-232</v>
      </c>
      <c r="BZ931" s="563">
        <f>-BZ930*BZ937*BZ3/CC3</f>
        <v>-229.58490566037736</v>
      </c>
      <c r="CA931" s="563">
        <f>-CA930*CA937*CA3/CC3</f>
        <v>-217.44597467324414</v>
      </c>
      <c r="CB931" s="563">
        <f>-CB930*CB937*CB3/CC3</f>
        <v>-214.75714658299623</v>
      </c>
      <c r="CC931" s="1153">
        <f>IF(OR(ISBLANK(BY931),ISBLANK(BZ931),ISBLANK(CA931),ISBLANK(CB931)),"n/a",SUM(BY931,BZ931,CA931,CB931))</f>
        <v>-893.7880269166177</v>
      </c>
      <c r="CD931" s="563">
        <f>-CD930*CD937*CD3/CH3</f>
        <v>-186.95208131870223</v>
      </c>
      <c r="CE931" s="563">
        <f>-CE930*CE937*CE3/CH3</f>
        <v>-179.60108231555006</v>
      </c>
      <c r="CF931" s="563">
        <f>-CF930*CF937*CF3/CH3</f>
        <v>-170.45146065971502</v>
      </c>
      <c r="CG931" s="563">
        <f>-CG930*CG937*CG3/CH3</f>
        <v>-161.75941104445116</v>
      </c>
      <c r="CH931" s="1153">
        <f>IF(OR(ISBLANK(CD931),ISBLANK(CE931),ISBLANK(CF931),ISBLANK(CG931)),"n/a",SUM(CD931,CE931,CF931,CG931))</f>
        <v>-698.76403533841858</v>
      </c>
      <c r="CI931" s="1153">
        <f>-CI930*CI937</f>
        <v>-596.08438132348908</v>
      </c>
      <c r="CJ931" s="1153">
        <f>-CJ930*CJ937</f>
        <v>-456.25906692644236</v>
      </c>
      <c r="CK931" s="1153">
        <f>-CK930*CK937</f>
        <v>-358.38134684850968</v>
      </c>
      <c r="CL931" s="155"/>
    </row>
    <row r="932" spans="1:90" x14ac:dyDescent="0.3">
      <c r="A932" s="99" t="s">
        <v>778</v>
      </c>
      <c r="B932" s="146"/>
      <c r="C932" s="1153"/>
      <c r="D932" s="1153"/>
      <c r="E932" s="1153"/>
      <c r="F932" s="1153"/>
      <c r="G932" s="563"/>
      <c r="H932" s="563"/>
      <c r="I932" s="563"/>
      <c r="J932" s="563"/>
      <c r="K932" s="1153"/>
      <c r="L932" s="563"/>
      <c r="M932" s="563"/>
      <c r="N932" s="563"/>
      <c r="O932" s="563"/>
      <c r="P932" s="1153"/>
      <c r="Q932" s="563"/>
      <c r="R932" s="563"/>
      <c r="S932" s="563"/>
      <c r="T932" s="563"/>
      <c r="U932" s="1153"/>
      <c r="V932" s="563"/>
      <c r="W932" s="563"/>
      <c r="X932" s="563"/>
      <c r="Y932" s="563"/>
      <c r="Z932" s="1153"/>
      <c r="AA932" s="563"/>
      <c r="AB932" s="563"/>
      <c r="AC932" s="563"/>
      <c r="AD932" s="563"/>
      <c r="AE932" s="1153"/>
      <c r="AF932" s="563"/>
      <c r="AG932" s="563"/>
      <c r="AH932" s="563"/>
      <c r="AI932" s="563"/>
      <c r="AJ932" s="1153"/>
      <c r="AK932" s="563"/>
      <c r="AL932" s="563"/>
      <c r="AM932" s="563"/>
      <c r="AN932" s="563"/>
      <c r="AO932" s="1153"/>
      <c r="AP932" s="563"/>
      <c r="AQ932" s="563"/>
      <c r="AR932" s="563"/>
      <c r="AS932" s="563"/>
      <c r="AT932" s="1153"/>
      <c r="AU932" s="563"/>
      <c r="AV932" s="563"/>
      <c r="AW932" s="563"/>
      <c r="AX932" s="563"/>
      <c r="AY932" s="1153"/>
      <c r="AZ932" s="563"/>
      <c r="BA932" s="563"/>
      <c r="BB932" s="563"/>
      <c r="BC932" s="563"/>
      <c r="BD932" s="1153"/>
      <c r="BE932" s="563"/>
      <c r="BF932" s="563"/>
      <c r="BG932" s="563"/>
      <c r="BH932" s="563"/>
      <c r="BI932" s="1153"/>
      <c r="BJ932" s="563"/>
      <c r="BK932" s="563"/>
      <c r="BL932" s="563"/>
      <c r="BM932" s="563"/>
      <c r="BN932" s="1153"/>
      <c r="BO932" s="563"/>
      <c r="BP932" s="563"/>
      <c r="BQ932" s="563"/>
      <c r="BR932" s="563"/>
      <c r="BS932" s="1153"/>
      <c r="BT932" s="563"/>
      <c r="BU932" s="563"/>
      <c r="BV932" s="563"/>
      <c r="BW932" s="563"/>
      <c r="BX932" s="1153"/>
      <c r="BY932" s="731"/>
      <c r="BZ932" s="563">
        <f>BZ944*BZ945+BZ942*BZ943</f>
        <v>32.5</v>
      </c>
      <c r="CA932" s="563">
        <f>CA944*CA945+CA942*CA943</f>
        <v>32.5</v>
      </c>
      <c r="CB932" s="563">
        <f>CB944*CB945+CB942*CB943</f>
        <v>32.5</v>
      </c>
      <c r="CC932" s="1153" t="str">
        <f>IF(OR(ISBLANK(BY932),ISBLANK(BZ932),ISBLANK(CA932),ISBLANK(CB932)),"n/a",SUM(BY932,BZ932,CA932,CB932))</f>
        <v>n/a</v>
      </c>
      <c r="CD932" s="563">
        <f>CD944*CD945+CD942*CD943</f>
        <v>32.5</v>
      </c>
      <c r="CE932" s="563">
        <f>CE944*CE945+CE942*CE943</f>
        <v>32.5</v>
      </c>
      <c r="CF932" s="563">
        <f>CF944*CF945+CF942*CF943</f>
        <v>32.5</v>
      </c>
      <c r="CG932" s="563">
        <f>CG944*CG945+CG942*CG943</f>
        <v>32.5</v>
      </c>
      <c r="CH932" s="1153">
        <f>IF(OR(ISBLANK(CD932),ISBLANK(CE932),ISBLANK(CF932),ISBLANK(CG932)),"n/a",SUM(CD932,CE932,CF932,CG932))</f>
        <v>130</v>
      </c>
      <c r="CI932" s="1153">
        <f>CI944*CI945+CI942*CI943</f>
        <v>130</v>
      </c>
      <c r="CJ932" s="1153">
        <f>CJ944*CJ945+CJ942*CJ943</f>
        <v>130</v>
      </c>
      <c r="CK932" s="1153">
        <f>CK944*CK945+CK942*CK943</f>
        <v>130</v>
      </c>
      <c r="CL932" s="155"/>
    </row>
    <row r="933" spans="1:90" x14ac:dyDescent="0.3">
      <c r="A933" s="99" t="s">
        <v>770</v>
      </c>
      <c r="B933" s="146"/>
      <c r="C933" s="1153"/>
      <c r="D933" s="1153">
        <f t="shared" ref="D933:AI933" si="2264">ROUND(D934-D930-D931-D932,6)</f>
        <v>5.2569999999999997</v>
      </c>
      <c r="E933" s="1153">
        <f t="shared" si="2264"/>
        <v>198.28700000000001</v>
      </c>
      <c r="F933" s="1153">
        <f t="shared" si="2264"/>
        <v>96.391000000000005</v>
      </c>
      <c r="G933" s="563">
        <f t="shared" si="2264"/>
        <v>53.859000000000002</v>
      </c>
      <c r="H933" s="563">
        <f t="shared" si="2264"/>
        <v>0.74299999999999999</v>
      </c>
      <c r="I933" s="563">
        <f t="shared" si="2264"/>
        <v>1.61</v>
      </c>
      <c r="J933" s="563">
        <f t="shared" si="2264"/>
        <v>-1.6160000000000001</v>
      </c>
      <c r="K933" s="1153">
        <f t="shared" si="2264"/>
        <v>54.595999999999997</v>
      </c>
      <c r="L933" s="563">
        <f t="shared" si="2264"/>
        <v>41.801000000000002</v>
      </c>
      <c r="M933" s="563">
        <f t="shared" si="2264"/>
        <v>4.3869999999999996</v>
      </c>
      <c r="N933" s="563">
        <f t="shared" si="2264"/>
        <v>17.669</v>
      </c>
      <c r="O933" s="563">
        <f t="shared" si="2264"/>
        <v>-7.4770000000000003</v>
      </c>
      <c r="P933" s="1153">
        <f t="shared" si="2264"/>
        <v>56.38</v>
      </c>
      <c r="Q933" s="563">
        <f t="shared" si="2264"/>
        <v>0.51800000000000002</v>
      </c>
      <c r="R933" s="563">
        <f t="shared" si="2264"/>
        <v>2.0830000000000002</v>
      </c>
      <c r="S933" s="563">
        <f t="shared" si="2264"/>
        <v>-0.312</v>
      </c>
      <c r="T933" s="563">
        <f t="shared" si="2264"/>
        <v>0.69899999999999995</v>
      </c>
      <c r="U933" s="1153">
        <f t="shared" si="2264"/>
        <v>2.988</v>
      </c>
      <c r="V933" s="563">
        <f t="shared" si="2264"/>
        <v>2</v>
      </c>
      <c r="W933" s="563">
        <f t="shared" si="2264"/>
        <v>4</v>
      </c>
      <c r="X933" s="563">
        <f t="shared" si="2264"/>
        <v>0</v>
      </c>
      <c r="Y933" s="563">
        <f t="shared" si="2264"/>
        <v>11</v>
      </c>
      <c r="Z933" s="1153">
        <f t="shared" si="2264"/>
        <v>17</v>
      </c>
      <c r="AA933" s="563">
        <f t="shared" si="2264"/>
        <v>6</v>
      </c>
      <c r="AB933" s="563">
        <f t="shared" si="2264"/>
        <v>1</v>
      </c>
      <c r="AC933" s="563">
        <f t="shared" si="2264"/>
        <v>0</v>
      </c>
      <c r="AD933" s="563">
        <f t="shared" si="2264"/>
        <v>-1</v>
      </c>
      <c r="AE933" s="1153">
        <f t="shared" si="2264"/>
        <v>6</v>
      </c>
      <c r="AF933" s="563">
        <f t="shared" si="2264"/>
        <v>1</v>
      </c>
      <c r="AG933" s="563">
        <f t="shared" si="2264"/>
        <v>0</v>
      </c>
      <c r="AH933" s="563">
        <f t="shared" si="2264"/>
        <v>0</v>
      </c>
      <c r="AI933" s="563">
        <f t="shared" si="2264"/>
        <v>2</v>
      </c>
      <c r="AJ933" s="1153">
        <f t="shared" ref="AJ933:BE933" si="2265">ROUND(AJ934-AJ930-AJ931-AJ932,6)</f>
        <v>3</v>
      </c>
      <c r="AK933" s="563">
        <f t="shared" si="2265"/>
        <v>14</v>
      </c>
      <c r="AL933" s="563">
        <f t="shared" si="2265"/>
        <v>2</v>
      </c>
      <c r="AM933" s="563">
        <f t="shared" si="2265"/>
        <v>5</v>
      </c>
      <c r="AN933" s="563">
        <f t="shared" si="2265"/>
        <v>1</v>
      </c>
      <c r="AO933" s="1153">
        <f t="shared" si="2265"/>
        <v>22</v>
      </c>
      <c r="AP933" s="563">
        <f t="shared" si="2265"/>
        <v>16</v>
      </c>
      <c r="AQ933" s="563">
        <f t="shared" si="2265"/>
        <v>1</v>
      </c>
      <c r="AR933" s="563">
        <f t="shared" si="2265"/>
        <v>0</v>
      </c>
      <c r="AS933" s="563">
        <f t="shared" si="2265"/>
        <v>12</v>
      </c>
      <c r="AT933" s="1153">
        <f t="shared" si="2265"/>
        <v>29</v>
      </c>
      <c r="AU933" s="563">
        <f t="shared" si="2265"/>
        <v>38</v>
      </c>
      <c r="AV933" s="563">
        <f t="shared" si="2265"/>
        <v>3058</v>
      </c>
      <c r="AW933" s="563">
        <f t="shared" si="2265"/>
        <v>181</v>
      </c>
      <c r="AX933" s="563">
        <f t="shared" si="2265"/>
        <v>23</v>
      </c>
      <c r="AY933" s="1153">
        <f t="shared" si="2265"/>
        <v>3300</v>
      </c>
      <c r="AZ933" s="563">
        <f t="shared" si="2265"/>
        <v>13</v>
      </c>
      <c r="BA933" s="563">
        <f t="shared" si="2265"/>
        <v>3</v>
      </c>
      <c r="BB933" s="563">
        <f t="shared" si="2265"/>
        <v>119</v>
      </c>
      <c r="BC933" s="563">
        <f t="shared" si="2265"/>
        <v>30</v>
      </c>
      <c r="BD933" s="1153">
        <f t="shared" si="2265"/>
        <v>165</v>
      </c>
      <c r="BE933" s="563">
        <f t="shared" si="2265"/>
        <v>27</v>
      </c>
      <c r="BF933" s="563">
        <f t="shared" ref="BF933:BI933" si="2266">ROUND(BF934-BF930-BF931-BF932,6)</f>
        <v>7</v>
      </c>
      <c r="BG933" s="563">
        <f t="shared" si="2266"/>
        <v>-5</v>
      </c>
      <c r="BH933" s="563">
        <f t="shared" si="2266"/>
        <v>7</v>
      </c>
      <c r="BI933" s="1153">
        <f t="shared" si="2266"/>
        <v>36</v>
      </c>
      <c r="BJ933" s="563">
        <f t="shared" ref="BJ933:BN933" si="2267">ROUND(BJ934-BJ930-BJ931-BJ932,6)</f>
        <v>46</v>
      </c>
      <c r="BK933" s="563">
        <f t="shared" si="2267"/>
        <v>0</v>
      </c>
      <c r="BL933" s="563">
        <f t="shared" si="2267"/>
        <v>0</v>
      </c>
      <c r="BM933" s="563">
        <f t="shared" si="2267"/>
        <v>4</v>
      </c>
      <c r="BN933" s="1153">
        <f t="shared" si="2267"/>
        <v>50</v>
      </c>
      <c r="BO933" s="563">
        <f t="shared" ref="BO933:BS933" si="2268">ROUND(BO934-BO930-BO931-BO932,6)</f>
        <v>17</v>
      </c>
      <c r="BP933" s="563">
        <f t="shared" si="2268"/>
        <v>112</v>
      </c>
      <c r="BQ933" s="563">
        <f t="shared" si="2268"/>
        <v>35</v>
      </c>
      <c r="BR933" s="563">
        <f t="shared" si="2268"/>
        <v>124</v>
      </c>
      <c r="BS933" s="1153">
        <f t="shared" si="2268"/>
        <v>288</v>
      </c>
      <c r="BT933" s="563">
        <f t="shared" ref="BT933:CB933" si="2269">ROUND(BT934-BT930-BT931-BT932,6)</f>
        <v>121</v>
      </c>
      <c r="BU933" s="563">
        <f t="shared" si="2269"/>
        <v>72</v>
      </c>
      <c r="BV933" s="563">
        <f t="shared" si="2269"/>
        <v>277</v>
      </c>
      <c r="BW933" s="563">
        <f t="shared" si="2269"/>
        <v>2517</v>
      </c>
      <c r="BX933" s="1153">
        <f t="shared" si="2269"/>
        <v>2987</v>
      </c>
      <c r="BY933" s="731">
        <f>ROUND(BY934-BY930-BY931-BY932,6)</f>
        <v>46</v>
      </c>
      <c r="BZ933" s="563">
        <f t="shared" si="2269"/>
        <v>0</v>
      </c>
      <c r="CA933" s="563">
        <f t="shared" si="2269"/>
        <v>0</v>
      </c>
      <c r="CB933" s="563">
        <f t="shared" si="2269"/>
        <v>0</v>
      </c>
      <c r="CC933" s="1153">
        <f>ROUND(CC934-CC930-IF(ISNUMBER(CC931),CC931,0)-IF(ISNUMBER(CC932),CC932,0),6)</f>
        <v>143.5</v>
      </c>
      <c r="CD933" s="563">
        <f>ROUND(CD934-CD930-CD931-CD932,6)</f>
        <v>0</v>
      </c>
      <c r="CE933" s="563">
        <f>ROUND(CE934-CE930-CE931-CE932,6)</f>
        <v>0</v>
      </c>
      <c r="CF933" s="563">
        <f>ROUND(CF934-CF930-CF931-CF932,6)</f>
        <v>0</v>
      </c>
      <c r="CG933" s="563">
        <f>ROUND(CG934-CG930-CG931-CG932,6)</f>
        <v>0</v>
      </c>
      <c r="CH933" s="1153">
        <f>ROUND(CH934-CH930-IF(ISNUMBER(CH931),CH931,0)-IF(ISNUMBER(CH932),CH932,0),6)</f>
        <v>0</v>
      </c>
      <c r="CI933" s="1153">
        <f>ROUND(CI934-CI930-CI931-CI932,6)</f>
        <v>0</v>
      </c>
      <c r="CJ933" s="1153">
        <f>ROUND(CJ934-CJ930-CJ931-CJ932,6)</f>
        <v>0</v>
      </c>
      <c r="CK933" s="1153">
        <f>ROUND(CK934-CK930-CK931-CK932,6)</f>
        <v>0</v>
      </c>
      <c r="CL933" s="155"/>
    </row>
    <row r="934" spans="1:90" x14ac:dyDescent="0.3">
      <c r="A934" s="651" t="s">
        <v>766</v>
      </c>
      <c r="B934" s="652"/>
      <c r="C934" s="1233">
        <f t="shared" ref="C934:AH934" si="2270">C978</f>
        <v>147.101</v>
      </c>
      <c r="D934" s="1233">
        <f t="shared" si="2270"/>
        <v>120.458</v>
      </c>
      <c r="E934" s="1233">
        <f t="shared" si="2270"/>
        <v>288.745</v>
      </c>
      <c r="F934" s="1233">
        <f t="shared" si="2270"/>
        <v>326.13600000000002</v>
      </c>
      <c r="G934" s="653">
        <f t="shared" si="2270"/>
        <v>363.39499999999998</v>
      </c>
      <c r="H934" s="653">
        <f t="shared" si="2270"/>
        <v>346.93799999999999</v>
      </c>
      <c r="I934" s="653">
        <f t="shared" si="2270"/>
        <v>331.24799999999999</v>
      </c>
      <c r="J934" s="653">
        <f t="shared" si="2270"/>
        <v>312.33199999999999</v>
      </c>
      <c r="K934" s="1233">
        <f t="shared" si="2270"/>
        <v>312.33199999999999</v>
      </c>
      <c r="L934" s="653">
        <f t="shared" si="2270"/>
        <v>336.733</v>
      </c>
      <c r="M934" s="653">
        <f t="shared" si="2270"/>
        <v>322.52</v>
      </c>
      <c r="N934" s="653">
        <f t="shared" si="2270"/>
        <v>320.589</v>
      </c>
      <c r="O934" s="653">
        <f t="shared" si="2270"/>
        <v>296.012</v>
      </c>
      <c r="P934" s="1233">
        <f t="shared" si="2270"/>
        <v>296.012</v>
      </c>
      <c r="Q934" s="653">
        <f t="shared" si="2270"/>
        <v>277.52999999999997</v>
      </c>
      <c r="R934" s="653">
        <f t="shared" si="2270"/>
        <v>260.613</v>
      </c>
      <c r="S934" s="653">
        <f t="shared" si="2270"/>
        <v>241.30099999999999</v>
      </c>
      <c r="T934" s="653">
        <f t="shared" si="2270"/>
        <v>222</v>
      </c>
      <c r="U934" s="1233">
        <f t="shared" si="2270"/>
        <v>222</v>
      </c>
      <c r="V934" s="653">
        <f t="shared" si="2270"/>
        <v>205</v>
      </c>
      <c r="W934" s="653">
        <f t="shared" si="2270"/>
        <v>190</v>
      </c>
      <c r="X934" s="653">
        <f t="shared" si="2270"/>
        <v>172</v>
      </c>
      <c r="Y934" s="653">
        <f t="shared" si="2270"/>
        <v>166</v>
      </c>
      <c r="Z934" s="1233">
        <f t="shared" si="2270"/>
        <v>166</v>
      </c>
      <c r="AA934" s="653">
        <f t="shared" si="2270"/>
        <v>155</v>
      </c>
      <c r="AB934" s="653">
        <f t="shared" si="2270"/>
        <v>138</v>
      </c>
      <c r="AC934" s="653">
        <f t="shared" si="2270"/>
        <v>120</v>
      </c>
      <c r="AD934" s="653">
        <f t="shared" si="2270"/>
        <v>104</v>
      </c>
      <c r="AE934" s="1233">
        <f t="shared" si="2270"/>
        <v>104</v>
      </c>
      <c r="AF934" s="653">
        <f t="shared" si="2270"/>
        <v>90</v>
      </c>
      <c r="AG934" s="653">
        <f t="shared" si="2270"/>
        <v>76</v>
      </c>
      <c r="AH934" s="653">
        <f t="shared" si="2270"/>
        <v>63</v>
      </c>
      <c r="AI934" s="653">
        <f t="shared" ref="AI934:BE934" si="2271">AI978</f>
        <v>52</v>
      </c>
      <c r="AJ934" s="1233">
        <f t="shared" si="2271"/>
        <v>52</v>
      </c>
      <c r="AK934" s="653">
        <f t="shared" si="2271"/>
        <v>55</v>
      </c>
      <c r="AL934" s="653">
        <f t="shared" si="2271"/>
        <v>51</v>
      </c>
      <c r="AM934" s="653">
        <f t="shared" si="2271"/>
        <v>49</v>
      </c>
      <c r="AN934" s="653">
        <f t="shared" si="2271"/>
        <v>45</v>
      </c>
      <c r="AO934" s="1233">
        <f t="shared" si="2271"/>
        <v>45</v>
      </c>
      <c r="AP934" s="653">
        <f t="shared" si="2271"/>
        <v>54</v>
      </c>
      <c r="AQ934" s="653">
        <f t="shared" si="2271"/>
        <v>49</v>
      </c>
      <c r="AR934" s="653">
        <f t="shared" si="2271"/>
        <v>43</v>
      </c>
      <c r="AS934" s="653">
        <f t="shared" si="2271"/>
        <v>49</v>
      </c>
      <c r="AT934" s="1233">
        <f t="shared" si="2271"/>
        <v>49</v>
      </c>
      <c r="AU934" s="653">
        <f t="shared" si="2271"/>
        <v>80</v>
      </c>
      <c r="AV934" s="653">
        <f t="shared" si="2271"/>
        <v>2854</v>
      </c>
      <c r="AW934" s="653">
        <f t="shared" si="2271"/>
        <v>2861</v>
      </c>
      <c r="AX934" s="653">
        <f t="shared" si="2271"/>
        <v>2737</v>
      </c>
      <c r="AY934" s="1233">
        <f t="shared" si="2271"/>
        <v>2737</v>
      </c>
      <c r="AZ934" s="653">
        <f t="shared" si="2271"/>
        <v>2613</v>
      </c>
      <c r="BA934" s="653">
        <f t="shared" si="2271"/>
        <v>2478</v>
      </c>
      <c r="BB934" s="653">
        <f t="shared" si="2271"/>
        <v>2454</v>
      </c>
      <c r="BC934" s="653">
        <f t="shared" si="2271"/>
        <v>2339</v>
      </c>
      <c r="BD934" s="1233">
        <f t="shared" si="2271"/>
        <v>2339</v>
      </c>
      <c r="BE934" s="653">
        <f t="shared" si="2271"/>
        <v>2211</v>
      </c>
      <c r="BF934" s="653">
        <f t="shared" ref="BF934:BG934" si="2272">BF978</f>
        <v>2036</v>
      </c>
      <c r="BG934" s="653">
        <f t="shared" si="2272"/>
        <v>1850</v>
      </c>
      <c r="BH934" s="653">
        <f t="shared" ref="BH934:BI934" si="2273">BH978</f>
        <v>1676</v>
      </c>
      <c r="BI934" s="1233">
        <f t="shared" si="2273"/>
        <v>1676</v>
      </c>
      <c r="BJ934" s="653">
        <f t="shared" ref="BJ934:BN934" si="2274">BJ978</f>
        <v>1541</v>
      </c>
      <c r="BK934" s="653">
        <f t="shared" si="2274"/>
        <v>1395</v>
      </c>
      <c r="BL934" s="653">
        <f t="shared" si="2274"/>
        <v>1251</v>
      </c>
      <c r="BM934" s="653">
        <f t="shared" si="2274"/>
        <v>1112</v>
      </c>
      <c r="BN934" s="1233">
        <f t="shared" si="2274"/>
        <v>1112</v>
      </c>
      <c r="BO934" s="653">
        <f t="shared" ref="BO934:BS934" si="2275">BO978</f>
        <v>986</v>
      </c>
      <c r="BP934" s="653">
        <f t="shared" si="2275"/>
        <v>952</v>
      </c>
      <c r="BQ934" s="653">
        <f t="shared" si="2275"/>
        <v>838</v>
      </c>
      <c r="BR934" s="653">
        <f t="shared" si="2275"/>
        <v>807</v>
      </c>
      <c r="BS934" s="1233">
        <f t="shared" si="2275"/>
        <v>807</v>
      </c>
      <c r="BT934" s="653">
        <f t="shared" ref="BT934:CK934" si="2276">BT978</f>
        <v>769</v>
      </c>
      <c r="BU934" s="653">
        <f t="shared" si="2276"/>
        <v>755</v>
      </c>
      <c r="BV934" s="653">
        <f t="shared" si="2276"/>
        <v>936</v>
      </c>
      <c r="BW934" s="653">
        <f t="shared" si="2276"/>
        <v>3306</v>
      </c>
      <c r="BX934" s="1233">
        <f t="shared" si="2276"/>
        <v>3306</v>
      </c>
      <c r="BY934" s="948">
        <f>BY978</f>
        <v>3120</v>
      </c>
      <c r="BZ934" s="653">
        <f t="shared" si="2276"/>
        <v>2922.9150943396226</v>
      </c>
      <c r="CA934" s="653">
        <f t="shared" si="2276"/>
        <v>2737.9691196663784</v>
      </c>
      <c r="CB934" s="653">
        <f t="shared" si="2276"/>
        <v>2555.7119730833824</v>
      </c>
      <c r="CC934" s="1233">
        <f t="shared" si="2276"/>
        <v>2555.7119730833824</v>
      </c>
      <c r="CD934" s="653">
        <f t="shared" si="2276"/>
        <v>2401.2598917646801</v>
      </c>
      <c r="CE934" s="653">
        <f t="shared" si="2276"/>
        <v>2254.1588094491299</v>
      </c>
      <c r="CF934" s="653">
        <f t="shared" si="2276"/>
        <v>2116.2073487894149</v>
      </c>
      <c r="CG934" s="653">
        <f t="shared" si="2276"/>
        <v>1986.9479377449638</v>
      </c>
      <c r="CH934" s="1233">
        <f t="shared" si="2276"/>
        <v>1986.9479377449638</v>
      </c>
      <c r="CI934" s="1233">
        <f t="shared" si="2276"/>
        <v>1520.8635564214746</v>
      </c>
      <c r="CJ934" s="1233">
        <f t="shared" si="2276"/>
        <v>1194.6044894950323</v>
      </c>
      <c r="CK934" s="1233">
        <f t="shared" si="2276"/>
        <v>966.22314264652266</v>
      </c>
      <c r="CL934" s="155"/>
    </row>
    <row r="935" spans="1:90" x14ac:dyDescent="0.3">
      <c r="A935" s="99"/>
      <c r="B935" s="146"/>
      <c r="C935" s="1153"/>
      <c r="D935" s="1153"/>
      <c r="E935" s="1153"/>
      <c r="F935" s="1153"/>
      <c r="G935" s="563"/>
      <c r="H935" s="563"/>
      <c r="I935" s="563"/>
      <c r="J935" s="563"/>
      <c r="K935" s="1153"/>
      <c r="L935" s="563"/>
      <c r="M935" s="563"/>
      <c r="N935" s="563"/>
      <c r="O935" s="563"/>
      <c r="P935" s="1153"/>
      <c r="Q935" s="563"/>
      <c r="R935" s="563"/>
      <c r="S935" s="563"/>
      <c r="T935" s="563"/>
      <c r="U935" s="1153"/>
      <c r="V935" s="563"/>
      <c r="W935" s="563"/>
      <c r="X935" s="563"/>
      <c r="Y935" s="563"/>
      <c r="Z935" s="1153"/>
      <c r="AA935" s="563"/>
      <c r="AB935" s="563"/>
      <c r="AC935" s="563"/>
      <c r="AD935" s="563"/>
      <c r="AE935" s="1153"/>
      <c r="AF935" s="563"/>
      <c r="AG935" s="563"/>
      <c r="AH935" s="563"/>
      <c r="AI935" s="563"/>
      <c r="AJ935" s="1153"/>
      <c r="AK935" s="563"/>
      <c r="AL935" s="563"/>
      <c r="AM935" s="563"/>
      <c r="AN935" s="563"/>
      <c r="AO935" s="1153"/>
      <c r="AP935" s="563"/>
      <c r="AQ935" s="563"/>
      <c r="AR935" s="563"/>
      <c r="AS935" s="563"/>
      <c r="AT935" s="1153"/>
      <c r="AU935" s="563"/>
      <c r="AV935" s="563"/>
      <c r="AW935" s="563"/>
      <c r="AX935" s="563"/>
      <c r="AY935" s="1153"/>
      <c r="AZ935" s="563"/>
      <c r="BA935" s="563"/>
      <c r="BB935" s="563"/>
      <c r="BC935" s="563"/>
      <c r="BD935" s="1153"/>
      <c r="BE935" s="563"/>
      <c r="BF935" s="563"/>
      <c r="BG935" s="563"/>
      <c r="BH935" s="563"/>
      <c r="BI935" s="1153"/>
      <c r="BJ935" s="563"/>
      <c r="BK935" s="563"/>
      <c r="BL935" s="563"/>
      <c r="BM935" s="563"/>
      <c r="BN935" s="1153"/>
      <c r="BO935" s="563"/>
      <c r="BP935" s="563"/>
      <c r="BQ935" s="563"/>
      <c r="BR935" s="563"/>
      <c r="BS935" s="1153"/>
      <c r="BT935" s="563"/>
      <c r="BU935" s="563"/>
      <c r="BV935" s="563"/>
      <c r="BW935" s="563"/>
      <c r="BX935" s="1153"/>
      <c r="BY935" s="731"/>
      <c r="BZ935" s="563"/>
      <c r="CA935" s="563"/>
      <c r="CB935" s="563"/>
      <c r="CC935" s="1153"/>
      <c r="CD935" s="563"/>
      <c r="CE935" s="563"/>
      <c r="CF935" s="563"/>
      <c r="CG935" s="563"/>
      <c r="CH935" s="1153"/>
      <c r="CI935" s="1153"/>
      <c r="CJ935" s="1153"/>
      <c r="CK935" s="1153"/>
      <c r="CL935" s="155"/>
    </row>
    <row r="936" spans="1:90" x14ac:dyDescent="0.3">
      <c r="A936" s="655" t="s">
        <v>763</v>
      </c>
      <c r="B936" s="102"/>
      <c r="C936" s="1116"/>
      <c r="D936" s="1116">
        <f>IFERROR(-D925/D924,"n/a")</f>
        <v>0.26328623613370444</v>
      </c>
      <c r="E936" s="1116">
        <f>IFERROR(-E925/E924,"n/a")</f>
        <v>0.27452444487967298</v>
      </c>
      <c r="F936" s="1116">
        <f>IFERROR(-F925/F924,"n/a")</f>
        <v>0.25525747244034974</v>
      </c>
      <c r="G936" s="643">
        <f>IFERROR(-G925/G924*K3/G3,"n/a")</f>
        <v>0.27061520661629218</v>
      </c>
      <c r="H936" s="643">
        <f>IFERROR(-H925/H924*K3/H3,"n/a")</f>
        <v>0.28178581171042433</v>
      </c>
      <c r="I936" s="643">
        <f>IFERROR(-I925/I924*K3/I3,"n/a")</f>
        <v>0.27765932243544184</v>
      </c>
      <c r="J936" s="643">
        <f>IFERROR(-J925/J924*K3/J3,"n/a")</f>
        <v>0.29018957178663468</v>
      </c>
      <c r="K936" s="1116">
        <f>IFERROR(-K925/K924,"n/a")</f>
        <v>0.28181198131668789</v>
      </c>
      <c r="L936" s="643">
        <f>IFERROR(-L925/L924*P3/L3,"n/a")</f>
        <v>0.29398206004054545</v>
      </c>
      <c r="M936" s="643">
        <f>IFERROR(-M925/M924*P3/M3,"n/a")</f>
        <v>0.29413815445994462</v>
      </c>
      <c r="N936" s="643">
        <f>IFERROR(-N925/N924*P3/N3,"n/a")</f>
        <v>0.29796112949694964</v>
      </c>
      <c r="O936" s="643">
        <f>IFERROR(-O925/O924*P3/O3,"n/a")</f>
        <v>0.25352273528848634</v>
      </c>
      <c r="P936" s="1116">
        <f>IFERROR(-P925/P924,"n/a")</f>
        <v>0.28889999722291643</v>
      </c>
      <c r="Q936" s="643">
        <f>IFERROR(-Q925/Q924*U3/Q3,"n/a")</f>
        <v>0.24710848749013281</v>
      </c>
      <c r="R936" s="643">
        <f>IFERROR(-R925/R924*U3/R3,"n/a")</f>
        <v>0.2592843052406964</v>
      </c>
      <c r="S936" s="643">
        <f>IFERROR(-S925/S924*U3/S3,"n/a")</f>
        <v>0.2585691430048967</v>
      </c>
      <c r="T936" s="643">
        <f>IFERROR(-T925/T924*U3/T3,"n/a")</f>
        <v>0.24002781498797213</v>
      </c>
      <c r="U936" s="1116">
        <f>IFERROR(-U925/U924,"n/a")</f>
        <v>0.2453924563270069</v>
      </c>
      <c r="V936" s="643">
        <f>IFERROR(-V925/V924*Z3/V3,"n/a")</f>
        <v>0.25618008562353267</v>
      </c>
      <c r="W936" s="643">
        <f>IFERROR(-W925/W924*Z3/W3,"n/a")</f>
        <v>0.2235972437069329</v>
      </c>
      <c r="X936" s="643">
        <f>IFERROR(-X925/X924*Z3/X3,"n/a")</f>
        <v>0.24609193623278131</v>
      </c>
      <c r="Y936" s="643">
        <f>IFERROR(-Y925/Y924*Z3/Y3,"n/a")</f>
        <v>0.23015873015873015</v>
      </c>
      <c r="Z936" s="1116">
        <f>IFERROR(-Z925/Z924,"n/a")</f>
        <v>0.22262118491921004</v>
      </c>
      <c r="AA936" s="643">
        <f>IFERROR(-AA925/AA924*AE3/AA3,"n/a")</f>
        <v>0.24034334763948498</v>
      </c>
      <c r="AB936" s="643">
        <f>IFERROR(-AB925/AB924*AE3/AB3,"n/a")</f>
        <v>0.24217118997912318</v>
      </c>
      <c r="AC936" s="643">
        <f>IFERROR(-AC925/AC924*AE3/AC3,"n/a")</f>
        <v>0.24742268041237114</v>
      </c>
      <c r="AD936" s="643">
        <f>IFERROR(-AD925/AD924*AE3/AD3,"n/a")</f>
        <v>0.25447316103379719</v>
      </c>
      <c r="AE936" s="1116">
        <f>IFERROR(-AE925/AE924,"n/a")</f>
        <v>0.25536480686695279</v>
      </c>
      <c r="AF936" s="643">
        <f>IFERROR(-AF925/AF924*AJ3/AF3,"n/a")</f>
        <v>0.2456813819577735</v>
      </c>
      <c r="AG936" s="643">
        <f>IFERROR(-AG925/AG924*AJ3/AG3,"n/a")</f>
        <v>0.25974025974025972</v>
      </c>
      <c r="AH936" s="643">
        <f>IFERROR(-AH925/AH924*AJ3/AH3,"n/a")</f>
        <v>0.24913494809688577</v>
      </c>
      <c r="AI936" s="643">
        <f>IFERROR(-AI925/AI924*AJ3/AI3,"n/a")</f>
        <v>0.27333333333333332</v>
      </c>
      <c r="AJ936" s="1116">
        <f>IFERROR(-AJ925/AJ924,"n/a")</f>
        <v>0.27639155470249521</v>
      </c>
      <c r="AK936" s="643">
        <f>IFERROR(-AK925/AK924*AO3/AK3,"n/a")</f>
        <v>0.18455366098294881</v>
      </c>
      <c r="AL936" s="643">
        <f>IFERROR(-AL925/AL924*AO3/AL3,"n/a")</f>
        <v>0.19887429643527205</v>
      </c>
      <c r="AM936" s="643">
        <f>IFERROR(-AM925/AM924*AO3/AM3,"n/a")</f>
        <v>0.20998278829604131</v>
      </c>
      <c r="AN936" s="643">
        <f>IFERROR(-AN925/AN924*AO3/AN3,"n/a")</f>
        <v>0.22600619195046437</v>
      </c>
      <c r="AO936" s="1116">
        <f>IFERROR(-AO925/AO924,"n/a")</f>
        <v>0.2337011033099298</v>
      </c>
      <c r="AP936" s="643">
        <f>IFERROR(-AP925/AP924*AT3/AP3,"n/a")</f>
        <v>0.23931623931623933</v>
      </c>
      <c r="AQ936" s="643">
        <f>IFERROR(-AQ925/AQ924*AT3/AQ3,"n/a")</f>
        <v>0.23353699932111341</v>
      </c>
      <c r="AR936" s="643">
        <f>IFERROR(-AR925/AR924*AT3/AR3,"n/a")</f>
        <v>0.23180592991913748</v>
      </c>
      <c r="AS936" s="643">
        <f>IFERROR(-AS925/AS924*AT3/AS3,"n/a")</f>
        <v>0.26367831245880025</v>
      </c>
      <c r="AT936" s="1116">
        <f>IFERROR(-AT925/AT924,"n/a")</f>
        <v>0.25356125356125359</v>
      </c>
      <c r="AU936" s="643">
        <f>IFERROR(-AU925/AU924*AY3/AU3,"n/a")</f>
        <v>0.24354379193088871</v>
      </c>
      <c r="AV936" s="643">
        <f>IFERROR(-AV925/AV924*AY3/AV3,"n/a")</f>
        <v>0.28526575465350978</v>
      </c>
      <c r="AW936" s="643">
        <f>IFERROR(-AW925/AW924*AY3/AW3,"n/a")</f>
        <v>0.25947830173899417</v>
      </c>
      <c r="AX936" s="643">
        <f>IFERROR(-AX925/AX924*AY3/AX3,"n/a")</f>
        <v>0.25924512592798171</v>
      </c>
      <c r="AY936" s="1116">
        <f>IFERROR(-AY925/AY924,"n/a")</f>
        <v>0.29032258064516131</v>
      </c>
      <c r="AZ936" s="643">
        <f>IFERROR(-AZ925/AZ924*BD3/AZ3,"n/a")</f>
        <v>0.26803164262447648</v>
      </c>
      <c r="BA936" s="643">
        <f>IFERROR(-BA925/BA924*BD3/BA3,"n/a")</f>
        <v>0.26102292768959434</v>
      </c>
      <c r="BB936" s="643">
        <f>IFERROR(-BB925/BB924*BD3/BB3,"n/a")</f>
        <v>0.26226734348561759</v>
      </c>
      <c r="BC936" s="643">
        <f>IFERROR(-BC925/BC924*BD3/BC3,"n/a")</f>
        <v>0.26145874850538064</v>
      </c>
      <c r="BD936" s="1116">
        <f>IFERROR(-BD925/BD924,"n/a")</f>
        <v>0.28431828757561656</v>
      </c>
      <c r="BE936" s="643">
        <f>IFERROR(-BE925/BE924*BI3/BE3,"n/a")</f>
        <v>0.25773938084953202</v>
      </c>
      <c r="BF936" s="643">
        <f>IFERROR(-BF925/BF924*BI3/BF3,"n/a")</f>
        <v>0.26886145404663925</v>
      </c>
      <c r="BG936" s="643">
        <f>IFERROR(-BG925/BG924*BI3/BG3,"n/a")</f>
        <v>0.27837921435199503</v>
      </c>
      <c r="BH936" s="643">
        <f>IFERROR(-BH925/BH924*BI3/BH3,"n/a")</f>
        <v>0.25861155272919978</v>
      </c>
      <c r="BI936" s="1116">
        <f>IFERROR(-BI925/BI924,"n/a")</f>
        <v>0.30381569474442044</v>
      </c>
      <c r="BJ936" s="643">
        <f>IFERROR(-BJ925/BJ924*BN3/BJ3,"n/a")</f>
        <v>0.21329130548988706</v>
      </c>
      <c r="BK936" s="643">
        <f>IFERROR(-BK925/BK924*BN3/BK3,"n/a")</f>
        <v>0.23422459893048125</v>
      </c>
      <c r="BL936" s="643">
        <f>IFERROR(-BL925/BL924*BN3/BL3,"n/a")</f>
        <v>0.24006317451961043</v>
      </c>
      <c r="BM936" s="643">
        <f>IFERROR(-BM925/BM924*BN3/BM3,"n/a")</f>
        <v>0.25390218522372526</v>
      </c>
      <c r="BN936" s="1116">
        <f>IFERROR(-BN925/BN924,"n/a")</f>
        <v>0.23483057525610718</v>
      </c>
      <c r="BO936" s="643">
        <f>IFERROR(-BO925/BO924*BS3/BO3,"n/a")</f>
        <v>0.27286663260091976</v>
      </c>
      <c r="BP936" s="643">
        <f>IFERROR(-BP925/BP924*BS3/BP3,"n/a")</f>
        <v>0.28657014478282578</v>
      </c>
      <c r="BQ936" s="643">
        <f>IFERROR(-BQ925/BQ924*BS3/BQ3,"n/a")</f>
        <v>0.26939611054247697</v>
      </c>
      <c r="BR936" s="643">
        <f>IFERROR(-BR925/BR924*BS3/BR3,"n/a")</f>
        <v>0.290473516750889</v>
      </c>
      <c r="BS936" s="1116">
        <f>IFERROR(-BS925/BS924,"n/a")</f>
        <v>0.32473173224322943</v>
      </c>
      <c r="BT936" s="643">
        <f>IFERROR(-BT925/BT924*BX3/BT3,"n/a")</f>
        <v>0.2877606239057775</v>
      </c>
      <c r="BU936" s="643">
        <f>IFERROR(-BU925/BU924*BX3/BU3,"n/a")</f>
        <v>0.3267937219730942</v>
      </c>
      <c r="BV936" s="643">
        <f>IFERROR(-BV925/BV924*BX3/BV3,"n/a")</f>
        <v>0.28662071983371623</v>
      </c>
      <c r="BW936" s="643">
        <f>IFERROR(-BW925/BW924*BX3/BW3,"n/a")</f>
        <v>0.27198364008179959</v>
      </c>
      <c r="BX936" s="1116">
        <f>IFERROR(-BX925/BX924,"n/a")</f>
        <v>0.37482094540824445</v>
      </c>
      <c r="BY936" s="949">
        <f>IFERROR(-BY925/BY924*CC3/BY3,"n/a")</f>
        <v>0.30038005912030757</v>
      </c>
      <c r="BZ936" s="1056">
        <v>0.26</v>
      </c>
      <c r="CA936" s="1056">
        <v>0.26</v>
      </c>
      <c r="CB936" s="1056">
        <v>0.26</v>
      </c>
      <c r="CC936" s="1116">
        <f>AVERAGE(BY936,BZ936,CA936,CB936)</f>
        <v>0.27009501478007691</v>
      </c>
      <c r="CD936" s="1056">
        <v>0.26</v>
      </c>
      <c r="CE936" s="1056">
        <v>0.26</v>
      </c>
      <c r="CF936" s="1056">
        <v>0.26</v>
      </c>
      <c r="CG936" s="1056">
        <v>0.26</v>
      </c>
      <c r="CH936" s="1116">
        <f>AVERAGE(CD936,CE936,CF936,CG936)</f>
        <v>0.26</v>
      </c>
      <c r="CI936" s="1118">
        <v>0.26</v>
      </c>
      <c r="CJ936" s="1118">
        <v>0.26</v>
      </c>
      <c r="CK936" s="1118">
        <v>0.26</v>
      </c>
      <c r="CL936" s="155"/>
    </row>
    <row r="937" spans="1:90" x14ac:dyDescent="0.3">
      <c r="A937" s="655" t="s">
        <v>769</v>
      </c>
      <c r="B937" s="102"/>
      <c r="C937" s="1116"/>
      <c r="D937" s="1116">
        <f>IFERROR(-D931/D930,"n/a")</f>
        <v>0.21685780518147393</v>
      </c>
      <c r="E937" s="1116">
        <f>IFERROR(-E931/E930,"n/a")</f>
        <v>0.2490494612229989</v>
      </c>
      <c r="F937" s="1116">
        <f>IFERROR(-F931/F930,"n/a")</f>
        <v>0.20433254255484942</v>
      </c>
      <c r="G937" s="643">
        <f>IFERROR(-G931/G930*K3/G3,"n/a")</f>
        <v>0.20359604582137514</v>
      </c>
      <c r="H937" s="643">
        <f>IFERROR(-H931/H930*K3/H3,"n/a")</f>
        <v>0.18932566491008407</v>
      </c>
      <c r="I937" s="643">
        <f>IFERROR(-I931/I930*K3/I3,"n/a")</f>
        <v>0.19945926937954331</v>
      </c>
      <c r="J937" s="643">
        <f>IFERROR(-J931/J930*K3/J3,"n/a")</f>
        <v>0.20890692170216887</v>
      </c>
      <c r="K937" s="1116">
        <f>IFERROR(-K931/K930,"n/a")</f>
        <v>0.20972845684009125</v>
      </c>
      <c r="L937" s="643">
        <f>IFERROR(-L931/L930*P3/L3,"n/a")</f>
        <v>0.22283979867576811</v>
      </c>
      <c r="M937" s="643">
        <f>IFERROR(-M931/M930*P3/M3,"n/a")</f>
        <v>0.22094656597363491</v>
      </c>
      <c r="N937" s="643">
        <f>IFERROR(-N931/N930*P3/N3,"n/a")</f>
        <v>0.24308570011162101</v>
      </c>
      <c r="O937" s="643">
        <f>IFERROR(-O931/O930*P3/O3,"n/a")</f>
        <v>0.2133572892394936</v>
      </c>
      <c r="P937" s="1116">
        <f>IFERROR(-P931/P930,"n/a")</f>
        <v>0.23276513453632675</v>
      </c>
      <c r="Q937" s="643">
        <f>IFERROR(-Q931/Q930*U3/Q3,"n/a")</f>
        <v>0.25674634812102209</v>
      </c>
      <c r="R937" s="643">
        <f>IFERROR(-R931/R930*U3/R3,"n/a")</f>
        <v>0.27384426908802656</v>
      </c>
      <c r="S937" s="643">
        <f>IFERROR(-S931/S930*U3/S3,"n/a")</f>
        <v>0.29162014174273732</v>
      </c>
      <c r="T937" s="643">
        <f>IFERROR(-T931/T930*U3/T3,"n/a")</f>
        <v>0.33153613122200076</v>
      </c>
      <c r="U937" s="1116">
        <f>IFERROR(-U931/U930,"n/a")</f>
        <v>0.26012458954366713</v>
      </c>
      <c r="V937" s="643">
        <f>IFERROR(-V931/V930*Z3/V3,"n/a")</f>
        <v>0.34892584892584894</v>
      </c>
      <c r="W937" s="643">
        <f>IFERROR(-W931/W930*Z3/W3,"n/a")</f>
        <v>0.37786116322701685</v>
      </c>
      <c r="X937" s="643">
        <f>IFERROR(-X931/X930*Z3/X3,"n/a")</f>
        <v>0.38623481781376517</v>
      </c>
      <c r="Y937" s="643">
        <f>IFERROR(-Y931/Y930*Z3/Y3,"n/a")</f>
        <v>0.37416943521594681</v>
      </c>
      <c r="Z937" s="1116">
        <f>IFERROR(-Z931/Z930,"n/a")</f>
        <v>0.32882882882882886</v>
      </c>
      <c r="AA937" s="643">
        <f>IFERROR(-AA931/AA930*AE3/AA3,"n/a")</f>
        <v>0.40963855421686746</v>
      </c>
      <c r="AB937" s="643">
        <f>IFERROR(-AB931/AB930*AE3/AB3,"n/a")</f>
        <v>0.46451612903225808</v>
      </c>
      <c r="AC937" s="643">
        <f>IFERROR(-AC931/AC930*AE3/AC3,"n/a")</f>
        <v>0.52173913043478259</v>
      </c>
      <c r="AD937" s="643">
        <f>IFERROR(-AD931/AD930*AE3/AD3,"n/a")</f>
        <v>0.5</v>
      </c>
      <c r="AE937" s="1116">
        <f>IFERROR(-AE931/AE930,"n/a")</f>
        <v>0.40963855421686746</v>
      </c>
      <c r="AF937" s="643">
        <f>IFERROR(-AF931/AF930*AJ3/AF3,"n/a")</f>
        <v>0.57692307692307687</v>
      </c>
      <c r="AG937" s="643">
        <f>IFERROR(-AG931/AG930*AJ3/AG3,"n/a")</f>
        <v>0.62222222222222223</v>
      </c>
      <c r="AH937" s="643">
        <f>IFERROR(-AH931/AH930*AJ3/AH3,"n/a")</f>
        <v>0.68421052631578949</v>
      </c>
      <c r="AI937" s="643">
        <f>IFERROR(-AI931/AI930*AJ3/AI3,"n/a")</f>
        <v>0.82539682539682524</v>
      </c>
      <c r="AJ937" s="1116">
        <f>IFERROR(-AJ931/AJ930,"n/a")</f>
        <v>0.52884615384615385</v>
      </c>
      <c r="AK937" s="643">
        <f>IFERROR(-AK931/AK930*AO3/AK3,"n/a")</f>
        <v>0.84615384615384615</v>
      </c>
      <c r="AL937" s="643">
        <f>IFERROR(-AL931/AL930*AO3/AL3,"n/a")</f>
        <v>0.43636363636363629</v>
      </c>
      <c r="AM937" s="643">
        <f>IFERROR(-AM931/AM930*AO3/AM3,"n/a")</f>
        <v>0.5490196078431373</v>
      </c>
      <c r="AN937" s="643">
        <f>IFERROR(-AN931/AN930*AO3/AN3,"n/a")</f>
        <v>0.40816326530612246</v>
      </c>
      <c r="AO937" s="1116">
        <f>IFERROR(-AO931/AO930,"n/a")</f>
        <v>0.55769230769230771</v>
      </c>
      <c r="AP937" s="643">
        <f>IFERROR(-AP931/AP930*AT3/AP3,"n/a")</f>
        <v>0.62222222222222223</v>
      </c>
      <c r="AQ937" s="643">
        <f>IFERROR(-AQ931/AQ930*AT3/AQ3,"n/a")</f>
        <v>0.44444444444444442</v>
      </c>
      <c r="AR937" s="643">
        <f>IFERROR(-AR931/AR930*AT3/AR3,"n/a")</f>
        <v>0.48979591836734693</v>
      </c>
      <c r="AS937" s="643">
        <f>IFERROR(-AS931/AS930*AT3/AS3,"n/a")</f>
        <v>0.55813953488372092</v>
      </c>
      <c r="AT937" s="1116">
        <f>IFERROR(-AT931/AT930,"n/a")</f>
        <v>0.55555555555555558</v>
      </c>
      <c r="AU937" s="643">
        <f>IFERROR(-AU931/AU930*AY3/AU3,"n/a")</f>
        <v>0.58241758241758246</v>
      </c>
      <c r="AV937" s="643">
        <f>IFERROR(-AV931/AV930*AY3/AV3,"n/a")</f>
        <v>14.473076923076922</v>
      </c>
      <c r="AW937" s="643">
        <f>IFERROR(-AW931/AW930*AY3/AW3,"n/a")</f>
        <v>0.2485580292167538</v>
      </c>
      <c r="AX937" s="643">
        <f>IFERROR(-AX931/AX930*AY3/AX3,"n/a")</f>
        <v>0.19451240824886401</v>
      </c>
      <c r="AY937" s="1116">
        <f>IFERROR(-AY931/AY930,"n/a")</f>
        <v>12.489795918367347</v>
      </c>
      <c r="AZ937" s="643">
        <f>IFERROR(-AZ931/AZ930*BD3/AZ3,"n/a")</f>
        <v>0.20021921812203142</v>
      </c>
      <c r="BA937" s="643">
        <f>IFERROR(-BA931/BA930*BD3/BA3,"n/a")</f>
        <v>0.21125143513203215</v>
      </c>
      <c r="BB937" s="643">
        <f>IFERROR(-BB931/BB930*BD3/BB3,"n/a")</f>
        <v>0.23083131557707828</v>
      </c>
      <c r="BC937" s="643">
        <f>IFERROR(-BC931/BC930*BD3/BC3,"n/a")</f>
        <v>0.23634881825590873</v>
      </c>
      <c r="BD937" s="1116">
        <f>IFERROR(-BD931/BD930,"n/a")</f>
        <v>0.20569967117281696</v>
      </c>
      <c r="BE937" s="643">
        <f>IFERROR(-BE931/BE930*BI3/BE3,"n/a")</f>
        <v>0.26507054296707994</v>
      </c>
      <c r="BF937" s="643">
        <f>IFERROR(-BF931/BF930*BI3/BF3,"n/a")</f>
        <v>0.32926277702397105</v>
      </c>
      <c r="BG937" s="1020">
        <f>IFERROR(-BG931/BG930*BI3/BG3,"n/a")</f>
        <v>0.35559921414538309</v>
      </c>
      <c r="BH937" s="643">
        <f>IFERROR(-BH931/BH930*BI3/BH3,"n/a")</f>
        <v>0.39135135135135141</v>
      </c>
      <c r="BI937" s="1116">
        <f>IFERROR(-BI931/BI930,"n/a")</f>
        <v>0.29884566053869177</v>
      </c>
      <c r="BJ937" s="643">
        <f>IFERROR(-BJ931/BJ930*BN3/BJ3,"n/a")</f>
        <v>0.43198090692124103</v>
      </c>
      <c r="BK937" s="643">
        <f>IFERROR(-BK931/BK930*BN3/BK3,"n/a")</f>
        <v>0.37897469175859833</v>
      </c>
      <c r="BL937" s="1020">
        <f>IFERROR(-BL931/BL930*BN3/BL3,"n/a")</f>
        <v>0.41290322580645156</v>
      </c>
      <c r="BM937" s="643">
        <f>IFERROR(-BM931/BM930*BN3/BM3,"n/a")</f>
        <v>0.45723421262989611</v>
      </c>
      <c r="BN937" s="1116">
        <f>IFERROR(-BN931/BN930,"n/a")</f>
        <v>0.36634844868735084</v>
      </c>
      <c r="BO937" s="643">
        <f>IFERROR(-BO931/BO930*BS3/BO3,"n/a")</f>
        <v>0.51438848920863312</v>
      </c>
      <c r="BP937" s="643">
        <f>IFERROR(-BP931/BP930*BS3/BP3,"n/a")</f>
        <v>0.59229208924949295</v>
      </c>
      <c r="BQ937" s="1020">
        <f>IFERROR(-BQ931/BQ930*BS3/BQ3,"n/a")</f>
        <v>0.62605042016806722</v>
      </c>
      <c r="BR937" s="643">
        <f>IFERROR(-BR931/BR930*BS3/BR3,"n/a")</f>
        <v>0.7398568019093078</v>
      </c>
      <c r="BS937" s="1116">
        <f>IFERROR(-BS931/BS930,"n/a")</f>
        <v>0.53327338129496404</v>
      </c>
      <c r="BT937" s="643">
        <f>IFERROR(-BT931/BT930*BX3/BT3,"n/a")</f>
        <v>0.78810408921933084</v>
      </c>
      <c r="BU937" s="643">
        <f>IFERROR(-BU931/BU930*BX3/BU3,"n/a")</f>
        <v>0.44733420026007803</v>
      </c>
      <c r="BV937" s="1020">
        <f>IFERROR(-BV931/BV930*BX3/BV3,"n/a")</f>
        <v>0.50860927152317881</v>
      </c>
      <c r="BW937" s="643">
        <f>IFERROR(-BW931/BW930*BX3/BW3,"n/a")</f>
        <v>0.62820512820512819</v>
      </c>
      <c r="BX937" s="1116">
        <f>IFERROR(-BX931/BX930,"n/a")</f>
        <v>0.60470879801734823</v>
      </c>
      <c r="BY937" s="949">
        <f>IFERROR(-BY931/BY930*CC3/BY3,"n/a")</f>
        <v>0.28609986504723345</v>
      </c>
      <c r="BZ937" s="1056">
        <v>0.3</v>
      </c>
      <c r="CA937" s="1056">
        <v>0.3</v>
      </c>
      <c r="CB937" s="1056">
        <v>0.3</v>
      </c>
      <c r="CC937" s="1116">
        <f>AVERAGE(BY937,BZ937,CA937,CB937)</f>
        <v>0.29652496626180835</v>
      </c>
      <c r="CD937" s="1056">
        <v>0.3</v>
      </c>
      <c r="CE937" s="1056">
        <v>0.3</v>
      </c>
      <c r="CF937" s="1056">
        <v>0.3</v>
      </c>
      <c r="CG937" s="1056">
        <v>0.3</v>
      </c>
      <c r="CH937" s="1116">
        <f>AVERAGE(CD937,CE937,CF937,CG937)</f>
        <v>0.3</v>
      </c>
      <c r="CI937" s="1118">
        <v>0.3</v>
      </c>
      <c r="CJ937" s="1118">
        <v>0.3</v>
      </c>
      <c r="CK937" s="1118">
        <v>0.3</v>
      </c>
      <c r="CL937" s="155"/>
    </row>
    <row r="938" spans="1:90" x14ac:dyDescent="0.3">
      <c r="A938" s="600" t="s">
        <v>771</v>
      </c>
      <c r="B938" s="279"/>
      <c r="C938" s="1155"/>
      <c r="D938" s="1155">
        <f>IFERROR(-D924/D925,"n/a")</f>
        <v>3.798147653613654</v>
      </c>
      <c r="E938" s="1155">
        <f>IFERROR(-E924/E925,"n/a")</f>
        <v>3.6426628617291654</v>
      </c>
      <c r="F938" s="1155">
        <f>IFERROR(-F924/F925,"n/a")</f>
        <v>3.9176130298543432</v>
      </c>
      <c r="G938" s="654">
        <f>IFERROR(-G924/G925*G3/K3,"n/a")</f>
        <v>3.6952838404898261</v>
      </c>
      <c r="H938" s="654">
        <f>IFERROR(-H924/H925*H3/K3,"n/a")</f>
        <v>3.5487947172714449</v>
      </c>
      <c r="I938" s="654">
        <f>IFERROR(-I924/I925*I3/K3,"n/a")</f>
        <v>3.6015358361774741</v>
      </c>
      <c r="J938" s="654">
        <f>IFERROR(-J924/J925*J3/K3,"n/a")</f>
        <v>3.4460232111140847</v>
      </c>
      <c r="K938" s="1155">
        <f>IFERROR(-K924/K925,"n/a")</f>
        <v>3.5484651693223936</v>
      </c>
      <c r="L938" s="654">
        <f>IFERROR(-L924/L925*L3/P3,"n/a")</f>
        <v>3.4015681088229739</v>
      </c>
      <c r="M938" s="654">
        <f>IFERROR(-M924/M925*M3/P3,"n/a")</f>
        <v>3.399762950971323</v>
      </c>
      <c r="N938" s="654">
        <f>IFERROR(-N924/N925*N3/P3,"n/a")</f>
        <v>3.3561424662616521</v>
      </c>
      <c r="O938" s="654">
        <f>IFERROR(-O924/O925*O3/P3,"n/a")</f>
        <v>3.9444194180931693</v>
      </c>
      <c r="P938" s="1155">
        <f>IFERROR(-P924/P925,"n/a")</f>
        <v>3.461405363837355</v>
      </c>
      <c r="Q938" s="654">
        <f>IFERROR(-Q924/Q925*Q3/U3,"n/a")</f>
        <v>4.0468055555555553</v>
      </c>
      <c r="R938" s="654">
        <f>IFERROR(-R924/R925*R3/U3,"n/a")</f>
        <v>3.8567702702702706</v>
      </c>
      <c r="S938" s="654">
        <f>IFERROR(-S924/S925*S3/U3,"n/a")</f>
        <v>3.8674374999999999</v>
      </c>
      <c r="T938" s="654">
        <f>IFERROR(-T924/T925*T3/U3,"n/a")</f>
        <v>4.166183823529412</v>
      </c>
      <c r="U938" s="1155">
        <f>IFERROR(-U924/U925,"n/a")</f>
        <v>4.0751048951048956</v>
      </c>
      <c r="V938" s="654">
        <f>IFERROR(-V924/V925*V3/Z3,"n/a")</f>
        <v>3.9035040431266848</v>
      </c>
      <c r="W938" s="654">
        <f>IFERROR(-W924/W925*W3/Z3,"n/a")</f>
        <v>4.4723270440251577</v>
      </c>
      <c r="X938" s="654">
        <f>IFERROR(-X924/X925*X3/Z3,"n/a")</f>
        <v>4.0635220125786162</v>
      </c>
      <c r="Y938" s="654">
        <f>IFERROR(-Y924/Y925*Y3/Z3,"n/a")</f>
        <v>4.3448275862068968</v>
      </c>
      <c r="Z938" s="1155">
        <f>IFERROR(-Z924/Z925,"n/a")</f>
        <v>4.491935483870968</v>
      </c>
      <c r="AA938" s="654">
        <f>IFERROR(-AA924/AA925*AA3/AE3,"n/a")</f>
        <v>4.1607142857142856</v>
      </c>
      <c r="AB938" s="654">
        <f>IFERROR(-AB924/AB925*AB3/AE3,"n/a")</f>
        <v>4.1293103448275863</v>
      </c>
      <c r="AC938" s="654">
        <f>IFERROR(-AC924/AC925*AC3/AE3,"n/a")</f>
        <v>4.041666666666667</v>
      </c>
      <c r="AD938" s="654">
        <f>IFERROR(-AD924/AD925*AD3/AE3,"n/a")</f>
        <v>3.9296875</v>
      </c>
      <c r="AE938" s="1155">
        <f>IFERROR(-AE924/AE925,"n/a")</f>
        <v>3.9159663865546217</v>
      </c>
      <c r="AF938" s="654">
        <f>IFERROR(-AF924/AF925*AF3/AJ3,"n/a")</f>
        <v>4.0703125</v>
      </c>
      <c r="AG938" s="654">
        <f>IFERROR(-AG924/AG925*AG3/AJ3,"n/a")</f>
        <v>3.85</v>
      </c>
      <c r="AH938" s="654">
        <f>IFERROR(-AH924/AH925*AH3/AJ3,"n/a")</f>
        <v>4.0138888888888893</v>
      </c>
      <c r="AI938" s="654">
        <f>IFERROR(-AI924/AI925*AI3/AJ3,"n/a")</f>
        <v>3.6585365853658538</v>
      </c>
      <c r="AJ938" s="1155">
        <f>IFERROR(-AJ924/AJ925,"n/a")</f>
        <v>3.6180555555555554</v>
      </c>
      <c r="AK938" s="654">
        <f>IFERROR(-AK924/AK925*AK3/AO3,"n/a")</f>
        <v>5.4184782608695654</v>
      </c>
      <c r="AL938" s="654">
        <f>IFERROR(-AL924/AL925*AL3/AO3,"n/a")</f>
        <v>5.0283018867924527</v>
      </c>
      <c r="AM938" s="654">
        <f>IFERROR(-AM924/AM925*AM3/AO3,"n/a")</f>
        <v>4.7622950819672134</v>
      </c>
      <c r="AN938" s="654">
        <f>IFERROR(-AN924/AN925*AN3/AO3,"n/a")</f>
        <v>4.4246575342465757</v>
      </c>
      <c r="AO938" s="1155">
        <f>IFERROR(-AO924/AO925,"n/a")</f>
        <v>4.2789699570815447</v>
      </c>
      <c r="AP938" s="654">
        <f>IFERROR(-AP924/AP925*AP3/AT3,"n/a")</f>
        <v>4.1785714285714288</v>
      </c>
      <c r="AQ938" s="654">
        <f>IFERROR(-AQ924/AQ925*AQ3/AT3,"n/a")</f>
        <v>4.2819767441860463</v>
      </c>
      <c r="AR938" s="654">
        <f>IFERROR(-AR924/AR925*AR3/AT3,"n/a")</f>
        <v>4.3139534883720927</v>
      </c>
      <c r="AS938" s="654">
        <f>IFERROR(-AS924/AS925*AS3/AT3,"n/a")</f>
        <v>3.7925</v>
      </c>
      <c r="AT938" s="1155">
        <f>IFERROR(-AT924/AT925,"n/a")</f>
        <v>3.9438202247191012</v>
      </c>
      <c r="AU938" s="654">
        <f>IFERROR(-AU924/AU925*AU3/AY3,"n/a")</f>
        <v>4.1060377358490561</v>
      </c>
      <c r="AV938" s="654">
        <f>IFERROR(-AV924/AV925*AV3/AY3,"n/a")</f>
        <v>3.5055031446540879</v>
      </c>
      <c r="AW938" s="654">
        <f>IFERROR(-AW924/AW925*AW3/AY3,"n/a")</f>
        <v>3.8538867924528302</v>
      </c>
      <c r="AX938" s="654">
        <f>IFERROR(-AX924/AX925*AX3/AY3,"n/a")</f>
        <v>3.8573531379633348</v>
      </c>
      <c r="AY938" s="1155">
        <f>IFERROR(-AY924/AY925,"n/a")</f>
        <v>3.4444444444444446</v>
      </c>
      <c r="AZ938" s="654">
        <f>IFERROR(-AZ924/AZ925*AZ3/BD3,"n/a")</f>
        <v>3.7309027777777777</v>
      </c>
      <c r="BA938" s="654">
        <f>IFERROR(-BA924/BA925*BA3/BD3,"n/a")</f>
        <v>3.8310810810810811</v>
      </c>
      <c r="BB938" s="654">
        <f>IFERROR(-BB924/BB925*BB3/BD3,"n/a")</f>
        <v>3.8129032258064517</v>
      </c>
      <c r="BC938" s="654">
        <f>IFERROR(-BC924/BC925*BC3/BD3,"n/a")</f>
        <v>3.8246951219512195</v>
      </c>
      <c r="BD938" s="1155">
        <f>IFERROR(-BD924/BD925,"n/a")</f>
        <v>3.5171849427168578</v>
      </c>
      <c r="BE938" s="654">
        <f>IFERROR(-BE924/BE925*BE3/BI3,"n/a")</f>
        <v>3.8798882681564244</v>
      </c>
      <c r="BF938" s="654">
        <f>IFERROR(-BF924/BF925*BF3/BI3,"n/a")</f>
        <v>3.7193877551020411</v>
      </c>
      <c r="BG938" s="654">
        <f>IFERROR(-BG924/BG925*BG3/BI3,"n/a")</f>
        <v>3.5922222222222224</v>
      </c>
      <c r="BH938" s="654">
        <f>IFERROR(-BH924/BH925*BH3/BI3,"n/a")</f>
        <v>3.8668032786885247</v>
      </c>
      <c r="BI938" s="1155">
        <f>IFERROR(-BI924/BI925,"n/a")</f>
        <v>3.2914691943127963</v>
      </c>
      <c r="BJ938" s="654">
        <f>IFERROR(-BJ924/BJ925*BJ3/BN3,"n/a")</f>
        <v>4.6884236453201966</v>
      </c>
      <c r="BK938" s="654">
        <f>IFERROR(-BK924/BK925*BK3/BN3,"n/a")</f>
        <v>4.269406392694064</v>
      </c>
      <c r="BL938" s="654">
        <f>IFERROR(-BL924/BL925*BL3/BN3,"n/a")</f>
        <v>4.1655701754385968</v>
      </c>
      <c r="BM938" s="654">
        <f>IFERROR(-BM924/BM925*BM3/BN3,"n/a")</f>
        <v>3.9385245901639343</v>
      </c>
      <c r="BN938" s="1155">
        <f>IFERROR(-BN924/BN925,"n/a")</f>
        <v>4.2583892617449663</v>
      </c>
      <c r="BO938" s="654">
        <f>IFERROR(-BO924/BO925*BO3/BS3,"n/a")</f>
        <v>3.6647940074906367</v>
      </c>
      <c r="BP938" s="654">
        <f>IFERROR(-BP924/BP925*BP3/BS3,"n/a")</f>
        <v>3.4895470383275264</v>
      </c>
      <c r="BQ938" s="654">
        <f>IFERROR(-BQ924/BQ925*BQ3/BS3,"n/a")</f>
        <v>3.7120060790273555</v>
      </c>
      <c r="BR938" s="654">
        <f>IFERROR(-BR924/BR925*BR3/BS3,"n/a")</f>
        <v>3.4426546391752577</v>
      </c>
      <c r="BS938" s="1155">
        <f>IFERROR(-BS924/BS925,"n/a")</f>
        <v>3.0794649881982692</v>
      </c>
      <c r="BT938" s="654">
        <f>IFERROR(-BT924/BT925*BT3/BX3,"n/a")</f>
        <v>3.4751106194690262</v>
      </c>
      <c r="BU938" s="654">
        <f>IFERROR(-BU924/BU925*BU3/BX3,"n/a")</f>
        <v>3.0600343053173242</v>
      </c>
      <c r="BV938" s="654">
        <f>IFERROR(-BV924/BV925*BV3/BX3,"n/a")</f>
        <v>3.4889312977099238</v>
      </c>
      <c r="BW938" s="654">
        <f>IFERROR(-BW924/BW925*BW3/BX3,"n/a")</f>
        <v>3.6766917293233083</v>
      </c>
      <c r="BX938" s="1155">
        <f>IFERROR(-BX924/BX925,"n/a")</f>
        <v>2.6679405520169852</v>
      </c>
      <c r="BY938" s="947">
        <f>IFERROR(-BY924/BY925*BY3/CC3,"n/a")</f>
        <v>3.3291157972623009</v>
      </c>
      <c r="BZ938" s="654">
        <f>IFERROR(-BZ924/BZ925*BZ3/CC3,"n/a")</f>
        <v>3.8461538461538463</v>
      </c>
      <c r="CA938" s="654">
        <f>IFERROR(-CA924/CA925*CA3/CC3,"n/a")</f>
        <v>3.8461538461538463</v>
      </c>
      <c r="CB938" s="654">
        <f>IFERROR(-CB924/CB925*CB3/CC3,"n/a")</f>
        <v>3.8461538461538463</v>
      </c>
      <c r="CC938" s="1155">
        <f>AVERAGE(BY938,BZ938,CA938,CB938)</f>
        <v>3.7168943339309601</v>
      </c>
      <c r="CD938" s="654">
        <f>IFERROR(-CD924/CD925*CD3/CH3,"n/a")</f>
        <v>3.8461538461538454</v>
      </c>
      <c r="CE938" s="654">
        <f>IFERROR(-CE924/CE925*CE3/CH3,"n/a")</f>
        <v>3.8461538461538467</v>
      </c>
      <c r="CF938" s="654">
        <f>IFERROR(-CF924/CF925*CF3/CH3,"n/a")</f>
        <v>3.8461538461538463</v>
      </c>
      <c r="CG938" s="654">
        <f>IFERROR(-CG924/CG925*CG3/CH3,"n/a")</f>
        <v>3.8461538461538463</v>
      </c>
      <c r="CH938" s="1155">
        <f>AVERAGE(CD938,CE938,CF938,CG938)</f>
        <v>3.8461538461538463</v>
      </c>
      <c r="CI938" s="1155">
        <f>IFERROR(-CI924/CI925,"n/a")</f>
        <v>3.8461538461538463</v>
      </c>
      <c r="CJ938" s="1155">
        <f>IFERROR(-CJ924/CJ925,"n/a")</f>
        <v>3.8461538461538458</v>
      </c>
      <c r="CK938" s="1155">
        <f>IFERROR(-CK924/CK925,"n/a")</f>
        <v>3.8461538461538458</v>
      </c>
      <c r="CL938" s="155"/>
    </row>
    <row r="939" spans="1:90" x14ac:dyDescent="0.3">
      <c r="A939" s="600" t="s">
        <v>772</v>
      </c>
      <c r="B939" s="279"/>
      <c r="C939" s="1155"/>
      <c r="D939" s="1155">
        <f>IFERROR(-D930/D931,"n/a")</f>
        <v>4.6113166144200628</v>
      </c>
      <c r="E939" s="1155">
        <f>IFERROR(-E930/E931,"n/a")</f>
        <v>4.0152666666666663</v>
      </c>
      <c r="F939" s="1155">
        <f>IFERROR(-F930/F931,"n/a")</f>
        <v>4.8939830508474573</v>
      </c>
      <c r="G939" s="654">
        <f>IFERROR(-G930/G931*G3/K3,"n/a")</f>
        <v>4.9116867469879519</v>
      </c>
      <c r="H939" s="654">
        <f>IFERROR(-H930/H931*H3/K3,"n/a")</f>
        <v>5.2819040697674415</v>
      </c>
      <c r="I939" s="654">
        <f>IFERROR(-I930/I931*I3/K3,"n/a")</f>
        <v>5.0135549132947972</v>
      </c>
      <c r="J939" s="654">
        <f>IFERROR(-J930/J931*J3/K3,"n/a")</f>
        <v>4.7868208092485514</v>
      </c>
      <c r="K939" s="1155">
        <f>IFERROR(-K930/K931,"n/a")</f>
        <v>4.7680701754385968</v>
      </c>
      <c r="L939" s="654">
        <f>IFERROR(-L930/L931*L3/P3,"n/a")</f>
        <v>4.4875287356321838</v>
      </c>
      <c r="M939" s="654">
        <f>IFERROR(-M930/M931*M3/P3,"n/a")</f>
        <v>4.5259811827956984</v>
      </c>
      <c r="N939" s="654">
        <f>IFERROR(-N930/N931*N3/P3,"n/a")</f>
        <v>4.1137755102040812</v>
      </c>
      <c r="O939" s="654">
        <f>IFERROR(-O930/O931*O3/P3,"n/a")</f>
        <v>4.6869736842105256</v>
      </c>
      <c r="P939" s="1155">
        <f>IFERROR(-P930/P931,"n/a")</f>
        <v>4.296176066024759</v>
      </c>
      <c r="Q939" s="654">
        <f>IFERROR(-Q930/Q931*Q3/U3,"n/a")</f>
        <v>3.894894736842105</v>
      </c>
      <c r="R939" s="654">
        <f>IFERROR(-R930/R931*R3/U3,"n/a")</f>
        <v>3.6517105263157896</v>
      </c>
      <c r="S939" s="654">
        <f>IFERROR(-S930/S931*S3/U3,"n/a")</f>
        <v>3.4291184210526318</v>
      </c>
      <c r="T939" s="654">
        <f>IFERROR(-T930/T931*T3/U3,"n/a")</f>
        <v>3.0162624999999994</v>
      </c>
      <c r="U939" s="1155">
        <f>IFERROR(-U930/U931,"n/a")</f>
        <v>3.8443116883116883</v>
      </c>
      <c r="V939" s="654">
        <f>IFERROR(-V930/V931*V3/Z3,"n/a")</f>
        <v>2.8659384309831184</v>
      </c>
      <c r="W939" s="654">
        <f>IFERROR(-W930/W931*W3/Z3,"n/a")</f>
        <v>2.6464746772591856</v>
      </c>
      <c r="X939" s="654">
        <f>IFERROR(-X930/X931*X3/Z3,"n/a")</f>
        <v>2.5890985324947589</v>
      </c>
      <c r="Y939" s="654">
        <f>IFERROR(-Y930/Y931*Y3/Z3,"n/a")</f>
        <v>2.6725860155382906</v>
      </c>
      <c r="Z939" s="1155">
        <f>IFERROR(-Z930/Z931,"n/a")</f>
        <v>3.0410958904109591</v>
      </c>
      <c r="AA939" s="654">
        <f>IFERROR(-AA930/AA931*AA3/AE3,"n/a")</f>
        <v>2.4411764705882355</v>
      </c>
      <c r="AB939" s="654">
        <f>IFERROR(-AB930/AB931*AB3/AE3,"n/a")</f>
        <v>2.1527777777777777</v>
      </c>
      <c r="AC939" s="654">
        <f>IFERROR(-AC930/AC931*AC3/AE3,"n/a")</f>
        <v>1.916666666666667</v>
      </c>
      <c r="AD939" s="654">
        <f>IFERROR(-AD930/AD931*AD3/AE3,"n/a")</f>
        <v>2</v>
      </c>
      <c r="AE939" s="1155">
        <f>IFERROR(-AE930/AE931,"n/a")</f>
        <v>2.4411764705882355</v>
      </c>
      <c r="AF939" s="654">
        <f>IFERROR(-AF930/AF931*AF3/AJ3,"n/a")</f>
        <v>1.7333333333333334</v>
      </c>
      <c r="AG939" s="654">
        <f>IFERROR(-AG930/AG931*AG3/AJ3,"n/a")</f>
        <v>1.6071428571428572</v>
      </c>
      <c r="AH939" s="654">
        <f>IFERROR(-AH930/AH931*AH3/AJ3,"n/a")</f>
        <v>1.4615384615384615</v>
      </c>
      <c r="AI939" s="654">
        <f>IFERROR(-AI930/AI931*AI3/AJ3,"n/a")</f>
        <v>1.2115384615384615</v>
      </c>
      <c r="AJ939" s="1155">
        <f>IFERROR(-AJ930/AJ931,"n/a")</f>
        <v>1.8909090909090909</v>
      </c>
      <c r="AK939" s="654">
        <f>IFERROR(-AK930/AK931*AK3/AO3,"n/a")</f>
        <v>1.1818181818181819</v>
      </c>
      <c r="AL939" s="654">
        <f>IFERROR(-AL930/AL931*AL3/AO3,"n/a")</f>
        <v>2.2916666666666665</v>
      </c>
      <c r="AM939" s="654">
        <f>IFERROR(-AM930/AM931*AM3/AO3,"n/a")</f>
        <v>1.8214285714285714</v>
      </c>
      <c r="AN939" s="654">
        <f>IFERROR(-AN930/AN931*AN3/AO3,"n/a")</f>
        <v>2.4500000000000002</v>
      </c>
      <c r="AO939" s="1155">
        <f>IFERROR(-AO930/AO931,"n/a")</f>
        <v>1.7931034482758621</v>
      </c>
      <c r="AP939" s="654">
        <f>IFERROR(-AP930/AP931*AP3/AT3,"n/a")</f>
        <v>1.6071428571428572</v>
      </c>
      <c r="AQ939" s="654">
        <f>IFERROR(-AQ930/AQ931*AQ3/AT3,"n/a")</f>
        <v>2.25</v>
      </c>
      <c r="AR939" s="654">
        <f>IFERROR(-AR930/AR931*AR3/AT3,"n/a")</f>
        <v>2.0416666666666665</v>
      </c>
      <c r="AS939" s="654">
        <f>IFERROR(-AS930/AS931*AS3/AT3,"n/a")</f>
        <v>1.791666666666667</v>
      </c>
      <c r="AT939" s="1155">
        <f>IFERROR(-AT930/AT931,"n/a")</f>
        <v>1.8</v>
      </c>
      <c r="AU939" s="654">
        <f>IFERROR(-AU930/AU931*AU3/AY3,"n/a")</f>
        <v>1.7169811320754718</v>
      </c>
      <c r="AV939" s="654">
        <f>IFERROR(-AV930/AV931*AV3/AY3,"n/a")</f>
        <v>6.9093808131809722E-2</v>
      </c>
      <c r="AW939" s="654">
        <f>IFERROR(-AW930/AW931*AW3/AY3,"n/a")</f>
        <v>4.0232053784428539</v>
      </c>
      <c r="AX939" s="654">
        <f>IFERROR(-AX930/AX931*AX3/AY3,"n/a")</f>
        <v>5.1410601976639718</v>
      </c>
      <c r="AY939" s="1155">
        <f>IFERROR(-AY930/AY931,"n/a")</f>
        <v>8.0065359477124176E-2</v>
      </c>
      <c r="AZ939" s="654">
        <f>IFERROR(-AZ930/AZ931*AZ3/BD3,"n/a")</f>
        <v>4.9945255474452557</v>
      </c>
      <c r="BA939" s="654">
        <f>IFERROR(-BA930/BA931*BA3/BD3,"n/a")</f>
        <v>4.7336956521739131</v>
      </c>
      <c r="BB939" s="654">
        <f>IFERROR(-BB930/BB931*BB3/BD3,"n/a")</f>
        <v>4.3321678321678325</v>
      </c>
      <c r="BC939" s="654">
        <f>IFERROR(-BC930/BC931*BC3/BD3,"n/a")</f>
        <v>4.2310344827586208</v>
      </c>
      <c r="BD939" s="1155">
        <f>IFERROR(-BD930/BD931,"n/a")</f>
        <v>4.8614564831261102</v>
      </c>
      <c r="BE939" s="654">
        <f>IFERROR(-BE930/BE931*BE3/BI3,"n/a")</f>
        <v>3.7725806451612902</v>
      </c>
      <c r="BF939" s="654">
        <f>IFERROR(-BF930/BF931*BF3/BI3,"n/a")</f>
        <v>3.037087912087912</v>
      </c>
      <c r="BG939" s="654">
        <f>IFERROR(-BG930/BG931*BG3/BI3,"n/a")</f>
        <v>2.8121546961325965</v>
      </c>
      <c r="BH939" s="654">
        <f>IFERROR(-BH930/BH931*BH3/BI3,"n/a")</f>
        <v>2.5552486187845305</v>
      </c>
      <c r="BI939" s="1155">
        <f>IFERROR(-BI930/BI931,"n/a")</f>
        <v>3.3462088698140202</v>
      </c>
      <c r="BJ939" s="654">
        <f>IFERROR(-BJ930/BJ931*BJ3/BN3,"n/a")</f>
        <v>2.3149171270718232</v>
      </c>
      <c r="BK939" s="654">
        <f>IFERROR(-BK930/BK931*BK3/BN3,"n/a")</f>
        <v>2.6386986301369864</v>
      </c>
      <c r="BL939" s="654">
        <f>IFERROR(-BL930/BL931*BL3/BN3,"n/a")</f>
        <v>2.421875</v>
      </c>
      <c r="BM939" s="654">
        <f>IFERROR(-BM930/BM931*BM3/BN3,"n/a")</f>
        <v>2.1870629370629371</v>
      </c>
      <c r="BN939" s="1155">
        <f>IFERROR(-BN930/BN931,"n/a")</f>
        <v>2.7296416938110748</v>
      </c>
      <c r="BO939" s="654">
        <f>IFERROR(-BO930/BO931*BO3/BS3,"n/a")</f>
        <v>1.944055944055944</v>
      </c>
      <c r="BP939" s="654">
        <f>IFERROR(-BP930/BP931*BP3/BS3,"n/a")</f>
        <v>1.6883561643835616</v>
      </c>
      <c r="BQ939" s="654">
        <f>IFERROR(-BQ930/BQ931*BQ3/BS3,"n/a")</f>
        <v>1.5973154362416107</v>
      </c>
      <c r="BR939" s="654">
        <f>IFERROR(-BR930/BR931*BR3/BS3,"n/a")</f>
        <v>1.3516129032258064</v>
      </c>
      <c r="BS939" s="1155">
        <f>IFERROR(-BS930/BS931,"n/a")</f>
        <v>1.8752107925801011</v>
      </c>
      <c r="BT939" s="654">
        <f>IFERROR(-BT930/BT931*BT3/BX3,"n/a")</f>
        <v>1.2688679245283019</v>
      </c>
      <c r="BU939" s="654">
        <f>IFERROR(-BU930/BU931*BU3/BX3,"n/a")</f>
        <v>2.23546511627907</v>
      </c>
      <c r="BV939" s="654">
        <f>IFERROR(-BV930/BV931*BV3/BX3,"n/a")</f>
        <v>1.966145833333333</v>
      </c>
      <c r="BW939" s="654">
        <f>IFERROR(-BW930/BW931*BW3/BX3,"n/a")</f>
        <v>1.5918367346938775</v>
      </c>
      <c r="BX939" s="1155">
        <f>IFERROR(-BX930/BX931,"n/a")</f>
        <v>1.653688524590164</v>
      </c>
      <c r="BY939" s="947">
        <f>IFERROR(-BY930/BY931*BY3/CC3,"n/a")</f>
        <v>3.4952830188679247</v>
      </c>
      <c r="BZ939" s="654">
        <f>IFERROR(-BZ930/BZ931*BZ3/CC3,"n/a")</f>
        <v>3.3333333333333335</v>
      </c>
      <c r="CA939" s="654">
        <f>IFERROR(-CA930/CA931*CA3/CC3,"n/a")</f>
        <v>3.3333333333333335</v>
      </c>
      <c r="CB939" s="654">
        <f>IFERROR(-CB930/CB931*CB3/CC3,"n/a")</f>
        <v>3.3333333333333344</v>
      </c>
      <c r="CC939" s="1155">
        <f>AVERAGE(BY939,BZ939,CA939,CB939)</f>
        <v>3.3738207547169816</v>
      </c>
      <c r="CD939" s="654">
        <f>IFERROR(-CD930/CD931*CD3/CH3,"n/a")</f>
        <v>3.333333333333333</v>
      </c>
      <c r="CE939" s="654">
        <f>IFERROR(-CE930/CE931*CE3/CH3,"n/a")</f>
        <v>3.333333333333333</v>
      </c>
      <c r="CF939" s="654">
        <f>IFERROR(-CF930/CF931*CF3/CH3,"n/a")</f>
        <v>3.3333333333333335</v>
      </c>
      <c r="CG939" s="654">
        <f>IFERROR(-CG930/CG931*CG3/CH3,"n/a")</f>
        <v>3.3333333333333335</v>
      </c>
      <c r="CH939" s="1155">
        <f>AVERAGE(CD939,CE939,CF939,CG939)</f>
        <v>3.3333333333333335</v>
      </c>
      <c r="CI939" s="1155">
        <f>IFERROR(-CI930/CI931,"n/a")</f>
        <v>3.3333333333333339</v>
      </c>
      <c r="CJ939" s="1155">
        <f>IFERROR(-CJ930/CJ931,"n/a")</f>
        <v>3.3333333333333335</v>
      </c>
      <c r="CK939" s="1155">
        <f>IFERROR(-CK930/CK931,"n/a")</f>
        <v>3.3333333333333335</v>
      </c>
      <c r="CL939" s="155"/>
    </row>
    <row r="940" spans="1:90" x14ac:dyDescent="0.3">
      <c r="A940" s="99"/>
      <c r="B940" s="146"/>
      <c r="C940" s="1153"/>
      <c r="D940" s="1153"/>
      <c r="E940" s="1153"/>
      <c r="F940" s="1153"/>
      <c r="G940" s="563"/>
      <c r="H940" s="563"/>
      <c r="I940" s="563"/>
      <c r="J940" s="563"/>
      <c r="K940" s="1153"/>
      <c r="L940" s="563"/>
      <c r="M940" s="563"/>
      <c r="N940" s="563"/>
      <c r="O940" s="563"/>
      <c r="P940" s="1153"/>
      <c r="Q940" s="563"/>
      <c r="R940" s="563"/>
      <c r="S940" s="563"/>
      <c r="T940" s="563"/>
      <c r="U940" s="1153"/>
      <c r="V940" s="563"/>
      <c r="W940" s="563"/>
      <c r="X940" s="563"/>
      <c r="Y940" s="563"/>
      <c r="Z940" s="1153"/>
      <c r="AA940" s="563"/>
      <c r="AB940" s="563"/>
      <c r="AC940" s="563"/>
      <c r="AD940" s="563"/>
      <c r="AE940" s="1153"/>
      <c r="AF940" s="563"/>
      <c r="AG940" s="563"/>
      <c r="AH940" s="563"/>
      <c r="AI940" s="563"/>
      <c r="AJ940" s="1153"/>
      <c r="AK940" s="563"/>
      <c r="AL940" s="563"/>
      <c r="AM940" s="563"/>
      <c r="AN940" s="563"/>
      <c r="AO940" s="1153"/>
      <c r="AP940" s="563"/>
      <c r="AQ940" s="563"/>
      <c r="AR940" s="563"/>
      <c r="AS940" s="563"/>
      <c r="AT940" s="1153"/>
      <c r="AU940" s="563"/>
      <c r="AV940" s="563"/>
      <c r="AW940" s="563"/>
      <c r="AX940" s="563"/>
      <c r="AY940" s="1153"/>
      <c r="AZ940" s="563"/>
      <c r="BA940" s="563"/>
      <c r="BB940" s="563"/>
      <c r="BC940" s="563"/>
      <c r="BD940" s="1153"/>
      <c r="BE940" s="563"/>
      <c r="BF940" s="563"/>
      <c r="BG940" s="563"/>
      <c r="BH940" s="563"/>
      <c r="BI940" s="1153"/>
      <c r="BJ940" s="563"/>
      <c r="BK940" s="563"/>
      <c r="BL940" s="563"/>
      <c r="BM940" s="563"/>
      <c r="BN940" s="1153"/>
      <c r="BO940" s="563"/>
      <c r="BP940" s="563"/>
      <c r="BQ940" s="563"/>
      <c r="BR940" s="563"/>
      <c r="BS940" s="1153"/>
      <c r="BT940" s="563"/>
      <c r="BU940" s="563"/>
      <c r="BV940" s="563"/>
      <c r="BW940" s="563"/>
      <c r="BX940" s="1153"/>
      <c r="BY940" s="731"/>
      <c r="BZ940" s="563"/>
      <c r="CA940" s="563"/>
      <c r="CB940" s="563"/>
      <c r="CC940" s="1153"/>
      <c r="CD940" s="563"/>
      <c r="CE940" s="563"/>
      <c r="CF940" s="563"/>
      <c r="CG940" s="563"/>
      <c r="CH940" s="1153"/>
      <c r="CI940" s="1153"/>
      <c r="CJ940" s="1153"/>
      <c r="CK940" s="1153"/>
      <c r="CL940" s="155"/>
    </row>
    <row r="941" spans="1:90" x14ac:dyDescent="0.3">
      <c r="A941" s="600" t="s">
        <v>773</v>
      </c>
      <c r="B941" s="279"/>
      <c r="C941" s="1155">
        <f t="shared" ref="C941:AH941" si="2277">C119</f>
        <v>185.023</v>
      </c>
      <c r="D941" s="1155">
        <f t="shared" si="2277"/>
        <v>196.66399999999999</v>
      </c>
      <c r="E941" s="1155">
        <f t="shared" si="2277"/>
        <v>186.989</v>
      </c>
      <c r="F941" s="1155">
        <f t="shared" si="2277"/>
        <v>204.20500000000001</v>
      </c>
      <c r="G941" s="654">
        <f t="shared" si="2277"/>
        <v>54.491</v>
      </c>
      <c r="H941" s="654">
        <f t="shared" si="2277"/>
        <v>56.195000000000007</v>
      </c>
      <c r="I941" s="654">
        <f t="shared" si="2277"/>
        <v>57.147999999999996</v>
      </c>
      <c r="J941" s="654">
        <f t="shared" si="2277"/>
        <v>58.40100000000001</v>
      </c>
      <c r="K941" s="1155">
        <f t="shared" si="2277"/>
        <v>226.23500000000001</v>
      </c>
      <c r="L941" s="654">
        <f t="shared" si="2277"/>
        <v>59.744</v>
      </c>
      <c r="M941" s="654">
        <f t="shared" si="2277"/>
        <v>61.84</v>
      </c>
      <c r="N941" s="654">
        <f t="shared" si="2277"/>
        <v>62.725999999999999</v>
      </c>
      <c r="O941" s="654">
        <f t="shared" si="2277"/>
        <v>54.837999999999994</v>
      </c>
      <c r="P941" s="1155">
        <f t="shared" si="2277"/>
        <v>239.148</v>
      </c>
      <c r="Q941" s="654">
        <f t="shared" si="2277"/>
        <v>55</v>
      </c>
      <c r="R941" s="654">
        <f t="shared" si="2277"/>
        <v>56</v>
      </c>
      <c r="S941" s="654">
        <f t="shared" si="2277"/>
        <v>55</v>
      </c>
      <c r="T941" s="654">
        <f t="shared" si="2277"/>
        <v>54</v>
      </c>
      <c r="U941" s="1155">
        <f t="shared" si="2277"/>
        <v>220</v>
      </c>
      <c r="V941" s="654">
        <f t="shared" si="2277"/>
        <v>54</v>
      </c>
      <c r="W941" s="654">
        <f t="shared" si="2277"/>
        <v>49</v>
      </c>
      <c r="X941" s="654">
        <f t="shared" si="2277"/>
        <v>48</v>
      </c>
      <c r="Y941" s="654">
        <f t="shared" si="2277"/>
        <v>46</v>
      </c>
      <c r="Z941" s="1155">
        <f t="shared" si="2277"/>
        <v>197</v>
      </c>
      <c r="AA941" s="654">
        <f t="shared" si="2277"/>
        <v>45</v>
      </c>
      <c r="AB941" s="654">
        <f t="shared" si="2277"/>
        <v>47</v>
      </c>
      <c r="AC941" s="654">
        <f t="shared" si="2277"/>
        <v>48</v>
      </c>
      <c r="AD941" s="654">
        <f t="shared" si="2277"/>
        <v>47</v>
      </c>
      <c r="AE941" s="1155">
        <f t="shared" si="2277"/>
        <v>187</v>
      </c>
      <c r="AF941" s="654">
        <f t="shared" si="2277"/>
        <v>47</v>
      </c>
      <c r="AG941" s="654">
        <f t="shared" si="2277"/>
        <v>49</v>
      </c>
      <c r="AH941" s="654">
        <f t="shared" si="2277"/>
        <v>49</v>
      </c>
      <c r="AI941" s="654">
        <f t="shared" ref="AI941:BN941" si="2278">AI119</f>
        <v>54</v>
      </c>
      <c r="AJ941" s="1155">
        <f t="shared" si="2278"/>
        <v>199</v>
      </c>
      <c r="AK941" s="654">
        <f t="shared" si="2278"/>
        <v>57</v>
      </c>
      <c r="AL941" s="654">
        <f t="shared" si="2278"/>
        <v>59</v>
      </c>
      <c r="AM941" s="654">
        <f t="shared" si="2278"/>
        <v>68</v>
      </c>
      <c r="AN941" s="654">
        <f t="shared" si="2278"/>
        <v>78</v>
      </c>
      <c r="AO941" s="1155">
        <f t="shared" si="2278"/>
        <v>262</v>
      </c>
      <c r="AP941" s="654">
        <f t="shared" si="2278"/>
        <v>91</v>
      </c>
      <c r="AQ941" s="654">
        <f t="shared" si="2278"/>
        <v>92</v>
      </c>
      <c r="AR941" s="654">
        <f t="shared" si="2278"/>
        <v>92</v>
      </c>
      <c r="AS941" s="654">
        <f t="shared" si="2278"/>
        <v>106</v>
      </c>
      <c r="AT941" s="1155">
        <f t="shared" si="2278"/>
        <v>381</v>
      </c>
      <c r="AU941" s="654">
        <f t="shared" si="2278"/>
        <v>107</v>
      </c>
      <c r="AV941" s="654">
        <f t="shared" si="2278"/>
        <v>404</v>
      </c>
      <c r="AW941" s="654">
        <f t="shared" si="2278"/>
        <v>299</v>
      </c>
      <c r="AX941" s="654">
        <f t="shared" si="2278"/>
        <v>288</v>
      </c>
      <c r="AY941" s="1155">
        <f t="shared" si="2278"/>
        <v>1098</v>
      </c>
      <c r="AZ941" s="654">
        <f t="shared" si="2278"/>
        <v>281</v>
      </c>
      <c r="BA941" s="654">
        <f t="shared" si="2278"/>
        <v>286</v>
      </c>
      <c r="BB941" s="654">
        <f t="shared" si="2278"/>
        <v>298</v>
      </c>
      <c r="BC941" s="654">
        <f t="shared" si="2278"/>
        <v>309</v>
      </c>
      <c r="BD941" s="1155">
        <f t="shared" si="2278"/>
        <v>1174</v>
      </c>
      <c r="BE941" s="654">
        <f t="shared" si="2278"/>
        <v>334</v>
      </c>
      <c r="BF941" s="654">
        <f t="shared" si="2278"/>
        <v>378</v>
      </c>
      <c r="BG941" s="654">
        <f t="shared" si="2278"/>
        <v>406</v>
      </c>
      <c r="BH941" s="654">
        <f t="shared" si="2278"/>
        <v>426</v>
      </c>
      <c r="BI941" s="1155">
        <f t="shared" si="2278"/>
        <v>1544</v>
      </c>
      <c r="BJ941" s="654">
        <f t="shared" si="2278"/>
        <v>384</v>
      </c>
      <c r="BK941" s="654">
        <f t="shared" si="2278"/>
        <v>365</v>
      </c>
      <c r="BL941" s="654">
        <f t="shared" si="2278"/>
        <v>372</v>
      </c>
      <c r="BM941" s="654">
        <f t="shared" si="2278"/>
        <v>387</v>
      </c>
      <c r="BN941" s="1155">
        <f t="shared" si="2278"/>
        <v>1508</v>
      </c>
      <c r="BO941" s="654">
        <f t="shared" ref="BO941:CK941" si="2279">BO119</f>
        <v>410</v>
      </c>
      <c r="BP941" s="654">
        <f t="shared" si="2279"/>
        <v>433</v>
      </c>
      <c r="BQ941" s="654">
        <f t="shared" si="2279"/>
        <v>478</v>
      </c>
      <c r="BR941" s="654">
        <f t="shared" si="2279"/>
        <v>543</v>
      </c>
      <c r="BS941" s="1155">
        <f t="shared" si="2279"/>
        <v>1864</v>
      </c>
      <c r="BT941" s="654">
        <f t="shared" si="2279"/>
        <v>611</v>
      </c>
      <c r="BU941" s="654">
        <f t="shared" si="2279"/>
        <v>669</v>
      </c>
      <c r="BV941" s="654">
        <f t="shared" si="2279"/>
        <v>751</v>
      </c>
      <c r="BW941" s="654">
        <f t="shared" si="2279"/>
        <v>812</v>
      </c>
      <c r="BX941" s="1155">
        <f t="shared" si="2279"/>
        <v>2843</v>
      </c>
      <c r="BY941" s="947">
        <f>BY119</f>
        <v>997</v>
      </c>
      <c r="BZ941" s="654">
        <f t="shared" si="2279"/>
        <v>1020.5686792452831</v>
      </c>
      <c r="CA941" s="654">
        <f t="shared" si="2279"/>
        <v>984.98243865127404</v>
      </c>
      <c r="CB941" s="654">
        <f t="shared" si="2279"/>
        <v>991.71531264408202</v>
      </c>
      <c r="CC941" s="1155">
        <f t="shared" si="2279"/>
        <v>3994.2664305406388</v>
      </c>
      <c r="CD941" s="654">
        <f t="shared" si="2279"/>
        <v>880.83646416840145</v>
      </c>
      <c r="CE941" s="654">
        <f t="shared" si="2279"/>
        <v>863.05986717043174</v>
      </c>
      <c r="CF941" s="654">
        <f t="shared" si="2279"/>
        <v>835.79959220442709</v>
      </c>
      <c r="CG941" s="654">
        <f t="shared" si="2279"/>
        <v>809.63967565958342</v>
      </c>
      <c r="CH941" s="1155">
        <f t="shared" si="2279"/>
        <v>3389.3355992028437</v>
      </c>
      <c r="CI941" s="1155">
        <f t="shared" si="2279"/>
        <v>3046.4413897764935</v>
      </c>
      <c r="CJ941" s="1155">
        <f t="shared" si="2279"/>
        <v>2573.7232531816658</v>
      </c>
      <c r="CK941" s="1155">
        <f t="shared" si="2279"/>
        <v>2229.5048446773749</v>
      </c>
      <c r="CL941" s="155"/>
    </row>
    <row r="942" spans="1:90" x14ac:dyDescent="0.3">
      <c r="A942" s="600" t="s">
        <v>774</v>
      </c>
      <c r="B942" s="279"/>
      <c r="C942" s="1155">
        <f t="shared" ref="C942:AH942" si="2280">-C709</f>
        <v>407.67</v>
      </c>
      <c r="D942" s="1155">
        <f t="shared" si="2280"/>
        <v>77.600999999999999</v>
      </c>
      <c r="E942" s="1155">
        <f t="shared" si="2280"/>
        <v>97.89</v>
      </c>
      <c r="F942" s="1155">
        <f t="shared" si="2280"/>
        <v>138.73500000000001</v>
      </c>
      <c r="G942" s="654">
        <f t="shared" si="2280"/>
        <v>28.922999999999998</v>
      </c>
      <c r="H942" s="654">
        <f t="shared" si="2280"/>
        <v>61.944000000000003</v>
      </c>
      <c r="I942" s="654">
        <f t="shared" si="2280"/>
        <v>44.683999999999983</v>
      </c>
      <c r="J942" s="654">
        <f t="shared" si="2280"/>
        <v>47.75800000000001</v>
      </c>
      <c r="K942" s="1155">
        <f t="shared" si="2280"/>
        <v>183.309</v>
      </c>
      <c r="L942" s="654">
        <f t="shared" si="2280"/>
        <v>65.667000000000002</v>
      </c>
      <c r="M942" s="654">
        <f t="shared" si="2280"/>
        <v>84.98599999999999</v>
      </c>
      <c r="N942" s="654">
        <f t="shared" si="2280"/>
        <v>38.15900000000002</v>
      </c>
      <c r="O942" s="654">
        <f t="shared" si="2280"/>
        <v>66.373999999999995</v>
      </c>
      <c r="P942" s="1155">
        <f t="shared" si="2280"/>
        <v>255.18600000000001</v>
      </c>
      <c r="Q942" s="654">
        <f t="shared" si="2280"/>
        <v>29</v>
      </c>
      <c r="R942" s="654">
        <f t="shared" si="2280"/>
        <v>23</v>
      </c>
      <c r="S942" s="654">
        <f t="shared" si="2280"/>
        <v>39</v>
      </c>
      <c r="T942" s="654">
        <f t="shared" si="2280"/>
        <v>31</v>
      </c>
      <c r="U942" s="1155">
        <f t="shared" si="2280"/>
        <v>122</v>
      </c>
      <c r="V942" s="654">
        <f t="shared" si="2280"/>
        <v>30</v>
      </c>
      <c r="W942" s="654">
        <f t="shared" si="2280"/>
        <v>24</v>
      </c>
      <c r="X942" s="654">
        <f t="shared" si="2280"/>
        <v>17</v>
      </c>
      <c r="Y942" s="654">
        <f t="shared" si="2280"/>
        <v>15</v>
      </c>
      <c r="Z942" s="1155">
        <f t="shared" si="2280"/>
        <v>86</v>
      </c>
      <c r="AA942" s="654">
        <f t="shared" si="2280"/>
        <v>55</v>
      </c>
      <c r="AB942" s="654">
        <f t="shared" si="2280"/>
        <v>32</v>
      </c>
      <c r="AC942" s="654">
        <f t="shared" si="2280"/>
        <v>38</v>
      </c>
      <c r="AD942" s="654">
        <f t="shared" si="2280"/>
        <v>51</v>
      </c>
      <c r="AE942" s="1155">
        <f t="shared" si="2280"/>
        <v>176</v>
      </c>
      <c r="AF942" s="654">
        <f t="shared" si="2280"/>
        <v>54</v>
      </c>
      <c r="AG942" s="654">
        <f t="shared" si="2280"/>
        <v>54</v>
      </c>
      <c r="AH942" s="654">
        <f t="shared" si="2280"/>
        <v>69</v>
      </c>
      <c r="AI942" s="654">
        <f t="shared" ref="AI942:BI942" si="2281">-AI709</f>
        <v>416</v>
      </c>
      <c r="AJ942" s="1155">
        <f t="shared" si="2281"/>
        <v>593</v>
      </c>
      <c r="AK942" s="654">
        <f t="shared" si="2281"/>
        <v>118</v>
      </c>
      <c r="AL942" s="654">
        <f t="shared" si="2281"/>
        <v>129</v>
      </c>
      <c r="AM942" s="654">
        <f t="shared" si="2281"/>
        <v>150</v>
      </c>
      <c r="AN942" s="654">
        <f t="shared" si="2281"/>
        <v>203</v>
      </c>
      <c r="AO942" s="1155">
        <f t="shared" si="2281"/>
        <v>600</v>
      </c>
      <c r="AP942" s="654">
        <f t="shared" si="2281"/>
        <v>128</v>
      </c>
      <c r="AQ942" s="654">
        <f t="shared" si="2281"/>
        <v>113</v>
      </c>
      <c r="AR942" s="654">
        <f t="shared" si="2281"/>
        <v>103</v>
      </c>
      <c r="AS942" s="654">
        <f t="shared" si="2281"/>
        <v>145</v>
      </c>
      <c r="AT942" s="1155">
        <f t="shared" si="2281"/>
        <v>489</v>
      </c>
      <c r="AU942" s="654">
        <f t="shared" si="2281"/>
        <v>155</v>
      </c>
      <c r="AV942" s="654">
        <f t="shared" si="2281"/>
        <v>217</v>
      </c>
      <c r="AW942" s="654">
        <f t="shared" si="2281"/>
        <v>473</v>
      </c>
      <c r="AX942" s="654">
        <f t="shared" si="2281"/>
        <v>283</v>
      </c>
      <c r="AY942" s="1155">
        <f t="shared" si="2281"/>
        <v>1128</v>
      </c>
      <c r="AZ942" s="654">
        <f t="shared" si="2281"/>
        <v>298</v>
      </c>
      <c r="BA942" s="654">
        <f t="shared" si="2281"/>
        <v>183</v>
      </c>
      <c r="BB942" s="654">
        <f t="shared" si="2281"/>
        <v>222</v>
      </c>
      <c r="BC942" s="654">
        <f t="shared" si="2281"/>
        <v>273</v>
      </c>
      <c r="BD942" s="1155">
        <f t="shared" si="2281"/>
        <v>976</v>
      </c>
      <c r="BE942" s="654">
        <f t="shared" si="2281"/>
        <v>361</v>
      </c>
      <c r="BF942" s="654">
        <f t="shared" si="2281"/>
        <v>433</v>
      </c>
      <c r="BG942" s="654">
        <f t="shared" si="2281"/>
        <v>530</v>
      </c>
      <c r="BH942" s="654">
        <f t="shared" si="2281"/>
        <v>509</v>
      </c>
      <c r="BI942" s="1155">
        <f t="shared" si="2281"/>
        <v>1833</v>
      </c>
      <c r="BJ942" s="654">
        <f t="shared" ref="BJ942:BN942" si="2282">-BJ709</f>
        <v>248</v>
      </c>
      <c r="BK942" s="654">
        <f t="shared" si="2282"/>
        <v>289</v>
      </c>
      <c r="BL942" s="654">
        <f t="shared" si="2282"/>
        <v>278</v>
      </c>
      <c r="BM942" s="654">
        <f t="shared" si="2282"/>
        <v>254</v>
      </c>
      <c r="BN942" s="1155">
        <f t="shared" si="2282"/>
        <v>1069</v>
      </c>
      <c r="BO942" s="654">
        <f t="shared" ref="BO942:BS942" si="2283">-BO709</f>
        <v>369</v>
      </c>
      <c r="BP942" s="654">
        <f t="shared" si="2283"/>
        <v>977</v>
      </c>
      <c r="BQ942" s="654">
        <f t="shared" si="2283"/>
        <v>813</v>
      </c>
      <c r="BR942" s="654">
        <f t="shared" si="2283"/>
        <v>1077</v>
      </c>
      <c r="BS942" s="1155">
        <f t="shared" si="2283"/>
        <v>3236</v>
      </c>
      <c r="BT942" s="654">
        <f t="shared" ref="BT942:CK942" si="2284">-BT709</f>
        <v>1227</v>
      </c>
      <c r="BU942" s="654">
        <f t="shared" si="2284"/>
        <v>1895</v>
      </c>
      <c r="BV942" s="654">
        <f t="shared" si="2284"/>
        <v>1636</v>
      </c>
      <c r="BW942" s="654">
        <f t="shared" si="2284"/>
        <v>1284</v>
      </c>
      <c r="BX942" s="1155">
        <f t="shared" si="2284"/>
        <v>6042</v>
      </c>
      <c r="BY942" s="947">
        <f>-BY709</f>
        <v>1757</v>
      </c>
      <c r="BZ942" s="654">
        <f t="shared" si="2284"/>
        <v>325</v>
      </c>
      <c r="CA942" s="654">
        <f t="shared" si="2284"/>
        <v>325</v>
      </c>
      <c r="CB942" s="654">
        <f t="shared" si="2284"/>
        <v>325</v>
      </c>
      <c r="CC942" s="1155">
        <f t="shared" si="2284"/>
        <v>2732</v>
      </c>
      <c r="CD942" s="654">
        <f t="shared" si="2284"/>
        <v>325</v>
      </c>
      <c r="CE942" s="654">
        <f t="shared" si="2284"/>
        <v>325</v>
      </c>
      <c r="CF942" s="654">
        <f t="shared" si="2284"/>
        <v>325</v>
      </c>
      <c r="CG942" s="654">
        <f t="shared" si="2284"/>
        <v>325</v>
      </c>
      <c r="CH942" s="1155">
        <f t="shared" si="2284"/>
        <v>1300</v>
      </c>
      <c r="CI942" s="1155">
        <f t="shared" si="2284"/>
        <v>1300</v>
      </c>
      <c r="CJ942" s="1155">
        <f t="shared" si="2284"/>
        <v>1300</v>
      </c>
      <c r="CK942" s="1155">
        <f t="shared" si="2284"/>
        <v>1300</v>
      </c>
      <c r="CL942" s="155"/>
    </row>
    <row r="943" spans="1:90" hidden="1" outlineLevel="1" x14ac:dyDescent="0.3">
      <c r="A943" s="655" t="s">
        <v>775</v>
      </c>
      <c r="B943" s="102"/>
      <c r="C943" s="1116"/>
      <c r="D943" s="1116"/>
      <c r="E943" s="1116"/>
      <c r="F943" s="1116"/>
      <c r="G943" s="643"/>
      <c r="H943" s="643"/>
      <c r="I943" s="643"/>
      <c r="J943" s="643"/>
      <c r="K943" s="1116"/>
      <c r="L943" s="643"/>
      <c r="M943" s="643"/>
      <c r="N943" s="643"/>
      <c r="O943" s="643"/>
      <c r="P943" s="1116"/>
      <c r="Q943" s="643"/>
      <c r="R943" s="643"/>
      <c r="S943" s="643"/>
      <c r="T943" s="643"/>
      <c r="U943" s="1116"/>
      <c r="V943" s="643"/>
      <c r="W943" s="643"/>
      <c r="X943" s="643"/>
      <c r="Y943" s="643"/>
      <c r="Z943" s="1116"/>
      <c r="AA943" s="643"/>
      <c r="AB943" s="643"/>
      <c r="AC943" s="643"/>
      <c r="AD943" s="643"/>
      <c r="AE943" s="1116"/>
      <c r="AF943" s="643"/>
      <c r="AG943" s="643"/>
      <c r="AH943" s="643"/>
      <c r="AI943" s="643"/>
      <c r="AJ943" s="1116"/>
      <c r="AK943" s="643"/>
      <c r="AL943" s="643"/>
      <c r="AM943" s="643"/>
      <c r="AN943" s="643"/>
      <c r="AO943" s="1116"/>
      <c r="AP943" s="643"/>
      <c r="AQ943" s="643"/>
      <c r="AR943" s="643"/>
      <c r="AS943" s="643"/>
      <c r="AT943" s="1116"/>
      <c r="AU943" s="643"/>
      <c r="AV943" s="643"/>
      <c r="AW943" s="643"/>
      <c r="AX943" s="643"/>
      <c r="AY943" s="1116"/>
      <c r="AZ943" s="643"/>
      <c r="BA943" s="643"/>
      <c r="BB943" s="643"/>
      <c r="BC943" s="643"/>
      <c r="BD943" s="1116"/>
      <c r="BE943" s="643"/>
      <c r="BF943" s="643"/>
      <c r="BG943" s="643"/>
      <c r="BH943" s="643"/>
      <c r="BI943" s="1116"/>
      <c r="BJ943" s="643"/>
      <c r="BK943" s="643"/>
      <c r="BL943" s="643"/>
      <c r="BM943" s="643"/>
      <c r="BN943" s="1116"/>
      <c r="BO943" s="643"/>
      <c r="BP943" s="643"/>
      <c r="BQ943" s="643"/>
      <c r="BR943" s="643"/>
      <c r="BS943" s="1116"/>
      <c r="BT943" s="643"/>
      <c r="BU943" s="643"/>
      <c r="BV943" s="643"/>
      <c r="BW943" s="643"/>
      <c r="BX943" s="1116"/>
      <c r="BY943" s="949"/>
      <c r="BZ943" s="1056">
        <v>0.1</v>
      </c>
      <c r="CA943" s="1056">
        <v>0.1</v>
      </c>
      <c r="CB943" s="1056">
        <v>0.1</v>
      </c>
      <c r="CC943" s="1116" t="str">
        <f>IFERROR(CC932/CC942,"n/a")</f>
        <v>n/a</v>
      </c>
      <c r="CD943" s="1056">
        <v>0.1</v>
      </c>
      <c r="CE943" s="1056">
        <v>0.1</v>
      </c>
      <c r="CF943" s="1056">
        <v>0.1</v>
      </c>
      <c r="CG943" s="1056">
        <v>0.1</v>
      </c>
      <c r="CH943" s="1116">
        <f>IFERROR(CH932/CH942,"n/a")</f>
        <v>0.1</v>
      </c>
      <c r="CI943" s="1118">
        <v>0.1</v>
      </c>
      <c r="CJ943" s="1118">
        <v>0.1</v>
      </c>
      <c r="CK943" s="1118">
        <v>0.1</v>
      </c>
      <c r="CL943" s="155"/>
    </row>
    <row r="944" spans="1:90" collapsed="1" x14ac:dyDescent="0.3">
      <c r="A944" s="600" t="s">
        <v>776</v>
      </c>
      <c r="B944" s="279"/>
      <c r="C944" s="1155">
        <f t="shared" ref="C944:AH944" si="2285">-C712</f>
        <v>27.948</v>
      </c>
      <c r="D944" s="1155">
        <f t="shared" si="2285"/>
        <v>0</v>
      </c>
      <c r="E944" s="1155">
        <f t="shared" si="2285"/>
        <v>0</v>
      </c>
      <c r="F944" s="1155">
        <f t="shared" si="2285"/>
        <v>348.88400000000001</v>
      </c>
      <c r="G944" s="654">
        <f t="shared" si="2285"/>
        <v>0</v>
      </c>
      <c r="H944" s="654">
        <f t="shared" si="2285"/>
        <v>0</v>
      </c>
      <c r="I944" s="654">
        <f t="shared" si="2285"/>
        <v>0</v>
      </c>
      <c r="J944" s="654">
        <f t="shared" si="2285"/>
        <v>0</v>
      </c>
      <c r="K944" s="1155">
        <f t="shared" si="2285"/>
        <v>0</v>
      </c>
      <c r="L944" s="654">
        <f t="shared" si="2285"/>
        <v>0</v>
      </c>
      <c r="M944" s="654">
        <f t="shared" si="2285"/>
        <v>0</v>
      </c>
      <c r="N944" s="654">
        <f t="shared" si="2285"/>
        <v>17.145</v>
      </c>
      <c r="O944" s="654">
        <f t="shared" si="2285"/>
        <v>0</v>
      </c>
      <c r="P944" s="1155">
        <f t="shared" si="2285"/>
        <v>17.145</v>
      </c>
      <c r="Q944" s="654">
        <f t="shared" si="2285"/>
        <v>0</v>
      </c>
      <c r="R944" s="654">
        <f t="shared" si="2285"/>
        <v>0</v>
      </c>
      <c r="S944" s="654">
        <f t="shared" si="2285"/>
        <v>0</v>
      </c>
      <c r="T944" s="654">
        <f t="shared" si="2285"/>
        <v>0</v>
      </c>
      <c r="U944" s="1155">
        <f t="shared" si="2285"/>
        <v>0</v>
      </c>
      <c r="V944" s="654">
        <f t="shared" si="2285"/>
        <v>0</v>
      </c>
      <c r="W944" s="654">
        <f t="shared" si="2285"/>
        <v>0</v>
      </c>
      <c r="X944" s="654">
        <f t="shared" si="2285"/>
        <v>0</v>
      </c>
      <c r="Y944" s="654">
        <f t="shared" si="2285"/>
        <v>0</v>
      </c>
      <c r="Z944" s="1155">
        <f t="shared" si="2285"/>
        <v>0</v>
      </c>
      <c r="AA944" s="654">
        <f t="shared" si="2285"/>
        <v>0</v>
      </c>
      <c r="AB944" s="654">
        <f t="shared" si="2285"/>
        <v>0</v>
      </c>
      <c r="AC944" s="654">
        <f t="shared" si="2285"/>
        <v>0</v>
      </c>
      <c r="AD944" s="654">
        <f t="shared" si="2285"/>
        <v>0</v>
      </c>
      <c r="AE944" s="1155">
        <f t="shared" si="2285"/>
        <v>0</v>
      </c>
      <c r="AF944" s="654">
        <f t="shared" si="2285"/>
        <v>0</v>
      </c>
      <c r="AG944" s="654">
        <f t="shared" si="2285"/>
        <v>0</v>
      </c>
      <c r="AH944" s="654">
        <f t="shared" si="2285"/>
        <v>0</v>
      </c>
      <c r="AI944" s="654">
        <f t="shared" ref="AI944:BI944" si="2286">-AI712</f>
        <v>0</v>
      </c>
      <c r="AJ944" s="1155">
        <f t="shared" si="2286"/>
        <v>0</v>
      </c>
      <c r="AK944" s="654">
        <f t="shared" si="2286"/>
        <v>0</v>
      </c>
      <c r="AL944" s="654">
        <f t="shared" si="2286"/>
        <v>0</v>
      </c>
      <c r="AM944" s="654">
        <f t="shared" si="2286"/>
        <v>0</v>
      </c>
      <c r="AN944" s="654">
        <f t="shared" si="2286"/>
        <v>0</v>
      </c>
      <c r="AO944" s="1155">
        <f t="shared" si="2286"/>
        <v>0</v>
      </c>
      <c r="AP944" s="654">
        <f t="shared" si="2286"/>
        <v>0</v>
      </c>
      <c r="AQ944" s="654">
        <f t="shared" si="2286"/>
        <v>0</v>
      </c>
      <c r="AR944" s="654">
        <f t="shared" si="2286"/>
        <v>0</v>
      </c>
      <c r="AS944" s="654">
        <f t="shared" si="2286"/>
        <v>0</v>
      </c>
      <c r="AT944" s="1155">
        <f t="shared" si="2286"/>
        <v>0</v>
      </c>
      <c r="AU944" s="654">
        <f t="shared" si="2286"/>
        <v>34</v>
      </c>
      <c r="AV944" s="654">
        <f t="shared" si="2286"/>
        <v>7137</v>
      </c>
      <c r="AW944" s="654">
        <f t="shared" si="2286"/>
        <v>1353</v>
      </c>
      <c r="AX944" s="654">
        <f t="shared" si="2286"/>
        <v>0</v>
      </c>
      <c r="AY944" s="1155">
        <f t="shared" si="2286"/>
        <v>8524</v>
      </c>
      <c r="AZ944" s="654">
        <f t="shared" si="2286"/>
        <v>0</v>
      </c>
      <c r="BA944" s="654">
        <f t="shared" si="2286"/>
        <v>0</v>
      </c>
      <c r="BB944" s="654">
        <f t="shared" si="2286"/>
        <v>203</v>
      </c>
      <c r="BC944" s="654">
        <f t="shared" si="2286"/>
        <v>60</v>
      </c>
      <c r="BD944" s="1155">
        <f t="shared" si="2286"/>
        <v>263</v>
      </c>
      <c r="BE944" s="654">
        <f t="shared" si="2286"/>
        <v>36</v>
      </c>
      <c r="BF944" s="654">
        <f t="shared" si="2286"/>
        <v>13</v>
      </c>
      <c r="BG944" s="654">
        <f t="shared" si="2286"/>
        <v>0</v>
      </c>
      <c r="BH944" s="654">
        <f t="shared" si="2286"/>
        <v>0</v>
      </c>
      <c r="BI944" s="1155">
        <f t="shared" si="2286"/>
        <v>49</v>
      </c>
      <c r="BJ944" s="654">
        <f t="shared" ref="BJ944:BN944" si="2287">-BJ712</f>
        <v>83</v>
      </c>
      <c r="BK944" s="654">
        <f t="shared" si="2287"/>
        <v>0</v>
      </c>
      <c r="BL944" s="654">
        <f t="shared" si="2287"/>
        <v>0</v>
      </c>
      <c r="BM944" s="654">
        <f t="shared" si="2287"/>
        <v>0</v>
      </c>
      <c r="BN944" s="1155">
        <f t="shared" si="2287"/>
        <v>83</v>
      </c>
      <c r="BO944" s="654">
        <f t="shared" ref="BO944:BS944" si="2288">-BO712</f>
        <v>39</v>
      </c>
      <c r="BP944" s="654">
        <f t="shared" si="2288"/>
        <v>278</v>
      </c>
      <c r="BQ944" s="654">
        <f t="shared" si="2288"/>
        <v>148</v>
      </c>
      <c r="BR944" s="654">
        <f t="shared" si="2288"/>
        <v>542</v>
      </c>
      <c r="BS944" s="1155">
        <f t="shared" si="2288"/>
        <v>1007</v>
      </c>
      <c r="BT944" s="654">
        <f t="shared" ref="BT944:CK944" si="2289">-BT712</f>
        <v>383</v>
      </c>
      <c r="BU944" s="654">
        <f t="shared" si="2289"/>
        <v>294</v>
      </c>
      <c r="BV944" s="654">
        <f t="shared" si="2289"/>
        <v>693</v>
      </c>
      <c r="BW944" s="654">
        <f t="shared" si="2289"/>
        <v>13165</v>
      </c>
      <c r="BX944" s="1155">
        <f t="shared" si="2289"/>
        <v>14535</v>
      </c>
      <c r="BY944" s="947">
        <f>-BY712</f>
        <v>87</v>
      </c>
      <c r="BZ944" s="654">
        <f t="shared" si="2289"/>
        <v>0</v>
      </c>
      <c r="CA944" s="654">
        <f t="shared" si="2289"/>
        <v>0</v>
      </c>
      <c r="CB944" s="654">
        <f t="shared" si="2289"/>
        <v>0</v>
      </c>
      <c r="CC944" s="1155">
        <f t="shared" si="2289"/>
        <v>87</v>
      </c>
      <c r="CD944" s="654">
        <f t="shared" si="2289"/>
        <v>0</v>
      </c>
      <c r="CE944" s="654">
        <f t="shared" si="2289"/>
        <v>0</v>
      </c>
      <c r="CF944" s="654">
        <f t="shared" si="2289"/>
        <v>0</v>
      </c>
      <c r="CG944" s="654">
        <f t="shared" si="2289"/>
        <v>0</v>
      </c>
      <c r="CH944" s="1155">
        <f t="shared" si="2289"/>
        <v>0</v>
      </c>
      <c r="CI944" s="1155">
        <f t="shared" si="2289"/>
        <v>0</v>
      </c>
      <c r="CJ944" s="1155">
        <f t="shared" si="2289"/>
        <v>0</v>
      </c>
      <c r="CK944" s="1155">
        <f t="shared" si="2289"/>
        <v>0</v>
      </c>
      <c r="CL944" s="155"/>
    </row>
    <row r="945" spans="1:90" x14ac:dyDescent="0.3">
      <c r="A945" s="655" t="s">
        <v>777</v>
      </c>
      <c r="B945" s="102"/>
      <c r="C945" s="1116"/>
      <c r="D945" s="1116"/>
      <c r="E945" s="1116"/>
      <c r="F945" s="1116"/>
      <c r="G945" s="643"/>
      <c r="H945" s="643"/>
      <c r="I945" s="643"/>
      <c r="J945" s="643"/>
      <c r="K945" s="1116"/>
      <c r="L945" s="643"/>
      <c r="M945" s="643"/>
      <c r="N945" s="643"/>
      <c r="O945" s="643"/>
      <c r="P945" s="1116"/>
      <c r="Q945" s="643"/>
      <c r="R945" s="643"/>
      <c r="S945" s="643"/>
      <c r="T945" s="643"/>
      <c r="U945" s="1116"/>
      <c r="V945" s="643"/>
      <c r="W945" s="643"/>
      <c r="X945" s="643"/>
      <c r="Y945" s="643"/>
      <c r="Z945" s="1116"/>
      <c r="AA945" s="643"/>
      <c r="AB945" s="643"/>
      <c r="AC945" s="643"/>
      <c r="AD945" s="643"/>
      <c r="AE945" s="1116"/>
      <c r="AF945" s="643"/>
      <c r="AG945" s="643"/>
      <c r="AH945" s="643"/>
      <c r="AI945" s="643"/>
      <c r="AJ945" s="1116"/>
      <c r="AK945" s="643"/>
      <c r="AL945" s="643"/>
      <c r="AM945" s="643"/>
      <c r="AN945" s="643"/>
      <c r="AO945" s="1116"/>
      <c r="AP945" s="643"/>
      <c r="AQ945" s="643"/>
      <c r="AR945" s="643"/>
      <c r="AS945" s="643"/>
      <c r="AT945" s="1116"/>
      <c r="AU945" s="643"/>
      <c r="AV945" s="643"/>
      <c r="AW945" s="643"/>
      <c r="AX945" s="643"/>
      <c r="AY945" s="1116"/>
      <c r="AZ945" s="643"/>
      <c r="BA945" s="643"/>
      <c r="BB945" s="643"/>
      <c r="BC945" s="643"/>
      <c r="BD945" s="1116"/>
      <c r="BE945" s="643"/>
      <c r="BF945" s="643"/>
      <c r="BG945" s="643"/>
      <c r="BH945" s="643"/>
      <c r="BI945" s="1116"/>
      <c r="BJ945" s="643"/>
      <c r="BK945" s="643"/>
      <c r="BL945" s="643"/>
      <c r="BM945" s="643"/>
      <c r="BN945" s="1116"/>
      <c r="BO945" s="643"/>
      <c r="BP945" s="643"/>
      <c r="BQ945" s="643"/>
      <c r="BR945" s="643"/>
      <c r="BS945" s="1116"/>
      <c r="BT945" s="643"/>
      <c r="BU945" s="643"/>
      <c r="BV945" s="643"/>
      <c r="BW945" s="643"/>
      <c r="BX945" s="1116"/>
      <c r="BY945" s="949"/>
      <c r="BZ945" s="1056">
        <v>0.5</v>
      </c>
      <c r="CA945" s="1056">
        <v>0.5</v>
      </c>
      <c r="CB945" s="1056">
        <v>0.5</v>
      </c>
      <c r="CC945" s="1116" t="str">
        <f>IFERROR(CC932/CC944,"N/A")</f>
        <v>N/A</v>
      </c>
      <c r="CD945" s="1056">
        <v>0.5</v>
      </c>
      <c r="CE945" s="1056">
        <v>0.5</v>
      </c>
      <c r="CF945" s="1056">
        <v>0.5</v>
      </c>
      <c r="CG945" s="1056">
        <v>0.5</v>
      </c>
      <c r="CH945" s="1116" t="str">
        <f>IFERROR(CH932/CH944,"N/A")</f>
        <v>N/A</v>
      </c>
      <c r="CI945" s="1118">
        <v>0.5</v>
      </c>
      <c r="CJ945" s="1118">
        <v>0.5</v>
      </c>
      <c r="CK945" s="1118">
        <v>0.5</v>
      </c>
      <c r="CL945" s="155"/>
    </row>
    <row r="946" spans="1:90" x14ac:dyDescent="0.3">
      <c r="A946" s="99"/>
      <c r="B946" s="146"/>
      <c r="C946" s="1153"/>
      <c r="D946" s="1153"/>
      <c r="E946" s="1153"/>
      <c r="F946" s="1153"/>
      <c r="G946" s="563"/>
      <c r="H946" s="563"/>
      <c r="I946" s="563"/>
      <c r="J946" s="563"/>
      <c r="K946" s="1153"/>
      <c r="L946" s="563"/>
      <c r="M946" s="563"/>
      <c r="N946" s="563"/>
      <c r="O946" s="563"/>
      <c r="P946" s="1153"/>
      <c r="Q946" s="563"/>
      <c r="R946" s="563"/>
      <c r="S946" s="563"/>
      <c r="T946" s="563"/>
      <c r="U946" s="1153"/>
      <c r="V946" s="563"/>
      <c r="W946" s="563"/>
      <c r="X946" s="563"/>
      <c r="Y946" s="563"/>
      <c r="Z946" s="1153"/>
      <c r="AA946" s="563"/>
      <c r="AB946" s="563"/>
      <c r="AC946" s="563"/>
      <c r="AD946" s="563"/>
      <c r="AE946" s="1153"/>
      <c r="AF946" s="563"/>
      <c r="AG946" s="563"/>
      <c r="AH946" s="563"/>
      <c r="AI946" s="563"/>
      <c r="AJ946" s="1153"/>
      <c r="AK946" s="563"/>
      <c r="AL946" s="563"/>
      <c r="AM946" s="563"/>
      <c r="AN946" s="563"/>
      <c r="AO946" s="1153"/>
      <c r="AP946" s="563"/>
      <c r="AQ946" s="563"/>
      <c r="AR946" s="563"/>
      <c r="AS946" s="563"/>
      <c r="AT946" s="1153"/>
      <c r="AU946" s="563"/>
      <c r="AV946" s="563"/>
      <c r="AW946" s="563"/>
      <c r="AX946" s="563"/>
      <c r="AY946" s="1153"/>
      <c r="AZ946" s="563"/>
      <c r="BA946" s="563"/>
      <c r="BB946" s="563"/>
      <c r="BC946" s="563"/>
      <c r="BD946" s="1153"/>
      <c r="BE946" s="563"/>
      <c r="BF946" s="563"/>
      <c r="BG946" s="563"/>
      <c r="BH946" s="563"/>
      <c r="BI946" s="1153"/>
      <c r="BJ946" s="563"/>
      <c r="BK946" s="563"/>
      <c r="BL946" s="563"/>
      <c r="BM946" s="563"/>
      <c r="BN946" s="1153"/>
      <c r="BO946" s="563"/>
      <c r="BP946" s="563"/>
      <c r="BQ946" s="563"/>
      <c r="BR946" s="563"/>
      <c r="BS946" s="1153"/>
      <c r="BT946" s="563"/>
      <c r="BU946" s="563"/>
      <c r="BV946" s="563"/>
      <c r="BW946" s="563"/>
      <c r="BX946" s="1153"/>
      <c r="BY946" s="731"/>
      <c r="BZ946" s="563"/>
      <c r="CA946" s="563"/>
      <c r="CB946" s="563"/>
      <c r="CC946" s="1153"/>
      <c r="CD946" s="563"/>
      <c r="CE946" s="563"/>
      <c r="CF946" s="563"/>
      <c r="CG946" s="563"/>
      <c r="CH946" s="1153"/>
      <c r="CI946" s="1153"/>
      <c r="CJ946" s="1153"/>
      <c r="CK946" s="1153"/>
      <c r="CL946" s="155"/>
    </row>
    <row r="947" spans="1:90" x14ac:dyDescent="0.3">
      <c r="A947" s="241" t="s">
        <v>192</v>
      </c>
      <c r="B947" s="242"/>
      <c r="C947" s="286"/>
      <c r="D947" s="286"/>
      <c r="E947" s="286"/>
      <c r="F947" s="286"/>
      <c r="G947" s="286"/>
      <c r="H947" s="286"/>
      <c r="I947" s="286"/>
      <c r="J947" s="286"/>
      <c r="K947" s="286"/>
      <c r="L947" s="286"/>
      <c r="M947" s="286"/>
      <c r="N947" s="286"/>
      <c r="O947" s="286"/>
      <c r="P947" s="286"/>
      <c r="Q947" s="286"/>
      <c r="R947" s="286"/>
      <c r="S947" s="286"/>
      <c r="T947" s="286"/>
      <c r="U947" s="286"/>
      <c r="V947" s="286"/>
      <c r="W947" s="286"/>
      <c r="X947" s="286"/>
      <c r="Y947" s="286"/>
      <c r="Z947" s="286"/>
      <c r="AA947" s="286"/>
      <c r="AB947" s="286"/>
      <c r="AC947" s="286"/>
      <c r="AD947" s="286"/>
      <c r="AE947" s="286"/>
      <c r="AF947" s="286"/>
      <c r="AG947" s="286"/>
      <c r="AH947" s="286"/>
      <c r="AI947" s="286"/>
      <c r="AJ947" s="286"/>
      <c r="AK947" s="286"/>
      <c r="AL947" s="286"/>
      <c r="AM947" s="286"/>
      <c r="AN947" s="286"/>
      <c r="AO947" s="286"/>
      <c r="AP947" s="286"/>
      <c r="AQ947" s="286"/>
      <c r="AR947" s="286"/>
      <c r="AS947" s="286"/>
      <c r="AT947" s="286"/>
      <c r="AU947" s="286"/>
      <c r="AV947" s="286"/>
      <c r="AW947" s="286"/>
      <c r="AX947" s="286"/>
      <c r="AY947" s="286"/>
      <c r="AZ947" s="286"/>
      <c r="BA947" s="286"/>
      <c r="BB947" s="286"/>
      <c r="BC947" s="286"/>
      <c r="BD947" s="286"/>
      <c r="BE947" s="286"/>
      <c r="BF947" s="286"/>
      <c r="BG947" s="286"/>
      <c r="BH947" s="286"/>
      <c r="BI947" s="286"/>
      <c r="BJ947" s="286"/>
      <c r="BK947" s="286"/>
      <c r="BL947" s="286"/>
      <c r="BM947" s="286"/>
      <c r="BN947" s="286"/>
      <c r="BO947" s="286"/>
      <c r="BP947" s="286"/>
      <c r="BQ947" s="286"/>
      <c r="BR947" s="286"/>
      <c r="BS947" s="286"/>
      <c r="BT947" s="286"/>
      <c r="BU947" s="286"/>
      <c r="BV947" s="286"/>
      <c r="BW947" s="286"/>
      <c r="BX947" s="286"/>
      <c r="BY947" s="542"/>
      <c r="BZ947" s="286"/>
      <c r="CA947" s="286"/>
      <c r="CB947" s="286"/>
      <c r="CC947" s="286"/>
      <c r="CD947" s="286"/>
      <c r="CE947" s="286"/>
      <c r="CF947" s="286"/>
      <c r="CG947" s="286"/>
      <c r="CH947" s="286"/>
      <c r="CI947" s="286"/>
      <c r="CJ947" s="286"/>
      <c r="CK947" s="286"/>
      <c r="CL947" s="155"/>
    </row>
    <row r="948" spans="1:90" s="333" customFormat="1" x14ac:dyDescent="0.3">
      <c r="A948" s="96" t="s">
        <v>193</v>
      </c>
      <c r="B948" s="283"/>
      <c r="C948" s="1234">
        <f>C962/C$370</f>
        <v>9.2977550316669974E-2</v>
      </c>
      <c r="D948" s="1234">
        <f>D962/D$370</f>
        <v>0.11272183968170224</v>
      </c>
      <c r="E948" s="1234">
        <f>E962/E$370</f>
        <v>9.8430591291925135E-2</v>
      </c>
      <c r="F948" s="1234">
        <f>F962/F$370</f>
        <v>8.4079261017576595E-2</v>
      </c>
      <c r="G948" s="238"/>
      <c r="H948" s="238"/>
      <c r="I948" s="238"/>
      <c r="J948" s="238"/>
      <c r="K948" s="1234">
        <f>K962/K$370</f>
        <v>0.10612970219097002</v>
      </c>
      <c r="L948" s="25">
        <f>L962/(L$370+J$370+I$370+H$370)</f>
        <v>8.0509584524066147E-2</v>
      </c>
      <c r="M948" s="25">
        <f>M962/(M$370+L$370+J$370+I$370)</f>
        <v>9.8544445908297196E-2</v>
      </c>
      <c r="N948" s="25">
        <f>N962/(N$370+M$370+L$370+J$370)</f>
        <v>0.10936912847441607</v>
      </c>
      <c r="O948" s="25">
        <f>O962/(O$370+N$370+M$370+L$370)</f>
        <v>0.10323009121676099</v>
      </c>
      <c r="P948" s="1234">
        <f>P962/P$370</f>
        <v>0.10323009121676099</v>
      </c>
      <c r="Q948" s="25">
        <f>Q962/(Q$370+O$370+N$370+M$370)</f>
        <v>9.2659842189517005E-2</v>
      </c>
      <c r="R948" s="25">
        <f>R962/(R$370+Q$370+O$370+N$370)</f>
        <v>0.10663153341651178</v>
      </c>
      <c r="S948" s="25">
        <f>S962/(S$370+R$370+Q$370+O$370)</f>
        <v>0.12314167324923093</v>
      </c>
      <c r="T948" s="25">
        <f>T962/(T$370+S$370+R$370+Q$370)</f>
        <v>0.10123878684322939</v>
      </c>
      <c r="U948" s="1234">
        <f>U962/U$370</f>
        <v>0.10123878684322939</v>
      </c>
      <c r="V948" s="25">
        <f>V962/(V$370+T$370+S$370+R$370)</f>
        <v>9.6194503171247364E-2</v>
      </c>
      <c r="W948" s="25">
        <f>W962/(W$370+V$370+T$370+S$370)</f>
        <v>0.10753138075313808</v>
      </c>
      <c r="X948" s="25">
        <f>X962/(X$370+W$370+V$370+T$370)</f>
        <v>0.1102880658436214</v>
      </c>
      <c r="Y948" s="25">
        <f>Y962/(Y$370+X$370+W$370+V$370)</f>
        <v>0.10079840319361277</v>
      </c>
      <c r="Z948" s="1234">
        <f>Z962/Z$370</f>
        <v>0.10079840319361277</v>
      </c>
      <c r="AA948" s="25">
        <f>AA962/(AA$370+Y$370+X$370+W$370)</f>
        <v>0.10127807900852052</v>
      </c>
      <c r="AB948" s="25">
        <f>AB962/(AB$370+AA$370+Y$370+X$370)</f>
        <v>0.11840411840411841</v>
      </c>
      <c r="AC948" s="25">
        <f>AC962/(AC$370+AB$370+AA$370+Y$370)</f>
        <v>0.13571195829260346</v>
      </c>
      <c r="AD948" s="25">
        <f>AD962/(AD$370+AC$370+AB$370+AA$370)</f>
        <v>0.1195369030390738</v>
      </c>
      <c r="AE948" s="1234">
        <f>AE962/AE$370</f>
        <v>0.1195369030390738</v>
      </c>
      <c r="AF948" s="25">
        <f>AF962/(AF$370+AD$370+AC$370+AB$370)</f>
        <v>0.12940864492177143</v>
      </c>
      <c r="AG948" s="25">
        <f>AG962/(AG$370+AF$370+AD$370+AC$370)</f>
        <v>0.14537392138063279</v>
      </c>
      <c r="AH948" s="25">
        <f>AH962/(AH$370+AG$370+AF$370+AD$370)</f>
        <v>0.13001336898395721</v>
      </c>
      <c r="AI948" s="25">
        <f>AI962/(AI$370+AH$370+AG$370+AF$370)</f>
        <v>0.13022441836524604</v>
      </c>
      <c r="AJ948" s="1234">
        <f>AJ962/AJ$370</f>
        <v>0.13022441836524604</v>
      </c>
      <c r="AK948" s="25">
        <f>AK962/(AK$370+AI$370+AH$370+AG$370)</f>
        <v>0.11107064821558631</v>
      </c>
      <c r="AL948" s="25">
        <f>AL962/(AL$370+AK$370+AI$370+AH$370)</f>
        <v>0.1399343268502147</v>
      </c>
      <c r="AM948" s="25">
        <f>AM962/(AM$370+AL$370+AK$370+AI$370)</f>
        <v>0.17863468040573177</v>
      </c>
      <c r="AN948" s="25">
        <f>AN962/(AN$370+AM$370+AL$370+AK$370)</f>
        <v>0.12154318880163878</v>
      </c>
      <c r="AO948" s="1234">
        <f>AO962/AO$370</f>
        <v>0.12154318880163878</v>
      </c>
      <c r="AP948" s="25">
        <f>AP962/(AP$370+AN$370+AM$370+AL$370)</f>
        <v>0.11576102153043154</v>
      </c>
      <c r="AQ948" s="25">
        <f>AQ962/(AQ$370+AP$370+AN$370+AM$370)</f>
        <v>0.15326460481099657</v>
      </c>
      <c r="AR948" s="25">
        <f>AR962/(AR$370+AQ$370+AP$370+AN$370)</f>
        <v>0.14523857057296866</v>
      </c>
      <c r="AS948" s="25">
        <f>AS962/(AS$370+AR$370+AQ$370+AP$370)</f>
        <v>0.15176772302619526</v>
      </c>
      <c r="AT948" s="1234">
        <f>AT962/AT$370</f>
        <v>0.15176772302619526</v>
      </c>
      <c r="AU948" s="25">
        <f>AU962/(AU$370+AS$370+AR$370+AQ$370)</f>
        <v>0.1619120393954831</v>
      </c>
      <c r="AV948" s="25">
        <f>AV962/(AV$370+AU$370+AS$370+AR$370)</f>
        <v>0.15951014159969384</v>
      </c>
      <c r="AW948" s="25">
        <f>AW962/(AW$370+AV$370+AU$370+AS$370)</f>
        <v>0.17229478243215809</v>
      </c>
      <c r="AX948" s="25">
        <f>AX962/(AX$370+AW$370+AV$370+AU$370)</f>
        <v>0.14566716641679162</v>
      </c>
      <c r="AY948" s="1234">
        <f>AY962/AY$370</f>
        <v>0.14566716641679162</v>
      </c>
      <c r="AZ948" s="25">
        <f>AZ962/(AZ$370+AX$370+AW$370+AV$370)</f>
        <v>0.15704196094723721</v>
      </c>
      <c r="BA948" s="25">
        <f>BA962/(BA$370+AZ$370+AX$370+AW$370)</f>
        <v>0.16376672603552997</v>
      </c>
      <c r="BB948" s="25">
        <f>BB962/(BB$370+BA$370+AZ$370+AX$370)</f>
        <v>0.16289033533822198</v>
      </c>
      <c r="BC948" s="25">
        <f>BC962/(BC$370+BB$370+BA$370+AZ$370)</f>
        <v>0.17277253474028387</v>
      </c>
      <c r="BD948" s="1234">
        <f>BD962/BD$370</f>
        <v>0.17277253474028387</v>
      </c>
      <c r="BE948" s="25">
        <f>BE962/(BE$370+BC$370+BB$370+BA$370)</f>
        <v>0.18408313868860229</v>
      </c>
      <c r="BF948" s="25">
        <f>BF962/(BF$370+BE$370+BC$370+BB$370)</f>
        <v>0.1787948079897774</v>
      </c>
      <c r="BG948" s="25">
        <f>BG962/(BG$370+BF$370+BE$370+BC$370)</f>
        <v>0.17181264440243646</v>
      </c>
      <c r="BH948" s="25">
        <f>BH962/(BH$370+BG$370+BF$370+BE$370)</f>
        <v>0.14187736338696522</v>
      </c>
      <c r="BI948" s="1234">
        <f>BI962/BI$370</f>
        <v>0.14187736338696522</v>
      </c>
      <c r="BJ948" s="25">
        <f>BJ962/(BJ$370+BH$370+BG$370+BF$370)</f>
        <v>0.15766287966612566</v>
      </c>
      <c r="BK948" s="25">
        <f>BK962/(BK$370+BJ$370+BH$370+BG$370)</f>
        <v>0.21621125424558613</v>
      </c>
      <c r="BL948" s="25">
        <f>BL962/(BL$370+BK$370+BJ$370+BH$370)</f>
        <v>0.18517940717628706</v>
      </c>
      <c r="BM948" s="25">
        <f>BM962/(BM$370+BL$370+BK$370+BJ$370)</f>
        <v>0.1641279012507797</v>
      </c>
      <c r="BN948" s="1234">
        <f>BN962/BN$370</f>
        <v>0.1641279012507797</v>
      </c>
      <c r="BO948" s="25">
        <f>BO962/(BO$370+BM$370+BL$370+BK$370)</f>
        <v>0.15500037606237621</v>
      </c>
      <c r="BP948" s="25">
        <f>BP962/(BP$370+BO$370+BM$370+BL$370)</f>
        <v>0.14673907400292813</v>
      </c>
      <c r="BQ948" s="25">
        <f>BQ962/(BQ$370+BP$370+BO$370+BM$370)</f>
        <v>0.15620337426833467</v>
      </c>
      <c r="BR948" s="25">
        <f>BR962/(BR$370+BQ$370+BP$370+BO$370)</f>
        <v>0.17674735817681633</v>
      </c>
      <c r="BS948" s="1234">
        <f>BS962/BS$370</f>
        <v>0.17674735817681633</v>
      </c>
      <c r="BT948" s="25">
        <f>BT962/(BT$370+BR$370+BQ$370+BP$370)</f>
        <v>0.14902198431134903</v>
      </c>
      <c r="BU948" s="25">
        <f>BU962/(BU$370+BT$370+BR$370+BQ$370)</f>
        <v>0.16831095885436212</v>
      </c>
      <c r="BV948" s="25">
        <f>BV962/(BV$370+BU$370+BT$370+BR$370)</f>
        <v>0.17842600805805217</v>
      </c>
      <c r="BW948" s="25">
        <f>BW962/(BW$370+BV$370+BU$370+BT$370)</f>
        <v>0.17813446452222398</v>
      </c>
      <c r="BX948" s="1234">
        <f>BX962/BX$370</f>
        <v>0.17813446452222398</v>
      </c>
      <c r="BY948" s="950">
        <f>BY962/(BY$370+BW$370+BV$370+BU$370)</f>
        <v>0.16059741765979857</v>
      </c>
      <c r="BZ948" s="238">
        <f t="shared" ref="BZ948:CB951" si="2290">BU948+BZ953</f>
        <v>0.16831095885436212</v>
      </c>
      <c r="CA948" s="238">
        <f t="shared" si="2290"/>
        <v>0.17842600805805217</v>
      </c>
      <c r="CB948" s="238">
        <f t="shared" si="2290"/>
        <v>0.17813446452222398</v>
      </c>
      <c r="CC948" s="1147">
        <f>CC962/CC$370</f>
        <v>0.17813446452222398</v>
      </c>
      <c r="CD948" s="238">
        <f t="shared" ref="CD948:CG951" si="2291">BY948+CD953</f>
        <v>0.16059741765979857</v>
      </c>
      <c r="CE948" s="238">
        <f t="shared" si="2291"/>
        <v>0.16831095885436212</v>
      </c>
      <c r="CF948" s="238">
        <f t="shared" si="2291"/>
        <v>0.17842600805805217</v>
      </c>
      <c r="CG948" s="238">
        <f t="shared" si="2291"/>
        <v>0.17813446452222398</v>
      </c>
      <c r="CH948" s="1147">
        <f>CH962/CH$370</f>
        <v>0.17813446452222398</v>
      </c>
      <c r="CI948" s="1147">
        <f t="shared" ref="CI948:CK951" si="2292">CH948+CI953</f>
        <v>0.17813446452222398</v>
      </c>
      <c r="CJ948" s="1147">
        <f t="shared" si="2292"/>
        <v>0.17813446452222398</v>
      </c>
      <c r="CK948" s="1147">
        <f t="shared" si="2292"/>
        <v>0.17813446452222398</v>
      </c>
      <c r="CL948" s="332"/>
    </row>
    <row r="949" spans="1:90" s="333" customFormat="1" x14ac:dyDescent="0.3">
      <c r="A949" s="96" t="s">
        <v>1101</v>
      </c>
      <c r="B949" s="283"/>
      <c r="C949" s="1234">
        <f>C966/C$374</f>
        <v>0.2389746688646088</v>
      </c>
      <c r="D949" s="1234">
        <f>D966/D$374</f>
        <v>0.1538360621570749</v>
      </c>
      <c r="E949" s="1234">
        <f>E966/E$374</f>
        <v>0.16189763093665643</v>
      </c>
      <c r="F949" s="1234">
        <f>F966/F$374</f>
        <v>0.17528315716439521</v>
      </c>
      <c r="G949" s="238"/>
      <c r="H949" s="238"/>
      <c r="I949" s="238"/>
      <c r="J949" s="238"/>
      <c r="K949" s="1234">
        <f>K966/K$374</f>
        <v>0.20082957772263924</v>
      </c>
      <c r="L949" s="25">
        <f>L966/(L$374+J$374+I$374+H$374)</f>
        <v>0.18614830655951223</v>
      </c>
      <c r="M949" s="25">
        <f>M966/(M$374+L$374+J$374+I$374)</f>
        <v>0.19333310504885204</v>
      </c>
      <c r="N949" s="25">
        <f>N966/(N$374+M$374+L$374+J$374)</f>
        <v>0.20461305961135684</v>
      </c>
      <c r="O949" s="25">
        <f>O966/(O$374+N$374+M$374+L$374)</f>
        <v>0.20820726385699306</v>
      </c>
      <c r="P949" s="1234">
        <f>P966/P$374</f>
        <v>0.20820726385699306</v>
      </c>
      <c r="Q949" s="25">
        <f>Q966/(Q$374+O$374+N$374+M$374)</f>
        <v>0.20427710380277037</v>
      </c>
      <c r="R949" s="25">
        <f>R966/(R$374+Q$374+O$374+N$374)</f>
        <v>0.19591833845083359</v>
      </c>
      <c r="S949" s="25">
        <f>S966/(S$374+R$374+Q$374+O$374)</f>
        <v>0.19838879986932278</v>
      </c>
      <c r="T949" s="25">
        <f>T966/(T$374+S$374+R$374+Q$374)</f>
        <v>0.23187710033605377</v>
      </c>
      <c r="U949" s="1234">
        <f>U966/U$374</f>
        <v>0.23187710033605377</v>
      </c>
      <c r="V949" s="25">
        <f>V966/(V$374+T$374+S$374+R$374)</f>
        <v>0.21037463976945245</v>
      </c>
      <c r="W949" s="25">
        <f>W966/(W$374+V$374+T$374+S$374)</f>
        <v>0.20831365139348135</v>
      </c>
      <c r="X949" s="25">
        <f>X966/(X$374+W$374+V$374+T$374)</f>
        <v>0.19869097709209912</v>
      </c>
      <c r="Y949" s="25">
        <f>Y966/(Y$374+X$374+W$374+V$374)</f>
        <v>0.19017288444040037</v>
      </c>
      <c r="Z949" s="1234">
        <f>Z966/Z$374</f>
        <v>0.19008640291041382</v>
      </c>
      <c r="AA949" s="25">
        <f>AA966/(AA$374+Y$374+X$374+W$374)</f>
        <v>0.17480035492457852</v>
      </c>
      <c r="AB949" s="25">
        <f>AB966/(AB$374+AA$374+Y$374+X$374)</f>
        <v>0.22293538724860934</v>
      </c>
      <c r="AC949" s="25">
        <f>AC966/(AC$374+AB$374+AA$374+Y$374)</f>
        <v>0.26246617703904135</v>
      </c>
      <c r="AD949" s="25">
        <f>AD966/(AD$374+AC$374+AB$374+AA$374)</f>
        <v>0.2788900597119775</v>
      </c>
      <c r="AE949" s="1234">
        <f>AE966/AE$374</f>
        <v>0.2788900597119775</v>
      </c>
      <c r="AF949" s="25">
        <f>AF966/(AF$374+AD$374+AC$374+AB$374)</f>
        <v>0.26655844155844155</v>
      </c>
      <c r="AG949" s="25">
        <f>AG966/(AG$374+AF$374+AD$374+AC$374)</f>
        <v>0.25102759835584265</v>
      </c>
      <c r="AH949" s="25">
        <f>AH966/(AH$374+AG$374+AF$374+AD$374)</f>
        <v>0.23466593647316539</v>
      </c>
      <c r="AI949" s="25">
        <f>AI966/(AI$374+AH$374+AG$374+AF$374)</f>
        <v>0.20452209660842754</v>
      </c>
      <c r="AJ949" s="1234">
        <f>AJ966/AJ$374</f>
        <v>0.20452209660842754</v>
      </c>
      <c r="AK949" s="25">
        <f>AK966/(AK$374+AI$374+AH$374+AG$374)</f>
        <v>0.18779453345900093</v>
      </c>
      <c r="AL949" s="25">
        <f>AL966/(AL$374+AK$374+AI$374+AH$374)</f>
        <v>0.24417562724014336</v>
      </c>
      <c r="AM949" s="25">
        <f>AM966/(AM$374+AL$374+AK$374+AI$374)</f>
        <v>0.30427313721279792</v>
      </c>
      <c r="AN949" s="25">
        <f>AN966/(AN$374+AM$374+AL$374+AK$374)</f>
        <v>0.34653465346534651</v>
      </c>
      <c r="AO949" s="1234">
        <f>AO966/AO$374</f>
        <v>0.34653465346534651</v>
      </c>
      <c r="AP949" s="25">
        <f>AP966/(AP$374+AN$374+AM$374+AL$374)</f>
        <v>0.32933025404157046</v>
      </c>
      <c r="AQ949" s="25">
        <f>AQ966/(AQ$374+AP$374+AN$374+AM$374)</f>
        <v>0.28530805687203792</v>
      </c>
      <c r="AR949" s="25">
        <f>AR966/(AR$374+AQ$374+AP$374+AN$374)</f>
        <v>0.25800887136520456</v>
      </c>
      <c r="AS949" s="25">
        <f>AS966/(AS$374+AR$374+AQ$374+AP$374)</f>
        <v>0.23590361445783131</v>
      </c>
      <c r="AT949" s="1234">
        <f>AT966/AT$374</f>
        <v>0.23590361445783131</v>
      </c>
      <c r="AU949" s="25">
        <f>AU966/(AU$374+AS$374+AR$374+AQ$374)</f>
        <v>0.26220362622036264</v>
      </c>
      <c r="AV949" s="25">
        <f>AV966/(AV$374+AU$374+AS$374+AR$374)</f>
        <v>0.28856848609680741</v>
      </c>
      <c r="AW949" s="25">
        <f>AW966/(AW$374+AV$374+AU$374+AS$374)</f>
        <v>0.27068622125656344</v>
      </c>
      <c r="AX949" s="25">
        <f>AX966/(AX$374+AW$374+AV$374+AU$374)</f>
        <v>0.29081063863672557</v>
      </c>
      <c r="AY949" s="1234">
        <f>AY966/AY$374</f>
        <v>0.29081063863672557</v>
      </c>
      <c r="AZ949" s="25">
        <f>AZ966/(AZ$374+AX$374+AW$374+AV$374)</f>
        <v>0.27532826537664135</v>
      </c>
      <c r="BA949" s="25">
        <f>BA966/(BA$374+AZ$374+AX$374+AW$374)</f>
        <v>0.26638104838709675</v>
      </c>
      <c r="BB949" s="25">
        <f>BB966/(BB$374+BA$374+AZ$374+AX$374)</f>
        <v>0.25838926174496646</v>
      </c>
      <c r="BC949" s="25">
        <f>BC966/(BC$374+BB$374+BA$374+AZ$374)</f>
        <v>0.27595338983050849</v>
      </c>
      <c r="BD949" s="1234">
        <f>BD966/BD$374</f>
        <v>0.27598262527810147</v>
      </c>
      <c r="BE949" s="25">
        <f>BE966/(BE$374+BC$374+BB$374+BA$374)</f>
        <v>0.30813443740867025</v>
      </c>
      <c r="BF949" s="25">
        <f>BF966/(BF$374+BE$374+BC$374+BB$374)</f>
        <v>0.33064104744091138</v>
      </c>
      <c r="BG949" s="25">
        <f>BG966/(BG$374+BF$374+BE$374+BC$374)</f>
        <v>0.36981069412155432</v>
      </c>
      <c r="BH949" s="25">
        <f>BH966/(BH$374+BG$374+BF$374+BE$374)</f>
        <v>0.44405233258736443</v>
      </c>
      <c r="BI949" s="1234">
        <f>BI966/BI$374</f>
        <v>0.44405233258736443</v>
      </c>
      <c r="BJ949" s="25">
        <f>BJ966/(BJ$374+BH$374+BG$374+BF$374)</f>
        <v>0.40787262273330382</v>
      </c>
      <c r="BK949" s="25">
        <f>BK966/(BK$374+BJ$374+BH$374+BG$374)</f>
        <v>0.37358360003459906</v>
      </c>
      <c r="BL949" s="25">
        <f>BL966/(BL$374+BK$374+BJ$374+BH$374)</f>
        <v>0.3532934131736527</v>
      </c>
      <c r="BM949" s="25">
        <f>BM966/(BM$374+BL$374+BK$374+BJ$374)</f>
        <v>0.31779074664580953</v>
      </c>
      <c r="BN949" s="1234">
        <f>BN966/BN$374</f>
        <v>0.31779074664580953</v>
      </c>
      <c r="BO949" s="25">
        <f>BO966/(BO$374+BM$374+BL$374+BK$374)</f>
        <v>0.297438498605123</v>
      </c>
      <c r="BP949" s="25">
        <f>BP966/(BP$374+BO$374+BM$374+BL$374)</f>
        <v>0.28851141078838172</v>
      </c>
      <c r="BQ949" s="25">
        <f>BQ966/(BQ$374+BP$374+BO$374+BM$374)</f>
        <v>0.27993563016604489</v>
      </c>
      <c r="BR949" s="25">
        <f>BR966/(BR$374+BQ$374+BP$374+BO$374)</f>
        <v>0.30884245358171458</v>
      </c>
      <c r="BS949" s="1234">
        <f>BS966/BS$374</f>
        <v>0.30883299120683844</v>
      </c>
      <c r="BT949" s="25">
        <f>BT966/(BT$374+BR$374+BQ$374+BP$374)</f>
        <v>0.25528224534847049</v>
      </c>
      <c r="BU949" s="25">
        <f>BU966/(BU$374+BT$374+BR$374+BQ$374)</f>
        <v>0.30033321289493758</v>
      </c>
      <c r="BV949" s="25">
        <f>BV966/(BV$374+BU$374+BT$374+BR$374)</f>
        <v>0.35297685953362234</v>
      </c>
      <c r="BW949" s="25">
        <f>BW966/(BW$374+BV$374+BU$374+BT$374)</f>
        <v>0.34258503401360546</v>
      </c>
      <c r="BX949" s="1234">
        <f>BX966/BX$374</f>
        <v>0.34258503401360546</v>
      </c>
      <c r="BY949" s="950">
        <f>BY966/(BY$374+BW$374+BV$374+BU$374)</f>
        <v>0.39361296327377593</v>
      </c>
      <c r="BZ949" s="238">
        <f t="shared" si="2290"/>
        <v>0.30033321289493758</v>
      </c>
      <c r="CA949" s="238">
        <f t="shared" si="2290"/>
        <v>0.35297685953362234</v>
      </c>
      <c r="CB949" s="238">
        <f t="shared" si="2290"/>
        <v>0.34258503401360546</v>
      </c>
      <c r="CC949" s="1147">
        <f>CC966/CC$374</f>
        <v>0.34258503401360546</v>
      </c>
      <c r="CD949" s="238">
        <f t="shared" si="2291"/>
        <v>0.39361296327377593</v>
      </c>
      <c r="CE949" s="238">
        <f t="shared" si="2291"/>
        <v>0.30033321289493758</v>
      </c>
      <c r="CF949" s="238">
        <f t="shared" si="2291"/>
        <v>0.35297685953362234</v>
      </c>
      <c r="CG949" s="238">
        <f t="shared" si="2291"/>
        <v>0.34258503401360546</v>
      </c>
      <c r="CH949" s="1147">
        <f>CH966/CH$374</f>
        <v>0.34258503401360546</v>
      </c>
      <c r="CI949" s="1147">
        <f t="shared" si="2292"/>
        <v>0.34258503401360546</v>
      </c>
      <c r="CJ949" s="1147">
        <f t="shared" si="2292"/>
        <v>0.34258503401360546</v>
      </c>
      <c r="CK949" s="1147">
        <f t="shared" si="2292"/>
        <v>0.34258503401360546</v>
      </c>
      <c r="CL949" s="332"/>
    </row>
    <row r="950" spans="1:90" s="333" customFormat="1" x14ac:dyDescent="0.3">
      <c r="A950" s="96" t="s">
        <v>1102</v>
      </c>
      <c r="B950" s="283"/>
      <c r="C950" s="1234">
        <f>C993/C$374</f>
        <v>9.7247388462580922E-2</v>
      </c>
      <c r="D950" s="1234">
        <f>D993/D$374</f>
        <v>0.16028075079017567</v>
      </c>
      <c r="E950" s="1234">
        <f>E993/E$374</f>
        <v>0.13407152686767382</v>
      </c>
      <c r="F950" s="1234">
        <f>F993/F$374</f>
        <v>0.17259181843327515</v>
      </c>
      <c r="G950" s="238"/>
      <c r="H950" s="238"/>
      <c r="I950" s="238"/>
      <c r="J950" s="238"/>
      <c r="K950" s="1234">
        <f>K993/K$374</f>
        <v>0.17354427076232731</v>
      </c>
      <c r="L950" s="25">
        <f>L993/(L$374+J$374+I$374+H$374)</f>
        <v>0.16182558908815201</v>
      </c>
      <c r="M950" s="25">
        <f>M993/(M$374+L$374+J$374+I$374)</f>
        <v>0.15857474843135344</v>
      </c>
      <c r="N950" s="25">
        <f>N993/(N$374+M$374+L$374+J$374)</f>
        <v>0.17930751381459206</v>
      </c>
      <c r="O950" s="25">
        <f>O993/(O$374+N$374+M$374+L$374)</f>
        <v>0.17417910984703064</v>
      </c>
      <c r="P950" s="1234">
        <f>P993/P$374</f>
        <v>0.17417910984703064</v>
      </c>
      <c r="Q950" s="25">
        <f>Q993/(Q$374+O$374+N$374+M$374)</f>
        <v>0.1605046259456023</v>
      </c>
      <c r="R950" s="25">
        <f>R993/(R$374+Q$374+O$374+N$374)</f>
        <v>0.13230002305909197</v>
      </c>
      <c r="S950" s="25">
        <f>S993/(S$374+R$374+Q$374+O$374)</f>
        <v>0.15950453481226812</v>
      </c>
      <c r="T950" s="25">
        <f>T993/(T$374+S$374+R$374+Q$374)</f>
        <v>0.14066250600096014</v>
      </c>
      <c r="U950" s="1234">
        <f>U993/U$374</f>
        <v>0.14066250600096014</v>
      </c>
      <c r="V950" s="25">
        <f>V993/(V$374+T$374+S$374+R$374)</f>
        <v>0.10662824207492795</v>
      </c>
      <c r="W950" s="25">
        <f>W993/(W$374+V$374+T$374+S$374)</f>
        <v>0.13084553613604158</v>
      </c>
      <c r="X950" s="25">
        <f>X993/(X$374+W$374+V$374+T$374)</f>
        <v>0.13791491351098645</v>
      </c>
      <c r="Y950" s="25">
        <f>Y993/(Y$374+X$374+W$374+V$374)</f>
        <v>0.13466787989080983</v>
      </c>
      <c r="Z950" s="1234">
        <f>Z993/Z$374</f>
        <v>0.13460663938153705</v>
      </c>
      <c r="AA950" s="25">
        <f>AA993/(AA$374+Y$374+X$374+W$374)</f>
        <v>0.1419698314108252</v>
      </c>
      <c r="AB950" s="25">
        <f>AB993/(AB$374+AA$374+Y$374+X$374)</f>
        <v>0.18100128369704749</v>
      </c>
      <c r="AC950" s="25">
        <f>AC993/(AC$374+AB$374+AA$374+Y$374)</f>
        <v>0.20216466950135292</v>
      </c>
      <c r="AD950" s="25">
        <f>AD993/(AD$374+AC$374+AB$374+AA$374)</f>
        <v>0.17035475939585529</v>
      </c>
      <c r="AE950" s="1234">
        <f>AE993/AE$374</f>
        <v>0.17035475939585529</v>
      </c>
      <c r="AF950" s="25">
        <f>AF993/(AF$374+AD$374+AC$374+AB$374)</f>
        <v>0.11298701298701298</v>
      </c>
      <c r="AG950" s="25">
        <f>AG993/(AG$374+AF$374+AD$374+AC$374)</f>
        <v>0.12654139753376395</v>
      </c>
      <c r="AH950" s="25">
        <f>AH993/(AH$374+AG$374+AF$374+AD$374)</f>
        <v>0.13992332968236582</v>
      </c>
      <c r="AI950" s="25">
        <f>AI993/(AI$374+AH$374+AG$374+AF$374)</f>
        <v>0.15313463514902365</v>
      </c>
      <c r="AJ950" s="1234">
        <f>AJ993/AJ$374</f>
        <v>0.15313463514902365</v>
      </c>
      <c r="AK950" s="25">
        <f>AK993/(AK$374+AI$374+AH$374+AG$374)</f>
        <v>0.14679547596606973</v>
      </c>
      <c r="AL950" s="25">
        <f>AL993/(AL$374+AK$374+AI$374+AH$374)</f>
        <v>0.17921146953405018</v>
      </c>
      <c r="AM950" s="25">
        <f>AM993/(AM$374+AL$374+AK$374+AI$374)</f>
        <v>0.19368692291174575</v>
      </c>
      <c r="AN950" s="25">
        <f>AN993/(AN$374+AM$374+AL$374+AK$374)</f>
        <v>0.11243124312431244</v>
      </c>
      <c r="AO950" s="1234">
        <f>AO993/AO$374</f>
        <v>0.11243124312431244</v>
      </c>
      <c r="AP950" s="25">
        <f>AP993/(AP$374+AN$374+AM$374+AL$374)</f>
        <v>8.4988452655889141E-2</v>
      </c>
      <c r="AQ950" s="25">
        <f>AQ993/(AQ$374+AP$374+AN$374+AM$374)</f>
        <v>0.10355450236966825</v>
      </c>
      <c r="AR950" s="25">
        <f>AR993/(AR$374+AQ$374+AP$374+AN$374)</f>
        <v>0.14563824544110399</v>
      </c>
      <c r="AS950" s="25">
        <f>AS993/(AS$374+AR$374+AQ$374+AP$374)</f>
        <v>0.16554216867469879</v>
      </c>
      <c r="AT950" s="1234">
        <f>AT993/AT$374</f>
        <v>0.16554216867469879</v>
      </c>
      <c r="AU950" s="25">
        <f>AU993/(AU$374+AS$374+AR$374+AQ$374)</f>
        <v>0.17689446768944678</v>
      </c>
      <c r="AV950" s="25">
        <f>AV993/(AV$374+AU$374+AS$374+AR$374)</f>
        <v>0.18393408856848609</v>
      </c>
      <c r="AW950" s="25">
        <f>AW993/(AW$374+AV$374+AU$374+AS$374)</f>
        <v>0.19862393626652181</v>
      </c>
      <c r="AX950" s="25">
        <f>AX993/(AX$374+AW$374+AV$374+AU$374)</f>
        <v>0.1912724956203217</v>
      </c>
      <c r="AY950" s="1234">
        <f>AY993/AY$374</f>
        <v>0.1912724956203217</v>
      </c>
      <c r="AZ950" s="25">
        <f>AZ993/(AZ$374+AX$374+AW$374+AV$374)</f>
        <v>0.16834830684174154</v>
      </c>
      <c r="BA950" s="25">
        <f>BA993/(BA$374+AZ$374+AX$374+AW$374)</f>
        <v>0.18573588709677419</v>
      </c>
      <c r="BB950" s="25">
        <f>BB993/(BB$374+BA$374+AZ$374+AX$374)</f>
        <v>0.19254802129136775</v>
      </c>
      <c r="BC950" s="25">
        <f>BC993/(BC$374+BB$374+BA$374+AZ$374)</f>
        <v>0.18887711864406781</v>
      </c>
      <c r="BD950" s="1234">
        <f>BD993/BD$374</f>
        <v>0.18889712893314969</v>
      </c>
      <c r="BE950" s="25">
        <f>BE993/(BE$374+BC$374+BB$374+BA$374)</f>
        <v>0.19473940574768631</v>
      </c>
      <c r="BF950" s="25">
        <f>BF993/(BF$374+BE$374+BC$374+BB$374)</f>
        <v>0.20583234143853085</v>
      </c>
      <c r="BG950" s="25">
        <f>BG993/(BG$374+BF$374+BE$374+BC$374)</f>
        <v>0.1237960810362006</v>
      </c>
      <c r="BH950" s="25">
        <f>BH993/(BH$374+BG$374+BF$374+BE$374)</f>
        <v>0.1026854880358065</v>
      </c>
      <c r="BI950" s="1234">
        <f>BI993/BI$374</f>
        <v>0.1026854880358065</v>
      </c>
      <c r="BJ950" s="25">
        <f>BJ993/(BJ$374+BH$374+BG$374+BF$374)</f>
        <v>0.10092879256965945</v>
      </c>
      <c r="BK950" s="25">
        <f>BK993/(BK$374+BJ$374+BH$374+BG$374)</f>
        <v>0.16685407836692329</v>
      </c>
      <c r="BL950" s="25">
        <f>BL993/(BL$374+BK$374+BJ$374+BH$374)</f>
        <v>0.17594440748133364</v>
      </c>
      <c r="BM950" s="25">
        <f>BM993/(BM$374+BL$374+BK$374+BJ$374)</f>
        <v>0.16238493472113591</v>
      </c>
      <c r="BN950" s="1234">
        <f>BN993/BN$374</f>
        <v>0.16238493472113591</v>
      </c>
      <c r="BO950" s="25">
        <f>BO993/(BO$374+BM$374+BL$374+BK$374)</f>
        <v>0.13771240172457519</v>
      </c>
      <c r="BP950" s="25">
        <f>BP993/(BP$374+BO$374+BM$374+BL$374)</f>
        <v>0.1590594744121715</v>
      </c>
      <c r="BQ950" s="25">
        <f>BQ993/(BQ$374+BP$374+BO$374+BM$374)</f>
        <v>0.19577938702362666</v>
      </c>
      <c r="BR950" s="25">
        <f>BR993/(BR$374+BQ$374+BP$374+BO$374)</f>
        <v>0.19333292481156933</v>
      </c>
      <c r="BS950" s="1234">
        <f>BS993/BS$374</f>
        <v>0.19332700143999509</v>
      </c>
      <c r="BT950" s="25">
        <f>BT993/(BT$374+BR$374+BQ$374+BP$374)</f>
        <v>0.1651349281434428</v>
      </c>
      <c r="BU950" s="25">
        <f>BU993/(BU$374+BT$374+BR$374+BQ$374)</f>
        <v>0.18194226986229878</v>
      </c>
      <c r="BV950" s="25">
        <f>BV993/(BV$374+BU$374+BT$374+BR$374)</f>
        <v>0.15386536780317223</v>
      </c>
      <c r="BW950" s="25">
        <f>BW993/(BW$374+BV$374+BU$374+BT$374)</f>
        <v>0.15705482192877152</v>
      </c>
      <c r="BX950" s="1234">
        <f>BX993/BX$374</f>
        <v>0.15705482192877152</v>
      </c>
      <c r="BY950" s="950">
        <f>BY993/(BY$374+BW$374+BV$374+BU$374)</f>
        <v>0.19983521262149254</v>
      </c>
      <c r="BZ950" s="238">
        <f t="shared" si="2290"/>
        <v>0.18194226986229878</v>
      </c>
      <c r="CA950" s="238">
        <f t="shared" si="2290"/>
        <v>0.15386536780317223</v>
      </c>
      <c r="CB950" s="238">
        <f t="shared" si="2290"/>
        <v>0.15705482192877152</v>
      </c>
      <c r="CC950" s="1147">
        <f>CC993/CC$374</f>
        <v>0.15705482192877152</v>
      </c>
      <c r="CD950" s="238">
        <f t="shared" si="2291"/>
        <v>0.19983521262149254</v>
      </c>
      <c r="CE950" s="238">
        <f t="shared" si="2291"/>
        <v>0.18194226986229878</v>
      </c>
      <c r="CF950" s="238">
        <f t="shared" si="2291"/>
        <v>0.15386536780317223</v>
      </c>
      <c r="CG950" s="238">
        <f t="shared" si="2291"/>
        <v>0.15705482192877152</v>
      </c>
      <c r="CH950" s="1147">
        <f>CH993/CH$374</f>
        <v>0.15705482192877149</v>
      </c>
      <c r="CI950" s="1147">
        <f t="shared" si="2292"/>
        <v>0.15705482192877149</v>
      </c>
      <c r="CJ950" s="1147">
        <f t="shared" si="2292"/>
        <v>0.15705482192877149</v>
      </c>
      <c r="CK950" s="1147">
        <f t="shared" si="2292"/>
        <v>0.15705482192877149</v>
      </c>
      <c r="CL950" s="332"/>
    </row>
    <row r="951" spans="1:90" s="333" customFormat="1" x14ac:dyDescent="0.3">
      <c r="A951" s="96" t="s">
        <v>196</v>
      </c>
      <c r="B951" s="283"/>
      <c r="C951" s="1234">
        <f>C995/C$370</f>
        <v>0.16343066970056286</v>
      </c>
      <c r="D951" s="1234">
        <f>D995/D$370</f>
        <v>0.13222855029919328</v>
      </c>
      <c r="E951" s="1234">
        <f>E995/E$370</f>
        <v>0.18529120660941509</v>
      </c>
      <c r="F951" s="1234">
        <f>F995/F$370</f>
        <v>0.14879850322541915</v>
      </c>
      <c r="G951" s="238"/>
      <c r="H951" s="238"/>
      <c r="I951" s="238"/>
      <c r="J951" s="238"/>
      <c r="K951" s="1234">
        <f>K995/K$370</f>
        <v>0.14480653639269009</v>
      </c>
      <c r="L951" s="25">
        <f>L995/(L$370+J$370+I$370+H$370)</f>
        <v>0.13858818785337709</v>
      </c>
      <c r="M951" s="25">
        <f>M995/(M$370+L$370+J$370+I$370)</f>
        <v>0.14742437465663946</v>
      </c>
      <c r="N951" s="25">
        <f>N995/(N$370+M$370+L$370+J$370)</f>
        <v>0.15945970114683033</v>
      </c>
      <c r="O951" s="25">
        <f>O995/(O$370+N$370+M$370+L$370)</f>
        <v>0.15038272106517855</v>
      </c>
      <c r="P951" s="1234">
        <f>P995/P$370</f>
        <v>0.15038272106517855</v>
      </c>
      <c r="Q951" s="25">
        <f>Q995/(Q$370+O$370+N$370+M$370)</f>
        <v>0.13765282207953722</v>
      </c>
      <c r="R951" s="25">
        <f>R995/(R$370+Q$370+O$370+N$370)</f>
        <v>0.13784661634331891</v>
      </c>
      <c r="S951" s="25">
        <f>S995/(S$370+R$370+Q$370+O$370)</f>
        <v>0.13241117691004009</v>
      </c>
      <c r="T951" s="25">
        <f>T995/(T$370+S$370+R$370+Q$370)</f>
        <v>0.12879111490815889</v>
      </c>
      <c r="U951" s="1234">
        <f>U995/U$370</f>
        <v>0.12879111490815889</v>
      </c>
      <c r="V951" s="25">
        <f>V995/(V$370+T$370+S$370+R$370)</f>
        <v>0.13974630021141649</v>
      </c>
      <c r="W951" s="25">
        <f>W995/(W$370+V$370+T$370+S$370)</f>
        <v>0.13786610878661087</v>
      </c>
      <c r="X951" s="25">
        <f>X995/(X$370+W$370+V$370+T$370)</f>
        <v>0.11522633744855967</v>
      </c>
      <c r="Y951" s="25">
        <f>Y995/(Y$370+X$370+W$370+V$370)</f>
        <v>0.1281437125748503</v>
      </c>
      <c r="Z951" s="1234">
        <f>Z995/Z$370</f>
        <v>0.1281437125748503</v>
      </c>
      <c r="AA951" s="25">
        <f>AA995/(AA$370+Y$370+X$370+W$370)</f>
        <v>0.12316034082106894</v>
      </c>
      <c r="AB951" s="25">
        <f>AB995/(AB$370+AA$370+Y$370+X$370)</f>
        <v>0.10222467365324509</v>
      </c>
      <c r="AC951" s="25">
        <f>AC995/(AC$370+AB$370+AA$370+Y$370)</f>
        <v>8.2600195503421306E-2</v>
      </c>
      <c r="AD951" s="25">
        <f>AD995/(AD$370+AC$370+AB$370+AA$370)</f>
        <v>7.3371924746743852E-2</v>
      </c>
      <c r="AE951" s="1234">
        <f>AE995/AE$370</f>
        <v>7.3371924746743852E-2</v>
      </c>
      <c r="AF951" s="25">
        <f>AF995/(AF$370+AD$370+AC$370+AB$370)</f>
        <v>5.5688146380270483E-2</v>
      </c>
      <c r="AG951" s="25">
        <f>AG995/(AG$370+AF$370+AD$370+AC$370)</f>
        <v>6.1960690316395013E-2</v>
      </c>
      <c r="AH951" s="25">
        <f>AH995/(AH$370+AG$370+AF$370+AD$370)</f>
        <v>5.4924242424242424E-2</v>
      </c>
      <c r="AI951" s="25">
        <f>AI995/(AI$370+AH$370+AG$370+AF$370)</f>
        <v>5.579575869878526E-2</v>
      </c>
      <c r="AJ951" s="1234">
        <f>AJ995/AJ$370</f>
        <v>5.579575869878526E-2</v>
      </c>
      <c r="AK951" s="25">
        <f>AK995/(AK$370+AI$370+AH$370+AG$370)</f>
        <v>4.2698470502549164E-2</v>
      </c>
      <c r="AL951" s="25">
        <f>AL995/(AL$370+AK$370+AI$370+AH$370)</f>
        <v>5.4559232129325584E-2</v>
      </c>
      <c r="AM951" s="25">
        <f>AM995/(AM$370+AL$370+AK$370+AI$370)</f>
        <v>5.6593141201094835E-2</v>
      </c>
      <c r="AN951" s="25">
        <f>AN995/(AN$370+AM$370+AL$370+AK$370)</f>
        <v>6.9819050870604304E-2</v>
      </c>
      <c r="AO951" s="1234">
        <f>AO995/AO$370</f>
        <v>6.9819050870604304E-2</v>
      </c>
      <c r="AP951" s="25">
        <f>AP995/(AP$370+AN$370+AM$370+AL$370)</f>
        <v>6.8505918538540406E-2</v>
      </c>
      <c r="AQ951" s="25">
        <f>AQ995/(AQ$370+AP$370+AN$370+AM$370)</f>
        <v>7.8154148257241041E-2</v>
      </c>
      <c r="AR951" s="25">
        <f>AR995/(AR$370+AQ$370+AP$370+AN$370)</f>
        <v>7.9357157117189062E-2</v>
      </c>
      <c r="AS951" s="25">
        <f>AS995/(AS$370+AR$370+AQ$370+AP$370)</f>
        <v>9.2141417842095619E-2</v>
      </c>
      <c r="AT951" s="1234">
        <f>AT995/AT$370</f>
        <v>9.2141417842095619E-2</v>
      </c>
      <c r="AU951" s="25">
        <f>AU995/(AU$370+AS$370+AR$370+AQ$370)</f>
        <v>8.8470028867379855E-2</v>
      </c>
      <c r="AV951" s="25">
        <f>AV995/(AV$370+AU$370+AS$370+AR$370)</f>
        <v>0.10662074244163797</v>
      </c>
      <c r="AW951" s="25">
        <f>AW995/(AW$370+AV$370+AU$370+AS$370)</f>
        <v>9.8666847127292415E-2</v>
      </c>
      <c r="AX951" s="25">
        <f>AX995/(AX$370+AW$370+AV$370+AU$370)</f>
        <v>9.6191904047976007E-2</v>
      </c>
      <c r="AY951" s="1234">
        <f>AY995/AY$370</f>
        <v>9.6191904047976007E-2</v>
      </c>
      <c r="AZ951" s="25">
        <f>AZ995/(AZ$370+AX$370+AW$370+AV$370)</f>
        <v>8.5791441628583293E-2</v>
      </c>
      <c r="BA951" s="25">
        <f>BA995/(BA$370+AZ$370+AX$370+AW$370)</f>
        <v>8.4121112481161803E-2</v>
      </c>
      <c r="BB951" s="25">
        <f>BB995/(BB$370+BA$370+AZ$370+AX$370)</f>
        <v>7.4482985910851118E-2</v>
      </c>
      <c r="BC951" s="25">
        <f>BC995/(BC$370+BB$370+BA$370+AZ$370)</f>
        <v>8.9470164226796461E-2</v>
      </c>
      <c r="BD951" s="1234">
        <f>BD995/BD$370</f>
        <v>8.9470164226796461E-2</v>
      </c>
      <c r="BE951" s="25">
        <f>BE995/(BE$370+BC$370+BB$370+BA$370)</f>
        <v>0.11563589587353171</v>
      </c>
      <c r="BF951" s="25">
        <f>BF995/(BF$370+BE$370+BC$370+BB$370)</f>
        <v>0.12637030062546237</v>
      </c>
      <c r="BG951" s="25">
        <f>BG995/(BG$370+BF$370+BE$370+BC$370)</f>
        <v>0.13859133235314711</v>
      </c>
      <c r="BH951" s="25">
        <f>BH995/(BH$370+BG$370+BF$370+BE$370)</f>
        <v>0.14621487358196783</v>
      </c>
      <c r="BI951" s="1234">
        <f>BI995/BI$370</f>
        <v>0.14621487358196783</v>
      </c>
      <c r="BJ951" s="25">
        <f>BJ995/(BJ$370+BH$370+BG$370+BF$370)</f>
        <v>0.18092588298941187</v>
      </c>
      <c r="BK951" s="25">
        <f>BK995/(BK$370+BJ$370+BH$370+BG$370)</f>
        <v>0.21260059361708639</v>
      </c>
      <c r="BL951" s="25">
        <f>BL995/(BL$370+BK$370+BJ$370+BH$370)</f>
        <v>0.11682638734120794</v>
      </c>
      <c r="BM951" s="25">
        <f>BM995/(BM$370+BL$370+BK$370+BJ$370)</f>
        <v>0.10593874134138735</v>
      </c>
      <c r="BN951" s="1234">
        <f>BN995/BN$370</f>
        <v>0.10593874134138735</v>
      </c>
      <c r="BO951" s="25">
        <f>BO995/(BO$370+BM$370+BL$370+BK$370)</f>
        <v>0.13803996289517889</v>
      </c>
      <c r="BP951" s="25">
        <f>BP995/(BP$370+BO$370+BM$370+BL$370)</f>
        <v>0.10423956721733622</v>
      </c>
      <c r="BQ951" s="25">
        <f>BQ995/(BQ$370+BP$370+BO$370+BM$370)</f>
        <v>9.5816154464151704E-2</v>
      </c>
      <c r="BR951" s="25">
        <f>BR995/(BR$370+BQ$370+BP$370+BO$370)</f>
        <v>8.7733817635654465E-2</v>
      </c>
      <c r="BS951" s="1234">
        <f>BS995/BS$370</f>
        <v>8.7733817635654465E-2</v>
      </c>
      <c r="BT951" s="25">
        <f>BT995/(BT$370+BR$370+BQ$370+BP$370)</f>
        <v>0.12733393933272733</v>
      </c>
      <c r="BU951" s="25">
        <f>BU995/(BU$370+BT$370+BR$370+BQ$370)</f>
        <v>9.013545739568328E-2</v>
      </c>
      <c r="BV951" s="25">
        <f>BV995/(BV$370+BU$370+BT$370+BR$370)</f>
        <v>8.6089707281102046E-2</v>
      </c>
      <c r="BW951" s="25">
        <f>BW995/(BW$370+BV$370+BU$370+BT$370)</f>
        <v>9.7157517435560212E-2</v>
      </c>
      <c r="BX951" s="1234">
        <f>BX995/BX$370</f>
        <v>9.7157517435560212E-2</v>
      </c>
      <c r="BY951" s="950">
        <f>BY995/(BY$370+BW$370+BV$370+BU$370)</f>
        <v>0.11566880086472497</v>
      </c>
      <c r="BZ951" s="238">
        <f t="shared" si="2290"/>
        <v>9.013545739568328E-2</v>
      </c>
      <c r="CA951" s="238">
        <f t="shared" si="2290"/>
        <v>8.6089707281102046E-2</v>
      </c>
      <c r="CB951" s="238">
        <f t="shared" si="2290"/>
        <v>9.7157517435560212E-2</v>
      </c>
      <c r="CC951" s="1147">
        <f>CC995/CC$370</f>
        <v>9.7157517435560212E-2</v>
      </c>
      <c r="CD951" s="238">
        <f t="shared" si="2291"/>
        <v>0.11566880086472497</v>
      </c>
      <c r="CE951" s="238">
        <f t="shared" si="2291"/>
        <v>9.013545739568328E-2</v>
      </c>
      <c r="CF951" s="238">
        <f t="shared" si="2291"/>
        <v>8.6089707281102046E-2</v>
      </c>
      <c r="CG951" s="238">
        <f t="shared" si="2291"/>
        <v>9.7157517435560212E-2</v>
      </c>
      <c r="CH951" s="1147">
        <f>CH995/CH$370</f>
        <v>9.7157517435560212E-2</v>
      </c>
      <c r="CI951" s="1147">
        <f t="shared" si="2292"/>
        <v>9.7157517435560212E-2</v>
      </c>
      <c r="CJ951" s="1147">
        <f t="shared" si="2292"/>
        <v>9.7157517435560212E-2</v>
      </c>
      <c r="CK951" s="1147">
        <f t="shared" si="2292"/>
        <v>9.7157517435560212E-2</v>
      </c>
      <c r="CL951" s="332"/>
    </row>
    <row r="952" spans="1:90" x14ac:dyDescent="0.3">
      <c r="A952" s="581"/>
      <c r="B952" s="283"/>
      <c r="C952" s="1147"/>
      <c r="D952" s="1147"/>
      <c r="E952" s="1147"/>
      <c r="F952" s="1147"/>
      <c r="G952" s="238"/>
      <c r="H952" s="238"/>
      <c r="I952" s="238"/>
      <c r="J952" s="238"/>
      <c r="K952" s="1147"/>
      <c r="L952" s="238"/>
      <c r="M952" s="238"/>
      <c r="N952" s="238"/>
      <c r="O952" s="238"/>
      <c r="P952" s="1147"/>
      <c r="Q952" s="238"/>
      <c r="R952" s="238"/>
      <c r="S952" s="238"/>
      <c r="T952" s="238"/>
      <c r="U952" s="1147"/>
      <c r="V952" s="238"/>
      <c r="W952" s="238"/>
      <c r="X952" s="238"/>
      <c r="Y952" s="238"/>
      <c r="Z952" s="1147"/>
      <c r="AA952" s="238"/>
      <c r="AB952" s="238"/>
      <c r="AC952" s="238"/>
      <c r="AD952" s="238"/>
      <c r="AE952" s="1147"/>
      <c r="AF952" s="238"/>
      <c r="AG952" s="238"/>
      <c r="AH952" s="238"/>
      <c r="AI952" s="238"/>
      <c r="AJ952" s="1147"/>
      <c r="AK952" s="238"/>
      <c r="AL952" s="238"/>
      <c r="AM952" s="238"/>
      <c r="AN952" s="238"/>
      <c r="AO952" s="1147"/>
      <c r="AP952" s="238"/>
      <c r="AQ952" s="238"/>
      <c r="AR952" s="238"/>
      <c r="AS952" s="238"/>
      <c r="AT952" s="1147"/>
      <c r="AU952" s="238"/>
      <c r="AV952" s="238"/>
      <c r="AW952" s="238"/>
      <c r="AX952" s="238"/>
      <c r="AY952" s="1147"/>
      <c r="AZ952" s="238"/>
      <c r="BA952" s="238"/>
      <c r="BB952" s="238"/>
      <c r="BC952" s="238"/>
      <c r="BD952" s="1147"/>
      <c r="BE952" s="238"/>
      <c r="BF952" s="238"/>
      <c r="BG952" s="238"/>
      <c r="BH952" s="238"/>
      <c r="BI952" s="1147"/>
      <c r="BJ952" s="238"/>
      <c r="BK952" s="238"/>
      <c r="BL952" s="238"/>
      <c r="BM952" s="238"/>
      <c r="BN952" s="1147"/>
      <c r="BO952" s="238"/>
      <c r="BP952" s="238"/>
      <c r="BQ952" s="238"/>
      <c r="BR952" s="238"/>
      <c r="BS952" s="1147"/>
      <c r="BT952" s="238"/>
      <c r="BU952" s="238"/>
      <c r="BV952" s="238"/>
      <c r="BW952" s="238"/>
      <c r="BX952" s="1147"/>
      <c r="BY952" s="931"/>
      <c r="BZ952" s="238"/>
      <c r="CA952" s="238"/>
      <c r="CB952" s="238"/>
      <c r="CC952" s="1147"/>
      <c r="CD952" s="238"/>
      <c r="CE952" s="238"/>
      <c r="CF952" s="238"/>
      <c r="CG952" s="238"/>
      <c r="CH952" s="1147"/>
      <c r="CI952" s="1147"/>
      <c r="CJ952" s="1147"/>
      <c r="CK952" s="1147"/>
      <c r="CL952" s="155"/>
    </row>
    <row r="953" spans="1:90" x14ac:dyDescent="0.3">
      <c r="A953" s="726" t="s">
        <v>197</v>
      </c>
      <c r="B953" s="625"/>
      <c r="C953" s="1193"/>
      <c r="D953" s="1193">
        <f t="shared" ref="D953:F956" si="2293">D948-C948</f>
        <v>1.9744289365032267E-2</v>
      </c>
      <c r="E953" s="1193">
        <f t="shared" si="2293"/>
        <v>-1.4291248389777106E-2</v>
      </c>
      <c r="F953" s="1193">
        <f t="shared" si="2293"/>
        <v>-1.4351330274348539E-2</v>
      </c>
      <c r="G953" s="792"/>
      <c r="H953" s="792"/>
      <c r="I953" s="792"/>
      <c r="J953" s="792"/>
      <c r="K953" s="1193">
        <f>K948-F948</f>
        <v>2.2050441173393429E-2</v>
      </c>
      <c r="L953" s="792"/>
      <c r="M953" s="792"/>
      <c r="N953" s="792"/>
      <c r="O953" s="792"/>
      <c r="P953" s="1193">
        <f t="shared" ref="P953:Y956" si="2294">P948-K948</f>
        <v>-2.8996109742090298E-3</v>
      </c>
      <c r="Q953" s="792">
        <f t="shared" si="2294"/>
        <v>1.2150257665450859E-2</v>
      </c>
      <c r="R953" s="792">
        <f t="shared" si="2294"/>
        <v>8.0870875082145882E-3</v>
      </c>
      <c r="S953" s="792">
        <f t="shared" si="2294"/>
        <v>1.3772544774814863E-2</v>
      </c>
      <c r="T953" s="792">
        <f t="shared" si="2294"/>
        <v>-1.9913043735316077E-3</v>
      </c>
      <c r="U953" s="1193">
        <f t="shared" si="2294"/>
        <v>-1.9913043735316077E-3</v>
      </c>
      <c r="V953" s="792">
        <f t="shared" si="2294"/>
        <v>3.5346609817303587E-3</v>
      </c>
      <c r="W953" s="792">
        <f t="shared" si="2294"/>
        <v>8.9984733662629157E-4</v>
      </c>
      <c r="X953" s="792">
        <f t="shared" si="2294"/>
        <v>-1.2853607405609535E-2</v>
      </c>
      <c r="Y953" s="792">
        <f t="shared" si="2294"/>
        <v>-4.4038364961661303E-4</v>
      </c>
      <c r="Z953" s="1193">
        <f t="shared" ref="Z953:AI956" si="2295">Z948-U948</f>
        <v>-4.4038364961661303E-4</v>
      </c>
      <c r="AA953" s="792">
        <f t="shared" si="2295"/>
        <v>5.0835758372731604E-3</v>
      </c>
      <c r="AB953" s="792">
        <f t="shared" si="2295"/>
        <v>1.0872737650980333E-2</v>
      </c>
      <c r="AC953" s="792">
        <f t="shared" si="2295"/>
        <v>2.5423892448982063E-2</v>
      </c>
      <c r="AD953" s="792">
        <f t="shared" si="2295"/>
        <v>1.8738499845461026E-2</v>
      </c>
      <c r="AE953" s="1193">
        <f t="shared" si="2295"/>
        <v>1.8738499845461026E-2</v>
      </c>
      <c r="AF953" s="792">
        <f t="shared" si="2295"/>
        <v>2.8130565913250902E-2</v>
      </c>
      <c r="AG953" s="792">
        <f t="shared" si="2295"/>
        <v>2.6969802976514384E-2</v>
      </c>
      <c r="AH953" s="792">
        <f t="shared" si="2295"/>
        <v>-5.6985893086462514E-3</v>
      </c>
      <c r="AI953" s="792">
        <f t="shared" si="2295"/>
        <v>1.0687515326172237E-2</v>
      </c>
      <c r="AJ953" s="1193">
        <f t="shared" ref="AJ953:AS956" si="2296">AJ948-AE948</f>
        <v>1.0687515326172237E-2</v>
      </c>
      <c r="AK953" s="792">
        <f t="shared" si="2296"/>
        <v>-1.833799670618512E-2</v>
      </c>
      <c r="AL953" s="792">
        <f t="shared" si="2296"/>
        <v>-5.4395945304180904E-3</v>
      </c>
      <c r="AM953" s="792">
        <f t="shared" si="2296"/>
        <v>4.862131142177456E-2</v>
      </c>
      <c r="AN953" s="792">
        <f t="shared" si="2296"/>
        <v>-8.6812295636072567E-3</v>
      </c>
      <c r="AO953" s="1193">
        <f t="shared" si="2296"/>
        <v>-8.6812295636072567E-3</v>
      </c>
      <c r="AP953" s="792">
        <f t="shared" si="2296"/>
        <v>4.6903733148452309E-3</v>
      </c>
      <c r="AQ953" s="792">
        <f t="shared" si="2296"/>
        <v>1.3330277960781872E-2</v>
      </c>
      <c r="AR953" s="792">
        <f t="shared" si="2296"/>
        <v>-3.3396109832763116E-2</v>
      </c>
      <c r="AS953" s="792">
        <f t="shared" si="2296"/>
        <v>3.0224534224556482E-2</v>
      </c>
      <c r="AT953" s="1193">
        <f t="shared" ref="AT953:BC956" si="2297">AT948-AO948</f>
        <v>3.0224534224556482E-2</v>
      </c>
      <c r="AU953" s="792">
        <f t="shared" si="2297"/>
        <v>4.6151017865051561E-2</v>
      </c>
      <c r="AV953" s="792">
        <f t="shared" si="2297"/>
        <v>6.2455367886972701E-3</v>
      </c>
      <c r="AW953" s="792">
        <f t="shared" si="2297"/>
        <v>2.7056211859189438E-2</v>
      </c>
      <c r="AX953" s="792">
        <f t="shared" si="2297"/>
        <v>-6.1005566094036456E-3</v>
      </c>
      <c r="AY953" s="1193">
        <f t="shared" si="2297"/>
        <v>-6.1005566094036456E-3</v>
      </c>
      <c r="AZ953" s="792">
        <f t="shared" si="2297"/>
        <v>-4.8700784482458848E-3</v>
      </c>
      <c r="BA953" s="792">
        <f t="shared" si="2297"/>
        <v>4.2565844358361249E-3</v>
      </c>
      <c r="BB953" s="792">
        <f t="shared" si="2297"/>
        <v>-9.4044470939361191E-3</v>
      </c>
      <c r="BC953" s="792">
        <f t="shared" si="2297"/>
        <v>2.7105368323492252E-2</v>
      </c>
      <c r="BD953" s="1193">
        <f t="shared" ref="BD953:BL956" si="2298">BD948-AY948</f>
        <v>2.7105368323492252E-2</v>
      </c>
      <c r="BE953" s="792">
        <f t="shared" si="2298"/>
        <v>2.704117774136508E-2</v>
      </c>
      <c r="BF953" s="792">
        <f t="shared" si="2298"/>
        <v>1.502808195424743E-2</v>
      </c>
      <c r="BG953" s="792">
        <f t="shared" si="2298"/>
        <v>8.9223090642144842E-3</v>
      </c>
      <c r="BH953" s="792">
        <f t="shared" si="2298"/>
        <v>-3.0895171353318651E-2</v>
      </c>
      <c r="BI953" s="1193">
        <f t="shared" si="2298"/>
        <v>-3.0895171353318651E-2</v>
      </c>
      <c r="BJ953" s="792">
        <f t="shared" si="2298"/>
        <v>-2.6420259022476633E-2</v>
      </c>
      <c r="BK953" s="792">
        <f t="shared" si="2298"/>
        <v>3.7416446255808727E-2</v>
      </c>
      <c r="BL953" s="792">
        <f t="shared" si="2298"/>
        <v>1.3366762773850599E-2</v>
      </c>
      <c r="BM953" s="792">
        <f t="shared" ref="BM953:BM956" si="2299">BM948-BH948</f>
        <v>2.2250537863814479E-2</v>
      </c>
      <c r="BN953" s="1193">
        <f t="shared" ref="BN953:BO956" si="2300">BN948-BI948</f>
        <v>2.2250537863814479E-2</v>
      </c>
      <c r="BO953" s="792">
        <f t="shared" si="2300"/>
        <v>-2.6625036037494498E-3</v>
      </c>
      <c r="BP953" s="792">
        <f t="shared" ref="BP953:BQ956" si="2301">BP948-BK948</f>
        <v>-6.9472180242657999E-2</v>
      </c>
      <c r="BQ953" s="792">
        <f t="shared" si="2301"/>
        <v>-2.8976032907952393E-2</v>
      </c>
      <c r="BR953" s="792">
        <f t="shared" ref="BR953:BS956" si="2302">BR948-BM948</f>
        <v>1.2619456926036637E-2</v>
      </c>
      <c r="BS953" s="1193">
        <f t="shared" si="2302"/>
        <v>1.2619456926036637E-2</v>
      </c>
      <c r="BT953" s="792">
        <f t="shared" ref="BT953:BU956" si="2303">BT948-BO948</f>
        <v>-5.9783917510271845E-3</v>
      </c>
      <c r="BU953" s="792">
        <f t="shared" si="2303"/>
        <v>2.1571884851433992E-2</v>
      </c>
      <c r="BV953" s="792">
        <f t="shared" ref="BV953:BX956" si="2304">BV948-BQ948</f>
        <v>2.2222633789717505E-2</v>
      </c>
      <c r="BW953" s="792">
        <f t="shared" si="2304"/>
        <v>1.387106345407646E-3</v>
      </c>
      <c r="BX953" s="1193">
        <f t="shared" si="2304"/>
        <v>1.387106345407646E-3</v>
      </c>
      <c r="BY953" s="925">
        <f>BY948-BT948</f>
        <v>1.1575433348449543E-2</v>
      </c>
      <c r="BZ953" s="1090">
        <v>0</v>
      </c>
      <c r="CA953" s="1090">
        <v>0</v>
      </c>
      <c r="CB953" s="1090">
        <v>0</v>
      </c>
      <c r="CC953" s="1193">
        <f>CC948-BX948</f>
        <v>0</v>
      </c>
      <c r="CD953" s="1090">
        <v>0</v>
      </c>
      <c r="CE953" s="1090">
        <v>0</v>
      </c>
      <c r="CF953" s="1090">
        <v>0</v>
      </c>
      <c r="CG953" s="1090">
        <v>0</v>
      </c>
      <c r="CH953" s="1193">
        <f>CH948-CC948</f>
        <v>0</v>
      </c>
      <c r="CI953" s="1235">
        <v>0</v>
      </c>
      <c r="CJ953" s="1235">
        <v>0</v>
      </c>
      <c r="CK953" s="1235">
        <v>0</v>
      </c>
      <c r="CL953" s="155"/>
    </row>
    <row r="954" spans="1:90" x14ac:dyDescent="0.3">
      <c r="A954" s="726" t="s">
        <v>198</v>
      </c>
      <c r="B954" s="625"/>
      <c r="C954" s="1193"/>
      <c r="D954" s="1193">
        <f t="shared" si="2293"/>
        <v>-8.5138606707533898E-2</v>
      </c>
      <c r="E954" s="1193">
        <f t="shared" si="2293"/>
        <v>8.0615687795815294E-3</v>
      </c>
      <c r="F954" s="1193">
        <f t="shared" si="2293"/>
        <v>1.3385526227738781E-2</v>
      </c>
      <c r="G954" s="792"/>
      <c r="H954" s="792"/>
      <c r="I954" s="792"/>
      <c r="J954" s="792"/>
      <c r="K954" s="1193">
        <f>K949-F949</f>
        <v>2.5546420558244021E-2</v>
      </c>
      <c r="L954" s="792"/>
      <c r="M954" s="792"/>
      <c r="N954" s="792"/>
      <c r="O954" s="792"/>
      <c r="P954" s="1193">
        <f t="shared" si="2294"/>
        <v>7.377686134353828E-3</v>
      </c>
      <c r="Q954" s="792">
        <f t="shared" si="2294"/>
        <v>1.8128797243258138E-2</v>
      </c>
      <c r="R954" s="792">
        <f t="shared" si="2294"/>
        <v>2.5852334019815515E-3</v>
      </c>
      <c r="S954" s="792">
        <f t="shared" si="2294"/>
        <v>-6.2242597420340551E-3</v>
      </c>
      <c r="T954" s="792">
        <f t="shared" si="2294"/>
        <v>2.3669836479060707E-2</v>
      </c>
      <c r="U954" s="1193">
        <f t="shared" si="2294"/>
        <v>2.3669836479060707E-2</v>
      </c>
      <c r="V954" s="792">
        <f t="shared" si="2294"/>
        <v>6.0975359666820828E-3</v>
      </c>
      <c r="W954" s="792">
        <f t="shared" si="2294"/>
        <v>1.2395312942647757E-2</v>
      </c>
      <c r="X954" s="792">
        <f t="shared" si="2294"/>
        <v>3.0217722277633974E-4</v>
      </c>
      <c r="Y954" s="792">
        <f t="shared" si="2294"/>
        <v>-4.1704215895653401E-2</v>
      </c>
      <c r="Z954" s="1193">
        <f t="shared" si="2295"/>
        <v>-4.1790697425639955E-2</v>
      </c>
      <c r="AA954" s="792">
        <f t="shared" si="2295"/>
        <v>-3.5574284844873932E-2</v>
      </c>
      <c r="AB954" s="792">
        <f t="shared" si="2295"/>
        <v>1.4621735855127993E-2</v>
      </c>
      <c r="AC954" s="792">
        <f t="shared" si="2295"/>
        <v>6.3775199946942224E-2</v>
      </c>
      <c r="AD954" s="792">
        <f t="shared" si="2295"/>
        <v>8.8717175271577131E-2</v>
      </c>
      <c r="AE954" s="1193">
        <f t="shared" si="2295"/>
        <v>8.8803656801563685E-2</v>
      </c>
      <c r="AF954" s="792">
        <f t="shared" si="2295"/>
        <v>9.1758086633863034E-2</v>
      </c>
      <c r="AG954" s="792">
        <f t="shared" si="2295"/>
        <v>2.8092211107233311E-2</v>
      </c>
      <c r="AH954" s="792">
        <f t="shared" si="2295"/>
        <v>-2.7800240565875961E-2</v>
      </c>
      <c r="AI954" s="792">
        <f t="shared" si="2295"/>
        <v>-7.4367963103549956E-2</v>
      </c>
      <c r="AJ954" s="1193">
        <f t="shared" si="2296"/>
        <v>-7.4367963103549956E-2</v>
      </c>
      <c r="AK954" s="792">
        <f t="shared" si="2296"/>
        <v>-7.8763908099440616E-2</v>
      </c>
      <c r="AL954" s="792">
        <f t="shared" si="2296"/>
        <v>-6.8519711156992957E-3</v>
      </c>
      <c r="AM954" s="792">
        <f t="shared" si="2296"/>
        <v>6.960720073963253E-2</v>
      </c>
      <c r="AN954" s="792">
        <f t="shared" si="2296"/>
        <v>0.14201255685691896</v>
      </c>
      <c r="AO954" s="1193">
        <f t="shared" si="2296"/>
        <v>0.14201255685691896</v>
      </c>
      <c r="AP954" s="792">
        <f t="shared" si="2296"/>
        <v>0.14153572058256952</v>
      </c>
      <c r="AQ954" s="792">
        <f t="shared" si="2296"/>
        <v>4.1132429631894563E-2</v>
      </c>
      <c r="AR954" s="792">
        <f t="shared" si="2296"/>
        <v>-4.6264265847593355E-2</v>
      </c>
      <c r="AS954" s="792">
        <f t="shared" si="2296"/>
        <v>-0.1106310390075152</v>
      </c>
      <c r="AT954" s="1193">
        <f t="shared" si="2297"/>
        <v>-0.1106310390075152</v>
      </c>
      <c r="AU954" s="792">
        <f t="shared" si="2297"/>
        <v>-6.7126627821207818E-2</v>
      </c>
      <c r="AV954" s="792">
        <f t="shared" si="2297"/>
        <v>3.2604292247694899E-3</v>
      </c>
      <c r="AW954" s="792">
        <f t="shared" si="2297"/>
        <v>1.267734989135888E-2</v>
      </c>
      <c r="AX954" s="792">
        <f t="shared" si="2297"/>
        <v>5.4907024178894259E-2</v>
      </c>
      <c r="AY954" s="1193">
        <f t="shared" si="2297"/>
        <v>5.4907024178894259E-2</v>
      </c>
      <c r="AZ954" s="792">
        <f t="shared" si="2297"/>
        <v>1.3124639156278706E-2</v>
      </c>
      <c r="BA954" s="792">
        <f t="shared" si="2297"/>
        <v>-2.2187437709710656E-2</v>
      </c>
      <c r="BB954" s="792">
        <f t="shared" si="2297"/>
        <v>-1.2296959511596983E-2</v>
      </c>
      <c r="BC954" s="792">
        <f t="shared" si="2297"/>
        <v>-1.4857248806217083E-2</v>
      </c>
      <c r="BD954" s="1193">
        <f t="shared" si="2298"/>
        <v>-1.4828013358624104E-2</v>
      </c>
      <c r="BE954" s="792">
        <f t="shared" si="2298"/>
        <v>3.2806172032028902E-2</v>
      </c>
      <c r="BF954" s="792">
        <f t="shared" si="2298"/>
        <v>6.4259999053814632E-2</v>
      </c>
      <c r="BG954" s="792">
        <f t="shared" si="2298"/>
        <v>0.11142143237658786</v>
      </c>
      <c r="BH954" s="792">
        <f t="shared" si="2298"/>
        <v>0.16809894275685594</v>
      </c>
      <c r="BI954" s="1193">
        <f t="shared" si="2298"/>
        <v>0.16806970730926296</v>
      </c>
      <c r="BJ954" s="792">
        <f t="shared" si="2298"/>
        <v>9.9738185324633577E-2</v>
      </c>
      <c r="BK954" s="792">
        <f t="shared" si="2298"/>
        <v>4.2942552593687677E-2</v>
      </c>
      <c r="BL954" s="792">
        <f t="shared" si="2298"/>
        <v>-1.6517280947901614E-2</v>
      </c>
      <c r="BM954" s="792">
        <f t="shared" si="2299"/>
        <v>-0.1262615859415549</v>
      </c>
      <c r="BN954" s="1193">
        <f t="shared" si="2300"/>
        <v>-0.1262615859415549</v>
      </c>
      <c r="BO954" s="792">
        <f t="shared" si="2300"/>
        <v>-0.11043412412818082</v>
      </c>
      <c r="BP954" s="792">
        <f t="shared" si="2301"/>
        <v>-8.5072189246217345E-2</v>
      </c>
      <c r="BQ954" s="792">
        <f t="shared" si="2301"/>
        <v>-7.3357783007607813E-2</v>
      </c>
      <c r="BR954" s="792">
        <f t="shared" si="2302"/>
        <v>-8.9482930640949476E-3</v>
      </c>
      <c r="BS954" s="1193">
        <f t="shared" si="2302"/>
        <v>-8.9577554389710934E-3</v>
      </c>
      <c r="BT954" s="792">
        <f t="shared" si="2303"/>
        <v>-4.2156253256652509E-2</v>
      </c>
      <c r="BU954" s="792">
        <f t="shared" si="2303"/>
        <v>1.1821802106555868E-2</v>
      </c>
      <c r="BV954" s="792">
        <f t="shared" si="2304"/>
        <v>7.3041229367577454E-2</v>
      </c>
      <c r="BW954" s="792">
        <f t="shared" si="2304"/>
        <v>3.3742580431890878E-2</v>
      </c>
      <c r="BX954" s="1193">
        <f t="shared" si="2304"/>
        <v>3.3752042806767024E-2</v>
      </c>
      <c r="BY954" s="925">
        <f>BY949-BT949</f>
        <v>0.13833071792530544</v>
      </c>
      <c r="BZ954" s="1090">
        <v>0</v>
      </c>
      <c r="CA954" s="1090">
        <v>0</v>
      </c>
      <c r="CB954" s="1090">
        <v>0</v>
      </c>
      <c r="CC954" s="1193">
        <f>CC949-BX949</f>
        <v>0</v>
      </c>
      <c r="CD954" s="1090">
        <v>0</v>
      </c>
      <c r="CE954" s="1090">
        <v>0</v>
      </c>
      <c r="CF954" s="1090">
        <v>0</v>
      </c>
      <c r="CG954" s="1090">
        <v>0</v>
      </c>
      <c r="CH954" s="1193">
        <f>CH949-CC949</f>
        <v>0</v>
      </c>
      <c r="CI954" s="1235">
        <v>0</v>
      </c>
      <c r="CJ954" s="1235">
        <v>0</v>
      </c>
      <c r="CK954" s="1235">
        <v>0</v>
      </c>
      <c r="CL954" s="155"/>
    </row>
    <row r="955" spans="1:90" x14ac:dyDescent="0.3">
      <c r="A955" s="726" t="s">
        <v>199</v>
      </c>
      <c r="B955" s="625"/>
      <c r="C955" s="1193"/>
      <c r="D955" s="1193">
        <f t="shared" si="2293"/>
        <v>6.3033362327594752E-2</v>
      </c>
      <c r="E955" s="1193">
        <f t="shared" si="2293"/>
        <v>-2.6209223922501856E-2</v>
      </c>
      <c r="F955" s="1193">
        <f t="shared" si="2293"/>
        <v>3.8520291565601328E-2</v>
      </c>
      <c r="G955" s="792"/>
      <c r="H955" s="792"/>
      <c r="I955" s="792"/>
      <c r="J955" s="792"/>
      <c r="K955" s="1193">
        <f>K950-F950</f>
        <v>9.5245232905216692E-4</v>
      </c>
      <c r="L955" s="792"/>
      <c r="M955" s="792"/>
      <c r="N955" s="792"/>
      <c r="O955" s="792"/>
      <c r="P955" s="1193">
        <f t="shared" si="2294"/>
        <v>6.3483908470332584E-4</v>
      </c>
      <c r="Q955" s="792">
        <f t="shared" si="2294"/>
        <v>-1.3209631425497026E-3</v>
      </c>
      <c r="R955" s="792">
        <f t="shared" si="2294"/>
        <v>-2.627472537226147E-2</v>
      </c>
      <c r="S955" s="792">
        <f t="shared" si="2294"/>
        <v>-1.9802979002323945E-2</v>
      </c>
      <c r="T955" s="792">
        <f t="shared" si="2294"/>
        <v>-3.3516603846070497E-2</v>
      </c>
      <c r="U955" s="1193">
        <f t="shared" si="2294"/>
        <v>-3.3516603846070497E-2</v>
      </c>
      <c r="V955" s="792">
        <f t="shared" si="2294"/>
        <v>-5.3876383870674352E-2</v>
      </c>
      <c r="W955" s="792">
        <f t="shared" si="2294"/>
        <v>-1.454486923050391E-3</v>
      </c>
      <c r="X955" s="792">
        <f t="shared" si="2294"/>
        <v>-2.158962130128167E-2</v>
      </c>
      <c r="Y955" s="792">
        <f t="shared" si="2294"/>
        <v>-5.9946261101503084E-3</v>
      </c>
      <c r="Z955" s="1193">
        <f t="shared" si="2295"/>
        <v>-6.0558666194230892E-3</v>
      </c>
      <c r="AA955" s="792">
        <f t="shared" si="2295"/>
        <v>3.5341589335897247E-2</v>
      </c>
      <c r="AB955" s="792">
        <f t="shared" si="2295"/>
        <v>5.0155747561005909E-2</v>
      </c>
      <c r="AC955" s="792">
        <f t="shared" si="2295"/>
        <v>6.4249755990366475E-2</v>
      </c>
      <c r="AD955" s="792">
        <f t="shared" si="2295"/>
        <v>3.5686879505045455E-2</v>
      </c>
      <c r="AE955" s="1193">
        <f t="shared" si="2295"/>
        <v>3.5748120014318235E-2</v>
      </c>
      <c r="AF955" s="792">
        <f t="shared" si="2295"/>
        <v>-2.8982818423812215E-2</v>
      </c>
      <c r="AG955" s="792">
        <f t="shared" si="2295"/>
        <v>-5.4459886163283538E-2</v>
      </c>
      <c r="AH955" s="792">
        <f t="shared" si="2295"/>
        <v>-6.2241339818987107E-2</v>
      </c>
      <c r="AI955" s="792">
        <f t="shared" si="2295"/>
        <v>-1.7220124246831642E-2</v>
      </c>
      <c r="AJ955" s="1193">
        <f t="shared" si="2296"/>
        <v>-1.7220124246831642E-2</v>
      </c>
      <c r="AK955" s="792">
        <f t="shared" si="2296"/>
        <v>3.380846297905675E-2</v>
      </c>
      <c r="AL955" s="792">
        <f t="shared" si="2296"/>
        <v>5.2670072000286228E-2</v>
      </c>
      <c r="AM955" s="792">
        <f t="shared" si="2296"/>
        <v>5.376359322937993E-2</v>
      </c>
      <c r="AN955" s="792">
        <f t="shared" si="2296"/>
        <v>-4.070339202471121E-2</v>
      </c>
      <c r="AO955" s="1193">
        <f t="shared" si="2296"/>
        <v>-4.070339202471121E-2</v>
      </c>
      <c r="AP955" s="792">
        <f t="shared" si="2296"/>
        <v>-6.1807023310180592E-2</v>
      </c>
      <c r="AQ955" s="792">
        <f t="shared" si="2296"/>
        <v>-7.565696716438193E-2</v>
      </c>
      <c r="AR955" s="792">
        <f t="shared" si="2296"/>
        <v>-4.804867747064176E-2</v>
      </c>
      <c r="AS955" s="792">
        <f t="shared" si="2296"/>
        <v>5.3110925550386351E-2</v>
      </c>
      <c r="AT955" s="1193">
        <f t="shared" si="2297"/>
        <v>5.3110925550386351E-2</v>
      </c>
      <c r="AU955" s="792">
        <f t="shared" si="2297"/>
        <v>9.1906015033557636E-2</v>
      </c>
      <c r="AV955" s="792">
        <f t="shared" si="2297"/>
        <v>8.037958619881784E-2</v>
      </c>
      <c r="AW955" s="792">
        <f t="shared" si="2297"/>
        <v>5.2985690825417819E-2</v>
      </c>
      <c r="AX955" s="792">
        <f t="shared" si="2297"/>
        <v>2.5730326945622911E-2</v>
      </c>
      <c r="AY955" s="1193">
        <f t="shared" si="2297"/>
        <v>2.5730326945622911E-2</v>
      </c>
      <c r="AZ955" s="792">
        <f t="shared" si="2297"/>
        <v>-8.5461608477052364E-3</v>
      </c>
      <c r="BA955" s="792">
        <f t="shared" si="2297"/>
        <v>1.8017985282881011E-3</v>
      </c>
      <c r="BB955" s="792">
        <f t="shared" si="2297"/>
        <v>-6.0759149751540564E-3</v>
      </c>
      <c r="BC955" s="792">
        <f t="shared" si="2297"/>
        <v>-2.3953769762538879E-3</v>
      </c>
      <c r="BD955" s="1193">
        <f t="shared" si="2298"/>
        <v>-2.3753666871720036E-3</v>
      </c>
      <c r="BE955" s="792">
        <f t="shared" si="2298"/>
        <v>2.6391098905944765E-2</v>
      </c>
      <c r="BF955" s="792">
        <f t="shared" si="2298"/>
        <v>2.0096454341756664E-2</v>
      </c>
      <c r="BG955" s="792">
        <f t="shared" si="2298"/>
        <v>-6.8751940255167149E-2</v>
      </c>
      <c r="BH955" s="792">
        <f t="shared" si="2298"/>
        <v>-8.6191630608261308E-2</v>
      </c>
      <c r="BI955" s="1193">
        <f t="shared" si="2298"/>
        <v>-8.6211640897343192E-2</v>
      </c>
      <c r="BJ955" s="792">
        <f t="shared" si="2298"/>
        <v>-9.3810613178026858E-2</v>
      </c>
      <c r="BK955" s="792">
        <f t="shared" si="2298"/>
        <v>-3.8978263071607566E-2</v>
      </c>
      <c r="BL955" s="792">
        <f t="shared" si="2298"/>
        <v>5.2148326445133036E-2</v>
      </c>
      <c r="BM955" s="792">
        <f t="shared" si="2299"/>
        <v>5.9699446685329408E-2</v>
      </c>
      <c r="BN955" s="1193">
        <f t="shared" si="2300"/>
        <v>5.9699446685329408E-2</v>
      </c>
      <c r="BO955" s="792">
        <f t="shared" si="2300"/>
        <v>3.6783609154915742E-2</v>
      </c>
      <c r="BP955" s="792">
        <f t="shared" si="2301"/>
        <v>-7.7946039547517887E-3</v>
      </c>
      <c r="BQ955" s="792">
        <f t="shared" si="2301"/>
        <v>1.9834979542293019E-2</v>
      </c>
      <c r="BR955" s="792">
        <f t="shared" si="2302"/>
        <v>3.0947990090433419E-2</v>
      </c>
      <c r="BS955" s="1193">
        <f t="shared" si="2302"/>
        <v>3.0942066718859185E-2</v>
      </c>
      <c r="BT955" s="792">
        <f t="shared" si="2303"/>
        <v>2.742252641886761E-2</v>
      </c>
      <c r="BU955" s="792">
        <f t="shared" si="2303"/>
        <v>2.288279545012728E-2</v>
      </c>
      <c r="BV955" s="792">
        <f t="shared" si="2304"/>
        <v>-4.1914019220454429E-2</v>
      </c>
      <c r="BW955" s="792">
        <f t="shared" si="2304"/>
        <v>-3.6278102882797814E-2</v>
      </c>
      <c r="BX955" s="1193">
        <f t="shared" si="2304"/>
        <v>-3.6272179511223579E-2</v>
      </c>
      <c r="BY955" s="925">
        <f>BY950-BT950</f>
        <v>3.4700284478049737E-2</v>
      </c>
      <c r="BZ955" s="1090">
        <v>0</v>
      </c>
      <c r="CA955" s="1090">
        <v>0</v>
      </c>
      <c r="CB955" s="1090">
        <v>0</v>
      </c>
      <c r="CC955" s="1193">
        <f>CC950-BX950</f>
        <v>0</v>
      </c>
      <c r="CD955" s="1090">
        <v>0</v>
      </c>
      <c r="CE955" s="1090">
        <v>0</v>
      </c>
      <c r="CF955" s="1090">
        <v>0</v>
      </c>
      <c r="CG955" s="1090">
        <v>0</v>
      </c>
      <c r="CH955" s="1193">
        <f>CH950-CC950</f>
        <v>0</v>
      </c>
      <c r="CI955" s="1235">
        <v>0</v>
      </c>
      <c r="CJ955" s="1235">
        <v>0</v>
      </c>
      <c r="CK955" s="1235">
        <v>0</v>
      </c>
      <c r="CL955" s="155"/>
    </row>
    <row r="956" spans="1:90" x14ac:dyDescent="0.3">
      <c r="A956" s="726" t="s">
        <v>200</v>
      </c>
      <c r="B956" s="625"/>
      <c r="C956" s="1193"/>
      <c r="D956" s="1193">
        <f t="shared" si="2293"/>
        <v>-3.1202119401369577E-2</v>
      </c>
      <c r="E956" s="1193">
        <f t="shared" si="2293"/>
        <v>5.3062656310221806E-2</v>
      </c>
      <c r="F956" s="1193">
        <f t="shared" si="2293"/>
        <v>-3.6492703383995934E-2</v>
      </c>
      <c r="G956" s="792"/>
      <c r="H956" s="792"/>
      <c r="I956" s="792"/>
      <c r="J956" s="792"/>
      <c r="K956" s="1193">
        <f>K951-F951</f>
        <v>-3.9919668327290658E-3</v>
      </c>
      <c r="L956" s="792"/>
      <c r="M956" s="792"/>
      <c r="N956" s="792"/>
      <c r="O956" s="792"/>
      <c r="P956" s="1193">
        <f t="shared" si="2294"/>
        <v>5.5761846724884656E-3</v>
      </c>
      <c r="Q956" s="792">
        <f t="shared" si="2294"/>
        <v>-9.3536577383987463E-4</v>
      </c>
      <c r="R956" s="792">
        <f t="shared" si="2294"/>
        <v>-9.5777583133205557E-3</v>
      </c>
      <c r="S956" s="792">
        <f t="shared" si="2294"/>
        <v>-2.7048524236790245E-2</v>
      </c>
      <c r="T956" s="792">
        <f t="shared" si="2294"/>
        <v>-2.159160615701966E-2</v>
      </c>
      <c r="U956" s="1193">
        <f t="shared" si="2294"/>
        <v>-2.159160615701966E-2</v>
      </c>
      <c r="V956" s="792">
        <f t="shared" si="2294"/>
        <v>2.0934781318792672E-3</v>
      </c>
      <c r="W956" s="792">
        <f t="shared" si="2294"/>
        <v>1.9492443291968531E-5</v>
      </c>
      <c r="X956" s="792">
        <f t="shared" si="2294"/>
        <v>-1.7184839461480417E-2</v>
      </c>
      <c r="Y956" s="792">
        <f t="shared" si="2294"/>
        <v>-6.4740233330859431E-4</v>
      </c>
      <c r="Z956" s="1193">
        <f t="shared" si="2295"/>
        <v>-6.4740233330859431E-4</v>
      </c>
      <c r="AA956" s="792">
        <f t="shared" si="2295"/>
        <v>-1.6585959390347543E-2</v>
      </c>
      <c r="AB956" s="792">
        <f t="shared" si="2295"/>
        <v>-3.564143513336579E-2</v>
      </c>
      <c r="AC956" s="792">
        <f t="shared" si="2295"/>
        <v>-3.2626141945138368E-2</v>
      </c>
      <c r="AD956" s="792">
        <f t="shared" si="2295"/>
        <v>-5.4771787828106447E-2</v>
      </c>
      <c r="AE956" s="1193">
        <f t="shared" si="2295"/>
        <v>-5.4771787828106447E-2</v>
      </c>
      <c r="AF956" s="792">
        <f t="shared" si="2295"/>
        <v>-6.7472194440798466E-2</v>
      </c>
      <c r="AG956" s="792">
        <f t="shared" si="2295"/>
        <v>-4.0263983336850072E-2</v>
      </c>
      <c r="AH956" s="792">
        <f t="shared" si="2295"/>
        <v>-2.7675953079178882E-2</v>
      </c>
      <c r="AI956" s="792">
        <f t="shared" si="2295"/>
        <v>-1.7576166047958593E-2</v>
      </c>
      <c r="AJ956" s="1193">
        <f t="shared" si="2296"/>
        <v>-1.7576166047958593E-2</v>
      </c>
      <c r="AK956" s="792">
        <f t="shared" si="2296"/>
        <v>-1.2989675877721318E-2</v>
      </c>
      <c r="AL956" s="792">
        <f t="shared" si="2296"/>
        <v>-7.401458187069429E-3</v>
      </c>
      <c r="AM956" s="792">
        <f t="shared" si="2296"/>
        <v>1.6688987768524108E-3</v>
      </c>
      <c r="AN956" s="792">
        <f t="shared" si="2296"/>
        <v>1.4023292171819045E-2</v>
      </c>
      <c r="AO956" s="1193">
        <f t="shared" si="2296"/>
        <v>1.4023292171819045E-2</v>
      </c>
      <c r="AP956" s="792">
        <f t="shared" si="2296"/>
        <v>2.5807448035991241E-2</v>
      </c>
      <c r="AQ956" s="792">
        <f t="shared" si="2296"/>
        <v>2.3594916127915457E-2</v>
      </c>
      <c r="AR956" s="792">
        <f t="shared" si="2296"/>
        <v>2.2764015916094227E-2</v>
      </c>
      <c r="AS956" s="792">
        <f t="shared" si="2296"/>
        <v>2.2322366971491314E-2</v>
      </c>
      <c r="AT956" s="1193">
        <f t="shared" si="2297"/>
        <v>2.2322366971491314E-2</v>
      </c>
      <c r="AU956" s="792">
        <f t="shared" si="2297"/>
        <v>1.9964110328839449E-2</v>
      </c>
      <c r="AV956" s="792">
        <f t="shared" si="2297"/>
        <v>2.8466594184396926E-2</v>
      </c>
      <c r="AW956" s="792">
        <f t="shared" si="2297"/>
        <v>1.9309690010103353E-2</v>
      </c>
      <c r="AX956" s="792">
        <f t="shared" si="2297"/>
        <v>4.0504862058803881E-3</v>
      </c>
      <c r="AY956" s="1193">
        <f t="shared" si="2297"/>
        <v>4.0504862058803881E-3</v>
      </c>
      <c r="AZ956" s="792">
        <f t="shared" si="2297"/>
        <v>-2.678587238796562E-3</v>
      </c>
      <c r="BA956" s="792">
        <f t="shared" si="2297"/>
        <v>-2.2499629960476164E-2</v>
      </c>
      <c r="BB956" s="792">
        <f t="shared" si="2297"/>
        <v>-2.4183861216441296E-2</v>
      </c>
      <c r="BC956" s="792">
        <f t="shared" si="2297"/>
        <v>-6.7217398211795454E-3</v>
      </c>
      <c r="BD956" s="1193">
        <f t="shared" si="2298"/>
        <v>-6.7217398211795454E-3</v>
      </c>
      <c r="BE956" s="792">
        <f t="shared" si="2298"/>
        <v>2.9844454244948415E-2</v>
      </c>
      <c r="BF956" s="792">
        <f t="shared" si="2298"/>
        <v>4.2249188144300565E-2</v>
      </c>
      <c r="BG956" s="792">
        <f t="shared" si="2298"/>
        <v>6.4108346442295988E-2</v>
      </c>
      <c r="BH956" s="792">
        <f t="shared" si="2298"/>
        <v>5.6744709355171369E-2</v>
      </c>
      <c r="BI956" s="1193">
        <f t="shared" si="2298"/>
        <v>5.6744709355171369E-2</v>
      </c>
      <c r="BJ956" s="792">
        <f t="shared" si="2298"/>
        <v>6.528998711588016E-2</v>
      </c>
      <c r="BK956" s="792">
        <f t="shared" si="2298"/>
        <v>8.6230292991624019E-2</v>
      </c>
      <c r="BL956" s="792">
        <f t="shared" si="2298"/>
        <v>-2.1764945011939166E-2</v>
      </c>
      <c r="BM956" s="792">
        <f t="shared" si="2299"/>
        <v>-4.0276132240580478E-2</v>
      </c>
      <c r="BN956" s="1193">
        <f t="shared" si="2300"/>
        <v>-4.0276132240580478E-2</v>
      </c>
      <c r="BO956" s="792">
        <f t="shared" si="2300"/>
        <v>-4.2885920094232977E-2</v>
      </c>
      <c r="BP956" s="792">
        <f t="shared" si="2301"/>
        <v>-0.10836102639975016</v>
      </c>
      <c r="BQ956" s="792">
        <f t="shared" si="2301"/>
        <v>-2.1010232877056237E-2</v>
      </c>
      <c r="BR956" s="792">
        <f t="shared" si="2302"/>
        <v>-1.8204923705732887E-2</v>
      </c>
      <c r="BS956" s="1193">
        <f t="shared" si="2302"/>
        <v>-1.8204923705732887E-2</v>
      </c>
      <c r="BT956" s="792">
        <f t="shared" si="2303"/>
        <v>-1.0706023562451566E-2</v>
      </c>
      <c r="BU956" s="792">
        <f t="shared" si="2303"/>
        <v>-1.4104109821652944E-2</v>
      </c>
      <c r="BV956" s="792">
        <f t="shared" si="2304"/>
        <v>-9.7264471830496579E-3</v>
      </c>
      <c r="BW956" s="792">
        <f t="shared" si="2304"/>
        <v>9.4236997999057465E-3</v>
      </c>
      <c r="BX956" s="1193">
        <f t="shared" si="2304"/>
        <v>9.4236997999057465E-3</v>
      </c>
      <c r="BY956" s="925">
        <f>BY951-BT951</f>
        <v>-1.1665138468002351E-2</v>
      </c>
      <c r="BZ956" s="1090">
        <v>0</v>
      </c>
      <c r="CA956" s="1090">
        <v>0</v>
      </c>
      <c r="CB956" s="1090">
        <v>0</v>
      </c>
      <c r="CC956" s="1193">
        <f>CC951-BX951</f>
        <v>0</v>
      </c>
      <c r="CD956" s="1090">
        <v>0</v>
      </c>
      <c r="CE956" s="1090">
        <v>0</v>
      </c>
      <c r="CF956" s="1090">
        <v>0</v>
      </c>
      <c r="CG956" s="1090">
        <v>0</v>
      </c>
      <c r="CH956" s="1193">
        <f>CH951-CC951</f>
        <v>0</v>
      </c>
      <c r="CI956" s="1235">
        <v>0</v>
      </c>
      <c r="CJ956" s="1235">
        <v>0</v>
      </c>
      <c r="CK956" s="1235">
        <v>0</v>
      </c>
      <c r="CL956" s="155"/>
    </row>
    <row r="957" spans="1:90" x14ac:dyDescent="0.3">
      <c r="A957" s="99"/>
      <c r="B957" s="146"/>
      <c r="C957" s="1153"/>
      <c r="D957" s="1153"/>
      <c r="E957" s="1153"/>
      <c r="F957" s="1153"/>
      <c r="G957" s="563"/>
      <c r="H957" s="563"/>
      <c r="I957" s="563"/>
      <c r="J957" s="563"/>
      <c r="K957" s="1153"/>
      <c r="L957" s="563"/>
      <c r="M957" s="563"/>
      <c r="N957" s="563"/>
      <c r="O957" s="563"/>
      <c r="P957" s="1153"/>
      <c r="Q957" s="563"/>
      <c r="R957" s="563"/>
      <c r="S957" s="563"/>
      <c r="T957" s="563"/>
      <c r="U957" s="1153"/>
      <c r="V957" s="563"/>
      <c r="W957" s="563"/>
      <c r="X957" s="563"/>
      <c r="Y957" s="563"/>
      <c r="Z957" s="1153"/>
      <c r="AA957" s="563"/>
      <c r="AB957" s="563"/>
      <c r="AC957" s="563"/>
      <c r="AD957" s="563"/>
      <c r="AE957" s="1153"/>
      <c r="AF957" s="563"/>
      <c r="AG957" s="563"/>
      <c r="AH957" s="563"/>
      <c r="AI957" s="563"/>
      <c r="AJ957" s="1153"/>
      <c r="AK957" s="563"/>
      <c r="AL957" s="563"/>
      <c r="AM957" s="563"/>
      <c r="AN957" s="563"/>
      <c r="AO957" s="1153"/>
      <c r="AP957" s="563"/>
      <c r="AQ957" s="563"/>
      <c r="AR957" s="563"/>
      <c r="AS957" s="563"/>
      <c r="AT957" s="1153"/>
      <c r="AU957" s="563"/>
      <c r="AV957" s="563"/>
      <c r="AW957" s="563"/>
      <c r="AX957" s="563"/>
      <c r="AY957" s="1153"/>
      <c r="AZ957" s="563"/>
      <c r="BA957" s="563"/>
      <c r="BB957" s="563"/>
      <c r="BC957" s="563"/>
      <c r="BD957" s="1153"/>
      <c r="BE957" s="563"/>
      <c r="BF957" s="563"/>
      <c r="BG957" s="563"/>
      <c r="BH957" s="563"/>
      <c r="BI957" s="1153"/>
      <c r="BJ957" s="563"/>
      <c r="BK957" s="563"/>
      <c r="BL957" s="563"/>
      <c r="BM957" s="563"/>
      <c r="BN957" s="1153"/>
      <c r="BO957" s="563"/>
      <c r="BP957" s="563"/>
      <c r="BQ957" s="563"/>
      <c r="BR957" s="563"/>
      <c r="BS957" s="1153"/>
      <c r="BT957" s="563"/>
      <c r="BU957" s="563"/>
      <c r="BV957" s="563"/>
      <c r="BW957" s="563"/>
      <c r="BX957" s="1153"/>
      <c r="BY957" s="731"/>
      <c r="BZ957" s="563"/>
      <c r="CA957" s="563"/>
      <c r="CB957" s="563"/>
      <c r="CC957" s="1153"/>
      <c r="CD957" s="563"/>
      <c r="CE957" s="563"/>
      <c r="CF957" s="563"/>
      <c r="CG957" s="563"/>
      <c r="CH957" s="1153"/>
      <c r="CI957" s="1153"/>
      <c r="CJ957" s="1153"/>
      <c r="CK957" s="1153"/>
      <c r="CL957" s="155"/>
    </row>
    <row r="958" spans="1:90" x14ac:dyDescent="0.3">
      <c r="A958" s="286" t="s">
        <v>201</v>
      </c>
      <c r="B958" s="286"/>
      <c r="C958" s="286"/>
      <c r="D958" s="286"/>
      <c r="E958" s="286"/>
      <c r="F958" s="286"/>
      <c r="G958" s="286"/>
      <c r="H958" s="286"/>
      <c r="I958" s="286"/>
      <c r="J958" s="286"/>
      <c r="K958" s="286"/>
      <c r="L958" s="286"/>
      <c r="M958" s="286"/>
      <c r="N958" s="286"/>
      <c r="O958" s="286"/>
      <c r="P958" s="286"/>
      <c r="Q958" s="286"/>
      <c r="R958" s="286"/>
      <c r="S958" s="286"/>
      <c r="T958" s="286"/>
      <c r="U958" s="286"/>
      <c r="V958" s="286"/>
      <c r="W958" s="286"/>
      <c r="X958" s="286"/>
      <c r="Y958" s="286"/>
      <c r="Z958" s="286"/>
      <c r="AA958" s="286"/>
      <c r="AB958" s="286"/>
      <c r="AC958" s="286"/>
      <c r="AD958" s="286"/>
      <c r="AE958" s="286"/>
      <c r="AF958" s="286"/>
      <c r="AG958" s="286"/>
      <c r="AH958" s="286"/>
      <c r="AI958" s="286"/>
      <c r="AJ958" s="286"/>
      <c r="AK958" s="286"/>
      <c r="AL958" s="286"/>
      <c r="AM958" s="286"/>
      <c r="AN958" s="286"/>
      <c r="AO958" s="286"/>
      <c r="AP958" s="286"/>
      <c r="AQ958" s="286"/>
      <c r="AR958" s="286"/>
      <c r="AS958" s="286"/>
      <c r="AT958" s="286"/>
      <c r="AU958" s="286"/>
      <c r="AV958" s="286"/>
      <c r="AW958" s="286"/>
      <c r="AX958" s="286"/>
      <c r="AY958" s="286"/>
      <c r="AZ958" s="286"/>
      <c r="BA958" s="286"/>
      <c r="BB958" s="286"/>
      <c r="BC958" s="286"/>
      <c r="BD958" s="286"/>
      <c r="BE958" s="286"/>
      <c r="BF958" s="286"/>
      <c r="BG958" s="286"/>
      <c r="BH958" s="286"/>
      <c r="BI958" s="286"/>
      <c r="BJ958" s="286"/>
      <c r="BK958" s="286"/>
      <c r="BL958" s="286"/>
      <c r="BM958" s="286"/>
      <c r="BN958" s="286"/>
      <c r="BO958" s="286"/>
      <c r="BP958" s="286"/>
      <c r="BQ958" s="286"/>
      <c r="BR958" s="286"/>
      <c r="BS958" s="286"/>
      <c r="BT958" s="286"/>
      <c r="BU958" s="286"/>
      <c r="BV958" s="286"/>
      <c r="BW958" s="286"/>
      <c r="BX958" s="286"/>
      <c r="BY958" s="542"/>
      <c r="BZ958" s="286"/>
      <c r="CA958" s="286"/>
      <c r="CB958" s="286"/>
      <c r="CC958" s="286"/>
      <c r="CD958" s="286"/>
      <c r="CE958" s="286"/>
      <c r="CF958" s="286"/>
      <c r="CG958" s="286"/>
      <c r="CH958" s="286"/>
      <c r="CI958" s="286"/>
      <c r="CJ958" s="286"/>
      <c r="CK958" s="286"/>
      <c r="CL958" s="155"/>
    </row>
    <row r="959" spans="1:90" x14ac:dyDescent="0.3">
      <c r="A959" s="62" t="s">
        <v>202</v>
      </c>
      <c r="B959" s="279"/>
      <c r="C959" s="1127"/>
      <c r="D959" s="1127"/>
      <c r="E959" s="1127"/>
      <c r="F959" s="1127"/>
      <c r="G959" s="63"/>
      <c r="H959" s="63"/>
      <c r="I959" s="63"/>
      <c r="J959" s="63"/>
      <c r="K959" s="1127"/>
      <c r="L959" s="63"/>
      <c r="M959" s="63"/>
      <c r="N959" s="63"/>
      <c r="O959" s="63"/>
      <c r="P959" s="1127"/>
      <c r="Q959" s="63"/>
      <c r="R959" s="63"/>
      <c r="S959" s="63"/>
      <c r="T959" s="63"/>
      <c r="U959" s="1127"/>
      <c r="V959" s="63"/>
      <c r="W959" s="63"/>
      <c r="X959" s="63"/>
      <c r="Y959" s="63"/>
      <c r="Z959" s="1127"/>
      <c r="AA959" s="63"/>
      <c r="AB959" s="63"/>
      <c r="AC959" s="63"/>
      <c r="AD959" s="63"/>
      <c r="AE959" s="1127"/>
      <c r="AF959" s="63"/>
      <c r="AG959" s="63"/>
      <c r="AH959" s="63"/>
      <c r="AI959" s="63"/>
      <c r="AJ959" s="1127"/>
      <c r="AK959" s="63"/>
      <c r="AL959" s="63"/>
      <c r="AM959" s="63"/>
      <c r="AN959" s="63"/>
      <c r="AO959" s="1127"/>
      <c r="AP959" s="63"/>
      <c r="AQ959" s="63"/>
      <c r="AR959" s="63"/>
      <c r="AS959" s="63"/>
      <c r="AT959" s="1127"/>
      <c r="AU959" s="63"/>
      <c r="AV959" s="63"/>
      <c r="AW959" s="63"/>
      <c r="AX959" s="63"/>
      <c r="AY959" s="1127"/>
      <c r="AZ959" s="63"/>
      <c r="BA959" s="63"/>
      <c r="BB959" s="63"/>
      <c r="BC959" s="63"/>
      <c r="BD959" s="1127"/>
      <c r="BE959" s="63"/>
      <c r="BF959" s="63"/>
      <c r="BG959" s="63"/>
      <c r="BH959" s="63"/>
      <c r="BI959" s="1127"/>
      <c r="BJ959" s="63"/>
      <c r="BK959" s="63"/>
      <c r="BL959" s="63"/>
      <c r="BM959" s="63"/>
      <c r="BN959" s="1127"/>
      <c r="BO959" s="63"/>
      <c r="BP959" s="63"/>
      <c r="BQ959" s="63"/>
      <c r="BR959" s="63"/>
      <c r="BS959" s="1127"/>
      <c r="BT959" s="63"/>
      <c r="BU959" s="63"/>
      <c r="BV959" s="63"/>
      <c r="BW959" s="63"/>
      <c r="BX959" s="1127"/>
      <c r="BY959" s="587"/>
      <c r="BZ959" s="63"/>
      <c r="CA959" s="63"/>
      <c r="CB959" s="63"/>
      <c r="CC959" s="1127"/>
      <c r="CD959" s="63"/>
      <c r="CE959" s="63"/>
      <c r="CF959" s="63"/>
      <c r="CG959" s="63"/>
      <c r="CH959" s="1127"/>
      <c r="CI959" s="1127"/>
      <c r="CJ959" s="1127"/>
      <c r="CK959" s="1127"/>
      <c r="CL959" s="155"/>
    </row>
    <row r="960" spans="1:90" x14ac:dyDescent="0.3">
      <c r="A960" s="99" t="s">
        <v>203</v>
      </c>
      <c r="B960" s="146"/>
      <c r="C960" s="1113">
        <v>417.68799999999999</v>
      </c>
      <c r="D960" s="1113">
        <v>447.221</v>
      </c>
      <c r="E960" s="1113">
        <v>665.36099999999999</v>
      </c>
      <c r="F960" s="1113">
        <v>667.87599999999998</v>
      </c>
      <c r="G960" s="1055">
        <v>369.13499999999999</v>
      </c>
      <c r="H960" s="1055">
        <v>499.61799999999999</v>
      </c>
      <c r="I960" s="1055">
        <v>525.38800000000003</v>
      </c>
      <c r="J960" s="68">
        <f>K960</f>
        <v>732.78599999999994</v>
      </c>
      <c r="K960" s="1113">
        <v>732.78599999999994</v>
      </c>
      <c r="L960" s="1055">
        <v>561.423</v>
      </c>
      <c r="M960" s="1055">
        <v>591.32100000000003</v>
      </c>
      <c r="N960" s="1055">
        <v>562.08399999999995</v>
      </c>
      <c r="O960" s="68">
        <f>P960</f>
        <v>1151.587</v>
      </c>
      <c r="P960" s="1113">
        <v>1151.587</v>
      </c>
      <c r="Q960" s="1055">
        <v>509.16500000000002</v>
      </c>
      <c r="R960" s="1055">
        <v>515.09199999999998</v>
      </c>
      <c r="S960" s="1055">
        <v>394.68299999999999</v>
      </c>
      <c r="T960" s="68">
        <f>U960</f>
        <v>497</v>
      </c>
      <c r="U960" s="1113">
        <v>497</v>
      </c>
      <c r="V960" s="1055">
        <v>464</v>
      </c>
      <c r="W960" s="1055">
        <v>435</v>
      </c>
      <c r="X960" s="1055">
        <v>471</v>
      </c>
      <c r="Y960" s="68">
        <f>Z960</f>
        <v>596</v>
      </c>
      <c r="Z960" s="1113">
        <v>596</v>
      </c>
      <c r="AA960" s="1055">
        <v>547</v>
      </c>
      <c r="AB960" s="1055">
        <v>426</v>
      </c>
      <c r="AC960" s="1055">
        <v>1940</v>
      </c>
      <c r="AD960" s="1055">
        <v>1766</v>
      </c>
      <c r="AE960" s="1112">
        <f>AD960</f>
        <v>1766</v>
      </c>
      <c r="AF960" s="1055">
        <v>1989</v>
      </c>
      <c r="AG960" s="1055">
        <v>1988</v>
      </c>
      <c r="AH960" s="1055">
        <v>2802</v>
      </c>
      <c r="AI960" s="68">
        <f>AJ960</f>
        <v>4002</v>
      </c>
      <c r="AJ960" s="1113">
        <v>4002</v>
      </c>
      <c r="AK960" s="1055">
        <v>765</v>
      </c>
      <c r="AL960" s="1055">
        <v>718</v>
      </c>
      <c r="AM960" s="1055">
        <v>721</v>
      </c>
      <c r="AN960" s="68">
        <f>AO960</f>
        <v>782</v>
      </c>
      <c r="AO960" s="1113">
        <v>782</v>
      </c>
      <c r="AP960" s="1055">
        <v>2772</v>
      </c>
      <c r="AQ960" s="1055">
        <v>7105</v>
      </c>
      <c r="AR960" s="1055">
        <v>9765</v>
      </c>
      <c r="AS960" s="68">
        <f>AT960</f>
        <v>10896</v>
      </c>
      <c r="AT960" s="1113">
        <v>10896</v>
      </c>
      <c r="AU960" s="1055">
        <v>15494</v>
      </c>
      <c r="AV960" s="1055">
        <v>3274</v>
      </c>
      <c r="AW960" s="1055">
        <v>2251</v>
      </c>
      <c r="AX960" s="68">
        <f t="shared" ref="AX960:AX969" si="2305">AY960</f>
        <v>847</v>
      </c>
      <c r="AY960" s="1112">
        <f>11561-AY961</f>
        <v>847</v>
      </c>
      <c r="AZ960" s="1055">
        <v>978</v>
      </c>
      <c r="BA960" s="1055">
        <v>5628</v>
      </c>
      <c r="BB960" s="1055">
        <v>1288</v>
      </c>
      <c r="BC960" s="68">
        <f t="shared" ref="BC960:BC969" si="2306">BD960</f>
        <v>1990</v>
      </c>
      <c r="BD960" s="1113">
        <v>1990</v>
      </c>
      <c r="BE960" s="1055">
        <v>3887</v>
      </c>
      <c r="BF960" s="1055">
        <v>3013</v>
      </c>
      <c r="BG960" s="1055">
        <v>2800</v>
      </c>
      <c r="BH960" s="68">
        <f t="shared" ref="BH960:BH969" si="2307">BI960</f>
        <v>3389</v>
      </c>
      <c r="BI960" s="1113">
        <v>3389</v>
      </c>
      <c r="BJ960" s="1055">
        <v>5079</v>
      </c>
      <c r="BK960" s="1055">
        <v>5783</v>
      </c>
      <c r="BL960" s="1055">
        <v>5519</v>
      </c>
      <c r="BM960" s="68">
        <f t="shared" ref="BM960:BM965" si="2308">BN960</f>
        <v>7280</v>
      </c>
      <c r="BN960" s="1113">
        <v>7280</v>
      </c>
      <c r="BO960" s="1055">
        <v>7587</v>
      </c>
      <c r="BP960" s="1055">
        <v>8563</v>
      </c>
      <c r="BQ960" s="1055">
        <v>9107</v>
      </c>
      <c r="BR960" s="68">
        <f t="shared" ref="BR960:BR966" si="2309">BS960</f>
        <v>8589</v>
      </c>
      <c r="BS960" s="1113">
        <v>8589</v>
      </c>
      <c r="BT960" s="1055">
        <v>15234</v>
      </c>
      <c r="BU960" s="1055">
        <v>11639</v>
      </c>
      <c r="BV960" s="1055">
        <v>11486</v>
      </c>
      <c r="BW960" s="68">
        <f t="shared" ref="BW960:BW966" si="2310">BX960</f>
        <v>10605</v>
      </c>
      <c r="BX960" s="1113">
        <v>10605</v>
      </c>
      <c r="BY960" s="1057">
        <v>13237</v>
      </c>
      <c r="BZ960" s="68">
        <f>BY960+BZ913</f>
        <v>49060.314682335018</v>
      </c>
      <c r="CA960" s="68">
        <f>BZ960+CA913</f>
        <v>80782.227057318116</v>
      </c>
      <c r="CB960" s="68">
        <f>CA960+CB913</f>
        <v>130799.1235826051</v>
      </c>
      <c r="CC960" s="1112">
        <f>CB960</f>
        <v>130799.1235826051</v>
      </c>
      <c r="CD960" s="68">
        <f>CC960+CD913</f>
        <v>195352.1463287675</v>
      </c>
      <c r="CE960" s="68">
        <f>CD960+CE913</f>
        <v>248728.56395822798</v>
      </c>
      <c r="CF960" s="68">
        <f>CE960+CF913</f>
        <v>293108.52571381885</v>
      </c>
      <c r="CG960" s="68">
        <f>CF960+CG913</f>
        <v>360087.13414168917</v>
      </c>
      <c r="CH960" s="1112">
        <f>CG960</f>
        <v>360087.13414168917</v>
      </c>
      <c r="CI960" s="1112">
        <f>CH960+CI913</f>
        <v>647699.25075622206</v>
      </c>
      <c r="CJ960" s="1112">
        <f>CI960+CJ913</f>
        <v>997685.24283667747</v>
      </c>
      <c r="CK960" s="1112">
        <f>CJ960+CK913</f>
        <v>1420559.0785187618</v>
      </c>
      <c r="CL960" s="155"/>
    </row>
    <row r="961" spans="1:90" x14ac:dyDescent="0.3">
      <c r="A961" s="99" t="s">
        <v>204</v>
      </c>
      <c r="B961" s="146"/>
      <c r="C961" s="1113">
        <v>837.702</v>
      </c>
      <c r="D961" s="1113">
        <v>1281.0060000000001</v>
      </c>
      <c r="E961" s="1113">
        <v>1825.202</v>
      </c>
      <c r="F961" s="1113">
        <v>2461.6999999999998</v>
      </c>
      <c r="G961" s="1055">
        <v>2761.6770000000001</v>
      </c>
      <c r="H961" s="1055">
        <v>2778.482</v>
      </c>
      <c r="I961" s="1055">
        <v>2909.384</v>
      </c>
      <c r="J961" s="68">
        <f>K961</f>
        <v>2995.0970000000002</v>
      </c>
      <c r="K961" s="1113">
        <v>2995.0970000000002</v>
      </c>
      <c r="L961" s="1055">
        <v>3151.9279999999999</v>
      </c>
      <c r="M961" s="1055">
        <v>2344.5720000000001</v>
      </c>
      <c r="N961" s="1055">
        <v>2470.87</v>
      </c>
      <c r="O961" s="68">
        <f>P961</f>
        <v>3520.223</v>
      </c>
      <c r="P961" s="1113">
        <v>3520.223</v>
      </c>
      <c r="Q961" s="1055">
        <v>3838.652</v>
      </c>
      <c r="R961" s="1055">
        <v>3870.962</v>
      </c>
      <c r="S961" s="1055">
        <v>3846.114</v>
      </c>
      <c r="T961" s="68">
        <f>U961</f>
        <v>4126</v>
      </c>
      <c r="U961" s="1113">
        <v>4126</v>
      </c>
      <c r="V961" s="1055">
        <v>4328</v>
      </c>
      <c r="W961" s="1055">
        <v>4070</v>
      </c>
      <c r="X961" s="1055">
        <v>4257</v>
      </c>
      <c r="Y961" s="68">
        <f>Z961</f>
        <v>4441</v>
      </c>
      <c r="Z961" s="1113">
        <v>4441</v>
      </c>
      <c r="AA961" s="1055">
        <v>4207</v>
      </c>
      <c r="AB961" s="1055">
        <v>4453</v>
      </c>
      <c r="AC961" s="1055">
        <v>4731</v>
      </c>
      <c r="AD961" s="1055">
        <v>5032</v>
      </c>
      <c r="AE961" s="1112">
        <f>AD961</f>
        <v>5032</v>
      </c>
      <c r="AF961" s="1055">
        <v>4217</v>
      </c>
      <c r="AG961" s="1055">
        <v>3889</v>
      </c>
      <c r="AH961" s="1055">
        <v>3518</v>
      </c>
      <c r="AI961" s="68">
        <f>AJ961</f>
        <v>3106</v>
      </c>
      <c r="AJ961" s="1113">
        <v>3106</v>
      </c>
      <c r="AK961" s="1055">
        <v>6535</v>
      </c>
      <c r="AL961" s="1055">
        <v>7225</v>
      </c>
      <c r="AM961" s="1055">
        <v>6870</v>
      </c>
      <c r="AN961" s="68">
        <f>AO961</f>
        <v>6640</v>
      </c>
      <c r="AO961" s="1112">
        <f>7422-AO960</f>
        <v>6640</v>
      </c>
      <c r="AP961" s="1055">
        <v>5030</v>
      </c>
      <c r="AQ961" s="1055">
        <v>1370</v>
      </c>
      <c r="AR961" s="1055">
        <v>4</v>
      </c>
      <c r="AS961" s="68">
        <f>AT961</f>
        <v>1</v>
      </c>
      <c r="AT961" s="1113">
        <v>1</v>
      </c>
      <c r="AU961" s="1055">
        <v>860</v>
      </c>
      <c r="AV961" s="1055">
        <v>7707</v>
      </c>
      <c r="AW961" s="1055">
        <v>7888</v>
      </c>
      <c r="AX961" s="68">
        <f t="shared" si="2305"/>
        <v>10714</v>
      </c>
      <c r="AY961" s="1113">
        <v>10714</v>
      </c>
      <c r="AZ961" s="1055">
        <v>11689</v>
      </c>
      <c r="BA961" s="1055">
        <v>14026</v>
      </c>
      <c r="BB961" s="1055">
        <v>18010</v>
      </c>
      <c r="BC961" s="68">
        <f t="shared" si="2306"/>
        <v>19218</v>
      </c>
      <c r="BD961" s="1113">
        <v>19218</v>
      </c>
      <c r="BE961" s="1055">
        <v>16451</v>
      </c>
      <c r="BF961" s="1055">
        <v>14024</v>
      </c>
      <c r="BG961" s="1055">
        <v>10343</v>
      </c>
      <c r="BH961" s="68">
        <f t="shared" si="2307"/>
        <v>9907</v>
      </c>
      <c r="BI961" s="1113">
        <v>9907</v>
      </c>
      <c r="BJ961" s="1055">
        <v>10241</v>
      </c>
      <c r="BK961" s="1055">
        <v>10240</v>
      </c>
      <c r="BL961" s="1055">
        <v>12762</v>
      </c>
      <c r="BM961" s="68">
        <f t="shared" si="2308"/>
        <v>18704</v>
      </c>
      <c r="BN961" s="1113">
        <v>18704</v>
      </c>
      <c r="BO961" s="1055">
        <v>23851</v>
      </c>
      <c r="BP961" s="1055">
        <v>26237</v>
      </c>
      <c r="BQ961" s="1055">
        <v>29380</v>
      </c>
      <c r="BR961" s="68">
        <f t="shared" si="2309"/>
        <v>34621</v>
      </c>
      <c r="BS961" s="1113">
        <v>34621</v>
      </c>
      <c r="BT961" s="1055">
        <v>38457</v>
      </c>
      <c r="BU961" s="1055">
        <v>45152</v>
      </c>
      <c r="BV961" s="1055">
        <v>49122</v>
      </c>
      <c r="BW961" s="68">
        <f t="shared" si="2310"/>
        <v>51951</v>
      </c>
      <c r="BX961" s="1113">
        <v>51951</v>
      </c>
      <c r="BY961" s="1057">
        <f>37098+30237</f>
        <v>67335</v>
      </c>
      <c r="BZ961" s="68">
        <f>BY961</f>
        <v>67335</v>
      </c>
      <c r="CA961" s="68">
        <f>BZ961</f>
        <v>67335</v>
      </c>
      <c r="CB961" s="68">
        <f>CA961</f>
        <v>67335</v>
      </c>
      <c r="CC961" s="1112">
        <f>CB961</f>
        <v>67335</v>
      </c>
      <c r="CD961" s="68">
        <f>CC961</f>
        <v>67335</v>
      </c>
      <c r="CE961" s="68">
        <f>CD961</f>
        <v>67335</v>
      </c>
      <c r="CF961" s="68">
        <f>CE961</f>
        <v>67335</v>
      </c>
      <c r="CG961" s="68">
        <f>CF961</f>
        <v>67335</v>
      </c>
      <c r="CH961" s="1112">
        <f>CG961</f>
        <v>67335</v>
      </c>
      <c r="CI961" s="1112">
        <f>CH961</f>
        <v>67335</v>
      </c>
      <c r="CJ961" s="1112">
        <f>CI961</f>
        <v>67335</v>
      </c>
      <c r="CK961" s="1112">
        <f>CJ961</f>
        <v>67335</v>
      </c>
      <c r="CL961" s="155"/>
    </row>
    <row r="962" spans="1:90" x14ac:dyDescent="0.3">
      <c r="A962" s="67" t="s">
        <v>205</v>
      </c>
      <c r="B962" s="146"/>
      <c r="C962" s="1113">
        <v>318.435</v>
      </c>
      <c r="D962" s="1113">
        <v>374.96300000000002</v>
      </c>
      <c r="E962" s="1113">
        <v>348.77</v>
      </c>
      <c r="F962" s="1113">
        <v>336.14299999999997</v>
      </c>
      <c r="G962" s="1055">
        <v>411.15499999999997</v>
      </c>
      <c r="H962" s="1055">
        <v>445.31200000000001</v>
      </c>
      <c r="I962" s="1055">
        <v>444.94400000000002</v>
      </c>
      <c r="J962" s="27">
        <f>K962</f>
        <v>454.25200000000001</v>
      </c>
      <c r="K962" s="1113">
        <v>454.25200000000001</v>
      </c>
      <c r="L962" s="1055">
        <v>346.99799999999999</v>
      </c>
      <c r="M962" s="1055">
        <v>418.12299999999999</v>
      </c>
      <c r="N962" s="1055">
        <v>447.63099999999997</v>
      </c>
      <c r="O962" s="27">
        <f>P962</f>
        <v>426.35700000000003</v>
      </c>
      <c r="P962" s="1113">
        <v>426.35700000000003</v>
      </c>
      <c r="Q962" s="1055">
        <v>396.43799999999999</v>
      </c>
      <c r="R962" s="1055">
        <v>469.625</v>
      </c>
      <c r="S962" s="1055">
        <v>563.4</v>
      </c>
      <c r="T962" s="27">
        <f>U962</f>
        <v>474</v>
      </c>
      <c r="U962" s="1113">
        <v>474</v>
      </c>
      <c r="V962" s="1055">
        <v>455</v>
      </c>
      <c r="W962" s="1055">
        <v>514</v>
      </c>
      <c r="X962" s="1055">
        <v>536</v>
      </c>
      <c r="Y962" s="27">
        <f>Z962</f>
        <v>505</v>
      </c>
      <c r="Z962" s="1113">
        <v>505</v>
      </c>
      <c r="AA962" s="1055">
        <v>523</v>
      </c>
      <c r="AB962" s="1055">
        <v>644</v>
      </c>
      <c r="AC962" s="1055">
        <v>833</v>
      </c>
      <c r="AD962" s="1055">
        <v>826</v>
      </c>
      <c r="AE962" s="1112">
        <f>AD962</f>
        <v>826</v>
      </c>
      <c r="AF962" s="1055">
        <v>976</v>
      </c>
      <c r="AG962" s="1055">
        <v>1213</v>
      </c>
      <c r="AH962" s="1055">
        <v>1167</v>
      </c>
      <c r="AI962" s="68">
        <f>AJ962</f>
        <v>1265</v>
      </c>
      <c r="AJ962" s="1113">
        <v>1265</v>
      </c>
      <c r="AK962" s="1055">
        <v>1220</v>
      </c>
      <c r="AL962" s="1055">
        <v>1662</v>
      </c>
      <c r="AM962" s="1055">
        <v>2219</v>
      </c>
      <c r="AN962" s="68">
        <f>AO962</f>
        <v>1424</v>
      </c>
      <c r="AO962" s="1113">
        <v>1424</v>
      </c>
      <c r="AP962" s="1055">
        <v>1242</v>
      </c>
      <c r="AQ962" s="1055">
        <v>1561</v>
      </c>
      <c r="AR962" s="1055">
        <v>1455</v>
      </c>
      <c r="AS962" s="68">
        <f>AT962</f>
        <v>1657</v>
      </c>
      <c r="AT962" s="1113">
        <v>1657</v>
      </c>
      <c r="AU962" s="1055">
        <v>1907</v>
      </c>
      <c r="AV962" s="1055">
        <v>2084</v>
      </c>
      <c r="AW962" s="1055">
        <v>2546</v>
      </c>
      <c r="AX962" s="68">
        <f t="shared" si="2305"/>
        <v>2429</v>
      </c>
      <c r="AY962" s="1113">
        <v>2429</v>
      </c>
      <c r="AZ962" s="1055">
        <v>3024</v>
      </c>
      <c r="BA962" s="1055">
        <v>3586</v>
      </c>
      <c r="BB962" s="1055">
        <v>3954</v>
      </c>
      <c r="BC962" s="68">
        <f t="shared" si="2306"/>
        <v>4650</v>
      </c>
      <c r="BD962" s="1113">
        <v>4650</v>
      </c>
      <c r="BE962" s="1055">
        <v>5438</v>
      </c>
      <c r="BF962" s="1055">
        <v>5317</v>
      </c>
      <c r="BG962" s="1055">
        <v>4908</v>
      </c>
      <c r="BH962" s="68">
        <f t="shared" si="2307"/>
        <v>3827</v>
      </c>
      <c r="BI962" s="1113">
        <v>3827</v>
      </c>
      <c r="BJ962" s="1055">
        <v>4080</v>
      </c>
      <c r="BK962" s="1055">
        <v>7066</v>
      </c>
      <c r="BL962" s="1055">
        <v>8309</v>
      </c>
      <c r="BM962" s="68">
        <f t="shared" si="2308"/>
        <v>9999</v>
      </c>
      <c r="BN962" s="1113">
        <v>9999</v>
      </c>
      <c r="BO962" s="1055">
        <v>12365</v>
      </c>
      <c r="BP962" s="1055">
        <v>14132</v>
      </c>
      <c r="BQ962" s="1055">
        <v>17693</v>
      </c>
      <c r="BR962" s="68">
        <f t="shared" si="2309"/>
        <v>23065</v>
      </c>
      <c r="BS962" s="1113">
        <v>23065</v>
      </c>
      <c r="BT962" s="1055">
        <v>22132</v>
      </c>
      <c r="BU962" s="1055">
        <v>27808</v>
      </c>
      <c r="BV962" s="1055">
        <v>33391</v>
      </c>
      <c r="BW962" s="68">
        <f t="shared" si="2310"/>
        <v>38466</v>
      </c>
      <c r="BX962" s="1113">
        <v>38466</v>
      </c>
      <c r="BY962" s="1057">
        <v>40710</v>
      </c>
      <c r="BZ962" s="68">
        <f>(BZ$370+BY$370+BW$370+BV$370)*BZ948</f>
        <v>50103.057015095204</v>
      </c>
      <c r="CA962" s="68">
        <f>(CA$370+BZ$370+BY$370+BW$370)*CA948</f>
        <v>59275.134306515902</v>
      </c>
      <c r="CB962" s="68">
        <f>(CB$370+CA$370+BZ$370+BY$370)*CB948</f>
        <v>63787.322480712057</v>
      </c>
      <c r="CC962" s="1112">
        <f>CB962</f>
        <v>63787.322480712057</v>
      </c>
      <c r="CD962" s="68">
        <f>(CD$370+CB$370+CA$370+BZ$370)*CD948</f>
        <v>61347.216236079381</v>
      </c>
      <c r="CE962" s="68">
        <f>(CE$370+CD$370+CB$370+CA$370)*CE948</f>
        <v>68793.576549867445</v>
      </c>
      <c r="CF962" s="68">
        <f>(CF$370+CE$370+CD$370+CB$370)*CF948</f>
        <v>76971.045649103355</v>
      </c>
      <c r="CG962" s="68">
        <f>(CG$370+CF$370+CE$370+CD$370)*CG948</f>
        <v>80931.04070562846</v>
      </c>
      <c r="CH962" s="1112">
        <f>CG962</f>
        <v>80931.04070562846</v>
      </c>
      <c r="CI962" s="1112">
        <f>CI370*CI948</f>
        <v>96532.277843806558</v>
      </c>
      <c r="CJ962" s="1112">
        <f>CJ370*CJ948</f>
        <v>113393.31337309782</v>
      </c>
      <c r="CK962" s="1112">
        <f>CK370*CK948</f>
        <v>133237.85784940218</v>
      </c>
      <c r="CL962" s="155"/>
    </row>
    <row r="963" spans="1:90" x14ac:dyDescent="0.3">
      <c r="A963" s="73" t="s">
        <v>576</v>
      </c>
      <c r="B963" s="146"/>
      <c r="C963" s="1113">
        <v>122.024</v>
      </c>
      <c r="D963" s="1113">
        <v>76.935000000000002</v>
      </c>
      <c r="E963" s="1113">
        <v>67.88</v>
      </c>
      <c r="F963" s="1113">
        <v>84.927000000000007</v>
      </c>
      <c r="G963" s="1055">
        <v>108.589</v>
      </c>
      <c r="H963" s="1055">
        <v>87.117000000000004</v>
      </c>
      <c r="I963" s="1055">
        <v>107.241</v>
      </c>
      <c r="J963" s="1055">
        <v>157.989</v>
      </c>
      <c r="K963" s="1113">
        <v>157.989</v>
      </c>
      <c r="L963" s="1055">
        <v>136.53299999999999</v>
      </c>
      <c r="M963" s="1055">
        <v>119.491</v>
      </c>
      <c r="N963" s="1055">
        <v>138.20500000000001</v>
      </c>
      <c r="O963" s="1055">
        <v>126.896</v>
      </c>
      <c r="P963" s="1113">
        <v>126.896</v>
      </c>
      <c r="Q963" s="1055">
        <v>143.773</v>
      </c>
      <c r="R963" s="1055">
        <v>126.191</v>
      </c>
      <c r="S963" s="1055">
        <v>128.58799999999999</v>
      </c>
      <c r="T963" s="1055">
        <v>156.846</v>
      </c>
      <c r="U963" s="1113">
        <v>156.846</v>
      </c>
      <c r="V963" s="1055">
        <v>151</v>
      </c>
      <c r="W963" s="1055">
        <v>139</v>
      </c>
      <c r="X963" s="1055">
        <v>117</v>
      </c>
      <c r="Y963" s="1055">
        <v>105</v>
      </c>
      <c r="Z963" s="1113">
        <v>105</v>
      </c>
      <c r="AA963" s="1055">
        <v>124</v>
      </c>
      <c r="AB963" s="1055">
        <v>133</v>
      </c>
      <c r="AC963" s="1055">
        <v>203</v>
      </c>
      <c r="AD963" s="1055">
        <v>252</v>
      </c>
      <c r="AE963" s="1113">
        <v>252</v>
      </c>
      <c r="AF963" s="1055">
        <v>375</v>
      </c>
      <c r="AG963" s="1055">
        <v>294</v>
      </c>
      <c r="AH963" s="1055">
        <v>219</v>
      </c>
      <c r="AI963" s="1055">
        <v>227</v>
      </c>
      <c r="AJ963" s="1113">
        <v>227</v>
      </c>
      <c r="AK963" s="1055">
        <v>214</v>
      </c>
      <c r="AL963" s="1055">
        <v>421</v>
      </c>
      <c r="AM963" s="1055">
        <v>634</v>
      </c>
      <c r="AN963" s="1055">
        <v>613</v>
      </c>
      <c r="AO963" s="1113">
        <v>613</v>
      </c>
      <c r="AP963" s="1055">
        <v>484</v>
      </c>
      <c r="AQ963" s="1055">
        <v>362</v>
      </c>
      <c r="AR963" s="1055">
        <v>255</v>
      </c>
      <c r="AS963" s="1055">
        <v>249</v>
      </c>
      <c r="AT963" s="1113">
        <v>249</v>
      </c>
      <c r="AU963" s="1055">
        <v>341</v>
      </c>
      <c r="AV963" s="1055">
        <v>320</v>
      </c>
      <c r="AW963" s="1055">
        <v>455</v>
      </c>
      <c r="AX963" s="68">
        <f t="shared" si="2305"/>
        <v>632</v>
      </c>
      <c r="AY963" s="1113">
        <v>632</v>
      </c>
      <c r="AZ963" s="1055">
        <v>734</v>
      </c>
      <c r="BA963" s="1055">
        <v>825</v>
      </c>
      <c r="BB963" s="1055">
        <v>755</v>
      </c>
      <c r="BC963" s="68">
        <f t="shared" si="2306"/>
        <v>791</v>
      </c>
      <c r="BD963" s="1113">
        <v>791</v>
      </c>
      <c r="BE963" s="1055">
        <v>1119</v>
      </c>
      <c r="BF963" s="1055">
        <v>1534</v>
      </c>
      <c r="BG963" s="1055">
        <v>1936</v>
      </c>
      <c r="BH963" s="68">
        <f t="shared" si="2307"/>
        <v>2430</v>
      </c>
      <c r="BI963" s="1113">
        <v>2430</v>
      </c>
      <c r="BJ963" s="1055">
        <v>1809</v>
      </c>
      <c r="BK963" s="1055">
        <v>1632</v>
      </c>
      <c r="BL963" s="1055">
        <v>1663</v>
      </c>
      <c r="BM963" s="68">
        <f t="shared" si="2308"/>
        <v>1719</v>
      </c>
      <c r="BN963" s="1113">
        <v>1719</v>
      </c>
      <c r="BO963" s="1055">
        <v>1991</v>
      </c>
      <c r="BP963" s="1055">
        <v>1895</v>
      </c>
      <c r="BQ963" s="1055">
        <v>1846</v>
      </c>
      <c r="BR963" s="68">
        <f t="shared" si="2309"/>
        <v>3408</v>
      </c>
      <c r="BS963" s="1113">
        <v>3408</v>
      </c>
      <c r="BT963" s="1055">
        <v>2525</v>
      </c>
      <c r="BU963" s="1055">
        <v>1843</v>
      </c>
      <c r="BV963" s="1055">
        <v>4209</v>
      </c>
      <c r="BW963" s="68">
        <f t="shared" si="2310"/>
        <v>3807</v>
      </c>
      <c r="BX963" s="1113">
        <v>3807</v>
      </c>
      <c r="BY963" s="1057">
        <v>6647</v>
      </c>
      <c r="BZ963" s="68"/>
      <c r="CA963" s="68"/>
      <c r="CB963" s="68"/>
      <c r="CC963" s="1112"/>
      <c r="CD963" s="68"/>
      <c r="CE963" s="68"/>
      <c r="CF963" s="68"/>
      <c r="CG963" s="68"/>
      <c r="CH963" s="1112"/>
      <c r="CI963" s="1112"/>
      <c r="CJ963" s="1112"/>
      <c r="CK963" s="1112"/>
      <c r="CL963" s="155"/>
    </row>
    <row r="964" spans="1:90" x14ac:dyDescent="0.3">
      <c r="A964" s="73" t="s">
        <v>577</v>
      </c>
      <c r="B964" s="146"/>
      <c r="C964" s="1113">
        <v>38.747</v>
      </c>
      <c r="D964" s="1113">
        <v>67.501999999999995</v>
      </c>
      <c r="E964" s="1113">
        <v>72.697999999999993</v>
      </c>
      <c r="F964" s="1113">
        <v>62.933999999999997</v>
      </c>
      <c r="G964" s="1055">
        <v>82.778999999999996</v>
      </c>
      <c r="H964" s="1055">
        <v>82.338999999999999</v>
      </c>
      <c r="I964" s="1055">
        <v>71.326999999999998</v>
      </c>
      <c r="J964" s="1055">
        <v>67.352000000000004</v>
      </c>
      <c r="K964" s="1113">
        <v>67.352000000000004</v>
      </c>
      <c r="L964" s="1055">
        <v>57.722000000000001</v>
      </c>
      <c r="M964" s="1055">
        <v>64.936999999999998</v>
      </c>
      <c r="N964" s="1055">
        <v>77.834000000000003</v>
      </c>
      <c r="O964" s="1055">
        <v>94.843999999999994</v>
      </c>
      <c r="P964" s="1113">
        <v>94.843999999999994</v>
      </c>
      <c r="Q964" s="1055">
        <v>83.766999999999996</v>
      </c>
      <c r="R964" s="1055">
        <v>85.894999999999996</v>
      </c>
      <c r="S964" s="1055">
        <v>78.849000000000004</v>
      </c>
      <c r="T964" s="1055">
        <v>91.778000000000006</v>
      </c>
      <c r="U964" s="1113">
        <v>91.778000000000006</v>
      </c>
      <c r="V964" s="1055">
        <v>73</v>
      </c>
      <c r="W964" s="1055">
        <v>107</v>
      </c>
      <c r="X964" s="1055">
        <v>91</v>
      </c>
      <c r="Y964" s="1055">
        <v>103</v>
      </c>
      <c r="Z964" s="1113">
        <v>103</v>
      </c>
      <c r="AA964" s="1055">
        <v>105</v>
      </c>
      <c r="AB964" s="1055">
        <v>143</v>
      </c>
      <c r="AC964" s="1055">
        <v>203</v>
      </c>
      <c r="AD964" s="1055">
        <v>176</v>
      </c>
      <c r="AE964" s="1113">
        <v>176</v>
      </c>
      <c r="AF964" s="1055">
        <v>137</v>
      </c>
      <c r="AG964" s="1055">
        <v>209</v>
      </c>
      <c r="AH964" s="1055">
        <v>235</v>
      </c>
      <c r="AI964" s="1055">
        <v>192</v>
      </c>
      <c r="AJ964" s="1113">
        <v>192</v>
      </c>
      <c r="AK964" s="1055">
        <v>254</v>
      </c>
      <c r="AL964" s="1055">
        <v>266</v>
      </c>
      <c r="AM964" s="1055">
        <v>259</v>
      </c>
      <c r="AN964" s="1055">
        <v>238</v>
      </c>
      <c r="AO964" s="1113">
        <v>238</v>
      </c>
      <c r="AP964" s="1055">
        <v>189</v>
      </c>
      <c r="AQ964" s="1055">
        <v>203</v>
      </c>
      <c r="AR964" s="1055">
        <v>265</v>
      </c>
      <c r="AS964" s="1055">
        <v>265</v>
      </c>
      <c r="AT964" s="1113">
        <v>265</v>
      </c>
      <c r="AU964" s="1055">
        <v>287</v>
      </c>
      <c r="AV964" s="1055">
        <v>516</v>
      </c>
      <c r="AW964" s="1055">
        <v>380</v>
      </c>
      <c r="AX964" s="68">
        <f t="shared" si="2305"/>
        <v>457</v>
      </c>
      <c r="AY964" s="1113">
        <v>457</v>
      </c>
      <c r="AZ964" s="1055">
        <v>504</v>
      </c>
      <c r="BA964" s="1055">
        <v>553</v>
      </c>
      <c r="BB964" s="1055">
        <v>538</v>
      </c>
      <c r="BC964" s="68">
        <f t="shared" si="2306"/>
        <v>692</v>
      </c>
      <c r="BD964" s="1113">
        <v>692</v>
      </c>
      <c r="BE964" s="1055">
        <v>672</v>
      </c>
      <c r="BF964" s="1055">
        <v>767</v>
      </c>
      <c r="BG964" s="1055">
        <v>788</v>
      </c>
      <c r="BH964" s="68">
        <f t="shared" si="2307"/>
        <v>466</v>
      </c>
      <c r="BI964" s="1113">
        <v>466</v>
      </c>
      <c r="BJ964" s="1055">
        <v>930</v>
      </c>
      <c r="BK964" s="1055">
        <v>1058</v>
      </c>
      <c r="BL964" s="1055">
        <v>1338</v>
      </c>
      <c r="BM964" s="68">
        <f t="shared" si="2308"/>
        <v>1505</v>
      </c>
      <c r="BN964" s="1113">
        <v>1505</v>
      </c>
      <c r="BO964" s="1055">
        <v>1625</v>
      </c>
      <c r="BP964" s="1055">
        <v>2111</v>
      </c>
      <c r="BQ964" s="1055">
        <v>2881</v>
      </c>
      <c r="BR964" s="68">
        <f t="shared" si="2309"/>
        <v>3399</v>
      </c>
      <c r="BS964" s="1113">
        <v>3399</v>
      </c>
      <c r="BT964" s="1055">
        <v>5339</v>
      </c>
      <c r="BU964" s="1055">
        <v>4411</v>
      </c>
      <c r="BV964" s="1055">
        <v>8735</v>
      </c>
      <c r="BW964" s="68">
        <f t="shared" si="2310"/>
        <v>8822</v>
      </c>
      <c r="BX964" s="1113">
        <v>8822</v>
      </c>
      <c r="BY964" s="1057">
        <v>9949</v>
      </c>
      <c r="BZ964" s="68"/>
      <c r="CA964" s="68"/>
      <c r="CB964" s="68"/>
      <c r="CC964" s="1112"/>
      <c r="CD964" s="68"/>
      <c r="CE964" s="68"/>
      <c r="CF964" s="68"/>
      <c r="CG964" s="68"/>
      <c r="CH964" s="1112"/>
      <c r="CI964" s="1112"/>
      <c r="CJ964" s="1112"/>
      <c r="CK964" s="1112"/>
      <c r="CL964" s="155"/>
    </row>
    <row r="965" spans="1:90" x14ac:dyDescent="0.3">
      <c r="A965" s="73" t="s">
        <v>578</v>
      </c>
      <c r="B965" s="146"/>
      <c r="C965" s="1113">
        <v>377.06299999999999</v>
      </c>
      <c r="D965" s="1113">
        <v>186.23699999999999</v>
      </c>
      <c r="E965" s="1113">
        <v>204.947</v>
      </c>
      <c r="F965" s="1113">
        <v>192.43600000000001</v>
      </c>
      <c r="G965" s="1055">
        <v>151.339</v>
      </c>
      <c r="H965" s="1055">
        <v>217.72900000000001</v>
      </c>
      <c r="I965" s="1055">
        <v>250.41499999999999</v>
      </c>
      <c r="J965" s="1055">
        <v>187.126</v>
      </c>
      <c r="K965" s="1113">
        <v>187.126</v>
      </c>
      <c r="L965" s="1055">
        <v>183.34200000000001</v>
      </c>
      <c r="M965" s="1055">
        <v>193.852</v>
      </c>
      <c r="N965" s="1055">
        <v>164.28</v>
      </c>
      <c r="O965" s="1055">
        <v>166.02500000000001</v>
      </c>
      <c r="P965" s="1113">
        <v>166.02500000000001</v>
      </c>
      <c r="Q965" s="1055">
        <v>165.74</v>
      </c>
      <c r="R965" s="1055">
        <v>175.34800000000001</v>
      </c>
      <c r="S965" s="1055">
        <v>200.64400000000001</v>
      </c>
      <c r="T965" s="1055">
        <v>234.26900000000001</v>
      </c>
      <c r="U965" s="1113">
        <v>234.26900000000001</v>
      </c>
      <c r="V965" s="1055">
        <v>214</v>
      </c>
      <c r="W965" s="1055">
        <v>195</v>
      </c>
      <c r="X965" s="1055">
        <v>217</v>
      </c>
      <c r="Y965" s="1055">
        <v>210</v>
      </c>
      <c r="Z965" s="1113">
        <v>210</v>
      </c>
      <c r="AA965" s="1055">
        <v>165</v>
      </c>
      <c r="AB965" s="1055">
        <v>245</v>
      </c>
      <c r="AC965" s="1055">
        <v>273</v>
      </c>
      <c r="AD965" s="1055">
        <v>366</v>
      </c>
      <c r="AE965" s="1113">
        <v>366</v>
      </c>
      <c r="AF965" s="1055">
        <v>309</v>
      </c>
      <c r="AG965" s="1055">
        <v>352</v>
      </c>
      <c r="AH965" s="1055">
        <v>403</v>
      </c>
      <c r="AI965" s="1055">
        <v>377</v>
      </c>
      <c r="AJ965" s="1113">
        <v>377</v>
      </c>
      <c r="AK965" s="1055">
        <v>329</v>
      </c>
      <c r="AL965" s="1055">
        <v>403</v>
      </c>
      <c r="AM965" s="1055">
        <v>524</v>
      </c>
      <c r="AN965" s="1055">
        <v>724</v>
      </c>
      <c r="AO965" s="1113">
        <v>724</v>
      </c>
      <c r="AP965" s="1055">
        <v>753</v>
      </c>
      <c r="AQ965" s="1055">
        <v>639</v>
      </c>
      <c r="AR965" s="1055">
        <v>527</v>
      </c>
      <c r="AS965" s="1055">
        <v>465</v>
      </c>
      <c r="AT965" s="1113">
        <v>465</v>
      </c>
      <c r="AU965" s="1055">
        <v>500</v>
      </c>
      <c r="AV965" s="1055">
        <v>565</v>
      </c>
      <c r="AW965" s="1055">
        <v>660</v>
      </c>
      <c r="AX965" s="68">
        <f t="shared" si="2305"/>
        <v>737</v>
      </c>
      <c r="AY965" s="1113">
        <v>737</v>
      </c>
      <c r="AZ965" s="1055">
        <v>754</v>
      </c>
      <c r="BA965" s="1055">
        <v>736</v>
      </c>
      <c r="BB965" s="1055">
        <v>940</v>
      </c>
      <c r="BC965" s="68">
        <f t="shared" si="2306"/>
        <v>1122</v>
      </c>
      <c r="BD965" s="1113">
        <v>1122</v>
      </c>
      <c r="BE965" s="1055">
        <v>1372</v>
      </c>
      <c r="BF965" s="1055">
        <v>1588</v>
      </c>
      <c r="BG965" s="1055">
        <v>1730</v>
      </c>
      <c r="BH965" s="68">
        <f t="shared" si="2307"/>
        <v>2263</v>
      </c>
      <c r="BI965" s="1113">
        <v>2263</v>
      </c>
      <c r="BJ965" s="1055">
        <v>1872</v>
      </c>
      <c r="BK965" s="1055">
        <v>1629</v>
      </c>
      <c r="BL965" s="1055">
        <v>1778</v>
      </c>
      <c r="BM965" s="68">
        <f t="shared" si="2308"/>
        <v>2058</v>
      </c>
      <c r="BN965" s="1133">
        <v>2058</v>
      </c>
      <c r="BO965" s="1055">
        <v>2248</v>
      </c>
      <c r="BP965" s="1055">
        <v>2669</v>
      </c>
      <c r="BQ965" s="1055">
        <v>2927</v>
      </c>
      <c r="BR965" s="68">
        <f t="shared" si="2309"/>
        <v>3273</v>
      </c>
      <c r="BS965" s="1133">
        <v>3273</v>
      </c>
      <c r="BT965" s="1055">
        <v>3469</v>
      </c>
      <c r="BU965" s="1055">
        <v>8708</v>
      </c>
      <c r="BV965" s="1055">
        <v>6840</v>
      </c>
      <c r="BW965" s="68">
        <f t="shared" si="2310"/>
        <v>8774</v>
      </c>
      <c r="BX965" s="1133">
        <v>8774</v>
      </c>
      <c r="BY965" s="1057">
        <v>9201</v>
      </c>
      <c r="BZ965" s="68"/>
      <c r="CA965" s="68"/>
      <c r="CB965" s="68"/>
      <c r="CC965" s="1112"/>
      <c r="CD965" s="68"/>
      <c r="CE965" s="68"/>
      <c r="CF965" s="68"/>
      <c r="CG965" s="68"/>
      <c r="CH965" s="1112"/>
      <c r="CI965" s="1112"/>
      <c r="CJ965" s="1112"/>
      <c r="CK965" s="1112"/>
      <c r="CL965" s="155"/>
    </row>
    <row r="966" spans="1:90" x14ac:dyDescent="0.3">
      <c r="A966" s="559" t="s">
        <v>155</v>
      </c>
      <c r="B966" s="571"/>
      <c r="C966" s="1121">
        <v>537.83399999999995</v>
      </c>
      <c r="D966" s="1121">
        <v>330.67399999999998</v>
      </c>
      <c r="E966" s="1121">
        <v>345.52499999999998</v>
      </c>
      <c r="F966" s="1121">
        <v>340.29700000000003</v>
      </c>
      <c r="G966" s="1058">
        <v>342.70699999999999</v>
      </c>
      <c r="H966" s="1058">
        <v>387.185</v>
      </c>
      <c r="I966" s="1058">
        <v>428.983</v>
      </c>
      <c r="J966" s="560">
        <f>K966</f>
        <v>412.46699999999998</v>
      </c>
      <c r="K966" s="1121">
        <v>412.46699999999998</v>
      </c>
      <c r="L966" s="1058">
        <v>377.59699999999998</v>
      </c>
      <c r="M966" s="1058">
        <v>378.28</v>
      </c>
      <c r="N966" s="1058">
        <v>380.31900000000002</v>
      </c>
      <c r="O966" s="560">
        <f>P966</f>
        <v>387.76499999999999</v>
      </c>
      <c r="P966" s="1121">
        <v>387.76499999999999</v>
      </c>
      <c r="Q966" s="1058">
        <v>393.28</v>
      </c>
      <c r="R966" s="1058">
        <v>387.43400000000003</v>
      </c>
      <c r="S966" s="1058">
        <v>408.08100000000002</v>
      </c>
      <c r="T966" s="560">
        <f>U966</f>
        <v>483</v>
      </c>
      <c r="U966" s="1121">
        <v>483</v>
      </c>
      <c r="V966" s="1058">
        <v>438</v>
      </c>
      <c r="W966" s="1058">
        <v>441</v>
      </c>
      <c r="X966" s="1058">
        <v>425</v>
      </c>
      <c r="Y966" s="560">
        <f>Z966</f>
        <v>418</v>
      </c>
      <c r="Z966" s="1121">
        <v>418</v>
      </c>
      <c r="AA966" s="1058">
        <v>394</v>
      </c>
      <c r="AB966" s="1058">
        <v>521</v>
      </c>
      <c r="AC966" s="1058">
        <v>679</v>
      </c>
      <c r="AD966" s="1058">
        <v>794</v>
      </c>
      <c r="AE966" s="1120">
        <f>AD966</f>
        <v>794</v>
      </c>
      <c r="AF966" s="1058">
        <v>821</v>
      </c>
      <c r="AG966" s="1058">
        <v>855</v>
      </c>
      <c r="AH966" s="1058">
        <v>857</v>
      </c>
      <c r="AI966" s="561">
        <f>AJ966</f>
        <v>796</v>
      </c>
      <c r="AJ966" s="1121">
        <v>796</v>
      </c>
      <c r="AK966" s="1058">
        <v>797</v>
      </c>
      <c r="AL966" s="1058">
        <v>1090</v>
      </c>
      <c r="AM966" s="1058">
        <v>1417</v>
      </c>
      <c r="AN966" s="561">
        <f>AO966</f>
        <v>1575</v>
      </c>
      <c r="AO966" s="1121">
        <v>1575</v>
      </c>
      <c r="AP966" s="1058">
        <v>1426</v>
      </c>
      <c r="AQ966" s="1058">
        <v>1204</v>
      </c>
      <c r="AR966" s="1058">
        <v>1047</v>
      </c>
      <c r="AS966" s="561">
        <f>AT966</f>
        <v>979</v>
      </c>
      <c r="AT966" s="1121">
        <v>979</v>
      </c>
      <c r="AU966" s="1058">
        <v>1128</v>
      </c>
      <c r="AV966" s="1058">
        <v>1401</v>
      </c>
      <c r="AW966" s="1058">
        <v>1495</v>
      </c>
      <c r="AX966" s="561">
        <f t="shared" si="2305"/>
        <v>1826</v>
      </c>
      <c r="AY966" s="1121">
        <v>1826</v>
      </c>
      <c r="AZ966" s="1058">
        <v>1992</v>
      </c>
      <c r="BA966" s="1058">
        <v>2114</v>
      </c>
      <c r="BB966" s="1058">
        <v>2233</v>
      </c>
      <c r="BC966" s="561">
        <f t="shared" si="2306"/>
        <v>2605</v>
      </c>
      <c r="BD966" s="1121">
        <v>2605</v>
      </c>
      <c r="BE966" s="1058">
        <v>3163</v>
      </c>
      <c r="BF966" s="1058">
        <v>3889</v>
      </c>
      <c r="BG966" s="1058">
        <v>4454</v>
      </c>
      <c r="BH966" s="561">
        <f t="shared" si="2307"/>
        <v>5159</v>
      </c>
      <c r="BI966" s="1121">
        <v>5159</v>
      </c>
      <c r="BJ966" s="1058">
        <v>4611</v>
      </c>
      <c r="BK966" s="561">
        <f t="shared" ref="BK966:BQ966" si="2311">SUM(BK963:BK965)</f>
        <v>4319</v>
      </c>
      <c r="BL966" s="560">
        <f t="shared" si="2311"/>
        <v>4779</v>
      </c>
      <c r="BM966" s="561">
        <f t="shared" si="2311"/>
        <v>5282</v>
      </c>
      <c r="BN966" s="1112">
        <f t="shared" si="2311"/>
        <v>5282</v>
      </c>
      <c r="BO966" s="560">
        <f t="shared" si="2311"/>
        <v>5864</v>
      </c>
      <c r="BP966" s="561">
        <f t="shared" si="2311"/>
        <v>6675</v>
      </c>
      <c r="BQ966" s="561">
        <f t="shared" si="2311"/>
        <v>7654</v>
      </c>
      <c r="BR966" s="561">
        <f t="shared" si="2309"/>
        <v>10080</v>
      </c>
      <c r="BS966" s="1113">
        <v>10080</v>
      </c>
      <c r="BT966" s="560">
        <f>SUM(BT963:BT965)</f>
        <v>11333</v>
      </c>
      <c r="BU966" s="561">
        <f>SUM(BU963:BU965)</f>
        <v>14962</v>
      </c>
      <c r="BV966" s="561">
        <f>SUM(BV963:BV965)</f>
        <v>19784</v>
      </c>
      <c r="BW966" s="561">
        <f t="shared" si="2310"/>
        <v>21403</v>
      </c>
      <c r="BX966" s="1113">
        <v>21403</v>
      </c>
      <c r="BY966" s="894">
        <f>SUM(BY963:BY965)</f>
        <v>25797</v>
      </c>
      <c r="BZ966" s="561">
        <f>(BZ$374+BY$374+BW$374+BV$374)*BZ949</f>
        <v>22680.088395351413</v>
      </c>
      <c r="CA966" s="561">
        <f>(CA$374+BZ$374+BY$374+BW$374)*CA949</f>
        <v>29538.533823302972</v>
      </c>
      <c r="CB966" s="561">
        <f>(CB$374+CA$374+BZ$374+BY$374)*CB949</f>
        <v>30540.540983117597</v>
      </c>
      <c r="CC966" s="1120">
        <f>CB966</f>
        <v>30540.540983117597</v>
      </c>
      <c r="CD966" s="561">
        <f>(CD$374+CB$374+CA$374+BZ$374)*CD949</f>
        <v>37451.84528228073</v>
      </c>
      <c r="CE966" s="561">
        <f>(CE$374+CD$374+CB$374+CA$374)*CE949</f>
        <v>30595.585634798299</v>
      </c>
      <c r="CF966" s="561">
        <f>(CF$374+CE$374+CD$374+CB$374)*CF949</f>
        <v>37996.638266655187</v>
      </c>
      <c r="CG966" s="561">
        <f>(CG$374+CF$374+CE$374+CD$374)*CG949</f>
        <v>38758.575415878186</v>
      </c>
      <c r="CH966" s="1120">
        <f>CG966</f>
        <v>38758.575415878186</v>
      </c>
      <c r="CI966" s="1120">
        <f>CI374*CI949</f>
        <v>46415.791985875236</v>
      </c>
      <c r="CJ966" s="1120">
        <f>CJ374*CJ949</f>
        <v>54523.114585890391</v>
      </c>
      <c r="CK966" s="1120">
        <f>CK374*CK949</f>
        <v>64065.003258164063</v>
      </c>
      <c r="CL966" s="155"/>
    </row>
    <row r="967" spans="1:90" x14ac:dyDescent="0.3">
      <c r="A967" s="67" t="s">
        <v>521</v>
      </c>
      <c r="B967" s="146"/>
      <c r="C967" s="1112"/>
      <c r="D967" s="1112"/>
      <c r="E967" s="1112"/>
      <c r="F967" s="1112"/>
      <c r="G967" s="68"/>
      <c r="H967" s="68"/>
      <c r="I967" s="68"/>
      <c r="J967" s="68"/>
      <c r="K967" s="1112"/>
      <c r="L967" s="68"/>
      <c r="M967" s="68"/>
      <c r="N967" s="68"/>
      <c r="O967" s="68"/>
      <c r="P967" s="1112"/>
      <c r="Q967" s="68"/>
      <c r="R967" s="68"/>
      <c r="S967" s="68"/>
      <c r="T967" s="68"/>
      <c r="U967" s="1112"/>
      <c r="V967" s="68"/>
      <c r="W967" s="68"/>
      <c r="X967" s="68"/>
      <c r="Y967" s="68"/>
      <c r="Z967" s="1112"/>
      <c r="AA967" s="68"/>
      <c r="AB967" s="68"/>
      <c r="AC967" s="68"/>
      <c r="AD967" s="68"/>
      <c r="AE967" s="1112"/>
      <c r="AF967" s="68"/>
      <c r="AG967" s="68"/>
      <c r="AH967" s="68"/>
      <c r="AI967" s="68"/>
      <c r="AJ967" s="1112"/>
      <c r="AK967" s="68"/>
      <c r="AL967" s="68"/>
      <c r="AM967" s="68"/>
      <c r="AN967" s="68"/>
      <c r="AO967" s="1112"/>
      <c r="AP967" s="68"/>
      <c r="AQ967" s="68"/>
      <c r="AR967" s="68"/>
      <c r="AS967" s="68"/>
      <c r="AT967" s="1112"/>
      <c r="AU967" s="68"/>
      <c r="AV967" s="68"/>
      <c r="AW967" s="68"/>
      <c r="AX967" s="68"/>
      <c r="AY967" s="1112"/>
      <c r="AZ967" s="68"/>
      <c r="BA967" s="68"/>
      <c r="BB967" s="68"/>
      <c r="BC967" s="68"/>
      <c r="BD967" s="1112"/>
      <c r="BE967" s="68"/>
      <c r="BF967" s="68"/>
      <c r="BG967" s="68"/>
      <c r="BH967" s="68"/>
      <c r="BI967" s="1112"/>
      <c r="BJ967" s="68"/>
      <c r="BK967" s="1055">
        <v>99</v>
      </c>
      <c r="BL967" s="68"/>
      <c r="BM967" s="68"/>
      <c r="BN967" s="1112"/>
      <c r="BO967" s="68"/>
      <c r="BP967" s="1055">
        <v>8</v>
      </c>
      <c r="BQ967" s="68"/>
      <c r="BR967" s="68"/>
      <c r="BS967" s="1112"/>
      <c r="BT967" s="68"/>
      <c r="BU967" s="68"/>
      <c r="BV967" s="68"/>
      <c r="BW967" s="68"/>
      <c r="BX967" s="1112"/>
      <c r="BY967" s="588"/>
      <c r="BZ967" s="68">
        <f t="shared" ref="BZ967:CB968" si="2312">BY967</f>
        <v>0</v>
      </c>
      <c r="CA967" s="68">
        <f t="shared" si="2312"/>
        <v>0</v>
      </c>
      <c r="CB967" s="68">
        <f t="shared" si="2312"/>
        <v>0</v>
      </c>
      <c r="CC967" s="1112">
        <f>CB967</f>
        <v>0</v>
      </c>
      <c r="CD967" s="68">
        <f t="shared" ref="CD967:CG968" si="2313">CC967</f>
        <v>0</v>
      </c>
      <c r="CE967" s="68">
        <f t="shared" si="2313"/>
        <v>0</v>
      </c>
      <c r="CF967" s="68">
        <f t="shared" si="2313"/>
        <v>0</v>
      </c>
      <c r="CG967" s="68">
        <f t="shared" si="2313"/>
        <v>0</v>
      </c>
      <c r="CH967" s="1112">
        <f>CG967</f>
        <v>0</v>
      </c>
      <c r="CI967" s="1112">
        <f t="shared" ref="CI967:CK968" si="2314">CH967</f>
        <v>0</v>
      </c>
      <c r="CJ967" s="1112">
        <f t="shared" si="2314"/>
        <v>0</v>
      </c>
      <c r="CK967" s="1112">
        <f t="shared" si="2314"/>
        <v>0</v>
      </c>
      <c r="CL967" s="155"/>
    </row>
    <row r="968" spans="1:90" x14ac:dyDescent="0.3">
      <c r="A968" s="67" t="s">
        <v>156</v>
      </c>
      <c r="B968" s="146"/>
      <c r="C968" s="1113">
        <v>39.793999999999997</v>
      </c>
      <c r="D968" s="1113">
        <v>38.213999999999999</v>
      </c>
      <c r="E968" s="1113">
        <v>32.636000000000003</v>
      </c>
      <c r="F968" s="1113">
        <v>49.411000000000001</v>
      </c>
      <c r="G968" s="1055">
        <v>97.510999999999996</v>
      </c>
      <c r="H968" s="1055">
        <v>53.323</v>
      </c>
      <c r="I968" s="1055">
        <v>66.197000000000003</v>
      </c>
      <c r="J968" s="27">
        <f>K968</f>
        <v>76.92</v>
      </c>
      <c r="K968" s="1113">
        <v>76.92</v>
      </c>
      <c r="L968" s="1055">
        <v>62.334000000000003</v>
      </c>
      <c r="M968" s="1055">
        <v>81.876000000000005</v>
      </c>
      <c r="N968" s="1055">
        <v>81.700999999999993</v>
      </c>
      <c r="O968" s="27">
        <f>P968</f>
        <v>70.284999999999997</v>
      </c>
      <c r="P968" s="1113">
        <v>70.284999999999997</v>
      </c>
      <c r="Q968" s="1055">
        <v>71.066999999999993</v>
      </c>
      <c r="R968" s="1055">
        <v>67.775999999999996</v>
      </c>
      <c r="S968" s="1055">
        <v>67.332999999999998</v>
      </c>
      <c r="T968" s="27">
        <f>U968</f>
        <v>70</v>
      </c>
      <c r="U968" s="1113">
        <v>70</v>
      </c>
      <c r="V968" s="1055">
        <v>89</v>
      </c>
      <c r="W968" s="1055">
        <v>89</v>
      </c>
      <c r="X968" s="1055">
        <v>93</v>
      </c>
      <c r="Y968" s="27">
        <f>Z968</f>
        <v>93</v>
      </c>
      <c r="Z968" s="1113">
        <v>93</v>
      </c>
      <c r="AA968" s="1055">
        <v>119</v>
      </c>
      <c r="AB968" s="1055">
        <v>112</v>
      </c>
      <c r="AC968" s="1055">
        <v>124</v>
      </c>
      <c r="AD968" s="1055">
        <v>118</v>
      </c>
      <c r="AE968" s="1112">
        <f>AD968</f>
        <v>118</v>
      </c>
      <c r="AF968" s="1055">
        <v>113</v>
      </c>
      <c r="AG968" s="1055">
        <v>125</v>
      </c>
      <c r="AH968" s="1055">
        <v>135</v>
      </c>
      <c r="AI968" s="68">
        <f>AJ968</f>
        <v>86</v>
      </c>
      <c r="AJ968" s="1113">
        <v>86</v>
      </c>
      <c r="AK968" s="1055">
        <v>131</v>
      </c>
      <c r="AL968" s="1055">
        <v>136</v>
      </c>
      <c r="AM968" s="1055">
        <v>159</v>
      </c>
      <c r="AN968" s="68">
        <f>AO968</f>
        <v>136</v>
      </c>
      <c r="AO968" s="1113">
        <v>136</v>
      </c>
      <c r="AP968" s="1055">
        <v>159</v>
      </c>
      <c r="AQ968" s="1055">
        <v>151</v>
      </c>
      <c r="AR968" s="1055">
        <v>149</v>
      </c>
      <c r="AS968" s="68">
        <f>AT968</f>
        <v>157</v>
      </c>
      <c r="AT968" s="1113">
        <v>157</v>
      </c>
      <c r="AU968" s="1055">
        <v>195</v>
      </c>
      <c r="AV968" s="1055">
        <v>215</v>
      </c>
      <c r="AW968" s="1055">
        <v>213</v>
      </c>
      <c r="AX968" s="68">
        <f t="shared" si="2305"/>
        <v>239</v>
      </c>
      <c r="AY968" s="1113">
        <v>239</v>
      </c>
      <c r="AZ968" s="1055">
        <v>444</v>
      </c>
      <c r="BA968" s="1055">
        <v>452</v>
      </c>
      <c r="BB968" s="1055">
        <v>321</v>
      </c>
      <c r="BC968" s="68">
        <f t="shared" si="2306"/>
        <v>366</v>
      </c>
      <c r="BD968" s="1113">
        <v>366</v>
      </c>
      <c r="BE968" s="1055">
        <v>636</v>
      </c>
      <c r="BF968" s="1055">
        <v>1175</v>
      </c>
      <c r="BG968" s="1055">
        <v>718</v>
      </c>
      <c r="BH968" s="68">
        <f t="shared" si="2307"/>
        <v>791</v>
      </c>
      <c r="BI968" s="1113">
        <v>791</v>
      </c>
      <c r="BJ968" s="1055">
        <v>872</v>
      </c>
      <c r="BK968" s="68">
        <f>1389-BK967</f>
        <v>1290</v>
      </c>
      <c r="BL968" s="27">
        <f>1289-BL967</f>
        <v>1289</v>
      </c>
      <c r="BM968" s="68">
        <f>BN968</f>
        <v>3080</v>
      </c>
      <c r="BN968" s="1113">
        <v>3080</v>
      </c>
      <c r="BO968" s="1055">
        <v>4062</v>
      </c>
      <c r="BP968" s="68">
        <f>4026-BP967</f>
        <v>4018</v>
      </c>
      <c r="BQ968" s="1055">
        <v>3806</v>
      </c>
      <c r="BR968" s="68">
        <f>BS968</f>
        <v>3771</v>
      </c>
      <c r="BS968" s="1113">
        <v>3771</v>
      </c>
      <c r="BT968" s="1055">
        <v>2779</v>
      </c>
      <c r="BU968" s="68">
        <f>2658-BU967</f>
        <v>2658</v>
      </c>
      <c r="BV968" s="1055">
        <v>2709</v>
      </c>
      <c r="BW968" s="68">
        <f>BX968</f>
        <v>3180</v>
      </c>
      <c r="BX968" s="1113">
        <v>3180</v>
      </c>
      <c r="BY968" s="1057">
        <v>3916</v>
      </c>
      <c r="BZ968" s="68">
        <f t="shared" si="2312"/>
        <v>3916</v>
      </c>
      <c r="CA968" s="68">
        <f t="shared" si="2312"/>
        <v>3916</v>
      </c>
      <c r="CB968" s="68">
        <f t="shared" si="2312"/>
        <v>3916</v>
      </c>
      <c r="CC968" s="1112">
        <f>CB968</f>
        <v>3916</v>
      </c>
      <c r="CD968" s="68">
        <f t="shared" si="2313"/>
        <v>3916</v>
      </c>
      <c r="CE968" s="68">
        <f t="shared" si="2313"/>
        <v>3916</v>
      </c>
      <c r="CF968" s="68">
        <f t="shared" si="2313"/>
        <v>3916</v>
      </c>
      <c r="CG968" s="68">
        <f t="shared" si="2313"/>
        <v>3916</v>
      </c>
      <c r="CH968" s="1112">
        <f>CG968</f>
        <v>3916</v>
      </c>
      <c r="CI968" s="1112">
        <f t="shared" si="2314"/>
        <v>3916</v>
      </c>
      <c r="CJ968" s="1112">
        <f t="shared" si="2314"/>
        <v>3916</v>
      </c>
      <c r="CK968" s="1112">
        <f t="shared" si="2314"/>
        <v>3916</v>
      </c>
      <c r="CL968" s="155"/>
    </row>
    <row r="969" spans="1:90" x14ac:dyDescent="0.3">
      <c r="A969" s="67" t="s">
        <v>146</v>
      </c>
      <c r="B969" s="146"/>
      <c r="C969" s="1113">
        <v>16.504999999999999</v>
      </c>
      <c r="D969" s="1113">
        <v>8.7520000000000007</v>
      </c>
      <c r="E969" s="1113">
        <v>9.4559999999999995</v>
      </c>
      <c r="F969" s="1113">
        <v>49.930999999999997</v>
      </c>
      <c r="G969" s="1055">
        <v>49.930999999999997</v>
      </c>
      <c r="H969" s="1055">
        <v>49.930999999999997</v>
      </c>
      <c r="I969" s="1055">
        <v>49.930999999999997</v>
      </c>
      <c r="J969" s="27">
        <f>K969</f>
        <v>103.736</v>
      </c>
      <c r="K969" s="1113">
        <v>103.736</v>
      </c>
      <c r="L969" s="1055">
        <v>106.336</v>
      </c>
      <c r="M969" s="1055">
        <v>108.43600000000001</v>
      </c>
      <c r="N969" s="1055">
        <v>107.236</v>
      </c>
      <c r="O969" s="27">
        <f>P969</f>
        <v>68.494</v>
      </c>
      <c r="P969" s="1113">
        <v>68.494</v>
      </c>
      <c r="Q969" s="1055">
        <v>65.195999999999998</v>
      </c>
      <c r="R969" s="1055">
        <v>66.697000000000003</v>
      </c>
      <c r="S969" s="1055">
        <v>61.497999999999998</v>
      </c>
      <c r="T969" s="27">
        <f>U969</f>
        <v>63</v>
      </c>
      <c r="U969" s="1113">
        <v>63</v>
      </c>
      <c r="V969" s="1055">
        <v>58</v>
      </c>
      <c r="W969" s="1055">
        <v>59</v>
      </c>
      <c r="X969" s="1055">
        <v>52</v>
      </c>
      <c r="Y969" s="27">
        <f>Z969</f>
        <v>0</v>
      </c>
      <c r="Z969" s="1112"/>
      <c r="AA969" s="27">
        <f>Z969</f>
        <v>0</v>
      </c>
      <c r="AB969" s="68"/>
      <c r="AC969" s="1055">
        <v>0</v>
      </c>
      <c r="AD969" s="68"/>
      <c r="AE969" s="1112">
        <f>AD969</f>
        <v>0</v>
      </c>
      <c r="AF969" s="1055">
        <v>0</v>
      </c>
      <c r="AG969" s="68"/>
      <c r="AH969" s="68"/>
      <c r="AI969" s="68">
        <f>AJ969</f>
        <v>0</v>
      </c>
      <c r="AJ969" s="1113">
        <v>0</v>
      </c>
      <c r="AK969" s="68"/>
      <c r="AL969" s="68"/>
      <c r="AM969" s="68"/>
      <c r="AN969" s="68">
        <f>AO969</f>
        <v>0</v>
      </c>
      <c r="AO969" s="1112"/>
      <c r="AP969" s="68"/>
      <c r="AQ969" s="68"/>
      <c r="AR969" s="68"/>
      <c r="AS969" s="68">
        <f>AT969</f>
        <v>0</v>
      </c>
      <c r="AT969" s="1112"/>
      <c r="AU969" s="68"/>
      <c r="AV969" s="68"/>
      <c r="AW969" s="68"/>
      <c r="AX969" s="68">
        <f t="shared" si="2305"/>
        <v>0</v>
      </c>
      <c r="AY969" s="1112"/>
      <c r="AZ969" s="68"/>
      <c r="BA969" s="68"/>
      <c r="BB969" s="68"/>
      <c r="BC969" s="68">
        <f t="shared" si="2306"/>
        <v>0</v>
      </c>
      <c r="BD969" s="1112"/>
      <c r="BE969" s="68"/>
      <c r="BF969" s="68"/>
      <c r="BG969" s="68"/>
      <c r="BH969" s="68">
        <f t="shared" si="2307"/>
        <v>0</v>
      </c>
      <c r="BI969" s="1112"/>
      <c r="BJ969" s="68"/>
      <c r="BK969" s="68"/>
      <c r="BL969" s="68"/>
      <c r="BM969" s="68">
        <f>BN969</f>
        <v>0</v>
      </c>
      <c r="BN969" s="1112"/>
      <c r="BO969" s="68"/>
      <c r="BP969" s="68"/>
      <c r="BQ969" s="68"/>
      <c r="BR969" s="68">
        <f>BS969</f>
        <v>0</v>
      </c>
      <c r="BS969" s="1112"/>
      <c r="BT969" s="68"/>
      <c r="BU969" s="68"/>
      <c r="BV969" s="68"/>
      <c r="BW969" s="68">
        <f>BX969</f>
        <v>0</v>
      </c>
      <c r="BX969" s="1112"/>
      <c r="BY969" s="588"/>
      <c r="BZ969" s="68"/>
      <c r="CA969" s="68"/>
      <c r="CB969" s="68"/>
      <c r="CC969" s="1112"/>
      <c r="CD969" s="68"/>
      <c r="CE969" s="68"/>
      <c r="CF969" s="68"/>
      <c r="CG969" s="68"/>
      <c r="CH969" s="1112"/>
      <c r="CI969" s="1112"/>
      <c r="CJ969" s="1112"/>
      <c r="CK969" s="1112"/>
      <c r="CL969" s="155"/>
    </row>
    <row r="970" spans="1:90" x14ac:dyDescent="0.3">
      <c r="A970" s="59" t="s">
        <v>206</v>
      </c>
      <c r="B970" s="607"/>
      <c r="C970" s="1125">
        <f t="shared" ref="C970:AH970" si="2315">SUM(C966:C969)+SUM(C960:C962)</f>
        <v>2167.9579999999996</v>
      </c>
      <c r="D970" s="1125">
        <f t="shared" si="2315"/>
        <v>2480.83</v>
      </c>
      <c r="E970" s="1125">
        <f t="shared" si="2315"/>
        <v>3226.9500000000003</v>
      </c>
      <c r="F970" s="1125">
        <f t="shared" si="2315"/>
        <v>3905.3580000000002</v>
      </c>
      <c r="G970" s="60">
        <f t="shared" si="2315"/>
        <v>4032.1159999999995</v>
      </c>
      <c r="H970" s="60">
        <f t="shared" si="2315"/>
        <v>4213.8509999999997</v>
      </c>
      <c r="I970" s="60">
        <f t="shared" si="2315"/>
        <v>4424.8270000000002</v>
      </c>
      <c r="J970" s="60">
        <f t="shared" si="2315"/>
        <v>4775.2579999999998</v>
      </c>
      <c r="K970" s="1125">
        <f t="shared" si="2315"/>
        <v>4775.2579999999998</v>
      </c>
      <c r="L970" s="60">
        <f t="shared" si="2315"/>
        <v>4606.616</v>
      </c>
      <c r="M970" s="60">
        <f t="shared" si="2315"/>
        <v>3922.6080000000002</v>
      </c>
      <c r="N970" s="60">
        <f t="shared" si="2315"/>
        <v>4049.8409999999994</v>
      </c>
      <c r="O970" s="60">
        <f t="shared" si="2315"/>
        <v>5624.7109999999993</v>
      </c>
      <c r="P970" s="1125">
        <f t="shared" si="2315"/>
        <v>5624.7109999999993</v>
      </c>
      <c r="Q970" s="60">
        <f t="shared" si="2315"/>
        <v>5273.7979999999998</v>
      </c>
      <c r="R970" s="60">
        <f t="shared" si="2315"/>
        <v>5377.5860000000002</v>
      </c>
      <c r="S970" s="60">
        <f t="shared" si="2315"/>
        <v>5341.1090000000004</v>
      </c>
      <c r="T970" s="60">
        <f t="shared" si="2315"/>
        <v>5713</v>
      </c>
      <c r="U970" s="1125">
        <f t="shared" si="2315"/>
        <v>5713</v>
      </c>
      <c r="V970" s="60">
        <f t="shared" si="2315"/>
        <v>5832</v>
      </c>
      <c r="W970" s="60">
        <f t="shared" si="2315"/>
        <v>5608</v>
      </c>
      <c r="X970" s="60">
        <f t="shared" si="2315"/>
        <v>5834</v>
      </c>
      <c r="Y970" s="60">
        <f t="shared" si="2315"/>
        <v>6053</v>
      </c>
      <c r="Z970" s="1125">
        <f t="shared" si="2315"/>
        <v>6053</v>
      </c>
      <c r="AA970" s="60">
        <f t="shared" si="2315"/>
        <v>5790</v>
      </c>
      <c r="AB970" s="60">
        <f t="shared" si="2315"/>
        <v>6156</v>
      </c>
      <c r="AC970" s="61">
        <f t="shared" si="2315"/>
        <v>8307</v>
      </c>
      <c r="AD970" s="61">
        <f t="shared" si="2315"/>
        <v>8536</v>
      </c>
      <c r="AE970" s="1124">
        <f t="shared" si="2315"/>
        <v>8536</v>
      </c>
      <c r="AF970" s="61">
        <f t="shared" si="2315"/>
        <v>8116</v>
      </c>
      <c r="AG970" s="60">
        <f t="shared" si="2315"/>
        <v>8070</v>
      </c>
      <c r="AH970" s="60">
        <f t="shared" si="2315"/>
        <v>8479</v>
      </c>
      <c r="AI970" s="61">
        <f t="shared" ref="AI970:AV970" si="2316">SUM(AI966:AI969)+SUM(AI960:AI962)</f>
        <v>9255</v>
      </c>
      <c r="AJ970" s="1124">
        <f t="shared" si="2316"/>
        <v>9255</v>
      </c>
      <c r="AK970" s="60">
        <f t="shared" si="2316"/>
        <v>9448</v>
      </c>
      <c r="AL970" s="60">
        <f t="shared" si="2316"/>
        <v>10831</v>
      </c>
      <c r="AM970" s="60">
        <f t="shared" si="2316"/>
        <v>11386</v>
      </c>
      <c r="AN970" s="61">
        <f t="shared" si="2316"/>
        <v>10557</v>
      </c>
      <c r="AO970" s="1124">
        <f t="shared" si="2316"/>
        <v>10557</v>
      </c>
      <c r="AP970" s="60">
        <f t="shared" si="2316"/>
        <v>10629</v>
      </c>
      <c r="AQ970" s="60">
        <f t="shared" si="2316"/>
        <v>11391</v>
      </c>
      <c r="AR970" s="60">
        <f t="shared" si="2316"/>
        <v>12420</v>
      </c>
      <c r="AS970" s="61">
        <f t="shared" si="2316"/>
        <v>13690</v>
      </c>
      <c r="AT970" s="1124">
        <f t="shared" si="2316"/>
        <v>13690</v>
      </c>
      <c r="AU970" s="60">
        <f t="shared" si="2316"/>
        <v>19584</v>
      </c>
      <c r="AV970" s="60">
        <f t="shared" si="2316"/>
        <v>14681</v>
      </c>
      <c r="AW970" s="60">
        <f t="shared" ref="AW970:BB970" si="2317">SUM(AW966:AW969)+SUM(AW960:AW962)</f>
        <v>14393</v>
      </c>
      <c r="AX970" s="61">
        <f t="shared" si="2317"/>
        <v>16055</v>
      </c>
      <c r="AY970" s="1124">
        <f t="shared" si="2317"/>
        <v>16055</v>
      </c>
      <c r="AZ970" s="60">
        <f t="shared" si="2317"/>
        <v>18127</v>
      </c>
      <c r="BA970" s="60">
        <f t="shared" si="2317"/>
        <v>25806</v>
      </c>
      <c r="BB970" s="60">
        <f t="shared" si="2317"/>
        <v>25806</v>
      </c>
      <c r="BC970" s="61">
        <f t="shared" ref="BC970:BF970" si="2318">SUM(BC966:BC969)+SUM(BC960:BC962)</f>
        <v>28829</v>
      </c>
      <c r="BD970" s="1124">
        <f t="shared" si="2318"/>
        <v>28829</v>
      </c>
      <c r="BE970" s="60">
        <f>SUM(BE966:BE969)+SUM(BE960:BE962)</f>
        <v>29575</v>
      </c>
      <c r="BF970" s="61">
        <f t="shared" si="2318"/>
        <v>27418</v>
      </c>
      <c r="BG970" s="60">
        <f t="shared" ref="BG970:BI970" si="2319">SUM(BG966:BG969)+SUM(BG960:BG962)</f>
        <v>23223</v>
      </c>
      <c r="BH970" s="61">
        <f t="shared" si="2319"/>
        <v>23073</v>
      </c>
      <c r="BI970" s="1124">
        <f t="shared" si="2319"/>
        <v>23073</v>
      </c>
      <c r="BJ970" s="60">
        <f t="shared" ref="BJ970:BN970" si="2320">SUM(BJ966:BJ969)+SUM(BJ960:BJ962)</f>
        <v>24883</v>
      </c>
      <c r="BK970" s="61">
        <f t="shared" si="2320"/>
        <v>28797</v>
      </c>
      <c r="BL970" s="60">
        <f t="shared" si="2320"/>
        <v>32658</v>
      </c>
      <c r="BM970" s="61">
        <f t="shared" si="2320"/>
        <v>44345</v>
      </c>
      <c r="BN970" s="1124">
        <f t="shared" si="2320"/>
        <v>44345</v>
      </c>
      <c r="BO970" s="60">
        <f t="shared" ref="BO970:BS970" si="2321">SUM(BO966:BO969)+SUM(BO960:BO962)</f>
        <v>53729</v>
      </c>
      <c r="BP970" s="61">
        <f t="shared" si="2321"/>
        <v>59633</v>
      </c>
      <c r="BQ970" s="60">
        <f t="shared" si="2321"/>
        <v>67640</v>
      </c>
      <c r="BR970" s="61">
        <f t="shared" si="2321"/>
        <v>80126</v>
      </c>
      <c r="BS970" s="1124">
        <f t="shared" si="2321"/>
        <v>80126</v>
      </c>
      <c r="BT970" s="60">
        <f t="shared" ref="BT970:CK970" si="2322">SUM(BT966:BT969)+SUM(BT960:BT962)</f>
        <v>89935</v>
      </c>
      <c r="BU970" s="61">
        <f t="shared" si="2322"/>
        <v>102219</v>
      </c>
      <c r="BV970" s="60">
        <f t="shared" si="2322"/>
        <v>116492</v>
      </c>
      <c r="BW970" s="61">
        <f t="shared" si="2322"/>
        <v>125605</v>
      </c>
      <c r="BX970" s="1124">
        <f t="shared" si="2322"/>
        <v>125605</v>
      </c>
      <c r="BY970" s="895">
        <f>SUM(BY966:BY969)+SUM(BY960:BY962)</f>
        <v>150995</v>
      </c>
      <c r="BZ970" s="61">
        <f t="shared" si="2322"/>
        <v>193094.46009278164</v>
      </c>
      <c r="CA970" s="61">
        <f t="shared" si="2322"/>
        <v>240846.89518713698</v>
      </c>
      <c r="CB970" s="61">
        <f t="shared" si="2322"/>
        <v>296377.98704643478</v>
      </c>
      <c r="CC970" s="1124">
        <f t="shared" si="2322"/>
        <v>296377.98704643478</v>
      </c>
      <c r="CD970" s="61">
        <f t="shared" si="2322"/>
        <v>365402.20784712769</v>
      </c>
      <c r="CE970" s="61">
        <f t="shared" si="2322"/>
        <v>419368.72614289372</v>
      </c>
      <c r="CF970" s="61">
        <f t="shared" si="2322"/>
        <v>479327.20962957741</v>
      </c>
      <c r="CG970" s="61">
        <f t="shared" si="2322"/>
        <v>551027.75026319583</v>
      </c>
      <c r="CH970" s="1124">
        <f t="shared" si="2322"/>
        <v>551027.75026319583</v>
      </c>
      <c r="CI970" s="1124">
        <f t="shared" si="2322"/>
        <v>861898.32058590383</v>
      </c>
      <c r="CJ970" s="1124">
        <f t="shared" si="2322"/>
        <v>1236852.6707956658</v>
      </c>
      <c r="CK970" s="1124">
        <f t="shared" si="2322"/>
        <v>1689112.9396263279</v>
      </c>
      <c r="CL970" s="155"/>
    </row>
    <row r="971" spans="1:90" x14ac:dyDescent="0.3">
      <c r="A971" s="600"/>
      <c r="B971" s="279"/>
      <c r="C971" s="1127"/>
      <c r="D971" s="1127"/>
      <c r="E971" s="1127"/>
      <c r="F971" s="1127"/>
      <c r="G971" s="63"/>
      <c r="H971" s="63"/>
      <c r="I971" s="63"/>
      <c r="J971" s="63"/>
      <c r="K971" s="1127"/>
      <c r="L971" s="63"/>
      <c r="M971" s="63"/>
      <c r="N971" s="63"/>
      <c r="O971" s="63"/>
      <c r="P971" s="1127"/>
      <c r="Q971" s="63"/>
      <c r="R971" s="63"/>
      <c r="S971" s="63"/>
      <c r="T971" s="63"/>
      <c r="U971" s="1127"/>
      <c r="V971" s="63"/>
      <c r="W971" s="63"/>
      <c r="X971" s="63"/>
      <c r="Y971" s="63"/>
      <c r="Z971" s="1127"/>
      <c r="AA971" s="63"/>
      <c r="AB971" s="63"/>
      <c r="AC971" s="63"/>
      <c r="AD971" s="63"/>
      <c r="AE971" s="1127"/>
      <c r="AF971" s="63"/>
      <c r="AG971" s="63"/>
      <c r="AH971" s="63"/>
      <c r="AI971" s="63"/>
      <c r="AJ971" s="1127"/>
      <c r="AK971" s="63"/>
      <c r="AL971" s="63"/>
      <c r="AM971" s="63"/>
      <c r="AN971" s="63"/>
      <c r="AO971" s="1127"/>
      <c r="AP971" s="63"/>
      <c r="AQ971" s="63"/>
      <c r="AR971" s="63"/>
      <c r="AS971" s="63"/>
      <c r="AT971" s="1127"/>
      <c r="AU971" s="63"/>
      <c r="AV971" s="63"/>
      <c r="AW971" s="63"/>
      <c r="AX971" s="63"/>
      <c r="AY971" s="1127"/>
      <c r="AZ971" s="63"/>
      <c r="BA971" s="63"/>
      <c r="BB971" s="63"/>
      <c r="BC971" s="63"/>
      <c r="BD971" s="1127"/>
      <c r="BE971" s="63"/>
      <c r="BF971" s="63"/>
      <c r="BG971" s="63"/>
      <c r="BH971" s="63"/>
      <c r="BI971" s="1127"/>
      <c r="BJ971" s="63"/>
      <c r="BK971" s="63"/>
      <c r="BL971" s="63"/>
      <c r="BM971" s="63"/>
      <c r="BN971" s="1127"/>
      <c r="BO971" s="63"/>
      <c r="BP971" s="63"/>
      <c r="BQ971" s="63"/>
      <c r="BR971" s="63"/>
      <c r="BS971" s="1127"/>
      <c r="BT971" s="63"/>
      <c r="BU971" s="63"/>
      <c r="BV971" s="63"/>
      <c r="BW971" s="63"/>
      <c r="BX971" s="1127"/>
      <c r="BY971" s="587"/>
      <c r="BZ971" s="63"/>
      <c r="CA971" s="63"/>
      <c r="CB971" s="63"/>
      <c r="CC971" s="1127"/>
      <c r="CD971" s="63"/>
      <c r="CE971" s="63"/>
      <c r="CF971" s="63"/>
      <c r="CG971" s="63"/>
      <c r="CH971" s="1127"/>
      <c r="CI971" s="1127"/>
      <c r="CJ971" s="1127"/>
      <c r="CK971" s="1127"/>
      <c r="CL971" s="155"/>
    </row>
    <row r="972" spans="1:90" x14ac:dyDescent="0.3">
      <c r="A972" s="69" t="s">
        <v>207</v>
      </c>
      <c r="B972" s="279"/>
      <c r="C972" s="1127"/>
      <c r="D972" s="1127"/>
      <c r="E972" s="1127"/>
      <c r="F972" s="1127"/>
      <c r="G972" s="63"/>
      <c r="H972" s="63"/>
      <c r="I972" s="63"/>
      <c r="J972" s="63"/>
      <c r="K972" s="1127"/>
      <c r="L972" s="63"/>
      <c r="M972" s="63"/>
      <c r="N972" s="63"/>
      <c r="O972" s="63"/>
      <c r="P972" s="1127"/>
      <c r="Q972" s="63"/>
      <c r="R972" s="63"/>
      <c r="S972" s="63"/>
      <c r="T972" s="63"/>
      <c r="U972" s="1127"/>
      <c r="V972" s="63"/>
      <c r="W972" s="63"/>
      <c r="X972" s="63"/>
      <c r="Y972" s="63"/>
      <c r="Z972" s="1127"/>
      <c r="AA972" s="63"/>
      <c r="AB972" s="63"/>
      <c r="AC972" s="63"/>
      <c r="AD972" s="63"/>
      <c r="AE972" s="1127"/>
      <c r="AF972" s="63"/>
      <c r="AG972" s="63"/>
      <c r="AH972" s="63"/>
      <c r="AI972" s="63"/>
      <c r="AJ972" s="1127"/>
      <c r="AK972" s="63"/>
      <c r="AL972" s="63"/>
      <c r="AM972" s="63"/>
      <c r="AN972" s="63"/>
      <c r="AO972" s="1127"/>
      <c r="AP972" s="63"/>
      <c r="AQ972" s="63"/>
      <c r="AR972" s="63"/>
      <c r="AS972" s="63"/>
      <c r="AT972" s="1127"/>
      <c r="AU972" s="63"/>
      <c r="AV972" s="63"/>
      <c r="AW972" s="63"/>
      <c r="AX972" s="63"/>
      <c r="AY972" s="1127"/>
      <c r="AZ972" s="63"/>
      <c r="BA972" s="63"/>
      <c r="BB972" s="63"/>
      <c r="BC972" s="63"/>
      <c r="BD972" s="1127"/>
      <c r="BE972" s="63"/>
      <c r="BF972" s="63"/>
      <c r="BG972" s="63"/>
      <c r="BH972" s="63"/>
      <c r="BI972" s="1127"/>
      <c r="BJ972" s="63"/>
      <c r="BK972" s="63"/>
      <c r="BL972" s="63"/>
      <c r="BM972" s="63"/>
      <c r="BN972" s="1127"/>
      <c r="BO972" s="63"/>
      <c r="BP972" s="63"/>
      <c r="BQ972" s="63"/>
      <c r="BR972" s="63"/>
      <c r="BS972" s="1127"/>
      <c r="BT972" s="63"/>
      <c r="BU972" s="63"/>
      <c r="BV972" s="63"/>
      <c r="BW972" s="63"/>
      <c r="BX972" s="1127"/>
      <c r="BY972" s="587"/>
      <c r="BZ972" s="63"/>
      <c r="CA972" s="63"/>
      <c r="CB972" s="63"/>
      <c r="CC972" s="1127"/>
      <c r="CD972" s="63"/>
      <c r="CE972" s="63"/>
      <c r="CF972" s="63"/>
      <c r="CG972" s="63"/>
      <c r="CH972" s="1127"/>
      <c r="CI972" s="1127"/>
      <c r="CJ972" s="1127"/>
      <c r="CK972" s="1127"/>
      <c r="CL972" s="155"/>
    </row>
    <row r="973" spans="1:90" x14ac:dyDescent="0.3">
      <c r="A973" s="67" t="s">
        <v>208</v>
      </c>
      <c r="B973" s="146"/>
      <c r="C973" s="1113">
        <v>625.798</v>
      </c>
      <c r="D973" s="1113">
        <v>571.85799999999995</v>
      </c>
      <c r="E973" s="1113">
        <v>568.85699999999997</v>
      </c>
      <c r="F973" s="1113">
        <v>560.072</v>
      </c>
      <c r="G973" s="1055">
        <v>553.54100000000005</v>
      </c>
      <c r="H973" s="1055">
        <v>574.05600000000004</v>
      </c>
      <c r="I973" s="1055">
        <v>566.54</v>
      </c>
      <c r="J973" s="27">
        <f>K973</f>
        <v>576.14400000000001</v>
      </c>
      <c r="K973" s="1113">
        <v>576.14400000000001</v>
      </c>
      <c r="L973" s="1055">
        <v>588.02300000000002</v>
      </c>
      <c r="M973" s="1055">
        <v>578.94799999999998</v>
      </c>
      <c r="N973" s="1055">
        <v>595.41800000000001</v>
      </c>
      <c r="O973" s="27">
        <f>P973</f>
        <v>582.74</v>
      </c>
      <c r="P973" s="1113">
        <v>582.74</v>
      </c>
      <c r="Q973" s="1055">
        <v>570.80200000000002</v>
      </c>
      <c r="R973" s="1055">
        <v>556.91099999999994</v>
      </c>
      <c r="S973" s="1055">
        <v>566.601</v>
      </c>
      <c r="T973" s="27">
        <f>U973</f>
        <v>557</v>
      </c>
      <c r="U973" s="1113">
        <v>557</v>
      </c>
      <c r="V973" s="1055">
        <v>547</v>
      </c>
      <c r="W973" s="1055">
        <v>497</v>
      </c>
      <c r="X973" s="1055">
        <v>477</v>
      </c>
      <c r="Y973" s="27">
        <f>Z973</f>
        <v>466</v>
      </c>
      <c r="Z973" s="1113">
        <v>466</v>
      </c>
      <c r="AA973" s="1055">
        <v>479</v>
      </c>
      <c r="AB973" s="1055">
        <v>485</v>
      </c>
      <c r="AC973" s="1055">
        <v>503</v>
      </c>
      <c r="AD973" s="1055">
        <v>521</v>
      </c>
      <c r="AE973" s="1112">
        <f>AD973</f>
        <v>521</v>
      </c>
      <c r="AF973" s="1055">
        <v>539</v>
      </c>
      <c r="AG973" s="1055">
        <v>578</v>
      </c>
      <c r="AH973" s="1055">
        <v>600</v>
      </c>
      <c r="AI973" s="68">
        <f>AJ973</f>
        <v>997</v>
      </c>
      <c r="AJ973" s="1113">
        <v>997</v>
      </c>
      <c r="AK973" s="1055">
        <v>1066</v>
      </c>
      <c r="AL973" s="1055">
        <v>1162</v>
      </c>
      <c r="AM973" s="1055">
        <v>1292</v>
      </c>
      <c r="AN973" s="68">
        <f>AO973</f>
        <v>1404</v>
      </c>
      <c r="AO973" s="1113">
        <v>1404</v>
      </c>
      <c r="AP973" s="1055">
        <v>1473</v>
      </c>
      <c r="AQ973" s="1055">
        <v>1484</v>
      </c>
      <c r="AR973" s="1055">
        <v>1517</v>
      </c>
      <c r="AS973" s="68">
        <f>AT973</f>
        <v>1674</v>
      </c>
      <c r="AT973" s="1113">
        <v>1674</v>
      </c>
      <c r="AU973" s="1055">
        <v>1715</v>
      </c>
      <c r="AV973" s="1055">
        <v>1964</v>
      </c>
      <c r="AW973" s="1055">
        <v>2059</v>
      </c>
      <c r="AX973" s="68">
        <f t="shared" ref="AX973:AX979" si="2323">AY973</f>
        <v>2149</v>
      </c>
      <c r="AY973" s="1113">
        <v>2149</v>
      </c>
      <c r="AZ973" s="1055">
        <v>2268</v>
      </c>
      <c r="BA973" s="1055">
        <v>2364</v>
      </c>
      <c r="BB973" s="1055">
        <v>2509</v>
      </c>
      <c r="BC973" s="68">
        <f t="shared" ref="BC973:BC982" si="2324">BD973</f>
        <v>2778</v>
      </c>
      <c r="BD973" s="1113">
        <v>2778</v>
      </c>
      <c r="BE973" s="1055">
        <v>2916</v>
      </c>
      <c r="BF973" s="1055">
        <v>3233</v>
      </c>
      <c r="BG973" s="1055">
        <v>3774</v>
      </c>
      <c r="BH973" s="68">
        <f t="shared" ref="BH973:BH988" si="2325">BI973</f>
        <v>3807</v>
      </c>
      <c r="BI973" s="1113">
        <v>3807</v>
      </c>
      <c r="BJ973" s="1055">
        <v>3740</v>
      </c>
      <c r="BK973" s="1055">
        <v>3799</v>
      </c>
      <c r="BL973" s="1055">
        <v>3844</v>
      </c>
      <c r="BM973" s="68">
        <f t="shared" ref="BM973:BM984" si="2326">BN973</f>
        <v>3914</v>
      </c>
      <c r="BN973" s="1113">
        <v>3914</v>
      </c>
      <c r="BO973" s="1055">
        <v>4006</v>
      </c>
      <c r="BP973" s="1055">
        <v>4885</v>
      </c>
      <c r="BQ973" s="1055">
        <v>5343</v>
      </c>
      <c r="BR973" s="68">
        <f>BS973</f>
        <v>6283</v>
      </c>
      <c r="BS973" s="1113">
        <v>6283</v>
      </c>
      <c r="BT973" s="1055">
        <v>7136</v>
      </c>
      <c r="BU973" s="1055">
        <v>9141</v>
      </c>
      <c r="BV973" s="1055">
        <v>9780</v>
      </c>
      <c r="BW973" s="68">
        <f t="shared" ref="BW973:BW979" si="2327">BX973</f>
        <v>10383</v>
      </c>
      <c r="BX973" s="1113">
        <v>10383</v>
      </c>
      <c r="BY973" s="1057">
        <v>12403</v>
      </c>
      <c r="BZ973" s="68">
        <f>BY973-BZ885+BZ926+BZ925</f>
        <v>11904.516226415095</v>
      </c>
      <c r="CA973" s="68">
        <f>BZ973-CA885+CA926+CA925</f>
        <v>11429.479762437066</v>
      </c>
      <c r="CB973" s="68">
        <f>CA973-CB885+CB926+CB925</f>
        <v>10945.02159637598</v>
      </c>
      <c r="CC973" s="1112">
        <f>CB973</f>
        <v>10945.02159637598</v>
      </c>
      <c r="CD973" s="68">
        <f>CC973-CD885+CD926+CD925</f>
        <v>10543.637213526281</v>
      </c>
      <c r="CE973" s="68">
        <f>CD973-CE885+CE926+CE925</f>
        <v>10152.678428671399</v>
      </c>
      <c r="CF973" s="68">
        <f>CE973-CF885+CF926+CF925</f>
        <v>9779.8302971266876</v>
      </c>
      <c r="CG973" s="68">
        <f>CF973-CG885+CG926+CG925</f>
        <v>9424.450032511555</v>
      </c>
      <c r="CH973" s="1112">
        <f>CG973</f>
        <v>9424.450032511555</v>
      </c>
      <c r="CI973" s="1112">
        <f>CH973-CI885+CI926+CI925</f>
        <v>8144.0930240585512</v>
      </c>
      <c r="CJ973" s="1112">
        <f>CI973-CJ885+CJ926+CJ925</f>
        <v>7196.6288378033278</v>
      </c>
      <c r="CK973" s="1112">
        <f>CJ973-CK885+CK926+CK925</f>
        <v>6495.5053399744629</v>
      </c>
      <c r="CL973" s="155"/>
    </row>
    <row r="974" spans="1:90" x14ac:dyDescent="0.3">
      <c r="A974" s="67" t="s">
        <v>405</v>
      </c>
      <c r="B974" s="146"/>
      <c r="C974" s="1112"/>
      <c r="D974" s="1112"/>
      <c r="E974" s="1112"/>
      <c r="F974" s="1112"/>
      <c r="G974" s="68"/>
      <c r="H974" s="68"/>
      <c r="I974" s="68"/>
      <c r="J974" s="68"/>
      <c r="K974" s="1112"/>
      <c r="L974" s="68"/>
      <c r="M974" s="68"/>
      <c r="N974" s="68"/>
      <c r="O974" s="68"/>
      <c r="P974" s="1112"/>
      <c r="Q974" s="68"/>
      <c r="R974" s="68"/>
      <c r="S974" s="68"/>
      <c r="T974" s="68"/>
      <c r="U974" s="1112"/>
      <c r="V974" s="68"/>
      <c r="W974" s="68"/>
      <c r="X974" s="68"/>
      <c r="Y974" s="68"/>
      <c r="Z974" s="1112"/>
      <c r="AA974" s="68"/>
      <c r="AB974" s="68"/>
      <c r="AC974" s="68"/>
      <c r="AD974" s="68"/>
      <c r="AE974" s="1112"/>
      <c r="AF974" s="68"/>
      <c r="AG974" s="68"/>
      <c r="AH974" s="68"/>
      <c r="AI974" s="68"/>
      <c r="AJ974" s="1112"/>
      <c r="AK974" s="68"/>
      <c r="AL974" s="68"/>
      <c r="AM974" s="68"/>
      <c r="AN974" s="68"/>
      <c r="AO974" s="1112"/>
      <c r="AP974" s="1055">
        <v>536</v>
      </c>
      <c r="AQ974" s="1055">
        <v>535</v>
      </c>
      <c r="AR974" s="1055">
        <v>527</v>
      </c>
      <c r="AS974" s="68">
        <f>AT974</f>
        <v>618</v>
      </c>
      <c r="AT974" s="1113">
        <v>618</v>
      </c>
      <c r="AU974" s="1055">
        <v>595</v>
      </c>
      <c r="AV974" s="1055">
        <v>701</v>
      </c>
      <c r="AW974" s="1055">
        <v>681</v>
      </c>
      <c r="AX974" s="68">
        <f t="shared" si="2323"/>
        <v>707</v>
      </c>
      <c r="AY974" s="1113">
        <v>707</v>
      </c>
      <c r="AZ974" s="1055">
        <v>727</v>
      </c>
      <c r="BA974" s="1055">
        <v>801</v>
      </c>
      <c r="BB974" s="1055">
        <v>830</v>
      </c>
      <c r="BC974" s="68">
        <f t="shared" si="2324"/>
        <v>829</v>
      </c>
      <c r="BD974" s="1113">
        <v>829</v>
      </c>
      <c r="BE974" s="1055">
        <v>856</v>
      </c>
      <c r="BF974" s="1055">
        <v>852</v>
      </c>
      <c r="BG974" s="1055">
        <v>927</v>
      </c>
      <c r="BH974" s="68">
        <f t="shared" si="2325"/>
        <v>1038</v>
      </c>
      <c r="BI974" s="1113">
        <v>1038</v>
      </c>
      <c r="BJ974" s="1055">
        <v>1094</v>
      </c>
      <c r="BK974" s="1055">
        <v>1235</v>
      </c>
      <c r="BL974" s="1055">
        <v>1316</v>
      </c>
      <c r="BM974" s="68">
        <f t="shared" si="2326"/>
        <v>1346</v>
      </c>
      <c r="BN974" s="1113">
        <v>1346</v>
      </c>
      <c r="BO974" s="1055">
        <v>1532</v>
      </c>
      <c r="BP974" s="1055">
        <v>1556</v>
      </c>
      <c r="BQ974" s="1055">
        <v>1755</v>
      </c>
      <c r="BR974" s="68">
        <f>BS974</f>
        <v>1793</v>
      </c>
      <c r="BS974" s="1113">
        <v>1793</v>
      </c>
      <c r="BT974" s="1055">
        <v>1810</v>
      </c>
      <c r="BU974" s="1055">
        <v>2084</v>
      </c>
      <c r="BV974" s="1055">
        <v>2281</v>
      </c>
      <c r="BW974" s="68">
        <f t="shared" si="2327"/>
        <v>2867</v>
      </c>
      <c r="BX974" s="1113">
        <v>2867</v>
      </c>
      <c r="BY974" s="1057">
        <v>4258</v>
      </c>
      <c r="BZ974" s="68">
        <f t="shared" ref="BZ974:CB975" si="2328">BY974</f>
        <v>4258</v>
      </c>
      <c r="CA974" s="68">
        <f t="shared" si="2328"/>
        <v>4258</v>
      </c>
      <c r="CB974" s="68">
        <f t="shared" si="2328"/>
        <v>4258</v>
      </c>
      <c r="CC974" s="1112">
        <f>CB974</f>
        <v>4258</v>
      </c>
      <c r="CD974" s="68">
        <f t="shared" ref="CD974:CG975" si="2329">CC974</f>
        <v>4258</v>
      </c>
      <c r="CE974" s="68">
        <f t="shared" si="2329"/>
        <v>4258</v>
      </c>
      <c r="CF974" s="68">
        <f t="shared" si="2329"/>
        <v>4258</v>
      </c>
      <c r="CG974" s="68">
        <f t="shared" si="2329"/>
        <v>4258</v>
      </c>
      <c r="CH974" s="1112">
        <f>CG974</f>
        <v>4258</v>
      </c>
      <c r="CI974" s="1112">
        <f t="shared" ref="CI974:CK975" si="2330">CH974</f>
        <v>4258</v>
      </c>
      <c r="CJ974" s="1112">
        <f t="shared" si="2330"/>
        <v>4258</v>
      </c>
      <c r="CK974" s="1112">
        <f t="shared" si="2330"/>
        <v>4258</v>
      </c>
      <c r="CL974" s="155"/>
    </row>
    <row r="975" spans="1:90" x14ac:dyDescent="0.3">
      <c r="A975" s="67" t="s">
        <v>209</v>
      </c>
      <c r="B975" s="146"/>
      <c r="C975" s="1113">
        <v>369.84399999999999</v>
      </c>
      <c r="D975" s="1113">
        <v>369.84399999999999</v>
      </c>
      <c r="E975" s="1113">
        <v>369.84399999999999</v>
      </c>
      <c r="F975" s="1113">
        <v>641.03</v>
      </c>
      <c r="G975" s="1055">
        <v>641.03</v>
      </c>
      <c r="H975" s="1055">
        <v>641.03</v>
      </c>
      <c r="I975" s="1055">
        <v>641.03</v>
      </c>
      <c r="J975" s="27">
        <f>K975</f>
        <v>641.03</v>
      </c>
      <c r="K975" s="1113">
        <v>641.03</v>
      </c>
      <c r="L975" s="1055">
        <v>641.03</v>
      </c>
      <c r="M975" s="1055">
        <v>641.03</v>
      </c>
      <c r="N975" s="1055">
        <v>643.17899999999997</v>
      </c>
      <c r="O975" s="27">
        <f>P975</f>
        <v>643.17899999999997</v>
      </c>
      <c r="P975" s="1113">
        <v>643.17899999999997</v>
      </c>
      <c r="Q975" s="1055">
        <v>643.17899999999997</v>
      </c>
      <c r="R975" s="1055">
        <v>643.17899999999997</v>
      </c>
      <c r="S975" s="1055">
        <v>643.17899999999997</v>
      </c>
      <c r="T975" s="27">
        <f>U975</f>
        <v>618</v>
      </c>
      <c r="U975" s="1113">
        <v>618</v>
      </c>
      <c r="V975" s="1055">
        <v>618</v>
      </c>
      <c r="W975" s="1055">
        <v>618</v>
      </c>
      <c r="X975" s="1055">
        <v>618</v>
      </c>
      <c r="Y975" s="27">
        <f>Z975</f>
        <v>618</v>
      </c>
      <c r="Z975" s="1113">
        <v>618</v>
      </c>
      <c r="AA975" s="1055">
        <v>618</v>
      </c>
      <c r="AB975" s="1055">
        <v>618</v>
      </c>
      <c r="AC975" s="1055">
        <v>618</v>
      </c>
      <c r="AD975" s="1055">
        <v>618</v>
      </c>
      <c r="AE975" s="1112">
        <f>AD975</f>
        <v>618</v>
      </c>
      <c r="AF975" s="1055">
        <v>618</v>
      </c>
      <c r="AG975" s="1055">
        <v>618</v>
      </c>
      <c r="AH975" s="1055">
        <v>618</v>
      </c>
      <c r="AI975" s="68">
        <f>AJ975</f>
        <v>618</v>
      </c>
      <c r="AJ975" s="1113">
        <v>618</v>
      </c>
      <c r="AK975" s="1055">
        <v>618</v>
      </c>
      <c r="AL975" s="1055">
        <v>618</v>
      </c>
      <c r="AM975" s="1055">
        <v>618</v>
      </c>
      <c r="AN975" s="68">
        <f>AO975</f>
        <v>618</v>
      </c>
      <c r="AO975" s="1113">
        <v>618</v>
      </c>
      <c r="AP975" s="1055">
        <v>618</v>
      </c>
      <c r="AQ975" s="1055">
        <v>618</v>
      </c>
      <c r="AR975" s="1055">
        <v>618</v>
      </c>
      <c r="AS975" s="68">
        <f>AT975</f>
        <v>618</v>
      </c>
      <c r="AT975" s="1113">
        <v>618</v>
      </c>
      <c r="AU975" s="1055">
        <v>628</v>
      </c>
      <c r="AV975" s="1055">
        <v>4193</v>
      </c>
      <c r="AW975" s="1055">
        <v>4193</v>
      </c>
      <c r="AX975" s="68">
        <f t="shared" si="2323"/>
        <v>4193</v>
      </c>
      <c r="AY975" s="1113">
        <v>4193</v>
      </c>
      <c r="AZ975" s="1055">
        <v>4193</v>
      </c>
      <c r="BA975" s="1055">
        <v>4193</v>
      </c>
      <c r="BB975" s="1055">
        <v>4302</v>
      </c>
      <c r="BC975" s="68">
        <f t="shared" si="2324"/>
        <v>4349</v>
      </c>
      <c r="BD975" s="1113">
        <v>4349</v>
      </c>
      <c r="BE975" s="1055">
        <v>4365</v>
      </c>
      <c r="BF975" s="1055">
        <v>4372</v>
      </c>
      <c r="BG975" s="1055">
        <v>4372</v>
      </c>
      <c r="BH975" s="68">
        <f t="shared" si="2325"/>
        <v>4372</v>
      </c>
      <c r="BI975" s="1113">
        <v>4372</v>
      </c>
      <c r="BJ975" s="1055">
        <v>4430</v>
      </c>
      <c r="BK975" s="1055">
        <v>4430</v>
      </c>
      <c r="BL975" s="1055">
        <v>4430</v>
      </c>
      <c r="BM975" s="68">
        <f t="shared" si="2326"/>
        <v>4430</v>
      </c>
      <c r="BN975" s="1113">
        <v>4430</v>
      </c>
      <c r="BO975" s="1055">
        <v>4453</v>
      </c>
      <c r="BP975" s="1055">
        <v>4622</v>
      </c>
      <c r="BQ975" s="1055">
        <v>4724</v>
      </c>
      <c r="BR975" s="68">
        <f>BS975</f>
        <v>5188</v>
      </c>
      <c r="BS975" s="1113">
        <v>5188</v>
      </c>
      <c r="BT975" s="1055">
        <v>5498</v>
      </c>
      <c r="BU975" s="1055">
        <v>5755</v>
      </c>
      <c r="BV975" s="1055">
        <v>6261</v>
      </c>
      <c r="BW975" s="68">
        <f t="shared" si="2327"/>
        <v>20832</v>
      </c>
      <c r="BX975" s="1113">
        <v>20832</v>
      </c>
      <c r="BY975" s="1057">
        <v>20894</v>
      </c>
      <c r="BZ975" s="68">
        <f t="shared" si="2328"/>
        <v>20894</v>
      </c>
      <c r="CA975" s="68">
        <f t="shared" si="2328"/>
        <v>20894</v>
      </c>
      <c r="CB975" s="68">
        <f t="shared" si="2328"/>
        <v>20894</v>
      </c>
      <c r="CC975" s="1112">
        <f>CB975</f>
        <v>20894</v>
      </c>
      <c r="CD975" s="68">
        <f t="shared" si="2329"/>
        <v>20894</v>
      </c>
      <c r="CE975" s="68">
        <f t="shared" si="2329"/>
        <v>20894</v>
      </c>
      <c r="CF975" s="68">
        <f t="shared" si="2329"/>
        <v>20894</v>
      </c>
      <c r="CG975" s="68">
        <f t="shared" si="2329"/>
        <v>20894</v>
      </c>
      <c r="CH975" s="1112">
        <f>CG975</f>
        <v>20894</v>
      </c>
      <c r="CI975" s="1112">
        <f t="shared" si="2330"/>
        <v>20894</v>
      </c>
      <c r="CJ975" s="1112">
        <f t="shared" si="2330"/>
        <v>20894</v>
      </c>
      <c r="CK975" s="1112">
        <f t="shared" si="2330"/>
        <v>20894</v>
      </c>
      <c r="CL975" s="155"/>
    </row>
    <row r="976" spans="1:90" x14ac:dyDescent="0.3">
      <c r="A976" s="73" t="s">
        <v>579</v>
      </c>
      <c r="B976" s="146"/>
      <c r="C976" s="1112"/>
      <c r="D976" s="1112"/>
      <c r="E976" s="1113">
        <v>14.225</v>
      </c>
      <c r="F976" s="1113">
        <v>92.778000000000006</v>
      </c>
      <c r="G976" s="1055">
        <v>88.445999999999998</v>
      </c>
      <c r="H976" s="1055">
        <v>84.38</v>
      </c>
      <c r="I976" s="1055">
        <v>79.975999999999999</v>
      </c>
      <c r="J976" s="1055">
        <v>75.650000000000006</v>
      </c>
      <c r="K976" s="1113">
        <v>75.650000000000006</v>
      </c>
      <c r="L976" s="1055">
        <v>71.733000000000004</v>
      </c>
      <c r="M976" s="1055">
        <v>68.751000000000005</v>
      </c>
      <c r="N976" s="1055">
        <v>80.043000000000006</v>
      </c>
      <c r="O976" s="1055">
        <v>75.135000000000005</v>
      </c>
      <c r="P976" s="1113">
        <v>75.135000000000005</v>
      </c>
      <c r="Q976" s="1055">
        <v>70.144999999999996</v>
      </c>
      <c r="R976" s="1055">
        <v>65.156000000000006</v>
      </c>
      <c r="S976" s="1055">
        <v>60.165999999999997</v>
      </c>
      <c r="T976" s="1055">
        <v>55.177</v>
      </c>
      <c r="U976" s="1113">
        <v>55.177</v>
      </c>
      <c r="V976" s="1055">
        <v>50</v>
      </c>
      <c r="W976" s="1055">
        <v>50</v>
      </c>
      <c r="X976" s="1055">
        <v>45</v>
      </c>
      <c r="Y976" s="1055">
        <v>41</v>
      </c>
      <c r="Z976" s="1113">
        <v>41</v>
      </c>
      <c r="AA976" s="1055">
        <v>37</v>
      </c>
      <c r="AB976" s="1055">
        <v>33</v>
      </c>
      <c r="AC976" s="1055">
        <v>30</v>
      </c>
      <c r="AD976" s="1055">
        <v>26</v>
      </c>
      <c r="AE976" s="1113">
        <v>26</v>
      </c>
      <c r="AF976" s="1055">
        <v>22</v>
      </c>
      <c r="AG976" s="1055">
        <v>18</v>
      </c>
      <c r="AH976" s="1055">
        <v>15</v>
      </c>
      <c r="AI976" s="1055">
        <v>15</v>
      </c>
      <c r="AJ976" s="1113">
        <v>15</v>
      </c>
      <c r="AK976" s="1055">
        <v>12</v>
      </c>
      <c r="AL976" s="1055">
        <v>11</v>
      </c>
      <c r="AM976" s="1055">
        <v>9</v>
      </c>
      <c r="AN976" s="1055">
        <v>7</v>
      </c>
      <c r="AO976" s="1113">
        <v>7</v>
      </c>
      <c r="AP976" s="1055">
        <v>7</v>
      </c>
      <c r="AQ976" s="1055">
        <v>5</v>
      </c>
      <c r="AR976" s="1055">
        <v>4</v>
      </c>
      <c r="AS976" s="1055">
        <v>3</v>
      </c>
      <c r="AT976" s="1113">
        <v>3</v>
      </c>
      <c r="AU976" s="1055">
        <v>36</v>
      </c>
      <c r="AV976" s="1055">
        <v>2813</v>
      </c>
      <c r="AW976" s="1055">
        <v>2645</v>
      </c>
      <c r="AX976" s="68">
        <f t="shared" si="2323"/>
        <v>2506</v>
      </c>
      <c r="AY976" s="1113">
        <v>2506</v>
      </c>
      <c r="AZ976" s="1055">
        <v>2376</v>
      </c>
      <c r="BA976" s="1055">
        <v>2247</v>
      </c>
      <c r="BB976" s="1055">
        <v>2230</v>
      </c>
      <c r="BC976" s="68">
        <f t="shared" si="2324"/>
        <v>2114</v>
      </c>
      <c r="BD976" s="1113">
        <v>2114</v>
      </c>
      <c r="BE976" s="1055">
        <v>1993</v>
      </c>
      <c r="BF976" s="1055">
        <v>1826</v>
      </c>
      <c r="BG976" s="1055">
        <v>1652</v>
      </c>
      <c r="BH976" s="68">
        <f t="shared" si="2325"/>
        <v>1479</v>
      </c>
      <c r="BI976" s="1113">
        <v>1479</v>
      </c>
      <c r="BJ976" s="1055">
        <v>1332</v>
      </c>
      <c r="BK976" s="1055">
        <v>1194</v>
      </c>
      <c r="BL976" s="1055">
        <v>1058</v>
      </c>
      <c r="BM976" s="68">
        <f t="shared" si="2326"/>
        <v>922</v>
      </c>
      <c r="BN976" s="1113">
        <v>922</v>
      </c>
      <c r="BO976" s="1055">
        <v>804</v>
      </c>
      <c r="BP976" s="1055">
        <v>776</v>
      </c>
      <c r="BQ976" s="1055">
        <v>668</v>
      </c>
      <c r="BR976" s="1055">
        <v>636</v>
      </c>
      <c r="BS976" s="1113">
        <v>636</v>
      </c>
      <c r="BT976" s="1055">
        <v>592</v>
      </c>
      <c r="BU976" s="1055">
        <v>570</v>
      </c>
      <c r="BV976" s="1055">
        <v>690</v>
      </c>
      <c r="BW976" s="68">
        <f t="shared" si="2327"/>
        <v>3076</v>
      </c>
      <c r="BX976" s="1113">
        <v>3076</v>
      </c>
      <c r="BY976" s="1057">
        <v>2899</v>
      </c>
      <c r="BZ976" s="68"/>
      <c r="CA976" s="68"/>
      <c r="CB976" s="68"/>
      <c r="CC976" s="1112"/>
      <c r="CD976" s="68"/>
      <c r="CE976" s="68"/>
      <c r="CF976" s="68"/>
      <c r="CG976" s="68"/>
      <c r="CH976" s="1112"/>
      <c r="CI976" s="1112"/>
      <c r="CJ976" s="1112"/>
      <c r="CK976" s="1112"/>
      <c r="CL976" s="155"/>
    </row>
    <row r="977" spans="1:90" x14ac:dyDescent="0.3">
      <c r="A977" s="73" t="s">
        <v>580</v>
      </c>
      <c r="B977" s="146"/>
      <c r="C977" s="1112"/>
      <c r="D977" s="1112"/>
      <c r="E977" s="1113">
        <v>274.52</v>
      </c>
      <c r="F977" s="1113">
        <v>233.358</v>
      </c>
      <c r="G977" s="1055">
        <v>274.94900000000001</v>
      </c>
      <c r="H977" s="1055">
        <v>262.55799999999999</v>
      </c>
      <c r="I977" s="1055">
        <v>251.27199999999999</v>
      </c>
      <c r="J977" s="1055">
        <v>236.68199999999999</v>
      </c>
      <c r="K977" s="1113">
        <v>236.68199999999999</v>
      </c>
      <c r="L977" s="1055">
        <v>265</v>
      </c>
      <c r="M977" s="1055">
        <v>253.76900000000001</v>
      </c>
      <c r="N977" s="1055">
        <v>240.54599999999999</v>
      </c>
      <c r="O977" s="1055">
        <v>220.87700000000001</v>
      </c>
      <c r="P977" s="1113">
        <v>220.87700000000001</v>
      </c>
      <c r="Q977" s="1055">
        <v>207.38499999999999</v>
      </c>
      <c r="R977" s="1055">
        <v>195.45699999999999</v>
      </c>
      <c r="S977" s="1055">
        <v>181.13499999999999</v>
      </c>
      <c r="T977" s="1055">
        <v>166.53700000000001</v>
      </c>
      <c r="U977" s="1113">
        <v>166.53700000000001</v>
      </c>
      <c r="V977" s="1055">
        <v>155</v>
      </c>
      <c r="W977" s="1055">
        <v>140</v>
      </c>
      <c r="X977" s="1055">
        <v>127</v>
      </c>
      <c r="Y977" s="1055">
        <v>125</v>
      </c>
      <c r="Z977" s="1113">
        <v>125</v>
      </c>
      <c r="AA977" s="1055">
        <v>118</v>
      </c>
      <c r="AB977" s="1055">
        <v>105</v>
      </c>
      <c r="AC977" s="1055">
        <v>90</v>
      </c>
      <c r="AD977" s="1055">
        <v>78</v>
      </c>
      <c r="AE977" s="1113">
        <v>78</v>
      </c>
      <c r="AF977" s="1055">
        <v>68</v>
      </c>
      <c r="AG977" s="1055">
        <v>58</v>
      </c>
      <c r="AH977" s="1055">
        <v>48</v>
      </c>
      <c r="AI977" s="1055">
        <v>37</v>
      </c>
      <c r="AJ977" s="1113">
        <v>37</v>
      </c>
      <c r="AK977" s="1055">
        <v>43</v>
      </c>
      <c r="AL977" s="1055">
        <v>40</v>
      </c>
      <c r="AM977" s="1055">
        <v>40</v>
      </c>
      <c r="AN977" s="1055">
        <v>38</v>
      </c>
      <c r="AO977" s="1113">
        <v>38</v>
      </c>
      <c r="AP977" s="1055">
        <v>47</v>
      </c>
      <c r="AQ977" s="1055">
        <v>44</v>
      </c>
      <c r="AR977" s="1055">
        <v>39</v>
      </c>
      <c r="AS977" s="1055">
        <v>46</v>
      </c>
      <c r="AT977" s="1113">
        <v>46</v>
      </c>
      <c r="AU977" s="1055">
        <v>44</v>
      </c>
      <c r="AV977" s="1055">
        <v>41</v>
      </c>
      <c r="AW977" s="1055">
        <v>216</v>
      </c>
      <c r="AX977" s="68">
        <f t="shared" si="2323"/>
        <v>231</v>
      </c>
      <c r="AY977" s="1113">
        <v>231</v>
      </c>
      <c r="AZ977" s="1055">
        <v>237</v>
      </c>
      <c r="BA977" s="1055">
        <v>231</v>
      </c>
      <c r="BB977" s="1055">
        <v>224</v>
      </c>
      <c r="BC977" s="68">
        <f t="shared" si="2324"/>
        <v>225</v>
      </c>
      <c r="BD977" s="1113">
        <v>225</v>
      </c>
      <c r="BE977" s="1055">
        <v>218</v>
      </c>
      <c r="BF977" s="1055">
        <v>210</v>
      </c>
      <c r="BG977" s="1055">
        <v>198</v>
      </c>
      <c r="BH977" s="68">
        <f t="shared" si="2325"/>
        <v>197</v>
      </c>
      <c r="BI977" s="1113">
        <v>197</v>
      </c>
      <c r="BJ977" s="1055">
        <v>209</v>
      </c>
      <c r="BK977" s="1055">
        <v>201</v>
      </c>
      <c r="BL977" s="1055">
        <v>193</v>
      </c>
      <c r="BM977" s="68">
        <f t="shared" si="2326"/>
        <v>190</v>
      </c>
      <c r="BN977" s="1113">
        <v>190</v>
      </c>
      <c r="BO977" s="1055">
        <v>182</v>
      </c>
      <c r="BP977" s="1055">
        <v>176</v>
      </c>
      <c r="BQ977" s="1055">
        <v>170</v>
      </c>
      <c r="BR977" s="1055">
        <v>171</v>
      </c>
      <c r="BS977" s="1113">
        <v>171</v>
      </c>
      <c r="BT977" s="1055">
        <v>177</v>
      </c>
      <c r="BU977" s="1055">
        <v>185</v>
      </c>
      <c r="BV977" s="1055">
        <v>246</v>
      </c>
      <c r="BW977" s="68">
        <f t="shared" si="2327"/>
        <v>230</v>
      </c>
      <c r="BX977" s="1113">
        <v>230</v>
      </c>
      <c r="BY977" s="1057">
        <v>221</v>
      </c>
      <c r="BZ977" s="68"/>
      <c r="CA977" s="68"/>
      <c r="CB977" s="68"/>
      <c r="CC977" s="1112"/>
      <c r="CD977" s="68"/>
      <c r="CE977" s="68"/>
      <c r="CF977" s="68"/>
      <c r="CG977" s="68"/>
      <c r="CH977" s="1112"/>
      <c r="CI977" s="1112"/>
      <c r="CJ977" s="1112"/>
      <c r="CK977" s="1112"/>
      <c r="CL977" s="155"/>
    </row>
    <row r="978" spans="1:90" x14ac:dyDescent="0.3">
      <c r="A978" s="559" t="s">
        <v>210</v>
      </c>
      <c r="B978" s="571"/>
      <c r="C978" s="1121">
        <v>147.101</v>
      </c>
      <c r="D978" s="1121">
        <v>120.458</v>
      </c>
      <c r="E978" s="1121">
        <v>288.745</v>
      </c>
      <c r="F978" s="1121">
        <v>326.13600000000002</v>
      </c>
      <c r="G978" s="1058">
        <v>363.39499999999998</v>
      </c>
      <c r="H978" s="1058">
        <v>346.93799999999999</v>
      </c>
      <c r="I978" s="1058">
        <v>331.24799999999999</v>
      </c>
      <c r="J978" s="560">
        <f>K978</f>
        <v>312.33199999999999</v>
      </c>
      <c r="K978" s="1121">
        <v>312.33199999999999</v>
      </c>
      <c r="L978" s="1058">
        <v>336.733</v>
      </c>
      <c r="M978" s="1058">
        <v>322.52</v>
      </c>
      <c r="N978" s="1058">
        <v>320.589</v>
      </c>
      <c r="O978" s="560">
        <f>P978</f>
        <v>296.012</v>
      </c>
      <c r="P978" s="1121">
        <v>296.012</v>
      </c>
      <c r="Q978" s="1058">
        <v>277.52999999999997</v>
      </c>
      <c r="R978" s="1058">
        <v>260.613</v>
      </c>
      <c r="S978" s="1058">
        <v>241.30099999999999</v>
      </c>
      <c r="T978" s="560">
        <f>U978</f>
        <v>222</v>
      </c>
      <c r="U978" s="1121">
        <v>222</v>
      </c>
      <c r="V978" s="1058">
        <v>205</v>
      </c>
      <c r="W978" s="1058">
        <v>190</v>
      </c>
      <c r="X978" s="1058">
        <v>172</v>
      </c>
      <c r="Y978" s="560">
        <f>Z978</f>
        <v>166</v>
      </c>
      <c r="Z978" s="1121">
        <v>166</v>
      </c>
      <c r="AA978" s="1058">
        <v>155</v>
      </c>
      <c r="AB978" s="1058">
        <v>138</v>
      </c>
      <c r="AC978" s="1058">
        <v>120</v>
      </c>
      <c r="AD978" s="1058">
        <v>104</v>
      </c>
      <c r="AE978" s="1120">
        <f>AD978</f>
        <v>104</v>
      </c>
      <c r="AF978" s="1058">
        <v>90</v>
      </c>
      <c r="AG978" s="1058">
        <v>76</v>
      </c>
      <c r="AH978" s="1058">
        <v>63</v>
      </c>
      <c r="AI978" s="561">
        <f>AJ978</f>
        <v>52</v>
      </c>
      <c r="AJ978" s="1121">
        <v>52</v>
      </c>
      <c r="AK978" s="1058">
        <v>55</v>
      </c>
      <c r="AL978" s="1058">
        <v>51</v>
      </c>
      <c r="AM978" s="1058">
        <v>49</v>
      </c>
      <c r="AN978" s="561">
        <f>AO978</f>
        <v>45</v>
      </c>
      <c r="AO978" s="1121">
        <v>45</v>
      </c>
      <c r="AP978" s="1058">
        <v>54</v>
      </c>
      <c r="AQ978" s="1058">
        <v>49</v>
      </c>
      <c r="AR978" s="1058">
        <v>43</v>
      </c>
      <c r="AS978" s="561">
        <f>AT978</f>
        <v>49</v>
      </c>
      <c r="AT978" s="1121">
        <v>49</v>
      </c>
      <c r="AU978" s="1058">
        <v>80</v>
      </c>
      <c r="AV978" s="1058">
        <v>2854</v>
      </c>
      <c r="AW978" s="1058">
        <v>2861</v>
      </c>
      <c r="AX978" s="561">
        <f t="shared" si="2323"/>
        <v>2737</v>
      </c>
      <c r="AY978" s="1121">
        <v>2737</v>
      </c>
      <c r="AZ978" s="1058">
        <v>2613</v>
      </c>
      <c r="BA978" s="1058">
        <v>2478</v>
      </c>
      <c r="BB978" s="1058">
        <v>2454</v>
      </c>
      <c r="BC978" s="561">
        <f t="shared" si="2324"/>
        <v>2339</v>
      </c>
      <c r="BD978" s="1121">
        <v>2339</v>
      </c>
      <c r="BE978" s="1058">
        <v>2211</v>
      </c>
      <c r="BF978" s="1058">
        <v>2036</v>
      </c>
      <c r="BG978" s="1058">
        <v>1850</v>
      </c>
      <c r="BH978" s="561">
        <f t="shared" si="2325"/>
        <v>1676</v>
      </c>
      <c r="BI978" s="1121">
        <v>1676</v>
      </c>
      <c r="BJ978" s="1058">
        <v>1541</v>
      </c>
      <c r="BK978" s="561">
        <f>SUM(BK976:BK977)</f>
        <v>1395</v>
      </c>
      <c r="BL978" s="560">
        <f>SUM(BL976:BL977)</f>
        <v>1251</v>
      </c>
      <c r="BM978" s="561">
        <f t="shared" si="2326"/>
        <v>1112</v>
      </c>
      <c r="BN978" s="1121">
        <v>1112</v>
      </c>
      <c r="BO978" s="560">
        <f>SUM(BO976:BO977)</f>
        <v>986</v>
      </c>
      <c r="BP978" s="561">
        <f>SUM(BP976:BP977)</f>
        <v>952</v>
      </c>
      <c r="BQ978" s="561">
        <f>SUM(BQ976:BQ977)</f>
        <v>838</v>
      </c>
      <c r="BR978" s="561">
        <f t="shared" ref="BR978:BR983" si="2331">BS978</f>
        <v>807</v>
      </c>
      <c r="BS978" s="1121">
        <v>807</v>
      </c>
      <c r="BT978" s="560">
        <f>SUM(BT976:BT977)</f>
        <v>769</v>
      </c>
      <c r="BU978" s="561">
        <f>SUM(BU976:BU977)</f>
        <v>755</v>
      </c>
      <c r="BV978" s="561">
        <f>SUM(BV976:BV977)</f>
        <v>936</v>
      </c>
      <c r="BW978" s="561">
        <f t="shared" si="2327"/>
        <v>3306</v>
      </c>
      <c r="BX978" s="1121">
        <v>3306</v>
      </c>
      <c r="BY978" s="894">
        <f>SUM(BY976:BY977)</f>
        <v>3120</v>
      </c>
      <c r="BZ978" s="561">
        <f>BY978+BZ932+BZ931</f>
        <v>2922.9150943396226</v>
      </c>
      <c r="CA978" s="561">
        <f>BZ978+CA932+CA931</f>
        <v>2737.9691196663784</v>
      </c>
      <c r="CB978" s="561">
        <f>CA978+CB932+CB931</f>
        <v>2555.7119730833824</v>
      </c>
      <c r="CC978" s="1120">
        <f>CB978</f>
        <v>2555.7119730833824</v>
      </c>
      <c r="CD978" s="561">
        <f>CC978+CD932+CD931</f>
        <v>2401.2598917646801</v>
      </c>
      <c r="CE978" s="561">
        <f>CD978+CE932+CE931</f>
        <v>2254.1588094491299</v>
      </c>
      <c r="CF978" s="561">
        <f>CE978+CF932+CF931</f>
        <v>2116.2073487894149</v>
      </c>
      <c r="CG978" s="561">
        <f>CF978+CG932+CG931</f>
        <v>1986.9479377449638</v>
      </c>
      <c r="CH978" s="1120">
        <f>CG978</f>
        <v>1986.9479377449638</v>
      </c>
      <c r="CI978" s="1120">
        <f>CH978+CI932+CI931</f>
        <v>1520.8635564214746</v>
      </c>
      <c r="CJ978" s="1120">
        <f>CI978+CJ932+CJ931</f>
        <v>1194.6044894950323</v>
      </c>
      <c r="CK978" s="1120">
        <f>CJ978+CK932+CK931</f>
        <v>966.22314264652266</v>
      </c>
      <c r="CL978" s="155"/>
    </row>
    <row r="979" spans="1:90" x14ac:dyDescent="0.3">
      <c r="A979" s="67" t="s">
        <v>406</v>
      </c>
      <c r="B979" s="146"/>
      <c r="C979" s="1112"/>
      <c r="D979" s="1112"/>
      <c r="E979" s="1112"/>
      <c r="F979" s="1112"/>
      <c r="G979" s="68"/>
      <c r="H979" s="68"/>
      <c r="I979" s="68"/>
      <c r="J979" s="68"/>
      <c r="K979" s="1112"/>
      <c r="L979" s="68"/>
      <c r="M979" s="68"/>
      <c r="N979" s="68"/>
      <c r="O979" s="68"/>
      <c r="P979" s="1112"/>
      <c r="Q979" s="68"/>
      <c r="R979" s="68"/>
      <c r="S979" s="68"/>
      <c r="T979" s="68"/>
      <c r="U979" s="1112"/>
      <c r="V979" s="68"/>
      <c r="W979" s="68"/>
      <c r="X979" s="68"/>
      <c r="Y979" s="68"/>
      <c r="Z979" s="1112"/>
      <c r="AA979" s="68"/>
      <c r="AB979" s="68"/>
      <c r="AC979" s="68"/>
      <c r="AD979" s="68"/>
      <c r="AE979" s="1112"/>
      <c r="AF979" s="68"/>
      <c r="AG979" s="68"/>
      <c r="AH979" s="68"/>
      <c r="AI979" s="68"/>
      <c r="AJ979" s="1112"/>
      <c r="AK979" s="68"/>
      <c r="AL979" s="68"/>
      <c r="AM979" s="68"/>
      <c r="AN979" s="68"/>
      <c r="AO979" s="1112"/>
      <c r="AP979" s="1055">
        <v>601</v>
      </c>
      <c r="AQ979" s="1055">
        <v>588</v>
      </c>
      <c r="AR979" s="1055">
        <v>569</v>
      </c>
      <c r="AS979" s="68">
        <f>AT979</f>
        <v>548</v>
      </c>
      <c r="AT979" s="1113">
        <v>548</v>
      </c>
      <c r="AU979" s="1055">
        <v>533</v>
      </c>
      <c r="AV979" s="1055">
        <v>630</v>
      </c>
      <c r="AW979" s="1055">
        <v>666</v>
      </c>
      <c r="AX979" s="68">
        <f t="shared" si="2323"/>
        <v>806</v>
      </c>
      <c r="AY979" s="1113">
        <v>806</v>
      </c>
      <c r="AZ979" s="1055">
        <v>778</v>
      </c>
      <c r="BA979" s="1055">
        <v>958</v>
      </c>
      <c r="BB979" s="1055">
        <v>970</v>
      </c>
      <c r="BC979" s="68">
        <f t="shared" si="2324"/>
        <v>1222</v>
      </c>
      <c r="BD979" s="1113">
        <v>1222</v>
      </c>
      <c r="BE979" s="1055">
        <v>1784</v>
      </c>
      <c r="BF979" s="1055">
        <v>2225</v>
      </c>
      <c r="BG979" s="1055">
        <v>2762</v>
      </c>
      <c r="BH979" s="68">
        <f t="shared" si="2325"/>
        <v>3396</v>
      </c>
      <c r="BI979" s="1113">
        <v>3396</v>
      </c>
      <c r="BJ979" s="1055">
        <v>4568</v>
      </c>
      <c r="BK979" s="1055">
        <v>5398</v>
      </c>
      <c r="BL979" s="1055">
        <v>5982</v>
      </c>
      <c r="BM979" s="68">
        <f t="shared" si="2326"/>
        <v>6081</v>
      </c>
      <c r="BN979" s="1113">
        <v>6081</v>
      </c>
      <c r="BO979" s="1055">
        <v>7798</v>
      </c>
      <c r="BP979" s="1055">
        <v>9578</v>
      </c>
      <c r="BQ979" s="1055">
        <v>10276</v>
      </c>
      <c r="BR979" s="68">
        <f t="shared" si="2331"/>
        <v>10979</v>
      </c>
      <c r="BS979" s="1113">
        <v>10979</v>
      </c>
      <c r="BT979" s="1055">
        <v>13318</v>
      </c>
      <c r="BU979" s="1055">
        <v>13570</v>
      </c>
      <c r="BV979" s="1055">
        <v>13674</v>
      </c>
      <c r="BW979" s="68">
        <f t="shared" si="2327"/>
        <v>13258</v>
      </c>
      <c r="BX979" s="1113">
        <v>13258</v>
      </c>
      <c r="BY979" s="1057">
        <v>11707</v>
      </c>
      <c r="BZ979" s="68">
        <f>BY979-BZ860</f>
        <v>11707</v>
      </c>
      <c r="CA979" s="68">
        <f>BZ979-CA860</f>
        <v>11707</v>
      </c>
      <c r="CB979" s="68">
        <f>CA979-CB860</f>
        <v>11707</v>
      </c>
      <c r="CC979" s="1112">
        <f>CB979</f>
        <v>11707</v>
      </c>
      <c r="CD979" s="68">
        <f>CC979-CD860</f>
        <v>11707</v>
      </c>
      <c r="CE979" s="68">
        <f>CD979-CE860</f>
        <v>11707</v>
      </c>
      <c r="CF979" s="68">
        <f>CE979-CF860</f>
        <v>11707</v>
      </c>
      <c r="CG979" s="68">
        <f>CF979-CG860</f>
        <v>11707</v>
      </c>
      <c r="CH979" s="1112">
        <f>CG979</f>
        <v>11707</v>
      </c>
      <c r="CI979" s="1112">
        <f>CH979-CI860</f>
        <v>11707</v>
      </c>
      <c r="CJ979" s="1112">
        <f>CI979-CJ860</f>
        <v>11707</v>
      </c>
      <c r="CK979" s="1112">
        <f>CJ979-CK860</f>
        <v>11707</v>
      </c>
      <c r="CL979" s="155"/>
    </row>
    <row r="980" spans="1:90" x14ac:dyDescent="0.3">
      <c r="A980" s="73" t="s">
        <v>781</v>
      </c>
      <c r="B980" s="146"/>
      <c r="C980" s="1112"/>
      <c r="D980" s="1112"/>
      <c r="E980" s="1112"/>
      <c r="F980" s="1112"/>
      <c r="G980" s="68"/>
      <c r="H980" s="68"/>
      <c r="I980" s="68"/>
      <c r="J980" s="68"/>
      <c r="K980" s="1112"/>
      <c r="L980" s="68"/>
      <c r="M980" s="68"/>
      <c r="N980" s="68"/>
      <c r="O980" s="68"/>
      <c r="P980" s="1112"/>
      <c r="Q980" s="68"/>
      <c r="R980" s="68"/>
      <c r="S980" s="68"/>
      <c r="T980" s="68"/>
      <c r="U980" s="1112"/>
      <c r="V980" s="68"/>
      <c r="W980" s="68"/>
      <c r="X980" s="68"/>
      <c r="Y980" s="68"/>
      <c r="Z980" s="1112"/>
      <c r="AA980" s="68"/>
      <c r="AB980" s="68"/>
      <c r="AC980" s="68"/>
      <c r="AD980" s="68"/>
      <c r="AE980" s="1112"/>
      <c r="AF980" s="68"/>
      <c r="AG980" s="68"/>
      <c r="AH980" s="68"/>
      <c r="AI980" s="68"/>
      <c r="AJ980" s="1112"/>
      <c r="AK980" s="68"/>
      <c r="AL980" s="68"/>
      <c r="AM980" s="68"/>
      <c r="AN980" s="68"/>
      <c r="AO980" s="1112"/>
      <c r="AP980" s="68"/>
      <c r="AQ980" s="68"/>
      <c r="AR980" s="68"/>
      <c r="AS980" s="68"/>
      <c r="AT980" s="1112"/>
      <c r="AU980" s="68"/>
      <c r="AV980" s="68"/>
      <c r="AW980" s="68"/>
      <c r="AX980" s="68"/>
      <c r="AY980" s="1112"/>
      <c r="AZ980" s="68"/>
      <c r="BA980" s="68"/>
      <c r="BB980" s="1055">
        <v>1606</v>
      </c>
      <c r="BC980" s="68">
        <f t="shared" si="2324"/>
        <v>1747</v>
      </c>
      <c r="BD980" s="1113">
        <v>1747</v>
      </c>
      <c r="BE980" s="1055">
        <v>2752</v>
      </c>
      <c r="BF980" s="1055">
        <v>2523</v>
      </c>
      <c r="BG980" s="1055">
        <v>2771</v>
      </c>
      <c r="BH980" s="68">
        <f t="shared" si="2325"/>
        <v>2989</v>
      </c>
      <c r="BI980" s="1113">
        <v>2989</v>
      </c>
      <c r="BJ980" s="1055">
        <v>3002</v>
      </c>
      <c r="BK980" s="1055">
        <v>3008</v>
      </c>
      <c r="BL980" s="1055">
        <v>2927</v>
      </c>
      <c r="BM980" s="68">
        <f t="shared" si="2326"/>
        <v>2458</v>
      </c>
      <c r="BN980" s="1113">
        <v>2458</v>
      </c>
      <c r="BO980" s="1055">
        <v>2232</v>
      </c>
      <c r="BP980" s="1055">
        <v>1313</v>
      </c>
      <c r="BQ980" s="1055">
        <v>2041</v>
      </c>
      <c r="BR980" s="68">
        <f t="shared" si="2331"/>
        <v>1747</v>
      </c>
      <c r="BS980" s="1113">
        <v>1747</v>
      </c>
      <c r="BT980" s="1055">
        <v>2079</v>
      </c>
      <c r="BU980" s="1055">
        <v>1776</v>
      </c>
      <c r="BV980" s="1055">
        <v>1536</v>
      </c>
      <c r="BW980" s="68"/>
      <c r="BX980" s="1112"/>
      <c r="BY980" s="588"/>
      <c r="BZ980" s="68"/>
      <c r="CA980" s="68"/>
      <c r="CB980" s="68"/>
      <c r="CC980" s="1112"/>
      <c r="CD980" s="68"/>
      <c r="CE980" s="68"/>
      <c r="CF980" s="68"/>
      <c r="CG980" s="68"/>
      <c r="CH980" s="1112"/>
      <c r="CI980" s="1112"/>
      <c r="CJ980" s="1112"/>
      <c r="CK980" s="1112"/>
      <c r="CL980" s="155"/>
    </row>
    <row r="981" spans="1:90" x14ac:dyDescent="0.3">
      <c r="A981" s="73" t="s">
        <v>782</v>
      </c>
      <c r="B981" s="146"/>
      <c r="C981" s="1112"/>
      <c r="D981" s="1112"/>
      <c r="E981" s="1112"/>
      <c r="F981" s="1112"/>
      <c r="G981" s="68"/>
      <c r="H981" s="68"/>
      <c r="I981" s="68"/>
      <c r="J981" s="68"/>
      <c r="K981" s="1112"/>
      <c r="L981" s="68"/>
      <c r="M981" s="68"/>
      <c r="N981" s="68"/>
      <c r="O981" s="68"/>
      <c r="P981" s="1112"/>
      <c r="Q981" s="68"/>
      <c r="R981" s="68"/>
      <c r="S981" s="68"/>
      <c r="T981" s="68"/>
      <c r="U981" s="1112"/>
      <c r="V981" s="68"/>
      <c r="W981" s="68"/>
      <c r="X981" s="68"/>
      <c r="Y981" s="68"/>
      <c r="Z981" s="1112"/>
      <c r="AA981" s="68"/>
      <c r="AB981" s="68"/>
      <c r="AC981" s="68"/>
      <c r="AD981" s="68"/>
      <c r="AE981" s="1112"/>
      <c r="AF981" s="68"/>
      <c r="AG981" s="68"/>
      <c r="AH981" s="68"/>
      <c r="AI981" s="68"/>
      <c r="AJ981" s="1112"/>
      <c r="AK981" s="68"/>
      <c r="AL981" s="68"/>
      <c r="AM981" s="68"/>
      <c r="AN981" s="68"/>
      <c r="AO981" s="1112"/>
      <c r="AP981" s="68"/>
      <c r="AQ981" s="68"/>
      <c r="AR981" s="68"/>
      <c r="AS981" s="68"/>
      <c r="AT981" s="1113">
        <v>1</v>
      </c>
      <c r="AU981" s="68"/>
      <c r="AV981" s="68"/>
      <c r="AW981" s="1055">
        <v>446</v>
      </c>
      <c r="AX981" s="68">
        <f>AY981</f>
        <v>440</v>
      </c>
      <c r="AY981" s="1113">
        <v>440</v>
      </c>
      <c r="AZ981" s="1055">
        <v>428</v>
      </c>
      <c r="BA981" s="1055">
        <v>422</v>
      </c>
      <c r="BB981" s="1055">
        <v>416</v>
      </c>
      <c r="BC981" s="68">
        <f t="shared" si="2324"/>
        <v>409</v>
      </c>
      <c r="BD981" s="1113">
        <v>409</v>
      </c>
      <c r="BE981" s="1055">
        <v>405</v>
      </c>
      <c r="BF981" s="1055">
        <v>399</v>
      </c>
      <c r="BG981" s="1055">
        <v>393</v>
      </c>
      <c r="BH981" s="68">
        <f t="shared" si="2325"/>
        <v>387</v>
      </c>
      <c r="BI981" s="1113">
        <v>387</v>
      </c>
      <c r="BJ981" s="1055">
        <v>381</v>
      </c>
      <c r="BK981" s="1055">
        <v>375</v>
      </c>
      <c r="BL981" s="1055">
        <v>369</v>
      </c>
      <c r="BM981" s="68">
        <f t="shared" si="2326"/>
        <v>364</v>
      </c>
      <c r="BN981" s="1113">
        <v>364</v>
      </c>
      <c r="BO981" s="1055">
        <v>358</v>
      </c>
      <c r="BP981" s="1055">
        <v>352</v>
      </c>
      <c r="BQ981" s="1055">
        <v>346</v>
      </c>
      <c r="BR981" s="68">
        <f t="shared" si="2331"/>
        <v>340</v>
      </c>
      <c r="BS981" s="1113">
        <v>340</v>
      </c>
      <c r="BT981" s="1055">
        <v>334</v>
      </c>
      <c r="BU981" s="1055">
        <v>327</v>
      </c>
      <c r="BV981" s="68"/>
      <c r="BW981" s="68"/>
      <c r="BX981" s="1112"/>
      <c r="BY981" s="588"/>
      <c r="BZ981" s="68"/>
      <c r="CA981" s="68"/>
      <c r="CB981" s="68"/>
      <c r="CC981" s="1112"/>
      <c r="CD981" s="68"/>
      <c r="CE981" s="68"/>
      <c r="CF981" s="68"/>
      <c r="CG981" s="68"/>
      <c r="CH981" s="1112"/>
      <c r="CI981" s="1112"/>
      <c r="CJ981" s="1112"/>
      <c r="CK981" s="1112"/>
      <c r="CL981" s="155"/>
    </row>
    <row r="982" spans="1:90" x14ac:dyDescent="0.3">
      <c r="A982" s="73" t="s">
        <v>783</v>
      </c>
      <c r="B982" s="146"/>
      <c r="C982" s="1112"/>
      <c r="D982" s="1112"/>
      <c r="E982" s="1112"/>
      <c r="F982" s="1112"/>
      <c r="G982" s="68"/>
      <c r="H982" s="68"/>
      <c r="I982" s="68"/>
      <c r="J982" s="68"/>
      <c r="K982" s="1112"/>
      <c r="L982" s="68"/>
      <c r="M982" s="68"/>
      <c r="N982" s="68"/>
      <c r="O982" s="68"/>
      <c r="P982" s="1112"/>
      <c r="Q982" s="68"/>
      <c r="R982" s="68"/>
      <c r="S982" s="68"/>
      <c r="T982" s="68"/>
      <c r="U982" s="1112"/>
      <c r="V982" s="68"/>
      <c r="W982" s="68"/>
      <c r="X982" s="68"/>
      <c r="Y982" s="68"/>
      <c r="Z982" s="1112"/>
      <c r="AA982" s="68"/>
      <c r="AB982" s="68"/>
      <c r="AC982" s="68"/>
      <c r="AD982" s="68"/>
      <c r="AE982" s="1112"/>
      <c r="AF982" s="68"/>
      <c r="AG982" s="68"/>
      <c r="AH982" s="68"/>
      <c r="AI982" s="68"/>
      <c r="AJ982" s="1112"/>
      <c r="AK982" s="68"/>
      <c r="AL982" s="68"/>
      <c r="AM982" s="68"/>
      <c r="AN982" s="68"/>
      <c r="AO982" s="1112"/>
      <c r="AP982" s="68"/>
      <c r="AQ982" s="68"/>
      <c r="AR982" s="68"/>
      <c r="AS982" s="68"/>
      <c r="AT982" s="1113">
        <v>77</v>
      </c>
      <c r="AU982" s="68"/>
      <c r="AV982" s="68"/>
      <c r="AW982" s="1055">
        <v>106</v>
      </c>
      <c r="AX982" s="68">
        <f>AY982</f>
        <v>144</v>
      </c>
      <c r="AY982" s="1113">
        <v>144</v>
      </c>
      <c r="AZ982" s="1055">
        <v>146</v>
      </c>
      <c r="BA982" s="1055">
        <v>147</v>
      </c>
      <c r="BB982" s="1055">
        <v>308</v>
      </c>
      <c r="BC982" s="68">
        <f t="shared" si="2324"/>
        <v>266</v>
      </c>
      <c r="BD982" s="1113">
        <v>266</v>
      </c>
      <c r="BE982" s="1055">
        <v>285</v>
      </c>
      <c r="BF982" s="1055">
        <v>307</v>
      </c>
      <c r="BG982" s="1055">
        <v>314</v>
      </c>
      <c r="BH982" s="68">
        <f t="shared" si="2325"/>
        <v>299</v>
      </c>
      <c r="BI982" s="1113">
        <v>299</v>
      </c>
      <c r="BJ982" s="1055">
        <v>505</v>
      </c>
      <c r="BK982" s="1055">
        <v>800</v>
      </c>
      <c r="BL982" s="1055">
        <v>1172</v>
      </c>
      <c r="BM982" s="68">
        <f t="shared" si="2326"/>
        <v>1546</v>
      </c>
      <c r="BN982" s="1113">
        <v>1546</v>
      </c>
      <c r="BO982" s="1055">
        <v>1750</v>
      </c>
      <c r="BP982" s="1055">
        <v>1819</v>
      </c>
      <c r="BQ982" s="1055">
        <v>2237</v>
      </c>
      <c r="BR982" s="68">
        <f t="shared" si="2331"/>
        <v>3387</v>
      </c>
      <c r="BS982" s="1113">
        <v>3387</v>
      </c>
      <c r="BT982" s="1055">
        <v>3240</v>
      </c>
      <c r="BU982" s="1055">
        <v>3799</v>
      </c>
      <c r="BV982" s="1055">
        <v>8187</v>
      </c>
      <c r="BW982" s="68"/>
      <c r="BX982" s="1112"/>
      <c r="BY982" s="588"/>
      <c r="BZ982" s="68"/>
      <c r="CA982" s="68"/>
      <c r="CB982" s="68"/>
      <c r="CC982" s="1112"/>
      <c r="CD982" s="68"/>
      <c r="CE982" s="68"/>
      <c r="CF982" s="68"/>
      <c r="CG982" s="68"/>
      <c r="CH982" s="1112"/>
      <c r="CI982" s="1112"/>
      <c r="CJ982" s="1112"/>
      <c r="CK982" s="1112"/>
      <c r="CL982" s="155"/>
    </row>
    <row r="983" spans="1:90" x14ac:dyDescent="0.3">
      <c r="A983" s="73" t="s">
        <v>1252</v>
      </c>
      <c r="B983" s="146"/>
      <c r="C983" s="1112"/>
      <c r="D983" s="1112"/>
      <c r="E983" s="1112"/>
      <c r="F983" s="1112"/>
      <c r="G983" s="68"/>
      <c r="H983" s="68"/>
      <c r="I983" s="68"/>
      <c r="J983" s="68"/>
      <c r="K983" s="1112"/>
      <c r="L983" s="68"/>
      <c r="M983" s="68"/>
      <c r="N983" s="68"/>
      <c r="O983" s="68"/>
      <c r="P983" s="1112"/>
      <c r="Q983" s="68"/>
      <c r="R983" s="68"/>
      <c r="S983" s="68"/>
      <c r="T983" s="68"/>
      <c r="U983" s="1112"/>
      <c r="V983" s="68"/>
      <c r="W983" s="68"/>
      <c r="X983" s="68"/>
      <c r="Y983" s="68"/>
      <c r="Z983" s="1112"/>
      <c r="AA983" s="68"/>
      <c r="AB983" s="68"/>
      <c r="AC983" s="68"/>
      <c r="AD983" s="68"/>
      <c r="AE983" s="1112"/>
      <c r="AF983" s="68"/>
      <c r="AG983" s="68"/>
      <c r="AH983" s="68"/>
      <c r="AI983" s="68"/>
      <c r="AJ983" s="1112"/>
      <c r="AK983" s="68"/>
      <c r="AL983" s="68"/>
      <c r="AM983" s="68"/>
      <c r="AN983" s="68"/>
      <c r="AO983" s="1112"/>
      <c r="AP983" s="68"/>
      <c r="AQ983" s="68"/>
      <c r="AR983" s="68"/>
      <c r="AS983" s="68"/>
      <c r="AT983" s="1112"/>
      <c r="AU983" s="68"/>
      <c r="AV983" s="68"/>
      <c r="AW983" s="68"/>
      <c r="AX983" s="68"/>
      <c r="AY983" s="1112"/>
      <c r="AZ983" s="68"/>
      <c r="BA983" s="68"/>
      <c r="BB983" s="68"/>
      <c r="BC983" s="68"/>
      <c r="BD983" s="1112"/>
      <c r="BE983" s="68"/>
      <c r="BF983" s="68"/>
      <c r="BG983" s="68"/>
      <c r="BH983" s="68"/>
      <c r="BI983" s="1112"/>
      <c r="BJ983" s="68"/>
      <c r="BK983" s="68"/>
      <c r="BL983" s="68"/>
      <c r="BM983" s="68"/>
      <c r="BN983" s="1112"/>
      <c r="BO983" s="68"/>
      <c r="BP983" s="68"/>
      <c r="BQ983" s="1055">
        <v>568</v>
      </c>
      <c r="BR983" s="68">
        <f t="shared" si="2331"/>
        <v>750</v>
      </c>
      <c r="BS983" s="1113">
        <v>750</v>
      </c>
      <c r="BT983" s="1055">
        <v>895</v>
      </c>
      <c r="BU983" s="1055">
        <v>1042</v>
      </c>
      <c r="BV983" s="1055">
        <v>1369</v>
      </c>
      <c r="BW983" s="68"/>
      <c r="BX983" s="1112"/>
      <c r="BY983" s="588"/>
      <c r="BZ983" s="68"/>
      <c r="CA983" s="68"/>
      <c r="CB983" s="68"/>
      <c r="CC983" s="1112"/>
      <c r="CD983" s="68"/>
      <c r="CE983" s="68"/>
      <c r="CF983" s="68"/>
      <c r="CG983" s="68"/>
      <c r="CH983" s="1112"/>
      <c r="CI983" s="1112"/>
      <c r="CJ983" s="1112"/>
      <c r="CK983" s="1112"/>
      <c r="CL983" s="155"/>
    </row>
    <row r="984" spans="1:90" x14ac:dyDescent="0.3">
      <c r="A984" s="73" t="s">
        <v>928</v>
      </c>
      <c r="B984" s="146"/>
      <c r="C984" s="1112"/>
      <c r="D984" s="1112"/>
      <c r="E984" s="1112"/>
      <c r="F984" s="1112"/>
      <c r="G984" s="68"/>
      <c r="H984" s="68"/>
      <c r="I984" s="68"/>
      <c r="J984" s="68"/>
      <c r="K984" s="1112"/>
      <c r="L984" s="68"/>
      <c r="M984" s="68"/>
      <c r="N984" s="68"/>
      <c r="O984" s="68"/>
      <c r="P984" s="1112"/>
      <c r="Q984" s="68"/>
      <c r="R984" s="68"/>
      <c r="S984" s="68"/>
      <c r="T984" s="68"/>
      <c r="U984" s="1112"/>
      <c r="V984" s="68"/>
      <c r="W984" s="68"/>
      <c r="X984" s="68"/>
      <c r="Y984" s="68"/>
      <c r="Z984" s="1112"/>
      <c r="AA984" s="68"/>
      <c r="AB984" s="68"/>
      <c r="AC984" s="68"/>
      <c r="AD984" s="68"/>
      <c r="AE984" s="1112"/>
      <c r="AF984" s="68"/>
      <c r="AG984" s="68"/>
      <c r="AH984" s="68"/>
      <c r="AI984" s="68"/>
      <c r="AJ984" s="1112"/>
      <c r="AK984" s="68"/>
      <c r="AL984" s="68"/>
      <c r="AM984" s="68"/>
      <c r="AN984" s="68"/>
      <c r="AO984" s="1112"/>
      <c r="AP984" s="68"/>
      <c r="AQ984" s="68"/>
      <c r="AR984" s="68"/>
      <c r="AS984" s="68"/>
      <c r="AT984" s="1112"/>
      <c r="AU984" s="68"/>
      <c r="AV984" s="68"/>
      <c r="AW984" s="68"/>
      <c r="AX984" s="68"/>
      <c r="AY984" s="1112"/>
      <c r="AZ984" s="68"/>
      <c r="BA984" s="68"/>
      <c r="BB984" s="68"/>
      <c r="BC984" s="68"/>
      <c r="BD984" s="1112"/>
      <c r="BE984" s="68"/>
      <c r="BF984" s="68"/>
      <c r="BG984" s="68"/>
      <c r="BH984" s="68">
        <f t="shared" si="2325"/>
        <v>0</v>
      </c>
      <c r="BI984" s="1112"/>
      <c r="BJ984" s="1055">
        <v>171</v>
      </c>
      <c r="BK984" s="1055">
        <v>170</v>
      </c>
      <c r="BL984" s="1055">
        <v>60</v>
      </c>
      <c r="BM984" s="68">
        <f t="shared" si="2326"/>
        <v>0</v>
      </c>
      <c r="BN984" s="1112"/>
      <c r="BO984" s="68"/>
      <c r="BP984" s="68"/>
      <c r="BQ984" s="68"/>
      <c r="BR984" s="68">
        <f t="shared" ref="BR984:BR987" si="2332">BS984</f>
        <v>0</v>
      </c>
      <c r="BS984" s="1112"/>
      <c r="BT984" s="68"/>
      <c r="BU984" s="68"/>
      <c r="BV984" s="68"/>
      <c r="BW984" s="68"/>
      <c r="BX984" s="1112"/>
      <c r="BY984" s="588"/>
      <c r="BZ984" s="68"/>
      <c r="CA984" s="68"/>
      <c r="CB984" s="68"/>
      <c r="CC984" s="1112"/>
      <c r="CD984" s="68"/>
      <c r="CE984" s="68"/>
      <c r="CF984" s="68"/>
      <c r="CG984" s="68"/>
      <c r="CH984" s="1112"/>
      <c r="CI984" s="1112"/>
      <c r="CJ984" s="1112"/>
      <c r="CK984" s="1112"/>
      <c r="CL984" s="155"/>
    </row>
    <row r="985" spans="1:90" x14ac:dyDescent="0.3">
      <c r="A985" s="73" t="s">
        <v>784</v>
      </c>
      <c r="B985" s="146"/>
      <c r="C985" s="1112"/>
      <c r="D985" s="1112"/>
      <c r="E985" s="1112"/>
      <c r="F985" s="1112"/>
      <c r="G985" s="68"/>
      <c r="H985" s="68"/>
      <c r="I985" s="68"/>
      <c r="J985" s="68"/>
      <c r="K985" s="1112"/>
      <c r="L985" s="68"/>
      <c r="M985" s="68"/>
      <c r="N985" s="68"/>
      <c r="O985" s="68"/>
      <c r="P985" s="1112"/>
      <c r="Q985" s="68"/>
      <c r="R985" s="68"/>
      <c r="S985" s="68"/>
      <c r="T985" s="68"/>
      <c r="U985" s="1112"/>
      <c r="V985" s="68"/>
      <c r="W985" s="68"/>
      <c r="X985" s="68"/>
      <c r="Y985" s="68"/>
      <c r="Z985" s="1112"/>
      <c r="AA985" s="68"/>
      <c r="AB985" s="68"/>
      <c r="AC985" s="68"/>
      <c r="AD985" s="68"/>
      <c r="AE985" s="1112"/>
      <c r="AF985" s="68"/>
      <c r="AG985" s="68"/>
      <c r="AH985" s="68"/>
      <c r="AI985" s="68"/>
      <c r="AJ985" s="1112"/>
      <c r="AK985" s="68"/>
      <c r="AL985" s="68"/>
      <c r="AM985" s="68"/>
      <c r="AN985" s="68"/>
      <c r="AO985" s="1112"/>
      <c r="AP985" s="68"/>
      <c r="AQ985" s="68"/>
      <c r="AR985" s="68"/>
      <c r="AS985" s="68"/>
      <c r="AT985" s="1112"/>
      <c r="AU985" s="68"/>
      <c r="AV985" s="68"/>
      <c r="AW985" s="1055">
        <v>1357</v>
      </c>
      <c r="AX985" s="68">
        <f>AY985</f>
        <v>1357</v>
      </c>
      <c r="AY985" s="1113">
        <v>1357</v>
      </c>
      <c r="AZ985" s="1055">
        <v>1357</v>
      </c>
      <c r="BA985" s="1055">
        <v>1357</v>
      </c>
      <c r="BB985" s="1055">
        <v>1357</v>
      </c>
      <c r="BC985" s="68">
        <f>BD985</f>
        <v>1357</v>
      </c>
      <c r="BD985" s="1113">
        <v>1357</v>
      </c>
      <c r="BE985" s="68"/>
      <c r="BF985" s="68"/>
      <c r="BG985" s="68"/>
      <c r="BH985" s="68">
        <f t="shared" si="2325"/>
        <v>0</v>
      </c>
      <c r="BI985" s="1113">
        <v>0</v>
      </c>
      <c r="BJ985" s="68"/>
      <c r="BK985" s="68"/>
      <c r="BL985" s="68"/>
      <c r="BM985" s="68"/>
      <c r="BN985" s="1112"/>
      <c r="BO985" s="68"/>
      <c r="BP985" s="68"/>
      <c r="BQ985" s="68"/>
      <c r="BR985" s="68">
        <f t="shared" si="2332"/>
        <v>0</v>
      </c>
      <c r="BS985" s="1112"/>
      <c r="BT985" s="68"/>
      <c r="BU985" s="68"/>
      <c r="BV985" s="68"/>
      <c r="BW985" s="68"/>
      <c r="BX985" s="1112"/>
      <c r="BY985" s="588"/>
      <c r="BZ985" s="68"/>
      <c r="CA985" s="68"/>
      <c r="CB985" s="68"/>
      <c r="CC985" s="1112"/>
      <c r="CD985" s="68"/>
      <c r="CE985" s="68"/>
      <c r="CF985" s="68"/>
      <c r="CG985" s="68"/>
      <c r="CH985" s="1112"/>
      <c r="CI985" s="1112"/>
      <c r="CJ985" s="1112"/>
      <c r="CK985" s="1112"/>
      <c r="CL985" s="155"/>
    </row>
    <row r="986" spans="1:90" x14ac:dyDescent="0.3">
      <c r="A986" s="73" t="s">
        <v>785</v>
      </c>
      <c r="B986" s="146"/>
      <c r="C986" s="1112"/>
      <c r="D986" s="1112"/>
      <c r="E986" s="1112"/>
      <c r="F986" s="1112"/>
      <c r="G986" s="68"/>
      <c r="H986" s="68"/>
      <c r="I986" s="68"/>
      <c r="J986" s="68"/>
      <c r="K986" s="1112"/>
      <c r="L986" s="68"/>
      <c r="M986" s="68"/>
      <c r="N986" s="68"/>
      <c r="O986" s="68"/>
      <c r="P986" s="1112"/>
      <c r="Q986" s="68"/>
      <c r="R986" s="68"/>
      <c r="S986" s="68"/>
      <c r="T986" s="68"/>
      <c r="U986" s="1112"/>
      <c r="V986" s="68"/>
      <c r="W986" s="68"/>
      <c r="X986" s="68"/>
      <c r="Y986" s="68"/>
      <c r="Z986" s="1112"/>
      <c r="AA986" s="68"/>
      <c r="AB986" s="68"/>
      <c r="AC986" s="68"/>
      <c r="AD986" s="68"/>
      <c r="AE986" s="1112"/>
      <c r="AF986" s="68"/>
      <c r="AG986" s="68"/>
      <c r="AH986" s="68"/>
      <c r="AI986" s="68"/>
      <c r="AJ986" s="1112"/>
      <c r="AK986" s="68"/>
      <c r="AL986" s="68"/>
      <c r="AM986" s="68"/>
      <c r="AN986" s="68"/>
      <c r="AO986" s="1112"/>
      <c r="AP986" s="68"/>
      <c r="AQ986" s="68"/>
      <c r="AR986" s="68"/>
      <c r="AS986" s="68"/>
      <c r="AT986" s="1112"/>
      <c r="AU986" s="68"/>
      <c r="AV986" s="68"/>
      <c r="AW986" s="68"/>
      <c r="AX986" s="68">
        <f>AY986</f>
        <v>136</v>
      </c>
      <c r="AY986" s="1113">
        <v>136</v>
      </c>
      <c r="AZ986" s="1055">
        <v>123</v>
      </c>
      <c r="BA986" s="1055">
        <v>77</v>
      </c>
      <c r="BB986" s="1055">
        <v>22</v>
      </c>
      <c r="BC986" s="68">
        <f>BD986</f>
        <v>0</v>
      </c>
      <c r="BD986" s="1112"/>
      <c r="BE986" s="68"/>
      <c r="BF986" s="68"/>
      <c r="BG986" s="68"/>
      <c r="BH986" s="68">
        <f t="shared" si="2325"/>
        <v>0</v>
      </c>
      <c r="BI986" s="1112"/>
      <c r="BJ986" s="68"/>
      <c r="BK986" s="68"/>
      <c r="BL986" s="68"/>
      <c r="BM986" s="68"/>
      <c r="BN986" s="1112"/>
      <c r="BO986" s="68"/>
      <c r="BP986" s="68"/>
      <c r="BQ986" s="68"/>
      <c r="BR986" s="68">
        <f t="shared" si="2332"/>
        <v>0</v>
      </c>
      <c r="BS986" s="1112"/>
      <c r="BT986" s="68"/>
      <c r="BU986" s="68"/>
      <c r="BV986" s="68"/>
      <c r="BW986" s="68"/>
      <c r="BX986" s="1112"/>
      <c r="BY986" s="588"/>
      <c r="BZ986" s="68"/>
      <c r="CA986" s="68"/>
      <c r="CB986" s="68"/>
      <c r="CC986" s="1112"/>
      <c r="CD986" s="68"/>
      <c r="CE986" s="68"/>
      <c r="CF986" s="68"/>
      <c r="CG986" s="68"/>
      <c r="CH986" s="1112"/>
      <c r="CI986" s="1112"/>
      <c r="CJ986" s="1112"/>
      <c r="CK986" s="1112"/>
      <c r="CL986" s="155"/>
    </row>
    <row r="987" spans="1:90" x14ac:dyDescent="0.3">
      <c r="A987" s="150" t="s">
        <v>211</v>
      </c>
      <c r="B987" s="149"/>
      <c r="C987" s="1123"/>
      <c r="D987" s="1123"/>
      <c r="E987" s="1123"/>
      <c r="F987" s="1123"/>
      <c r="G987" s="109"/>
      <c r="H987" s="109"/>
      <c r="I987" s="109"/>
      <c r="J987" s="109"/>
      <c r="K987" s="1123"/>
      <c r="L987" s="109"/>
      <c r="M987" s="109"/>
      <c r="N987" s="109"/>
      <c r="O987" s="109"/>
      <c r="P987" s="1123"/>
      <c r="Q987" s="109"/>
      <c r="R987" s="109"/>
      <c r="S987" s="109"/>
      <c r="T987" s="109"/>
      <c r="U987" s="1123"/>
      <c r="V987" s="109"/>
      <c r="W987" s="109"/>
      <c r="X987" s="109"/>
      <c r="Y987" s="109"/>
      <c r="Z987" s="1123"/>
      <c r="AA987" s="109"/>
      <c r="AB987" s="109"/>
      <c r="AC987" s="109"/>
      <c r="AD987" s="109"/>
      <c r="AE987" s="1123"/>
      <c r="AF987" s="109"/>
      <c r="AG987" s="109"/>
      <c r="AH987" s="109"/>
      <c r="AI987" s="109"/>
      <c r="AJ987" s="1123"/>
      <c r="AK987" s="109"/>
      <c r="AL987" s="109"/>
      <c r="AM987" s="109"/>
      <c r="AN987" s="109"/>
      <c r="AO987" s="1123"/>
      <c r="AP987" s="109"/>
      <c r="AQ987" s="109"/>
      <c r="AR987" s="109"/>
      <c r="AS987" s="109"/>
      <c r="AT987" s="1133">
        <v>40</v>
      </c>
      <c r="AU987" s="109"/>
      <c r="AV987" s="109"/>
      <c r="AW987" s="1062">
        <v>119</v>
      </c>
      <c r="AX987" s="109">
        <f>AY987</f>
        <v>67</v>
      </c>
      <c r="AY987" s="1133">
        <v>67</v>
      </c>
      <c r="AZ987" s="1062">
        <v>36</v>
      </c>
      <c r="BA987" s="1062">
        <v>47</v>
      </c>
      <c r="BB987" s="1062">
        <v>52</v>
      </c>
      <c r="BC987" s="109">
        <f>BD987</f>
        <v>62</v>
      </c>
      <c r="BD987" s="1133">
        <v>62</v>
      </c>
      <c r="BE987" s="1062">
        <v>63</v>
      </c>
      <c r="BF987" s="1062">
        <v>111</v>
      </c>
      <c r="BG987" s="1062">
        <v>102</v>
      </c>
      <c r="BH987" s="109">
        <f t="shared" si="2325"/>
        <v>145</v>
      </c>
      <c r="BI987" s="1133">
        <v>145</v>
      </c>
      <c r="BJ987" s="1062">
        <v>145</v>
      </c>
      <c r="BK987" s="1062">
        <v>148</v>
      </c>
      <c r="BL987" s="1062">
        <v>139</v>
      </c>
      <c r="BM987" s="68">
        <f>BN987</f>
        <v>132</v>
      </c>
      <c r="BN987" s="1113">
        <v>132</v>
      </c>
      <c r="BO987" s="1062">
        <v>228</v>
      </c>
      <c r="BP987" s="1062">
        <f>186+331</f>
        <v>517</v>
      </c>
      <c r="BQ987" s="1062">
        <v>245</v>
      </c>
      <c r="BR987" s="68">
        <f t="shared" si="2332"/>
        <v>201</v>
      </c>
      <c r="BS987" s="1113">
        <v>201</v>
      </c>
      <c r="BT987" s="1062">
        <v>240</v>
      </c>
      <c r="BU987" s="1062">
        <v>272</v>
      </c>
      <c r="BV987" s="1062">
        <v>632</v>
      </c>
      <c r="BW987" s="68"/>
      <c r="BX987" s="1112"/>
      <c r="BY987" s="730"/>
      <c r="BZ987" s="109"/>
      <c r="CA987" s="109"/>
      <c r="CB987" s="109"/>
      <c r="CC987" s="1123"/>
      <c r="CD987" s="109"/>
      <c r="CE987" s="109"/>
      <c r="CF987" s="109"/>
      <c r="CG987" s="109"/>
      <c r="CH987" s="1123"/>
      <c r="CI987" s="1123"/>
      <c r="CJ987" s="1123"/>
      <c r="CK987" s="1123"/>
      <c r="CL987" s="155"/>
    </row>
    <row r="988" spans="1:90" x14ac:dyDescent="0.3">
      <c r="A988" s="67" t="s">
        <v>211</v>
      </c>
      <c r="B988" s="146"/>
      <c r="C988" s="1113">
        <v>40.026000000000003</v>
      </c>
      <c r="D988" s="1113">
        <v>42.927999999999997</v>
      </c>
      <c r="E988" s="1113">
        <v>40.85</v>
      </c>
      <c r="F988" s="1113">
        <v>120.33199999999999</v>
      </c>
      <c r="G988" s="1055">
        <v>118.08499999999999</v>
      </c>
      <c r="H988" s="1055">
        <v>116.006</v>
      </c>
      <c r="I988" s="1055">
        <v>111.499</v>
      </c>
      <c r="J988" s="27">
        <f>K988</f>
        <v>107.48099999999999</v>
      </c>
      <c r="K988" s="1113">
        <v>107.48099999999999</v>
      </c>
      <c r="L988" s="1055">
        <v>107.125</v>
      </c>
      <c r="M988" s="1055">
        <v>104.486</v>
      </c>
      <c r="N988" s="1055">
        <v>102.346</v>
      </c>
      <c r="O988" s="27">
        <f>P988</f>
        <v>104.252</v>
      </c>
      <c r="P988" s="1113">
        <v>104.252</v>
      </c>
      <c r="Q988" s="1055">
        <v>99.353999999999999</v>
      </c>
      <c r="R988" s="1055">
        <v>95.43</v>
      </c>
      <c r="S988" s="1055">
        <v>93.679000000000002</v>
      </c>
      <c r="T988" s="27">
        <f>U988</f>
        <v>91</v>
      </c>
      <c r="U988" s="1113">
        <v>91</v>
      </c>
      <c r="V988" s="1055">
        <v>89</v>
      </c>
      <c r="W988" s="1055">
        <v>66</v>
      </c>
      <c r="X988" s="1055">
        <v>73</v>
      </c>
      <c r="Y988" s="27">
        <f>Z988</f>
        <v>67</v>
      </c>
      <c r="Z988" s="1113">
        <v>67</v>
      </c>
      <c r="AA988" s="1055">
        <v>66</v>
      </c>
      <c r="AB988" s="1055">
        <v>64</v>
      </c>
      <c r="AC988" s="1055">
        <v>64</v>
      </c>
      <c r="AD988" s="1055">
        <v>62</v>
      </c>
      <c r="AE988" s="1112">
        <f>AD988</f>
        <v>62</v>
      </c>
      <c r="AF988" s="1055">
        <v>47</v>
      </c>
      <c r="AG988" s="1055">
        <v>60</v>
      </c>
      <c r="AH988" s="1055">
        <v>70</v>
      </c>
      <c r="AI988" s="68">
        <f>AJ988</f>
        <v>319</v>
      </c>
      <c r="AJ988" s="1113">
        <v>319</v>
      </c>
      <c r="AK988" s="1055">
        <v>273</v>
      </c>
      <c r="AL988" s="1055">
        <v>220</v>
      </c>
      <c r="AM988" s="1055">
        <v>312</v>
      </c>
      <c r="AN988" s="68">
        <f>AO988</f>
        <v>668</v>
      </c>
      <c r="AO988" s="1113">
        <v>668</v>
      </c>
      <c r="AP988" s="1062">
        <v>110</v>
      </c>
      <c r="AQ988" s="1062">
        <v>110</v>
      </c>
      <c r="AR988" s="1055">
        <v>116</v>
      </c>
      <c r="AS988" s="68">
        <f>AT988</f>
        <v>118</v>
      </c>
      <c r="AT988" s="1112">
        <f>SUM(AT980:AT987)</f>
        <v>118</v>
      </c>
      <c r="AU988" s="1062">
        <v>119</v>
      </c>
      <c r="AV988" s="1062">
        <v>157</v>
      </c>
      <c r="AW988" s="27">
        <f t="shared" ref="AW988:BG988" si="2333">SUM(AW980:AW987)</f>
        <v>2028</v>
      </c>
      <c r="AX988" s="68">
        <f t="shared" si="2333"/>
        <v>2144</v>
      </c>
      <c r="AY988" s="1112">
        <f t="shared" si="2333"/>
        <v>2144</v>
      </c>
      <c r="AZ988" s="110">
        <f t="shared" si="2333"/>
        <v>2090</v>
      </c>
      <c r="BA988" s="110">
        <f t="shared" si="2333"/>
        <v>2050</v>
      </c>
      <c r="BB988" s="27">
        <f t="shared" si="2333"/>
        <v>3761</v>
      </c>
      <c r="BC988" s="68">
        <f t="shared" si="2333"/>
        <v>3841</v>
      </c>
      <c r="BD988" s="1112">
        <f t="shared" si="2333"/>
        <v>3841</v>
      </c>
      <c r="BE988" s="110">
        <f t="shared" si="2333"/>
        <v>3505</v>
      </c>
      <c r="BF988" s="68">
        <f t="shared" si="2333"/>
        <v>3340</v>
      </c>
      <c r="BG988" s="27">
        <f t="shared" si="2333"/>
        <v>3580</v>
      </c>
      <c r="BH988" s="68">
        <f t="shared" si="2325"/>
        <v>3820</v>
      </c>
      <c r="BI988" s="1113">
        <v>3820</v>
      </c>
      <c r="BJ988" s="110">
        <f>SUM(BJ980:BJ987)</f>
        <v>4204</v>
      </c>
      <c r="BK988" s="68">
        <f>SUM(BK980:BK987)</f>
        <v>4501</v>
      </c>
      <c r="BL988" s="27">
        <f>SUM(BL980:BL987)</f>
        <v>4667</v>
      </c>
      <c r="BM988" s="561">
        <f>BN988</f>
        <v>4500</v>
      </c>
      <c r="BN988" s="1121">
        <v>4500</v>
      </c>
      <c r="BO988" s="109">
        <f>SUM(BO980:BO987)</f>
        <v>4568</v>
      </c>
      <c r="BP988" s="68">
        <f>SUM(BP980:BP987)</f>
        <v>4001</v>
      </c>
      <c r="BQ988" s="68">
        <f>SUM(BQ980:BQ987)</f>
        <v>5437</v>
      </c>
      <c r="BR988" s="561">
        <f>BS988</f>
        <v>6425</v>
      </c>
      <c r="BS988" s="1121">
        <v>6425</v>
      </c>
      <c r="BT988" s="109">
        <f>SUM(BT980:BT987)</f>
        <v>6788</v>
      </c>
      <c r="BU988" s="68">
        <f>SUM(BU980:BU987)</f>
        <v>7216</v>
      </c>
      <c r="BV988" s="68">
        <f>SUM(BV980:BV987)</f>
        <v>11724</v>
      </c>
      <c r="BW988" s="561">
        <f>BX988</f>
        <v>30552</v>
      </c>
      <c r="BX988" s="1121">
        <f>22251+8301</f>
        <v>30552</v>
      </c>
      <c r="BY988" s="1063">
        <f>43364+12733</f>
        <v>56097</v>
      </c>
      <c r="BZ988" s="68">
        <f t="shared" ref="BZ988:CK988" si="2334">BY988</f>
        <v>56097</v>
      </c>
      <c r="CA988" s="68">
        <f t="shared" si="2334"/>
        <v>56097</v>
      </c>
      <c r="CB988" s="68">
        <f t="shared" si="2334"/>
        <v>56097</v>
      </c>
      <c r="CC988" s="1112">
        <f t="shared" si="2334"/>
        <v>56097</v>
      </c>
      <c r="CD988" s="68">
        <f t="shared" si="2334"/>
        <v>56097</v>
      </c>
      <c r="CE988" s="68">
        <f t="shared" si="2334"/>
        <v>56097</v>
      </c>
      <c r="CF988" s="68">
        <f t="shared" si="2334"/>
        <v>56097</v>
      </c>
      <c r="CG988" s="68">
        <f t="shared" si="2334"/>
        <v>56097</v>
      </c>
      <c r="CH988" s="1112">
        <f t="shared" si="2334"/>
        <v>56097</v>
      </c>
      <c r="CI988" s="1112">
        <f t="shared" si="2334"/>
        <v>56097</v>
      </c>
      <c r="CJ988" s="1112">
        <f t="shared" si="2334"/>
        <v>56097</v>
      </c>
      <c r="CK988" s="1112">
        <f t="shared" si="2334"/>
        <v>56097</v>
      </c>
      <c r="CL988" s="155"/>
    </row>
    <row r="989" spans="1:90" x14ac:dyDescent="0.3">
      <c r="A989" s="59" t="s">
        <v>212</v>
      </c>
      <c r="B989" s="607"/>
      <c r="C989" s="1125">
        <f t="shared" ref="C989:BA989" si="2335">SUM(C978:C979)+SUM(C973:C975)+C988</f>
        <v>1182.769</v>
      </c>
      <c r="D989" s="1125">
        <f t="shared" si="2335"/>
        <v>1105.0880000000002</v>
      </c>
      <c r="E989" s="1125">
        <f t="shared" si="2335"/>
        <v>1268.2959999999998</v>
      </c>
      <c r="F989" s="1125">
        <f t="shared" si="2335"/>
        <v>1647.5699999999997</v>
      </c>
      <c r="G989" s="60">
        <f t="shared" si="2335"/>
        <v>1676.0509999999999</v>
      </c>
      <c r="H989" s="60">
        <f t="shared" si="2335"/>
        <v>1678.03</v>
      </c>
      <c r="I989" s="60">
        <f t="shared" si="2335"/>
        <v>1650.317</v>
      </c>
      <c r="J989" s="60">
        <f t="shared" si="2335"/>
        <v>1636.9869999999999</v>
      </c>
      <c r="K989" s="1125">
        <f t="shared" si="2335"/>
        <v>1636.9869999999999</v>
      </c>
      <c r="L989" s="60">
        <f t="shared" si="2335"/>
        <v>1672.9109999999998</v>
      </c>
      <c r="M989" s="60">
        <f t="shared" si="2335"/>
        <v>1646.9840000000002</v>
      </c>
      <c r="N989" s="60">
        <f t="shared" si="2335"/>
        <v>1661.5319999999999</v>
      </c>
      <c r="O989" s="60">
        <f t="shared" si="2335"/>
        <v>1626.1829999999998</v>
      </c>
      <c r="P989" s="1125">
        <f t="shared" si="2335"/>
        <v>1626.1829999999998</v>
      </c>
      <c r="Q989" s="60">
        <f t="shared" si="2335"/>
        <v>1590.865</v>
      </c>
      <c r="R989" s="60">
        <f t="shared" si="2335"/>
        <v>1556.133</v>
      </c>
      <c r="S989" s="60">
        <f t="shared" si="2335"/>
        <v>1544.76</v>
      </c>
      <c r="T989" s="60">
        <f t="shared" si="2335"/>
        <v>1488</v>
      </c>
      <c r="U989" s="1125">
        <f t="shared" si="2335"/>
        <v>1488</v>
      </c>
      <c r="V989" s="60">
        <f t="shared" si="2335"/>
        <v>1459</v>
      </c>
      <c r="W989" s="60">
        <f t="shared" si="2335"/>
        <v>1371</v>
      </c>
      <c r="X989" s="60">
        <f t="shared" si="2335"/>
        <v>1340</v>
      </c>
      <c r="Y989" s="60">
        <f t="shared" si="2335"/>
        <v>1317</v>
      </c>
      <c r="Z989" s="1125">
        <f t="shared" si="2335"/>
        <v>1317</v>
      </c>
      <c r="AA989" s="60">
        <f t="shared" si="2335"/>
        <v>1318</v>
      </c>
      <c r="AB989" s="60">
        <f t="shared" si="2335"/>
        <v>1305</v>
      </c>
      <c r="AC989" s="61">
        <f t="shared" si="2335"/>
        <v>1305</v>
      </c>
      <c r="AD989" s="61">
        <f t="shared" si="2335"/>
        <v>1305</v>
      </c>
      <c r="AE989" s="1124">
        <f t="shared" si="2335"/>
        <v>1305</v>
      </c>
      <c r="AF989" s="61">
        <f t="shared" si="2335"/>
        <v>1294</v>
      </c>
      <c r="AG989" s="60">
        <f t="shared" si="2335"/>
        <v>1332</v>
      </c>
      <c r="AH989" s="60">
        <f t="shared" si="2335"/>
        <v>1351</v>
      </c>
      <c r="AI989" s="61">
        <f t="shared" si="2335"/>
        <v>1986</v>
      </c>
      <c r="AJ989" s="1124">
        <f t="shared" si="2335"/>
        <v>1986</v>
      </c>
      <c r="AK989" s="60">
        <f t="shared" si="2335"/>
        <v>2012</v>
      </c>
      <c r="AL989" s="60">
        <f t="shared" si="2335"/>
        <v>2051</v>
      </c>
      <c r="AM989" s="60">
        <f t="shared" si="2335"/>
        <v>2271</v>
      </c>
      <c r="AN989" s="61">
        <f t="shared" si="2335"/>
        <v>2735</v>
      </c>
      <c r="AO989" s="1124">
        <f t="shared" si="2335"/>
        <v>2735</v>
      </c>
      <c r="AP989" s="60">
        <f t="shared" si="2335"/>
        <v>3392</v>
      </c>
      <c r="AQ989" s="60">
        <f t="shared" si="2335"/>
        <v>3384</v>
      </c>
      <c r="AR989" s="60">
        <f t="shared" si="2335"/>
        <v>3390</v>
      </c>
      <c r="AS989" s="61">
        <f t="shared" si="2335"/>
        <v>3625</v>
      </c>
      <c r="AT989" s="1124">
        <f t="shared" si="2335"/>
        <v>3625</v>
      </c>
      <c r="AU989" s="60">
        <f t="shared" si="2335"/>
        <v>3670</v>
      </c>
      <c r="AV989" s="60">
        <f t="shared" si="2335"/>
        <v>10499</v>
      </c>
      <c r="AW989" s="60">
        <f t="shared" si="2335"/>
        <v>12488</v>
      </c>
      <c r="AX989" s="61">
        <f t="shared" si="2335"/>
        <v>12736</v>
      </c>
      <c r="AY989" s="1124">
        <f t="shared" si="2335"/>
        <v>12736</v>
      </c>
      <c r="AZ989" s="60">
        <f t="shared" si="2335"/>
        <v>12669</v>
      </c>
      <c r="BA989" s="60">
        <f t="shared" si="2335"/>
        <v>12844</v>
      </c>
      <c r="BB989" s="60">
        <f>SUM(BB978:BB979)+SUM(BB973:BB975)+BB988</f>
        <v>14826</v>
      </c>
      <c r="BC989" s="61">
        <f t="shared" ref="BC989:BF989" si="2336">SUM(BC978:BC979)+SUM(BC973:BC975)+BC988</f>
        <v>15358</v>
      </c>
      <c r="BD989" s="1124">
        <f t="shared" si="2336"/>
        <v>15358</v>
      </c>
      <c r="BE989" s="60">
        <f t="shared" si="2336"/>
        <v>15637</v>
      </c>
      <c r="BF989" s="61">
        <f t="shared" si="2336"/>
        <v>16058</v>
      </c>
      <c r="BG989" s="60">
        <f t="shared" ref="BG989:BI989" si="2337">SUM(BG978:BG979)+SUM(BG973:BG975)+BG988</f>
        <v>17265</v>
      </c>
      <c r="BH989" s="61">
        <f t="shared" si="2337"/>
        <v>18109</v>
      </c>
      <c r="BI989" s="1124">
        <f t="shared" si="2337"/>
        <v>18109</v>
      </c>
      <c r="BJ989" s="60">
        <f t="shared" ref="BJ989:BN989" si="2338">SUM(BJ978:BJ979)+SUM(BJ973:BJ975)+BJ988</f>
        <v>19577</v>
      </c>
      <c r="BK989" s="61">
        <f t="shared" si="2338"/>
        <v>20758</v>
      </c>
      <c r="BL989" s="60">
        <f t="shared" si="2338"/>
        <v>21490</v>
      </c>
      <c r="BM989" s="61">
        <f t="shared" si="2338"/>
        <v>21383</v>
      </c>
      <c r="BN989" s="1124">
        <f t="shared" si="2338"/>
        <v>21383</v>
      </c>
      <c r="BO989" s="60">
        <f t="shared" ref="BO989:BS989" si="2339">SUM(BO978:BO979)+SUM(BO973:BO975)+BO988</f>
        <v>23343</v>
      </c>
      <c r="BP989" s="61">
        <f t="shared" si="2339"/>
        <v>25594</v>
      </c>
      <c r="BQ989" s="60">
        <f t="shared" si="2339"/>
        <v>28373</v>
      </c>
      <c r="BR989" s="61">
        <f t="shared" si="2339"/>
        <v>31475</v>
      </c>
      <c r="BS989" s="1124">
        <f t="shared" si="2339"/>
        <v>31475</v>
      </c>
      <c r="BT989" s="60">
        <f t="shared" ref="BT989:CK989" si="2340">SUM(BT978:BT979)+SUM(BT973:BT975)+BT988</f>
        <v>35319</v>
      </c>
      <c r="BU989" s="61">
        <f t="shared" si="2340"/>
        <v>38521</v>
      </c>
      <c r="BV989" s="60">
        <f t="shared" si="2340"/>
        <v>44656</v>
      </c>
      <c r="BW989" s="61">
        <f t="shared" si="2340"/>
        <v>81198</v>
      </c>
      <c r="BX989" s="1124">
        <f t="shared" si="2340"/>
        <v>81198</v>
      </c>
      <c r="BY989" s="895">
        <f>SUM(BY978:BY979)+SUM(BY973:BY975)+BY988</f>
        <v>108479</v>
      </c>
      <c r="BZ989" s="61">
        <f t="shared" si="2340"/>
        <v>107783.43132075472</v>
      </c>
      <c r="CA989" s="61">
        <f t="shared" si="2340"/>
        <v>107123.44888210345</v>
      </c>
      <c r="CB989" s="61">
        <f t="shared" si="2340"/>
        <v>106456.73356945936</v>
      </c>
      <c r="CC989" s="1124">
        <f t="shared" si="2340"/>
        <v>106456.73356945936</v>
      </c>
      <c r="CD989" s="61">
        <f t="shared" si="2340"/>
        <v>105900.89710529096</v>
      </c>
      <c r="CE989" s="61">
        <f t="shared" si="2340"/>
        <v>105362.83723812053</v>
      </c>
      <c r="CF989" s="61">
        <f t="shared" si="2340"/>
        <v>104852.03764591611</v>
      </c>
      <c r="CG989" s="61">
        <f t="shared" si="2340"/>
        <v>104367.39797025651</v>
      </c>
      <c r="CH989" s="1124">
        <f t="shared" si="2340"/>
        <v>104367.39797025651</v>
      </c>
      <c r="CI989" s="1124">
        <f t="shared" si="2340"/>
        <v>102620.95658048002</v>
      </c>
      <c r="CJ989" s="1124">
        <f t="shared" si="2340"/>
        <v>101347.23332729837</v>
      </c>
      <c r="CK989" s="1124">
        <f t="shared" si="2340"/>
        <v>100417.72848262099</v>
      </c>
      <c r="CL989" s="155"/>
    </row>
    <row r="990" spans="1:90" x14ac:dyDescent="0.3">
      <c r="A990" s="62" t="s">
        <v>213</v>
      </c>
      <c r="B990" s="279"/>
      <c r="C990" s="1134">
        <f t="shared" ref="C990:AH990" si="2341">C970+C989</f>
        <v>3350.7269999999999</v>
      </c>
      <c r="D990" s="1134">
        <f t="shared" si="2341"/>
        <v>3585.9180000000001</v>
      </c>
      <c r="E990" s="1134">
        <f t="shared" si="2341"/>
        <v>4495.2460000000001</v>
      </c>
      <c r="F990" s="1134">
        <f t="shared" si="2341"/>
        <v>5552.9279999999999</v>
      </c>
      <c r="G990" s="28">
        <f t="shared" si="2341"/>
        <v>5708.1669999999995</v>
      </c>
      <c r="H990" s="28">
        <f t="shared" si="2341"/>
        <v>5891.8809999999994</v>
      </c>
      <c r="I990" s="28">
        <f t="shared" si="2341"/>
        <v>6075.1440000000002</v>
      </c>
      <c r="J990" s="28">
        <f t="shared" si="2341"/>
        <v>6412.2449999999999</v>
      </c>
      <c r="K990" s="1134">
        <f t="shared" si="2341"/>
        <v>6412.2449999999999</v>
      </c>
      <c r="L990" s="28">
        <f t="shared" si="2341"/>
        <v>6279.527</v>
      </c>
      <c r="M990" s="28">
        <f t="shared" si="2341"/>
        <v>5569.5920000000006</v>
      </c>
      <c r="N990" s="28">
        <f t="shared" si="2341"/>
        <v>5711.3729999999996</v>
      </c>
      <c r="O990" s="28">
        <f t="shared" si="2341"/>
        <v>7250.8939999999993</v>
      </c>
      <c r="P990" s="1134">
        <f t="shared" si="2341"/>
        <v>7250.8939999999993</v>
      </c>
      <c r="Q990" s="28">
        <f t="shared" si="2341"/>
        <v>6864.6629999999996</v>
      </c>
      <c r="R990" s="28">
        <f t="shared" si="2341"/>
        <v>6933.7190000000001</v>
      </c>
      <c r="S990" s="28">
        <f t="shared" si="2341"/>
        <v>6885.8690000000006</v>
      </c>
      <c r="T990" s="28">
        <f t="shared" si="2341"/>
        <v>7201</v>
      </c>
      <c r="U990" s="1134">
        <f t="shared" si="2341"/>
        <v>7201</v>
      </c>
      <c r="V990" s="28">
        <f t="shared" si="2341"/>
        <v>7291</v>
      </c>
      <c r="W990" s="28">
        <f t="shared" si="2341"/>
        <v>6979</v>
      </c>
      <c r="X990" s="28">
        <f t="shared" si="2341"/>
        <v>7174</v>
      </c>
      <c r="Y990" s="28">
        <f t="shared" si="2341"/>
        <v>7370</v>
      </c>
      <c r="Z990" s="1134">
        <f t="shared" si="2341"/>
        <v>7370</v>
      </c>
      <c r="AA990" s="28">
        <f t="shared" si="2341"/>
        <v>7108</v>
      </c>
      <c r="AB990" s="28">
        <f t="shared" si="2341"/>
        <v>7461</v>
      </c>
      <c r="AC990" s="63">
        <f t="shared" si="2341"/>
        <v>9612</v>
      </c>
      <c r="AD990" s="63">
        <f t="shared" si="2341"/>
        <v>9841</v>
      </c>
      <c r="AE990" s="1127">
        <f t="shared" si="2341"/>
        <v>9841</v>
      </c>
      <c r="AF990" s="63">
        <f t="shared" si="2341"/>
        <v>9410</v>
      </c>
      <c r="AG990" s="28">
        <f t="shared" si="2341"/>
        <v>9402</v>
      </c>
      <c r="AH990" s="28">
        <f t="shared" si="2341"/>
        <v>9830</v>
      </c>
      <c r="AI990" s="63">
        <f t="shared" ref="AI990:AV990" si="2342">AI970+AI989</f>
        <v>11241</v>
      </c>
      <c r="AJ990" s="1127">
        <f t="shared" si="2342"/>
        <v>11241</v>
      </c>
      <c r="AK990" s="28">
        <f t="shared" si="2342"/>
        <v>11460</v>
      </c>
      <c r="AL990" s="28">
        <f t="shared" si="2342"/>
        <v>12882</v>
      </c>
      <c r="AM990" s="28">
        <f t="shared" si="2342"/>
        <v>13657</v>
      </c>
      <c r="AN990" s="63">
        <f t="shared" si="2342"/>
        <v>13292</v>
      </c>
      <c r="AO990" s="1127">
        <f t="shared" si="2342"/>
        <v>13292</v>
      </c>
      <c r="AP990" s="28">
        <f t="shared" si="2342"/>
        <v>14021</v>
      </c>
      <c r="AQ990" s="28">
        <f t="shared" si="2342"/>
        <v>14775</v>
      </c>
      <c r="AR990" s="28">
        <f t="shared" si="2342"/>
        <v>15810</v>
      </c>
      <c r="AS990" s="63">
        <f t="shared" si="2342"/>
        <v>17315</v>
      </c>
      <c r="AT990" s="1127">
        <f t="shared" si="2342"/>
        <v>17315</v>
      </c>
      <c r="AU990" s="28">
        <f t="shared" si="2342"/>
        <v>23254</v>
      </c>
      <c r="AV990" s="28">
        <f t="shared" si="2342"/>
        <v>25180</v>
      </c>
      <c r="AW990" s="28">
        <f t="shared" ref="AW990:BB990" si="2343">AW970+AW989</f>
        <v>26881</v>
      </c>
      <c r="AX990" s="63">
        <f t="shared" si="2343"/>
        <v>28791</v>
      </c>
      <c r="AY990" s="1127">
        <f t="shared" si="2343"/>
        <v>28791</v>
      </c>
      <c r="AZ990" s="28">
        <f t="shared" si="2343"/>
        <v>30796</v>
      </c>
      <c r="BA990" s="28">
        <f t="shared" si="2343"/>
        <v>38650</v>
      </c>
      <c r="BB990" s="28">
        <f t="shared" si="2343"/>
        <v>40632</v>
      </c>
      <c r="BC990" s="63">
        <f t="shared" ref="BC990:BF990" si="2344">BC970+BC989</f>
        <v>44187</v>
      </c>
      <c r="BD990" s="1127">
        <f t="shared" si="2344"/>
        <v>44187</v>
      </c>
      <c r="BE990" s="28">
        <f>BE970+BE989</f>
        <v>45212</v>
      </c>
      <c r="BF990" s="63">
        <f t="shared" si="2344"/>
        <v>43476</v>
      </c>
      <c r="BG990" s="28">
        <f t="shared" ref="BG990:BI990" si="2345">BG970+BG989</f>
        <v>40488</v>
      </c>
      <c r="BH990" s="63">
        <f t="shared" si="2345"/>
        <v>41182</v>
      </c>
      <c r="BI990" s="1127">
        <f t="shared" si="2345"/>
        <v>41182</v>
      </c>
      <c r="BJ990" s="28">
        <f t="shared" ref="BJ990:BN990" si="2346">BJ970+BJ989</f>
        <v>44460</v>
      </c>
      <c r="BK990" s="63">
        <f t="shared" si="2346"/>
        <v>49555</v>
      </c>
      <c r="BL990" s="28">
        <f t="shared" si="2346"/>
        <v>54148</v>
      </c>
      <c r="BM990" s="63">
        <f t="shared" si="2346"/>
        <v>65728</v>
      </c>
      <c r="BN990" s="1127">
        <f t="shared" si="2346"/>
        <v>65728</v>
      </c>
      <c r="BO990" s="28">
        <f t="shared" ref="BO990:BS990" si="2347">BO970+BO989</f>
        <v>77072</v>
      </c>
      <c r="BP990" s="63">
        <f t="shared" si="2347"/>
        <v>85227</v>
      </c>
      <c r="BQ990" s="28">
        <f t="shared" si="2347"/>
        <v>96013</v>
      </c>
      <c r="BR990" s="63">
        <f t="shared" si="2347"/>
        <v>111601</v>
      </c>
      <c r="BS990" s="1127">
        <f t="shared" si="2347"/>
        <v>111601</v>
      </c>
      <c r="BT990" s="28">
        <f t="shared" ref="BT990:CK990" si="2348">BT970+BT989</f>
        <v>125254</v>
      </c>
      <c r="BU990" s="63">
        <f t="shared" si="2348"/>
        <v>140740</v>
      </c>
      <c r="BV990" s="28">
        <f t="shared" si="2348"/>
        <v>161148</v>
      </c>
      <c r="BW990" s="63">
        <f t="shared" si="2348"/>
        <v>206803</v>
      </c>
      <c r="BX990" s="1127">
        <f t="shared" si="2348"/>
        <v>206803</v>
      </c>
      <c r="BY990" s="505">
        <f>BY970+BY989</f>
        <v>259474</v>
      </c>
      <c r="BZ990" s="63">
        <f t="shared" si="2348"/>
        <v>300877.89141353639</v>
      </c>
      <c r="CA990" s="63">
        <f t="shared" si="2348"/>
        <v>347970.34406924044</v>
      </c>
      <c r="CB990" s="63">
        <f t="shared" si="2348"/>
        <v>402834.72061589413</v>
      </c>
      <c r="CC990" s="1127">
        <f t="shared" si="2348"/>
        <v>402834.72061589413</v>
      </c>
      <c r="CD990" s="63">
        <f t="shared" si="2348"/>
        <v>471303.10495241865</v>
      </c>
      <c r="CE990" s="63">
        <f t="shared" si="2348"/>
        <v>524731.56338101428</v>
      </c>
      <c r="CF990" s="63">
        <f t="shared" si="2348"/>
        <v>584179.24727549357</v>
      </c>
      <c r="CG990" s="63">
        <f t="shared" si="2348"/>
        <v>655395.14823345235</v>
      </c>
      <c r="CH990" s="1127">
        <f t="shared" si="2348"/>
        <v>655395.14823345235</v>
      </c>
      <c r="CI990" s="1127">
        <f t="shared" si="2348"/>
        <v>964519.27716638381</v>
      </c>
      <c r="CJ990" s="1127">
        <f t="shared" si="2348"/>
        <v>1338199.9041229642</v>
      </c>
      <c r="CK990" s="1127">
        <f t="shared" si="2348"/>
        <v>1789530.668108949</v>
      </c>
      <c r="CL990" s="155"/>
    </row>
    <row r="991" spans="1:90" x14ac:dyDescent="0.3">
      <c r="A991" s="600"/>
      <c r="B991" s="279"/>
      <c r="C991" s="1127"/>
      <c r="D991" s="1127"/>
      <c r="E991" s="1127"/>
      <c r="F991" s="1127"/>
      <c r="G991" s="63"/>
      <c r="H991" s="63"/>
      <c r="I991" s="63"/>
      <c r="J991" s="63"/>
      <c r="K991" s="1127"/>
      <c r="L991" s="63"/>
      <c r="M991" s="63"/>
      <c r="N991" s="63"/>
      <c r="O991" s="63"/>
      <c r="P991" s="1127"/>
      <c r="Q991" s="63"/>
      <c r="R991" s="63"/>
      <c r="S991" s="63"/>
      <c r="T991" s="63"/>
      <c r="U991" s="1127"/>
      <c r="V991" s="63"/>
      <c r="W991" s="63"/>
      <c r="X991" s="63"/>
      <c r="Y991" s="63"/>
      <c r="Z991" s="1127"/>
      <c r="AA991" s="63"/>
      <c r="AB991" s="63"/>
      <c r="AC991" s="63"/>
      <c r="AD991" s="63"/>
      <c r="AE991" s="1127"/>
      <c r="AF991" s="63"/>
      <c r="AG991" s="63"/>
      <c r="AH991" s="63"/>
      <c r="AI991" s="63"/>
      <c r="AJ991" s="1127"/>
      <c r="AK991" s="63"/>
      <c r="AL991" s="63"/>
      <c r="AM991" s="63"/>
      <c r="AN991" s="63"/>
      <c r="AO991" s="1127"/>
      <c r="AP991" s="63"/>
      <c r="AQ991" s="63"/>
      <c r="AR991" s="63"/>
      <c r="AS991" s="63"/>
      <c r="AT991" s="1127"/>
      <c r="AU991" s="63"/>
      <c r="AV991" s="63"/>
      <c r="AW991" s="63"/>
      <c r="AX991" s="63"/>
      <c r="AY991" s="1127"/>
      <c r="AZ991" s="63"/>
      <c r="BA991" s="63"/>
      <c r="BB991" s="63"/>
      <c r="BC991" s="63"/>
      <c r="BD991" s="1127"/>
      <c r="BE991" s="63"/>
      <c r="BF991" s="63"/>
      <c r="BG991" s="63"/>
      <c r="BH991" s="63"/>
      <c r="BI991" s="1127"/>
      <c r="BJ991" s="63"/>
      <c r="BK991" s="63"/>
      <c r="BL991" s="63"/>
      <c r="BM991" s="63"/>
      <c r="BN991" s="1127"/>
      <c r="BO991" s="63"/>
      <c r="BP991" s="63"/>
      <c r="BQ991" s="63"/>
      <c r="BR991" s="63"/>
      <c r="BS991" s="1127"/>
      <c r="BT991" s="63"/>
      <c r="BU991" s="63"/>
      <c r="BV991" s="63"/>
      <c r="BW991" s="63"/>
      <c r="BX991" s="1127"/>
      <c r="BY991" s="587"/>
      <c r="BZ991" s="63"/>
      <c r="CA991" s="63"/>
      <c r="CB991" s="63"/>
      <c r="CC991" s="1127"/>
      <c r="CD991" s="63"/>
      <c r="CE991" s="63"/>
      <c r="CF991" s="63"/>
      <c r="CG991" s="63"/>
      <c r="CH991" s="1127"/>
      <c r="CI991" s="1127"/>
      <c r="CJ991" s="1127"/>
      <c r="CK991" s="1127"/>
      <c r="CL991" s="155"/>
    </row>
    <row r="992" spans="1:90" x14ac:dyDescent="0.3">
      <c r="A992" s="62" t="s">
        <v>214</v>
      </c>
      <c r="B992" s="279"/>
      <c r="C992" s="1127"/>
      <c r="D992" s="1127"/>
      <c r="E992" s="1127"/>
      <c r="F992" s="1127"/>
      <c r="G992" s="63"/>
      <c r="H992" s="63"/>
      <c r="I992" s="63"/>
      <c r="J992" s="63"/>
      <c r="K992" s="1127"/>
      <c r="L992" s="63"/>
      <c r="M992" s="63"/>
      <c r="N992" s="63"/>
      <c r="O992" s="63"/>
      <c r="P992" s="1127"/>
      <c r="Q992" s="63"/>
      <c r="R992" s="63"/>
      <c r="S992" s="63"/>
      <c r="T992" s="63"/>
      <c r="U992" s="1127"/>
      <c r="V992" s="63"/>
      <c r="W992" s="63"/>
      <c r="X992" s="63"/>
      <c r="Y992" s="63"/>
      <c r="Z992" s="1127"/>
      <c r="AA992" s="63"/>
      <c r="AB992" s="63"/>
      <c r="AC992" s="63"/>
      <c r="AD992" s="63"/>
      <c r="AE992" s="1127"/>
      <c r="AF992" s="63"/>
      <c r="AG992" s="63"/>
      <c r="AH992" s="63"/>
      <c r="AI992" s="63"/>
      <c r="AJ992" s="1127"/>
      <c r="AK992" s="63"/>
      <c r="AL992" s="63"/>
      <c r="AM992" s="63"/>
      <c r="AN992" s="63"/>
      <c r="AO992" s="1127"/>
      <c r="AP992" s="63"/>
      <c r="AQ992" s="63"/>
      <c r="AR992" s="63"/>
      <c r="AS992" s="63"/>
      <c r="AT992" s="1127"/>
      <c r="AU992" s="63"/>
      <c r="AV992" s="63"/>
      <c r="AW992" s="63"/>
      <c r="AX992" s="63"/>
      <c r="AY992" s="1127"/>
      <c r="AZ992" s="63"/>
      <c r="BA992" s="63"/>
      <c r="BB992" s="63"/>
      <c r="BC992" s="63"/>
      <c r="BD992" s="1127"/>
      <c r="BE992" s="63"/>
      <c r="BF992" s="63"/>
      <c r="BG992" s="63"/>
      <c r="BH992" s="63"/>
      <c r="BI992" s="1127"/>
      <c r="BJ992" s="63"/>
      <c r="BK992" s="63"/>
      <c r="BL992" s="63"/>
      <c r="BM992" s="63"/>
      <c r="BN992" s="1127"/>
      <c r="BO992" s="63"/>
      <c r="BP992" s="63"/>
      <c r="BQ992" s="63"/>
      <c r="BR992" s="63"/>
      <c r="BS992" s="1127"/>
      <c r="BT992" s="63"/>
      <c r="BU992" s="63"/>
      <c r="BV992" s="63"/>
      <c r="BW992" s="63"/>
      <c r="BX992" s="1127"/>
      <c r="BY992" s="587"/>
      <c r="BZ992" s="63"/>
      <c r="CA992" s="63"/>
      <c r="CB992" s="63"/>
      <c r="CC992" s="1127"/>
      <c r="CD992" s="63"/>
      <c r="CE992" s="63"/>
      <c r="CF992" s="63"/>
      <c r="CG992" s="63"/>
      <c r="CH992" s="1127"/>
      <c r="CI992" s="1127"/>
      <c r="CJ992" s="1127"/>
      <c r="CK992" s="1127"/>
      <c r="CL992" s="155"/>
    </row>
    <row r="993" spans="1:90" x14ac:dyDescent="0.3">
      <c r="A993" s="67" t="s">
        <v>159</v>
      </c>
      <c r="B993" s="146"/>
      <c r="C993" s="1113">
        <v>218.864</v>
      </c>
      <c r="D993" s="1113">
        <v>344.52699999999999</v>
      </c>
      <c r="E993" s="1113">
        <v>286.13799999999998</v>
      </c>
      <c r="F993" s="1113">
        <v>335.072</v>
      </c>
      <c r="G993" s="1055">
        <v>395.57799999999997</v>
      </c>
      <c r="H993" s="1055">
        <v>417.25</v>
      </c>
      <c r="I993" s="1055">
        <v>390.26499999999999</v>
      </c>
      <c r="J993" s="27">
        <f>K993</f>
        <v>356.428</v>
      </c>
      <c r="K993" s="1113">
        <v>356.428</v>
      </c>
      <c r="L993" s="1055">
        <v>328.25900000000001</v>
      </c>
      <c r="M993" s="1055">
        <v>310.27100000000002</v>
      </c>
      <c r="N993" s="1055">
        <v>333.28300000000002</v>
      </c>
      <c r="O993" s="27">
        <f>P993</f>
        <v>324.39100000000002</v>
      </c>
      <c r="P993" s="1113">
        <v>324.39100000000002</v>
      </c>
      <c r="Q993" s="1055">
        <v>309.00799999999998</v>
      </c>
      <c r="R993" s="1055">
        <v>261.62700000000001</v>
      </c>
      <c r="S993" s="1055">
        <v>328.09699999999998</v>
      </c>
      <c r="T993" s="27">
        <f>U993</f>
        <v>293</v>
      </c>
      <c r="U993" s="1113">
        <v>293</v>
      </c>
      <c r="V993" s="1055">
        <v>222</v>
      </c>
      <c r="W993" s="1055">
        <v>277</v>
      </c>
      <c r="X993" s="1055">
        <v>295</v>
      </c>
      <c r="Y993" s="27">
        <f>Z993</f>
        <v>296</v>
      </c>
      <c r="Z993" s="1113">
        <v>296</v>
      </c>
      <c r="AA993" s="1055">
        <v>320</v>
      </c>
      <c r="AB993" s="1055">
        <v>423</v>
      </c>
      <c r="AC993" s="1055">
        <v>523</v>
      </c>
      <c r="AD993" s="1055">
        <v>485</v>
      </c>
      <c r="AE993" s="1112">
        <f>AD993</f>
        <v>485</v>
      </c>
      <c r="AF993" s="1055">
        <v>348</v>
      </c>
      <c r="AG993" s="1055">
        <v>431</v>
      </c>
      <c r="AH993" s="1055">
        <v>511</v>
      </c>
      <c r="AI993" s="68">
        <f>AJ993</f>
        <v>596</v>
      </c>
      <c r="AJ993" s="1113">
        <v>596</v>
      </c>
      <c r="AK993" s="1055">
        <v>623</v>
      </c>
      <c r="AL993" s="1055">
        <v>800</v>
      </c>
      <c r="AM993" s="1055">
        <v>902</v>
      </c>
      <c r="AN993" s="68">
        <f>AO993</f>
        <v>511</v>
      </c>
      <c r="AO993" s="1113">
        <v>511</v>
      </c>
      <c r="AP993" s="1055">
        <v>368</v>
      </c>
      <c r="AQ993" s="1055">
        <v>437</v>
      </c>
      <c r="AR993" s="1055">
        <v>591</v>
      </c>
      <c r="AS993" s="68">
        <f>AT993</f>
        <v>687</v>
      </c>
      <c r="AT993" s="1113">
        <v>687</v>
      </c>
      <c r="AU993" s="1055">
        <v>761</v>
      </c>
      <c r="AV993" s="1055">
        <v>893</v>
      </c>
      <c r="AW993" s="1055">
        <v>1097</v>
      </c>
      <c r="AX993" s="68">
        <f>AY993</f>
        <v>1201</v>
      </c>
      <c r="AY993" s="1113">
        <v>1201</v>
      </c>
      <c r="AZ993" s="1055">
        <v>1218</v>
      </c>
      <c r="BA993" s="1055">
        <v>1474</v>
      </c>
      <c r="BB993" s="1055">
        <v>1664</v>
      </c>
      <c r="BC993" s="68">
        <f>BD993</f>
        <v>1783</v>
      </c>
      <c r="BD993" s="1113">
        <v>1783</v>
      </c>
      <c r="BE993" s="1055">
        <v>1999</v>
      </c>
      <c r="BF993" s="1055">
        <v>2421</v>
      </c>
      <c r="BG993" s="1055">
        <v>1491</v>
      </c>
      <c r="BH993" s="68">
        <f>BI993</f>
        <v>1193</v>
      </c>
      <c r="BI993" s="1113">
        <v>1193</v>
      </c>
      <c r="BJ993" s="1055">
        <v>1141</v>
      </c>
      <c r="BK993" s="1055">
        <v>1929</v>
      </c>
      <c r="BL993" s="1055">
        <v>2380</v>
      </c>
      <c r="BM993" s="68">
        <f>BN993</f>
        <v>2699</v>
      </c>
      <c r="BN993" s="1113">
        <v>2699</v>
      </c>
      <c r="BO993" s="1055">
        <v>2715</v>
      </c>
      <c r="BP993" s="1055">
        <v>3680</v>
      </c>
      <c r="BQ993" s="1055">
        <v>5353</v>
      </c>
      <c r="BR993" s="68">
        <f>BS993</f>
        <v>6310</v>
      </c>
      <c r="BS993" s="1113">
        <v>6310</v>
      </c>
      <c r="BT993" s="1055">
        <v>7331</v>
      </c>
      <c r="BU993" s="1055">
        <v>9064</v>
      </c>
      <c r="BV993" s="1055">
        <v>8624</v>
      </c>
      <c r="BW993" s="68">
        <f>BX993</f>
        <v>9812</v>
      </c>
      <c r="BX993" s="1113">
        <v>9812</v>
      </c>
      <c r="BY993" s="1057">
        <v>13097</v>
      </c>
      <c r="BZ993" s="68">
        <f>(BZ$374+BY$374+BW$374+BV$374)*BZ950</f>
        <v>13739.628473163028</v>
      </c>
      <c r="CA993" s="68">
        <f>(CA$374+BZ$374+BY$374+BW$374)*CA950</f>
        <v>12876.077420752368</v>
      </c>
      <c r="CB993" s="68">
        <f>(CB$374+CA$374+BZ$374+BY$374)*CB950</f>
        <v>14001.017994035876</v>
      </c>
      <c r="CC993" s="1112">
        <f>CB993</f>
        <v>14001.017994035876</v>
      </c>
      <c r="CD993" s="68">
        <f>(CD$374+CB$374+CA$374+BZ$374)*CD950</f>
        <v>19014.103099663942</v>
      </c>
      <c r="CE993" s="68">
        <f>(CE$374+CD$374+CB$374+CA$374)*CE950</f>
        <v>18534.847493236986</v>
      </c>
      <c r="CF993" s="68">
        <f>(CF$374+CE$374+CD$374+CB$374)*CF950</f>
        <v>16563.03115707816</v>
      </c>
      <c r="CG993" s="68">
        <f>(CG$374+CF$374+CE$374+CD$374)*CG950</f>
        <v>17768.497032219628</v>
      </c>
      <c r="CH993" s="1112">
        <f>CG993</f>
        <v>17768.497032219628</v>
      </c>
      <c r="CI993" s="1112">
        <f>CI374*CI950</f>
        <v>21278.874501958031</v>
      </c>
      <c r="CJ993" s="1112">
        <f>CJ374*CJ950</f>
        <v>24995.598762638718</v>
      </c>
      <c r="CK993" s="1112">
        <f>CK374*CK950</f>
        <v>29369.986075274759</v>
      </c>
      <c r="CL993" s="155"/>
    </row>
    <row r="994" spans="1:90" x14ac:dyDescent="0.3">
      <c r="A994" s="99" t="s">
        <v>563</v>
      </c>
      <c r="B994" s="146"/>
      <c r="C994" s="1112"/>
      <c r="D994" s="1112"/>
      <c r="E994" s="1112"/>
      <c r="F994" s="1112"/>
      <c r="G994" s="68"/>
      <c r="H994" s="68"/>
      <c r="I994" s="68"/>
      <c r="J994" s="68"/>
      <c r="K994" s="1112"/>
      <c r="L994" s="68"/>
      <c r="M994" s="68"/>
      <c r="N994" s="68"/>
      <c r="O994" s="68"/>
      <c r="P994" s="1112"/>
      <c r="Q994" s="68"/>
      <c r="R994" s="68"/>
      <c r="S994" s="68"/>
      <c r="T994" s="68"/>
      <c r="U994" s="1112"/>
      <c r="V994" s="68"/>
      <c r="W994" s="68"/>
      <c r="X994" s="68"/>
      <c r="Y994" s="68"/>
      <c r="Z994" s="1112"/>
      <c r="AA994" s="68"/>
      <c r="AB994" s="68"/>
      <c r="AC994" s="68"/>
      <c r="AD994" s="68"/>
      <c r="AE994" s="1112"/>
      <c r="AF994" s="68"/>
      <c r="AG994" s="68"/>
      <c r="AH994" s="68"/>
      <c r="AI994" s="68"/>
      <c r="AJ994" s="1112"/>
      <c r="AK994" s="68"/>
      <c r="AL994" s="68"/>
      <c r="AM994" s="68"/>
      <c r="AN994" s="68"/>
      <c r="AO994" s="1112"/>
      <c r="AP994" s="1055">
        <v>80</v>
      </c>
      <c r="AQ994" s="1055">
        <v>84</v>
      </c>
      <c r="AR994" s="1055">
        <v>89</v>
      </c>
      <c r="AS994" s="68">
        <f>AT994</f>
        <v>91</v>
      </c>
      <c r="AT994" s="1113">
        <v>91</v>
      </c>
      <c r="AU994" s="1055">
        <v>100</v>
      </c>
      <c r="AV994" s="1055">
        <v>124</v>
      </c>
      <c r="AW994" s="1055">
        <v>116</v>
      </c>
      <c r="AX994" s="68">
        <f>AY994</f>
        <v>121</v>
      </c>
      <c r="AY994" s="1113">
        <v>121</v>
      </c>
      <c r="AZ994" s="1055">
        <v>135</v>
      </c>
      <c r="BA994" s="1055">
        <v>132</v>
      </c>
      <c r="BB994" s="1055">
        <v>140</v>
      </c>
      <c r="BC994" s="68">
        <f>BD994</f>
        <v>144</v>
      </c>
      <c r="BD994" s="1113">
        <v>144</v>
      </c>
      <c r="BE994" s="1055">
        <v>147</v>
      </c>
      <c r="BF994" s="1055">
        <v>145</v>
      </c>
      <c r="BG994" s="1055">
        <v>156</v>
      </c>
      <c r="BH994" s="68">
        <f>BI994</f>
        <v>176</v>
      </c>
      <c r="BI994" s="1113">
        <v>176</v>
      </c>
      <c r="BJ994" s="1055">
        <v>187</v>
      </c>
      <c r="BK994" s="1055">
        <v>208</v>
      </c>
      <c r="BL994" s="1055">
        <v>230</v>
      </c>
      <c r="BM994" s="68">
        <f>BN994</f>
        <v>228</v>
      </c>
      <c r="BN994" s="1113">
        <v>228</v>
      </c>
      <c r="BO994" s="1055">
        <v>246</v>
      </c>
      <c r="BP994" s="1055">
        <v>250</v>
      </c>
      <c r="BQ994" s="1055">
        <v>273</v>
      </c>
      <c r="BR994" s="27">
        <f>BS994</f>
        <v>288</v>
      </c>
      <c r="BS994" s="1113">
        <v>288</v>
      </c>
      <c r="BT994" s="1055">
        <v>300</v>
      </c>
      <c r="BU994" s="1055">
        <v>301</v>
      </c>
      <c r="BV994" s="1055">
        <v>341</v>
      </c>
      <c r="BW994" s="27">
        <f>BX994</f>
        <v>372</v>
      </c>
      <c r="BX994" s="1113">
        <v>372</v>
      </c>
      <c r="BY994" s="1057">
        <v>466</v>
      </c>
      <c r="BZ994" s="68">
        <f>BY994</f>
        <v>466</v>
      </c>
      <c r="CA994" s="68">
        <f>BZ994</f>
        <v>466</v>
      </c>
      <c r="CB994" s="68">
        <f>CA994</f>
        <v>466</v>
      </c>
      <c r="CC994" s="1112">
        <f>CB994</f>
        <v>466</v>
      </c>
      <c r="CD994" s="68">
        <f>CC994</f>
        <v>466</v>
      </c>
      <c r="CE994" s="68">
        <f>CD994</f>
        <v>466</v>
      </c>
      <c r="CF994" s="68">
        <f>CE994</f>
        <v>466</v>
      </c>
      <c r="CG994" s="68">
        <f>CF994</f>
        <v>466</v>
      </c>
      <c r="CH994" s="1112">
        <f>CG994</f>
        <v>466</v>
      </c>
      <c r="CI994" s="1112">
        <f>CH994</f>
        <v>466</v>
      </c>
      <c r="CJ994" s="1112">
        <f>CI994</f>
        <v>466</v>
      </c>
      <c r="CK994" s="1112">
        <f>CJ994</f>
        <v>466</v>
      </c>
      <c r="CL994" s="155"/>
    </row>
    <row r="995" spans="1:90" x14ac:dyDescent="0.3">
      <c r="A995" s="67" t="s">
        <v>160</v>
      </c>
      <c r="B995" s="146"/>
      <c r="C995" s="1113">
        <v>559.72699999999998</v>
      </c>
      <c r="D995" s="1113">
        <v>439.851</v>
      </c>
      <c r="E995" s="1113">
        <v>656.54399999999998</v>
      </c>
      <c r="F995" s="1113">
        <v>594.88599999999997</v>
      </c>
      <c r="G995" s="1055">
        <v>551.82600000000002</v>
      </c>
      <c r="H995" s="1055">
        <v>604.71</v>
      </c>
      <c r="I995" s="1055">
        <v>601.09400000000005</v>
      </c>
      <c r="J995" s="27">
        <f>K995</f>
        <v>619.79499999999996</v>
      </c>
      <c r="K995" s="1113">
        <v>619.79499999999996</v>
      </c>
      <c r="L995" s="1055">
        <v>597.31799999999998</v>
      </c>
      <c r="M995" s="1055">
        <v>625.52</v>
      </c>
      <c r="N995" s="1055">
        <v>652.64400000000001</v>
      </c>
      <c r="O995" s="27">
        <f>P995</f>
        <v>621.10500000000002</v>
      </c>
      <c r="P995" s="1113">
        <v>621.10500000000002</v>
      </c>
      <c r="Q995" s="1055">
        <v>588.93700000000001</v>
      </c>
      <c r="R995" s="1055">
        <v>607.10199999999998</v>
      </c>
      <c r="S995" s="1055">
        <v>605.80999999999995</v>
      </c>
      <c r="T995" s="27">
        <f>U995</f>
        <v>603</v>
      </c>
      <c r="U995" s="1113">
        <v>603</v>
      </c>
      <c r="V995" s="1055">
        <v>661</v>
      </c>
      <c r="W995" s="1055">
        <v>659</v>
      </c>
      <c r="X995" s="1055">
        <v>560</v>
      </c>
      <c r="Y995" s="27">
        <f>Z995</f>
        <v>642</v>
      </c>
      <c r="Z995" s="1113">
        <v>642</v>
      </c>
      <c r="AA995" s="1055">
        <v>636</v>
      </c>
      <c r="AB995" s="1055">
        <v>556</v>
      </c>
      <c r="AC995" s="1055">
        <v>507</v>
      </c>
      <c r="AD995" s="1055">
        <v>507</v>
      </c>
      <c r="AE995" s="1112">
        <f>AD995</f>
        <v>507</v>
      </c>
      <c r="AF995" s="1055">
        <v>420</v>
      </c>
      <c r="AG995" s="1055">
        <v>517</v>
      </c>
      <c r="AH995" s="1055">
        <v>493</v>
      </c>
      <c r="AI995" s="68">
        <f>AJ995</f>
        <v>542</v>
      </c>
      <c r="AJ995" s="1113">
        <v>542</v>
      </c>
      <c r="AK995" s="1055">
        <v>469</v>
      </c>
      <c r="AL995" s="1055">
        <v>648</v>
      </c>
      <c r="AM995" s="1055">
        <v>703</v>
      </c>
      <c r="AN995" s="68">
        <f>AO995</f>
        <v>818</v>
      </c>
      <c r="AO995" s="1113">
        <v>818</v>
      </c>
      <c r="AP995" s="27">
        <f>815-AP994</f>
        <v>735</v>
      </c>
      <c r="AQ995" s="27">
        <f>880-AQ994</f>
        <v>796</v>
      </c>
      <c r="AR995" s="27">
        <f>884-AR994</f>
        <v>795</v>
      </c>
      <c r="AS995" s="68">
        <f>AT995</f>
        <v>1006</v>
      </c>
      <c r="AT995" s="1112">
        <f>1097-AT994</f>
        <v>1006</v>
      </c>
      <c r="AU995" s="27">
        <f>1142-AU994</f>
        <v>1042</v>
      </c>
      <c r="AV995" s="27">
        <f>1517-AV994</f>
        <v>1393</v>
      </c>
      <c r="AW995" s="27">
        <f>1574-AW994</f>
        <v>1458</v>
      </c>
      <c r="AX995" s="68">
        <f>AY995</f>
        <v>1604</v>
      </c>
      <c r="AY995" s="1112">
        <f>1725-AY994</f>
        <v>1604</v>
      </c>
      <c r="AZ995" s="27">
        <f>1787-AZ994</f>
        <v>1652</v>
      </c>
      <c r="BA995" s="27">
        <f>1974-BA994</f>
        <v>1842</v>
      </c>
      <c r="BB995" s="27">
        <f>1948-BB994</f>
        <v>1808</v>
      </c>
      <c r="BC995" s="68">
        <f>BD995</f>
        <v>2408</v>
      </c>
      <c r="BD995" s="1112">
        <f>2552-BD994</f>
        <v>2408</v>
      </c>
      <c r="BE995" s="27">
        <f>3563-BE994</f>
        <v>3416</v>
      </c>
      <c r="BF995" s="68">
        <f>3903-BF994</f>
        <v>3758</v>
      </c>
      <c r="BG995" s="27">
        <f>4115-BG994</f>
        <v>3959</v>
      </c>
      <c r="BH995" s="68">
        <f>BI995</f>
        <v>3944</v>
      </c>
      <c r="BI995" s="1112">
        <f>4120-BI994</f>
        <v>3944</v>
      </c>
      <c r="BJ995" s="27">
        <f>4869-BJ994</f>
        <v>4682</v>
      </c>
      <c r="BK995" s="68">
        <f>7156-BK994</f>
        <v>6948</v>
      </c>
      <c r="BL995" s="27">
        <f>5472-BL994</f>
        <v>5242</v>
      </c>
      <c r="BM995" s="68">
        <f>BN995</f>
        <v>6454</v>
      </c>
      <c r="BN995" s="1112">
        <f>6682-BN994</f>
        <v>6454</v>
      </c>
      <c r="BO995" s="27">
        <f>11258-BO994</f>
        <v>11012</v>
      </c>
      <c r="BP995" s="68">
        <f>10289-BP994</f>
        <v>10039</v>
      </c>
      <c r="BQ995" s="27">
        <f>11126-BQ994</f>
        <v>10853</v>
      </c>
      <c r="BR995" s="27">
        <f>BS995</f>
        <v>11449</v>
      </c>
      <c r="BS995" s="1114">
        <f>11737-BS994</f>
        <v>11449</v>
      </c>
      <c r="BT995" s="27">
        <f>19211-BT994</f>
        <v>18911</v>
      </c>
      <c r="BU995" s="68">
        <f>15193-BU994</f>
        <v>14892</v>
      </c>
      <c r="BV995" s="27">
        <f>16452-BV994</f>
        <v>16111</v>
      </c>
      <c r="BW995" s="27">
        <f>BX995</f>
        <v>20980</v>
      </c>
      <c r="BX995" s="1114">
        <f>21352-BX994</f>
        <v>20980</v>
      </c>
      <c r="BY995" s="508">
        <f>29787-BY994</f>
        <v>29321</v>
      </c>
      <c r="BZ995" s="68">
        <f>(BZ$370+BY$370+BW$370+BV$370)*BZ951</f>
        <v>26831.657259378517</v>
      </c>
      <c r="CA995" s="68">
        <f>(CA$370+BZ$370+BY$370+BW$370)*CA951</f>
        <v>28599.972711577302</v>
      </c>
      <c r="CB995" s="68">
        <f>(CB$370+CA$370+BZ$370+BY$370)*CB951</f>
        <v>34790.672948716761</v>
      </c>
      <c r="CC995" s="1112">
        <f>CB995</f>
        <v>34790.672948716761</v>
      </c>
      <c r="CD995" s="68">
        <f>(CD$370+CB$370+CA$370+BZ$370)*CD951</f>
        <v>44184.763627071567</v>
      </c>
      <c r="CE995" s="68">
        <f>(CE$370+CD$370+CB$370+CA$370)*CE951</f>
        <v>36840.978926230797</v>
      </c>
      <c r="CF995" s="68">
        <f>(CF$370+CE$370+CD$370+CB$370)*CF951</f>
        <v>37138.166465595641</v>
      </c>
      <c r="CG995" s="68">
        <f>(CG$370+CF$370+CE$370+CD$370)*CG951</f>
        <v>44141.143711435689</v>
      </c>
      <c r="CH995" s="1112">
        <f>CG995</f>
        <v>44141.143711435689</v>
      </c>
      <c r="CI995" s="1112">
        <f>CI370*CI951</f>
        <v>52650.31948117978</v>
      </c>
      <c r="CJ995" s="1112">
        <f>CJ370*CJ951</f>
        <v>61846.610371954252</v>
      </c>
      <c r="CK995" s="1112">
        <f>CK370*CK951</f>
        <v>72670.156961484376</v>
      </c>
      <c r="CL995" s="155"/>
    </row>
    <row r="996" spans="1:90" x14ac:dyDescent="0.3">
      <c r="A996" s="67" t="s">
        <v>613</v>
      </c>
      <c r="B996" s="146"/>
      <c r="C996" s="1112"/>
      <c r="D996" s="1112"/>
      <c r="E996" s="1112"/>
      <c r="F996" s="1112"/>
      <c r="G996" s="68"/>
      <c r="H996" s="68"/>
      <c r="I996" s="68"/>
      <c r="J996" s="27">
        <f>K996</f>
        <v>0</v>
      </c>
      <c r="K996" s="1112"/>
      <c r="L996" s="68"/>
      <c r="M996" s="68"/>
      <c r="N996" s="68"/>
      <c r="O996" s="27">
        <f>P996</f>
        <v>0</v>
      </c>
      <c r="P996" s="1112"/>
      <c r="Q996" s="68"/>
      <c r="R996" s="68"/>
      <c r="S996" s="68"/>
      <c r="T996" s="27">
        <f>U996</f>
        <v>0</v>
      </c>
      <c r="U996" s="1113">
        <v>0</v>
      </c>
      <c r="V996" s="1055">
        <v>0</v>
      </c>
      <c r="W996" s="68"/>
      <c r="X996" s="68"/>
      <c r="Y996" s="27">
        <f>Z996</f>
        <v>1413</v>
      </c>
      <c r="Z996" s="1113">
        <v>1413</v>
      </c>
      <c r="AA996" s="1055">
        <v>1421</v>
      </c>
      <c r="AB996" s="1055">
        <v>1428</v>
      </c>
      <c r="AC996" s="1055">
        <v>1011</v>
      </c>
      <c r="AD996" s="1055">
        <v>796</v>
      </c>
      <c r="AE996" s="1112">
        <f>AD996</f>
        <v>796</v>
      </c>
      <c r="AF996" s="1055">
        <v>215</v>
      </c>
      <c r="AG996" s="1055">
        <v>84</v>
      </c>
      <c r="AH996" s="1055">
        <v>23</v>
      </c>
      <c r="AI996" s="68">
        <f>AJ996</f>
        <v>15</v>
      </c>
      <c r="AJ996" s="1113">
        <v>15</v>
      </c>
      <c r="AK996" s="1055">
        <v>14</v>
      </c>
      <c r="AL996" s="1055">
        <v>14</v>
      </c>
      <c r="AM996" s="1055">
        <v>3</v>
      </c>
      <c r="AN996" s="68">
        <f>AO996</f>
        <v>0</v>
      </c>
      <c r="AO996" s="1113">
        <v>0</v>
      </c>
      <c r="AP996" s="68"/>
      <c r="AQ996" s="68"/>
      <c r="AR996" s="68"/>
      <c r="AS996" s="68">
        <f>AT996</f>
        <v>0</v>
      </c>
      <c r="AT996" s="1112"/>
      <c r="AU996" s="68"/>
      <c r="AV996" s="68"/>
      <c r="AW996" s="1055">
        <v>998</v>
      </c>
      <c r="AX996" s="68">
        <f>AY996</f>
        <v>999</v>
      </c>
      <c r="AY996" s="1113">
        <v>999</v>
      </c>
      <c r="AZ996" s="1055">
        <v>999</v>
      </c>
      <c r="BA996" s="1055">
        <v>1000</v>
      </c>
      <c r="BB996" s="68"/>
      <c r="BC996" s="68">
        <f>BD996</f>
        <v>0</v>
      </c>
      <c r="BD996" s="1112"/>
      <c r="BE996" s="68"/>
      <c r="BF996" s="1055">
        <v>1249</v>
      </c>
      <c r="BG996" s="1055">
        <v>1249</v>
      </c>
      <c r="BH996" s="68">
        <f>BI996</f>
        <v>1250</v>
      </c>
      <c r="BI996" s="1113">
        <v>1250</v>
      </c>
      <c r="BJ996" s="1055">
        <v>1250</v>
      </c>
      <c r="BK996" s="1055">
        <v>1249</v>
      </c>
      <c r="BL996" s="1055">
        <v>1249</v>
      </c>
      <c r="BM996" s="109">
        <f>BN996</f>
        <v>1250</v>
      </c>
      <c r="BN996" s="1133">
        <v>1250</v>
      </c>
      <c r="BO996" s="1055">
        <v>1250</v>
      </c>
      <c r="BP996" s="1055">
        <v>0</v>
      </c>
      <c r="BQ996" s="1055">
        <v>0</v>
      </c>
      <c r="BR996" s="109">
        <f>BS996</f>
        <v>0</v>
      </c>
      <c r="BS996" s="1123"/>
      <c r="BT996" s="68"/>
      <c r="BU996" s="68"/>
      <c r="BV996" s="1055">
        <v>999</v>
      </c>
      <c r="BW996" s="109">
        <f>BX996</f>
        <v>999</v>
      </c>
      <c r="BX996" s="1133">
        <v>999</v>
      </c>
      <c r="BY996" s="1057">
        <v>1000</v>
      </c>
      <c r="BZ996" s="68">
        <f>BZ735</f>
        <v>1000</v>
      </c>
      <c r="CA996" s="68">
        <f>CA735</f>
        <v>1000</v>
      </c>
      <c r="CB996" s="68">
        <f>CB735</f>
        <v>1000</v>
      </c>
      <c r="CC996" s="1112">
        <f>CB996</f>
        <v>1000</v>
      </c>
      <c r="CD996" s="68">
        <f>CD735</f>
        <v>1000</v>
      </c>
      <c r="CE996" s="68">
        <f>CE735</f>
        <v>1000</v>
      </c>
      <c r="CF996" s="68">
        <f>CF735</f>
        <v>1000</v>
      </c>
      <c r="CG996" s="68">
        <f>CG735</f>
        <v>1000</v>
      </c>
      <c r="CH996" s="1112">
        <f>CG996</f>
        <v>1000</v>
      </c>
      <c r="CI996" s="1112">
        <f>CI735</f>
        <v>1000</v>
      </c>
      <c r="CJ996" s="1112">
        <f>CJ735</f>
        <v>1000</v>
      </c>
      <c r="CK996" s="1112">
        <f>CK735</f>
        <v>1000</v>
      </c>
      <c r="CL996" s="155"/>
    </row>
    <row r="997" spans="1:90" x14ac:dyDescent="0.3">
      <c r="A997" s="59" t="s">
        <v>215</v>
      </c>
      <c r="B997" s="607"/>
      <c r="C997" s="1125">
        <f t="shared" ref="C997:AH997" si="2349">SUM(C993:C996)</f>
        <v>778.59100000000001</v>
      </c>
      <c r="D997" s="1125">
        <f t="shared" si="2349"/>
        <v>784.37799999999993</v>
      </c>
      <c r="E997" s="1125">
        <f t="shared" si="2349"/>
        <v>942.68200000000002</v>
      </c>
      <c r="F997" s="1125">
        <f t="shared" si="2349"/>
        <v>929.95799999999997</v>
      </c>
      <c r="G997" s="60">
        <f t="shared" si="2349"/>
        <v>947.404</v>
      </c>
      <c r="H997" s="60">
        <f t="shared" si="2349"/>
        <v>1021.96</v>
      </c>
      <c r="I997" s="60">
        <f t="shared" si="2349"/>
        <v>991.35900000000004</v>
      </c>
      <c r="J997" s="60">
        <f t="shared" si="2349"/>
        <v>976.22299999999996</v>
      </c>
      <c r="K997" s="1125">
        <f t="shared" si="2349"/>
        <v>976.22299999999996</v>
      </c>
      <c r="L997" s="60">
        <f t="shared" si="2349"/>
        <v>925.577</v>
      </c>
      <c r="M997" s="60">
        <f t="shared" si="2349"/>
        <v>935.79099999999994</v>
      </c>
      <c r="N997" s="60">
        <f t="shared" si="2349"/>
        <v>985.92700000000002</v>
      </c>
      <c r="O997" s="60">
        <f t="shared" si="2349"/>
        <v>945.49600000000009</v>
      </c>
      <c r="P997" s="1125">
        <f t="shared" si="2349"/>
        <v>945.49600000000009</v>
      </c>
      <c r="Q997" s="60">
        <f t="shared" si="2349"/>
        <v>897.94499999999994</v>
      </c>
      <c r="R997" s="60">
        <f t="shared" si="2349"/>
        <v>868.72900000000004</v>
      </c>
      <c r="S997" s="60">
        <f t="shared" si="2349"/>
        <v>933.90699999999993</v>
      </c>
      <c r="T997" s="60">
        <f t="shared" si="2349"/>
        <v>896</v>
      </c>
      <c r="U997" s="1125">
        <f t="shared" si="2349"/>
        <v>896</v>
      </c>
      <c r="V997" s="60">
        <f t="shared" si="2349"/>
        <v>883</v>
      </c>
      <c r="W997" s="60">
        <f t="shared" si="2349"/>
        <v>936</v>
      </c>
      <c r="X997" s="60">
        <f t="shared" si="2349"/>
        <v>855</v>
      </c>
      <c r="Y997" s="60">
        <f t="shared" si="2349"/>
        <v>2351</v>
      </c>
      <c r="Z997" s="1125">
        <f t="shared" si="2349"/>
        <v>2351</v>
      </c>
      <c r="AA997" s="60">
        <f t="shared" si="2349"/>
        <v>2377</v>
      </c>
      <c r="AB997" s="60">
        <f t="shared" si="2349"/>
        <v>2407</v>
      </c>
      <c r="AC997" s="61">
        <f t="shared" si="2349"/>
        <v>2041</v>
      </c>
      <c r="AD997" s="61">
        <f t="shared" si="2349"/>
        <v>1788</v>
      </c>
      <c r="AE997" s="1124">
        <f t="shared" si="2349"/>
        <v>1788</v>
      </c>
      <c r="AF997" s="61">
        <f t="shared" si="2349"/>
        <v>983</v>
      </c>
      <c r="AG997" s="60">
        <f t="shared" si="2349"/>
        <v>1032</v>
      </c>
      <c r="AH997" s="60">
        <f t="shared" si="2349"/>
        <v>1027</v>
      </c>
      <c r="AI997" s="61">
        <f t="shared" ref="AI997:AV997" si="2350">SUM(AI993:AI996)</f>
        <v>1153</v>
      </c>
      <c r="AJ997" s="1124">
        <f t="shared" si="2350"/>
        <v>1153</v>
      </c>
      <c r="AK997" s="60">
        <f t="shared" si="2350"/>
        <v>1106</v>
      </c>
      <c r="AL997" s="60">
        <f t="shared" si="2350"/>
        <v>1462</v>
      </c>
      <c r="AM997" s="60">
        <f t="shared" si="2350"/>
        <v>1608</v>
      </c>
      <c r="AN997" s="61">
        <f t="shared" si="2350"/>
        <v>1329</v>
      </c>
      <c r="AO997" s="1124">
        <f t="shared" si="2350"/>
        <v>1329</v>
      </c>
      <c r="AP997" s="60">
        <f t="shared" si="2350"/>
        <v>1183</v>
      </c>
      <c r="AQ997" s="60">
        <f t="shared" si="2350"/>
        <v>1317</v>
      </c>
      <c r="AR997" s="60">
        <f t="shared" si="2350"/>
        <v>1475</v>
      </c>
      <c r="AS997" s="61">
        <f t="shared" si="2350"/>
        <v>1784</v>
      </c>
      <c r="AT997" s="1124">
        <f t="shared" si="2350"/>
        <v>1784</v>
      </c>
      <c r="AU997" s="60">
        <f t="shared" si="2350"/>
        <v>1903</v>
      </c>
      <c r="AV997" s="60">
        <f t="shared" si="2350"/>
        <v>2410</v>
      </c>
      <c r="AW997" s="60">
        <f t="shared" ref="AW997:BB997" si="2351">SUM(AW993:AW996)</f>
        <v>3669</v>
      </c>
      <c r="AX997" s="61">
        <f t="shared" si="2351"/>
        <v>3925</v>
      </c>
      <c r="AY997" s="1124">
        <f t="shared" si="2351"/>
        <v>3925</v>
      </c>
      <c r="AZ997" s="60">
        <f t="shared" si="2351"/>
        <v>4004</v>
      </c>
      <c r="BA997" s="60">
        <f t="shared" si="2351"/>
        <v>4448</v>
      </c>
      <c r="BB997" s="60">
        <f t="shared" si="2351"/>
        <v>3612</v>
      </c>
      <c r="BC997" s="61">
        <f t="shared" ref="BC997:BF997" si="2352">SUM(BC993:BC996)</f>
        <v>4335</v>
      </c>
      <c r="BD997" s="1124">
        <f t="shared" si="2352"/>
        <v>4335</v>
      </c>
      <c r="BE997" s="60">
        <f>SUM(BE993:BE996)</f>
        <v>5562</v>
      </c>
      <c r="BF997" s="61">
        <f t="shared" si="2352"/>
        <v>7573</v>
      </c>
      <c r="BG997" s="60">
        <f t="shared" ref="BG997:BI997" si="2353">SUM(BG993:BG996)</f>
        <v>6855</v>
      </c>
      <c r="BH997" s="61">
        <f t="shared" si="2353"/>
        <v>6563</v>
      </c>
      <c r="BI997" s="1124">
        <f t="shared" si="2353"/>
        <v>6563</v>
      </c>
      <c r="BJ997" s="60">
        <f t="shared" ref="BJ997:BN997" si="2354">SUM(BJ993:BJ996)</f>
        <v>7260</v>
      </c>
      <c r="BK997" s="61">
        <f t="shared" si="2354"/>
        <v>10334</v>
      </c>
      <c r="BL997" s="60">
        <f t="shared" si="2354"/>
        <v>9101</v>
      </c>
      <c r="BM997" s="63">
        <f t="shared" si="2354"/>
        <v>10631</v>
      </c>
      <c r="BN997" s="1127">
        <f t="shared" si="2354"/>
        <v>10631</v>
      </c>
      <c r="BO997" s="60">
        <f t="shared" ref="BO997:BS997" si="2355">SUM(BO993:BO996)</f>
        <v>15223</v>
      </c>
      <c r="BP997" s="61">
        <f t="shared" si="2355"/>
        <v>13969</v>
      </c>
      <c r="BQ997" s="60">
        <f t="shared" si="2355"/>
        <v>16479</v>
      </c>
      <c r="BR997" s="63">
        <f t="shared" si="2355"/>
        <v>18047</v>
      </c>
      <c r="BS997" s="1127">
        <f t="shared" si="2355"/>
        <v>18047</v>
      </c>
      <c r="BT997" s="60">
        <f t="shared" ref="BT997:CK997" si="2356">SUM(BT993:BT996)</f>
        <v>26542</v>
      </c>
      <c r="BU997" s="61">
        <f t="shared" si="2356"/>
        <v>24257</v>
      </c>
      <c r="BV997" s="60">
        <f t="shared" si="2356"/>
        <v>26075</v>
      </c>
      <c r="BW997" s="63">
        <f t="shared" si="2356"/>
        <v>32163</v>
      </c>
      <c r="BX997" s="1127">
        <f t="shared" si="2356"/>
        <v>32163</v>
      </c>
      <c r="BY997" s="895">
        <f>SUM(BY993:BY996)</f>
        <v>43884</v>
      </c>
      <c r="BZ997" s="61">
        <f t="shared" si="2356"/>
        <v>42037.285732541546</v>
      </c>
      <c r="CA997" s="61">
        <f t="shared" si="2356"/>
        <v>42942.05013232967</v>
      </c>
      <c r="CB997" s="61">
        <f t="shared" si="2356"/>
        <v>50257.690942752641</v>
      </c>
      <c r="CC997" s="1124">
        <f t="shared" si="2356"/>
        <v>50257.690942752641</v>
      </c>
      <c r="CD997" s="61">
        <f t="shared" si="2356"/>
        <v>64664.866726735505</v>
      </c>
      <c r="CE997" s="61">
        <f t="shared" si="2356"/>
        <v>56841.826419467783</v>
      </c>
      <c r="CF997" s="61">
        <f t="shared" si="2356"/>
        <v>55167.197622673804</v>
      </c>
      <c r="CG997" s="61">
        <f t="shared" si="2356"/>
        <v>63375.640743655313</v>
      </c>
      <c r="CH997" s="1124">
        <f t="shared" si="2356"/>
        <v>63375.640743655313</v>
      </c>
      <c r="CI997" s="1124">
        <f t="shared" si="2356"/>
        <v>75395.193983137811</v>
      </c>
      <c r="CJ997" s="1124">
        <f t="shared" si="2356"/>
        <v>88308.209134592966</v>
      </c>
      <c r="CK997" s="1124">
        <f t="shared" si="2356"/>
        <v>103506.14303675914</v>
      </c>
      <c r="CL997" s="155"/>
    </row>
    <row r="998" spans="1:90" x14ac:dyDescent="0.3">
      <c r="A998" s="600"/>
      <c r="B998" s="279"/>
      <c r="C998" s="1127"/>
      <c r="D998" s="1127"/>
      <c r="E998" s="1127"/>
      <c r="F998" s="1127"/>
      <c r="G998" s="63"/>
      <c r="H998" s="63"/>
      <c r="I998" s="63"/>
      <c r="J998" s="63"/>
      <c r="K998" s="1127"/>
      <c r="L998" s="63"/>
      <c r="M998" s="63"/>
      <c r="N998" s="63"/>
      <c r="O998" s="63"/>
      <c r="P998" s="1127"/>
      <c r="Q998" s="63"/>
      <c r="R998" s="63"/>
      <c r="S998" s="63"/>
      <c r="T998" s="63"/>
      <c r="U998" s="1127"/>
      <c r="V998" s="63"/>
      <c r="W998" s="63"/>
      <c r="X998" s="63"/>
      <c r="Y998" s="63"/>
      <c r="Z998" s="1127"/>
      <c r="AA998" s="63"/>
      <c r="AB998" s="63"/>
      <c r="AC998" s="63"/>
      <c r="AD998" s="63"/>
      <c r="AE998" s="1127"/>
      <c r="AF998" s="63"/>
      <c r="AG998" s="63"/>
      <c r="AH998" s="63"/>
      <c r="AI998" s="63"/>
      <c r="AJ998" s="1127"/>
      <c r="AK998" s="63"/>
      <c r="AL998" s="63"/>
      <c r="AM998" s="63"/>
      <c r="AN998" s="63"/>
      <c r="AO998" s="1127"/>
      <c r="AP998" s="63"/>
      <c r="AQ998" s="63"/>
      <c r="AR998" s="63"/>
      <c r="AS998" s="63"/>
      <c r="AT998" s="1127"/>
      <c r="AU998" s="63"/>
      <c r="AV998" s="63"/>
      <c r="AW998" s="63"/>
      <c r="AX998" s="63"/>
      <c r="AY998" s="1127"/>
      <c r="AZ998" s="63"/>
      <c r="BA998" s="63"/>
      <c r="BB998" s="63"/>
      <c r="BC998" s="63"/>
      <c r="BD998" s="1127"/>
      <c r="BE998" s="63"/>
      <c r="BF998" s="63"/>
      <c r="BG998" s="63"/>
      <c r="BH998" s="63"/>
      <c r="BI998" s="1127"/>
      <c r="BJ998" s="63"/>
      <c r="BK998" s="63"/>
      <c r="BL998" s="63"/>
      <c r="BM998" s="63"/>
      <c r="BN998" s="1127"/>
      <c r="BO998" s="63"/>
      <c r="BP998" s="63"/>
      <c r="BQ998" s="63"/>
      <c r="BR998" s="63"/>
      <c r="BS998" s="1127"/>
      <c r="BT998" s="63"/>
      <c r="BU998" s="63"/>
      <c r="BV998" s="63"/>
      <c r="BW998" s="63"/>
      <c r="BX998" s="1127"/>
      <c r="BY998" s="587"/>
      <c r="BZ998" s="63"/>
      <c r="CA998" s="63"/>
      <c r="CB998" s="63"/>
      <c r="CC998" s="1127"/>
      <c r="CD998" s="63"/>
      <c r="CE998" s="63"/>
      <c r="CF998" s="63"/>
      <c r="CG998" s="63"/>
      <c r="CH998" s="1127"/>
      <c r="CI998" s="1127"/>
      <c r="CJ998" s="1127"/>
      <c r="CK998" s="1127"/>
      <c r="CL998" s="155"/>
    </row>
    <row r="999" spans="1:90" x14ac:dyDescent="0.3">
      <c r="A999" s="69" t="s">
        <v>216</v>
      </c>
      <c r="B999" s="279"/>
      <c r="C999" s="1127"/>
      <c r="D999" s="1127"/>
      <c r="E999" s="1127"/>
      <c r="F999" s="1127"/>
      <c r="G999" s="63"/>
      <c r="H999" s="63"/>
      <c r="I999" s="63"/>
      <c r="J999" s="63"/>
      <c r="K999" s="1127"/>
      <c r="L999" s="63"/>
      <c r="M999" s="63"/>
      <c r="N999" s="63"/>
      <c r="O999" s="63"/>
      <c r="P999" s="1127"/>
      <c r="Q999" s="63"/>
      <c r="R999" s="63"/>
      <c r="S999" s="63"/>
      <c r="T999" s="63"/>
      <c r="U999" s="1127"/>
      <c r="V999" s="63"/>
      <c r="W999" s="63"/>
      <c r="X999" s="63"/>
      <c r="Y999" s="63"/>
      <c r="Z999" s="1127"/>
      <c r="AA999" s="63"/>
      <c r="AB999" s="63"/>
      <c r="AC999" s="63"/>
      <c r="AD999" s="63"/>
      <c r="AE999" s="1127"/>
      <c r="AF999" s="63"/>
      <c r="AG999" s="63"/>
      <c r="AH999" s="63"/>
      <c r="AI999" s="63"/>
      <c r="AJ999" s="1127"/>
      <c r="AK999" s="63"/>
      <c r="AL999" s="63"/>
      <c r="AM999" s="63"/>
      <c r="AN999" s="63"/>
      <c r="AO999" s="1127"/>
      <c r="AP999" s="63"/>
      <c r="AQ999" s="63"/>
      <c r="AR999" s="63"/>
      <c r="AS999" s="63"/>
      <c r="AT999" s="1127"/>
      <c r="AU999" s="63"/>
      <c r="AV999" s="63"/>
      <c r="AW999" s="63"/>
      <c r="AX999" s="63"/>
      <c r="AY999" s="1127"/>
      <c r="AZ999" s="63"/>
      <c r="BA999" s="63"/>
      <c r="BB999" s="63"/>
      <c r="BC999" s="63"/>
      <c r="BD999" s="1127"/>
      <c r="BE999" s="63"/>
      <c r="BF999" s="63"/>
      <c r="BG999" s="63"/>
      <c r="BH999" s="63"/>
      <c r="BI999" s="1127"/>
      <c r="BJ999" s="63"/>
      <c r="BK999" s="63"/>
      <c r="BL999" s="63"/>
      <c r="BM999" s="63"/>
      <c r="BN999" s="1127"/>
      <c r="BO999" s="63"/>
      <c r="BP999" s="63"/>
      <c r="BQ999" s="63"/>
      <c r="BR999" s="63"/>
      <c r="BS999" s="1127"/>
      <c r="BT999" s="63"/>
      <c r="BU999" s="63"/>
      <c r="BV999" s="63"/>
      <c r="BW999" s="63"/>
      <c r="BX999" s="1127"/>
      <c r="BY999" s="587"/>
      <c r="BZ999" s="63"/>
      <c r="CA999" s="63"/>
      <c r="CB999" s="63"/>
      <c r="CC999" s="1127"/>
      <c r="CD999" s="63"/>
      <c r="CE999" s="63"/>
      <c r="CF999" s="63"/>
      <c r="CG999" s="63"/>
      <c r="CH999" s="1127"/>
      <c r="CI999" s="1127"/>
      <c r="CJ999" s="1127"/>
      <c r="CK999" s="1127"/>
      <c r="CL999" s="155"/>
    </row>
    <row r="1000" spans="1:90" x14ac:dyDescent="0.3">
      <c r="A1000" s="67" t="s">
        <v>217</v>
      </c>
      <c r="B1000" s="146"/>
      <c r="C1000" s="1112"/>
      <c r="D1000" s="1112"/>
      <c r="E1000" s="1112"/>
      <c r="F1000" s="1112"/>
      <c r="G1000" s="68"/>
      <c r="H1000" s="68"/>
      <c r="I1000" s="68"/>
      <c r="J1000" s="68"/>
      <c r="K1000" s="1112"/>
      <c r="L1000" s="68"/>
      <c r="M1000" s="68"/>
      <c r="N1000" s="68"/>
      <c r="O1000" s="27">
        <f>P1000</f>
        <v>1356.375</v>
      </c>
      <c r="P1000" s="1113">
        <v>1356.375</v>
      </c>
      <c r="Q1000" s="1055">
        <v>1363.2760000000001</v>
      </c>
      <c r="R1000" s="1055">
        <v>1370.249</v>
      </c>
      <c r="S1000" s="1055">
        <v>1377.259</v>
      </c>
      <c r="T1000" s="27">
        <f>U1000</f>
        <v>1384</v>
      </c>
      <c r="U1000" s="1113">
        <v>1384</v>
      </c>
      <c r="V1000" s="1055">
        <v>1391</v>
      </c>
      <c r="W1000" s="1055">
        <v>1399</v>
      </c>
      <c r="X1000" s="1055">
        <v>1406</v>
      </c>
      <c r="Y1000" s="27">
        <f>Z1000</f>
        <v>0</v>
      </c>
      <c r="Z1000" s="1112"/>
      <c r="AA1000" s="27">
        <f>Z1000</f>
        <v>0</v>
      </c>
      <c r="AB1000" s="68"/>
      <c r="AC1000" s="1055">
        <v>1982</v>
      </c>
      <c r="AD1000" s="1055">
        <v>1983</v>
      </c>
      <c r="AE1000" s="1112">
        <f>AD1000</f>
        <v>1983</v>
      </c>
      <c r="AF1000" s="1055">
        <v>1984</v>
      </c>
      <c r="AG1000" s="1055">
        <v>1984</v>
      </c>
      <c r="AH1000" s="1055">
        <v>1985</v>
      </c>
      <c r="AI1000" s="68">
        <f>AJ1000</f>
        <v>1985</v>
      </c>
      <c r="AJ1000" s="1113">
        <v>1985</v>
      </c>
      <c r="AK1000" s="1055">
        <v>1986</v>
      </c>
      <c r="AL1000" s="1055">
        <v>1987</v>
      </c>
      <c r="AM1000" s="1055">
        <v>1987</v>
      </c>
      <c r="AN1000" s="68">
        <f>AO1000</f>
        <v>1988</v>
      </c>
      <c r="AO1000" s="1113">
        <v>1988</v>
      </c>
      <c r="AP1000" s="1055">
        <v>1988</v>
      </c>
      <c r="AQ1000" s="1055">
        <v>1989</v>
      </c>
      <c r="AR1000" s="1055">
        <v>1990</v>
      </c>
      <c r="AS1000" s="68">
        <f>AT1000</f>
        <v>1991</v>
      </c>
      <c r="AT1000" s="1113">
        <v>1991</v>
      </c>
      <c r="AU1000" s="1055">
        <v>6959</v>
      </c>
      <c r="AV1000" s="1055">
        <v>6960</v>
      </c>
      <c r="AW1000" s="1055">
        <v>5963</v>
      </c>
      <c r="AX1000" s="68">
        <f>AY1000</f>
        <v>5964</v>
      </c>
      <c r="AY1000" s="1113">
        <v>5964</v>
      </c>
      <c r="AZ1000" s="1055">
        <v>5964</v>
      </c>
      <c r="BA1000" s="1055">
        <v>10943</v>
      </c>
      <c r="BB1000" s="1055">
        <v>10944</v>
      </c>
      <c r="BC1000" s="68">
        <f>BD1000</f>
        <v>10946</v>
      </c>
      <c r="BD1000" s="1113">
        <v>10946</v>
      </c>
      <c r="BE1000" s="1055">
        <v>10947</v>
      </c>
      <c r="BF1000" s="1055">
        <v>9700</v>
      </c>
      <c r="BG1000" s="1055">
        <v>9701</v>
      </c>
      <c r="BH1000" s="68">
        <f>BI1000</f>
        <v>9703</v>
      </c>
      <c r="BI1000" s="1113">
        <v>9703</v>
      </c>
      <c r="BJ1000" s="1055">
        <v>9704</v>
      </c>
      <c r="BK1000" s="1055">
        <v>8456</v>
      </c>
      <c r="BL1000" s="1055">
        <v>8457</v>
      </c>
      <c r="BM1000" s="68">
        <f>BN1000</f>
        <v>8459</v>
      </c>
      <c r="BN1000" s="1113">
        <v>8459</v>
      </c>
      <c r="BO1000" s="1055">
        <v>8460</v>
      </c>
      <c r="BP1000" s="1055">
        <v>8461</v>
      </c>
      <c r="BQ1000" s="1055">
        <v>8462</v>
      </c>
      <c r="BR1000" s="68">
        <f>BS1000</f>
        <v>8463</v>
      </c>
      <c r="BS1000" s="1113">
        <v>8463</v>
      </c>
      <c r="BT1000" s="1055">
        <v>8464</v>
      </c>
      <c r="BU1000" s="1055">
        <v>8466</v>
      </c>
      <c r="BV1000" s="1055">
        <v>7468</v>
      </c>
      <c r="BW1000" s="68">
        <f>BX1000</f>
        <v>7469</v>
      </c>
      <c r="BX1000" s="1113">
        <v>7469</v>
      </c>
      <c r="BY1000" s="1057">
        <v>7470</v>
      </c>
      <c r="BZ1000" s="68">
        <f>BZ736</f>
        <v>7470</v>
      </c>
      <c r="CA1000" s="68">
        <f>CA736</f>
        <v>7470</v>
      </c>
      <c r="CB1000" s="68">
        <f>CB736</f>
        <v>7470</v>
      </c>
      <c r="CC1000" s="1112">
        <f>CB1000</f>
        <v>7470</v>
      </c>
      <c r="CD1000" s="68">
        <f>CD736</f>
        <v>7470</v>
      </c>
      <c r="CE1000" s="68">
        <f>CE736</f>
        <v>7470</v>
      </c>
      <c r="CF1000" s="68">
        <f>CF736</f>
        <v>7470</v>
      </c>
      <c r="CG1000" s="68">
        <f>CG736</f>
        <v>7470</v>
      </c>
      <c r="CH1000" s="1112">
        <f>CG1000</f>
        <v>7470</v>
      </c>
      <c r="CI1000" s="1112">
        <f>CI736</f>
        <v>7470</v>
      </c>
      <c r="CJ1000" s="1112">
        <f>CJ736</f>
        <v>7470</v>
      </c>
      <c r="CK1000" s="1112">
        <f>CK736</f>
        <v>7470</v>
      </c>
      <c r="CL1000" s="155"/>
    </row>
    <row r="1001" spans="1:90" x14ac:dyDescent="0.3">
      <c r="A1001" s="67" t="s">
        <v>407</v>
      </c>
      <c r="B1001" s="146"/>
      <c r="C1001" s="1112"/>
      <c r="D1001" s="1112"/>
      <c r="E1001" s="1112"/>
      <c r="F1001" s="1112"/>
      <c r="G1001" s="68"/>
      <c r="H1001" s="68"/>
      <c r="I1001" s="68"/>
      <c r="J1001" s="68"/>
      <c r="K1001" s="1112"/>
      <c r="L1001" s="68"/>
      <c r="M1001" s="68"/>
      <c r="N1001" s="68"/>
      <c r="O1001" s="68"/>
      <c r="P1001" s="1112"/>
      <c r="Q1001" s="68"/>
      <c r="R1001" s="68"/>
      <c r="S1001" s="68"/>
      <c r="T1001" s="68"/>
      <c r="U1001" s="1112"/>
      <c r="V1001" s="68"/>
      <c r="W1001" s="68"/>
      <c r="X1001" s="68"/>
      <c r="Y1001" s="68"/>
      <c r="Z1001" s="1112"/>
      <c r="AA1001" s="68"/>
      <c r="AB1001" s="68"/>
      <c r="AC1001" s="68"/>
      <c r="AD1001" s="68"/>
      <c r="AE1001" s="1112"/>
      <c r="AF1001" s="68"/>
      <c r="AG1001" s="68"/>
      <c r="AH1001" s="68"/>
      <c r="AI1001" s="68"/>
      <c r="AJ1001" s="1112"/>
      <c r="AK1001" s="68"/>
      <c r="AL1001" s="68"/>
      <c r="AM1001" s="68"/>
      <c r="AN1001" s="68"/>
      <c r="AO1001" s="1112"/>
      <c r="AP1001" s="1055">
        <v>486</v>
      </c>
      <c r="AQ1001" s="1055">
        <v>483</v>
      </c>
      <c r="AR1001" s="1055">
        <v>469</v>
      </c>
      <c r="AS1001" s="68">
        <f>AT1001</f>
        <v>561</v>
      </c>
      <c r="AT1001" s="1113">
        <v>561</v>
      </c>
      <c r="AU1001" s="1055">
        <v>519</v>
      </c>
      <c r="AV1001" s="1055">
        <v>611</v>
      </c>
      <c r="AW1001" s="1055">
        <v>604</v>
      </c>
      <c r="AX1001" s="68">
        <f>AY1001</f>
        <v>634</v>
      </c>
      <c r="AY1001" s="1113">
        <v>634</v>
      </c>
      <c r="AZ1001" s="1055">
        <v>640</v>
      </c>
      <c r="BA1001" s="1055">
        <v>716</v>
      </c>
      <c r="BB1001" s="1055">
        <v>743</v>
      </c>
      <c r="BC1001" s="68">
        <f>BD1001</f>
        <v>741</v>
      </c>
      <c r="BD1001" s="1113">
        <v>741</v>
      </c>
      <c r="BE1001" s="1055">
        <v>752</v>
      </c>
      <c r="BF1001" s="1055">
        <v>743</v>
      </c>
      <c r="BG1001" s="1055">
        <v>798</v>
      </c>
      <c r="BH1001" s="68">
        <f>BI1001</f>
        <v>902</v>
      </c>
      <c r="BI1001" s="1113">
        <v>902</v>
      </c>
      <c r="BJ1001" s="1055">
        <v>939</v>
      </c>
      <c r="BK1001" s="1055">
        <v>1041</v>
      </c>
      <c r="BL1001" s="1055">
        <v>1091</v>
      </c>
      <c r="BM1001" s="68">
        <f>BN1001</f>
        <v>1119</v>
      </c>
      <c r="BN1001" s="1113">
        <v>1119</v>
      </c>
      <c r="BO1001" s="1055">
        <v>1281</v>
      </c>
      <c r="BP1001" s="1055">
        <v>1304</v>
      </c>
      <c r="BQ1001" s="1055">
        <v>1490</v>
      </c>
      <c r="BR1001" s="68">
        <f>BS1001</f>
        <v>1519</v>
      </c>
      <c r="BS1001" s="1113">
        <v>1519</v>
      </c>
      <c r="BT1001" s="1055">
        <v>1521</v>
      </c>
      <c r="BU1001" s="1055">
        <v>1831</v>
      </c>
      <c r="BV1001" s="1055">
        <v>2014</v>
      </c>
      <c r="BW1001" s="68">
        <f>BX1001</f>
        <v>2572</v>
      </c>
      <c r="BX1001" s="1113">
        <v>2572</v>
      </c>
      <c r="BY1001" s="1057">
        <v>3878</v>
      </c>
      <c r="BZ1001" s="68">
        <f t="shared" ref="BZ1001:CB1002" si="2357">BY1001</f>
        <v>3878</v>
      </c>
      <c r="CA1001" s="68">
        <f t="shared" si="2357"/>
        <v>3878</v>
      </c>
      <c r="CB1001" s="68">
        <f t="shared" si="2357"/>
        <v>3878</v>
      </c>
      <c r="CC1001" s="1112">
        <f>CB1001</f>
        <v>3878</v>
      </c>
      <c r="CD1001" s="68">
        <f t="shared" ref="CD1001:CG1002" si="2358">CC1001</f>
        <v>3878</v>
      </c>
      <c r="CE1001" s="68">
        <f t="shared" si="2358"/>
        <v>3878</v>
      </c>
      <c r="CF1001" s="68">
        <f t="shared" si="2358"/>
        <v>3878</v>
      </c>
      <c r="CG1001" s="68">
        <f t="shared" si="2358"/>
        <v>3878</v>
      </c>
      <c r="CH1001" s="1112">
        <f>CG1001</f>
        <v>3878</v>
      </c>
      <c r="CI1001" s="1112">
        <f t="shared" ref="CI1001:CK1002" si="2359">CH1001</f>
        <v>3878</v>
      </c>
      <c r="CJ1001" s="1112">
        <f t="shared" si="2359"/>
        <v>3878</v>
      </c>
      <c r="CK1001" s="1112">
        <f t="shared" si="2359"/>
        <v>3878</v>
      </c>
      <c r="CL1001" s="155"/>
    </row>
    <row r="1002" spans="1:90" x14ac:dyDescent="0.3">
      <c r="A1002" s="67" t="s">
        <v>161</v>
      </c>
      <c r="B1002" s="146"/>
      <c r="C1002" s="1113">
        <v>151.85</v>
      </c>
      <c r="D1002" s="1113">
        <v>111.95</v>
      </c>
      <c r="E1002" s="1113">
        <v>347.71300000000002</v>
      </c>
      <c r="F1002" s="1113">
        <v>455.80700000000002</v>
      </c>
      <c r="G1002" s="1055">
        <v>452.505</v>
      </c>
      <c r="H1002" s="1055">
        <v>396.01900000000001</v>
      </c>
      <c r="I1002" s="1055">
        <v>341.31200000000001</v>
      </c>
      <c r="J1002" s="27">
        <f>K1002</f>
        <v>589.32100000000003</v>
      </c>
      <c r="K1002" s="1113">
        <v>589.32100000000003</v>
      </c>
      <c r="L1002" s="1055">
        <v>510.68099999999998</v>
      </c>
      <c r="M1002" s="1055">
        <v>443.94299999999998</v>
      </c>
      <c r="N1002" s="1055">
        <v>387.78399999999999</v>
      </c>
      <c r="O1002" s="27">
        <f>P1002</f>
        <v>475.125</v>
      </c>
      <c r="P1002" s="1113">
        <v>475.125</v>
      </c>
      <c r="Q1002" s="1055">
        <v>419.774</v>
      </c>
      <c r="R1002" s="1055">
        <v>374.113</v>
      </c>
      <c r="S1002" s="1055">
        <v>355.13299999999998</v>
      </c>
      <c r="T1002" s="27">
        <f>U1002</f>
        <v>489</v>
      </c>
      <c r="U1002" s="1113">
        <v>489</v>
      </c>
      <c r="V1002" s="1055">
        <v>448</v>
      </c>
      <c r="W1002" s="1055">
        <v>447</v>
      </c>
      <c r="X1002" s="1055">
        <v>437</v>
      </c>
      <c r="Y1002" s="27">
        <f>Z1002</f>
        <v>453</v>
      </c>
      <c r="Z1002" s="1113">
        <v>453</v>
      </c>
      <c r="AA1002" s="1055">
        <v>447</v>
      </c>
      <c r="AB1002" s="1055">
        <v>494</v>
      </c>
      <c r="AC1002" s="1055">
        <v>213</v>
      </c>
      <c r="AD1002" s="1055">
        <v>271</v>
      </c>
      <c r="AE1002" s="1112">
        <f>AD1002</f>
        <v>271</v>
      </c>
      <c r="AF1002" s="1055">
        <v>300</v>
      </c>
      <c r="AG1002" s="1055">
        <v>408</v>
      </c>
      <c r="AH1002" s="1055">
        <v>464</v>
      </c>
      <c r="AI1002" s="68">
        <f>AJ1002</f>
        <v>632</v>
      </c>
      <c r="AJ1002" s="1113">
        <v>632</v>
      </c>
      <c r="AK1002" s="1055">
        <v>651</v>
      </c>
      <c r="AL1002" s="1055">
        <v>638</v>
      </c>
      <c r="AM1002" s="1055">
        <v>587</v>
      </c>
      <c r="AN1002" s="68">
        <f>AO1002</f>
        <v>633</v>
      </c>
      <c r="AO1002" s="1113">
        <v>633</v>
      </c>
      <c r="AP1002" s="1055">
        <v>660</v>
      </c>
      <c r="AQ1002" s="1055">
        <v>650</v>
      </c>
      <c r="AR1002" s="1055">
        <v>662</v>
      </c>
      <c r="AS1002" s="68">
        <f>AT1002</f>
        <v>775</v>
      </c>
      <c r="AT1002" s="1113">
        <v>775</v>
      </c>
      <c r="AU1002" s="1055">
        <v>774</v>
      </c>
      <c r="AV1002" s="1055">
        <v>1285</v>
      </c>
      <c r="AW1002" s="1055">
        <v>1311</v>
      </c>
      <c r="AX1002" s="68">
        <f>AY1002</f>
        <v>1375</v>
      </c>
      <c r="AY1002" s="1113">
        <v>1375</v>
      </c>
      <c r="AZ1002" s="1055">
        <v>1414</v>
      </c>
      <c r="BA1002" s="1055">
        <v>1396</v>
      </c>
      <c r="BB1002" s="1055">
        <v>1535</v>
      </c>
      <c r="BC1002" s="68">
        <f>BD1002</f>
        <v>1553</v>
      </c>
      <c r="BD1002" s="1113">
        <v>1553</v>
      </c>
      <c r="BE1002" s="1055">
        <v>1631</v>
      </c>
      <c r="BF1002" s="1055">
        <v>1609</v>
      </c>
      <c r="BG1002" s="1055">
        <v>1785</v>
      </c>
      <c r="BH1002" s="68">
        <f>BI1002</f>
        <v>1913</v>
      </c>
      <c r="BI1002" s="1113">
        <v>1913</v>
      </c>
      <c r="BJ1002" s="1055">
        <v>2037</v>
      </c>
      <c r="BK1002" s="1055">
        <v>2223</v>
      </c>
      <c r="BL1002" s="1055">
        <v>2234</v>
      </c>
      <c r="BM1002" s="68">
        <f>BN1002</f>
        <v>2541</v>
      </c>
      <c r="BN1002" s="1113">
        <v>2541</v>
      </c>
      <c r="BO1002" s="1055">
        <v>2966</v>
      </c>
      <c r="BP1002" s="1055">
        <v>3336</v>
      </c>
      <c r="BQ1002" s="1055">
        <v>3683</v>
      </c>
      <c r="BR1002" s="68">
        <f>BS1002</f>
        <v>4245</v>
      </c>
      <c r="BS1002" s="1113">
        <v>4245</v>
      </c>
      <c r="BT1002" s="1055">
        <v>4884</v>
      </c>
      <c r="BU1002" s="1055">
        <v>6055</v>
      </c>
      <c r="BV1002" s="1055">
        <v>6694</v>
      </c>
      <c r="BW1002" s="68">
        <f>BX1002</f>
        <v>7306</v>
      </c>
      <c r="BX1002" s="1113">
        <v>7306</v>
      </c>
      <c r="BY1002" s="1057">
        <v>8768</v>
      </c>
      <c r="BZ1002" s="68">
        <f t="shared" si="2357"/>
        <v>8768</v>
      </c>
      <c r="CA1002" s="68">
        <f t="shared" si="2357"/>
        <v>8768</v>
      </c>
      <c r="CB1002" s="68">
        <f t="shared" si="2357"/>
        <v>8768</v>
      </c>
      <c r="CC1002" s="1112">
        <f>CB1002</f>
        <v>8768</v>
      </c>
      <c r="CD1002" s="68">
        <f t="shared" si="2358"/>
        <v>8768</v>
      </c>
      <c r="CE1002" s="68">
        <f t="shared" si="2358"/>
        <v>8768</v>
      </c>
      <c r="CF1002" s="68">
        <f t="shared" si="2358"/>
        <v>8768</v>
      </c>
      <c r="CG1002" s="68">
        <f t="shared" si="2358"/>
        <v>8768</v>
      </c>
      <c r="CH1002" s="1112">
        <f>CG1002</f>
        <v>8768</v>
      </c>
      <c r="CI1002" s="1112">
        <f t="shared" si="2359"/>
        <v>8768</v>
      </c>
      <c r="CJ1002" s="1112">
        <f t="shared" si="2359"/>
        <v>8768</v>
      </c>
      <c r="CK1002" s="1112">
        <f t="shared" si="2359"/>
        <v>8768</v>
      </c>
      <c r="CL1002" s="155"/>
    </row>
    <row r="1003" spans="1:90" x14ac:dyDescent="0.3">
      <c r="A1003" s="67" t="s">
        <v>218</v>
      </c>
      <c r="B1003" s="146"/>
      <c r="C1003" s="1113">
        <v>25.634</v>
      </c>
      <c r="D1003" s="1113">
        <v>24.45</v>
      </c>
      <c r="E1003" s="1113">
        <v>23.388999999999999</v>
      </c>
      <c r="F1003" s="1113">
        <v>21.439</v>
      </c>
      <c r="G1003" s="1055">
        <v>20.83</v>
      </c>
      <c r="H1003" s="1055">
        <v>20.236999999999998</v>
      </c>
      <c r="I1003" s="1055">
        <v>19.626999999999999</v>
      </c>
      <c r="J1003" s="27">
        <f>K1003</f>
        <v>18.998000000000001</v>
      </c>
      <c r="K1003" s="1113">
        <v>18.998000000000001</v>
      </c>
      <c r="L1003" s="1055">
        <v>18.332999999999998</v>
      </c>
      <c r="M1003" s="1055">
        <v>17.684999999999999</v>
      </c>
      <c r="N1003" s="1055">
        <v>17.015000000000001</v>
      </c>
      <c r="O1003" s="27">
        <f>P1003</f>
        <v>17.5</v>
      </c>
      <c r="P1003" s="1113">
        <v>17.5</v>
      </c>
      <c r="Q1003" s="1055">
        <v>16.683</v>
      </c>
      <c r="R1003" s="1055">
        <v>15.842000000000001</v>
      </c>
      <c r="S1003" s="1055">
        <v>14.977</v>
      </c>
      <c r="T1003" s="27">
        <f>U1003</f>
        <v>14</v>
      </c>
      <c r="U1003" s="1113">
        <v>14</v>
      </c>
      <c r="V1003" s="1055">
        <v>13</v>
      </c>
      <c r="W1003" s="1055">
        <v>12</v>
      </c>
      <c r="X1003" s="1055">
        <v>11</v>
      </c>
      <c r="Y1003" s="27">
        <f>Z1003</f>
        <v>10</v>
      </c>
      <c r="Z1003" s="1113">
        <v>10</v>
      </c>
      <c r="AA1003" s="1055">
        <v>9</v>
      </c>
      <c r="AB1003" s="1055">
        <v>8</v>
      </c>
      <c r="AC1003" s="1055">
        <v>7</v>
      </c>
      <c r="AD1003" s="1055">
        <v>6</v>
      </c>
      <c r="AE1003" s="1112">
        <f>AD1003</f>
        <v>6</v>
      </c>
      <c r="AF1003" s="1055">
        <v>4</v>
      </c>
      <c r="AG1003" s="1055">
        <v>3</v>
      </c>
      <c r="AH1003" s="1055">
        <v>1</v>
      </c>
      <c r="AI1003" s="68">
        <f>AJ1003</f>
        <v>0</v>
      </c>
      <c r="AJ1003" s="1112"/>
      <c r="AK1003" s="68"/>
      <c r="AL1003" s="68"/>
      <c r="AM1003" s="68"/>
      <c r="AN1003" s="68">
        <f>AO1003</f>
        <v>0</v>
      </c>
      <c r="AO1003" s="1112"/>
      <c r="AP1003" s="68"/>
      <c r="AQ1003" s="68"/>
      <c r="AR1003" s="68"/>
      <c r="AS1003" s="68">
        <f>AT1003</f>
        <v>0</v>
      </c>
      <c r="AT1003" s="1112"/>
      <c r="AU1003" s="68"/>
      <c r="AV1003" s="68"/>
      <c r="AW1003" s="68"/>
      <c r="AX1003" s="68">
        <f>AY1003</f>
        <v>0</v>
      </c>
      <c r="AY1003" s="1112"/>
      <c r="AZ1003" s="68"/>
      <c r="BA1003" s="68"/>
      <c r="BB1003" s="68"/>
      <c r="BC1003" s="68">
        <f>BD1003</f>
        <v>0</v>
      </c>
      <c r="BD1003" s="1112"/>
      <c r="BE1003" s="68"/>
      <c r="BF1003" s="68"/>
      <c r="BG1003" s="68"/>
      <c r="BH1003" s="68">
        <f>BI1003</f>
        <v>0</v>
      </c>
      <c r="BI1003" s="1112"/>
      <c r="BJ1003" s="68"/>
      <c r="BK1003" s="68"/>
      <c r="BL1003" s="68"/>
      <c r="BM1003" s="68">
        <f>BN1003</f>
        <v>0</v>
      </c>
      <c r="BN1003" s="1112"/>
      <c r="BO1003" s="68"/>
      <c r="BP1003" s="68"/>
      <c r="BQ1003" s="68"/>
      <c r="BR1003" s="68">
        <f>BS1003</f>
        <v>0</v>
      </c>
      <c r="BS1003" s="1112"/>
      <c r="BT1003" s="68"/>
      <c r="BU1003" s="68"/>
      <c r="BV1003" s="68"/>
      <c r="BW1003" s="68">
        <f>BX1003</f>
        <v>0</v>
      </c>
      <c r="BX1003" s="1112"/>
      <c r="BY1003" s="588"/>
      <c r="BZ1003" s="68"/>
      <c r="CA1003" s="68"/>
      <c r="CB1003" s="68"/>
      <c r="CC1003" s="1112"/>
      <c r="CD1003" s="68"/>
      <c r="CE1003" s="68"/>
      <c r="CF1003" s="68"/>
      <c r="CG1003" s="68"/>
      <c r="CH1003" s="1112"/>
      <c r="CI1003" s="1112"/>
      <c r="CJ1003" s="1112"/>
      <c r="CK1003" s="1112"/>
      <c r="CL1003" s="155"/>
    </row>
    <row r="1004" spans="1:90" x14ac:dyDescent="0.3">
      <c r="A1004" s="67" t="s">
        <v>219</v>
      </c>
      <c r="B1004" s="146"/>
      <c r="C1004" s="1112"/>
      <c r="D1004" s="1112"/>
      <c r="E1004" s="1112"/>
      <c r="F1004" s="1112"/>
      <c r="G1004" s="68"/>
      <c r="H1004" s="68"/>
      <c r="I1004" s="68"/>
      <c r="J1004" s="68"/>
      <c r="K1004" s="1112"/>
      <c r="L1004" s="68"/>
      <c r="M1004" s="68"/>
      <c r="N1004" s="68"/>
      <c r="O1004" s="68"/>
      <c r="P1004" s="1112"/>
      <c r="Q1004" s="68"/>
      <c r="R1004" s="68"/>
      <c r="S1004" s="68"/>
      <c r="T1004" s="68"/>
      <c r="U1004" s="1113">
        <v>0</v>
      </c>
      <c r="V1004" s="68"/>
      <c r="W1004" s="68"/>
      <c r="X1004" s="68"/>
      <c r="Y1004" s="1055">
        <v>87</v>
      </c>
      <c r="Z1004" s="1113">
        <v>87</v>
      </c>
      <c r="AA1004" s="1055">
        <v>79</v>
      </c>
      <c r="AB1004" s="1055">
        <v>72</v>
      </c>
      <c r="AC1004" s="1055">
        <v>45</v>
      </c>
      <c r="AD1004" s="1055">
        <v>31</v>
      </c>
      <c r="AE1004" s="1113">
        <v>31</v>
      </c>
      <c r="AF1004" s="1055">
        <v>7</v>
      </c>
      <c r="AG1004" s="1055">
        <v>2</v>
      </c>
      <c r="AH1004" s="1055">
        <v>1</v>
      </c>
      <c r="AI1004" s="68">
        <f>AJ1004</f>
        <v>0</v>
      </c>
      <c r="AJ1004" s="1112"/>
      <c r="AK1004" s="68"/>
      <c r="AL1004" s="68"/>
      <c r="AM1004" s="68"/>
      <c r="AN1004" s="68">
        <f>AO1004</f>
        <v>0</v>
      </c>
      <c r="AO1004" s="1112"/>
      <c r="AP1004" s="68"/>
      <c r="AQ1004" s="68"/>
      <c r="AR1004" s="68"/>
      <c r="AS1004" s="68">
        <f>AT1004</f>
        <v>0</v>
      </c>
      <c r="AT1004" s="1112"/>
      <c r="AU1004" s="68"/>
      <c r="AV1004" s="68"/>
      <c r="AW1004" s="68"/>
      <c r="AX1004" s="68">
        <f>AY1004</f>
        <v>0</v>
      </c>
      <c r="AY1004" s="1112"/>
      <c r="AZ1004" s="68"/>
      <c r="BA1004" s="68"/>
      <c r="BB1004" s="68"/>
      <c r="BC1004" s="68">
        <f>BD1004</f>
        <v>0</v>
      </c>
      <c r="BD1004" s="1112"/>
      <c r="BE1004" s="68"/>
      <c r="BF1004" s="68"/>
      <c r="BG1004" s="68"/>
      <c r="BH1004" s="68">
        <f>BI1004</f>
        <v>0</v>
      </c>
      <c r="BI1004" s="1112"/>
      <c r="BJ1004" s="68"/>
      <c r="BK1004" s="68"/>
      <c r="BL1004" s="68"/>
      <c r="BM1004" s="68">
        <f>BN1004</f>
        <v>0</v>
      </c>
      <c r="BN1004" s="1112"/>
      <c r="BO1004" s="68"/>
      <c r="BP1004" s="68"/>
      <c r="BQ1004" s="68"/>
      <c r="BR1004" s="68">
        <f>BS1004</f>
        <v>0</v>
      </c>
      <c r="BS1004" s="1112"/>
      <c r="BT1004" s="68"/>
      <c r="BU1004" s="68"/>
      <c r="BV1004" s="68"/>
      <c r="BW1004" s="68">
        <f>BX1004</f>
        <v>0</v>
      </c>
      <c r="BX1004" s="1112"/>
      <c r="BY1004" s="588"/>
      <c r="BZ1004" s="68"/>
      <c r="CA1004" s="68"/>
      <c r="CB1004" s="68"/>
      <c r="CC1004" s="1112"/>
      <c r="CD1004" s="68"/>
      <c r="CE1004" s="68"/>
      <c r="CF1004" s="68"/>
      <c r="CG1004" s="68"/>
      <c r="CH1004" s="1112"/>
      <c r="CI1004" s="1112"/>
      <c r="CJ1004" s="1112"/>
      <c r="CK1004" s="1112"/>
      <c r="CL1004" s="155"/>
    </row>
    <row r="1005" spans="1:90" x14ac:dyDescent="0.3">
      <c r="A1005" s="59" t="s">
        <v>220</v>
      </c>
      <c r="B1005" s="607"/>
      <c r="C1005" s="1125">
        <f t="shared" ref="C1005:AH1005" si="2360">SUM(C1000:C1004)</f>
        <v>177.48399999999998</v>
      </c>
      <c r="D1005" s="1125">
        <f t="shared" si="2360"/>
        <v>136.4</v>
      </c>
      <c r="E1005" s="1125">
        <f t="shared" si="2360"/>
        <v>371.10200000000003</v>
      </c>
      <c r="F1005" s="1125">
        <f t="shared" si="2360"/>
        <v>477.24600000000004</v>
      </c>
      <c r="G1005" s="60">
        <f t="shared" si="2360"/>
        <v>473.33499999999998</v>
      </c>
      <c r="H1005" s="60">
        <f t="shared" si="2360"/>
        <v>416.25600000000003</v>
      </c>
      <c r="I1005" s="60">
        <f t="shared" si="2360"/>
        <v>360.93900000000002</v>
      </c>
      <c r="J1005" s="60">
        <f t="shared" si="2360"/>
        <v>608.31900000000007</v>
      </c>
      <c r="K1005" s="1125">
        <f t="shared" si="2360"/>
        <v>608.31900000000007</v>
      </c>
      <c r="L1005" s="60">
        <f t="shared" si="2360"/>
        <v>529.01400000000001</v>
      </c>
      <c r="M1005" s="60">
        <f t="shared" si="2360"/>
        <v>461.62799999999999</v>
      </c>
      <c r="N1005" s="60">
        <f t="shared" si="2360"/>
        <v>404.79899999999998</v>
      </c>
      <c r="O1005" s="60">
        <f t="shared" si="2360"/>
        <v>1849</v>
      </c>
      <c r="P1005" s="1125">
        <f t="shared" si="2360"/>
        <v>1849</v>
      </c>
      <c r="Q1005" s="60">
        <f t="shared" si="2360"/>
        <v>1799.7330000000002</v>
      </c>
      <c r="R1005" s="60">
        <f t="shared" si="2360"/>
        <v>1760.2040000000002</v>
      </c>
      <c r="S1005" s="60">
        <f t="shared" si="2360"/>
        <v>1747.3690000000001</v>
      </c>
      <c r="T1005" s="60">
        <f t="shared" si="2360"/>
        <v>1887</v>
      </c>
      <c r="U1005" s="1125">
        <f t="shared" si="2360"/>
        <v>1887</v>
      </c>
      <c r="V1005" s="60">
        <f t="shared" si="2360"/>
        <v>1852</v>
      </c>
      <c r="W1005" s="60">
        <f t="shared" si="2360"/>
        <v>1858</v>
      </c>
      <c r="X1005" s="60">
        <f t="shared" si="2360"/>
        <v>1854</v>
      </c>
      <c r="Y1005" s="60">
        <f t="shared" si="2360"/>
        <v>550</v>
      </c>
      <c r="Z1005" s="1125">
        <f t="shared" si="2360"/>
        <v>550</v>
      </c>
      <c r="AA1005" s="60">
        <f t="shared" si="2360"/>
        <v>535</v>
      </c>
      <c r="AB1005" s="60">
        <f t="shared" si="2360"/>
        <v>574</v>
      </c>
      <c r="AC1005" s="61">
        <f t="shared" si="2360"/>
        <v>2247</v>
      </c>
      <c r="AD1005" s="61">
        <f t="shared" si="2360"/>
        <v>2291</v>
      </c>
      <c r="AE1005" s="1124">
        <f t="shared" si="2360"/>
        <v>2291</v>
      </c>
      <c r="AF1005" s="61">
        <f t="shared" si="2360"/>
        <v>2295</v>
      </c>
      <c r="AG1005" s="60">
        <f t="shared" si="2360"/>
        <v>2397</v>
      </c>
      <c r="AH1005" s="60">
        <f t="shared" si="2360"/>
        <v>2451</v>
      </c>
      <c r="AI1005" s="61">
        <f t="shared" ref="AI1005:AV1005" si="2361">SUM(AI1000:AI1004)</f>
        <v>2617</v>
      </c>
      <c r="AJ1005" s="1124">
        <f t="shared" si="2361"/>
        <v>2617</v>
      </c>
      <c r="AK1005" s="60">
        <f t="shared" si="2361"/>
        <v>2637</v>
      </c>
      <c r="AL1005" s="60">
        <f t="shared" si="2361"/>
        <v>2625</v>
      </c>
      <c r="AM1005" s="60">
        <f t="shared" si="2361"/>
        <v>2574</v>
      </c>
      <c r="AN1005" s="61">
        <f t="shared" si="2361"/>
        <v>2621</v>
      </c>
      <c r="AO1005" s="1124">
        <f t="shared" si="2361"/>
        <v>2621</v>
      </c>
      <c r="AP1005" s="60">
        <f t="shared" si="2361"/>
        <v>3134</v>
      </c>
      <c r="AQ1005" s="60">
        <f t="shared" si="2361"/>
        <v>3122</v>
      </c>
      <c r="AR1005" s="60">
        <f t="shared" si="2361"/>
        <v>3121</v>
      </c>
      <c r="AS1005" s="61">
        <f t="shared" si="2361"/>
        <v>3327</v>
      </c>
      <c r="AT1005" s="1124">
        <f t="shared" si="2361"/>
        <v>3327</v>
      </c>
      <c r="AU1005" s="60">
        <f t="shared" si="2361"/>
        <v>8252</v>
      </c>
      <c r="AV1005" s="60">
        <f t="shared" si="2361"/>
        <v>8856</v>
      </c>
      <c r="AW1005" s="60">
        <f t="shared" ref="AW1005:BB1005" si="2362">SUM(AW1000:AW1004)</f>
        <v>7878</v>
      </c>
      <c r="AX1005" s="61">
        <f t="shared" si="2362"/>
        <v>7973</v>
      </c>
      <c r="AY1005" s="1124">
        <f t="shared" si="2362"/>
        <v>7973</v>
      </c>
      <c r="AZ1005" s="60">
        <f t="shared" si="2362"/>
        <v>8018</v>
      </c>
      <c r="BA1005" s="60">
        <f t="shared" si="2362"/>
        <v>13055</v>
      </c>
      <c r="BB1005" s="60">
        <f t="shared" si="2362"/>
        <v>13222</v>
      </c>
      <c r="BC1005" s="61">
        <f t="shared" ref="BC1005:BF1005" si="2363">SUM(BC1000:BC1004)</f>
        <v>13240</v>
      </c>
      <c r="BD1005" s="1124">
        <f t="shared" si="2363"/>
        <v>13240</v>
      </c>
      <c r="BE1005" s="60">
        <f>SUM(BE1000:BE1004)</f>
        <v>13330</v>
      </c>
      <c r="BF1005" s="61">
        <f t="shared" si="2363"/>
        <v>12052</v>
      </c>
      <c r="BG1005" s="60">
        <f t="shared" ref="BG1005:BI1005" si="2364">SUM(BG1000:BG1004)</f>
        <v>12284</v>
      </c>
      <c r="BH1005" s="61">
        <f t="shared" si="2364"/>
        <v>12518</v>
      </c>
      <c r="BI1005" s="1124">
        <f t="shared" si="2364"/>
        <v>12518</v>
      </c>
      <c r="BJ1005" s="60">
        <f t="shared" ref="BJ1005:BN1005" si="2365">SUM(BJ1000:BJ1004)</f>
        <v>12680</v>
      </c>
      <c r="BK1005" s="61">
        <f t="shared" si="2365"/>
        <v>11720</v>
      </c>
      <c r="BL1005" s="60">
        <f t="shared" si="2365"/>
        <v>11782</v>
      </c>
      <c r="BM1005" s="61">
        <f t="shared" si="2365"/>
        <v>12119</v>
      </c>
      <c r="BN1005" s="1124">
        <f t="shared" si="2365"/>
        <v>12119</v>
      </c>
      <c r="BO1005" s="60">
        <f t="shared" ref="BO1005:BS1005" si="2366">SUM(BO1000:BO1004)</f>
        <v>12707</v>
      </c>
      <c r="BP1005" s="61">
        <f t="shared" si="2366"/>
        <v>13101</v>
      </c>
      <c r="BQ1005" s="60">
        <f t="shared" si="2366"/>
        <v>13635</v>
      </c>
      <c r="BR1005" s="61">
        <f t="shared" si="2366"/>
        <v>14227</v>
      </c>
      <c r="BS1005" s="1124">
        <f t="shared" si="2366"/>
        <v>14227</v>
      </c>
      <c r="BT1005" s="60">
        <f t="shared" ref="BT1005:CK1005" si="2367">SUM(BT1000:BT1004)</f>
        <v>14869</v>
      </c>
      <c r="BU1005" s="61">
        <f t="shared" si="2367"/>
        <v>16352</v>
      </c>
      <c r="BV1005" s="60">
        <f t="shared" si="2367"/>
        <v>16176</v>
      </c>
      <c r="BW1005" s="61">
        <f t="shared" si="2367"/>
        <v>17347</v>
      </c>
      <c r="BX1005" s="1124">
        <f t="shared" si="2367"/>
        <v>17347</v>
      </c>
      <c r="BY1005" s="895">
        <f>SUM(BY1000:BY1004)</f>
        <v>20116</v>
      </c>
      <c r="BZ1005" s="61">
        <f t="shared" si="2367"/>
        <v>20116</v>
      </c>
      <c r="CA1005" s="61">
        <f t="shared" si="2367"/>
        <v>20116</v>
      </c>
      <c r="CB1005" s="61">
        <f t="shared" si="2367"/>
        <v>20116</v>
      </c>
      <c r="CC1005" s="1124">
        <f t="shared" si="2367"/>
        <v>20116</v>
      </c>
      <c r="CD1005" s="61">
        <f t="shared" si="2367"/>
        <v>20116</v>
      </c>
      <c r="CE1005" s="61">
        <f t="shared" si="2367"/>
        <v>20116</v>
      </c>
      <c r="CF1005" s="61">
        <f t="shared" si="2367"/>
        <v>20116</v>
      </c>
      <c r="CG1005" s="61">
        <f t="shared" si="2367"/>
        <v>20116</v>
      </c>
      <c r="CH1005" s="1124">
        <f t="shared" si="2367"/>
        <v>20116</v>
      </c>
      <c r="CI1005" s="1124">
        <f t="shared" si="2367"/>
        <v>20116</v>
      </c>
      <c r="CJ1005" s="1124">
        <f t="shared" si="2367"/>
        <v>20116</v>
      </c>
      <c r="CK1005" s="1124">
        <f t="shared" si="2367"/>
        <v>20116</v>
      </c>
      <c r="CL1005" s="155"/>
    </row>
    <row r="1006" spans="1:90" x14ac:dyDescent="0.3">
      <c r="A1006" s="62" t="s">
        <v>221</v>
      </c>
      <c r="B1006" s="279"/>
      <c r="C1006" s="1134">
        <f t="shared" ref="C1006:AH1006" si="2368">C997+C1005</f>
        <v>956.07500000000005</v>
      </c>
      <c r="D1006" s="1134">
        <f t="shared" si="2368"/>
        <v>920.77799999999991</v>
      </c>
      <c r="E1006" s="1134">
        <f t="shared" si="2368"/>
        <v>1313.7840000000001</v>
      </c>
      <c r="F1006" s="1134">
        <f t="shared" si="2368"/>
        <v>1407.204</v>
      </c>
      <c r="G1006" s="28">
        <f t="shared" si="2368"/>
        <v>1420.739</v>
      </c>
      <c r="H1006" s="28">
        <f t="shared" si="2368"/>
        <v>1438.2160000000001</v>
      </c>
      <c r="I1006" s="28">
        <f t="shared" si="2368"/>
        <v>1352.298</v>
      </c>
      <c r="J1006" s="28">
        <f t="shared" si="2368"/>
        <v>1584.5419999999999</v>
      </c>
      <c r="K1006" s="1134">
        <f t="shared" si="2368"/>
        <v>1584.5419999999999</v>
      </c>
      <c r="L1006" s="28">
        <f t="shared" si="2368"/>
        <v>1454.5909999999999</v>
      </c>
      <c r="M1006" s="28">
        <f t="shared" si="2368"/>
        <v>1397.4189999999999</v>
      </c>
      <c r="N1006" s="28">
        <f t="shared" si="2368"/>
        <v>1390.7260000000001</v>
      </c>
      <c r="O1006" s="28">
        <f t="shared" si="2368"/>
        <v>2794.4960000000001</v>
      </c>
      <c r="P1006" s="1134">
        <f t="shared" si="2368"/>
        <v>2794.4960000000001</v>
      </c>
      <c r="Q1006" s="28">
        <f t="shared" si="2368"/>
        <v>2697.6779999999999</v>
      </c>
      <c r="R1006" s="28">
        <f t="shared" si="2368"/>
        <v>2628.933</v>
      </c>
      <c r="S1006" s="28">
        <f t="shared" si="2368"/>
        <v>2681.2759999999998</v>
      </c>
      <c r="T1006" s="28">
        <f t="shared" si="2368"/>
        <v>2783</v>
      </c>
      <c r="U1006" s="1134">
        <f t="shared" si="2368"/>
        <v>2783</v>
      </c>
      <c r="V1006" s="28">
        <f t="shared" si="2368"/>
        <v>2735</v>
      </c>
      <c r="W1006" s="28">
        <f t="shared" si="2368"/>
        <v>2794</v>
      </c>
      <c r="X1006" s="28">
        <f t="shared" si="2368"/>
        <v>2709</v>
      </c>
      <c r="Y1006" s="28">
        <f t="shared" si="2368"/>
        <v>2901</v>
      </c>
      <c r="Z1006" s="1134">
        <f t="shared" si="2368"/>
        <v>2901</v>
      </c>
      <c r="AA1006" s="28">
        <f t="shared" si="2368"/>
        <v>2912</v>
      </c>
      <c r="AB1006" s="28">
        <f t="shared" si="2368"/>
        <v>2981</v>
      </c>
      <c r="AC1006" s="63">
        <f t="shared" si="2368"/>
        <v>4288</v>
      </c>
      <c r="AD1006" s="63">
        <f t="shared" si="2368"/>
        <v>4079</v>
      </c>
      <c r="AE1006" s="1127">
        <f t="shared" si="2368"/>
        <v>4079</v>
      </c>
      <c r="AF1006" s="63">
        <f t="shared" si="2368"/>
        <v>3278</v>
      </c>
      <c r="AG1006" s="28">
        <f t="shared" si="2368"/>
        <v>3429</v>
      </c>
      <c r="AH1006" s="28">
        <f t="shared" si="2368"/>
        <v>3478</v>
      </c>
      <c r="AI1006" s="63">
        <f t="shared" ref="AI1006:AV1006" si="2369">AI997+AI1005</f>
        <v>3770</v>
      </c>
      <c r="AJ1006" s="1127">
        <f t="shared" si="2369"/>
        <v>3770</v>
      </c>
      <c r="AK1006" s="28">
        <f t="shared" si="2369"/>
        <v>3743</v>
      </c>
      <c r="AL1006" s="28">
        <f t="shared" si="2369"/>
        <v>4087</v>
      </c>
      <c r="AM1006" s="28">
        <f t="shared" si="2369"/>
        <v>4182</v>
      </c>
      <c r="AN1006" s="63">
        <f t="shared" si="2369"/>
        <v>3950</v>
      </c>
      <c r="AO1006" s="1127">
        <f t="shared" si="2369"/>
        <v>3950</v>
      </c>
      <c r="AP1006" s="28">
        <f t="shared" si="2369"/>
        <v>4317</v>
      </c>
      <c r="AQ1006" s="28">
        <f t="shared" si="2369"/>
        <v>4439</v>
      </c>
      <c r="AR1006" s="28">
        <f t="shared" si="2369"/>
        <v>4596</v>
      </c>
      <c r="AS1006" s="63">
        <f t="shared" si="2369"/>
        <v>5111</v>
      </c>
      <c r="AT1006" s="1127">
        <f t="shared" si="2369"/>
        <v>5111</v>
      </c>
      <c r="AU1006" s="28">
        <f t="shared" si="2369"/>
        <v>10155</v>
      </c>
      <c r="AV1006" s="28">
        <f t="shared" si="2369"/>
        <v>11266</v>
      </c>
      <c r="AW1006" s="28">
        <f t="shared" ref="AW1006:BB1006" si="2370">AW997+AW1005</f>
        <v>11547</v>
      </c>
      <c r="AX1006" s="63">
        <f t="shared" si="2370"/>
        <v>11898</v>
      </c>
      <c r="AY1006" s="1127">
        <f t="shared" si="2370"/>
        <v>11898</v>
      </c>
      <c r="AZ1006" s="28">
        <f t="shared" si="2370"/>
        <v>12022</v>
      </c>
      <c r="BA1006" s="28">
        <f t="shared" si="2370"/>
        <v>17503</v>
      </c>
      <c r="BB1006" s="28">
        <f t="shared" si="2370"/>
        <v>16834</v>
      </c>
      <c r="BC1006" s="63">
        <f t="shared" ref="BC1006:BF1006" si="2371">BC997+BC1005</f>
        <v>17575</v>
      </c>
      <c r="BD1006" s="1127">
        <f t="shared" si="2371"/>
        <v>17575</v>
      </c>
      <c r="BE1006" s="28">
        <f>BE997+BE1005</f>
        <v>18892</v>
      </c>
      <c r="BF1006" s="63">
        <f t="shared" si="2371"/>
        <v>19625</v>
      </c>
      <c r="BG1006" s="28">
        <f t="shared" ref="BG1006:BI1006" si="2372">BG997+BG1005</f>
        <v>19139</v>
      </c>
      <c r="BH1006" s="63">
        <f t="shared" si="2372"/>
        <v>19081</v>
      </c>
      <c r="BI1006" s="1127">
        <f t="shared" si="2372"/>
        <v>19081</v>
      </c>
      <c r="BJ1006" s="28">
        <f t="shared" ref="BJ1006:BN1006" si="2373">BJ997+BJ1005</f>
        <v>19940</v>
      </c>
      <c r="BK1006" s="63">
        <f t="shared" si="2373"/>
        <v>22054</v>
      </c>
      <c r="BL1006" s="28">
        <f t="shared" si="2373"/>
        <v>20883</v>
      </c>
      <c r="BM1006" s="63">
        <f t="shared" si="2373"/>
        <v>22750</v>
      </c>
      <c r="BN1006" s="1127">
        <f t="shared" si="2373"/>
        <v>22750</v>
      </c>
      <c r="BO1006" s="28">
        <f t="shared" ref="BO1006:BS1006" si="2374">BO997+BO1005</f>
        <v>27930</v>
      </c>
      <c r="BP1006" s="63">
        <f t="shared" si="2374"/>
        <v>27070</v>
      </c>
      <c r="BQ1006" s="28">
        <f t="shared" si="2374"/>
        <v>30114</v>
      </c>
      <c r="BR1006" s="63">
        <f t="shared" si="2374"/>
        <v>32274</v>
      </c>
      <c r="BS1006" s="1127">
        <f t="shared" si="2374"/>
        <v>32274</v>
      </c>
      <c r="BT1006" s="28">
        <f t="shared" ref="BT1006:CK1006" si="2375">BT997+BT1005</f>
        <v>41411</v>
      </c>
      <c r="BU1006" s="63">
        <f t="shared" si="2375"/>
        <v>40609</v>
      </c>
      <c r="BV1006" s="28">
        <f t="shared" si="2375"/>
        <v>42251</v>
      </c>
      <c r="BW1006" s="63">
        <f t="shared" si="2375"/>
        <v>49510</v>
      </c>
      <c r="BX1006" s="1127">
        <f t="shared" si="2375"/>
        <v>49510</v>
      </c>
      <c r="BY1006" s="505">
        <f>BY997+BY1005</f>
        <v>64000</v>
      </c>
      <c r="BZ1006" s="63">
        <f t="shared" si="2375"/>
        <v>62153.285732541546</v>
      </c>
      <c r="CA1006" s="63">
        <f t="shared" si="2375"/>
        <v>63058.05013232967</v>
      </c>
      <c r="CB1006" s="63">
        <f t="shared" si="2375"/>
        <v>70373.690942752641</v>
      </c>
      <c r="CC1006" s="1127">
        <f t="shared" si="2375"/>
        <v>70373.690942752641</v>
      </c>
      <c r="CD1006" s="63">
        <f t="shared" si="2375"/>
        <v>84780.866726735505</v>
      </c>
      <c r="CE1006" s="63">
        <f t="shared" si="2375"/>
        <v>76957.826419467776</v>
      </c>
      <c r="CF1006" s="63">
        <f t="shared" si="2375"/>
        <v>75283.197622673804</v>
      </c>
      <c r="CG1006" s="63">
        <f t="shared" si="2375"/>
        <v>83491.640743655313</v>
      </c>
      <c r="CH1006" s="1127">
        <f t="shared" si="2375"/>
        <v>83491.640743655313</v>
      </c>
      <c r="CI1006" s="1127">
        <f t="shared" si="2375"/>
        <v>95511.193983137811</v>
      </c>
      <c r="CJ1006" s="1127">
        <f t="shared" si="2375"/>
        <v>108424.20913459297</v>
      </c>
      <c r="CK1006" s="1127">
        <f t="shared" si="2375"/>
        <v>123622.14303675914</v>
      </c>
      <c r="CL1006" s="155"/>
    </row>
    <row r="1007" spans="1:90" x14ac:dyDescent="0.3">
      <c r="A1007" s="600"/>
      <c r="B1007" s="279"/>
      <c r="C1007" s="1127"/>
      <c r="D1007" s="1127"/>
      <c r="E1007" s="1127"/>
      <c r="F1007" s="1127"/>
      <c r="G1007" s="63"/>
      <c r="H1007" s="63"/>
      <c r="I1007" s="63"/>
      <c r="J1007" s="63"/>
      <c r="K1007" s="1127"/>
      <c r="L1007" s="63"/>
      <c r="M1007" s="63"/>
      <c r="N1007" s="63"/>
      <c r="O1007" s="63"/>
      <c r="P1007" s="1127"/>
      <c r="Q1007" s="63"/>
      <c r="R1007" s="63"/>
      <c r="S1007" s="63"/>
      <c r="T1007" s="63"/>
      <c r="U1007" s="1127"/>
      <c r="V1007" s="63"/>
      <c r="W1007" s="63"/>
      <c r="X1007" s="63"/>
      <c r="Y1007" s="63"/>
      <c r="Z1007" s="1127"/>
      <c r="AA1007" s="63"/>
      <c r="AB1007" s="63"/>
      <c r="AC1007" s="63"/>
      <c r="AD1007" s="63"/>
      <c r="AE1007" s="1127"/>
      <c r="AF1007" s="63"/>
      <c r="AG1007" s="63"/>
      <c r="AH1007" s="63"/>
      <c r="AI1007" s="63"/>
      <c r="AJ1007" s="1127"/>
      <c r="AK1007" s="63"/>
      <c r="AL1007" s="63"/>
      <c r="AM1007" s="63"/>
      <c r="AN1007" s="63"/>
      <c r="AO1007" s="1127"/>
      <c r="AP1007" s="63"/>
      <c r="AQ1007" s="63"/>
      <c r="AR1007" s="63"/>
      <c r="AS1007" s="63"/>
      <c r="AT1007" s="1127"/>
      <c r="AU1007" s="63"/>
      <c r="AV1007" s="63"/>
      <c r="AW1007" s="63"/>
      <c r="AX1007" s="63"/>
      <c r="AY1007" s="1127"/>
      <c r="AZ1007" s="63"/>
      <c r="BA1007" s="63"/>
      <c r="BB1007" s="63"/>
      <c r="BC1007" s="63"/>
      <c r="BD1007" s="1127"/>
      <c r="BE1007" s="63"/>
      <c r="BF1007" s="63"/>
      <c r="BG1007" s="63"/>
      <c r="BH1007" s="63"/>
      <c r="BI1007" s="1127"/>
      <c r="BJ1007" s="63"/>
      <c r="BK1007" s="63"/>
      <c r="BL1007" s="63"/>
      <c r="BM1007" s="63"/>
      <c r="BN1007" s="1127"/>
      <c r="BO1007" s="63"/>
      <c r="BP1007" s="63"/>
      <c r="BQ1007" s="63"/>
      <c r="BR1007" s="63"/>
      <c r="BS1007" s="1127"/>
      <c r="BT1007" s="63"/>
      <c r="BU1007" s="63"/>
      <c r="BV1007" s="63"/>
      <c r="BW1007" s="63"/>
      <c r="BX1007" s="1127"/>
      <c r="BY1007" s="587"/>
      <c r="BZ1007" s="63"/>
      <c r="CA1007" s="63"/>
      <c r="CB1007" s="63"/>
      <c r="CC1007" s="1127"/>
      <c r="CD1007" s="63"/>
      <c r="CE1007" s="63"/>
      <c r="CF1007" s="63"/>
      <c r="CG1007" s="63"/>
      <c r="CH1007" s="1127"/>
      <c r="CI1007" s="1127"/>
      <c r="CJ1007" s="1127"/>
      <c r="CK1007" s="1127"/>
      <c r="CL1007" s="155"/>
    </row>
    <row r="1008" spans="1:90" x14ac:dyDescent="0.3">
      <c r="A1008" s="69" t="s">
        <v>222</v>
      </c>
      <c r="B1008" s="279"/>
      <c r="C1008" s="1127"/>
      <c r="D1008" s="1127"/>
      <c r="E1008" s="1127"/>
      <c r="F1008" s="1127"/>
      <c r="G1008" s="63"/>
      <c r="H1008" s="63"/>
      <c r="I1008" s="63"/>
      <c r="J1008" s="63"/>
      <c r="K1008" s="1127"/>
      <c r="L1008" s="63"/>
      <c r="M1008" s="63"/>
      <c r="N1008" s="63"/>
      <c r="O1008" s="63"/>
      <c r="P1008" s="1127"/>
      <c r="Q1008" s="63"/>
      <c r="R1008" s="63"/>
      <c r="S1008" s="63"/>
      <c r="T1008" s="63"/>
      <c r="U1008" s="1127"/>
      <c r="V1008" s="63"/>
      <c r="W1008" s="63"/>
      <c r="X1008" s="63"/>
      <c r="Y1008" s="63"/>
      <c r="Z1008" s="1127"/>
      <c r="AA1008" s="63"/>
      <c r="AB1008" s="63"/>
      <c r="AC1008" s="63"/>
      <c r="AD1008" s="63"/>
      <c r="AE1008" s="1127"/>
      <c r="AF1008" s="63"/>
      <c r="AG1008" s="63"/>
      <c r="AH1008" s="63"/>
      <c r="AI1008" s="63"/>
      <c r="AJ1008" s="1127"/>
      <c r="AK1008" s="63"/>
      <c r="AL1008" s="63"/>
      <c r="AM1008" s="63"/>
      <c r="AN1008" s="63"/>
      <c r="AO1008" s="1127"/>
      <c r="AP1008" s="63"/>
      <c r="AQ1008" s="63"/>
      <c r="AR1008" s="63"/>
      <c r="AS1008" s="63"/>
      <c r="AT1008" s="1127"/>
      <c r="AU1008" s="63"/>
      <c r="AV1008" s="63"/>
      <c r="AW1008" s="63"/>
      <c r="AX1008" s="63"/>
      <c r="AY1008" s="1127"/>
      <c r="AZ1008" s="63"/>
      <c r="BA1008" s="63"/>
      <c r="BB1008" s="63"/>
      <c r="BC1008" s="63"/>
      <c r="BD1008" s="1127"/>
      <c r="BE1008" s="63"/>
      <c r="BF1008" s="63"/>
      <c r="BG1008" s="63"/>
      <c r="BH1008" s="63"/>
      <c r="BI1008" s="1127"/>
      <c r="BJ1008" s="63"/>
      <c r="BK1008" s="63"/>
      <c r="BL1008" s="63"/>
      <c r="BM1008" s="63"/>
      <c r="BN1008" s="1127"/>
      <c r="BO1008" s="63"/>
      <c r="BP1008" s="63"/>
      <c r="BQ1008" s="63"/>
      <c r="BR1008" s="63"/>
      <c r="BS1008" s="1127"/>
      <c r="BT1008" s="63"/>
      <c r="BU1008" s="63"/>
      <c r="BV1008" s="63"/>
      <c r="BW1008" s="63"/>
      <c r="BX1008" s="1127"/>
      <c r="BY1008" s="587"/>
      <c r="BZ1008" s="63"/>
      <c r="CA1008" s="63"/>
      <c r="CB1008" s="63"/>
      <c r="CC1008" s="1127"/>
      <c r="CD1008" s="63"/>
      <c r="CE1008" s="63"/>
      <c r="CF1008" s="63"/>
      <c r="CG1008" s="63"/>
      <c r="CH1008" s="1127"/>
      <c r="CI1008" s="1127"/>
      <c r="CJ1008" s="1127"/>
      <c r="CK1008" s="1127"/>
      <c r="CL1008" s="155"/>
    </row>
    <row r="1009" spans="1:90" x14ac:dyDescent="0.3">
      <c r="A1009" s="67" t="s">
        <v>223</v>
      </c>
      <c r="B1009" s="146"/>
      <c r="C1009" s="1112"/>
      <c r="D1009" s="1112"/>
      <c r="E1009" s="1112"/>
      <c r="F1009" s="1112"/>
      <c r="G1009" s="68"/>
      <c r="H1009" s="68"/>
      <c r="I1009" s="68"/>
      <c r="J1009" s="68"/>
      <c r="K1009" s="1112"/>
      <c r="L1009" s="68"/>
      <c r="M1009" s="68"/>
      <c r="N1009" s="68"/>
      <c r="O1009" s="68"/>
      <c r="P1009" s="1112"/>
      <c r="Q1009" s="68"/>
      <c r="R1009" s="68"/>
      <c r="S1009" s="68"/>
      <c r="T1009" s="68"/>
      <c r="U1009" s="1112"/>
      <c r="V1009" s="68"/>
      <c r="W1009" s="68"/>
      <c r="X1009" s="68"/>
      <c r="Y1009" s="27">
        <f t="shared" ref="Y1009:Y1014" si="2376">Z1009</f>
        <v>0</v>
      </c>
      <c r="Z1009" s="1112"/>
      <c r="AA1009" s="27">
        <f>Z1009</f>
        <v>0</v>
      </c>
      <c r="AB1009" s="1055">
        <v>0</v>
      </c>
      <c r="AC1009" s="1055">
        <v>0</v>
      </c>
      <c r="AD1009" s="1055">
        <v>0</v>
      </c>
      <c r="AE1009" s="1112">
        <f t="shared" ref="AE1009:AE1014" si="2377">AD1009</f>
        <v>0</v>
      </c>
      <c r="AF1009" s="1055">
        <v>0</v>
      </c>
      <c r="AG1009" s="68"/>
      <c r="AH1009" s="68"/>
      <c r="AI1009" s="68">
        <f t="shared" ref="AI1009:AI1014" si="2378">AJ1009</f>
        <v>0</v>
      </c>
      <c r="AJ1009" s="1112"/>
      <c r="AK1009" s="68"/>
      <c r="AL1009" s="68"/>
      <c r="AM1009" s="68"/>
      <c r="AN1009" s="68"/>
      <c r="AO1009" s="1112"/>
      <c r="AP1009" s="68"/>
      <c r="AQ1009" s="68"/>
      <c r="AR1009" s="68"/>
      <c r="AS1009" s="68"/>
      <c r="AT1009" s="1112"/>
      <c r="AU1009" s="68"/>
      <c r="AV1009" s="68"/>
      <c r="AW1009" s="68"/>
      <c r="AX1009" s="68"/>
      <c r="AY1009" s="1112"/>
      <c r="AZ1009" s="68"/>
      <c r="BA1009" s="68"/>
      <c r="BB1009" s="68"/>
      <c r="BC1009" s="68"/>
      <c r="BD1009" s="1112"/>
      <c r="BE1009" s="68"/>
      <c r="BF1009" s="68"/>
      <c r="BG1009" s="68"/>
      <c r="BH1009" s="68">
        <f t="shared" ref="BH1009:BH1014" si="2379">BI1009</f>
        <v>0</v>
      </c>
      <c r="BI1009" s="1112"/>
      <c r="BJ1009" s="1055">
        <v>0</v>
      </c>
      <c r="BK1009" s="68"/>
      <c r="BL1009" s="68"/>
      <c r="BM1009" s="68"/>
      <c r="BN1009" s="1112"/>
      <c r="BO1009" s="68"/>
      <c r="BP1009" s="68"/>
      <c r="BQ1009" s="68"/>
      <c r="BR1009" s="68"/>
      <c r="BS1009" s="1112"/>
      <c r="BT1009" s="68"/>
      <c r="BU1009" s="68"/>
      <c r="BV1009" s="68"/>
      <c r="BW1009" s="68"/>
      <c r="BX1009" s="1112"/>
      <c r="BY1009" s="588"/>
      <c r="BZ1009" s="68"/>
      <c r="CA1009" s="68"/>
      <c r="CB1009" s="68"/>
      <c r="CC1009" s="1112"/>
      <c r="CD1009" s="68"/>
      <c r="CE1009" s="68"/>
      <c r="CF1009" s="68"/>
      <c r="CG1009" s="68"/>
      <c r="CH1009" s="1112"/>
      <c r="CI1009" s="1112"/>
      <c r="CJ1009" s="1112"/>
      <c r="CK1009" s="1112"/>
      <c r="CL1009" s="155"/>
    </row>
    <row r="1010" spans="1:90" x14ac:dyDescent="0.3">
      <c r="A1010" s="99" t="s">
        <v>224</v>
      </c>
      <c r="B1010" s="146"/>
      <c r="C1010" s="1113">
        <v>0.629</v>
      </c>
      <c r="D1010" s="1113">
        <v>0.65300000000000002</v>
      </c>
      <c r="E1010" s="1113">
        <v>0.67700000000000005</v>
      </c>
      <c r="F1010" s="1113">
        <v>0.7</v>
      </c>
      <c r="G1010" s="1055">
        <v>0.70699999999999996</v>
      </c>
      <c r="H1010" s="1055">
        <v>0.71299999999999997</v>
      </c>
      <c r="I1010" s="1055">
        <v>0.71899999999999997</v>
      </c>
      <c r="J1010" s="68">
        <f>K1010</f>
        <v>0.72</v>
      </c>
      <c r="K1010" s="1113">
        <v>0.72</v>
      </c>
      <c r="L1010" s="1055">
        <v>0.72499999999999998</v>
      </c>
      <c r="M1010" s="1055">
        <v>0.72599999999999998</v>
      </c>
      <c r="N1010" s="1055">
        <v>0.73199999999999998</v>
      </c>
      <c r="O1010" s="68">
        <f>P1010</f>
        <v>0.73199999999999998</v>
      </c>
      <c r="P1010" s="1113">
        <v>0.73199999999999998</v>
      </c>
      <c r="Q1010" s="1055">
        <v>0.74299999999999999</v>
      </c>
      <c r="R1010" s="1055">
        <v>0.74399999999999999</v>
      </c>
      <c r="S1010" s="1055">
        <v>0.752</v>
      </c>
      <c r="T1010" s="68">
        <f>U1010</f>
        <v>1</v>
      </c>
      <c r="U1010" s="1113">
        <v>1</v>
      </c>
      <c r="V1010" s="1055">
        <v>1</v>
      </c>
      <c r="W1010" s="1055">
        <v>1</v>
      </c>
      <c r="X1010" s="1055">
        <v>1</v>
      </c>
      <c r="Y1010" s="68">
        <f t="shared" si="2376"/>
        <v>1</v>
      </c>
      <c r="Z1010" s="1113">
        <v>1</v>
      </c>
      <c r="AA1010" s="1055">
        <v>1</v>
      </c>
      <c r="AB1010" s="1055">
        <v>1</v>
      </c>
      <c r="AC1010" s="1055">
        <v>1</v>
      </c>
      <c r="AD1010" s="1055">
        <v>1</v>
      </c>
      <c r="AE1010" s="1112">
        <f t="shared" si="2377"/>
        <v>1</v>
      </c>
      <c r="AF1010" s="1055">
        <v>1</v>
      </c>
      <c r="AG1010" s="1055">
        <v>1</v>
      </c>
      <c r="AH1010" s="1055">
        <v>1</v>
      </c>
      <c r="AI1010" s="68">
        <f t="shared" si="2378"/>
        <v>1</v>
      </c>
      <c r="AJ1010" s="1113">
        <v>1</v>
      </c>
      <c r="AK1010" s="1055">
        <v>1</v>
      </c>
      <c r="AL1010" s="1055">
        <v>1</v>
      </c>
      <c r="AM1010" s="1055">
        <v>1</v>
      </c>
      <c r="AN1010" s="68">
        <f>AO1010</f>
        <v>1</v>
      </c>
      <c r="AO1010" s="1113">
        <v>1</v>
      </c>
      <c r="AP1010" s="1055">
        <v>1</v>
      </c>
      <c r="AQ1010" s="1055">
        <v>1</v>
      </c>
      <c r="AR1010" s="1055">
        <v>1</v>
      </c>
      <c r="AS1010" s="68">
        <f>AT1010</f>
        <v>1</v>
      </c>
      <c r="AT1010" s="1113">
        <v>1</v>
      </c>
      <c r="AU1010" s="1055">
        <v>1</v>
      </c>
      <c r="AV1010" s="1055">
        <v>1</v>
      </c>
      <c r="AW1010" s="1055">
        <v>1</v>
      </c>
      <c r="AX1010" s="68">
        <f>AY1010</f>
        <v>1</v>
      </c>
      <c r="AY1010" s="1113">
        <v>1</v>
      </c>
      <c r="AZ1010" s="1055">
        <v>1</v>
      </c>
      <c r="BA1010" s="1055">
        <v>3</v>
      </c>
      <c r="BB1010" s="1055">
        <v>3</v>
      </c>
      <c r="BC1010" s="68">
        <f>BD1010</f>
        <v>3</v>
      </c>
      <c r="BD1010" s="1113">
        <v>3</v>
      </c>
      <c r="BE1010" s="1055">
        <v>3</v>
      </c>
      <c r="BF1010" s="1055">
        <v>2</v>
      </c>
      <c r="BG1010" s="1055">
        <v>2</v>
      </c>
      <c r="BH1010" s="68">
        <f t="shared" si="2379"/>
        <v>2</v>
      </c>
      <c r="BI1010" s="1113">
        <v>2</v>
      </c>
      <c r="BJ1010" s="1055">
        <v>2</v>
      </c>
      <c r="BK1010" s="1055">
        <v>2</v>
      </c>
      <c r="BL1010" s="1055">
        <v>2</v>
      </c>
      <c r="BM1010" s="68">
        <f>BN1010</f>
        <v>2</v>
      </c>
      <c r="BN1010" s="1113">
        <v>2</v>
      </c>
      <c r="BO1010" s="1055">
        <v>2</v>
      </c>
      <c r="BP1010" s="1055">
        <v>25</v>
      </c>
      <c r="BQ1010" s="1055">
        <v>25</v>
      </c>
      <c r="BR1010" s="68">
        <f t="shared" ref="BR1010:BR1013" si="2380">BS1010</f>
        <v>24</v>
      </c>
      <c r="BS1010" s="1113">
        <v>24</v>
      </c>
      <c r="BT1010" s="1055">
        <v>24</v>
      </c>
      <c r="BU1010" s="1055">
        <v>24</v>
      </c>
      <c r="BV1010" s="1055">
        <v>24</v>
      </c>
      <c r="BW1010" s="68">
        <f>BX1010</f>
        <v>24</v>
      </c>
      <c r="BX1010" s="1113">
        <v>24</v>
      </c>
      <c r="BY1010" s="1057">
        <v>24</v>
      </c>
      <c r="BZ1010" s="68">
        <f t="shared" ref="BZ1010:CK1010" si="2381">BY1010</f>
        <v>24</v>
      </c>
      <c r="CA1010" s="68">
        <f t="shared" si="2381"/>
        <v>24</v>
      </c>
      <c r="CB1010" s="68">
        <f t="shared" si="2381"/>
        <v>24</v>
      </c>
      <c r="CC1010" s="1112">
        <f t="shared" si="2381"/>
        <v>24</v>
      </c>
      <c r="CD1010" s="68">
        <f t="shared" si="2381"/>
        <v>24</v>
      </c>
      <c r="CE1010" s="68">
        <f t="shared" si="2381"/>
        <v>24</v>
      </c>
      <c r="CF1010" s="68">
        <f t="shared" si="2381"/>
        <v>24</v>
      </c>
      <c r="CG1010" s="68">
        <f t="shared" si="2381"/>
        <v>24</v>
      </c>
      <c r="CH1010" s="1112">
        <f t="shared" si="2381"/>
        <v>24</v>
      </c>
      <c r="CI1010" s="1112">
        <f t="shared" si="2381"/>
        <v>24</v>
      </c>
      <c r="CJ1010" s="1112">
        <f t="shared" si="2381"/>
        <v>24</v>
      </c>
      <c r="CK1010" s="1112">
        <f t="shared" si="2381"/>
        <v>24</v>
      </c>
      <c r="CL1010" s="155"/>
    </row>
    <row r="1011" spans="1:90" x14ac:dyDescent="0.3">
      <c r="A1011" s="99" t="s">
        <v>225</v>
      </c>
      <c r="B1011" s="146"/>
      <c r="C1011" s="1113">
        <v>1889.2570000000001</v>
      </c>
      <c r="D1011" s="1113">
        <v>2219.4009999999998</v>
      </c>
      <c r="E1011" s="1113">
        <v>2500.5770000000002</v>
      </c>
      <c r="F1011" s="1113">
        <v>2900.8960000000002</v>
      </c>
      <c r="G1011" s="1055">
        <v>2994.5070000000001</v>
      </c>
      <c r="H1011" s="1055">
        <v>3040.9789999999998</v>
      </c>
      <c r="I1011" s="1055">
        <v>3114.9949999999999</v>
      </c>
      <c r="J1011" s="68">
        <f>K1011</f>
        <v>3193.623</v>
      </c>
      <c r="K1011" s="1113">
        <v>3193.623</v>
      </c>
      <c r="L1011" s="1055">
        <v>3273.23</v>
      </c>
      <c r="M1011" s="1055">
        <v>3104.5010000000002</v>
      </c>
      <c r="N1011" s="1055">
        <v>3407.8890000000001</v>
      </c>
      <c r="O1011" s="68">
        <f>P1011</f>
        <v>3483.3420000000001</v>
      </c>
      <c r="P1011" s="1113">
        <v>3483.3420000000001</v>
      </c>
      <c r="Q1011" s="1055">
        <v>3492.14</v>
      </c>
      <c r="R1011" s="1055">
        <v>3682.7420000000002</v>
      </c>
      <c r="S1011" s="1055">
        <v>3783.0990000000002</v>
      </c>
      <c r="T1011" s="68">
        <f>U1011</f>
        <v>3855</v>
      </c>
      <c r="U1011" s="1113">
        <v>3855</v>
      </c>
      <c r="V1011" s="1055">
        <v>3986</v>
      </c>
      <c r="W1011" s="1055">
        <v>3938</v>
      </c>
      <c r="X1011" s="1055">
        <v>4170</v>
      </c>
      <c r="Y1011" s="68">
        <f t="shared" si="2376"/>
        <v>4170</v>
      </c>
      <c r="Z1011" s="1113">
        <v>4170</v>
      </c>
      <c r="AA1011" s="1055">
        <v>4218</v>
      </c>
      <c r="AB1011" s="1055">
        <v>4408</v>
      </c>
      <c r="AC1011" s="1055">
        <v>4581</v>
      </c>
      <c r="AD1011" s="1055">
        <v>4708</v>
      </c>
      <c r="AE1011" s="1112">
        <f t="shared" si="2377"/>
        <v>4708</v>
      </c>
      <c r="AF1011" s="1055">
        <v>4936</v>
      </c>
      <c r="AG1011" s="1055">
        <v>5048</v>
      </c>
      <c r="AH1011" s="1055">
        <v>5219</v>
      </c>
      <c r="AI1011" s="68">
        <f t="shared" si="2378"/>
        <v>5351</v>
      </c>
      <c r="AJ1011" s="1113">
        <v>5351</v>
      </c>
      <c r="AK1011" s="1055">
        <v>5546</v>
      </c>
      <c r="AL1011" s="1055">
        <v>5681</v>
      </c>
      <c r="AM1011" s="1055">
        <v>5891</v>
      </c>
      <c r="AN1011" s="68">
        <f>AO1011</f>
        <v>6051</v>
      </c>
      <c r="AO1011" s="1113">
        <v>6051</v>
      </c>
      <c r="AP1011" s="1055">
        <v>6317</v>
      </c>
      <c r="AQ1011" s="1055">
        <v>6543</v>
      </c>
      <c r="AR1011" s="1055">
        <v>6824</v>
      </c>
      <c r="AS1011" s="68">
        <f>AT1011</f>
        <v>7045</v>
      </c>
      <c r="AT1011" s="1113">
        <v>7045</v>
      </c>
      <c r="AU1011" s="1055">
        <v>7354</v>
      </c>
      <c r="AV1011" s="1055">
        <v>7828</v>
      </c>
      <c r="AW1011" s="1055">
        <v>8301</v>
      </c>
      <c r="AX1011" s="68">
        <f>AY1011</f>
        <v>8721</v>
      </c>
      <c r="AY1011" s="1113">
        <v>8721</v>
      </c>
      <c r="AZ1011" s="1055">
        <v>9280</v>
      </c>
      <c r="BA1011" s="1055">
        <v>9745</v>
      </c>
      <c r="BB1011" s="1055">
        <v>10465</v>
      </c>
      <c r="BC1011" s="68">
        <f>BD1011</f>
        <v>10385</v>
      </c>
      <c r="BD1011" s="1113">
        <v>10385</v>
      </c>
      <c r="BE1011" s="1055">
        <v>10623</v>
      </c>
      <c r="BF1011" s="1055">
        <v>10968</v>
      </c>
      <c r="BG1011" s="1055">
        <v>11565</v>
      </c>
      <c r="BH1011" s="68">
        <f t="shared" si="2379"/>
        <v>11971</v>
      </c>
      <c r="BI1011" s="1113">
        <v>11971</v>
      </c>
      <c r="BJ1011" s="1055">
        <v>12453</v>
      </c>
      <c r="BK1011" s="1055">
        <v>12629</v>
      </c>
      <c r="BL1011" s="1055">
        <v>12991</v>
      </c>
      <c r="BM1011" s="68">
        <f>BN1011</f>
        <v>13132</v>
      </c>
      <c r="BN1011" s="1113">
        <v>13132</v>
      </c>
      <c r="BO1011" s="1055">
        <v>12651</v>
      </c>
      <c r="BP1011" s="1055">
        <v>12115</v>
      </c>
      <c r="BQ1011" s="1055">
        <v>11821</v>
      </c>
      <c r="BR1011" s="68">
        <f t="shared" si="2380"/>
        <v>11237</v>
      </c>
      <c r="BS1011" s="1113">
        <v>11237</v>
      </c>
      <c r="BT1011" s="1055">
        <v>11475</v>
      </c>
      <c r="BU1011" s="1055">
        <v>11200</v>
      </c>
      <c r="BV1011" s="1055">
        <v>10626</v>
      </c>
      <c r="BW1011" s="68">
        <f t="shared" ref="BW1011:BW1014" si="2382">BX1011</f>
        <v>10118</v>
      </c>
      <c r="BX1011" s="1113">
        <v>10118</v>
      </c>
      <c r="BY1011" s="1057">
        <v>10275</v>
      </c>
      <c r="BZ1011" s="68">
        <f>BY1011+BZ855</f>
        <v>10275</v>
      </c>
      <c r="CA1011" s="68">
        <f>BZ1011+CA855</f>
        <v>10275</v>
      </c>
      <c r="CB1011" s="68">
        <f>CA1011+CB855</f>
        <v>10275</v>
      </c>
      <c r="CC1011" s="1112">
        <f t="shared" ref="CC1011:CC1016" si="2383">CB1011</f>
        <v>10275</v>
      </c>
      <c r="CD1011" s="68">
        <f>CC1011+CD855</f>
        <v>10275</v>
      </c>
      <c r="CE1011" s="68">
        <f>CD1011+CE855</f>
        <v>10275</v>
      </c>
      <c r="CF1011" s="68">
        <f>CE1011+CF855</f>
        <v>10275</v>
      </c>
      <c r="CG1011" s="68">
        <f>CF1011+CG855</f>
        <v>10275</v>
      </c>
      <c r="CH1011" s="1112">
        <f t="shared" ref="CH1011:CH1016" si="2384">CG1011</f>
        <v>10275</v>
      </c>
      <c r="CI1011" s="1112">
        <f>CH1011+CI855</f>
        <v>10275</v>
      </c>
      <c r="CJ1011" s="1112">
        <f>CI1011+CJ855</f>
        <v>10275</v>
      </c>
      <c r="CK1011" s="1112">
        <f>CJ1011+CK855</f>
        <v>10275</v>
      </c>
      <c r="CL1011" s="155"/>
    </row>
    <row r="1012" spans="1:90" x14ac:dyDescent="0.3">
      <c r="A1012" s="99" t="s">
        <v>226</v>
      </c>
      <c r="B1012" s="146"/>
      <c r="C1012" s="1113">
        <v>-1463.268</v>
      </c>
      <c r="D1012" s="1113">
        <v>-1463.268</v>
      </c>
      <c r="E1012" s="1113">
        <v>-1479.3920000000001</v>
      </c>
      <c r="F1012" s="1113">
        <v>-1496.904</v>
      </c>
      <c r="G1012" s="1055">
        <v>-1509.088</v>
      </c>
      <c r="H1012" s="1055">
        <v>-1509.087</v>
      </c>
      <c r="I1012" s="1055">
        <v>-1522.7090000000001</v>
      </c>
      <c r="J1012" s="68">
        <f>K1012</f>
        <v>-1622.7090000000001</v>
      </c>
      <c r="K1012" s="1113">
        <v>-1622.7090000000001</v>
      </c>
      <c r="L1012" s="1055">
        <v>-1737.0250000000001</v>
      </c>
      <c r="M1012" s="1055">
        <v>-2269.7660000000001</v>
      </c>
      <c r="N1012" s="1055">
        <v>-2499.9899999999998</v>
      </c>
      <c r="O1012" s="68">
        <f>P1012</f>
        <v>-2537.2950000000001</v>
      </c>
      <c r="P1012" s="1113">
        <v>-2537.2950000000001</v>
      </c>
      <c r="Q1012" s="1055">
        <v>-2926.7890000000002</v>
      </c>
      <c r="R1012" s="1055">
        <v>-3058.1489999999999</v>
      </c>
      <c r="S1012" s="1055">
        <v>-3390.9850000000001</v>
      </c>
      <c r="T1012" s="68">
        <f>U1012</f>
        <v>-3395</v>
      </c>
      <c r="U1012" s="1113">
        <v>-3395</v>
      </c>
      <c r="V1012" s="1055">
        <v>-3476</v>
      </c>
      <c r="W1012" s="1055">
        <v>-3765</v>
      </c>
      <c r="X1012" s="1055">
        <v>-3912</v>
      </c>
      <c r="Y1012" s="68">
        <f t="shared" si="2376"/>
        <v>-4048</v>
      </c>
      <c r="Z1012" s="1113">
        <v>-4048</v>
      </c>
      <c r="AA1012" s="1055">
        <v>-4508</v>
      </c>
      <c r="AB1012" s="1055">
        <v>-4608</v>
      </c>
      <c r="AC1012" s="1055">
        <v>-4783</v>
      </c>
      <c r="AD1012" s="1055">
        <v>-5039</v>
      </c>
      <c r="AE1012" s="1112">
        <f t="shared" si="2377"/>
        <v>-5039</v>
      </c>
      <c r="AF1012" s="1055">
        <v>-5297</v>
      </c>
      <c r="AG1012" s="1055">
        <v>-6070</v>
      </c>
      <c r="AH1012" s="1055">
        <v>-6614</v>
      </c>
      <c r="AI1012" s="68">
        <f t="shared" si="2378"/>
        <v>-6650</v>
      </c>
      <c r="AJ1012" s="1113">
        <v>-6650</v>
      </c>
      <c r="AK1012" s="1055">
        <v>-7755</v>
      </c>
      <c r="AL1012" s="1055">
        <v>-7821</v>
      </c>
      <c r="AM1012" s="1055">
        <v>-8489</v>
      </c>
      <c r="AN1012" s="68">
        <f>AO1012</f>
        <v>-9263</v>
      </c>
      <c r="AO1012" s="1113">
        <v>-9263</v>
      </c>
      <c r="AP1012" s="1055">
        <v>-9474</v>
      </c>
      <c r="AQ1012" s="1055">
        <v>-9524</v>
      </c>
      <c r="AR1012" s="1055">
        <v>-9726</v>
      </c>
      <c r="AS1012" s="68">
        <f>AT1012</f>
        <v>-9814</v>
      </c>
      <c r="AT1012" s="1113">
        <v>-9814</v>
      </c>
      <c r="AU1012" s="1055">
        <v>-10036</v>
      </c>
      <c r="AV1012" s="1055">
        <v>-10232</v>
      </c>
      <c r="AW1012" s="1055">
        <v>-10530</v>
      </c>
      <c r="AX1012" s="68">
        <f>AY1012</f>
        <v>-10756</v>
      </c>
      <c r="AY1012" s="1113">
        <v>-10756</v>
      </c>
      <c r="AZ1012" s="1055">
        <v>-11242</v>
      </c>
      <c r="BA1012" s="1055">
        <v>-11604</v>
      </c>
      <c r="BB1012" s="1055">
        <v>-12038</v>
      </c>
      <c r="BC1012" s="68">
        <f>BD1012</f>
        <v>0</v>
      </c>
      <c r="BD1012" s="1112"/>
      <c r="BE1012" s="68"/>
      <c r="BF1012" s="68"/>
      <c r="BG1012" s="68"/>
      <c r="BH1012" s="68">
        <f t="shared" si="2379"/>
        <v>0</v>
      </c>
      <c r="BI1012" s="1112"/>
      <c r="BJ1012" s="68"/>
      <c r="BK1012" s="68"/>
      <c r="BL1012" s="68"/>
      <c r="BM1012" s="68">
        <f>BN1012</f>
        <v>0</v>
      </c>
      <c r="BN1012" s="1112"/>
      <c r="BO1012" s="68"/>
      <c r="BP1012" s="68"/>
      <c r="BQ1012" s="68"/>
      <c r="BR1012" s="68">
        <f t="shared" si="2380"/>
        <v>0</v>
      </c>
      <c r="BS1012" s="1112"/>
      <c r="BT1012" s="68"/>
      <c r="BU1012" s="68"/>
      <c r="BV1012" s="68"/>
      <c r="BW1012" s="68"/>
      <c r="BX1012" s="1112"/>
      <c r="BY1012" s="588"/>
      <c r="BZ1012" s="68">
        <f>BY1012+INDEX(MO_CFS_Buyback,0,COLUMN())</f>
        <v>0</v>
      </c>
      <c r="CA1012" s="68">
        <f>BZ1012+INDEX(MO_CFS_Buyback,0,COLUMN())</f>
        <v>0</v>
      </c>
      <c r="CB1012" s="68">
        <f>CA1012+INDEX(MO_CFS_Buyback,0,COLUMN())</f>
        <v>0</v>
      </c>
      <c r="CC1012" s="1112">
        <f t="shared" si="2383"/>
        <v>0</v>
      </c>
      <c r="CD1012" s="68">
        <f>CC1012+INDEX(MO_CFS_Buyback,0,COLUMN())</f>
        <v>0</v>
      </c>
      <c r="CE1012" s="68">
        <f>CD1012+INDEX(MO_CFS_Buyback,0,COLUMN())</f>
        <v>0</v>
      </c>
      <c r="CF1012" s="68">
        <f>CE1012+INDEX(MO_CFS_Buyback,0,COLUMN())</f>
        <v>0</v>
      </c>
      <c r="CG1012" s="68">
        <f>CF1012+INDEX(MO_CFS_Buyback,0,COLUMN())</f>
        <v>0</v>
      </c>
      <c r="CH1012" s="1112">
        <f t="shared" si="2384"/>
        <v>0</v>
      </c>
      <c r="CI1012" s="1112">
        <f>CH1012+INDEX(MO_CFS_Buyback,0,COLUMN())</f>
        <v>0</v>
      </c>
      <c r="CJ1012" s="1112">
        <f>CI1012+INDEX(MO_CFS_Buyback,0,COLUMN())</f>
        <v>0</v>
      </c>
      <c r="CK1012" s="1112">
        <f>CJ1012+INDEX(MO_CFS_Buyback,0,COLUMN())</f>
        <v>0</v>
      </c>
      <c r="CL1012" s="155"/>
    </row>
    <row r="1013" spans="1:90" x14ac:dyDescent="0.3">
      <c r="A1013" s="99" t="s">
        <v>227</v>
      </c>
      <c r="B1013" s="146"/>
      <c r="C1013" s="1113">
        <v>3.8650000000000002</v>
      </c>
      <c r="D1013" s="1113">
        <v>12.172000000000001</v>
      </c>
      <c r="E1013" s="1113">
        <v>10.272</v>
      </c>
      <c r="F1013" s="1113">
        <v>10.614000000000001</v>
      </c>
      <c r="G1013" s="1055">
        <v>10.446999999999999</v>
      </c>
      <c r="H1013" s="1055">
        <v>11.159000000000001</v>
      </c>
      <c r="I1013" s="1055">
        <v>10.86</v>
      </c>
      <c r="J1013" s="68">
        <f>K1013</f>
        <v>9.9809999999999999</v>
      </c>
      <c r="K1013" s="1113">
        <v>9.9809999999999999</v>
      </c>
      <c r="L1013" s="1055">
        <v>10.292999999999999</v>
      </c>
      <c r="M1013" s="1055">
        <v>5.8970000000000002</v>
      </c>
      <c r="N1013" s="1055">
        <v>5.8620000000000001</v>
      </c>
      <c r="O1013" s="68">
        <f>P1013</f>
        <v>4.8769999999999998</v>
      </c>
      <c r="P1013" s="1113">
        <v>4.8769999999999998</v>
      </c>
      <c r="Q1013" s="1055">
        <v>6.3639999999999999</v>
      </c>
      <c r="R1013" s="1055">
        <v>4.3780000000000001</v>
      </c>
      <c r="S1013" s="1055">
        <v>9.7609999999999992</v>
      </c>
      <c r="T1013" s="68">
        <f>U1013</f>
        <v>8</v>
      </c>
      <c r="U1013" s="1113">
        <v>8</v>
      </c>
      <c r="V1013" s="1055">
        <v>8</v>
      </c>
      <c r="W1013" s="1055">
        <v>1</v>
      </c>
      <c r="X1013" s="1055">
        <v>2</v>
      </c>
      <c r="Y1013" s="68">
        <f t="shared" si="2376"/>
        <v>-4</v>
      </c>
      <c r="Z1013" s="1113">
        <v>-4</v>
      </c>
      <c r="AA1013" s="1055">
        <v>1</v>
      </c>
      <c r="AB1013" s="1055">
        <v>4</v>
      </c>
      <c r="AC1013" s="1055">
        <v>-4</v>
      </c>
      <c r="AD1013" s="1055">
        <v>-16</v>
      </c>
      <c r="AE1013" s="1112">
        <f t="shared" si="2377"/>
        <v>-16</v>
      </c>
      <c r="AF1013" s="1055">
        <v>-14</v>
      </c>
      <c r="AG1013" s="1055">
        <v>-12</v>
      </c>
      <c r="AH1013" s="1055">
        <v>-14</v>
      </c>
      <c r="AI1013" s="68">
        <f t="shared" si="2378"/>
        <v>-18</v>
      </c>
      <c r="AJ1013" s="1113">
        <v>-18</v>
      </c>
      <c r="AK1013" s="1055">
        <v>-23</v>
      </c>
      <c r="AL1013" s="1055">
        <v>-23</v>
      </c>
      <c r="AM1013" s="1055">
        <v>-24</v>
      </c>
      <c r="AN1013" s="68">
        <f>AO1013</f>
        <v>-12</v>
      </c>
      <c r="AO1013" s="1113">
        <v>-12</v>
      </c>
      <c r="AP1013" s="1055">
        <v>-2</v>
      </c>
      <c r="AQ1013" s="1055">
        <v>-1</v>
      </c>
      <c r="AR1013" s="1055">
        <v>-3</v>
      </c>
      <c r="AS1013" s="68">
        <f>AT1013</f>
        <v>1</v>
      </c>
      <c r="AT1013" s="1113">
        <v>1</v>
      </c>
      <c r="AU1013" s="1055">
        <v>-10</v>
      </c>
      <c r="AV1013" s="1055">
        <v>4</v>
      </c>
      <c r="AW1013" s="1055">
        <v>12</v>
      </c>
      <c r="AX1013" s="68">
        <f>AY1013</f>
        <v>19</v>
      </c>
      <c r="AY1013" s="1113">
        <v>19</v>
      </c>
      <c r="AZ1013" s="1055">
        <v>14</v>
      </c>
      <c r="BA1013" s="1055">
        <v>8</v>
      </c>
      <c r="BB1013" s="1055">
        <v>9</v>
      </c>
      <c r="BC1013" s="68">
        <f>BD1013</f>
        <v>-11</v>
      </c>
      <c r="BD1013" s="1113">
        <v>-11</v>
      </c>
      <c r="BE1013" s="1055">
        <v>-64</v>
      </c>
      <c r="BF1013" s="1055">
        <v>-90</v>
      </c>
      <c r="BG1013" s="1055">
        <v>-123</v>
      </c>
      <c r="BH1013" s="68">
        <f t="shared" si="2379"/>
        <v>-43</v>
      </c>
      <c r="BI1013" s="1113">
        <v>-43</v>
      </c>
      <c r="BJ1013" s="1055">
        <v>-50</v>
      </c>
      <c r="BK1013" s="1055">
        <v>-51</v>
      </c>
      <c r="BL1013" s="1055">
        <v>-88</v>
      </c>
      <c r="BM1013" s="68">
        <f>BN1013</f>
        <v>27</v>
      </c>
      <c r="BN1013" s="1113">
        <v>27</v>
      </c>
      <c r="BO1013" s="1055">
        <v>-109</v>
      </c>
      <c r="BP1013" s="1055">
        <v>56</v>
      </c>
      <c r="BQ1013" s="1055">
        <v>103</v>
      </c>
      <c r="BR1013" s="68">
        <f t="shared" si="2380"/>
        <v>28</v>
      </c>
      <c r="BS1013" s="1113">
        <v>28</v>
      </c>
      <c r="BT1013" s="1055">
        <v>186</v>
      </c>
      <c r="BU1013" s="1055">
        <v>170</v>
      </c>
      <c r="BV1013" s="1055">
        <v>339</v>
      </c>
      <c r="BW1013" s="68">
        <f t="shared" si="2382"/>
        <v>178</v>
      </c>
      <c r="BX1013" s="1113">
        <v>178</v>
      </c>
      <c r="BY1013" s="1057">
        <v>137</v>
      </c>
      <c r="BZ1013" s="68">
        <f>BY1013</f>
        <v>137</v>
      </c>
      <c r="CA1013" s="68">
        <f>BZ1013</f>
        <v>137</v>
      </c>
      <c r="CB1013" s="68">
        <f>CA1013</f>
        <v>137</v>
      </c>
      <c r="CC1013" s="1112">
        <f t="shared" si="2383"/>
        <v>137</v>
      </c>
      <c r="CD1013" s="68">
        <f>CC1013</f>
        <v>137</v>
      </c>
      <c r="CE1013" s="68">
        <f>CD1013</f>
        <v>137</v>
      </c>
      <c r="CF1013" s="68">
        <f>CE1013</f>
        <v>137</v>
      </c>
      <c r="CG1013" s="68">
        <f>CF1013</f>
        <v>137</v>
      </c>
      <c r="CH1013" s="1112">
        <f t="shared" si="2384"/>
        <v>137</v>
      </c>
      <c r="CI1013" s="1112">
        <f>CH1013</f>
        <v>137</v>
      </c>
      <c r="CJ1013" s="1112">
        <f>CI1013</f>
        <v>137</v>
      </c>
      <c r="CK1013" s="1112">
        <f>CJ1013</f>
        <v>137</v>
      </c>
      <c r="CL1013" s="155"/>
    </row>
    <row r="1014" spans="1:90" x14ac:dyDescent="0.3">
      <c r="A1014" s="99" t="s">
        <v>228</v>
      </c>
      <c r="B1014" s="146"/>
      <c r="C1014" s="1113">
        <v>1964.1690000000001</v>
      </c>
      <c r="D1014" s="1113">
        <v>1896.182</v>
      </c>
      <c r="E1014" s="1113">
        <v>2149.328</v>
      </c>
      <c r="F1014" s="1113">
        <v>2730.4180000000001</v>
      </c>
      <c r="G1014" s="1055">
        <v>2790.855</v>
      </c>
      <c r="H1014" s="1055">
        <v>2909.9009999999998</v>
      </c>
      <c r="I1014" s="1055">
        <v>3118.9810000000002</v>
      </c>
      <c r="J1014" s="68">
        <f>K1014</f>
        <v>3246.0880000000002</v>
      </c>
      <c r="K1014" s="1113">
        <v>3246.0880000000002</v>
      </c>
      <c r="L1014" s="1055">
        <v>3277.7130000000002</v>
      </c>
      <c r="M1014" s="1055">
        <v>3330.8150000000001</v>
      </c>
      <c r="N1014" s="1055">
        <v>3406.154</v>
      </c>
      <c r="O1014" s="68">
        <f>P1014</f>
        <v>3504.7420000000002</v>
      </c>
      <c r="P1014" s="1113">
        <v>3504.7420000000002</v>
      </c>
      <c r="Q1014" s="1055">
        <v>3594.527</v>
      </c>
      <c r="R1014" s="1055">
        <v>3675.0709999999999</v>
      </c>
      <c r="S1014" s="1055">
        <v>3801.9659999999999</v>
      </c>
      <c r="T1014" s="68">
        <f>U1014</f>
        <v>3949</v>
      </c>
      <c r="U1014" s="1113">
        <v>3949</v>
      </c>
      <c r="V1014" s="1055">
        <v>4037</v>
      </c>
      <c r="W1014" s="1055">
        <v>4010</v>
      </c>
      <c r="X1014" s="1055">
        <v>4204</v>
      </c>
      <c r="Y1014" s="68">
        <f t="shared" si="2376"/>
        <v>4350</v>
      </c>
      <c r="Z1014" s="1113">
        <v>4350</v>
      </c>
      <c r="AA1014" s="1055">
        <v>4484</v>
      </c>
      <c r="AB1014" s="1055">
        <v>4675</v>
      </c>
      <c r="AC1014" s="1055">
        <v>5529</v>
      </c>
      <c r="AD1014" s="1055">
        <v>6108</v>
      </c>
      <c r="AE1014" s="1112">
        <f t="shared" si="2377"/>
        <v>6108</v>
      </c>
      <c r="AF1014" s="1055">
        <v>6506</v>
      </c>
      <c r="AG1014" s="1055">
        <v>7006</v>
      </c>
      <c r="AH1014" s="1055">
        <v>7760</v>
      </c>
      <c r="AI1014" s="68">
        <f t="shared" si="2378"/>
        <v>8787</v>
      </c>
      <c r="AJ1014" s="1113">
        <v>8787</v>
      </c>
      <c r="AK1014" s="1055">
        <v>9948</v>
      </c>
      <c r="AL1014" s="1055">
        <v>10957</v>
      </c>
      <c r="AM1014" s="1055">
        <v>12096</v>
      </c>
      <c r="AN1014" s="68">
        <f>AO1014</f>
        <v>12565</v>
      </c>
      <c r="AO1014" s="1113">
        <v>12565</v>
      </c>
      <c r="AP1014" s="1062">
        <v>12862</v>
      </c>
      <c r="AQ1014" s="1062">
        <v>13317</v>
      </c>
      <c r="AR1014" s="1055">
        <v>14118</v>
      </c>
      <c r="AS1014" s="68">
        <f>AT1014</f>
        <v>14971</v>
      </c>
      <c r="AT1014" s="1113">
        <v>14971</v>
      </c>
      <c r="AU1014" s="1062">
        <v>15790</v>
      </c>
      <c r="AV1014" s="1062">
        <v>16313</v>
      </c>
      <c r="AW1014" s="1055">
        <v>17550</v>
      </c>
      <c r="AX1014" s="68">
        <f>AY1014</f>
        <v>18908</v>
      </c>
      <c r="AY1014" s="1113">
        <v>18908</v>
      </c>
      <c r="AZ1014" s="1062">
        <v>20721</v>
      </c>
      <c r="BA1014" s="1062">
        <v>22995</v>
      </c>
      <c r="BB1014" s="1055">
        <v>25359</v>
      </c>
      <c r="BC1014" s="68">
        <f>BD1014</f>
        <v>16235</v>
      </c>
      <c r="BD1014" s="1113">
        <v>16235</v>
      </c>
      <c r="BE1014" s="1062">
        <v>15758</v>
      </c>
      <c r="BF1014" s="1055">
        <v>12971</v>
      </c>
      <c r="BG1014" s="1055">
        <v>9905</v>
      </c>
      <c r="BH1014" s="68">
        <f t="shared" si="2379"/>
        <v>10171</v>
      </c>
      <c r="BI1014" s="1113">
        <v>10171</v>
      </c>
      <c r="BJ1014" s="1062">
        <v>12115</v>
      </c>
      <c r="BK1014" s="1055">
        <v>14921</v>
      </c>
      <c r="BL1014" s="1055">
        <v>20360</v>
      </c>
      <c r="BM1014" s="68">
        <f>BN1014</f>
        <v>29817</v>
      </c>
      <c r="BN1014" s="1113">
        <v>29817</v>
      </c>
      <c r="BO1014" s="1062">
        <v>36598</v>
      </c>
      <c r="BP1014" s="1055">
        <v>45961</v>
      </c>
      <c r="BQ1014" s="1055">
        <v>53950</v>
      </c>
      <c r="BR1014" s="68">
        <f>BS1014</f>
        <v>68038</v>
      </c>
      <c r="BS1014" s="1113">
        <v>68038</v>
      </c>
      <c r="BT1014" s="1062">
        <v>72158</v>
      </c>
      <c r="BU1014" s="1055">
        <v>88737</v>
      </c>
      <c r="BV1014" s="1055">
        <v>107908</v>
      </c>
      <c r="BW1014" s="68">
        <f t="shared" si="2382"/>
        <v>146973</v>
      </c>
      <c r="BX1014" s="1113">
        <v>146973</v>
      </c>
      <c r="BY1014" s="1063">
        <v>185038</v>
      </c>
      <c r="BZ1014" s="68">
        <f>BY1014+BZ902+BZ851</f>
        <v>228288.60568099481</v>
      </c>
      <c r="CA1014" s="68">
        <f>BZ1014+CA902+CA851</f>
        <v>274476.29393691075</v>
      </c>
      <c r="CB1014" s="68">
        <f>CA1014+CB902+CB851</f>
        <v>322025.02967314149</v>
      </c>
      <c r="CC1014" s="1112">
        <f t="shared" si="2383"/>
        <v>322025.02967314149</v>
      </c>
      <c r="CD1014" s="68">
        <f>CC1014+CD902+CD851</f>
        <v>376086.2382256831</v>
      </c>
      <c r="CE1014" s="68">
        <f>CD1014+CE902+CE851</f>
        <v>437337.73696154653</v>
      </c>
      <c r="CF1014" s="68">
        <f>CE1014+CF902+CF851</f>
        <v>498460.04965281975</v>
      </c>
      <c r="CG1014" s="68">
        <f>CF1014+CG902+CG851</f>
        <v>561467.50748979708</v>
      </c>
      <c r="CH1014" s="1112">
        <f t="shared" si="2384"/>
        <v>561467.50748979708</v>
      </c>
      <c r="CI1014" s="1112">
        <f>CH1014+CI902+CI851</f>
        <v>858572.08318324597</v>
      </c>
      <c r="CJ1014" s="1112">
        <f>CI1014+CJ902+CJ851</f>
        <v>1219339.6949883711</v>
      </c>
      <c r="CK1014" s="1112">
        <f>CJ1014+CK902+CK851</f>
        <v>1655472.52507219</v>
      </c>
      <c r="CL1014" s="155"/>
    </row>
    <row r="1015" spans="1:90" x14ac:dyDescent="0.3">
      <c r="A1015" s="59" t="s">
        <v>229</v>
      </c>
      <c r="B1015" s="607"/>
      <c r="C1015" s="1125">
        <f t="shared" ref="C1015:AH1015" si="2385">SUM(C1009:C1014)</f>
        <v>2394.652</v>
      </c>
      <c r="D1015" s="1125">
        <f t="shared" si="2385"/>
        <v>2665.1399999999994</v>
      </c>
      <c r="E1015" s="1125">
        <f t="shared" si="2385"/>
        <v>3181.4620000000004</v>
      </c>
      <c r="F1015" s="1125">
        <f t="shared" si="2385"/>
        <v>4145.7240000000002</v>
      </c>
      <c r="G1015" s="60">
        <f t="shared" si="2385"/>
        <v>4287.4279999999999</v>
      </c>
      <c r="H1015" s="60">
        <f t="shared" si="2385"/>
        <v>4453.665</v>
      </c>
      <c r="I1015" s="60">
        <f t="shared" si="2385"/>
        <v>4722.8459999999995</v>
      </c>
      <c r="J1015" s="60">
        <f t="shared" si="2385"/>
        <v>4827.7029999999995</v>
      </c>
      <c r="K1015" s="1125">
        <f t="shared" si="2385"/>
        <v>4827.7029999999995</v>
      </c>
      <c r="L1015" s="60">
        <f t="shared" si="2385"/>
        <v>4824.9359999999997</v>
      </c>
      <c r="M1015" s="60">
        <f t="shared" si="2385"/>
        <v>4172.1730000000007</v>
      </c>
      <c r="N1015" s="60">
        <f t="shared" si="2385"/>
        <v>4320.6469999999999</v>
      </c>
      <c r="O1015" s="60">
        <f t="shared" si="2385"/>
        <v>4456.3980000000001</v>
      </c>
      <c r="P1015" s="1125">
        <f t="shared" si="2385"/>
        <v>4456.3980000000001</v>
      </c>
      <c r="Q1015" s="60">
        <f t="shared" si="2385"/>
        <v>4166.9849999999997</v>
      </c>
      <c r="R1015" s="60">
        <f t="shared" si="2385"/>
        <v>4304.7860000000001</v>
      </c>
      <c r="S1015" s="60">
        <f t="shared" si="2385"/>
        <v>4204.5929999999998</v>
      </c>
      <c r="T1015" s="60">
        <f t="shared" si="2385"/>
        <v>4418</v>
      </c>
      <c r="U1015" s="1125">
        <f t="shared" si="2385"/>
        <v>4418</v>
      </c>
      <c r="V1015" s="60">
        <f t="shared" si="2385"/>
        <v>4556</v>
      </c>
      <c r="W1015" s="60">
        <f t="shared" si="2385"/>
        <v>4185</v>
      </c>
      <c r="X1015" s="60">
        <f t="shared" si="2385"/>
        <v>4465</v>
      </c>
      <c r="Y1015" s="60">
        <f t="shared" si="2385"/>
        <v>4469</v>
      </c>
      <c r="Z1015" s="1125">
        <f t="shared" si="2385"/>
        <v>4469</v>
      </c>
      <c r="AA1015" s="60">
        <f t="shared" si="2385"/>
        <v>4196</v>
      </c>
      <c r="AB1015" s="60">
        <f t="shared" si="2385"/>
        <v>4480</v>
      </c>
      <c r="AC1015" s="61">
        <f t="shared" si="2385"/>
        <v>5324</v>
      </c>
      <c r="AD1015" s="61">
        <f t="shared" si="2385"/>
        <v>5762</v>
      </c>
      <c r="AE1015" s="1124">
        <f t="shared" si="2385"/>
        <v>5762</v>
      </c>
      <c r="AF1015" s="61">
        <f t="shared" si="2385"/>
        <v>6132</v>
      </c>
      <c r="AG1015" s="60">
        <f t="shared" si="2385"/>
        <v>5973</v>
      </c>
      <c r="AH1015" s="60">
        <f t="shared" si="2385"/>
        <v>6352</v>
      </c>
      <c r="AI1015" s="61">
        <f t="shared" ref="AI1015:BN1015" si="2386">SUM(AI1009:AI1014)</f>
        <v>7471</v>
      </c>
      <c r="AJ1015" s="1124">
        <f t="shared" si="2386"/>
        <v>7471</v>
      </c>
      <c r="AK1015" s="60">
        <f t="shared" si="2386"/>
        <v>7717</v>
      </c>
      <c r="AL1015" s="60">
        <f t="shared" si="2386"/>
        <v>8795</v>
      </c>
      <c r="AM1015" s="60">
        <f t="shared" si="2386"/>
        <v>9475</v>
      </c>
      <c r="AN1015" s="61">
        <f t="shared" si="2386"/>
        <v>9342</v>
      </c>
      <c r="AO1015" s="1124">
        <f t="shared" si="2386"/>
        <v>9342</v>
      </c>
      <c r="AP1015" s="60">
        <f t="shared" si="2386"/>
        <v>9704</v>
      </c>
      <c r="AQ1015" s="60">
        <f t="shared" si="2386"/>
        <v>10336</v>
      </c>
      <c r="AR1015" s="60">
        <f t="shared" si="2386"/>
        <v>11214</v>
      </c>
      <c r="AS1015" s="61">
        <f t="shared" si="2386"/>
        <v>12204</v>
      </c>
      <c r="AT1015" s="1124">
        <f t="shared" si="2386"/>
        <v>12204</v>
      </c>
      <c r="AU1015" s="60">
        <f t="shared" si="2386"/>
        <v>13099</v>
      </c>
      <c r="AV1015" s="60">
        <f t="shared" si="2386"/>
        <v>13914</v>
      </c>
      <c r="AW1015" s="60">
        <f t="shared" si="2386"/>
        <v>15334</v>
      </c>
      <c r="AX1015" s="61">
        <f t="shared" si="2386"/>
        <v>16893</v>
      </c>
      <c r="AY1015" s="1124">
        <f t="shared" si="2386"/>
        <v>16893</v>
      </c>
      <c r="AZ1015" s="60">
        <f t="shared" si="2386"/>
        <v>18774</v>
      </c>
      <c r="BA1015" s="60">
        <f t="shared" si="2386"/>
        <v>21147</v>
      </c>
      <c r="BB1015" s="60">
        <f t="shared" si="2386"/>
        <v>23798</v>
      </c>
      <c r="BC1015" s="61">
        <f t="shared" si="2386"/>
        <v>26612</v>
      </c>
      <c r="BD1015" s="1124">
        <f t="shared" si="2386"/>
        <v>26612</v>
      </c>
      <c r="BE1015" s="60">
        <f t="shared" si="2386"/>
        <v>26320</v>
      </c>
      <c r="BF1015" s="61">
        <f t="shared" si="2386"/>
        <v>23851</v>
      </c>
      <c r="BG1015" s="60">
        <f t="shared" si="2386"/>
        <v>21349</v>
      </c>
      <c r="BH1015" s="61">
        <f t="shared" si="2386"/>
        <v>22101</v>
      </c>
      <c r="BI1015" s="1124">
        <f t="shared" si="2386"/>
        <v>22101</v>
      </c>
      <c r="BJ1015" s="60">
        <f t="shared" si="2386"/>
        <v>24520</v>
      </c>
      <c r="BK1015" s="61">
        <f t="shared" si="2386"/>
        <v>27501</v>
      </c>
      <c r="BL1015" s="60">
        <f t="shared" si="2386"/>
        <v>33265</v>
      </c>
      <c r="BM1015" s="61">
        <f t="shared" si="2386"/>
        <v>42978</v>
      </c>
      <c r="BN1015" s="1124">
        <f t="shared" si="2386"/>
        <v>42978</v>
      </c>
      <c r="BO1015" s="60">
        <f t="shared" ref="BO1015:BY1015" si="2387">SUM(BO1009:BO1014)</f>
        <v>49142</v>
      </c>
      <c r="BP1015" s="61">
        <f t="shared" si="2387"/>
        <v>58157</v>
      </c>
      <c r="BQ1015" s="61">
        <f t="shared" si="2387"/>
        <v>65899</v>
      </c>
      <c r="BR1015" s="61">
        <f t="shared" si="2387"/>
        <v>79327</v>
      </c>
      <c r="BS1015" s="1124">
        <f t="shared" si="2387"/>
        <v>79327</v>
      </c>
      <c r="BT1015" s="60">
        <f t="shared" si="2387"/>
        <v>83843</v>
      </c>
      <c r="BU1015" s="61">
        <f t="shared" si="2387"/>
        <v>100131</v>
      </c>
      <c r="BV1015" s="61">
        <f t="shared" si="2387"/>
        <v>118897</v>
      </c>
      <c r="BW1015" s="61">
        <f t="shared" si="2387"/>
        <v>157293</v>
      </c>
      <c r="BX1015" s="1124">
        <f t="shared" si="2387"/>
        <v>157293</v>
      </c>
      <c r="BY1015" s="895">
        <f t="shared" si="2387"/>
        <v>195474</v>
      </c>
      <c r="BZ1015" s="61">
        <f>SUM(BZ1009:BZ1014)</f>
        <v>238724.60568099481</v>
      </c>
      <c r="CA1015" s="61">
        <f>SUM(CA1009:CA1014)</f>
        <v>284912.29393691075</v>
      </c>
      <c r="CB1015" s="61">
        <f>SUM(CB1009:CB1014)</f>
        <v>332461.02967314149</v>
      </c>
      <c r="CC1015" s="1124">
        <f t="shared" si="2383"/>
        <v>332461.02967314149</v>
      </c>
      <c r="CD1015" s="61">
        <f>SUM(CD1009:CD1014)</f>
        <v>386522.2382256831</v>
      </c>
      <c r="CE1015" s="61">
        <f>SUM(CE1009:CE1014)</f>
        <v>447773.73696154653</v>
      </c>
      <c r="CF1015" s="61">
        <f>SUM(CF1009:CF1014)</f>
        <v>508896.04965281975</v>
      </c>
      <c r="CG1015" s="61">
        <f>SUM(CG1009:CG1014)</f>
        <v>571903.50748979708</v>
      </c>
      <c r="CH1015" s="1124">
        <f t="shared" si="2384"/>
        <v>571903.50748979708</v>
      </c>
      <c r="CI1015" s="1124">
        <f>SUM(CI1009:CI1014)</f>
        <v>869008.08318324597</v>
      </c>
      <c r="CJ1015" s="1124">
        <f>SUM(CJ1009:CJ1014)</f>
        <v>1229775.6949883711</v>
      </c>
      <c r="CK1015" s="1124">
        <f>SUM(CK1009:CK1014)</f>
        <v>1665908.52507219</v>
      </c>
      <c r="CL1015" s="155"/>
    </row>
    <row r="1016" spans="1:90" x14ac:dyDescent="0.3">
      <c r="A1016" s="67" t="s">
        <v>230</v>
      </c>
      <c r="B1016" s="146"/>
      <c r="C1016" s="1112"/>
      <c r="D1016" s="1112"/>
      <c r="E1016" s="1112"/>
      <c r="F1016" s="1112"/>
      <c r="G1016" s="68"/>
      <c r="H1016" s="68"/>
      <c r="I1016" s="68"/>
      <c r="J1016" s="68"/>
      <c r="K1016" s="1112"/>
      <c r="L1016" s="68"/>
      <c r="M1016" s="68"/>
      <c r="N1016" s="68"/>
      <c r="O1016" s="68"/>
      <c r="P1016" s="1112"/>
      <c r="Q1016" s="68"/>
      <c r="R1016" s="68"/>
      <c r="S1016" s="68"/>
      <c r="T1016" s="68"/>
      <c r="U1016" s="1112"/>
      <c r="V1016" s="68"/>
      <c r="W1016" s="68"/>
      <c r="X1016" s="68"/>
      <c r="Y1016" s="68"/>
      <c r="Z1016" s="1112"/>
      <c r="AA1016" s="68"/>
      <c r="AB1016" s="68"/>
      <c r="AC1016" s="68"/>
      <c r="AD1016" s="68"/>
      <c r="AE1016" s="1112"/>
      <c r="AF1016" s="68"/>
      <c r="AG1016" s="68"/>
      <c r="AH1016" s="68"/>
      <c r="AI1016" s="68"/>
      <c r="AJ1016" s="1112"/>
      <c r="AK1016" s="68"/>
      <c r="AL1016" s="68"/>
      <c r="AM1016" s="68"/>
      <c r="AN1016" s="68"/>
      <c r="AO1016" s="1112"/>
      <c r="AP1016" s="68"/>
      <c r="AQ1016" s="68"/>
      <c r="AR1016" s="68"/>
      <c r="AS1016" s="68"/>
      <c r="AT1016" s="1112"/>
      <c r="AU1016" s="68"/>
      <c r="AV1016" s="68"/>
      <c r="AW1016" s="68"/>
      <c r="AX1016" s="68"/>
      <c r="AY1016" s="1112"/>
      <c r="AZ1016" s="68"/>
      <c r="BA1016" s="68"/>
      <c r="BB1016" s="68"/>
      <c r="BC1016" s="68"/>
      <c r="BD1016" s="1112"/>
      <c r="BE1016" s="68"/>
      <c r="BF1016" s="27">
        <f>BE1016</f>
        <v>0</v>
      </c>
      <c r="BG1016" s="68">
        <f>BF1016</f>
        <v>0</v>
      </c>
      <c r="BH1016" s="68"/>
      <c r="BI1016" s="1112"/>
      <c r="BJ1016" s="68"/>
      <c r="BK1016" s="68"/>
      <c r="BL1016" s="68"/>
      <c r="BM1016" s="68"/>
      <c r="BN1016" s="1112"/>
      <c r="BO1016" s="68"/>
      <c r="BP1016" s="68"/>
      <c r="BQ1016" s="68"/>
      <c r="BR1016" s="68"/>
      <c r="BS1016" s="1112"/>
      <c r="BT1016" s="68"/>
      <c r="BU1016" s="68"/>
      <c r="BV1016" s="68"/>
      <c r="BW1016" s="68"/>
      <c r="BX1016" s="1112"/>
      <c r="BY1016" s="588"/>
      <c r="BZ1016" s="68">
        <f>BY1016</f>
        <v>0</v>
      </c>
      <c r="CA1016" s="68">
        <f>BZ1016</f>
        <v>0</v>
      </c>
      <c r="CB1016" s="68">
        <f>CA1016</f>
        <v>0</v>
      </c>
      <c r="CC1016" s="1112">
        <f t="shared" si="2383"/>
        <v>0</v>
      </c>
      <c r="CD1016" s="68">
        <f>CC1016</f>
        <v>0</v>
      </c>
      <c r="CE1016" s="68">
        <f>CD1016</f>
        <v>0</v>
      </c>
      <c r="CF1016" s="68">
        <f>CE1016</f>
        <v>0</v>
      </c>
      <c r="CG1016" s="68">
        <f>CF1016</f>
        <v>0</v>
      </c>
      <c r="CH1016" s="1112">
        <f t="shared" si="2384"/>
        <v>0</v>
      </c>
      <c r="CI1016" s="1112">
        <f>CH1016</f>
        <v>0</v>
      </c>
      <c r="CJ1016" s="1112">
        <f>CI1016</f>
        <v>0</v>
      </c>
      <c r="CK1016" s="1112">
        <f>CJ1016</f>
        <v>0</v>
      </c>
      <c r="CL1016" s="155"/>
    </row>
    <row r="1017" spans="1:90" x14ac:dyDescent="0.3">
      <c r="A1017" s="62" t="s">
        <v>231</v>
      </c>
      <c r="B1017" s="279"/>
      <c r="C1017" s="1134">
        <f t="shared" ref="C1017:AH1017" si="2388">C1015+C1006+C1016</f>
        <v>3350.7269999999999</v>
      </c>
      <c r="D1017" s="1134">
        <f t="shared" si="2388"/>
        <v>3585.9179999999992</v>
      </c>
      <c r="E1017" s="1134">
        <f t="shared" si="2388"/>
        <v>4495.246000000001</v>
      </c>
      <c r="F1017" s="1134">
        <f t="shared" si="2388"/>
        <v>5552.9279999999999</v>
      </c>
      <c r="G1017" s="28">
        <f t="shared" si="2388"/>
        <v>5708.1669999999995</v>
      </c>
      <c r="H1017" s="28">
        <f t="shared" si="2388"/>
        <v>5891.8810000000003</v>
      </c>
      <c r="I1017" s="28">
        <f t="shared" si="2388"/>
        <v>6075.1439999999993</v>
      </c>
      <c r="J1017" s="28">
        <f t="shared" si="2388"/>
        <v>6412.244999999999</v>
      </c>
      <c r="K1017" s="1134">
        <f t="shared" si="2388"/>
        <v>6412.244999999999</v>
      </c>
      <c r="L1017" s="28">
        <f t="shared" si="2388"/>
        <v>6279.527</v>
      </c>
      <c r="M1017" s="28">
        <f t="shared" si="2388"/>
        <v>5569.5920000000006</v>
      </c>
      <c r="N1017" s="28">
        <f t="shared" si="2388"/>
        <v>5711.3729999999996</v>
      </c>
      <c r="O1017" s="28">
        <f t="shared" si="2388"/>
        <v>7250.8940000000002</v>
      </c>
      <c r="P1017" s="1134">
        <f t="shared" si="2388"/>
        <v>7250.8940000000002</v>
      </c>
      <c r="Q1017" s="28">
        <f t="shared" si="2388"/>
        <v>6864.6629999999996</v>
      </c>
      <c r="R1017" s="28">
        <f t="shared" si="2388"/>
        <v>6933.7190000000001</v>
      </c>
      <c r="S1017" s="28">
        <f t="shared" si="2388"/>
        <v>6885.8689999999997</v>
      </c>
      <c r="T1017" s="28">
        <f t="shared" si="2388"/>
        <v>7201</v>
      </c>
      <c r="U1017" s="1134">
        <f t="shared" si="2388"/>
        <v>7201</v>
      </c>
      <c r="V1017" s="28">
        <f t="shared" si="2388"/>
        <v>7291</v>
      </c>
      <c r="W1017" s="28">
        <f t="shared" si="2388"/>
        <v>6979</v>
      </c>
      <c r="X1017" s="28">
        <f t="shared" si="2388"/>
        <v>7174</v>
      </c>
      <c r="Y1017" s="28">
        <f t="shared" si="2388"/>
        <v>7370</v>
      </c>
      <c r="Z1017" s="1134">
        <f t="shared" si="2388"/>
        <v>7370</v>
      </c>
      <c r="AA1017" s="28">
        <f t="shared" si="2388"/>
        <v>7108</v>
      </c>
      <c r="AB1017" s="28">
        <f t="shared" si="2388"/>
        <v>7461</v>
      </c>
      <c r="AC1017" s="63">
        <f t="shared" si="2388"/>
        <v>9612</v>
      </c>
      <c r="AD1017" s="63">
        <f t="shared" si="2388"/>
        <v>9841</v>
      </c>
      <c r="AE1017" s="1127">
        <f t="shared" si="2388"/>
        <v>9841</v>
      </c>
      <c r="AF1017" s="63">
        <f t="shared" si="2388"/>
        <v>9410</v>
      </c>
      <c r="AG1017" s="28">
        <f t="shared" si="2388"/>
        <v>9402</v>
      </c>
      <c r="AH1017" s="28">
        <f t="shared" si="2388"/>
        <v>9830</v>
      </c>
      <c r="AI1017" s="63">
        <f t="shared" ref="AI1017:AV1017" si="2389">AI1015+AI1006+AI1016</f>
        <v>11241</v>
      </c>
      <c r="AJ1017" s="1127">
        <f t="shared" si="2389"/>
        <v>11241</v>
      </c>
      <c r="AK1017" s="28">
        <f t="shared" si="2389"/>
        <v>11460</v>
      </c>
      <c r="AL1017" s="28">
        <f t="shared" si="2389"/>
        <v>12882</v>
      </c>
      <c r="AM1017" s="28">
        <f t="shared" si="2389"/>
        <v>13657</v>
      </c>
      <c r="AN1017" s="63">
        <f t="shared" si="2389"/>
        <v>13292</v>
      </c>
      <c r="AO1017" s="1127">
        <f t="shared" si="2389"/>
        <v>13292</v>
      </c>
      <c r="AP1017" s="28">
        <f t="shared" si="2389"/>
        <v>14021</v>
      </c>
      <c r="AQ1017" s="28">
        <f t="shared" si="2389"/>
        <v>14775</v>
      </c>
      <c r="AR1017" s="28">
        <f t="shared" si="2389"/>
        <v>15810</v>
      </c>
      <c r="AS1017" s="63">
        <f t="shared" si="2389"/>
        <v>17315</v>
      </c>
      <c r="AT1017" s="1127">
        <f t="shared" si="2389"/>
        <v>17315</v>
      </c>
      <c r="AU1017" s="28">
        <f t="shared" si="2389"/>
        <v>23254</v>
      </c>
      <c r="AV1017" s="28">
        <f t="shared" si="2389"/>
        <v>25180</v>
      </c>
      <c r="AW1017" s="28">
        <f t="shared" ref="AW1017:BB1017" si="2390">AW1015+AW1006+AW1016</f>
        <v>26881</v>
      </c>
      <c r="AX1017" s="63">
        <f t="shared" si="2390"/>
        <v>28791</v>
      </c>
      <c r="AY1017" s="1127">
        <f t="shared" si="2390"/>
        <v>28791</v>
      </c>
      <c r="AZ1017" s="28">
        <f t="shared" si="2390"/>
        <v>30796</v>
      </c>
      <c r="BA1017" s="28">
        <f t="shared" si="2390"/>
        <v>38650</v>
      </c>
      <c r="BB1017" s="28">
        <f t="shared" si="2390"/>
        <v>40632</v>
      </c>
      <c r="BC1017" s="63">
        <f t="shared" ref="BC1017:BF1017" si="2391">BC1015+BC1006+BC1016</f>
        <v>44187</v>
      </c>
      <c r="BD1017" s="1127">
        <f t="shared" si="2391"/>
        <v>44187</v>
      </c>
      <c r="BE1017" s="28">
        <f>BE1015+BE1006+BE1016</f>
        <v>45212</v>
      </c>
      <c r="BF1017" s="63">
        <f t="shared" si="2391"/>
        <v>43476</v>
      </c>
      <c r="BG1017" s="28">
        <f t="shared" ref="BG1017:BI1017" si="2392">BG1015+BG1006+BG1016</f>
        <v>40488</v>
      </c>
      <c r="BH1017" s="63">
        <f t="shared" si="2392"/>
        <v>41182</v>
      </c>
      <c r="BI1017" s="1127">
        <f t="shared" si="2392"/>
        <v>41182</v>
      </c>
      <c r="BJ1017" s="28">
        <f t="shared" ref="BJ1017:BN1017" si="2393">BJ1015+BJ1006+BJ1016</f>
        <v>44460</v>
      </c>
      <c r="BK1017" s="63">
        <f t="shared" si="2393"/>
        <v>49555</v>
      </c>
      <c r="BL1017" s="28">
        <f t="shared" si="2393"/>
        <v>54148</v>
      </c>
      <c r="BM1017" s="63">
        <f t="shared" si="2393"/>
        <v>65728</v>
      </c>
      <c r="BN1017" s="1127">
        <f t="shared" si="2393"/>
        <v>65728</v>
      </c>
      <c r="BO1017" s="28">
        <f t="shared" ref="BO1017:BS1017" si="2394">BO1015+BO1006+BO1016</f>
        <v>77072</v>
      </c>
      <c r="BP1017" s="63">
        <f t="shared" si="2394"/>
        <v>85227</v>
      </c>
      <c r="BQ1017" s="28">
        <f t="shared" si="2394"/>
        <v>96013</v>
      </c>
      <c r="BR1017" s="63">
        <f t="shared" si="2394"/>
        <v>111601</v>
      </c>
      <c r="BS1017" s="1127">
        <f t="shared" si="2394"/>
        <v>111601</v>
      </c>
      <c r="BT1017" s="28">
        <f t="shared" ref="BT1017:CK1017" si="2395">BT1015+BT1006+BT1016</f>
        <v>125254</v>
      </c>
      <c r="BU1017" s="63">
        <f t="shared" si="2395"/>
        <v>140740</v>
      </c>
      <c r="BV1017" s="28">
        <f t="shared" si="2395"/>
        <v>161148</v>
      </c>
      <c r="BW1017" s="63">
        <f t="shared" si="2395"/>
        <v>206803</v>
      </c>
      <c r="BX1017" s="1127">
        <f t="shared" si="2395"/>
        <v>206803</v>
      </c>
      <c r="BY1017" s="505">
        <f>BY1015+BY1006+BY1016</f>
        <v>259474</v>
      </c>
      <c r="BZ1017" s="63">
        <f t="shared" si="2395"/>
        <v>300877.89141353633</v>
      </c>
      <c r="CA1017" s="63">
        <f t="shared" si="2395"/>
        <v>347970.34406924044</v>
      </c>
      <c r="CB1017" s="63">
        <f t="shared" si="2395"/>
        <v>402834.72061589413</v>
      </c>
      <c r="CC1017" s="1127">
        <f t="shared" si="2395"/>
        <v>402834.72061589413</v>
      </c>
      <c r="CD1017" s="63">
        <f t="shared" si="2395"/>
        <v>471303.10495241859</v>
      </c>
      <c r="CE1017" s="63">
        <f t="shared" si="2395"/>
        <v>524731.56338101428</v>
      </c>
      <c r="CF1017" s="63">
        <f t="shared" si="2395"/>
        <v>584179.24727549357</v>
      </c>
      <c r="CG1017" s="63">
        <f t="shared" si="2395"/>
        <v>655395.14823345235</v>
      </c>
      <c r="CH1017" s="1127">
        <f t="shared" si="2395"/>
        <v>655395.14823345235</v>
      </c>
      <c r="CI1017" s="1127">
        <f t="shared" si="2395"/>
        <v>964519.27716638381</v>
      </c>
      <c r="CJ1017" s="1127">
        <f t="shared" si="2395"/>
        <v>1338199.904122964</v>
      </c>
      <c r="CK1017" s="1127">
        <f t="shared" si="2395"/>
        <v>1789530.6681089492</v>
      </c>
      <c r="CL1017" s="155"/>
    </row>
    <row r="1018" spans="1:90" x14ac:dyDescent="0.3">
      <c r="A1018" s="68"/>
      <c r="B1018" s="68"/>
      <c r="C1018" s="68"/>
      <c r="D1018" s="68"/>
      <c r="E1018" s="68"/>
      <c r="F1018" s="68"/>
      <c r="G1018" s="68"/>
      <c r="H1018" s="68"/>
      <c r="I1018" s="68"/>
      <c r="J1018" s="68"/>
      <c r="K1018" s="68"/>
      <c r="L1018" s="68"/>
      <c r="M1018" s="68"/>
      <c r="N1018" s="68"/>
      <c r="O1018" s="68"/>
      <c r="P1018" s="68"/>
      <c r="Q1018" s="68"/>
      <c r="R1018" s="68"/>
      <c r="S1018" s="68"/>
      <c r="T1018" s="68"/>
      <c r="U1018" s="68"/>
      <c r="V1018" s="68"/>
      <c r="W1018" s="68"/>
      <c r="X1018" s="68"/>
      <c r="Y1018" s="68"/>
      <c r="Z1018" s="68"/>
      <c r="AA1018" s="68"/>
      <c r="AB1018" s="68"/>
      <c r="AC1018" s="68"/>
      <c r="AD1018" s="68"/>
      <c r="AE1018" s="68"/>
      <c r="AF1018" s="68"/>
      <c r="AG1018" s="68"/>
      <c r="AH1018" s="68"/>
      <c r="AI1018" s="68"/>
      <c r="AJ1018" s="68"/>
      <c r="AK1018" s="68"/>
      <c r="AL1018" s="68"/>
      <c r="AM1018" s="68"/>
      <c r="AN1018" s="68"/>
      <c r="AO1018" s="68"/>
      <c r="AP1018" s="68"/>
      <c r="AQ1018" s="68"/>
      <c r="AR1018" s="68"/>
      <c r="AS1018" s="68"/>
      <c r="AT1018" s="68"/>
      <c r="AU1018" s="68"/>
      <c r="AV1018" s="68"/>
      <c r="AW1018" s="68"/>
      <c r="AX1018" s="68"/>
      <c r="AY1018" s="68"/>
      <c r="AZ1018" s="68"/>
      <c r="BA1018" s="68"/>
      <c r="BB1018" s="68"/>
      <c r="BC1018" s="68"/>
      <c r="BD1018" s="68"/>
      <c r="BE1018" s="68"/>
      <c r="BF1018" s="68"/>
      <c r="BG1018" s="68"/>
      <c r="BH1018" s="68"/>
      <c r="BI1018" s="68"/>
      <c r="BJ1018" s="68"/>
      <c r="BK1018" s="68"/>
      <c r="BL1018" s="68"/>
      <c r="BM1018" s="68"/>
      <c r="BN1018" s="68"/>
      <c r="BO1018" s="68"/>
      <c r="BP1018" s="68"/>
      <c r="BQ1018" s="68"/>
      <c r="BR1018" s="68"/>
      <c r="BS1018" s="68"/>
      <c r="BT1018" s="68"/>
      <c r="BU1018" s="68"/>
      <c r="BV1018" s="68"/>
      <c r="BW1018" s="68"/>
      <c r="BX1018" s="68"/>
      <c r="BY1018" s="588"/>
      <c r="BZ1018" s="68"/>
      <c r="CA1018" s="68"/>
      <c r="CB1018" s="68"/>
      <c r="CC1018" s="68"/>
      <c r="CD1018" s="68"/>
      <c r="CE1018" s="68"/>
      <c r="CF1018" s="68"/>
      <c r="CG1018" s="68"/>
      <c r="CH1018" s="68"/>
      <c r="CI1018" s="68"/>
      <c r="CJ1018" s="68"/>
      <c r="CK1018" s="68"/>
      <c r="CL1018" s="155"/>
    </row>
    <row r="1019" spans="1:90" x14ac:dyDescent="0.3">
      <c r="A1019" s="1009" t="s">
        <v>232</v>
      </c>
      <c r="B1019" s="1009"/>
      <c r="C1019" s="1010">
        <f t="shared" ref="C1019:AH1019" si="2396">ROUND(C990-C1017,6)</f>
        <v>0</v>
      </c>
      <c r="D1019" s="1010">
        <f t="shared" si="2396"/>
        <v>0</v>
      </c>
      <c r="E1019" s="1010">
        <f t="shared" si="2396"/>
        <v>0</v>
      </c>
      <c r="F1019" s="1010">
        <f t="shared" si="2396"/>
        <v>0</v>
      </c>
      <c r="G1019" s="1010">
        <f t="shared" si="2396"/>
        <v>0</v>
      </c>
      <c r="H1019" s="1010">
        <f t="shared" si="2396"/>
        <v>0</v>
      </c>
      <c r="I1019" s="1010">
        <f t="shared" si="2396"/>
        <v>0</v>
      </c>
      <c r="J1019" s="1010">
        <f t="shared" si="2396"/>
        <v>0</v>
      </c>
      <c r="K1019" s="1010">
        <f t="shared" si="2396"/>
        <v>0</v>
      </c>
      <c r="L1019" s="1010">
        <f t="shared" si="2396"/>
        <v>0</v>
      </c>
      <c r="M1019" s="1010">
        <f t="shared" si="2396"/>
        <v>0</v>
      </c>
      <c r="N1019" s="1010">
        <f t="shared" si="2396"/>
        <v>0</v>
      </c>
      <c r="O1019" s="1010">
        <f t="shared" si="2396"/>
        <v>0</v>
      </c>
      <c r="P1019" s="1010">
        <f t="shared" si="2396"/>
        <v>0</v>
      </c>
      <c r="Q1019" s="1010">
        <f t="shared" si="2396"/>
        <v>0</v>
      </c>
      <c r="R1019" s="1010">
        <f t="shared" si="2396"/>
        <v>0</v>
      </c>
      <c r="S1019" s="1010">
        <f t="shared" si="2396"/>
        <v>0</v>
      </c>
      <c r="T1019" s="1010">
        <f t="shared" si="2396"/>
        <v>0</v>
      </c>
      <c r="U1019" s="1010">
        <f t="shared" si="2396"/>
        <v>0</v>
      </c>
      <c r="V1019" s="1010">
        <f t="shared" si="2396"/>
        <v>0</v>
      </c>
      <c r="W1019" s="1010">
        <f t="shared" si="2396"/>
        <v>0</v>
      </c>
      <c r="X1019" s="1010">
        <f t="shared" si="2396"/>
        <v>0</v>
      </c>
      <c r="Y1019" s="1010">
        <f t="shared" si="2396"/>
        <v>0</v>
      </c>
      <c r="Z1019" s="1010">
        <f t="shared" si="2396"/>
        <v>0</v>
      </c>
      <c r="AA1019" s="1010">
        <f t="shared" si="2396"/>
        <v>0</v>
      </c>
      <c r="AB1019" s="1010">
        <f t="shared" si="2396"/>
        <v>0</v>
      </c>
      <c r="AC1019" s="1010">
        <f t="shared" si="2396"/>
        <v>0</v>
      </c>
      <c r="AD1019" s="1010">
        <f t="shared" si="2396"/>
        <v>0</v>
      </c>
      <c r="AE1019" s="1010">
        <f t="shared" si="2396"/>
        <v>0</v>
      </c>
      <c r="AF1019" s="1010">
        <f t="shared" si="2396"/>
        <v>0</v>
      </c>
      <c r="AG1019" s="1010">
        <f t="shared" si="2396"/>
        <v>0</v>
      </c>
      <c r="AH1019" s="1010">
        <f t="shared" si="2396"/>
        <v>0</v>
      </c>
      <c r="AI1019" s="1010">
        <f t="shared" ref="AI1019:AV1019" si="2397">ROUND(AI990-AI1017,6)</f>
        <v>0</v>
      </c>
      <c r="AJ1019" s="1010">
        <f t="shared" si="2397"/>
        <v>0</v>
      </c>
      <c r="AK1019" s="1010">
        <f t="shared" si="2397"/>
        <v>0</v>
      </c>
      <c r="AL1019" s="1010">
        <f t="shared" si="2397"/>
        <v>0</v>
      </c>
      <c r="AM1019" s="1010">
        <f t="shared" si="2397"/>
        <v>0</v>
      </c>
      <c r="AN1019" s="1010">
        <f t="shared" si="2397"/>
        <v>0</v>
      </c>
      <c r="AO1019" s="1010">
        <f t="shared" si="2397"/>
        <v>0</v>
      </c>
      <c r="AP1019" s="1010">
        <f t="shared" si="2397"/>
        <v>0</v>
      </c>
      <c r="AQ1019" s="1010">
        <f t="shared" si="2397"/>
        <v>0</v>
      </c>
      <c r="AR1019" s="1010">
        <f t="shared" si="2397"/>
        <v>0</v>
      </c>
      <c r="AS1019" s="1010">
        <f t="shared" si="2397"/>
        <v>0</v>
      </c>
      <c r="AT1019" s="1010">
        <f t="shared" si="2397"/>
        <v>0</v>
      </c>
      <c r="AU1019" s="1010">
        <f t="shared" si="2397"/>
        <v>0</v>
      </c>
      <c r="AV1019" s="1010">
        <f t="shared" si="2397"/>
        <v>0</v>
      </c>
      <c r="AW1019" s="1010">
        <f t="shared" ref="AW1019:BB1019" si="2398">ROUND(AW990-AW1017,6)</f>
        <v>0</v>
      </c>
      <c r="AX1019" s="1010">
        <f t="shared" si="2398"/>
        <v>0</v>
      </c>
      <c r="AY1019" s="1010">
        <f t="shared" si="2398"/>
        <v>0</v>
      </c>
      <c r="AZ1019" s="1010">
        <f t="shared" si="2398"/>
        <v>0</v>
      </c>
      <c r="BA1019" s="1010">
        <f t="shared" si="2398"/>
        <v>0</v>
      </c>
      <c r="BB1019" s="1010">
        <f t="shared" si="2398"/>
        <v>0</v>
      </c>
      <c r="BC1019" s="1010">
        <f t="shared" ref="BC1019:BF1019" si="2399">ROUND(BC990-BC1017,6)</f>
        <v>0</v>
      </c>
      <c r="BD1019" s="1010">
        <f t="shared" si="2399"/>
        <v>0</v>
      </c>
      <c r="BE1019" s="1010">
        <f>ROUND(BE990-BE1017,6)</f>
        <v>0</v>
      </c>
      <c r="BF1019" s="1010">
        <f t="shared" si="2399"/>
        <v>0</v>
      </c>
      <c r="BG1019" s="1010">
        <f t="shared" ref="BG1019:BI1019" si="2400">ROUND(BG990-BG1017,6)</f>
        <v>0</v>
      </c>
      <c r="BH1019" s="1010">
        <f t="shared" si="2400"/>
        <v>0</v>
      </c>
      <c r="BI1019" s="1010">
        <f t="shared" si="2400"/>
        <v>0</v>
      </c>
      <c r="BJ1019" s="1010">
        <f t="shared" ref="BJ1019:BN1019" si="2401">ROUND(BJ990-BJ1017,6)</f>
        <v>0</v>
      </c>
      <c r="BK1019" s="1010">
        <f t="shared" si="2401"/>
        <v>0</v>
      </c>
      <c r="BL1019" s="1010">
        <f t="shared" si="2401"/>
        <v>0</v>
      </c>
      <c r="BM1019" s="1010">
        <f t="shared" si="2401"/>
        <v>0</v>
      </c>
      <c r="BN1019" s="1010">
        <f t="shared" si="2401"/>
        <v>0</v>
      </c>
      <c r="BO1019" s="1010">
        <f t="shared" ref="BO1019:BS1019" si="2402">ROUND(BO990-BO1017,6)</f>
        <v>0</v>
      </c>
      <c r="BP1019" s="1010">
        <f t="shared" si="2402"/>
        <v>0</v>
      </c>
      <c r="BQ1019" s="1010">
        <f t="shared" si="2402"/>
        <v>0</v>
      </c>
      <c r="BR1019" s="1010">
        <f t="shared" si="2402"/>
        <v>0</v>
      </c>
      <c r="BS1019" s="1010">
        <f t="shared" si="2402"/>
        <v>0</v>
      </c>
      <c r="BT1019" s="1010">
        <f t="shared" ref="BT1019:CK1019" si="2403">ROUND(BT990-BT1017,6)</f>
        <v>0</v>
      </c>
      <c r="BU1019" s="1010">
        <f t="shared" si="2403"/>
        <v>0</v>
      </c>
      <c r="BV1019" s="1010">
        <f t="shared" si="2403"/>
        <v>0</v>
      </c>
      <c r="BW1019" s="1010">
        <f t="shared" si="2403"/>
        <v>0</v>
      </c>
      <c r="BX1019" s="1010">
        <f t="shared" si="2403"/>
        <v>0</v>
      </c>
      <c r="BY1019" s="1011">
        <f>ROUND(BY990-BY1017,6)</f>
        <v>0</v>
      </c>
      <c r="BZ1019" s="1010">
        <f t="shared" si="2403"/>
        <v>0</v>
      </c>
      <c r="CA1019" s="1010">
        <f t="shared" si="2403"/>
        <v>0</v>
      </c>
      <c r="CB1019" s="1010">
        <f t="shared" si="2403"/>
        <v>0</v>
      </c>
      <c r="CC1019" s="1010">
        <f t="shared" si="2403"/>
        <v>0</v>
      </c>
      <c r="CD1019" s="1010">
        <f t="shared" si="2403"/>
        <v>0</v>
      </c>
      <c r="CE1019" s="1010">
        <f t="shared" si="2403"/>
        <v>0</v>
      </c>
      <c r="CF1019" s="1010">
        <f t="shared" si="2403"/>
        <v>0</v>
      </c>
      <c r="CG1019" s="1010">
        <f t="shared" si="2403"/>
        <v>0</v>
      </c>
      <c r="CH1019" s="1010">
        <f t="shared" si="2403"/>
        <v>0</v>
      </c>
      <c r="CI1019" s="1010">
        <f t="shared" si="2403"/>
        <v>0</v>
      </c>
      <c r="CJ1019" s="1010">
        <f t="shared" si="2403"/>
        <v>0</v>
      </c>
      <c r="CK1019" s="1010">
        <f t="shared" si="2403"/>
        <v>0</v>
      </c>
      <c r="CL1019" s="155"/>
    </row>
    <row r="1020" spans="1:90" x14ac:dyDescent="0.3">
      <c r="A1020" s="93"/>
      <c r="B1020" s="93"/>
      <c r="C1020" s="93"/>
      <c r="D1020" s="93"/>
      <c r="E1020" s="93"/>
      <c r="F1020" s="93"/>
      <c r="G1020" s="93"/>
      <c r="H1020" s="93"/>
      <c r="I1020" s="93"/>
      <c r="J1020" s="93"/>
      <c r="K1020" s="93"/>
      <c r="L1020" s="93"/>
      <c r="M1020" s="93"/>
      <c r="N1020" s="93"/>
      <c r="O1020" s="93"/>
      <c r="P1020" s="93"/>
      <c r="Q1020" s="93"/>
      <c r="R1020" s="93"/>
      <c r="S1020" s="93"/>
      <c r="T1020" s="93"/>
      <c r="U1020" s="93"/>
      <c r="V1020" s="93"/>
      <c r="W1020" s="93"/>
      <c r="X1020" s="93"/>
      <c r="Y1020" s="93"/>
      <c r="Z1020" s="93"/>
      <c r="AA1020" s="93"/>
      <c r="AB1020" s="93"/>
      <c r="AC1020" s="93"/>
      <c r="AD1020" s="93"/>
      <c r="AE1020" s="93"/>
      <c r="AF1020" s="93"/>
      <c r="AG1020" s="93"/>
      <c r="AH1020" s="93"/>
      <c r="AI1020" s="93"/>
      <c r="AJ1020" s="93"/>
      <c r="AK1020" s="93"/>
      <c r="AL1020" s="93"/>
      <c r="AM1020" s="93"/>
      <c r="AN1020" s="93"/>
      <c r="AO1020" s="93"/>
      <c r="AP1020" s="93"/>
      <c r="AQ1020" s="93"/>
      <c r="AR1020" s="93"/>
      <c r="AS1020" s="93"/>
      <c r="AT1020" s="93"/>
      <c r="AU1020" s="93"/>
      <c r="AV1020" s="93"/>
      <c r="AW1020" s="93"/>
      <c r="AX1020" s="93"/>
      <c r="AY1020" s="93"/>
      <c r="AZ1020" s="93"/>
      <c r="BA1020" s="93"/>
      <c r="BB1020" s="93"/>
      <c r="BC1020" s="93"/>
      <c r="BD1020" s="93"/>
      <c r="BE1020" s="93"/>
      <c r="BF1020" s="93"/>
      <c r="BG1020" s="93"/>
      <c r="BH1020" s="93"/>
      <c r="BI1020" s="93"/>
      <c r="BJ1020" s="93"/>
      <c r="BK1020" s="93"/>
      <c r="BL1020" s="93"/>
      <c r="BM1020" s="93"/>
      <c r="BN1020" s="93"/>
      <c r="BO1020" s="93"/>
      <c r="BP1020" s="93"/>
      <c r="BQ1020" s="93"/>
      <c r="BR1020" s="93"/>
      <c r="BS1020" s="93"/>
      <c r="BT1020" s="93"/>
      <c r="BU1020" s="93"/>
      <c r="BV1020" s="93"/>
      <c r="BW1020" s="93"/>
      <c r="BX1020" s="93"/>
      <c r="BY1020" s="522"/>
      <c r="BZ1020" s="93"/>
      <c r="CA1020" s="93"/>
      <c r="CB1020" s="93"/>
      <c r="CC1020" s="93"/>
      <c r="CD1020" s="93"/>
      <c r="CE1020" s="93"/>
      <c r="CF1020" s="93"/>
      <c r="CG1020" s="93"/>
      <c r="CH1020" s="93"/>
      <c r="CI1020" s="93"/>
      <c r="CJ1020" s="93"/>
      <c r="CK1020" s="93"/>
      <c r="CL1020" s="155"/>
    </row>
    <row r="1021" spans="1:90" x14ac:dyDescent="0.3">
      <c r="A1021" s="95" t="s">
        <v>233</v>
      </c>
      <c r="B1021" s="95"/>
      <c r="C1021" s="95"/>
      <c r="D1021" s="95"/>
      <c r="E1021" s="95"/>
      <c r="F1021" s="95"/>
      <c r="G1021" s="95"/>
      <c r="H1021" s="95"/>
      <c r="I1021" s="95"/>
      <c r="J1021" s="95"/>
      <c r="K1021" s="95"/>
      <c r="L1021" s="95"/>
      <c r="M1021" s="95"/>
      <c r="N1021" s="95"/>
      <c r="O1021" s="95"/>
      <c r="P1021" s="95"/>
      <c r="Q1021" s="95"/>
      <c r="R1021" s="95"/>
      <c r="S1021" s="95"/>
      <c r="T1021" s="95"/>
      <c r="U1021" s="95"/>
      <c r="V1021" s="95"/>
      <c r="W1021" s="95"/>
      <c r="X1021" s="95"/>
      <c r="Y1021" s="95"/>
      <c r="Z1021" s="95"/>
      <c r="AA1021" s="95"/>
      <c r="AB1021" s="95"/>
      <c r="AC1021" s="95"/>
      <c r="AD1021" s="95"/>
      <c r="AE1021" s="95"/>
      <c r="AF1021" s="95"/>
      <c r="AG1021" s="95"/>
      <c r="AH1021" s="95"/>
      <c r="AI1021" s="95"/>
      <c r="AJ1021" s="95"/>
      <c r="AK1021" s="95"/>
      <c r="AL1021" s="95"/>
      <c r="AM1021" s="95"/>
      <c r="AN1021" s="95"/>
      <c r="AO1021" s="95"/>
      <c r="AP1021" s="95"/>
      <c r="AQ1021" s="95"/>
      <c r="AR1021" s="95"/>
      <c r="AS1021" s="95"/>
      <c r="AT1021" s="95"/>
      <c r="AU1021" s="95"/>
      <c r="AV1021" s="95"/>
      <c r="AW1021" s="95"/>
      <c r="AX1021" s="95"/>
      <c r="AY1021" s="95"/>
      <c r="AZ1021" s="95"/>
      <c r="BA1021" s="95"/>
      <c r="BB1021" s="95"/>
      <c r="BC1021" s="95"/>
      <c r="BD1021" s="95"/>
      <c r="BE1021" s="95"/>
      <c r="BF1021" s="95"/>
      <c r="BG1021" s="95"/>
      <c r="BH1021" s="95"/>
      <c r="BI1021" s="95"/>
      <c r="BJ1021" s="95"/>
      <c r="BK1021" s="95"/>
      <c r="BL1021" s="95"/>
      <c r="BM1021" s="95"/>
      <c r="BN1021" s="95"/>
      <c r="BO1021" s="95"/>
      <c r="BP1021" s="95"/>
      <c r="BQ1021" s="95"/>
      <c r="BR1021" s="95"/>
      <c r="BS1021" s="95"/>
      <c r="BT1021" s="95"/>
      <c r="BU1021" s="95"/>
      <c r="BV1021" s="95"/>
      <c r="BW1021" s="95"/>
      <c r="BX1021" s="95"/>
      <c r="BY1021" s="500"/>
      <c r="BZ1021" s="95"/>
      <c r="CA1021" s="95"/>
      <c r="CB1021" s="95"/>
      <c r="CC1021" s="95"/>
      <c r="CD1021" s="95"/>
      <c r="CE1021" s="95"/>
      <c r="CF1021" s="95"/>
      <c r="CG1021" s="95"/>
      <c r="CH1021" s="95"/>
      <c r="CI1021" s="95"/>
      <c r="CJ1021" s="95"/>
      <c r="CK1021" s="95"/>
      <c r="CL1021" s="155"/>
    </row>
    <row r="1022" spans="1:90" x14ac:dyDescent="0.3">
      <c r="A1022" s="27" t="s">
        <v>234</v>
      </c>
      <c r="B1022" s="563"/>
      <c r="C1022" s="1010">
        <f t="shared" ref="C1022:AH1022" si="2404">ROUND(C424-C851,6)</f>
        <v>0</v>
      </c>
      <c r="D1022" s="1010">
        <f t="shared" si="2404"/>
        <v>0</v>
      </c>
      <c r="E1022" s="1010">
        <f t="shared" si="2404"/>
        <v>0</v>
      </c>
      <c r="F1022" s="1010">
        <f t="shared" si="2404"/>
        <v>0</v>
      </c>
      <c r="G1022" s="1010">
        <f t="shared" si="2404"/>
        <v>0</v>
      </c>
      <c r="H1022" s="1010">
        <f t="shared" si="2404"/>
        <v>0</v>
      </c>
      <c r="I1022" s="1010">
        <f t="shared" si="2404"/>
        <v>0</v>
      </c>
      <c r="J1022" s="1010">
        <f t="shared" si="2404"/>
        <v>0</v>
      </c>
      <c r="K1022" s="1010">
        <f t="shared" si="2404"/>
        <v>0</v>
      </c>
      <c r="L1022" s="1010">
        <f t="shared" si="2404"/>
        <v>0</v>
      </c>
      <c r="M1022" s="1010">
        <f t="shared" si="2404"/>
        <v>0</v>
      </c>
      <c r="N1022" s="1010">
        <f t="shared" si="2404"/>
        <v>0</v>
      </c>
      <c r="O1022" s="1010">
        <f t="shared" si="2404"/>
        <v>0</v>
      </c>
      <c r="P1022" s="1010">
        <f t="shared" si="2404"/>
        <v>0</v>
      </c>
      <c r="Q1022" s="1010">
        <f t="shared" si="2404"/>
        <v>0.42499999999999999</v>
      </c>
      <c r="R1022" s="1010">
        <f t="shared" si="2404"/>
        <v>0</v>
      </c>
      <c r="S1022" s="1010">
        <f t="shared" si="2404"/>
        <v>1.9790000000000001</v>
      </c>
      <c r="T1022" s="1010">
        <f t="shared" si="2404"/>
        <v>-1</v>
      </c>
      <c r="U1022" s="1010">
        <f t="shared" si="2404"/>
        <v>-0.59599999999999997</v>
      </c>
      <c r="V1022" s="1010">
        <f t="shared" si="2404"/>
        <v>0</v>
      </c>
      <c r="W1022" s="1010">
        <f t="shared" si="2404"/>
        <v>0</v>
      </c>
      <c r="X1022" s="1010">
        <f t="shared" si="2404"/>
        <v>0</v>
      </c>
      <c r="Y1022" s="1010">
        <f t="shared" si="2404"/>
        <v>-1</v>
      </c>
      <c r="Z1022" s="1010">
        <f t="shared" si="2404"/>
        <v>1</v>
      </c>
      <c r="AA1022" s="1010">
        <f t="shared" si="2404"/>
        <v>0</v>
      </c>
      <c r="AB1022" s="1010">
        <f t="shared" si="2404"/>
        <v>0</v>
      </c>
      <c r="AC1022" s="1010">
        <f t="shared" si="2404"/>
        <v>-1</v>
      </c>
      <c r="AD1022" s="1010">
        <f t="shared" si="2404"/>
        <v>1</v>
      </c>
      <c r="AE1022" s="1010">
        <f t="shared" si="2404"/>
        <v>0</v>
      </c>
      <c r="AF1022" s="1010">
        <f t="shared" si="2404"/>
        <v>0</v>
      </c>
      <c r="AG1022" s="1010">
        <f t="shared" si="2404"/>
        <v>-1</v>
      </c>
      <c r="AH1022" s="1010">
        <f t="shared" si="2404"/>
        <v>1</v>
      </c>
      <c r="AI1022" s="1010">
        <f t="shared" ref="AI1022:BL1022" si="2405">ROUND(AI424-AI851,6)</f>
        <v>-1</v>
      </c>
      <c r="AJ1022" s="1010">
        <f t="shared" si="2405"/>
        <v>0</v>
      </c>
      <c r="AK1022" s="1010">
        <f t="shared" si="2405"/>
        <v>0</v>
      </c>
      <c r="AL1022" s="1010">
        <f t="shared" si="2405"/>
        <v>0</v>
      </c>
      <c r="AM1022" s="1010">
        <f t="shared" si="2405"/>
        <v>0</v>
      </c>
      <c r="AN1022" s="1010">
        <f t="shared" si="2405"/>
        <v>1</v>
      </c>
      <c r="AO1022" s="1010">
        <f t="shared" si="2405"/>
        <v>0</v>
      </c>
      <c r="AP1022" s="1010">
        <f t="shared" si="2405"/>
        <v>0</v>
      </c>
      <c r="AQ1022" s="1010">
        <f t="shared" si="2405"/>
        <v>-1</v>
      </c>
      <c r="AR1022" s="1010">
        <f t="shared" si="2405"/>
        <v>1</v>
      </c>
      <c r="AS1022" s="1010">
        <f t="shared" si="2405"/>
        <v>-1</v>
      </c>
      <c r="AT1022" s="1010">
        <f t="shared" si="2405"/>
        <v>0</v>
      </c>
      <c r="AU1022" s="1010">
        <f t="shared" si="2405"/>
        <v>0</v>
      </c>
      <c r="AV1022" s="1010">
        <f t="shared" si="2405"/>
        <v>0</v>
      </c>
      <c r="AW1022" s="1010">
        <f t="shared" si="2405"/>
        <v>0</v>
      </c>
      <c r="AX1022" s="1010">
        <f t="shared" si="2405"/>
        <v>0</v>
      </c>
      <c r="AY1022" s="1010">
        <f t="shared" si="2405"/>
        <v>0</v>
      </c>
      <c r="AZ1022" s="1010">
        <f t="shared" si="2405"/>
        <v>0</v>
      </c>
      <c r="BA1022" s="1010">
        <f t="shared" si="2405"/>
        <v>1</v>
      </c>
      <c r="BB1022" s="1010">
        <f t="shared" si="2405"/>
        <v>0</v>
      </c>
      <c r="BC1022" s="1010">
        <f t="shared" si="2405"/>
        <v>0</v>
      </c>
      <c r="BD1022" s="1010">
        <f t="shared" si="2405"/>
        <v>0</v>
      </c>
      <c r="BE1022" s="1010">
        <f t="shared" si="2405"/>
        <v>0</v>
      </c>
      <c r="BF1022" s="1010">
        <f t="shared" si="2405"/>
        <v>0</v>
      </c>
      <c r="BG1022" s="1010">
        <f t="shared" si="2405"/>
        <v>0</v>
      </c>
      <c r="BH1022" s="1010">
        <f t="shared" si="2405"/>
        <v>0</v>
      </c>
      <c r="BI1022" s="1010">
        <f t="shared" si="2405"/>
        <v>0</v>
      </c>
      <c r="BJ1022" s="1010">
        <f t="shared" si="2405"/>
        <v>0</v>
      </c>
      <c r="BK1022" s="1010">
        <f t="shared" si="2405"/>
        <v>-1</v>
      </c>
      <c r="BL1022" s="1010">
        <f t="shared" si="2405"/>
        <v>0</v>
      </c>
      <c r="BM1022" s="1010">
        <f t="shared" ref="BM1022:BN1022" si="2406">ROUND(BM424-BM851,6)</f>
        <v>0</v>
      </c>
      <c r="BN1022" s="1010">
        <f t="shared" si="2406"/>
        <v>0</v>
      </c>
      <c r="BO1022" s="1010">
        <f t="shared" ref="BO1022:BS1022" si="2407">ROUND(BO424-BO851,6)</f>
        <v>0</v>
      </c>
      <c r="BP1022" s="1010">
        <f t="shared" si="2407"/>
        <v>0</v>
      </c>
      <c r="BQ1022" s="1010">
        <f t="shared" si="2407"/>
        <v>0</v>
      </c>
      <c r="BR1022" s="1010">
        <f t="shared" si="2407"/>
        <v>0</v>
      </c>
      <c r="BS1022" s="1010">
        <f t="shared" si="2407"/>
        <v>0</v>
      </c>
      <c r="BT1022" s="1010">
        <f t="shared" ref="BT1022:CK1022" si="2408">ROUND(BT424-BT851,6)</f>
        <v>0</v>
      </c>
      <c r="BU1022" s="1010">
        <f t="shared" si="2408"/>
        <v>0</v>
      </c>
      <c r="BV1022" s="1010">
        <f t="shared" si="2408"/>
        <v>0</v>
      </c>
      <c r="BW1022" s="1010">
        <f t="shared" si="2408"/>
        <v>0</v>
      </c>
      <c r="BX1022" s="1010">
        <f t="shared" si="2408"/>
        <v>0</v>
      </c>
      <c r="BY1022" s="1011">
        <f>ROUND(BY424-BY851,6)</f>
        <v>0</v>
      </c>
      <c r="BZ1022" s="1010">
        <f t="shared" si="2408"/>
        <v>0</v>
      </c>
      <c r="CA1022" s="1010">
        <f t="shared" si="2408"/>
        <v>0</v>
      </c>
      <c r="CB1022" s="1010">
        <f t="shared" si="2408"/>
        <v>0</v>
      </c>
      <c r="CC1022" s="1010">
        <f t="shared" si="2408"/>
        <v>0</v>
      </c>
      <c r="CD1022" s="1010">
        <f t="shared" si="2408"/>
        <v>0</v>
      </c>
      <c r="CE1022" s="1010">
        <f t="shared" si="2408"/>
        <v>0</v>
      </c>
      <c r="CF1022" s="1010">
        <f t="shared" si="2408"/>
        <v>0</v>
      </c>
      <c r="CG1022" s="1010">
        <f t="shared" si="2408"/>
        <v>0</v>
      </c>
      <c r="CH1022" s="1010">
        <f t="shared" si="2408"/>
        <v>0</v>
      </c>
      <c r="CI1022" s="1010">
        <f t="shared" si="2408"/>
        <v>0</v>
      </c>
      <c r="CJ1022" s="1010">
        <f t="shared" si="2408"/>
        <v>0</v>
      </c>
      <c r="CK1022" s="1010">
        <f t="shared" si="2408"/>
        <v>0</v>
      </c>
      <c r="CL1022" s="155"/>
    </row>
    <row r="1023" spans="1:90" x14ac:dyDescent="0.3">
      <c r="A1023" s="228" t="s">
        <v>235</v>
      </c>
      <c r="B1023" s="626"/>
      <c r="C1023" s="387">
        <f t="shared" ref="C1023:AH1023" si="2409">IF(ISBLANK(INDEX(MO_IS_FirstRow,0,COLUMN())),0,ROUND(C315-C424,6))</f>
        <v>0</v>
      </c>
      <c r="D1023" s="387">
        <f t="shared" si="2409"/>
        <v>0</v>
      </c>
      <c r="E1023" s="387">
        <f t="shared" si="2409"/>
        <v>0</v>
      </c>
      <c r="F1023" s="387">
        <f t="shared" si="2409"/>
        <v>0</v>
      </c>
      <c r="G1023" s="387">
        <f t="shared" si="2409"/>
        <v>0</v>
      </c>
      <c r="H1023" s="387">
        <f t="shared" si="2409"/>
        <v>0</v>
      </c>
      <c r="I1023" s="387">
        <f t="shared" si="2409"/>
        <v>0</v>
      </c>
      <c r="J1023" s="387">
        <f t="shared" si="2409"/>
        <v>0</v>
      </c>
      <c r="K1023" s="387">
        <f t="shared" si="2409"/>
        <v>0</v>
      </c>
      <c r="L1023" s="387">
        <f t="shared" si="2409"/>
        <v>0</v>
      </c>
      <c r="M1023" s="387">
        <f t="shared" si="2409"/>
        <v>0</v>
      </c>
      <c r="N1023" s="387">
        <f t="shared" si="2409"/>
        <v>0</v>
      </c>
      <c r="O1023" s="387">
        <f t="shared" si="2409"/>
        <v>0</v>
      </c>
      <c r="P1023" s="387">
        <f t="shared" si="2409"/>
        <v>0</v>
      </c>
      <c r="Q1023" s="387">
        <f t="shared" si="2409"/>
        <v>-0.42499999999999999</v>
      </c>
      <c r="R1023" s="387">
        <f t="shared" si="2409"/>
        <v>0</v>
      </c>
      <c r="S1023" s="387">
        <f t="shared" si="2409"/>
        <v>-0.97899999999999998</v>
      </c>
      <c r="T1023" s="387">
        <f t="shared" si="2409"/>
        <v>0</v>
      </c>
      <c r="U1023" s="387">
        <f t="shared" si="2409"/>
        <v>0.59599999999999997</v>
      </c>
      <c r="V1023" s="387">
        <f t="shared" si="2409"/>
        <v>0</v>
      </c>
      <c r="W1023" s="387">
        <f t="shared" si="2409"/>
        <v>0</v>
      </c>
      <c r="X1023" s="387">
        <f t="shared" si="2409"/>
        <v>0</v>
      </c>
      <c r="Y1023" s="387">
        <f t="shared" si="2409"/>
        <v>0</v>
      </c>
      <c r="Z1023" s="387">
        <f t="shared" si="2409"/>
        <v>-1</v>
      </c>
      <c r="AA1023" s="387">
        <f t="shared" si="2409"/>
        <v>0</v>
      </c>
      <c r="AB1023" s="387">
        <f t="shared" si="2409"/>
        <v>0</v>
      </c>
      <c r="AC1023" s="387">
        <f t="shared" si="2409"/>
        <v>0</v>
      </c>
      <c r="AD1023" s="387">
        <f t="shared" si="2409"/>
        <v>0</v>
      </c>
      <c r="AE1023" s="387">
        <f t="shared" si="2409"/>
        <v>0</v>
      </c>
      <c r="AF1023" s="387">
        <f t="shared" si="2409"/>
        <v>0</v>
      </c>
      <c r="AG1023" s="387">
        <f t="shared" si="2409"/>
        <v>0</v>
      </c>
      <c r="AH1023" s="387">
        <f t="shared" si="2409"/>
        <v>0</v>
      </c>
      <c r="AI1023" s="387">
        <f t="shared" ref="AI1023:BL1023" si="2410">IF(ISBLANK(INDEX(MO_IS_FirstRow,0,COLUMN())),0,ROUND(AI315-AI424,6))</f>
        <v>0</v>
      </c>
      <c r="AJ1023" s="387">
        <f t="shared" si="2410"/>
        <v>0</v>
      </c>
      <c r="AK1023" s="387">
        <f t="shared" si="2410"/>
        <v>0</v>
      </c>
      <c r="AL1023" s="387">
        <f t="shared" si="2410"/>
        <v>0</v>
      </c>
      <c r="AM1023" s="387">
        <f t="shared" si="2410"/>
        <v>0</v>
      </c>
      <c r="AN1023" s="387">
        <f t="shared" si="2410"/>
        <v>0</v>
      </c>
      <c r="AO1023" s="387">
        <f t="shared" si="2410"/>
        <v>0</v>
      </c>
      <c r="AP1023" s="387">
        <f t="shared" si="2410"/>
        <v>0</v>
      </c>
      <c r="AQ1023" s="387">
        <f t="shared" si="2410"/>
        <v>0</v>
      </c>
      <c r="AR1023" s="387">
        <f t="shared" si="2410"/>
        <v>0</v>
      </c>
      <c r="AS1023" s="387">
        <f t="shared" si="2410"/>
        <v>0</v>
      </c>
      <c r="AT1023" s="387">
        <f t="shared" si="2410"/>
        <v>0</v>
      </c>
      <c r="AU1023" s="387">
        <f t="shared" si="2410"/>
        <v>0</v>
      </c>
      <c r="AV1023" s="387">
        <f t="shared" si="2410"/>
        <v>0</v>
      </c>
      <c r="AW1023" s="387">
        <f t="shared" si="2410"/>
        <v>0</v>
      </c>
      <c r="AX1023" s="387">
        <f t="shared" si="2410"/>
        <v>0</v>
      </c>
      <c r="AY1023" s="387">
        <f t="shared" si="2410"/>
        <v>0</v>
      </c>
      <c r="AZ1023" s="387">
        <f t="shared" si="2410"/>
        <v>0</v>
      </c>
      <c r="BA1023" s="387">
        <f t="shared" si="2410"/>
        <v>0</v>
      </c>
      <c r="BB1023" s="387">
        <f t="shared" si="2410"/>
        <v>0</v>
      </c>
      <c r="BC1023" s="387">
        <f t="shared" si="2410"/>
        <v>0</v>
      </c>
      <c r="BD1023" s="387">
        <f t="shared" si="2410"/>
        <v>0</v>
      </c>
      <c r="BE1023" s="387">
        <f t="shared" si="2410"/>
        <v>0</v>
      </c>
      <c r="BF1023" s="387">
        <f t="shared" si="2410"/>
        <v>0</v>
      </c>
      <c r="BG1023" s="387">
        <f t="shared" si="2410"/>
        <v>0</v>
      </c>
      <c r="BH1023" s="387">
        <f t="shared" si="2410"/>
        <v>0</v>
      </c>
      <c r="BI1023" s="387">
        <f t="shared" si="2410"/>
        <v>0</v>
      </c>
      <c r="BJ1023" s="387">
        <f t="shared" si="2410"/>
        <v>0</v>
      </c>
      <c r="BK1023" s="387">
        <f t="shared" si="2410"/>
        <v>0</v>
      </c>
      <c r="BL1023" s="387">
        <f t="shared" si="2410"/>
        <v>0</v>
      </c>
      <c r="BM1023" s="387">
        <f t="shared" ref="BM1023:BN1023" si="2411">IF(ISBLANK(INDEX(MO_IS_FirstRow,0,COLUMN())),0,ROUND(BM315-BM424,6))</f>
        <v>0</v>
      </c>
      <c r="BN1023" s="387">
        <f t="shared" si="2411"/>
        <v>0</v>
      </c>
      <c r="BO1023" s="387">
        <f t="shared" ref="BO1023:BS1023" si="2412">IF(ISBLANK(INDEX(MO_IS_FirstRow,0,COLUMN())),0,ROUND(BO315-BO424,6))</f>
        <v>0</v>
      </c>
      <c r="BP1023" s="387">
        <f t="shared" si="2412"/>
        <v>0</v>
      </c>
      <c r="BQ1023" s="387">
        <f t="shared" si="2412"/>
        <v>0</v>
      </c>
      <c r="BR1023" s="387">
        <f t="shared" si="2412"/>
        <v>0</v>
      </c>
      <c r="BS1023" s="387">
        <f t="shared" si="2412"/>
        <v>0</v>
      </c>
      <c r="BT1023" s="387">
        <f t="shared" ref="BT1023:CK1023" si="2413">IF(ISBLANK(INDEX(MO_IS_FirstRow,0,COLUMN())),0,ROUND(BT315-BT424,6))</f>
        <v>0</v>
      </c>
      <c r="BU1023" s="387">
        <f t="shared" si="2413"/>
        <v>0</v>
      </c>
      <c r="BV1023" s="387">
        <f t="shared" si="2413"/>
        <v>0</v>
      </c>
      <c r="BW1023" s="387">
        <f t="shared" si="2413"/>
        <v>0</v>
      </c>
      <c r="BX1023" s="387">
        <f t="shared" si="2413"/>
        <v>0</v>
      </c>
      <c r="BY1023" s="1018">
        <f>IF(ISBLANK(INDEX(MO_IS_FirstRow,0,COLUMN())),0,ROUND(BY315-BY424,6))</f>
        <v>0</v>
      </c>
      <c r="BZ1023" s="387">
        <f t="shared" si="2413"/>
        <v>0</v>
      </c>
      <c r="CA1023" s="387">
        <f t="shared" si="2413"/>
        <v>0</v>
      </c>
      <c r="CB1023" s="387">
        <f t="shared" si="2413"/>
        <v>0</v>
      </c>
      <c r="CC1023" s="387">
        <f t="shared" si="2413"/>
        <v>0</v>
      </c>
      <c r="CD1023" s="387">
        <f t="shared" si="2413"/>
        <v>0</v>
      </c>
      <c r="CE1023" s="387">
        <f t="shared" si="2413"/>
        <v>0</v>
      </c>
      <c r="CF1023" s="387">
        <f t="shared" si="2413"/>
        <v>0</v>
      </c>
      <c r="CG1023" s="387">
        <f t="shared" si="2413"/>
        <v>0</v>
      </c>
      <c r="CH1023" s="387">
        <f t="shared" si="2413"/>
        <v>0</v>
      </c>
      <c r="CI1023" s="387">
        <f t="shared" si="2413"/>
        <v>0</v>
      </c>
      <c r="CJ1023" s="387">
        <f t="shared" si="2413"/>
        <v>0</v>
      </c>
      <c r="CK1023" s="387">
        <f t="shared" si="2413"/>
        <v>0</v>
      </c>
      <c r="CL1023" s="155"/>
    </row>
    <row r="1024" spans="1:90" x14ac:dyDescent="0.3">
      <c r="A1024" s="228" t="s">
        <v>598</v>
      </c>
      <c r="B1024" s="626"/>
      <c r="C1024" s="387">
        <f t="shared" ref="C1024:AH1024" si="2414">IF(C734&lt;0,C734,0)</f>
        <v>0</v>
      </c>
      <c r="D1024" s="387">
        <f t="shared" si="2414"/>
        <v>0</v>
      </c>
      <c r="E1024" s="387">
        <f t="shared" si="2414"/>
        <v>0</v>
      </c>
      <c r="F1024" s="387">
        <f t="shared" si="2414"/>
        <v>0</v>
      </c>
      <c r="G1024" s="387">
        <f t="shared" si="2414"/>
        <v>0</v>
      </c>
      <c r="H1024" s="387">
        <f t="shared" si="2414"/>
        <v>0</v>
      </c>
      <c r="I1024" s="387">
        <f t="shared" si="2414"/>
        <v>0</v>
      </c>
      <c r="J1024" s="387">
        <f t="shared" si="2414"/>
        <v>0</v>
      </c>
      <c r="K1024" s="387">
        <f t="shared" si="2414"/>
        <v>0</v>
      </c>
      <c r="L1024" s="387">
        <f t="shared" si="2414"/>
        <v>0</v>
      </c>
      <c r="M1024" s="387">
        <f t="shared" si="2414"/>
        <v>0</v>
      </c>
      <c r="N1024" s="387">
        <f t="shared" si="2414"/>
        <v>0</v>
      </c>
      <c r="O1024" s="387">
        <f t="shared" si="2414"/>
        <v>0</v>
      </c>
      <c r="P1024" s="387">
        <f t="shared" si="2414"/>
        <v>0</v>
      </c>
      <c r="Q1024" s="387">
        <f t="shared" si="2414"/>
        <v>0</v>
      </c>
      <c r="R1024" s="387">
        <f t="shared" si="2414"/>
        <v>0</v>
      </c>
      <c r="S1024" s="387">
        <f t="shared" si="2414"/>
        <v>0</v>
      </c>
      <c r="T1024" s="387">
        <f t="shared" si="2414"/>
        <v>0</v>
      </c>
      <c r="U1024" s="387">
        <f t="shared" si="2414"/>
        <v>0</v>
      </c>
      <c r="V1024" s="387">
        <f t="shared" si="2414"/>
        <v>0</v>
      </c>
      <c r="W1024" s="387">
        <f t="shared" si="2414"/>
        <v>0</v>
      </c>
      <c r="X1024" s="387">
        <f t="shared" si="2414"/>
        <v>0</v>
      </c>
      <c r="Y1024" s="387">
        <f t="shared" si="2414"/>
        <v>0</v>
      </c>
      <c r="Z1024" s="387">
        <f t="shared" si="2414"/>
        <v>0</v>
      </c>
      <c r="AA1024" s="387">
        <f t="shared" si="2414"/>
        <v>0</v>
      </c>
      <c r="AB1024" s="387">
        <f t="shared" si="2414"/>
        <v>0</v>
      </c>
      <c r="AC1024" s="387">
        <f t="shared" si="2414"/>
        <v>0</v>
      </c>
      <c r="AD1024" s="387">
        <f t="shared" si="2414"/>
        <v>0</v>
      </c>
      <c r="AE1024" s="387">
        <f t="shared" si="2414"/>
        <v>0</v>
      </c>
      <c r="AF1024" s="387">
        <f t="shared" si="2414"/>
        <v>0</v>
      </c>
      <c r="AG1024" s="387">
        <f t="shared" si="2414"/>
        <v>0</v>
      </c>
      <c r="AH1024" s="387">
        <f t="shared" si="2414"/>
        <v>0</v>
      </c>
      <c r="AI1024" s="387">
        <f t="shared" ref="AI1024:BL1024" si="2415">IF(AI734&lt;0,AI734,0)</f>
        <v>0</v>
      </c>
      <c r="AJ1024" s="387">
        <f t="shared" si="2415"/>
        <v>0</v>
      </c>
      <c r="AK1024" s="387">
        <f t="shared" si="2415"/>
        <v>0</v>
      </c>
      <c r="AL1024" s="387">
        <f t="shared" si="2415"/>
        <v>0</v>
      </c>
      <c r="AM1024" s="387">
        <f t="shared" si="2415"/>
        <v>0</v>
      </c>
      <c r="AN1024" s="387">
        <f t="shared" si="2415"/>
        <v>0</v>
      </c>
      <c r="AO1024" s="387">
        <f t="shared" si="2415"/>
        <v>0</v>
      </c>
      <c r="AP1024" s="387">
        <f t="shared" si="2415"/>
        <v>0</v>
      </c>
      <c r="AQ1024" s="387">
        <f t="shared" si="2415"/>
        <v>0</v>
      </c>
      <c r="AR1024" s="387">
        <f t="shared" si="2415"/>
        <v>0</v>
      </c>
      <c r="AS1024" s="387">
        <f t="shared" si="2415"/>
        <v>0</v>
      </c>
      <c r="AT1024" s="387">
        <f t="shared" si="2415"/>
        <v>0</v>
      </c>
      <c r="AU1024" s="387">
        <f t="shared" si="2415"/>
        <v>0</v>
      </c>
      <c r="AV1024" s="387">
        <f t="shared" si="2415"/>
        <v>0</v>
      </c>
      <c r="AW1024" s="387">
        <f t="shared" si="2415"/>
        <v>0</v>
      </c>
      <c r="AX1024" s="387">
        <f t="shared" si="2415"/>
        <v>0</v>
      </c>
      <c r="AY1024" s="387">
        <f t="shared" si="2415"/>
        <v>0</v>
      </c>
      <c r="AZ1024" s="387">
        <f t="shared" si="2415"/>
        <v>0</v>
      </c>
      <c r="BA1024" s="387">
        <f t="shared" si="2415"/>
        <v>0</v>
      </c>
      <c r="BB1024" s="387">
        <f t="shared" si="2415"/>
        <v>0</v>
      </c>
      <c r="BC1024" s="387">
        <f t="shared" si="2415"/>
        <v>0</v>
      </c>
      <c r="BD1024" s="387">
        <f t="shared" si="2415"/>
        <v>0</v>
      </c>
      <c r="BE1024" s="387">
        <f t="shared" si="2415"/>
        <v>0</v>
      </c>
      <c r="BF1024" s="387">
        <f t="shared" si="2415"/>
        <v>0</v>
      </c>
      <c r="BG1024" s="387">
        <f t="shared" si="2415"/>
        <v>0</v>
      </c>
      <c r="BH1024" s="387">
        <f t="shared" si="2415"/>
        <v>0</v>
      </c>
      <c r="BI1024" s="387">
        <f t="shared" si="2415"/>
        <v>0</v>
      </c>
      <c r="BJ1024" s="387">
        <f t="shared" si="2415"/>
        <v>0</v>
      </c>
      <c r="BK1024" s="387">
        <f t="shared" si="2415"/>
        <v>0</v>
      </c>
      <c r="BL1024" s="387">
        <f t="shared" si="2415"/>
        <v>0</v>
      </c>
      <c r="BM1024" s="387">
        <f t="shared" ref="BM1024:BN1024" si="2416">IF(BM734&lt;0,BM734,0)</f>
        <v>0</v>
      </c>
      <c r="BN1024" s="387">
        <f t="shared" si="2416"/>
        <v>0</v>
      </c>
      <c r="BO1024" s="387">
        <f t="shared" ref="BO1024:BS1024" si="2417">IF(BO734&lt;0,BO734,0)</f>
        <v>0</v>
      </c>
      <c r="BP1024" s="387">
        <f t="shared" si="2417"/>
        <v>0</v>
      </c>
      <c r="BQ1024" s="387">
        <f t="shared" si="2417"/>
        <v>0</v>
      </c>
      <c r="BR1024" s="387">
        <f t="shared" si="2417"/>
        <v>0</v>
      </c>
      <c r="BS1024" s="387">
        <f t="shared" si="2417"/>
        <v>0</v>
      </c>
      <c r="BT1024" s="387">
        <f t="shared" ref="BT1024:CK1024" si="2418">IF(BT734&lt;0,BT734,0)</f>
        <v>0</v>
      </c>
      <c r="BU1024" s="387">
        <f t="shared" si="2418"/>
        <v>0</v>
      </c>
      <c r="BV1024" s="387">
        <f t="shared" si="2418"/>
        <v>0</v>
      </c>
      <c r="BW1024" s="387">
        <f t="shared" si="2418"/>
        <v>0</v>
      </c>
      <c r="BX1024" s="387">
        <f t="shared" si="2418"/>
        <v>0</v>
      </c>
      <c r="BY1024" s="1018">
        <f>IF(BY734&lt;0,BY734,0)</f>
        <v>0</v>
      </c>
      <c r="BZ1024" s="387">
        <f t="shared" si="2418"/>
        <v>0</v>
      </c>
      <c r="CA1024" s="387">
        <f t="shared" si="2418"/>
        <v>0</v>
      </c>
      <c r="CB1024" s="387">
        <f t="shared" si="2418"/>
        <v>0</v>
      </c>
      <c r="CC1024" s="387">
        <f t="shared" si="2418"/>
        <v>0</v>
      </c>
      <c r="CD1024" s="387">
        <f t="shared" si="2418"/>
        <v>0</v>
      </c>
      <c r="CE1024" s="387">
        <f t="shared" si="2418"/>
        <v>0</v>
      </c>
      <c r="CF1024" s="387">
        <f t="shared" si="2418"/>
        <v>0</v>
      </c>
      <c r="CG1024" s="387">
        <f t="shared" si="2418"/>
        <v>0</v>
      </c>
      <c r="CH1024" s="387">
        <f t="shared" si="2418"/>
        <v>0</v>
      </c>
      <c r="CI1024" s="387">
        <f t="shared" si="2418"/>
        <v>0</v>
      </c>
      <c r="CJ1024" s="387">
        <f t="shared" si="2418"/>
        <v>0</v>
      </c>
      <c r="CK1024" s="387">
        <f t="shared" si="2418"/>
        <v>0</v>
      </c>
      <c r="CL1024" s="155"/>
    </row>
    <row r="1025" spans="1:90" x14ac:dyDescent="0.3">
      <c r="A1025" s="228" t="s">
        <v>599</v>
      </c>
      <c r="B1025" s="626"/>
      <c r="C1025" s="387">
        <f t="shared" ref="C1025:AH1025" si="2419">IF(C737&lt;0,C737,0)</f>
        <v>0</v>
      </c>
      <c r="D1025" s="387">
        <f t="shared" si="2419"/>
        <v>0</v>
      </c>
      <c r="E1025" s="387">
        <f t="shared" si="2419"/>
        <v>0</v>
      </c>
      <c r="F1025" s="387">
        <f t="shared" si="2419"/>
        <v>0</v>
      </c>
      <c r="G1025" s="387">
        <f t="shared" si="2419"/>
        <v>0</v>
      </c>
      <c r="H1025" s="387">
        <f t="shared" si="2419"/>
        <v>0</v>
      </c>
      <c r="I1025" s="387">
        <f t="shared" si="2419"/>
        <v>0</v>
      </c>
      <c r="J1025" s="387">
        <f t="shared" si="2419"/>
        <v>0</v>
      </c>
      <c r="K1025" s="387">
        <f t="shared" si="2419"/>
        <v>0</v>
      </c>
      <c r="L1025" s="387">
        <f t="shared" si="2419"/>
        <v>0</v>
      </c>
      <c r="M1025" s="387">
        <f t="shared" si="2419"/>
        <v>0</v>
      </c>
      <c r="N1025" s="387">
        <f t="shared" si="2419"/>
        <v>0</v>
      </c>
      <c r="O1025" s="387">
        <f t="shared" si="2419"/>
        <v>0</v>
      </c>
      <c r="P1025" s="387">
        <f t="shared" si="2419"/>
        <v>0</v>
      </c>
      <c r="Q1025" s="387">
        <f t="shared" si="2419"/>
        <v>0</v>
      </c>
      <c r="R1025" s="387">
        <f t="shared" si="2419"/>
        <v>0</v>
      </c>
      <c r="S1025" s="387">
        <f t="shared" si="2419"/>
        <v>0</v>
      </c>
      <c r="T1025" s="387">
        <f t="shared" si="2419"/>
        <v>0</v>
      </c>
      <c r="U1025" s="387">
        <f t="shared" si="2419"/>
        <v>0</v>
      </c>
      <c r="V1025" s="387">
        <f t="shared" si="2419"/>
        <v>0</v>
      </c>
      <c r="W1025" s="387">
        <f t="shared" si="2419"/>
        <v>0</v>
      </c>
      <c r="X1025" s="387">
        <f t="shared" si="2419"/>
        <v>0</v>
      </c>
      <c r="Y1025" s="387">
        <f t="shared" si="2419"/>
        <v>0</v>
      </c>
      <c r="Z1025" s="387">
        <f t="shared" si="2419"/>
        <v>0</v>
      </c>
      <c r="AA1025" s="387">
        <f t="shared" si="2419"/>
        <v>0</v>
      </c>
      <c r="AB1025" s="387">
        <f t="shared" si="2419"/>
        <v>0</v>
      </c>
      <c r="AC1025" s="387">
        <f t="shared" si="2419"/>
        <v>0</v>
      </c>
      <c r="AD1025" s="387">
        <f t="shared" si="2419"/>
        <v>0</v>
      </c>
      <c r="AE1025" s="387">
        <f t="shared" si="2419"/>
        <v>0</v>
      </c>
      <c r="AF1025" s="387">
        <f t="shared" si="2419"/>
        <v>0</v>
      </c>
      <c r="AG1025" s="387">
        <f t="shared" si="2419"/>
        <v>0</v>
      </c>
      <c r="AH1025" s="387">
        <f t="shared" si="2419"/>
        <v>0</v>
      </c>
      <c r="AI1025" s="387">
        <f t="shared" ref="AI1025:BL1025" si="2420">IF(AI737&lt;0,AI737,0)</f>
        <v>0</v>
      </c>
      <c r="AJ1025" s="387">
        <f t="shared" si="2420"/>
        <v>0</v>
      </c>
      <c r="AK1025" s="387">
        <f t="shared" si="2420"/>
        <v>0</v>
      </c>
      <c r="AL1025" s="387">
        <f t="shared" si="2420"/>
        <v>0</v>
      </c>
      <c r="AM1025" s="387">
        <f t="shared" si="2420"/>
        <v>0</v>
      </c>
      <c r="AN1025" s="387">
        <f t="shared" si="2420"/>
        <v>0</v>
      </c>
      <c r="AO1025" s="387">
        <f t="shared" si="2420"/>
        <v>0</v>
      </c>
      <c r="AP1025" s="387">
        <f t="shared" si="2420"/>
        <v>0</v>
      </c>
      <c r="AQ1025" s="387">
        <f t="shared" si="2420"/>
        <v>0</v>
      </c>
      <c r="AR1025" s="387">
        <f t="shared" si="2420"/>
        <v>0</v>
      </c>
      <c r="AS1025" s="387">
        <f t="shared" si="2420"/>
        <v>0</v>
      </c>
      <c r="AT1025" s="387">
        <f t="shared" si="2420"/>
        <v>0</v>
      </c>
      <c r="AU1025" s="387">
        <f t="shared" si="2420"/>
        <v>0</v>
      </c>
      <c r="AV1025" s="387">
        <f t="shared" si="2420"/>
        <v>0</v>
      </c>
      <c r="AW1025" s="387">
        <f t="shared" si="2420"/>
        <v>0</v>
      </c>
      <c r="AX1025" s="387">
        <f t="shared" si="2420"/>
        <v>0</v>
      </c>
      <c r="AY1025" s="387">
        <f t="shared" si="2420"/>
        <v>0</v>
      </c>
      <c r="AZ1025" s="387">
        <f t="shared" si="2420"/>
        <v>0</v>
      </c>
      <c r="BA1025" s="387">
        <f t="shared" si="2420"/>
        <v>0</v>
      </c>
      <c r="BB1025" s="387">
        <f t="shared" si="2420"/>
        <v>0</v>
      </c>
      <c r="BC1025" s="387">
        <f t="shared" si="2420"/>
        <v>0</v>
      </c>
      <c r="BD1025" s="387">
        <f t="shared" si="2420"/>
        <v>0</v>
      </c>
      <c r="BE1025" s="387">
        <f t="shared" si="2420"/>
        <v>0</v>
      </c>
      <c r="BF1025" s="387">
        <f t="shared" si="2420"/>
        <v>0</v>
      </c>
      <c r="BG1025" s="387">
        <f t="shared" si="2420"/>
        <v>0</v>
      </c>
      <c r="BH1025" s="387">
        <f t="shared" si="2420"/>
        <v>0</v>
      </c>
      <c r="BI1025" s="387">
        <f t="shared" si="2420"/>
        <v>0</v>
      </c>
      <c r="BJ1025" s="387">
        <f t="shared" si="2420"/>
        <v>0</v>
      </c>
      <c r="BK1025" s="387">
        <f t="shared" si="2420"/>
        <v>0</v>
      </c>
      <c r="BL1025" s="387">
        <f t="shared" si="2420"/>
        <v>0</v>
      </c>
      <c r="BM1025" s="387">
        <f t="shared" ref="BM1025:BN1025" si="2421">IF(BM737&lt;0,BM737,0)</f>
        <v>0</v>
      </c>
      <c r="BN1025" s="387">
        <f t="shared" si="2421"/>
        <v>0</v>
      </c>
      <c r="BO1025" s="387">
        <f t="shared" ref="BO1025:BS1025" si="2422">IF(BO737&lt;0,BO737,0)</f>
        <v>0</v>
      </c>
      <c r="BP1025" s="387">
        <f t="shared" si="2422"/>
        <v>0</v>
      </c>
      <c r="BQ1025" s="387">
        <f t="shared" si="2422"/>
        <v>0</v>
      </c>
      <c r="BR1025" s="387">
        <f t="shared" si="2422"/>
        <v>0</v>
      </c>
      <c r="BS1025" s="387">
        <f t="shared" si="2422"/>
        <v>0</v>
      </c>
      <c r="BT1025" s="387">
        <f t="shared" ref="BT1025:CK1025" si="2423">IF(BT737&lt;0,BT737,0)</f>
        <v>0</v>
      </c>
      <c r="BU1025" s="387">
        <f t="shared" si="2423"/>
        <v>0</v>
      </c>
      <c r="BV1025" s="387">
        <f t="shared" si="2423"/>
        <v>0</v>
      </c>
      <c r="BW1025" s="387">
        <f t="shared" si="2423"/>
        <v>0</v>
      </c>
      <c r="BX1025" s="387">
        <f t="shared" si="2423"/>
        <v>0</v>
      </c>
      <c r="BY1025" s="1018">
        <f>IF(BY737&lt;0,BY737,0)</f>
        <v>0</v>
      </c>
      <c r="BZ1025" s="387">
        <f t="shared" si="2423"/>
        <v>0</v>
      </c>
      <c r="CA1025" s="387">
        <f t="shared" si="2423"/>
        <v>0</v>
      </c>
      <c r="CB1025" s="387">
        <f t="shared" si="2423"/>
        <v>0</v>
      </c>
      <c r="CC1025" s="387">
        <f t="shared" si="2423"/>
        <v>0</v>
      </c>
      <c r="CD1025" s="387">
        <f t="shared" si="2423"/>
        <v>0</v>
      </c>
      <c r="CE1025" s="387">
        <f t="shared" si="2423"/>
        <v>0</v>
      </c>
      <c r="CF1025" s="387">
        <f t="shared" si="2423"/>
        <v>0</v>
      </c>
      <c r="CG1025" s="387">
        <f t="shared" si="2423"/>
        <v>0</v>
      </c>
      <c r="CH1025" s="387">
        <f t="shared" si="2423"/>
        <v>0</v>
      </c>
      <c r="CI1025" s="387">
        <f t="shared" si="2423"/>
        <v>0</v>
      </c>
      <c r="CJ1025" s="387">
        <f t="shared" si="2423"/>
        <v>0</v>
      </c>
      <c r="CK1025" s="387">
        <f t="shared" si="2423"/>
        <v>0</v>
      </c>
      <c r="CL1025" s="155"/>
    </row>
    <row r="1026" spans="1:90" x14ac:dyDescent="0.3">
      <c r="A1026" s="228" t="s">
        <v>236</v>
      </c>
      <c r="B1026" s="626"/>
      <c r="C1026" s="387">
        <f t="shared" ref="C1026:AH1026" si="2424">IF(AND(ISBLANK(C7),ISBLANK(C11),ISBLANK(C22),ISBLANK(C26),ISBLANK(C30)),0,ROUND(C370-C34,6))</f>
        <v>0</v>
      </c>
      <c r="D1026" s="387">
        <f t="shared" si="2424"/>
        <v>0</v>
      </c>
      <c r="E1026" s="387">
        <f t="shared" si="2424"/>
        <v>0</v>
      </c>
      <c r="F1026" s="387">
        <f t="shared" si="2424"/>
        <v>0</v>
      </c>
      <c r="G1026" s="387">
        <f t="shared" si="2424"/>
        <v>0</v>
      </c>
      <c r="H1026" s="387">
        <f t="shared" si="2424"/>
        <v>0</v>
      </c>
      <c r="I1026" s="387">
        <f t="shared" si="2424"/>
        <v>0</v>
      </c>
      <c r="J1026" s="387">
        <f t="shared" si="2424"/>
        <v>0</v>
      </c>
      <c r="K1026" s="387">
        <f t="shared" si="2424"/>
        <v>0</v>
      </c>
      <c r="L1026" s="387">
        <f t="shared" si="2424"/>
        <v>0</v>
      </c>
      <c r="M1026" s="387">
        <f t="shared" si="2424"/>
        <v>0</v>
      </c>
      <c r="N1026" s="387">
        <f t="shared" si="2424"/>
        <v>0</v>
      </c>
      <c r="O1026" s="387">
        <f t="shared" si="2424"/>
        <v>0</v>
      </c>
      <c r="P1026" s="387">
        <f t="shared" si="2424"/>
        <v>0.16200000000000001</v>
      </c>
      <c r="Q1026" s="387">
        <f t="shared" si="2424"/>
        <v>0</v>
      </c>
      <c r="R1026" s="387">
        <f t="shared" si="2424"/>
        <v>0</v>
      </c>
      <c r="S1026" s="387">
        <f t="shared" si="2424"/>
        <v>0</v>
      </c>
      <c r="T1026" s="387">
        <f t="shared" si="2424"/>
        <v>0</v>
      </c>
      <c r="U1026" s="387">
        <f t="shared" si="2424"/>
        <v>0</v>
      </c>
      <c r="V1026" s="387">
        <f t="shared" si="2424"/>
        <v>0</v>
      </c>
      <c r="W1026" s="387">
        <f t="shared" si="2424"/>
        <v>0</v>
      </c>
      <c r="X1026" s="387">
        <f t="shared" si="2424"/>
        <v>0</v>
      </c>
      <c r="Y1026" s="387">
        <f t="shared" si="2424"/>
        <v>0</v>
      </c>
      <c r="Z1026" s="387">
        <f t="shared" si="2424"/>
        <v>0</v>
      </c>
      <c r="AA1026" s="387">
        <f t="shared" si="2424"/>
        <v>0</v>
      </c>
      <c r="AB1026" s="387">
        <f t="shared" si="2424"/>
        <v>0</v>
      </c>
      <c r="AC1026" s="387">
        <f t="shared" si="2424"/>
        <v>0</v>
      </c>
      <c r="AD1026" s="387">
        <f t="shared" si="2424"/>
        <v>0</v>
      </c>
      <c r="AE1026" s="387">
        <f t="shared" si="2424"/>
        <v>0</v>
      </c>
      <c r="AF1026" s="387">
        <f t="shared" si="2424"/>
        <v>0</v>
      </c>
      <c r="AG1026" s="387">
        <f t="shared" si="2424"/>
        <v>0</v>
      </c>
      <c r="AH1026" s="387">
        <f t="shared" si="2424"/>
        <v>0</v>
      </c>
      <c r="AI1026" s="387">
        <f t="shared" ref="AI1026:BN1026" si="2425">IF(AND(ISBLANK(AI7),ISBLANK(AI11),ISBLANK(AI22),ISBLANK(AI26),ISBLANK(AI30)),0,ROUND(AI370-AI34,6))</f>
        <v>0</v>
      </c>
      <c r="AJ1026" s="387">
        <f t="shared" si="2425"/>
        <v>0</v>
      </c>
      <c r="AK1026" s="387">
        <f t="shared" si="2425"/>
        <v>0</v>
      </c>
      <c r="AL1026" s="387">
        <f t="shared" si="2425"/>
        <v>0</v>
      </c>
      <c r="AM1026" s="387">
        <f t="shared" si="2425"/>
        <v>0</v>
      </c>
      <c r="AN1026" s="387">
        <f t="shared" si="2425"/>
        <v>0</v>
      </c>
      <c r="AO1026" s="387">
        <f t="shared" si="2425"/>
        <v>0</v>
      </c>
      <c r="AP1026" s="387">
        <f t="shared" si="2425"/>
        <v>0</v>
      </c>
      <c r="AQ1026" s="387">
        <f t="shared" si="2425"/>
        <v>0</v>
      </c>
      <c r="AR1026" s="387">
        <f t="shared" si="2425"/>
        <v>0</v>
      </c>
      <c r="AS1026" s="387">
        <f t="shared" si="2425"/>
        <v>0</v>
      </c>
      <c r="AT1026" s="387">
        <f t="shared" si="2425"/>
        <v>0</v>
      </c>
      <c r="AU1026" s="387">
        <f t="shared" si="2425"/>
        <v>0</v>
      </c>
      <c r="AV1026" s="387">
        <f t="shared" si="2425"/>
        <v>0</v>
      </c>
      <c r="AW1026" s="387">
        <f t="shared" si="2425"/>
        <v>0</v>
      </c>
      <c r="AX1026" s="387">
        <f t="shared" si="2425"/>
        <v>0</v>
      </c>
      <c r="AY1026" s="387">
        <f t="shared" si="2425"/>
        <v>0</v>
      </c>
      <c r="AZ1026" s="387">
        <f t="shared" si="2425"/>
        <v>0</v>
      </c>
      <c r="BA1026" s="387">
        <f t="shared" si="2425"/>
        <v>0</v>
      </c>
      <c r="BB1026" s="387">
        <f t="shared" si="2425"/>
        <v>0</v>
      </c>
      <c r="BC1026" s="387">
        <f t="shared" si="2425"/>
        <v>0</v>
      </c>
      <c r="BD1026" s="387">
        <f t="shared" si="2425"/>
        <v>0</v>
      </c>
      <c r="BE1026" s="387">
        <f t="shared" si="2425"/>
        <v>0</v>
      </c>
      <c r="BF1026" s="387">
        <f t="shared" si="2425"/>
        <v>0</v>
      </c>
      <c r="BG1026" s="387">
        <f t="shared" si="2425"/>
        <v>0</v>
      </c>
      <c r="BH1026" s="387">
        <f t="shared" si="2425"/>
        <v>0</v>
      </c>
      <c r="BI1026" s="387">
        <f t="shared" si="2425"/>
        <v>0</v>
      </c>
      <c r="BJ1026" s="387">
        <f t="shared" si="2425"/>
        <v>0</v>
      </c>
      <c r="BK1026" s="387">
        <f t="shared" si="2425"/>
        <v>0</v>
      </c>
      <c r="BL1026" s="387">
        <f t="shared" si="2425"/>
        <v>0</v>
      </c>
      <c r="BM1026" s="387">
        <f t="shared" si="2425"/>
        <v>0</v>
      </c>
      <c r="BN1026" s="387">
        <f t="shared" si="2425"/>
        <v>0</v>
      </c>
      <c r="BO1026" s="387">
        <f t="shared" ref="BO1026:CK1026" si="2426">IF(AND(ISBLANK(BO7),ISBLANK(BO11),ISBLANK(BO22),ISBLANK(BO26),ISBLANK(BO30)),0,ROUND(BO370-BO34,6))</f>
        <v>0</v>
      </c>
      <c r="BP1026" s="387">
        <f t="shared" si="2426"/>
        <v>0</v>
      </c>
      <c r="BQ1026" s="387">
        <f t="shared" si="2426"/>
        <v>0</v>
      </c>
      <c r="BR1026" s="387">
        <f t="shared" si="2426"/>
        <v>0</v>
      </c>
      <c r="BS1026" s="387">
        <f t="shared" si="2426"/>
        <v>0</v>
      </c>
      <c r="BT1026" s="387">
        <f t="shared" si="2426"/>
        <v>0</v>
      </c>
      <c r="BU1026" s="387">
        <f t="shared" si="2426"/>
        <v>0</v>
      </c>
      <c r="BV1026" s="387">
        <f t="shared" si="2426"/>
        <v>0</v>
      </c>
      <c r="BW1026" s="387">
        <f t="shared" si="2426"/>
        <v>0</v>
      </c>
      <c r="BX1026" s="387">
        <f t="shared" si="2426"/>
        <v>0</v>
      </c>
      <c r="BY1026" s="1018">
        <f>IF(AND(ISBLANK(BY7),ISBLANK(BY11),ISBLANK(BY22),ISBLANK(BY26),ISBLANK(BY30)),0,ROUND(BY370-BY34,6))</f>
        <v>0</v>
      </c>
      <c r="BZ1026" s="387">
        <f t="shared" si="2426"/>
        <v>0</v>
      </c>
      <c r="CA1026" s="387">
        <f t="shared" si="2426"/>
        <v>0</v>
      </c>
      <c r="CB1026" s="387">
        <f t="shared" si="2426"/>
        <v>0</v>
      </c>
      <c r="CC1026" s="387">
        <f t="shared" si="2426"/>
        <v>0</v>
      </c>
      <c r="CD1026" s="387">
        <f t="shared" si="2426"/>
        <v>0</v>
      </c>
      <c r="CE1026" s="387">
        <f t="shared" si="2426"/>
        <v>0</v>
      </c>
      <c r="CF1026" s="387">
        <f t="shared" si="2426"/>
        <v>0</v>
      </c>
      <c r="CG1026" s="387">
        <f t="shared" si="2426"/>
        <v>0</v>
      </c>
      <c r="CH1026" s="387">
        <f t="shared" si="2426"/>
        <v>0</v>
      </c>
      <c r="CI1026" s="387">
        <f t="shared" si="2426"/>
        <v>0</v>
      </c>
      <c r="CJ1026" s="387">
        <f t="shared" si="2426"/>
        <v>0</v>
      </c>
      <c r="CK1026" s="387">
        <f t="shared" si="2426"/>
        <v>0</v>
      </c>
      <c r="CL1026" s="155"/>
    </row>
    <row r="1027" spans="1:90" x14ac:dyDescent="0.3">
      <c r="A1027" s="228" t="s">
        <v>780</v>
      </c>
      <c r="B1027" s="626"/>
      <c r="C1027" s="387">
        <f t="shared" ref="C1027:AH1027" si="2427">ROUND(C106-C396,6)</f>
        <v>0</v>
      </c>
      <c r="D1027" s="387">
        <f t="shared" si="2427"/>
        <v>0</v>
      </c>
      <c r="E1027" s="387">
        <f t="shared" si="2427"/>
        <v>0</v>
      </c>
      <c r="F1027" s="387">
        <f t="shared" si="2427"/>
        <v>0</v>
      </c>
      <c r="G1027" s="387">
        <f t="shared" si="2427"/>
        <v>0</v>
      </c>
      <c r="H1027" s="387">
        <f t="shared" si="2427"/>
        <v>0</v>
      </c>
      <c r="I1027" s="387">
        <f t="shared" si="2427"/>
        <v>0</v>
      </c>
      <c r="J1027" s="387">
        <f t="shared" si="2427"/>
        <v>0</v>
      </c>
      <c r="K1027" s="387">
        <f t="shared" si="2427"/>
        <v>0</v>
      </c>
      <c r="L1027" s="387">
        <f t="shared" si="2427"/>
        <v>0</v>
      </c>
      <c r="M1027" s="387">
        <f t="shared" si="2427"/>
        <v>0</v>
      </c>
      <c r="N1027" s="387">
        <f t="shared" si="2427"/>
        <v>0</v>
      </c>
      <c r="O1027" s="387">
        <f t="shared" si="2427"/>
        <v>0</v>
      </c>
      <c r="P1027" s="387">
        <f t="shared" si="2427"/>
        <v>-0.16200000000000001</v>
      </c>
      <c r="Q1027" s="387">
        <f t="shared" si="2427"/>
        <v>0</v>
      </c>
      <c r="R1027" s="387">
        <f t="shared" si="2427"/>
        <v>0</v>
      </c>
      <c r="S1027" s="387">
        <f t="shared" si="2427"/>
        <v>0</v>
      </c>
      <c r="T1027" s="387">
        <f t="shared" si="2427"/>
        <v>0</v>
      </c>
      <c r="U1027" s="387">
        <f t="shared" si="2427"/>
        <v>0</v>
      </c>
      <c r="V1027" s="387">
        <f t="shared" si="2427"/>
        <v>0</v>
      </c>
      <c r="W1027" s="387">
        <f t="shared" si="2427"/>
        <v>0</v>
      </c>
      <c r="X1027" s="387">
        <f t="shared" si="2427"/>
        <v>0</v>
      </c>
      <c r="Y1027" s="387">
        <f t="shared" si="2427"/>
        <v>0</v>
      </c>
      <c r="Z1027" s="387">
        <f t="shared" si="2427"/>
        <v>0</v>
      </c>
      <c r="AA1027" s="387">
        <f t="shared" si="2427"/>
        <v>0</v>
      </c>
      <c r="AB1027" s="387">
        <f t="shared" si="2427"/>
        <v>0</v>
      </c>
      <c r="AC1027" s="387">
        <f t="shared" si="2427"/>
        <v>0</v>
      </c>
      <c r="AD1027" s="387">
        <f t="shared" si="2427"/>
        <v>0</v>
      </c>
      <c r="AE1027" s="387">
        <f t="shared" si="2427"/>
        <v>0</v>
      </c>
      <c r="AF1027" s="387">
        <f t="shared" si="2427"/>
        <v>0</v>
      </c>
      <c r="AG1027" s="387">
        <f t="shared" si="2427"/>
        <v>0</v>
      </c>
      <c r="AH1027" s="387">
        <f t="shared" si="2427"/>
        <v>0</v>
      </c>
      <c r="AI1027" s="387">
        <f t="shared" ref="AI1027:BN1027" si="2428">ROUND(AI106-AI396,6)</f>
        <v>0</v>
      </c>
      <c r="AJ1027" s="387">
        <f t="shared" si="2428"/>
        <v>0</v>
      </c>
      <c r="AK1027" s="387">
        <f t="shared" si="2428"/>
        <v>0</v>
      </c>
      <c r="AL1027" s="387">
        <f t="shared" si="2428"/>
        <v>0</v>
      </c>
      <c r="AM1027" s="387">
        <f t="shared" si="2428"/>
        <v>0</v>
      </c>
      <c r="AN1027" s="387">
        <f t="shared" si="2428"/>
        <v>0</v>
      </c>
      <c r="AO1027" s="387">
        <f t="shared" si="2428"/>
        <v>0</v>
      </c>
      <c r="AP1027" s="387">
        <f t="shared" si="2428"/>
        <v>0</v>
      </c>
      <c r="AQ1027" s="387">
        <f t="shared" si="2428"/>
        <v>0</v>
      </c>
      <c r="AR1027" s="387">
        <f t="shared" si="2428"/>
        <v>0</v>
      </c>
      <c r="AS1027" s="387">
        <f t="shared" si="2428"/>
        <v>0</v>
      </c>
      <c r="AT1027" s="387">
        <f t="shared" si="2428"/>
        <v>0</v>
      </c>
      <c r="AU1027" s="387">
        <f t="shared" si="2428"/>
        <v>0</v>
      </c>
      <c r="AV1027" s="387">
        <f t="shared" si="2428"/>
        <v>0</v>
      </c>
      <c r="AW1027" s="387">
        <f t="shared" si="2428"/>
        <v>0</v>
      </c>
      <c r="AX1027" s="387">
        <f t="shared" si="2428"/>
        <v>0</v>
      </c>
      <c r="AY1027" s="387">
        <f t="shared" si="2428"/>
        <v>0</v>
      </c>
      <c r="AZ1027" s="387">
        <f t="shared" si="2428"/>
        <v>0</v>
      </c>
      <c r="BA1027" s="387">
        <f t="shared" si="2428"/>
        <v>0</v>
      </c>
      <c r="BB1027" s="387">
        <f t="shared" si="2428"/>
        <v>0</v>
      </c>
      <c r="BC1027" s="387">
        <f t="shared" si="2428"/>
        <v>0</v>
      </c>
      <c r="BD1027" s="387">
        <f t="shared" si="2428"/>
        <v>0</v>
      </c>
      <c r="BE1027" s="387">
        <f t="shared" si="2428"/>
        <v>0</v>
      </c>
      <c r="BF1027" s="387">
        <f t="shared" si="2428"/>
        <v>0</v>
      </c>
      <c r="BG1027" s="387">
        <f t="shared" si="2428"/>
        <v>0</v>
      </c>
      <c r="BH1027" s="387">
        <f t="shared" si="2428"/>
        <v>0</v>
      </c>
      <c r="BI1027" s="387">
        <f t="shared" si="2428"/>
        <v>0</v>
      </c>
      <c r="BJ1027" s="387">
        <f t="shared" si="2428"/>
        <v>0</v>
      </c>
      <c r="BK1027" s="387">
        <f t="shared" si="2428"/>
        <v>0</v>
      </c>
      <c r="BL1027" s="387">
        <f t="shared" si="2428"/>
        <v>0</v>
      </c>
      <c r="BM1027" s="387">
        <f t="shared" si="2428"/>
        <v>0</v>
      </c>
      <c r="BN1027" s="387">
        <f t="shared" si="2428"/>
        <v>0</v>
      </c>
      <c r="BO1027" s="387">
        <f t="shared" ref="BO1027:CK1027" si="2429">ROUND(BO106-BO396,6)</f>
        <v>0</v>
      </c>
      <c r="BP1027" s="387">
        <f t="shared" si="2429"/>
        <v>0</v>
      </c>
      <c r="BQ1027" s="387">
        <f t="shared" si="2429"/>
        <v>0</v>
      </c>
      <c r="BR1027" s="387">
        <f t="shared" si="2429"/>
        <v>0</v>
      </c>
      <c r="BS1027" s="387">
        <f t="shared" si="2429"/>
        <v>0</v>
      </c>
      <c r="BT1027" s="387">
        <f t="shared" si="2429"/>
        <v>0</v>
      </c>
      <c r="BU1027" s="387">
        <f t="shared" si="2429"/>
        <v>0</v>
      </c>
      <c r="BV1027" s="387">
        <f t="shared" si="2429"/>
        <v>0</v>
      </c>
      <c r="BW1027" s="387">
        <f t="shared" si="2429"/>
        <v>0</v>
      </c>
      <c r="BX1027" s="387">
        <f t="shared" si="2429"/>
        <v>0</v>
      </c>
      <c r="BY1027" s="1018">
        <f>ROUND(BY106-BY396,6)</f>
        <v>0</v>
      </c>
      <c r="BZ1027" s="387">
        <f t="shared" si="2429"/>
        <v>0</v>
      </c>
      <c r="CA1027" s="387">
        <f t="shared" si="2429"/>
        <v>0</v>
      </c>
      <c r="CB1027" s="387">
        <f t="shared" si="2429"/>
        <v>0</v>
      </c>
      <c r="CC1027" s="387">
        <f t="shared" si="2429"/>
        <v>0</v>
      </c>
      <c r="CD1027" s="387">
        <f t="shared" si="2429"/>
        <v>0</v>
      </c>
      <c r="CE1027" s="387">
        <f t="shared" si="2429"/>
        <v>0</v>
      </c>
      <c r="CF1027" s="387">
        <f t="shared" si="2429"/>
        <v>0</v>
      </c>
      <c r="CG1027" s="387">
        <f t="shared" si="2429"/>
        <v>0</v>
      </c>
      <c r="CH1027" s="387">
        <f t="shared" si="2429"/>
        <v>0</v>
      </c>
      <c r="CI1027" s="387">
        <f t="shared" si="2429"/>
        <v>0</v>
      </c>
      <c r="CJ1027" s="387">
        <f t="shared" si="2429"/>
        <v>0</v>
      </c>
      <c r="CK1027" s="387">
        <f t="shared" si="2429"/>
        <v>0</v>
      </c>
      <c r="CL1027" s="155"/>
    </row>
    <row r="1028" spans="1:90" x14ac:dyDescent="0.3">
      <c r="A1028" s="228" t="s">
        <v>237</v>
      </c>
      <c r="B1028" s="626"/>
      <c r="C1028" s="387">
        <f>IF(ISBLANK(INDEX(MO_IS_FirstRow,0,COLUMN())),0,IF(OR(C913=B913,C913=D913),"CHECK",0))</f>
        <v>0</v>
      </c>
      <c r="D1028" s="387">
        <f>IF(ISBLANK(INDEX(MO_IS_FirstRow,0,COLUMN())),0,IF(OR(D913=C913,D913=E913),"CHECK",0))</f>
        <v>0</v>
      </c>
      <c r="E1028" s="387">
        <f>IF(ISBLANK(INDEX(MO_IS_FirstRow,0,COLUMN())),0,IF(OR(E913=D913,E913=F913),"CHECK",0))</f>
        <v>0</v>
      </c>
      <c r="F1028" s="387">
        <f>IF(ISBLANK(INDEX(MO_IS_FirstRow,0,COLUMN())),0,IF(OR(F913=E913,F913=K913),"CHECK",0))</f>
        <v>0</v>
      </c>
      <c r="G1028" s="387">
        <f>IF(ISBLANK(INDEX(MO_IS_FirstRow,0,COLUMN())),0,IF(OR(G913=B913,G913=H913,G913=E913),"CHECK",0))</f>
        <v>0</v>
      </c>
      <c r="H1028" s="387">
        <f>IF(ISBLANK(INDEX(MO_IS_FirstRow,0,COLUMN())),0,IF(OR(H913=C913,H913=I913,H913=G913),"CHECK",0))</f>
        <v>0</v>
      </c>
      <c r="I1028" s="387">
        <f>IF(ISBLANK(INDEX(MO_IS_FirstRow,0,COLUMN())),0,IF(OR(I913=D913,I913=J913,I913=H913),"CHECK",0))</f>
        <v>0</v>
      </c>
      <c r="J1028" s="387">
        <f>IF(ISBLANK(INDEX(MO_IS_FirstRow,0,COLUMN())),0,IF(OR(J913=E913,J913=K913,J913=I913),"CHECK",0))</f>
        <v>0</v>
      </c>
      <c r="K1028" s="387">
        <f>IF(ISBLANK(INDEX(MO_IS_FirstRow,0,COLUMN())),0,IF(K913=F913,"CHECK",0))</f>
        <v>0</v>
      </c>
      <c r="L1028" s="387">
        <f>IF(ISBLANK(INDEX(MO_IS_FirstRow,0,COLUMN())),0,IF(OR(L913=G913,L913=M913,L913=J913),"CHECK",0))</f>
        <v>0</v>
      </c>
      <c r="M1028" s="387">
        <f>IF(ISBLANK(INDEX(MO_IS_FirstRow,0,COLUMN())),0,IF(OR(M913=H913,M913=N913,M913=L913),"CHECK",0))</f>
        <v>0</v>
      </c>
      <c r="N1028" s="387">
        <f>IF(ISBLANK(INDEX(MO_IS_FirstRow,0,COLUMN())),0,IF(OR(N913=I913,N913=O913,N913=M913),"CHECK",0))</f>
        <v>0</v>
      </c>
      <c r="O1028" s="387">
        <f>IF(ISBLANK(INDEX(MO_IS_FirstRow,0,COLUMN())),0,IF(OR(O913=J913,O913=P913,O913=N913),"CHECK",0))</f>
        <v>0</v>
      </c>
      <c r="P1028" s="387">
        <f>IF(ISBLANK(INDEX(MO_IS_FirstRow,0,COLUMN())),0,IF(P913=K913,"CHECK",0))</f>
        <v>0</v>
      </c>
      <c r="Q1028" s="387">
        <f>IF(ISBLANK(INDEX(MO_IS_FirstRow,0,COLUMN())),0,IF(OR(Q913=L913,Q913=R913,Q913=O913),"CHECK",0))</f>
        <v>0</v>
      </c>
      <c r="R1028" s="387">
        <f>IF(ISBLANK(INDEX(MO_IS_FirstRow,0,COLUMN())),0,IF(OR(R913=M913,R913=S913,R913=Q913),"CHECK",0))</f>
        <v>0</v>
      </c>
      <c r="S1028" s="387">
        <f>IF(ISBLANK(INDEX(MO_IS_FirstRow,0,COLUMN())),0,IF(OR(S913=N913,S913=T913,S913=R913),"CHECK",0))</f>
        <v>0</v>
      </c>
      <c r="T1028" s="387">
        <f>IF(ISBLANK(INDEX(MO_IS_FirstRow,0,COLUMN())),0,IF(OR(T913=O913,T913=U913,T913=S913),"CHECK",0))</f>
        <v>0</v>
      </c>
      <c r="U1028" s="387">
        <f>IF(ISBLANK(INDEX(MO_IS_FirstRow,0,COLUMN())),0,IF(U913=P913,"CHECK",0))</f>
        <v>0</v>
      </c>
      <c r="V1028" s="387">
        <f>IF(ISBLANK(INDEX(MO_IS_FirstRow,0,COLUMN())),0,IF(OR(V913=Q913,V913=W913,V913=T913),"CHECK",0))</f>
        <v>0</v>
      </c>
      <c r="W1028" s="387">
        <f>IF(ISBLANK(INDEX(MO_IS_FirstRow,0,COLUMN())),0,IF(OR(W913=R913,W913=X913,W913=V913),"CHECK",0))</f>
        <v>0</v>
      </c>
      <c r="X1028" s="387">
        <f>IF(ISBLANK(INDEX(MO_IS_FirstRow,0,COLUMN())),0,IF(OR(X913=S913,X913=Y913,X913=W913),"CHECK",0))</f>
        <v>0</v>
      </c>
      <c r="Y1028" s="387">
        <f>IF(ISBLANK(INDEX(MO_IS_FirstRow,0,COLUMN())),0,IF(OR(Y913=T913,Y913=Z913,Y913=X913),"CHECK",0))</f>
        <v>0</v>
      </c>
      <c r="Z1028" s="387">
        <f>IF(ISBLANK(INDEX(MO_IS_FirstRow,0,COLUMN())),0,IF(Z913=U913,"CHECK",0))</f>
        <v>0</v>
      </c>
      <c r="AA1028" s="387">
        <f>IF(ISBLANK(INDEX(MO_IS_FirstRow,0,COLUMN())),0,IF(OR(AA913=V913,AA913=AB913,AA913=Y913),"CHECK",0))</f>
        <v>0</v>
      </c>
      <c r="AB1028" s="387">
        <f>IF(ISBLANK(INDEX(MO_IS_FirstRow,0,COLUMN())),0,IF(OR(AB913=W913,AB913=AC913,AB913=AA913),"CHECK",0))</f>
        <v>0</v>
      </c>
      <c r="AC1028" s="387">
        <f>IF(ISBLANK(INDEX(MO_IS_FirstRow,0,COLUMN())),0,IF(OR(AC913=X913,AC913=AD913,AC913=AB913),"CHECK",0))</f>
        <v>0</v>
      </c>
      <c r="AD1028" s="387">
        <f>IF(ISBLANK(INDEX(MO_IS_FirstRow,0,COLUMN())),0,IF(OR(AD913=Y913,AD913=AE913,AD913=AC913),"CHECK",0))</f>
        <v>0</v>
      </c>
      <c r="AE1028" s="387">
        <f>IF(ISBLANK(INDEX(MO_IS_FirstRow,0,COLUMN())),0,IF(AE913=Z913,"CHECK",0))</f>
        <v>0</v>
      </c>
      <c r="AF1028" s="387">
        <f>IF(ISBLANK(INDEX(MO_IS_FirstRow,0,COLUMN())),0,IF(OR(AF913=AA913,AF913=AG913,AF913=AD913),"CHECK",0))</f>
        <v>0</v>
      </c>
      <c r="AG1028" s="387">
        <f>IF(ISBLANK(INDEX(MO_IS_FirstRow,0,COLUMN())),0,IF(OR(AG913=AB913,AG913=AH913,AG913=AF913),"CHECK",0))</f>
        <v>0</v>
      </c>
      <c r="AH1028" s="387">
        <f>IF(ISBLANK(INDEX(MO_IS_FirstRow,0,COLUMN())),0,IF(OR(AH913=AC913,AH913=AI913,AH913=AG913),"CHECK",0))</f>
        <v>0</v>
      </c>
      <c r="AI1028" s="387">
        <f>IF(ISBLANK(INDEX(MO_IS_FirstRow,0,COLUMN())),0,IF(OR(AI913=AD913,AI913=AJ913,AI913=AH913),"CHECK",0))</f>
        <v>0</v>
      </c>
      <c r="AJ1028" s="387">
        <f>IF(ISBLANK(INDEX(MO_IS_FirstRow,0,COLUMN())),0,IF(AJ913=AE913,"CHECK",0))</f>
        <v>0</v>
      </c>
      <c r="AK1028" s="387">
        <f>IF(ISBLANK(INDEX(MO_IS_FirstRow,0,COLUMN())),0,IF(OR(AK913=AF913,AK913=AL913,AK913=AI913),"CHECK",0))</f>
        <v>0</v>
      </c>
      <c r="AL1028" s="387">
        <f>IF(ISBLANK(INDEX(MO_IS_FirstRow,0,COLUMN())),0,IF(OR(AL913=AG913,AL913=AM913,AL913=AK913),"CHECK",0))</f>
        <v>0</v>
      </c>
      <c r="AM1028" s="387">
        <f>IF(ISBLANK(INDEX(MO_IS_FirstRow,0,COLUMN())),0,IF(OR(AM913=AH913,AM913=AN913,AM913=AL913),"CHECK",0))</f>
        <v>0</v>
      </c>
      <c r="AN1028" s="387">
        <f>IF(ISBLANK(INDEX(MO_IS_FirstRow,0,COLUMN())),0,IF(OR(AN913=AI913,AN913=AO913,AN913=AM913),"CHECK",0))</f>
        <v>0</v>
      </c>
      <c r="AO1028" s="387">
        <f>IF(ISBLANK(INDEX(MO_IS_FirstRow,0,COLUMN())),0,IF(AO913=AJ913,"CHECK",0))</f>
        <v>0</v>
      </c>
      <c r="AP1028" s="387">
        <f>IF(ISBLANK(INDEX(MO_IS_FirstRow,0,COLUMN())),0,IF(OR(AP913=AK913,AP913=AQ913,AP913=AN913),"CHECK",0))</f>
        <v>0</v>
      </c>
      <c r="AQ1028" s="387">
        <f>IF(ISBLANK(INDEX(MO_IS_FirstRow,0,COLUMN())),0,IF(OR(AQ913=AL913,AQ913=AR913,AQ913=AP913),"CHECK",0))</f>
        <v>0</v>
      </c>
      <c r="AR1028" s="387">
        <f>IF(ISBLANK(INDEX(MO_IS_FirstRow,0,COLUMN())),0,IF(OR(AR913=AM913,AR913=AS913,AR913=AQ913),"CHECK",0))</f>
        <v>0</v>
      </c>
      <c r="AS1028" s="387">
        <f>IF(ISBLANK(INDEX(MO_IS_FirstRow,0,COLUMN())),0,IF(OR(AS913=AN913,AS913=AT913,AS913=AR913),"CHECK",0))</f>
        <v>0</v>
      </c>
      <c r="AT1028" s="387">
        <f>IF(ISBLANK(INDEX(MO_IS_FirstRow,0,COLUMN())),0,IF(AT913=AO913,"CHECK",0))</f>
        <v>0</v>
      </c>
      <c r="AU1028" s="387">
        <f>IF(ISBLANK(INDEX(MO_IS_FirstRow,0,COLUMN())),0,IF(OR(AU913=AP913,AU913=AV913,AU913=AS913),"CHECK",0))</f>
        <v>0</v>
      </c>
      <c r="AV1028" s="387">
        <f>IF(ISBLANK(INDEX(MO_IS_FirstRow,0,COLUMN())),0,IF(OR(AV913=AQ913,AV913=AW913,AV913=AU913),"CHECK",0))</f>
        <v>0</v>
      </c>
      <c r="AW1028" s="387">
        <f>IF(ISBLANK(INDEX(MO_IS_FirstRow,0,COLUMN())),0,IF(OR(AW913=AR913,AW913=AX913,AW913=AV913),"CHECK",0))</f>
        <v>0</v>
      </c>
      <c r="AX1028" s="387">
        <f>IF(ISBLANK(INDEX(MO_IS_FirstRow,0,COLUMN())),0,IF(OR(AX913=AS913,AX913=AY913,AX913=AW913),"CHECK",0))</f>
        <v>0</v>
      </c>
      <c r="AY1028" s="387">
        <f>IF(ISBLANK(INDEX(MO_IS_FirstRow,0,COLUMN())),0,IF(AY913=AT913,"CHECK",0))</f>
        <v>0</v>
      </c>
      <c r="AZ1028" s="387">
        <f>IF(ISBLANK(INDEX(MO_IS_FirstRow,0,COLUMN())),0,IF(OR(AZ913=AU913,AZ913=BA913,AZ913=AX913),"CHECK",0))</f>
        <v>0</v>
      </c>
      <c r="BA1028" s="387">
        <f>IF(ISBLANK(INDEX(MO_IS_FirstRow,0,COLUMN())),0,IF(OR(BA913=AV913,BA913=BB913,BA913=AZ913),"CHECK",0))</f>
        <v>0</v>
      </c>
      <c r="BB1028" s="387">
        <f>IF(ISBLANK(INDEX(MO_IS_FirstRow,0,COLUMN())),0,IF(OR(BB913=AW913,BB913=BC913,BB913=BA913),"CHECK",0))</f>
        <v>0</v>
      </c>
      <c r="BC1028" s="387">
        <f>IF(ISBLANK(INDEX(MO_IS_FirstRow,0,COLUMN())),0,IF(OR(BC913=AX913,BC913=BD913,BC913=BB913),"CHECK",0))</f>
        <v>0</v>
      </c>
      <c r="BD1028" s="387">
        <f>IF(ISBLANK(INDEX(MO_IS_FirstRow,0,COLUMN())),0,IF(BD913=AY913,"CHECK",0))</f>
        <v>0</v>
      </c>
      <c r="BE1028" s="387">
        <f>IF(ISBLANK(INDEX(MO_IS_FirstRow,0,COLUMN())),0,IF(OR(BE913=AZ913,BE913=BF913,BE913=BC913),"CHECK",0))</f>
        <v>0</v>
      </c>
      <c r="BF1028" s="387">
        <f>IF(ISBLANK(INDEX(MO_IS_FirstRow,0,COLUMN())),0,IF(OR(BF913=BA913,BF913=BG913,BF913=BE913),"CHECK",0))</f>
        <v>0</v>
      </c>
      <c r="BG1028" s="387">
        <f>IF(ISBLANK(INDEX(MO_IS_FirstRow,0,COLUMN())),0,IF(OR(BG913=BB913,BG913=BH913,BG913=BF913),"CHECK",0))</f>
        <v>0</v>
      </c>
      <c r="BH1028" s="387">
        <f>IF(ISBLANK(INDEX(MO_IS_FirstRow,0,COLUMN())),0,IF(OR(BH913=BC913,BH913=BI913,BH913=BG913),"CHECK",0))</f>
        <v>0</v>
      </c>
      <c r="BI1028" s="387">
        <f>IF(ISBLANK(INDEX(MO_IS_FirstRow,0,COLUMN())),0,IF(BI913=BD913,"CHECK",0))</f>
        <v>0</v>
      </c>
      <c r="BJ1028" s="387">
        <f>IF(ISBLANK(INDEX(MO_IS_FirstRow,0,COLUMN())),0,IF(OR(BJ913=BE913,BJ913=BK913,BJ913=BH913),"CHECK",0))</f>
        <v>0</v>
      </c>
      <c r="BK1028" s="387">
        <f>IF(ISBLANK(INDEX(MO_IS_FirstRow,0,COLUMN())),0,IF(OR(BK913=BF913,BK913=BL913,BK913=BJ913),"CHECK",0))</f>
        <v>0</v>
      </c>
      <c r="BL1028" s="387">
        <f>IF(ISBLANK(INDEX(MO_IS_FirstRow,0,COLUMN())),0,IF(OR(BL913=BG913,BL913=BM913,BL913=BK913),"CHECK",0))</f>
        <v>0</v>
      </c>
      <c r="BM1028" s="387">
        <f>IF(ISBLANK(INDEX(MO_IS_FirstRow,0,COLUMN())),0,IF(OR(BM913=BH913,BM913=BN913,BM913=BL913),"CHECK",0))</f>
        <v>0</v>
      </c>
      <c r="BN1028" s="387">
        <f>IF(ISBLANK(INDEX(MO_IS_FirstRow,0,COLUMN())),0,IF(BN913=BI913,"CHECK",0))</f>
        <v>0</v>
      </c>
      <c r="BO1028" s="387">
        <f>IF(ISBLANK(INDEX(MO_IS_FirstRow,0,COLUMN())),0,IF(OR(BO913=BJ913,BO913=BP913,BO913=BM913),"CHECK",0))</f>
        <v>0</v>
      </c>
      <c r="BP1028" s="387">
        <f>IF(ISBLANK(INDEX(MO_IS_FirstRow,0,COLUMN())),0,IF(OR(BP913=BK913,BP913=BQ913,BP913=BO913),"CHECK",0))</f>
        <v>0</v>
      </c>
      <c r="BQ1028" s="387">
        <f>IF(ISBLANK(INDEX(MO_IS_FirstRow,0,COLUMN())),0,IF(OR(BQ913=BL913,BQ913=BR913,BQ913=BP913),"CHECK",0))</f>
        <v>0</v>
      </c>
      <c r="BR1028" s="387">
        <f>IF(ISBLANK(INDEX(MO_IS_FirstRow,0,COLUMN())),0,IF(OR(BR913=BM913,BR913=BS913,BR913=BQ913),"CHECK",0))</f>
        <v>0</v>
      </c>
      <c r="BS1028" s="387">
        <f>IF(ISBLANK(INDEX(MO_IS_FirstRow,0,COLUMN())),0,IF(BS913=BN913,"CHECK",0))</f>
        <v>0</v>
      </c>
      <c r="BT1028" s="387">
        <f>IF(ISBLANK(INDEX(MO_IS_FirstRow,0,COLUMN())),0,IF(OR(BT913=BO913,BT913=BU913,BT913=BR913),"CHECK",0))</f>
        <v>0</v>
      </c>
      <c r="BU1028" s="387">
        <f>IF(ISBLANK(INDEX(MO_IS_FirstRow,0,COLUMN())),0,IF(OR(BU913=BP913,BU913=BV913,BU913=BT913),"CHECK",0))</f>
        <v>0</v>
      </c>
      <c r="BV1028" s="387">
        <f>IF(ISBLANK(INDEX(MO_IS_FirstRow,0,COLUMN())),0,IF(OR(BV913=BQ913,BV913=BW913,BV913=BU913),"CHECK",0))</f>
        <v>0</v>
      </c>
      <c r="BW1028" s="387">
        <f>IF(ISBLANK(INDEX(MO_IS_FirstRow,0,COLUMN())),0,IF(OR(BW913=BR913,BW913=BX913,BW913=BV913),"CHECK",0))</f>
        <v>0</v>
      </c>
      <c r="BX1028" s="387">
        <f>IF(ISBLANK(INDEX(MO_IS_FirstRow,0,COLUMN())),0,IF(BX913=BS913,"CHECK",0))</f>
        <v>0</v>
      </c>
      <c r="BY1028" s="1018">
        <f>IF(ISBLANK(INDEX(MO_IS_FirstRow,0,COLUMN())),0,IF(OR(BY913=BT913,BY913=BZ913,BY913=BW913),"CHECK",0))</f>
        <v>0</v>
      </c>
      <c r="BZ1028" s="387"/>
      <c r="CA1028" s="387"/>
      <c r="CB1028" s="387"/>
      <c r="CC1028" s="387"/>
      <c r="CD1028" s="387"/>
      <c r="CE1028" s="387"/>
      <c r="CF1028" s="387"/>
      <c r="CG1028" s="387"/>
      <c r="CH1028" s="387"/>
      <c r="CI1028" s="387"/>
      <c r="CJ1028" s="387"/>
      <c r="CK1028" s="387"/>
      <c r="CL1028" s="155"/>
    </row>
    <row r="1029" spans="1:90" x14ac:dyDescent="0.3">
      <c r="A1029" s="228" t="s">
        <v>238</v>
      </c>
      <c r="B1029" s="626"/>
      <c r="C1029" s="387">
        <f>IF(ISBLANK(INDEX(MO_IS_FirstRow,0,COLUMN())),0,IF(C424=B424,"CHECK",0))</f>
        <v>0</v>
      </c>
      <c r="D1029" s="387">
        <f>IF(ISBLANK(INDEX(MO_IS_FirstRow,0,COLUMN())),0,IF(D424=C424,"CHECK",0))</f>
        <v>0</v>
      </c>
      <c r="E1029" s="387">
        <f>IF(ISBLANK(INDEX(MO_IS_FirstRow,0,COLUMN())),0,IF(E424=D424,"CHECK",0))</f>
        <v>0</v>
      </c>
      <c r="F1029" s="387">
        <f>IF(ISBLANK(INDEX(MO_IS_FirstRow,0,COLUMN())),0,IF(F424=E424,"CHECK",0))</f>
        <v>0</v>
      </c>
      <c r="G1029" s="387">
        <f t="shared" ref="G1029:AL1029" si="2430">IF(ISBLANK(INDEX(MO_IS_FirstRow,0,COLUMN())),0,IF(OR(G424=B424,G424=H424,G424=F424),"CHECK",0))</f>
        <v>0</v>
      </c>
      <c r="H1029" s="387">
        <f t="shared" si="2430"/>
        <v>0</v>
      </c>
      <c r="I1029" s="387">
        <f t="shared" si="2430"/>
        <v>0</v>
      </c>
      <c r="J1029" s="387">
        <f t="shared" si="2430"/>
        <v>0</v>
      </c>
      <c r="K1029" s="387">
        <f t="shared" si="2430"/>
        <v>0</v>
      </c>
      <c r="L1029" s="387">
        <f t="shared" si="2430"/>
        <v>0</v>
      </c>
      <c r="M1029" s="387">
        <f t="shared" si="2430"/>
        <v>0</v>
      </c>
      <c r="N1029" s="387">
        <f t="shared" si="2430"/>
        <v>0</v>
      </c>
      <c r="O1029" s="387">
        <f t="shared" si="2430"/>
        <v>0</v>
      </c>
      <c r="P1029" s="387">
        <f t="shared" si="2430"/>
        <v>0</v>
      </c>
      <c r="Q1029" s="387">
        <f t="shared" si="2430"/>
        <v>0</v>
      </c>
      <c r="R1029" s="387">
        <f t="shared" si="2430"/>
        <v>0</v>
      </c>
      <c r="S1029" s="387">
        <f t="shared" si="2430"/>
        <v>0</v>
      </c>
      <c r="T1029" s="387">
        <f t="shared" si="2430"/>
        <v>0</v>
      </c>
      <c r="U1029" s="387">
        <f t="shared" si="2430"/>
        <v>0</v>
      </c>
      <c r="V1029" s="387">
        <f t="shared" si="2430"/>
        <v>0</v>
      </c>
      <c r="W1029" s="387">
        <f t="shared" si="2430"/>
        <v>0</v>
      </c>
      <c r="X1029" s="387">
        <f t="shared" si="2430"/>
        <v>0</v>
      </c>
      <c r="Y1029" s="387">
        <f t="shared" si="2430"/>
        <v>0</v>
      </c>
      <c r="Z1029" s="387">
        <f t="shared" si="2430"/>
        <v>0</v>
      </c>
      <c r="AA1029" s="387">
        <f t="shared" si="2430"/>
        <v>0</v>
      </c>
      <c r="AB1029" s="387">
        <f t="shared" si="2430"/>
        <v>0</v>
      </c>
      <c r="AC1029" s="387">
        <f t="shared" si="2430"/>
        <v>0</v>
      </c>
      <c r="AD1029" s="387">
        <f t="shared" si="2430"/>
        <v>0</v>
      </c>
      <c r="AE1029" s="387">
        <f t="shared" si="2430"/>
        <v>0</v>
      </c>
      <c r="AF1029" s="387">
        <f t="shared" si="2430"/>
        <v>0</v>
      </c>
      <c r="AG1029" s="387">
        <f t="shared" si="2430"/>
        <v>0</v>
      </c>
      <c r="AH1029" s="387">
        <f t="shared" si="2430"/>
        <v>0</v>
      </c>
      <c r="AI1029" s="387">
        <f t="shared" si="2430"/>
        <v>0</v>
      </c>
      <c r="AJ1029" s="387">
        <f t="shared" si="2430"/>
        <v>0</v>
      </c>
      <c r="AK1029" s="387">
        <f t="shared" si="2430"/>
        <v>0</v>
      </c>
      <c r="AL1029" s="387">
        <f t="shared" si="2430"/>
        <v>0</v>
      </c>
      <c r="AM1029" s="387">
        <f t="shared" ref="AM1029:BL1029" si="2431">IF(ISBLANK(INDEX(MO_IS_FirstRow,0,COLUMN())),0,IF(OR(AM424=AH424,AM424=AN424,AM424=AL424),"CHECK",0))</f>
        <v>0</v>
      </c>
      <c r="AN1029" s="387">
        <f t="shared" si="2431"/>
        <v>0</v>
      </c>
      <c r="AO1029" s="387">
        <f t="shared" si="2431"/>
        <v>0</v>
      </c>
      <c r="AP1029" s="387">
        <f t="shared" si="2431"/>
        <v>0</v>
      </c>
      <c r="AQ1029" s="387">
        <f t="shared" si="2431"/>
        <v>0</v>
      </c>
      <c r="AR1029" s="387">
        <f t="shared" si="2431"/>
        <v>0</v>
      </c>
      <c r="AS1029" s="387">
        <f t="shared" si="2431"/>
        <v>0</v>
      </c>
      <c r="AT1029" s="387">
        <f t="shared" si="2431"/>
        <v>0</v>
      </c>
      <c r="AU1029" s="387">
        <f t="shared" si="2431"/>
        <v>0</v>
      </c>
      <c r="AV1029" s="387">
        <f t="shared" si="2431"/>
        <v>0</v>
      </c>
      <c r="AW1029" s="387">
        <f t="shared" si="2431"/>
        <v>0</v>
      </c>
      <c r="AX1029" s="387">
        <f t="shared" si="2431"/>
        <v>0</v>
      </c>
      <c r="AY1029" s="387">
        <f t="shared" si="2431"/>
        <v>0</v>
      </c>
      <c r="AZ1029" s="387">
        <f t="shared" si="2431"/>
        <v>0</v>
      </c>
      <c r="BA1029" s="387">
        <f t="shared" si="2431"/>
        <v>0</v>
      </c>
      <c r="BB1029" s="387">
        <f t="shared" si="2431"/>
        <v>0</v>
      </c>
      <c r="BC1029" s="387">
        <f t="shared" si="2431"/>
        <v>0</v>
      </c>
      <c r="BD1029" s="387">
        <f t="shared" si="2431"/>
        <v>0</v>
      </c>
      <c r="BE1029" s="387">
        <f t="shared" si="2431"/>
        <v>0</v>
      </c>
      <c r="BF1029" s="387">
        <f t="shared" si="2431"/>
        <v>0</v>
      </c>
      <c r="BG1029" s="387">
        <f t="shared" si="2431"/>
        <v>0</v>
      </c>
      <c r="BH1029" s="387">
        <f t="shared" si="2431"/>
        <v>0</v>
      </c>
      <c r="BI1029" s="387">
        <f t="shared" si="2431"/>
        <v>0</v>
      </c>
      <c r="BJ1029" s="387">
        <f t="shared" si="2431"/>
        <v>0</v>
      </c>
      <c r="BK1029" s="387">
        <f t="shared" si="2431"/>
        <v>0</v>
      </c>
      <c r="BL1029" s="387">
        <f t="shared" si="2431"/>
        <v>0</v>
      </c>
      <c r="BM1029" s="387">
        <f t="shared" ref="BM1029:BS1029" si="2432">IF(ISBLANK(INDEX(MO_IS_FirstRow,0,COLUMN())),0,IF(OR(BM424=BH424,BM424=BN424,BM424=BL424),"CHECK",0))</f>
        <v>0</v>
      </c>
      <c r="BN1029" s="387">
        <f t="shared" si="2432"/>
        <v>0</v>
      </c>
      <c r="BO1029" s="387">
        <f t="shared" si="2432"/>
        <v>0</v>
      </c>
      <c r="BP1029" s="387">
        <f t="shared" si="2432"/>
        <v>0</v>
      </c>
      <c r="BQ1029" s="387">
        <f t="shared" si="2432"/>
        <v>0</v>
      </c>
      <c r="BR1029" s="387">
        <f t="shared" si="2432"/>
        <v>0</v>
      </c>
      <c r="BS1029" s="387">
        <f t="shared" si="2432"/>
        <v>0</v>
      </c>
      <c r="BT1029" s="387">
        <f t="shared" ref="BT1029:BY1029" si="2433">IF(ISBLANK(INDEX(MO_IS_FirstRow,0,COLUMN())),0,IF(OR(BT424=BO424,BT424=BU424,BT424=BS424),"CHECK",0))</f>
        <v>0</v>
      </c>
      <c r="BU1029" s="387">
        <f t="shared" si="2433"/>
        <v>0</v>
      </c>
      <c r="BV1029" s="387">
        <f t="shared" si="2433"/>
        <v>0</v>
      </c>
      <c r="BW1029" s="387">
        <f t="shared" si="2433"/>
        <v>0</v>
      </c>
      <c r="BX1029" s="387">
        <f t="shared" si="2433"/>
        <v>0</v>
      </c>
      <c r="BY1029" s="1018">
        <f t="shared" si="2433"/>
        <v>0</v>
      </c>
      <c r="BZ1029" s="387"/>
      <c r="CA1029" s="387"/>
      <c r="CB1029" s="387"/>
      <c r="CC1029" s="387"/>
      <c r="CD1029" s="387"/>
      <c r="CE1029" s="387"/>
      <c r="CF1029" s="387"/>
      <c r="CG1029" s="387"/>
      <c r="CH1029" s="387"/>
      <c r="CI1029" s="387"/>
      <c r="CJ1029" s="387"/>
      <c r="CK1029" s="387"/>
      <c r="CL1029" s="155"/>
    </row>
    <row r="1030" spans="1:90" x14ac:dyDescent="0.3">
      <c r="A1030" s="228" t="s">
        <v>239</v>
      </c>
      <c r="B1030" s="626"/>
      <c r="C1030" s="387">
        <f>IF(OR(C990=B990,C990=D990),"CHECK",0)</f>
        <v>0</v>
      </c>
      <c r="D1030" s="387">
        <f>IF(OR(D990=C990,D990=E990),"CHECK",0)</f>
        <v>0</v>
      </c>
      <c r="E1030" s="387">
        <f>IF(OR(E990=D990,E990=F990),"CHECK",0)</f>
        <v>0</v>
      </c>
      <c r="F1030" s="387">
        <f>IF(OR(F990=E990,F990=K990),"CHECK",0)</f>
        <v>0</v>
      </c>
      <c r="G1030" s="387">
        <f>IF(OR(G990=B990,G990=H990,G990=E990),"CHECK",0)</f>
        <v>0</v>
      </c>
      <c r="H1030" s="387">
        <f>IF(OR(H990=C990,H990=I990,H990=G990),"CHECK",0)</f>
        <v>0</v>
      </c>
      <c r="I1030" s="387">
        <f>IF(OR(I990=D990,I990=J990,I990=H990),"CHECK",0)</f>
        <v>0</v>
      </c>
      <c r="J1030" s="387">
        <f>IF(OR(J990=E990,J990=I990),"CHECK",0)</f>
        <v>0</v>
      </c>
      <c r="K1030" s="387">
        <f>IF(K990=F990,"CHECK",0)</f>
        <v>0</v>
      </c>
      <c r="L1030" s="387">
        <f>IF(OR(L990=G990,L990=M990,L990=J990),"CHECK",0)</f>
        <v>0</v>
      </c>
      <c r="M1030" s="387">
        <f>IF(OR(M990=H990,M990=N990,M990=L990),"CHECK",0)</f>
        <v>0</v>
      </c>
      <c r="N1030" s="387">
        <f>IF(OR(N990=I990,N990=O990,N990=M990),"CHECK",0)</f>
        <v>0</v>
      </c>
      <c r="O1030" s="387">
        <f>IF(OR(O990=J990,O990=N990),"CHECK",0)</f>
        <v>0</v>
      </c>
      <c r="P1030" s="387">
        <f>IF(P990=K990,"CHECK",0)</f>
        <v>0</v>
      </c>
      <c r="Q1030" s="387">
        <f>IF(OR(Q990=L990,Q990=R990,Q990=O990),"CHECK",0)</f>
        <v>0</v>
      </c>
      <c r="R1030" s="387">
        <f>IF(OR(R990=M990,R990=S990,R990=Q990),"CHECK",0)</f>
        <v>0</v>
      </c>
      <c r="S1030" s="387">
        <f>IF(OR(S990=N990,S990=T990,S990=R990),"CHECK",0)</f>
        <v>0</v>
      </c>
      <c r="T1030" s="387">
        <f>IF(OR(T990=O990,T990=S990),"CHECK",0)</f>
        <v>0</v>
      </c>
      <c r="U1030" s="387">
        <f>IF(U990=P990,"CHECK",0)</f>
        <v>0</v>
      </c>
      <c r="V1030" s="387">
        <f>IF(OR(V990=Q990,V990=W990,V990=T990),"CHECK",0)</f>
        <v>0</v>
      </c>
      <c r="W1030" s="387">
        <f>IF(OR(W990=R990,W990=X990,W990=V990),"CHECK",0)</f>
        <v>0</v>
      </c>
      <c r="X1030" s="387">
        <f>IF(OR(X990=S990,X990=Y990,X990=W990),"CHECK",0)</f>
        <v>0</v>
      </c>
      <c r="Y1030" s="387">
        <f>IF(OR(Y990=T990,Y990=X990),"CHECK",0)</f>
        <v>0</v>
      </c>
      <c r="Z1030" s="387">
        <f>IF(Z990=U990,"CHECK",0)</f>
        <v>0</v>
      </c>
      <c r="AA1030" s="387">
        <f>IF(OR(AA990=V990,AA990=AB990,AA990=Y990),"CHECK",0)</f>
        <v>0</v>
      </c>
      <c r="AB1030" s="387">
        <f>IF(OR(AB990=W990,AB990=AC990,AB990=AA990),"CHECK",0)</f>
        <v>0</v>
      </c>
      <c r="AC1030" s="387">
        <f>IF(OR(AC990=X990,AC990=AD990,AC990=AB990),"CHECK",0)</f>
        <v>0</v>
      </c>
      <c r="AD1030" s="387">
        <f>IF(OR(AD990=Y990,AD990=AC990),"CHECK",0)</f>
        <v>0</v>
      </c>
      <c r="AE1030" s="387">
        <f>IF(AE990=Z990,"CHECK",0)</f>
        <v>0</v>
      </c>
      <c r="AF1030" s="387">
        <f>IF(OR(AF990=AA990,AF990=AG990,AF990=AD990),"CHECK",0)</f>
        <v>0</v>
      </c>
      <c r="AG1030" s="387">
        <f>IF(OR(AG990=AB990,AG990=AH990,AG990=AF990),"CHECK",0)</f>
        <v>0</v>
      </c>
      <c r="AH1030" s="387">
        <f>IF(OR(AH990=AC990,AH990=AI990,AH990=AG990),"CHECK",0)</f>
        <v>0</v>
      </c>
      <c r="AI1030" s="387">
        <f>IF(OR(AI990=AD990,AI990=AH990),"CHECK",0)</f>
        <v>0</v>
      </c>
      <c r="AJ1030" s="387">
        <f>IF(AJ990=AE990,"CHECK",0)</f>
        <v>0</v>
      </c>
      <c r="AK1030" s="387">
        <f>IF(OR(AK990=AF990,AK990=AL990,AK990=AI990),"CHECK",0)</f>
        <v>0</v>
      </c>
      <c r="AL1030" s="387">
        <f>IF(OR(AL990=AG990,AL990=AM990,AL990=AK990),"CHECK",0)</f>
        <v>0</v>
      </c>
      <c r="AM1030" s="387">
        <f>IF(OR(AM990=AH990,AM990=AN990,AM990=AL990),"CHECK",0)</f>
        <v>0</v>
      </c>
      <c r="AN1030" s="387">
        <f>IF(OR(AN990=AI990,AN990=AM990),"CHECK",0)</f>
        <v>0</v>
      </c>
      <c r="AO1030" s="387">
        <f>IF(AO990=AJ990,"CHECK",0)</f>
        <v>0</v>
      </c>
      <c r="AP1030" s="387">
        <f>IF(OR(AP990=AK990,AP990=AQ990,AP990=AN990),"CHECK",0)</f>
        <v>0</v>
      </c>
      <c r="AQ1030" s="387">
        <f>IF(OR(AQ990=AL990,AQ990=AR990,AQ990=AP990),"CHECK",0)</f>
        <v>0</v>
      </c>
      <c r="AR1030" s="387">
        <f>IF(OR(AR990=AM990,AR990=AS990,AR990=AQ990),"CHECK",0)</f>
        <v>0</v>
      </c>
      <c r="AS1030" s="387">
        <f>IF(OR(AS990=AN990,AS990=AR990),"CHECK",0)</f>
        <v>0</v>
      </c>
      <c r="AT1030" s="387">
        <f>IF(AT990=AO990,"CHECK",0)</f>
        <v>0</v>
      </c>
      <c r="AU1030" s="387">
        <f>IF(OR(AU990=AP990,AU990=AV990,AU990=AS990),"CHECK",0)</f>
        <v>0</v>
      </c>
      <c r="AV1030" s="387">
        <f>IF(OR(AV990=AQ990,AV990=AW990,AV990=AU990),"CHECK",0)</f>
        <v>0</v>
      </c>
      <c r="AW1030" s="387">
        <f>IF(OR(AW990=AR990,AW990=AX990,AW990=AV990),"CHECK",0)</f>
        <v>0</v>
      </c>
      <c r="AX1030" s="387">
        <f>IF(OR(AX990=AS990,AX990=AW990),"CHECK",0)</f>
        <v>0</v>
      </c>
      <c r="AY1030" s="387">
        <f>IF(AY990=AT990,"CHECK",0)</f>
        <v>0</v>
      </c>
      <c r="AZ1030" s="387">
        <f>IF(OR(AZ990=AU990,AZ990=BA990,AZ990=AX990),"CHECK",0)</f>
        <v>0</v>
      </c>
      <c r="BA1030" s="387">
        <f>IF(OR(BA990=AV990,BA990=BB990,BA990=AZ990),"CHECK",0)</f>
        <v>0</v>
      </c>
      <c r="BB1030" s="387">
        <f>IF(OR(BB990=AW990,BB990=BC990,BB990=BA990),"CHECK",0)</f>
        <v>0</v>
      </c>
      <c r="BC1030" s="387">
        <f>IF(OR(BC990=AX990,BC990=BB990),"CHECK",0)</f>
        <v>0</v>
      </c>
      <c r="BD1030" s="387">
        <f>IF(BD990=AY990,"CHECK",0)</f>
        <v>0</v>
      </c>
      <c r="BE1030" s="387">
        <f>IF(OR(BE990=AZ990,BE990=BF990,BE990=BC990),"CHECK",0)</f>
        <v>0</v>
      </c>
      <c r="BF1030" s="387">
        <f>IF(OR(BF990=BA990,BF990=BG990,BF990=BE990),"CHECK",0)</f>
        <v>0</v>
      </c>
      <c r="BG1030" s="387">
        <f>IF(OR(BG990=BB990,BG990=BH990,BG990=BF990),"CHECK",0)</f>
        <v>0</v>
      </c>
      <c r="BH1030" s="387">
        <f>IF(OR(BH990=BC990,BH990=BG990),"CHECK",0)</f>
        <v>0</v>
      </c>
      <c r="BI1030" s="387">
        <f>IF(BI990=BD990,"CHECK",0)</f>
        <v>0</v>
      </c>
      <c r="BJ1030" s="387">
        <f>IF(OR(BJ990=BE990,BJ990=BK990,BJ990=BH990),"CHECK",0)</f>
        <v>0</v>
      </c>
      <c r="BK1030" s="387">
        <f>IF(OR(BK990=BF990,BK990=BL990,BK990=BJ990),"CHECK",0)</f>
        <v>0</v>
      </c>
      <c r="BL1030" s="387">
        <f>IF(OR(BL990=BG990,BL990=BM990,BL990=BK990),"CHECK",0)</f>
        <v>0</v>
      </c>
      <c r="BM1030" s="387">
        <f>IF(OR(BM990=BH990,BM990=BL990),"CHECK",0)</f>
        <v>0</v>
      </c>
      <c r="BN1030" s="387">
        <f>IF(BN990=BI990,"CHECK",0)</f>
        <v>0</v>
      </c>
      <c r="BO1030" s="387">
        <f>IF(OR(BO990=BJ990,BO990=BP990,BO990=BM990),"CHECK",0)</f>
        <v>0</v>
      </c>
      <c r="BP1030" s="387">
        <f>IF(OR(BP990=BK990,BP990=BQ990,BP990=BO990),"CHECK",0)</f>
        <v>0</v>
      </c>
      <c r="BQ1030" s="387">
        <f>IF(OR(BQ990=BL990,BQ990=BR990,BQ990=BP990),"CHECK",0)</f>
        <v>0</v>
      </c>
      <c r="BR1030" s="387">
        <f>IF(OR(BR990=BM990,BR990=BQ990),"CHECK",0)</f>
        <v>0</v>
      </c>
      <c r="BS1030" s="387">
        <f>IF(BS990=BN990,"CHECK",0)</f>
        <v>0</v>
      </c>
      <c r="BT1030" s="387">
        <f>IF(OR(BT990=BO990,BT990=BU990,BT990=BR990),"CHECK",0)</f>
        <v>0</v>
      </c>
      <c r="BU1030" s="387">
        <f>IF(OR(BU990=BP990,BU990=BV990,BU990=BT990),"CHECK",0)</f>
        <v>0</v>
      </c>
      <c r="BV1030" s="387">
        <f>IF(OR(BV990=BQ990,BV990=BW990,BV990=BU990),"CHECK",0)</f>
        <v>0</v>
      </c>
      <c r="BW1030" s="387">
        <f>IF(OR(BW990=BR990,BW990=BV990),"CHECK",0)</f>
        <v>0</v>
      </c>
      <c r="BX1030" s="387">
        <f>IF(BX990=BS990,"CHECK",0)</f>
        <v>0</v>
      </c>
      <c r="BY1030" s="1018">
        <f>IF(OR(BY990=BT990,BY990=BZ990,BY990=BW990),"CHECK",0)</f>
        <v>0</v>
      </c>
      <c r="BZ1030" s="387"/>
      <c r="CA1030" s="387"/>
      <c r="CB1030" s="387"/>
      <c r="CC1030" s="387"/>
      <c r="CD1030" s="387"/>
      <c r="CE1030" s="387"/>
      <c r="CF1030" s="387"/>
      <c r="CG1030" s="387"/>
      <c r="CH1030" s="387"/>
      <c r="CI1030" s="387"/>
      <c r="CJ1030" s="387"/>
      <c r="CK1030" s="387"/>
      <c r="CL1030" s="155"/>
    </row>
    <row r="1031" spans="1:90" x14ac:dyDescent="0.3">
      <c r="A1031" s="228" t="s">
        <v>240</v>
      </c>
      <c r="B1031" s="626"/>
      <c r="C1031" s="387">
        <f t="shared" ref="C1031:AH1031" si="2434">IF(ISBLANK(INDEX(MO_IS_FirstRow,0,COLUMN())),0,ROUND(C916-C844,6))</f>
        <v>0</v>
      </c>
      <c r="D1031" s="387">
        <f t="shared" si="2434"/>
        <v>0</v>
      </c>
      <c r="E1031" s="387">
        <f t="shared" si="2434"/>
        <v>0</v>
      </c>
      <c r="F1031" s="387">
        <f t="shared" si="2434"/>
        <v>0</v>
      </c>
      <c r="G1031" s="387">
        <f t="shared" si="2434"/>
        <v>0</v>
      </c>
      <c r="H1031" s="387">
        <f t="shared" si="2434"/>
        <v>0</v>
      </c>
      <c r="I1031" s="387">
        <f t="shared" si="2434"/>
        <v>0</v>
      </c>
      <c r="J1031" s="387">
        <f t="shared" si="2434"/>
        <v>0</v>
      </c>
      <c r="K1031" s="387">
        <f t="shared" si="2434"/>
        <v>0</v>
      </c>
      <c r="L1031" s="387">
        <f t="shared" si="2434"/>
        <v>0</v>
      </c>
      <c r="M1031" s="387">
        <f t="shared" si="2434"/>
        <v>0</v>
      </c>
      <c r="N1031" s="387">
        <f t="shared" si="2434"/>
        <v>0</v>
      </c>
      <c r="O1031" s="387">
        <f t="shared" si="2434"/>
        <v>0</v>
      </c>
      <c r="P1031" s="387">
        <f t="shared" si="2434"/>
        <v>0</v>
      </c>
      <c r="Q1031" s="387">
        <f t="shared" si="2434"/>
        <v>0</v>
      </c>
      <c r="R1031" s="387">
        <f t="shared" si="2434"/>
        <v>0</v>
      </c>
      <c r="S1031" s="387">
        <f t="shared" si="2434"/>
        <v>0</v>
      </c>
      <c r="T1031" s="387">
        <f t="shared" si="2434"/>
        <v>0</v>
      </c>
      <c r="U1031" s="387">
        <f t="shared" si="2434"/>
        <v>0</v>
      </c>
      <c r="V1031" s="387">
        <f t="shared" si="2434"/>
        <v>0</v>
      </c>
      <c r="W1031" s="387">
        <f t="shared" si="2434"/>
        <v>0</v>
      </c>
      <c r="X1031" s="387">
        <f t="shared" si="2434"/>
        <v>0</v>
      </c>
      <c r="Y1031" s="387">
        <f t="shared" si="2434"/>
        <v>0</v>
      </c>
      <c r="Z1031" s="387">
        <f t="shared" si="2434"/>
        <v>0</v>
      </c>
      <c r="AA1031" s="387">
        <f t="shared" si="2434"/>
        <v>0</v>
      </c>
      <c r="AB1031" s="387">
        <f t="shared" si="2434"/>
        <v>0</v>
      </c>
      <c r="AC1031" s="387">
        <f t="shared" si="2434"/>
        <v>0</v>
      </c>
      <c r="AD1031" s="387">
        <f t="shared" si="2434"/>
        <v>0</v>
      </c>
      <c r="AE1031" s="387">
        <f t="shared" si="2434"/>
        <v>0</v>
      </c>
      <c r="AF1031" s="387">
        <f t="shared" si="2434"/>
        <v>0</v>
      </c>
      <c r="AG1031" s="387">
        <f t="shared" si="2434"/>
        <v>0</v>
      </c>
      <c r="AH1031" s="387">
        <f t="shared" si="2434"/>
        <v>0</v>
      </c>
      <c r="AI1031" s="387">
        <f t="shared" ref="AI1031:BL1031" si="2435">IF(ISBLANK(INDEX(MO_IS_FirstRow,0,COLUMN())),0,ROUND(AI916-AI844,6))</f>
        <v>0</v>
      </c>
      <c r="AJ1031" s="387">
        <f t="shared" si="2435"/>
        <v>0</v>
      </c>
      <c r="AK1031" s="387">
        <f t="shared" si="2435"/>
        <v>0</v>
      </c>
      <c r="AL1031" s="387">
        <f t="shared" si="2435"/>
        <v>0</v>
      </c>
      <c r="AM1031" s="387">
        <f t="shared" si="2435"/>
        <v>0</v>
      </c>
      <c r="AN1031" s="387">
        <f t="shared" si="2435"/>
        <v>0</v>
      </c>
      <c r="AO1031" s="387">
        <f t="shared" si="2435"/>
        <v>0</v>
      </c>
      <c r="AP1031" s="387">
        <f t="shared" si="2435"/>
        <v>0</v>
      </c>
      <c r="AQ1031" s="387">
        <f t="shared" si="2435"/>
        <v>0</v>
      </c>
      <c r="AR1031" s="387">
        <f t="shared" si="2435"/>
        <v>0</v>
      </c>
      <c r="AS1031" s="387">
        <f t="shared" si="2435"/>
        <v>0</v>
      </c>
      <c r="AT1031" s="387">
        <f t="shared" si="2435"/>
        <v>0</v>
      </c>
      <c r="AU1031" s="387">
        <f t="shared" si="2435"/>
        <v>0</v>
      </c>
      <c r="AV1031" s="387">
        <f t="shared" si="2435"/>
        <v>0</v>
      </c>
      <c r="AW1031" s="387">
        <f t="shared" si="2435"/>
        <v>0</v>
      </c>
      <c r="AX1031" s="387">
        <f t="shared" si="2435"/>
        <v>0</v>
      </c>
      <c r="AY1031" s="387">
        <f t="shared" si="2435"/>
        <v>0</v>
      </c>
      <c r="AZ1031" s="387">
        <f t="shared" si="2435"/>
        <v>0</v>
      </c>
      <c r="BA1031" s="387">
        <f t="shared" si="2435"/>
        <v>0</v>
      </c>
      <c r="BB1031" s="387">
        <f t="shared" si="2435"/>
        <v>0</v>
      </c>
      <c r="BC1031" s="387">
        <f t="shared" si="2435"/>
        <v>0</v>
      </c>
      <c r="BD1031" s="387">
        <f t="shared" si="2435"/>
        <v>0</v>
      </c>
      <c r="BE1031" s="387">
        <f t="shared" si="2435"/>
        <v>0</v>
      </c>
      <c r="BF1031" s="387">
        <f t="shared" si="2435"/>
        <v>0</v>
      </c>
      <c r="BG1031" s="387">
        <f t="shared" si="2435"/>
        <v>0</v>
      </c>
      <c r="BH1031" s="387">
        <f t="shared" si="2435"/>
        <v>0</v>
      </c>
      <c r="BI1031" s="387">
        <f t="shared" si="2435"/>
        <v>0</v>
      </c>
      <c r="BJ1031" s="387">
        <f t="shared" si="2435"/>
        <v>0</v>
      </c>
      <c r="BK1031" s="387">
        <f t="shared" si="2435"/>
        <v>0</v>
      </c>
      <c r="BL1031" s="387">
        <f t="shared" si="2435"/>
        <v>0</v>
      </c>
      <c r="BM1031" s="387">
        <f t="shared" ref="BM1031:BN1031" si="2436">IF(ISBLANK(INDEX(MO_IS_FirstRow,0,COLUMN())),0,ROUND(BM916-BM844,6))</f>
        <v>0</v>
      </c>
      <c r="BN1031" s="387">
        <f t="shared" si="2436"/>
        <v>0</v>
      </c>
      <c r="BO1031" s="387">
        <f t="shared" ref="BO1031:BS1031" si="2437">IF(ISBLANK(INDEX(MO_IS_FirstRow,0,COLUMN())),0,ROUND(BO916-BO844,6))</f>
        <v>0</v>
      </c>
      <c r="BP1031" s="387">
        <f t="shared" si="2437"/>
        <v>0</v>
      </c>
      <c r="BQ1031" s="387">
        <f t="shared" si="2437"/>
        <v>0</v>
      </c>
      <c r="BR1031" s="387">
        <f t="shared" si="2437"/>
        <v>0</v>
      </c>
      <c r="BS1031" s="387">
        <f t="shared" si="2437"/>
        <v>0</v>
      </c>
      <c r="BT1031" s="387">
        <f t="shared" ref="BT1031:CK1031" si="2438">IF(ISBLANK(INDEX(MO_IS_FirstRow,0,COLUMN())),0,ROUND(BT916-BT844,6))</f>
        <v>0</v>
      </c>
      <c r="BU1031" s="387">
        <f t="shared" si="2438"/>
        <v>0</v>
      </c>
      <c r="BV1031" s="387">
        <f t="shared" si="2438"/>
        <v>0</v>
      </c>
      <c r="BW1031" s="387">
        <f t="shared" si="2438"/>
        <v>0</v>
      </c>
      <c r="BX1031" s="387">
        <f t="shared" si="2438"/>
        <v>0</v>
      </c>
      <c r="BY1031" s="1018">
        <f>IF(ISBLANK(INDEX(MO_IS_FirstRow,0,COLUMN())),0,ROUND(BY916-BY844,6))</f>
        <v>0</v>
      </c>
      <c r="BZ1031" s="387">
        <f t="shared" si="2438"/>
        <v>0</v>
      </c>
      <c r="CA1031" s="387">
        <f t="shared" si="2438"/>
        <v>0</v>
      </c>
      <c r="CB1031" s="387">
        <f t="shared" si="2438"/>
        <v>0</v>
      </c>
      <c r="CC1031" s="387">
        <f t="shared" si="2438"/>
        <v>0</v>
      </c>
      <c r="CD1031" s="387">
        <f t="shared" si="2438"/>
        <v>0</v>
      </c>
      <c r="CE1031" s="387">
        <f t="shared" si="2438"/>
        <v>0</v>
      </c>
      <c r="CF1031" s="387">
        <f t="shared" si="2438"/>
        <v>0</v>
      </c>
      <c r="CG1031" s="387">
        <f t="shared" si="2438"/>
        <v>0</v>
      </c>
      <c r="CH1031" s="387">
        <f t="shared" si="2438"/>
        <v>0</v>
      </c>
      <c r="CI1031" s="387">
        <f t="shared" si="2438"/>
        <v>0</v>
      </c>
      <c r="CJ1031" s="387">
        <f t="shared" si="2438"/>
        <v>0</v>
      </c>
      <c r="CK1031" s="387">
        <f t="shared" si="2438"/>
        <v>0</v>
      </c>
      <c r="CL1031" s="155"/>
    </row>
    <row r="1032" spans="1:90" x14ac:dyDescent="0.3">
      <c r="A1032" s="228" t="s">
        <v>241</v>
      </c>
      <c r="B1032" s="626"/>
      <c r="C1032" s="387">
        <f t="shared" ref="C1032:AH1032" si="2439">ROUND(INDEX(MO_CFSum_Capex,0,COLUMN())-C884,6)</f>
        <v>0</v>
      </c>
      <c r="D1032" s="387">
        <f t="shared" si="2439"/>
        <v>0</v>
      </c>
      <c r="E1032" s="387">
        <f t="shared" si="2439"/>
        <v>0</v>
      </c>
      <c r="F1032" s="387">
        <f t="shared" si="2439"/>
        <v>0</v>
      </c>
      <c r="G1032" s="387">
        <f t="shared" si="2439"/>
        <v>0</v>
      </c>
      <c r="H1032" s="387">
        <f t="shared" si="2439"/>
        <v>0</v>
      </c>
      <c r="I1032" s="387">
        <f t="shared" si="2439"/>
        <v>0</v>
      </c>
      <c r="J1032" s="387">
        <f t="shared" si="2439"/>
        <v>0</v>
      </c>
      <c r="K1032" s="387">
        <f t="shared" si="2439"/>
        <v>0</v>
      </c>
      <c r="L1032" s="387">
        <f t="shared" si="2439"/>
        <v>0</v>
      </c>
      <c r="M1032" s="387">
        <f t="shared" si="2439"/>
        <v>0</v>
      </c>
      <c r="N1032" s="387">
        <f t="shared" si="2439"/>
        <v>0</v>
      </c>
      <c r="O1032" s="387">
        <f t="shared" si="2439"/>
        <v>0</v>
      </c>
      <c r="P1032" s="387">
        <f t="shared" si="2439"/>
        <v>0</v>
      </c>
      <c r="Q1032" s="387">
        <f t="shared" si="2439"/>
        <v>0</v>
      </c>
      <c r="R1032" s="387">
        <f t="shared" si="2439"/>
        <v>0</v>
      </c>
      <c r="S1032" s="387">
        <f t="shared" si="2439"/>
        <v>0</v>
      </c>
      <c r="T1032" s="387">
        <f t="shared" si="2439"/>
        <v>0</v>
      </c>
      <c r="U1032" s="387">
        <f t="shared" si="2439"/>
        <v>0</v>
      </c>
      <c r="V1032" s="387">
        <f t="shared" si="2439"/>
        <v>0</v>
      </c>
      <c r="W1032" s="387">
        <f t="shared" si="2439"/>
        <v>0</v>
      </c>
      <c r="X1032" s="387">
        <f t="shared" si="2439"/>
        <v>0</v>
      </c>
      <c r="Y1032" s="387">
        <f t="shared" si="2439"/>
        <v>0</v>
      </c>
      <c r="Z1032" s="387">
        <f t="shared" si="2439"/>
        <v>0</v>
      </c>
      <c r="AA1032" s="387">
        <f t="shared" si="2439"/>
        <v>0</v>
      </c>
      <c r="AB1032" s="387">
        <f t="shared" si="2439"/>
        <v>0</v>
      </c>
      <c r="AC1032" s="387">
        <f t="shared" si="2439"/>
        <v>0</v>
      </c>
      <c r="AD1032" s="387">
        <f t="shared" si="2439"/>
        <v>0</v>
      </c>
      <c r="AE1032" s="387">
        <f t="shared" si="2439"/>
        <v>0</v>
      </c>
      <c r="AF1032" s="387">
        <f t="shared" si="2439"/>
        <v>0</v>
      </c>
      <c r="AG1032" s="387">
        <f t="shared" si="2439"/>
        <v>0</v>
      </c>
      <c r="AH1032" s="387">
        <f t="shared" si="2439"/>
        <v>0</v>
      </c>
      <c r="AI1032" s="387">
        <f t="shared" ref="AI1032:BL1032" si="2440">ROUND(INDEX(MO_CFSum_Capex,0,COLUMN())-AI884,6)</f>
        <v>0</v>
      </c>
      <c r="AJ1032" s="387">
        <f t="shared" si="2440"/>
        <v>0</v>
      </c>
      <c r="AK1032" s="387">
        <f t="shared" si="2440"/>
        <v>0</v>
      </c>
      <c r="AL1032" s="387">
        <f t="shared" si="2440"/>
        <v>0</v>
      </c>
      <c r="AM1032" s="387">
        <f t="shared" si="2440"/>
        <v>0</v>
      </c>
      <c r="AN1032" s="387">
        <f t="shared" si="2440"/>
        <v>0</v>
      </c>
      <c r="AO1032" s="387">
        <f t="shared" si="2440"/>
        <v>0</v>
      </c>
      <c r="AP1032" s="387">
        <f t="shared" si="2440"/>
        <v>0</v>
      </c>
      <c r="AQ1032" s="387">
        <f t="shared" si="2440"/>
        <v>0</v>
      </c>
      <c r="AR1032" s="387">
        <f t="shared" si="2440"/>
        <v>0</v>
      </c>
      <c r="AS1032" s="387">
        <f t="shared" si="2440"/>
        <v>0</v>
      </c>
      <c r="AT1032" s="387">
        <f t="shared" si="2440"/>
        <v>0</v>
      </c>
      <c r="AU1032" s="387">
        <f t="shared" si="2440"/>
        <v>0</v>
      </c>
      <c r="AV1032" s="387">
        <f t="shared" si="2440"/>
        <v>0</v>
      </c>
      <c r="AW1032" s="387">
        <f t="shared" si="2440"/>
        <v>0</v>
      </c>
      <c r="AX1032" s="387">
        <f t="shared" si="2440"/>
        <v>0</v>
      </c>
      <c r="AY1032" s="387">
        <f t="shared" si="2440"/>
        <v>0</v>
      </c>
      <c r="AZ1032" s="387">
        <f t="shared" si="2440"/>
        <v>0</v>
      </c>
      <c r="BA1032" s="387">
        <f t="shared" si="2440"/>
        <v>0</v>
      </c>
      <c r="BB1032" s="387">
        <f t="shared" si="2440"/>
        <v>0</v>
      </c>
      <c r="BC1032" s="387">
        <f t="shared" si="2440"/>
        <v>0</v>
      </c>
      <c r="BD1032" s="387">
        <f t="shared" si="2440"/>
        <v>0</v>
      </c>
      <c r="BE1032" s="387">
        <f t="shared" si="2440"/>
        <v>0</v>
      </c>
      <c r="BF1032" s="387">
        <f t="shared" si="2440"/>
        <v>0</v>
      </c>
      <c r="BG1032" s="387">
        <f t="shared" si="2440"/>
        <v>0</v>
      </c>
      <c r="BH1032" s="387">
        <f t="shared" si="2440"/>
        <v>0</v>
      </c>
      <c r="BI1032" s="387">
        <f t="shared" si="2440"/>
        <v>0</v>
      </c>
      <c r="BJ1032" s="387">
        <f t="shared" si="2440"/>
        <v>0</v>
      </c>
      <c r="BK1032" s="387">
        <f t="shared" si="2440"/>
        <v>0</v>
      </c>
      <c r="BL1032" s="387">
        <f t="shared" si="2440"/>
        <v>0</v>
      </c>
      <c r="BM1032" s="387">
        <f t="shared" ref="BM1032:BN1032" si="2441">ROUND(INDEX(MO_CFSum_Capex,0,COLUMN())-BM884,6)</f>
        <v>0</v>
      </c>
      <c r="BN1032" s="387">
        <f t="shared" si="2441"/>
        <v>0</v>
      </c>
      <c r="BO1032" s="387">
        <f t="shared" ref="BO1032:BS1032" si="2442">ROUND(INDEX(MO_CFSum_Capex,0,COLUMN())-BO884,6)</f>
        <v>0</v>
      </c>
      <c r="BP1032" s="387">
        <f t="shared" si="2442"/>
        <v>0</v>
      </c>
      <c r="BQ1032" s="387">
        <f t="shared" si="2442"/>
        <v>0</v>
      </c>
      <c r="BR1032" s="387">
        <f t="shared" si="2442"/>
        <v>0</v>
      </c>
      <c r="BS1032" s="387">
        <f t="shared" si="2442"/>
        <v>0</v>
      </c>
      <c r="BT1032" s="387">
        <f t="shared" ref="BT1032:CK1032" si="2443">ROUND(INDEX(MO_CFSum_Capex,0,COLUMN())-BT884,6)</f>
        <v>0</v>
      </c>
      <c r="BU1032" s="387">
        <f t="shared" si="2443"/>
        <v>0</v>
      </c>
      <c r="BV1032" s="387">
        <f t="shared" si="2443"/>
        <v>0</v>
      </c>
      <c r="BW1032" s="387">
        <f t="shared" si="2443"/>
        <v>0</v>
      </c>
      <c r="BX1032" s="387">
        <f t="shared" si="2443"/>
        <v>0</v>
      </c>
      <c r="BY1032" s="1018">
        <f>ROUND(INDEX(MO_CFSum_Capex,0,COLUMN())-BY884,6)</f>
        <v>0</v>
      </c>
      <c r="BZ1032" s="387">
        <f t="shared" si="2443"/>
        <v>0</v>
      </c>
      <c r="CA1032" s="387">
        <f t="shared" si="2443"/>
        <v>0</v>
      </c>
      <c r="CB1032" s="387">
        <f t="shared" si="2443"/>
        <v>0</v>
      </c>
      <c r="CC1032" s="387">
        <f t="shared" si="2443"/>
        <v>0</v>
      </c>
      <c r="CD1032" s="387">
        <f t="shared" si="2443"/>
        <v>0</v>
      </c>
      <c r="CE1032" s="387">
        <f t="shared" si="2443"/>
        <v>0</v>
      </c>
      <c r="CF1032" s="387">
        <f t="shared" si="2443"/>
        <v>0</v>
      </c>
      <c r="CG1032" s="387">
        <f t="shared" si="2443"/>
        <v>0</v>
      </c>
      <c r="CH1032" s="387">
        <f t="shared" si="2443"/>
        <v>0</v>
      </c>
      <c r="CI1032" s="387">
        <f t="shared" si="2443"/>
        <v>0</v>
      </c>
      <c r="CJ1032" s="387">
        <f t="shared" si="2443"/>
        <v>0</v>
      </c>
      <c r="CK1032" s="387">
        <f t="shared" si="2443"/>
        <v>0</v>
      </c>
      <c r="CL1032" s="155"/>
    </row>
    <row r="1033" spans="1:90" x14ac:dyDescent="0.3">
      <c r="A1033" s="228" t="s">
        <v>242</v>
      </c>
      <c r="B1033" s="626"/>
      <c r="C1033" s="387">
        <f t="shared" ref="C1033:AH1033" si="2444">IF(ISBLANK(INDEX(MO_IS_FirstRow,0,COLUMN())),0,IF(MOD(C291*1000000,1)=0,"Check",0))</f>
        <v>0</v>
      </c>
      <c r="D1033" s="387">
        <f t="shared" si="2444"/>
        <v>0</v>
      </c>
      <c r="E1033" s="387">
        <f t="shared" si="2444"/>
        <v>0</v>
      </c>
      <c r="F1033" s="387">
        <f t="shared" si="2444"/>
        <v>0</v>
      </c>
      <c r="G1033" s="387">
        <f t="shared" si="2444"/>
        <v>0</v>
      </c>
      <c r="H1033" s="387">
        <f t="shared" si="2444"/>
        <v>0</v>
      </c>
      <c r="I1033" s="387">
        <f t="shared" si="2444"/>
        <v>0</v>
      </c>
      <c r="J1033" s="387">
        <f t="shared" si="2444"/>
        <v>0</v>
      </c>
      <c r="K1033" s="387">
        <f t="shared" si="2444"/>
        <v>0</v>
      </c>
      <c r="L1033" s="387">
        <f t="shared" si="2444"/>
        <v>0</v>
      </c>
      <c r="M1033" s="387">
        <f t="shared" si="2444"/>
        <v>0</v>
      </c>
      <c r="N1033" s="387">
        <f t="shared" si="2444"/>
        <v>0</v>
      </c>
      <c r="O1033" s="387">
        <f t="shared" si="2444"/>
        <v>0</v>
      </c>
      <c r="P1033" s="387">
        <f t="shared" si="2444"/>
        <v>0</v>
      </c>
      <c r="Q1033" s="387">
        <f t="shared" si="2444"/>
        <v>0</v>
      </c>
      <c r="R1033" s="387">
        <f t="shared" si="2444"/>
        <v>0</v>
      </c>
      <c r="S1033" s="387">
        <f t="shared" si="2444"/>
        <v>0</v>
      </c>
      <c r="T1033" s="387">
        <f t="shared" si="2444"/>
        <v>0</v>
      </c>
      <c r="U1033" s="387">
        <f t="shared" si="2444"/>
        <v>0</v>
      </c>
      <c r="V1033" s="387">
        <f t="shared" si="2444"/>
        <v>0</v>
      </c>
      <c r="W1033" s="387">
        <f t="shared" si="2444"/>
        <v>0</v>
      </c>
      <c r="X1033" s="387">
        <f t="shared" si="2444"/>
        <v>0</v>
      </c>
      <c r="Y1033" s="387">
        <f t="shared" si="2444"/>
        <v>0</v>
      </c>
      <c r="Z1033" s="387">
        <f t="shared" si="2444"/>
        <v>0</v>
      </c>
      <c r="AA1033" s="387">
        <f t="shared" si="2444"/>
        <v>0</v>
      </c>
      <c r="AB1033" s="387">
        <f t="shared" si="2444"/>
        <v>0</v>
      </c>
      <c r="AC1033" s="387">
        <f t="shared" si="2444"/>
        <v>0</v>
      </c>
      <c r="AD1033" s="387">
        <f t="shared" si="2444"/>
        <v>0</v>
      </c>
      <c r="AE1033" s="387">
        <f t="shared" si="2444"/>
        <v>0</v>
      </c>
      <c r="AF1033" s="387">
        <f t="shared" si="2444"/>
        <v>0</v>
      </c>
      <c r="AG1033" s="387">
        <f t="shared" si="2444"/>
        <v>0</v>
      </c>
      <c r="AH1033" s="387">
        <f t="shared" si="2444"/>
        <v>0</v>
      </c>
      <c r="AI1033" s="387">
        <f t="shared" ref="AI1033:BL1033" si="2445">IF(ISBLANK(INDEX(MO_IS_FirstRow,0,COLUMN())),0,IF(MOD(AI291*1000000,1)=0,"Check",0))</f>
        <v>0</v>
      </c>
      <c r="AJ1033" s="387">
        <f t="shared" si="2445"/>
        <v>0</v>
      </c>
      <c r="AK1033" s="387">
        <f t="shared" si="2445"/>
        <v>0</v>
      </c>
      <c r="AL1033" s="387">
        <f t="shared" si="2445"/>
        <v>0</v>
      </c>
      <c r="AM1033" s="387">
        <f t="shared" si="2445"/>
        <v>0</v>
      </c>
      <c r="AN1033" s="387">
        <f t="shared" si="2445"/>
        <v>0</v>
      </c>
      <c r="AO1033" s="387">
        <f t="shared" si="2445"/>
        <v>0</v>
      </c>
      <c r="AP1033" s="387">
        <f t="shared" si="2445"/>
        <v>0</v>
      </c>
      <c r="AQ1033" s="387">
        <f t="shared" si="2445"/>
        <v>0</v>
      </c>
      <c r="AR1033" s="387">
        <f t="shared" si="2445"/>
        <v>0</v>
      </c>
      <c r="AS1033" s="387">
        <f t="shared" si="2445"/>
        <v>0</v>
      </c>
      <c r="AT1033" s="387">
        <f t="shared" si="2445"/>
        <v>0</v>
      </c>
      <c r="AU1033" s="387">
        <f t="shared" si="2445"/>
        <v>0</v>
      </c>
      <c r="AV1033" s="387">
        <f t="shared" si="2445"/>
        <v>0</v>
      </c>
      <c r="AW1033" s="387">
        <f t="shared" si="2445"/>
        <v>0</v>
      </c>
      <c r="AX1033" s="387">
        <f t="shared" si="2445"/>
        <v>0</v>
      </c>
      <c r="AY1033" s="387">
        <f t="shared" si="2445"/>
        <v>0</v>
      </c>
      <c r="AZ1033" s="387">
        <f t="shared" si="2445"/>
        <v>0</v>
      </c>
      <c r="BA1033" s="387">
        <f t="shared" si="2445"/>
        <v>0</v>
      </c>
      <c r="BB1033" s="387">
        <f t="shared" si="2445"/>
        <v>0</v>
      </c>
      <c r="BC1033" s="387">
        <f t="shared" si="2445"/>
        <v>0</v>
      </c>
      <c r="BD1033" s="387">
        <f t="shared" si="2445"/>
        <v>0</v>
      </c>
      <c r="BE1033" s="387">
        <f t="shared" si="2445"/>
        <v>0</v>
      </c>
      <c r="BF1033" s="387">
        <f t="shared" si="2445"/>
        <v>0</v>
      </c>
      <c r="BG1033" s="387">
        <f t="shared" si="2445"/>
        <v>0</v>
      </c>
      <c r="BH1033" s="387">
        <f t="shared" si="2445"/>
        <v>0</v>
      </c>
      <c r="BI1033" s="387">
        <f t="shared" si="2445"/>
        <v>0</v>
      </c>
      <c r="BJ1033" s="387">
        <f t="shared" si="2445"/>
        <v>0</v>
      </c>
      <c r="BK1033" s="387">
        <f t="shared" si="2445"/>
        <v>0</v>
      </c>
      <c r="BL1033" s="387">
        <f t="shared" si="2445"/>
        <v>0</v>
      </c>
      <c r="BM1033" s="387">
        <f t="shared" ref="BM1033:BN1033" si="2446">IF(ISBLANK(INDEX(MO_IS_FirstRow,0,COLUMN())),0,IF(MOD(BM291*1000000,1)=0,"Check",0))</f>
        <v>0</v>
      </c>
      <c r="BN1033" s="387">
        <f t="shared" si="2446"/>
        <v>0</v>
      </c>
      <c r="BO1033" s="387">
        <f t="shared" ref="BO1033:BS1033" si="2447">IF(ISBLANK(INDEX(MO_IS_FirstRow,0,COLUMN())),0,IF(MOD(BO291*1000000,1)=0,"Check",0))</f>
        <v>0</v>
      </c>
      <c r="BP1033" s="387">
        <f t="shared" si="2447"/>
        <v>0</v>
      </c>
      <c r="BQ1033" s="387">
        <f t="shared" si="2447"/>
        <v>0</v>
      </c>
      <c r="BR1033" s="387">
        <f t="shared" si="2447"/>
        <v>0</v>
      </c>
      <c r="BS1033" s="387">
        <f t="shared" si="2447"/>
        <v>0</v>
      </c>
      <c r="BT1033" s="387">
        <f t="shared" ref="BT1033:CK1033" si="2448">IF(ISBLANK(INDEX(MO_IS_FirstRow,0,COLUMN())),0,IF(MOD(BT291*1000000,1)=0,"Check",0))</f>
        <v>0</v>
      </c>
      <c r="BU1033" s="387">
        <f t="shared" si="2448"/>
        <v>0</v>
      </c>
      <c r="BV1033" s="387">
        <f t="shared" si="2448"/>
        <v>0</v>
      </c>
      <c r="BW1033" s="387">
        <f t="shared" si="2448"/>
        <v>0</v>
      </c>
      <c r="BX1033" s="387">
        <f t="shared" si="2448"/>
        <v>0</v>
      </c>
      <c r="BY1033" s="1018">
        <f>IF(ISBLANK(INDEX(MO_IS_FirstRow,0,COLUMN())),0,IF(MOD(BY291*1000000,1)=0,"Check",0))</f>
        <v>0</v>
      </c>
      <c r="BZ1033" s="387">
        <f t="shared" si="2448"/>
        <v>0</v>
      </c>
      <c r="CA1033" s="387">
        <f t="shared" si="2448"/>
        <v>0</v>
      </c>
      <c r="CB1033" s="387">
        <f t="shared" si="2448"/>
        <v>0</v>
      </c>
      <c r="CC1033" s="387">
        <f t="shared" si="2448"/>
        <v>0</v>
      </c>
      <c r="CD1033" s="387">
        <f t="shared" si="2448"/>
        <v>0</v>
      </c>
      <c r="CE1033" s="387">
        <f t="shared" si="2448"/>
        <v>0</v>
      </c>
      <c r="CF1033" s="387">
        <f t="shared" si="2448"/>
        <v>0</v>
      </c>
      <c r="CG1033" s="387">
        <f t="shared" si="2448"/>
        <v>0</v>
      </c>
      <c r="CH1033" s="387">
        <f t="shared" si="2448"/>
        <v>0</v>
      </c>
      <c r="CI1033" s="387">
        <f t="shared" si="2448"/>
        <v>0</v>
      </c>
      <c r="CJ1033" s="387">
        <f t="shared" si="2448"/>
        <v>0</v>
      </c>
      <c r="CK1033" s="387">
        <f t="shared" si="2448"/>
        <v>0</v>
      </c>
      <c r="CL1033" s="155"/>
    </row>
    <row r="1034" spans="1:90" x14ac:dyDescent="0.3">
      <c r="A1034" s="27" t="s">
        <v>243</v>
      </c>
      <c r="B1034" s="563"/>
      <c r="C1034" s="1010"/>
      <c r="D1034" s="1010"/>
      <c r="E1034" s="1010"/>
      <c r="F1034" s="1010"/>
      <c r="G1034" s="1010"/>
      <c r="H1034" s="1010"/>
      <c r="I1034" s="1010"/>
      <c r="J1034" s="1010"/>
      <c r="K1034" s="1010">
        <f>IF(ISBLANK(INDEX(MO_IS_FirstRow,0,COLUMN())),0,ROUND(K327-SUM(G327,H327,I327,J327),6)+ROUND(K327-SUM(G327,H327,I327,J327),6))</f>
        <v>0</v>
      </c>
      <c r="L1034" s="1010"/>
      <c r="M1034" s="1010"/>
      <c r="N1034" s="1010"/>
      <c r="O1034" s="1010"/>
      <c r="P1034" s="1010">
        <f>IF(ISBLANK(INDEX(MO_IS_FirstRow,0,COLUMN())),0,ROUND(P327-SUM(L327,M327,N327,O327),6)+ROUND(P327-SUM(L327,M327,N327,O327),6))</f>
        <v>0</v>
      </c>
      <c r="Q1034" s="1010"/>
      <c r="R1034" s="1010"/>
      <c r="S1034" s="1010"/>
      <c r="T1034" s="1010"/>
      <c r="U1034" s="1010">
        <f>IF(ISBLANK(INDEX(MO_IS_FirstRow,0,COLUMN())),0,ROUND(U327-SUM(Q327,R327,S327,T327),6)+ROUND(U327-SUM(Q327,R327,S327,T327),6))</f>
        <v>2</v>
      </c>
      <c r="V1034" s="1010"/>
      <c r="W1034" s="1010"/>
      <c r="X1034" s="1010"/>
      <c r="Y1034" s="1010"/>
      <c r="Z1034" s="1010">
        <f>IF(ISBLANK(INDEX(MO_IS_FirstRow,0,COLUMN())),0,ROUND(Z327-SUM(V327,W327,X327,Y327),6)+ROUND(Z327-SUM(V327,W327,X327,Y327),6))</f>
        <v>0</v>
      </c>
      <c r="AA1034" s="1010"/>
      <c r="AB1034" s="1010"/>
      <c r="AC1034" s="1010"/>
      <c r="AD1034" s="1010"/>
      <c r="AE1034" s="1010">
        <f>IF(ISBLANK(INDEX(MO_IS_FirstRow,0,COLUMN())),0,ROUND(AE327-SUM(AA327,AB327,AC327,AD327),6)+ROUND(AE327-SUM(AA327,AB327,AC327,AD327),6))</f>
        <v>2</v>
      </c>
      <c r="AF1034" s="1010"/>
      <c r="AG1034" s="1010"/>
      <c r="AH1034" s="1010"/>
      <c r="AI1034" s="1010"/>
      <c r="AJ1034" s="1010">
        <f>IF(ISBLANK(INDEX(MO_IS_FirstRow,0,COLUMN())),0,ROUND(AJ327-SUM(AF327,AG327,AH327,AI327),6)+ROUND(AJ327-SUM(AF327,AG327,AH327,AI327),6))</f>
        <v>0</v>
      </c>
      <c r="AK1034" s="1010"/>
      <c r="AL1034" s="1010"/>
      <c r="AM1034" s="1010"/>
      <c r="AN1034" s="1010"/>
      <c r="AO1034" s="1010">
        <f>IF(ISBLANK(INDEX(MO_IS_FirstRow,0,COLUMN())),0,ROUND(AO327-SUM(AK327,AL327,AM327,AN327),6)+ROUND(AO327-SUM(AK327,AL327,AM327,AN327),6))</f>
        <v>2</v>
      </c>
      <c r="AP1034" s="1010"/>
      <c r="AQ1034" s="1010"/>
      <c r="AR1034" s="1010"/>
      <c r="AS1034" s="1010"/>
      <c r="AT1034" s="1010">
        <f>IF(ISBLANK(INDEX(MO_IS_FirstRow,0,COLUMN())),0,ROUND(AT327-SUM(AP327,AQ327,AR327,AS327),6)+ROUND(AT327-SUM(AP327,AQ327,AR327,AS327),6))</f>
        <v>0</v>
      </c>
      <c r="AU1034" s="1010"/>
      <c r="AV1034" s="1010"/>
      <c r="AW1034" s="1010"/>
      <c r="AX1034" s="1010"/>
      <c r="AY1034" s="1010">
        <f>IF(ISBLANK(INDEX(MO_IS_FirstRow,0,COLUMN())),0,ROUND(AY327-SUM(AU327,AV327,AW327,AX327),6)+ROUND(AY327-SUM(AU327,AV327,AW327,AX327),6))</f>
        <v>0</v>
      </c>
      <c r="AZ1034" s="1010"/>
      <c r="BA1034" s="1010"/>
      <c r="BB1034" s="1010"/>
      <c r="BC1034" s="1010"/>
      <c r="BD1034" s="1010">
        <f>IF(ISBLANK(INDEX(MO_IS_FirstRow,0,COLUMN())),0,ROUND(BD327-SUM(AZ327,BA327,BB327,BC327),6)+ROUND(BD327-SUM(AZ327,BA327,BB327,BC327),6))</f>
        <v>0</v>
      </c>
      <c r="BE1034" s="1010"/>
      <c r="BF1034" s="1010"/>
      <c r="BG1034" s="1010"/>
      <c r="BH1034" s="1010"/>
      <c r="BI1034" s="1010">
        <f>IF(ISBLANK(INDEX(MO_IS_FirstRow,0,COLUMN())),0,ROUND(BI327-SUM(BE327,BF327,BG327,BH327),6)+ROUND(BI327-SUM(BE327,BF327,BG327,BH327),6))</f>
        <v>2</v>
      </c>
      <c r="BJ1034" s="1010"/>
      <c r="BK1034" s="1010"/>
      <c r="BL1034" s="1010"/>
      <c r="BM1034" s="1010"/>
      <c r="BN1034" s="1010">
        <f>IF(ISBLANK(INDEX(MO_IS_FirstRow,0,COLUMN())),0,ROUND(BN327-SUM(BJ327,BK327,BL327,BM327),6)+ROUND(BN327-SUM(BJ327,BK327,BL327,BM327),6))</f>
        <v>0</v>
      </c>
      <c r="BO1034" s="1010"/>
      <c r="BP1034" s="1010"/>
      <c r="BQ1034" s="1010"/>
      <c r="BR1034" s="1010"/>
      <c r="BS1034" s="1010">
        <f>IF(ISBLANK(INDEX(MO_IS_FirstRow,0,COLUMN())),0,ROUND(BS327-SUM(BO327,BP327,BQ327,BR327),6)+ROUND(BS327-SUM(BO327,BP327,BQ327,BR327),6))</f>
        <v>-2</v>
      </c>
      <c r="BT1034" s="1010"/>
      <c r="BU1034" s="1010"/>
      <c r="BV1034" s="1010"/>
      <c r="BW1034" s="1010"/>
      <c r="BX1034" s="1010">
        <f>IF(ISBLANK(INDEX(MO_IS_FirstRow,0,COLUMN())),0,ROUND(BX327-SUM(BT327,BU327,BV327,BW327),6)+ROUND(BX327-SUM(BT327,BU327,BV327,BW327),6))</f>
        <v>2</v>
      </c>
      <c r="BY1034" s="1011"/>
      <c r="BZ1034" s="1010"/>
      <c r="CA1034" s="1010"/>
      <c r="CB1034" s="1010"/>
      <c r="CC1034" s="1010"/>
      <c r="CD1034" s="1010"/>
      <c r="CE1034" s="1010"/>
      <c r="CF1034" s="1010"/>
      <c r="CG1034" s="1010"/>
      <c r="CH1034" s="1010"/>
      <c r="CI1034" s="1010"/>
      <c r="CJ1034" s="1010"/>
      <c r="CK1034" s="1010"/>
      <c r="CL1034" s="155"/>
    </row>
    <row r="1035" spans="1:90" x14ac:dyDescent="0.3">
      <c r="A1035" s="228" t="s">
        <v>245</v>
      </c>
      <c r="B1035" s="626"/>
      <c r="C1035" s="387">
        <f t="shared" ref="C1035:AH1035" si="2449">ROUND(1-INDEX(MO_MA_COGS_NONGAAP,0,COLUMN())-INDEX(MO_MA_SGA_NONGAAP,0,COLUMN())-INDEX(MO_MA_RD_NONGAAP,0,COLUMN())-INDEX(MO_MA_OPEX_NONGAAP,0,COLUMN())-INDEX(MO_MA_OperatingIncome_NONGAAP,0,COLUMN()),6)</f>
        <v>0</v>
      </c>
      <c r="D1035" s="387">
        <f t="shared" si="2449"/>
        <v>0</v>
      </c>
      <c r="E1035" s="387">
        <f t="shared" si="2449"/>
        <v>0</v>
      </c>
      <c r="F1035" s="387">
        <f t="shared" si="2449"/>
        <v>0</v>
      </c>
      <c r="G1035" s="387">
        <f t="shared" si="2449"/>
        <v>0</v>
      </c>
      <c r="H1035" s="387">
        <f t="shared" si="2449"/>
        <v>0</v>
      </c>
      <c r="I1035" s="387">
        <f t="shared" si="2449"/>
        <v>0</v>
      </c>
      <c r="J1035" s="387">
        <f t="shared" si="2449"/>
        <v>0</v>
      </c>
      <c r="K1035" s="387">
        <f t="shared" si="2449"/>
        <v>0</v>
      </c>
      <c r="L1035" s="387">
        <f t="shared" si="2449"/>
        <v>0</v>
      </c>
      <c r="M1035" s="387">
        <f t="shared" si="2449"/>
        <v>0</v>
      </c>
      <c r="N1035" s="387">
        <f t="shared" si="2449"/>
        <v>0</v>
      </c>
      <c r="O1035" s="387">
        <f t="shared" si="2449"/>
        <v>0</v>
      </c>
      <c r="P1035" s="387">
        <f t="shared" si="2449"/>
        <v>0</v>
      </c>
      <c r="Q1035" s="387">
        <f t="shared" si="2449"/>
        <v>0</v>
      </c>
      <c r="R1035" s="387">
        <f t="shared" si="2449"/>
        <v>0</v>
      </c>
      <c r="S1035" s="387">
        <f t="shared" si="2449"/>
        <v>0</v>
      </c>
      <c r="T1035" s="387">
        <f t="shared" si="2449"/>
        <v>0</v>
      </c>
      <c r="U1035" s="387">
        <f t="shared" si="2449"/>
        <v>0</v>
      </c>
      <c r="V1035" s="387">
        <f t="shared" si="2449"/>
        <v>0</v>
      </c>
      <c r="W1035" s="387">
        <f t="shared" si="2449"/>
        <v>0</v>
      </c>
      <c r="X1035" s="387">
        <f t="shared" si="2449"/>
        <v>0</v>
      </c>
      <c r="Y1035" s="387">
        <f t="shared" si="2449"/>
        <v>0</v>
      </c>
      <c r="Z1035" s="387">
        <f t="shared" si="2449"/>
        <v>0</v>
      </c>
      <c r="AA1035" s="387">
        <f t="shared" si="2449"/>
        <v>0</v>
      </c>
      <c r="AB1035" s="387">
        <f t="shared" si="2449"/>
        <v>0</v>
      </c>
      <c r="AC1035" s="387">
        <f t="shared" si="2449"/>
        <v>0</v>
      </c>
      <c r="AD1035" s="387">
        <f t="shared" si="2449"/>
        <v>0</v>
      </c>
      <c r="AE1035" s="387">
        <f t="shared" si="2449"/>
        <v>0</v>
      </c>
      <c r="AF1035" s="387">
        <f t="shared" si="2449"/>
        <v>0</v>
      </c>
      <c r="AG1035" s="387">
        <f t="shared" si="2449"/>
        <v>0</v>
      </c>
      <c r="AH1035" s="387">
        <f t="shared" si="2449"/>
        <v>0</v>
      </c>
      <c r="AI1035" s="387">
        <f t="shared" ref="AI1035:BE1035" si="2450">ROUND(1-INDEX(MO_MA_COGS_NONGAAP,0,COLUMN())-INDEX(MO_MA_SGA_NONGAAP,0,COLUMN())-INDEX(MO_MA_RD_NONGAAP,0,COLUMN())-INDEX(MO_MA_OPEX_NONGAAP,0,COLUMN())-INDEX(MO_MA_OperatingIncome_NONGAAP,0,COLUMN()),6)</f>
        <v>0</v>
      </c>
      <c r="AJ1035" s="387">
        <f t="shared" si="2450"/>
        <v>0</v>
      </c>
      <c r="AK1035" s="387">
        <f t="shared" si="2450"/>
        <v>0</v>
      </c>
      <c r="AL1035" s="387">
        <f t="shared" si="2450"/>
        <v>0</v>
      </c>
      <c r="AM1035" s="387">
        <f t="shared" si="2450"/>
        <v>0</v>
      </c>
      <c r="AN1035" s="387">
        <f t="shared" si="2450"/>
        <v>0</v>
      </c>
      <c r="AO1035" s="387">
        <f t="shared" si="2450"/>
        <v>0</v>
      </c>
      <c r="AP1035" s="387">
        <f t="shared" si="2450"/>
        <v>0</v>
      </c>
      <c r="AQ1035" s="387">
        <f t="shared" si="2450"/>
        <v>0</v>
      </c>
      <c r="AR1035" s="387">
        <f t="shared" si="2450"/>
        <v>0</v>
      </c>
      <c r="AS1035" s="387">
        <f t="shared" si="2450"/>
        <v>0</v>
      </c>
      <c r="AT1035" s="387">
        <f t="shared" si="2450"/>
        <v>0</v>
      </c>
      <c r="AU1035" s="387">
        <f t="shared" si="2450"/>
        <v>0</v>
      </c>
      <c r="AV1035" s="387">
        <f t="shared" si="2450"/>
        <v>0</v>
      </c>
      <c r="AW1035" s="387">
        <f t="shared" si="2450"/>
        <v>0</v>
      </c>
      <c r="AX1035" s="387">
        <f t="shared" si="2450"/>
        <v>0</v>
      </c>
      <c r="AY1035" s="387">
        <f t="shared" si="2450"/>
        <v>0</v>
      </c>
      <c r="AZ1035" s="387">
        <f t="shared" si="2450"/>
        <v>0</v>
      </c>
      <c r="BA1035" s="387">
        <f t="shared" si="2450"/>
        <v>0</v>
      </c>
      <c r="BB1035" s="387">
        <f t="shared" si="2450"/>
        <v>0</v>
      </c>
      <c r="BC1035" s="387">
        <f t="shared" si="2450"/>
        <v>0</v>
      </c>
      <c r="BD1035" s="387">
        <f t="shared" si="2450"/>
        <v>0</v>
      </c>
      <c r="BE1035" s="387">
        <f t="shared" si="2450"/>
        <v>0</v>
      </c>
      <c r="BF1035" s="387">
        <f t="shared" ref="BF1035:BI1035" si="2451">ROUND(1-INDEX(MO_MA_COGS_NONGAAP,0,COLUMN())-INDEX(MO_MA_SGA_NONGAAP,0,COLUMN())-INDEX(MO_MA_RD_NONGAAP,0,COLUMN())-INDEX(MO_MA_OPEX_NONGAAP,0,COLUMN())-INDEX(MO_MA_OperatingIncome_NONGAAP,0,COLUMN()),6)</f>
        <v>0</v>
      </c>
      <c r="BG1035" s="387">
        <f t="shared" si="2451"/>
        <v>0</v>
      </c>
      <c r="BH1035" s="387">
        <f t="shared" si="2451"/>
        <v>0</v>
      </c>
      <c r="BI1035" s="387">
        <f t="shared" si="2451"/>
        <v>0</v>
      </c>
      <c r="BJ1035" s="387">
        <f t="shared" ref="BJ1035:BN1035" si="2452">ROUND(1-INDEX(MO_MA_COGS_NONGAAP,0,COLUMN())-INDEX(MO_MA_SGA_NONGAAP,0,COLUMN())-INDEX(MO_MA_RD_NONGAAP,0,COLUMN())-INDEX(MO_MA_OPEX_NONGAAP,0,COLUMN())-INDEX(MO_MA_OperatingIncome_NONGAAP,0,COLUMN()),6)</f>
        <v>0</v>
      </c>
      <c r="BK1035" s="387">
        <f t="shared" si="2452"/>
        <v>0</v>
      </c>
      <c r="BL1035" s="387">
        <f t="shared" si="2452"/>
        <v>0</v>
      </c>
      <c r="BM1035" s="387">
        <f t="shared" si="2452"/>
        <v>0</v>
      </c>
      <c r="BN1035" s="387">
        <f t="shared" si="2452"/>
        <v>0</v>
      </c>
      <c r="BO1035" s="387">
        <f t="shared" ref="BO1035:BS1035" si="2453">ROUND(1-INDEX(MO_MA_COGS_NONGAAP,0,COLUMN())-INDEX(MO_MA_SGA_NONGAAP,0,COLUMN())-INDEX(MO_MA_RD_NONGAAP,0,COLUMN())-INDEX(MO_MA_OPEX_NONGAAP,0,COLUMN())-INDEX(MO_MA_OperatingIncome_NONGAAP,0,COLUMN()),6)</f>
        <v>0</v>
      </c>
      <c r="BP1035" s="387">
        <f t="shared" si="2453"/>
        <v>0</v>
      </c>
      <c r="BQ1035" s="387">
        <f t="shared" si="2453"/>
        <v>0</v>
      </c>
      <c r="BR1035" s="387">
        <f t="shared" si="2453"/>
        <v>0</v>
      </c>
      <c r="BS1035" s="387">
        <f t="shared" si="2453"/>
        <v>0</v>
      </c>
      <c r="BT1035" s="387">
        <f t="shared" ref="BT1035:CK1035" si="2454">ROUND(1-INDEX(MO_MA_COGS_NONGAAP,0,COLUMN())-INDEX(MO_MA_SGA_NONGAAP,0,COLUMN())-INDEX(MO_MA_RD_NONGAAP,0,COLUMN())-INDEX(MO_MA_OPEX_NONGAAP,0,COLUMN())-INDEX(MO_MA_OperatingIncome_NONGAAP,0,COLUMN()),6)</f>
        <v>0</v>
      </c>
      <c r="BU1035" s="387">
        <f t="shared" si="2454"/>
        <v>0</v>
      </c>
      <c r="BV1035" s="387">
        <f t="shared" si="2454"/>
        <v>0</v>
      </c>
      <c r="BW1035" s="387">
        <f t="shared" si="2454"/>
        <v>0</v>
      </c>
      <c r="BX1035" s="387">
        <f t="shared" si="2454"/>
        <v>0</v>
      </c>
      <c r="BY1035" s="1018">
        <f>ROUND(1-INDEX(MO_MA_COGS_NONGAAP,0,COLUMN())-INDEX(MO_MA_SGA_NONGAAP,0,COLUMN())-INDEX(MO_MA_RD_NONGAAP,0,COLUMN())-INDEX(MO_MA_OPEX_NONGAAP,0,COLUMN())-INDEX(MO_MA_OperatingIncome_NONGAAP,0,COLUMN()),6)</f>
        <v>0</v>
      </c>
      <c r="BZ1035" s="387">
        <f t="shared" si="2454"/>
        <v>0</v>
      </c>
      <c r="CA1035" s="387">
        <f t="shared" si="2454"/>
        <v>0</v>
      </c>
      <c r="CB1035" s="387">
        <f t="shared" si="2454"/>
        <v>0</v>
      </c>
      <c r="CC1035" s="387">
        <f t="shared" si="2454"/>
        <v>0</v>
      </c>
      <c r="CD1035" s="387">
        <f t="shared" si="2454"/>
        <v>0</v>
      </c>
      <c r="CE1035" s="387">
        <f t="shared" si="2454"/>
        <v>0</v>
      </c>
      <c r="CF1035" s="387">
        <f t="shared" si="2454"/>
        <v>0</v>
      </c>
      <c r="CG1035" s="387">
        <f t="shared" si="2454"/>
        <v>0</v>
      </c>
      <c r="CH1035" s="387">
        <f t="shared" si="2454"/>
        <v>0</v>
      </c>
      <c r="CI1035" s="387">
        <f t="shared" si="2454"/>
        <v>0</v>
      </c>
      <c r="CJ1035" s="387">
        <f t="shared" si="2454"/>
        <v>0</v>
      </c>
      <c r="CK1035" s="387">
        <f t="shared" si="2454"/>
        <v>0</v>
      </c>
      <c r="CL1035" s="155"/>
    </row>
    <row r="1036" spans="1:90" x14ac:dyDescent="0.3">
      <c r="A1036" s="27" t="s">
        <v>246</v>
      </c>
      <c r="B1036" s="563"/>
      <c r="C1036" s="1010">
        <f t="shared" ref="C1036:AH1036" si="2455">IF(OR(INDEX(MO_CFSum_Acquisition,1,COLUMN())&gt;0,INDEX(MO_CFSum_Divestiture,1,COLUMN())&lt;0,INDEX(MO_CFSum_Capex,1,COLUMN())&gt;0,INDEX(MO_CFSum_Dividend,1,COLUMN())&gt;0),"CHECK",0)</f>
        <v>0</v>
      </c>
      <c r="D1036" s="1010">
        <f t="shared" si="2455"/>
        <v>0</v>
      </c>
      <c r="E1036" s="1010">
        <f t="shared" si="2455"/>
        <v>0</v>
      </c>
      <c r="F1036" s="1010">
        <f t="shared" si="2455"/>
        <v>0</v>
      </c>
      <c r="G1036" s="1010">
        <f t="shared" si="2455"/>
        <v>0</v>
      </c>
      <c r="H1036" s="1010">
        <f t="shared" si="2455"/>
        <v>0</v>
      </c>
      <c r="I1036" s="1010">
        <f t="shared" si="2455"/>
        <v>0</v>
      </c>
      <c r="J1036" s="1010">
        <f t="shared" si="2455"/>
        <v>0</v>
      </c>
      <c r="K1036" s="1010">
        <f t="shared" si="2455"/>
        <v>0</v>
      </c>
      <c r="L1036" s="1010">
        <f t="shared" si="2455"/>
        <v>0</v>
      </c>
      <c r="M1036" s="1010">
        <f t="shared" si="2455"/>
        <v>0</v>
      </c>
      <c r="N1036" s="1010">
        <f t="shared" si="2455"/>
        <v>0</v>
      </c>
      <c r="O1036" s="1010">
        <f t="shared" si="2455"/>
        <v>0</v>
      </c>
      <c r="P1036" s="1010">
        <f t="shared" si="2455"/>
        <v>0</v>
      </c>
      <c r="Q1036" s="1010">
        <f t="shared" si="2455"/>
        <v>0</v>
      </c>
      <c r="R1036" s="1010">
        <f t="shared" si="2455"/>
        <v>0</v>
      </c>
      <c r="S1036" s="1010">
        <f t="shared" si="2455"/>
        <v>0</v>
      </c>
      <c r="T1036" s="1010">
        <f t="shared" si="2455"/>
        <v>0</v>
      </c>
      <c r="U1036" s="1010">
        <f t="shared" si="2455"/>
        <v>0</v>
      </c>
      <c r="V1036" s="1010">
        <f t="shared" si="2455"/>
        <v>0</v>
      </c>
      <c r="W1036" s="1010">
        <f t="shared" si="2455"/>
        <v>0</v>
      </c>
      <c r="X1036" s="1010">
        <f t="shared" si="2455"/>
        <v>0</v>
      </c>
      <c r="Y1036" s="1010">
        <f t="shared" si="2455"/>
        <v>0</v>
      </c>
      <c r="Z1036" s="1010">
        <f t="shared" si="2455"/>
        <v>0</v>
      </c>
      <c r="AA1036" s="1010">
        <f t="shared" si="2455"/>
        <v>0</v>
      </c>
      <c r="AB1036" s="1010">
        <f t="shared" si="2455"/>
        <v>0</v>
      </c>
      <c r="AC1036" s="1010">
        <f t="shared" si="2455"/>
        <v>0</v>
      </c>
      <c r="AD1036" s="1010">
        <f t="shared" si="2455"/>
        <v>0</v>
      </c>
      <c r="AE1036" s="1010">
        <f t="shared" si="2455"/>
        <v>0</v>
      </c>
      <c r="AF1036" s="1010">
        <f t="shared" si="2455"/>
        <v>0</v>
      </c>
      <c r="AG1036" s="1010">
        <f t="shared" si="2455"/>
        <v>0</v>
      </c>
      <c r="AH1036" s="1010">
        <f t="shared" si="2455"/>
        <v>0</v>
      </c>
      <c r="AI1036" s="1010">
        <f t="shared" ref="AI1036:AV1036" si="2456">IF(OR(INDEX(MO_CFSum_Acquisition,1,COLUMN())&gt;0,INDEX(MO_CFSum_Divestiture,1,COLUMN())&lt;0,INDEX(MO_CFSum_Capex,1,COLUMN())&gt;0,INDEX(MO_CFSum_Dividend,1,COLUMN())&gt;0),"CHECK",0)</f>
        <v>0</v>
      </c>
      <c r="AJ1036" s="1010">
        <f t="shared" si="2456"/>
        <v>0</v>
      </c>
      <c r="AK1036" s="1010">
        <f t="shared" si="2456"/>
        <v>0</v>
      </c>
      <c r="AL1036" s="1010">
        <f t="shared" si="2456"/>
        <v>0</v>
      </c>
      <c r="AM1036" s="1010">
        <f t="shared" si="2456"/>
        <v>0</v>
      </c>
      <c r="AN1036" s="1010">
        <f t="shared" si="2456"/>
        <v>0</v>
      </c>
      <c r="AO1036" s="1010">
        <f t="shared" si="2456"/>
        <v>0</v>
      </c>
      <c r="AP1036" s="1010">
        <f t="shared" si="2456"/>
        <v>0</v>
      </c>
      <c r="AQ1036" s="1010">
        <f t="shared" si="2456"/>
        <v>0</v>
      </c>
      <c r="AR1036" s="1010">
        <f t="shared" si="2456"/>
        <v>0</v>
      </c>
      <c r="AS1036" s="1010">
        <f t="shared" si="2456"/>
        <v>0</v>
      </c>
      <c r="AT1036" s="1010">
        <f t="shared" si="2456"/>
        <v>0</v>
      </c>
      <c r="AU1036" s="1010">
        <f t="shared" si="2456"/>
        <v>0</v>
      </c>
      <c r="AV1036" s="1010">
        <f t="shared" si="2456"/>
        <v>0</v>
      </c>
      <c r="AW1036" s="1010">
        <f t="shared" ref="AW1036:BB1036" si="2457">IF(OR(INDEX(MO_CFSum_Acquisition,1,COLUMN())&gt;0,INDEX(MO_CFSum_Divestiture,1,COLUMN())&lt;0,INDEX(MO_CFSum_Capex,1,COLUMN())&gt;0,INDEX(MO_CFSum_Dividend,1,COLUMN())&gt;0),"CHECK",0)</f>
        <v>0</v>
      </c>
      <c r="AX1036" s="1010">
        <f t="shared" si="2457"/>
        <v>0</v>
      </c>
      <c r="AY1036" s="1010">
        <f t="shared" si="2457"/>
        <v>0</v>
      </c>
      <c r="AZ1036" s="1010">
        <f t="shared" si="2457"/>
        <v>0</v>
      </c>
      <c r="BA1036" s="1010">
        <f t="shared" si="2457"/>
        <v>0</v>
      </c>
      <c r="BB1036" s="1010">
        <f t="shared" si="2457"/>
        <v>0</v>
      </c>
      <c r="BC1036" s="1010">
        <f t="shared" ref="BC1036:BD1036" si="2458">IF(OR(INDEX(MO_CFSum_Acquisition,1,COLUMN())&gt;0,INDEX(MO_CFSum_Divestiture,1,COLUMN())&lt;0,INDEX(MO_CFSum_Capex,1,COLUMN())&gt;0,INDEX(MO_CFSum_Dividend,1,COLUMN())&gt;0),"CHECK",0)</f>
        <v>0</v>
      </c>
      <c r="BD1036" s="1010">
        <f t="shared" si="2458"/>
        <v>0</v>
      </c>
      <c r="BE1036" s="1010">
        <f t="shared" ref="BE1036:BI1036" si="2459">IF(OR(INDEX(MO_CFSum_Acquisition,1,COLUMN())&gt;0,INDEX(MO_CFSum_Divestiture,1,COLUMN())&lt;0,INDEX(MO_CFSum_Capex,1,COLUMN())&gt;0,INDEX(MO_CFSum_Dividend,1,COLUMN())&gt;0),"CHECK",0)</f>
        <v>0</v>
      </c>
      <c r="BF1036" s="1010">
        <f t="shared" si="2459"/>
        <v>0</v>
      </c>
      <c r="BG1036" s="1010">
        <f t="shared" si="2459"/>
        <v>0</v>
      </c>
      <c r="BH1036" s="1010">
        <f t="shared" si="2459"/>
        <v>0</v>
      </c>
      <c r="BI1036" s="1010">
        <f t="shared" si="2459"/>
        <v>0</v>
      </c>
      <c r="BJ1036" s="1010">
        <f t="shared" ref="BJ1036:BN1036" si="2460">IF(OR(INDEX(MO_CFSum_Acquisition,1,COLUMN())&gt;0,INDEX(MO_CFSum_Divestiture,1,COLUMN())&lt;0,INDEX(MO_CFSum_Capex,1,COLUMN())&gt;0,INDEX(MO_CFSum_Dividend,1,COLUMN())&gt;0),"CHECK",0)</f>
        <v>0</v>
      </c>
      <c r="BK1036" s="1010">
        <f t="shared" si="2460"/>
        <v>0</v>
      </c>
      <c r="BL1036" s="1010">
        <f t="shared" si="2460"/>
        <v>0</v>
      </c>
      <c r="BM1036" s="1010">
        <f t="shared" si="2460"/>
        <v>0</v>
      </c>
      <c r="BN1036" s="1010">
        <f t="shared" si="2460"/>
        <v>0</v>
      </c>
      <c r="BO1036" s="1010">
        <f t="shared" ref="BO1036:BS1036" si="2461">IF(OR(INDEX(MO_CFSum_Acquisition,1,COLUMN())&gt;0,INDEX(MO_CFSum_Divestiture,1,COLUMN())&lt;0,INDEX(MO_CFSum_Capex,1,COLUMN())&gt;0,INDEX(MO_CFSum_Dividend,1,COLUMN())&gt;0),"CHECK",0)</f>
        <v>0</v>
      </c>
      <c r="BP1036" s="1010">
        <f t="shared" si="2461"/>
        <v>0</v>
      </c>
      <c r="BQ1036" s="1010">
        <f t="shared" si="2461"/>
        <v>0</v>
      </c>
      <c r="BR1036" s="1010">
        <f t="shared" si="2461"/>
        <v>0</v>
      </c>
      <c r="BS1036" s="1010">
        <f t="shared" si="2461"/>
        <v>0</v>
      </c>
      <c r="BT1036" s="1010">
        <f t="shared" ref="BT1036:CK1036" si="2462">IF(OR(INDEX(MO_CFSum_Acquisition,1,COLUMN())&gt;0,INDEX(MO_CFSum_Divestiture,1,COLUMN())&lt;0,INDEX(MO_CFSum_Capex,1,COLUMN())&gt;0,INDEX(MO_CFSum_Dividend,1,COLUMN())&gt;0),"CHECK",0)</f>
        <v>0</v>
      </c>
      <c r="BU1036" s="1010">
        <f t="shared" si="2462"/>
        <v>0</v>
      </c>
      <c r="BV1036" s="1010">
        <f t="shared" si="2462"/>
        <v>0</v>
      </c>
      <c r="BW1036" s="1010">
        <f t="shared" si="2462"/>
        <v>0</v>
      </c>
      <c r="BX1036" s="1010">
        <f t="shared" si="2462"/>
        <v>0</v>
      </c>
      <c r="BY1036" s="1011">
        <f>IF(OR(INDEX(MO_CFSum_Acquisition,1,COLUMN())&gt;0,INDEX(MO_CFSum_Divestiture,1,COLUMN())&lt;0,INDEX(MO_CFSum_Capex,1,COLUMN())&gt;0,INDEX(MO_CFSum_Dividend,1,COLUMN())&gt;0),"CHECK",0)</f>
        <v>0</v>
      </c>
      <c r="BZ1036" s="1010">
        <f t="shared" si="2462"/>
        <v>0</v>
      </c>
      <c r="CA1036" s="1010">
        <f t="shared" si="2462"/>
        <v>0</v>
      </c>
      <c r="CB1036" s="1010">
        <f t="shared" si="2462"/>
        <v>0</v>
      </c>
      <c r="CC1036" s="1010">
        <f t="shared" si="2462"/>
        <v>0</v>
      </c>
      <c r="CD1036" s="1010">
        <f t="shared" si="2462"/>
        <v>0</v>
      </c>
      <c r="CE1036" s="1010">
        <f t="shared" si="2462"/>
        <v>0</v>
      </c>
      <c r="CF1036" s="1010">
        <f t="shared" si="2462"/>
        <v>0</v>
      </c>
      <c r="CG1036" s="1010">
        <f t="shared" si="2462"/>
        <v>0</v>
      </c>
      <c r="CH1036" s="1010">
        <f t="shared" si="2462"/>
        <v>0</v>
      </c>
      <c r="CI1036" s="1010">
        <f t="shared" si="2462"/>
        <v>0</v>
      </c>
      <c r="CJ1036" s="1010">
        <f t="shared" si="2462"/>
        <v>0</v>
      </c>
      <c r="CK1036" s="1010">
        <f t="shared" si="2462"/>
        <v>0</v>
      </c>
      <c r="CL1036" s="155"/>
    </row>
    <row r="1037" spans="1:90" x14ac:dyDescent="0.3">
      <c r="A1037" s="27" t="s">
        <v>247</v>
      </c>
      <c r="B1037" s="563"/>
      <c r="C1037" s="1010"/>
      <c r="D1037" s="1010"/>
      <c r="E1037" s="1010"/>
      <c r="F1037" s="1010"/>
      <c r="G1037" s="1010"/>
      <c r="H1037" s="1010"/>
      <c r="I1037" s="1010"/>
      <c r="J1037" s="1010"/>
      <c r="K1037" s="1010">
        <f>ROUND(K424-SUM(G424,H424,I424,J424),6)</f>
        <v>0</v>
      </c>
      <c r="L1037" s="1010"/>
      <c r="M1037" s="1010"/>
      <c r="N1037" s="1010"/>
      <c r="O1037" s="1010"/>
      <c r="P1037" s="1010">
        <f>ROUND(P424-SUM(L424,M424,N424,O424),6)</f>
        <v>0</v>
      </c>
      <c r="Q1037" s="1010"/>
      <c r="R1037" s="1010"/>
      <c r="S1037" s="1010"/>
      <c r="T1037" s="1010"/>
      <c r="U1037" s="1010">
        <f>ROUND(U424-SUM(Q424,R424,S424,T424),6)</f>
        <v>-2</v>
      </c>
      <c r="V1037" s="1010"/>
      <c r="W1037" s="1010"/>
      <c r="X1037" s="1010"/>
      <c r="Y1037" s="1010"/>
      <c r="Z1037" s="1010">
        <f>ROUND(Z424-SUM(V424,W424,X424,Y424),6)</f>
        <v>2</v>
      </c>
      <c r="AA1037" s="1010"/>
      <c r="AB1037" s="1010"/>
      <c r="AC1037" s="1010"/>
      <c r="AD1037" s="1010"/>
      <c r="AE1037" s="1010">
        <f>ROUND(AE424-SUM(AA424,AB424,AC424,AD424),6)</f>
        <v>0</v>
      </c>
      <c r="AF1037" s="1010"/>
      <c r="AG1037" s="1010"/>
      <c r="AH1037" s="1010"/>
      <c r="AI1037" s="1010"/>
      <c r="AJ1037" s="1010">
        <f>ROUND(AJ424-SUM(AF424,AG424,AH424,AI424),6)</f>
        <v>1</v>
      </c>
      <c r="AK1037" s="1010"/>
      <c r="AL1037" s="1010"/>
      <c r="AM1037" s="1010"/>
      <c r="AN1037" s="1010"/>
      <c r="AO1037" s="1010">
        <f>ROUND(AO424-SUM(AK424,AL424,AM424,AN424),6)</f>
        <v>-1</v>
      </c>
      <c r="AP1037" s="1010"/>
      <c r="AQ1037" s="1010"/>
      <c r="AR1037" s="1010"/>
      <c r="AS1037" s="1010"/>
      <c r="AT1037" s="1010">
        <f>ROUND(AT424-SUM(AP424,AQ424,AR424,AS424),6)</f>
        <v>1</v>
      </c>
      <c r="AU1037" s="1010"/>
      <c r="AV1037" s="1010"/>
      <c r="AW1037" s="1010"/>
      <c r="AX1037" s="1010"/>
      <c r="AY1037" s="1010">
        <f>ROUND(AY424-SUM(AU424,AV424,AW424,AX424),6)</f>
        <v>0</v>
      </c>
      <c r="AZ1037" s="1010"/>
      <c r="BA1037" s="1010"/>
      <c r="BB1037" s="1010"/>
      <c r="BC1037" s="1010"/>
      <c r="BD1037" s="1010">
        <f>ROUND(BD424-SUM(AZ424,BA424,BB424,BC424),6)</f>
        <v>-1</v>
      </c>
      <c r="BE1037" s="1010"/>
      <c r="BF1037" s="1010"/>
      <c r="BG1037" s="1010"/>
      <c r="BH1037" s="1010"/>
      <c r="BI1037" s="1010">
        <f>ROUND(BI424-SUM(BE424,BF424,BG424,BH424),6)</f>
        <v>0</v>
      </c>
      <c r="BJ1037" s="1010"/>
      <c r="BK1037" s="1010"/>
      <c r="BL1037" s="1010"/>
      <c r="BM1037" s="1010"/>
      <c r="BN1037" s="1010">
        <f>ROUND(BN424-SUM(BJ424,BK424,BL424,BM424),6)</f>
        <v>1</v>
      </c>
      <c r="BO1037" s="1010"/>
      <c r="BP1037" s="1010"/>
      <c r="BQ1037" s="1010"/>
      <c r="BR1037" s="1010"/>
      <c r="BS1037" s="1010">
        <f>ROUND(BS424-SUM(BO424,BP424,BQ424,BR424),6)</f>
        <v>0</v>
      </c>
      <c r="BT1037" s="1010"/>
      <c r="BU1037" s="1010"/>
      <c r="BV1037" s="1010"/>
      <c r="BW1037" s="1010"/>
      <c r="BX1037" s="1010">
        <f>ROUND(BX424-SUM(BT424,BU424,BV424,BW424),6)</f>
        <v>0</v>
      </c>
      <c r="BY1037" s="1011"/>
      <c r="BZ1037" s="1010"/>
      <c r="CA1037" s="1010"/>
      <c r="CB1037" s="1010"/>
      <c r="CC1037" s="1010">
        <f>ROUND(CC424-SUM(BY424,BZ424,CA424,CB424),6)</f>
        <v>0</v>
      </c>
      <c r="CD1037" s="1010"/>
      <c r="CE1037" s="1010"/>
      <c r="CF1037" s="1010"/>
      <c r="CG1037" s="1010"/>
      <c r="CH1037" s="1010">
        <f>ROUND(CH424-SUM(CD424,CE424,CF424,CG424),6)</f>
        <v>0</v>
      </c>
      <c r="CI1037" s="1010"/>
      <c r="CJ1037" s="1010"/>
      <c r="CK1037" s="1010"/>
      <c r="CL1037" s="155"/>
    </row>
    <row r="1038" spans="1:90" x14ac:dyDescent="0.3">
      <c r="A1038" s="27" t="s">
        <v>248</v>
      </c>
      <c r="B1038" s="563"/>
      <c r="C1038" s="1010"/>
      <c r="D1038" s="1010"/>
      <c r="E1038" s="1010"/>
      <c r="F1038" s="1010"/>
      <c r="G1038" s="1010"/>
      <c r="H1038" s="1010"/>
      <c r="I1038" s="1010"/>
      <c r="J1038" s="1010"/>
      <c r="K1038" s="1010">
        <f>ROUND(K415-SUM(G415,H415,I415,J415),6)</f>
        <v>0</v>
      </c>
      <c r="L1038" s="1010"/>
      <c r="M1038" s="1010"/>
      <c r="N1038" s="1010"/>
      <c r="O1038" s="1010"/>
      <c r="P1038" s="1010">
        <f>ROUND(P415-SUM(L415,M415,N415,O415),6)</f>
        <v>0</v>
      </c>
      <c r="Q1038" s="1010"/>
      <c r="R1038" s="1010"/>
      <c r="S1038" s="1010"/>
      <c r="T1038" s="1010"/>
      <c r="U1038" s="1010">
        <f>ROUND(U415-SUM(Q415,R415,S415,T415),6)</f>
        <v>1</v>
      </c>
      <c r="V1038" s="1010"/>
      <c r="W1038" s="1010"/>
      <c r="X1038" s="1010"/>
      <c r="Y1038" s="1010"/>
      <c r="Z1038" s="1010">
        <f>ROUND(Z415-SUM(V415,W415,X415,Y415),6)</f>
        <v>0</v>
      </c>
      <c r="AA1038" s="1010"/>
      <c r="AB1038" s="1010"/>
      <c r="AC1038" s="1010"/>
      <c r="AD1038" s="1010"/>
      <c r="AE1038" s="1010">
        <f>ROUND(AE415-SUM(AA415,AB415,AC415,AD415),6)</f>
        <v>1</v>
      </c>
      <c r="AF1038" s="1010"/>
      <c r="AG1038" s="1010"/>
      <c r="AH1038" s="1010"/>
      <c r="AI1038" s="1010"/>
      <c r="AJ1038" s="1010">
        <f>ROUND(AJ415-SUM(AF415,AG415,AH415,AI415),6)</f>
        <v>0</v>
      </c>
      <c r="AK1038" s="1010"/>
      <c r="AL1038" s="1010"/>
      <c r="AM1038" s="1010"/>
      <c r="AN1038" s="1010"/>
      <c r="AO1038" s="1010">
        <f>ROUND(AO415-SUM(AK415,AL415,AM415,AN415),6)</f>
        <v>1</v>
      </c>
      <c r="AP1038" s="1010"/>
      <c r="AQ1038" s="1010"/>
      <c r="AR1038" s="1010"/>
      <c r="AS1038" s="1010"/>
      <c r="AT1038" s="1010">
        <f>ROUND(AT415-SUM(AP415,AQ415,AR415,AS415),6)</f>
        <v>0</v>
      </c>
      <c r="AU1038" s="1010"/>
      <c r="AV1038" s="1010"/>
      <c r="AW1038" s="1010"/>
      <c r="AX1038" s="1010"/>
      <c r="AY1038" s="1010">
        <f>ROUND(AY415-SUM(AU415,AV415,AW415,AX415),6)</f>
        <v>0</v>
      </c>
      <c r="AZ1038" s="1010"/>
      <c r="BA1038" s="1010"/>
      <c r="BB1038" s="1010"/>
      <c r="BC1038" s="1010"/>
      <c r="BD1038" s="1010">
        <f>ROUND(BD415-SUM(AZ415,BA415,BB415,BC415),6)</f>
        <v>0</v>
      </c>
      <c r="BE1038" s="1010"/>
      <c r="BF1038" s="1010"/>
      <c r="BG1038" s="1010"/>
      <c r="BH1038" s="1010"/>
      <c r="BI1038" s="1010">
        <f>ROUND(BI415-SUM(BE415,BF415,BG415,BH415),6)</f>
        <v>1</v>
      </c>
      <c r="BJ1038" s="1010"/>
      <c r="BK1038" s="1010"/>
      <c r="BL1038" s="1010"/>
      <c r="BM1038" s="1010"/>
      <c r="BN1038" s="1010">
        <f>ROUND(BN415-SUM(BJ415,BK415,BL415,BM415),6)</f>
        <v>0</v>
      </c>
      <c r="BO1038" s="1010"/>
      <c r="BP1038" s="1010"/>
      <c r="BQ1038" s="1010"/>
      <c r="BR1038" s="1010"/>
      <c r="BS1038" s="1010">
        <f>ROUND(BS415-SUM(BO415,BP415,BQ415,BR415),6)</f>
        <v>-1</v>
      </c>
      <c r="BT1038" s="1010"/>
      <c r="BU1038" s="1010"/>
      <c r="BV1038" s="1010"/>
      <c r="BW1038" s="1010"/>
      <c r="BX1038" s="1010">
        <f>ROUND(BX415-SUM(BT415,BU415,BV415,BW415),6)</f>
        <v>1</v>
      </c>
      <c r="BY1038" s="1011"/>
      <c r="BZ1038" s="1010"/>
      <c r="CA1038" s="1010"/>
      <c r="CB1038" s="1010"/>
      <c r="CC1038" s="1010">
        <f>ROUND(CC415-SUM(BY415,BZ415,CA415,CB415),6)</f>
        <v>0</v>
      </c>
      <c r="CD1038" s="1010"/>
      <c r="CE1038" s="1010"/>
      <c r="CF1038" s="1010"/>
      <c r="CG1038" s="1010"/>
      <c r="CH1038" s="1010">
        <f>ROUND(CH415-SUM(CD415,CE415,CF415,CG415),6)</f>
        <v>0</v>
      </c>
      <c r="CI1038" s="1010"/>
      <c r="CJ1038" s="1010"/>
      <c r="CK1038" s="1010"/>
      <c r="CL1038" s="155"/>
    </row>
    <row r="1039" spans="1:90" x14ac:dyDescent="0.3">
      <c r="A1039" s="27" t="s">
        <v>249</v>
      </c>
      <c r="B1039" s="563"/>
      <c r="C1039" s="1010"/>
      <c r="D1039" s="1010"/>
      <c r="E1039" s="1010"/>
      <c r="F1039" s="1010"/>
      <c r="G1039" s="1010"/>
      <c r="H1039" s="1010"/>
      <c r="I1039" s="1010"/>
      <c r="J1039" s="1010"/>
      <c r="K1039" s="1010">
        <f ca="1">ROUND(SUM(G868,H868,I868,J868)-SUM(OFFSET(INDEX(MO_CFS_CFO_BeforeWC,1,COLUMN()),ROW(INDEX(MO_SubSection_CFS_CFO,1,COLUMN()))-ROW(INDEX(MO_CFS_CFO_BeforeWC,1,COLUMN())),0,ROW(INDEX(MO_CFS_CFO_BeforeWC,1,COLUMN()))-ROW(INDEX(MO_SubSection_CFS_CFO,1,COLUMN())),1)),6)</f>
        <v>0</v>
      </c>
      <c r="L1039" s="1010"/>
      <c r="M1039" s="1010"/>
      <c r="N1039" s="1010"/>
      <c r="O1039" s="1010"/>
      <c r="P1039" s="1010">
        <f ca="1">ROUND(SUM(L868,M868,N868,O868)-SUM(OFFSET(INDEX(MO_CFS_CFO_BeforeWC,1,COLUMN()),ROW(INDEX(MO_SubSection_CFS_CFO,1,COLUMN()))-ROW(INDEX(MO_CFS_CFO_BeforeWC,1,COLUMN())),0,ROW(INDEX(MO_CFS_CFO_BeforeWC,1,COLUMN()))-ROW(INDEX(MO_SubSection_CFS_CFO,1,COLUMN())),1)),6)</f>
        <v>0</v>
      </c>
      <c r="Q1039" s="1010"/>
      <c r="R1039" s="1010"/>
      <c r="S1039" s="1010"/>
      <c r="T1039" s="1010"/>
      <c r="U1039" s="1010">
        <f ca="1">ROUND(SUM(Q868,R868,S868,T868)-SUM(OFFSET(INDEX(MO_CFS_CFO_BeforeWC,1,COLUMN()),ROW(INDEX(MO_SubSection_CFS_CFO,1,COLUMN()))-ROW(INDEX(MO_CFS_CFO_BeforeWC,1,COLUMN())),0,ROW(INDEX(MO_CFS_CFO_BeforeWC,1,COLUMN()))-ROW(INDEX(MO_SubSection_CFS_CFO,1,COLUMN())),1)),6)</f>
        <v>0</v>
      </c>
      <c r="V1039" s="1010"/>
      <c r="W1039" s="1010"/>
      <c r="X1039" s="1010"/>
      <c r="Y1039" s="1010"/>
      <c r="Z1039" s="1010">
        <f ca="1">ROUND(SUM(V868,W868,X868,Y868)-SUM(OFFSET(INDEX(MO_CFS_CFO_BeforeWC,1,COLUMN()),ROW(INDEX(MO_SubSection_CFS_CFO,1,COLUMN()))-ROW(INDEX(MO_CFS_CFO_BeforeWC,1,COLUMN())),0,ROW(INDEX(MO_CFS_CFO_BeforeWC,1,COLUMN()))-ROW(INDEX(MO_SubSection_CFS_CFO,1,COLUMN())),1)),6)</f>
        <v>0</v>
      </c>
      <c r="AA1039" s="1010"/>
      <c r="AB1039" s="1010"/>
      <c r="AC1039" s="1010"/>
      <c r="AD1039" s="1010"/>
      <c r="AE1039" s="1010">
        <f ca="1">ROUND(SUM(AA868,AB868,AC868,AD868)-SUM(OFFSET(INDEX(MO_CFS_CFO_BeforeWC,1,COLUMN()),ROW(INDEX(MO_SubSection_CFS_CFO,1,COLUMN()))-ROW(INDEX(MO_CFS_CFO_BeforeWC,1,COLUMN())),0,ROW(INDEX(MO_CFS_CFO_BeforeWC,1,COLUMN()))-ROW(INDEX(MO_SubSection_CFS_CFO,1,COLUMN())),1)),6)</f>
        <v>0</v>
      </c>
      <c r="AF1039" s="1010"/>
      <c r="AG1039" s="1010"/>
      <c r="AH1039" s="1010"/>
      <c r="AI1039" s="1010"/>
      <c r="AJ1039" s="1010">
        <f ca="1">ROUND(SUM(AF868,AG868,AH868,AI868)-SUM(OFFSET(INDEX(MO_CFS_CFO_BeforeWC,1,COLUMN()),ROW(INDEX(MO_SubSection_CFS_CFO,1,COLUMN()))-ROW(INDEX(MO_CFS_CFO_BeforeWC,1,COLUMN())),0,ROW(INDEX(MO_CFS_CFO_BeforeWC,1,COLUMN()))-ROW(INDEX(MO_SubSection_CFS_CFO,1,COLUMN())),1)),6)</f>
        <v>0</v>
      </c>
      <c r="AK1039" s="1010"/>
      <c r="AL1039" s="1010"/>
      <c r="AM1039" s="1010"/>
      <c r="AN1039" s="1010"/>
      <c r="AO1039" s="1010">
        <f ca="1">ROUND(SUM(AK868,AL868,AM868,AN868)-SUM(OFFSET(INDEX(MO_CFS_CFO_BeforeWC,1,COLUMN()),ROW(INDEX(MO_SubSection_CFS_CFO,1,COLUMN()))-ROW(INDEX(MO_CFS_CFO_BeforeWC,1,COLUMN())),0,ROW(INDEX(MO_CFS_CFO_BeforeWC,1,COLUMN()))-ROW(INDEX(MO_SubSection_CFS_CFO,1,COLUMN())),1)),6)</f>
        <v>0</v>
      </c>
      <c r="AP1039" s="1010"/>
      <c r="AQ1039" s="1010"/>
      <c r="AR1039" s="1010"/>
      <c r="AS1039" s="1010"/>
      <c r="AT1039" s="1010">
        <f ca="1">ROUND(SUM(AP868,AQ868,AR868,AS868)-SUM(OFFSET(INDEX(MO_CFS_CFO_BeforeWC,1,COLUMN()),ROW(INDEX(MO_SubSection_CFS_CFO,1,COLUMN()))-ROW(INDEX(MO_CFS_CFO_BeforeWC,1,COLUMN())),0,ROW(INDEX(MO_CFS_CFO_BeforeWC,1,COLUMN()))-ROW(INDEX(MO_SubSection_CFS_CFO,1,COLUMN())),1)),6)</f>
        <v>0</v>
      </c>
      <c r="AU1039" s="1010"/>
      <c r="AV1039" s="1010"/>
      <c r="AW1039" s="1010"/>
      <c r="AX1039" s="1010"/>
      <c r="AY1039" s="1010">
        <f ca="1">ROUND(SUM(AU868,AV868,AW868,AX868)-SUM(OFFSET(INDEX(MO_CFS_CFO_BeforeWC,1,COLUMN()),ROW(INDEX(MO_SubSection_CFS_CFO,1,COLUMN()))-ROW(INDEX(MO_CFS_CFO_BeforeWC,1,COLUMN())),0,ROW(INDEX(MO_CFS_CFO_BeforeWC,1,COLUMN()))-ROW(INDEX(MO_SubSection_CFS_CFO,1,COLUMN())),1)),6)</f>
        <v>0</v>
      </c>
      <c r="AZ1039" s="1010"/>
      <c r="BA1039" s="1010"/>
      <c r="BB1039" s="1010"/>
      <c r="BC1039" s="1010"/>
      <c r="BD1039" s="1010">
        <f ca="1">ROUND(SUM(AZ868,BA868,BB868,BC868)-SUM(OFFSET(INDEX(MO_CFS_CFO_BeforeWC,1,COLUMN()),ROW(INDEX(MO_SubSection_CFS_CFO,1,COLUMN()))-ROW(INDEX(MO_CFS_CFO_BeforeWC,1,COLUMN())),0,ROW(INDEX(MO_CFS_CFO_BeforeWC,1,COLUMN()))-ROW(INDEX(MO_SubSection_CFS_CFO,1,COLUMN())),1)),6)</f>
        <v>0</v>
      </c>
      <c r="BE1039" s="1010"/>
      <c r="BF1039" s="1010"/>
      <c r="BG1039" s="1010"/>
      <c r="BH1039" s="1010"/>
      <c r="BI1039" s="1010">
        <f ca="1">ROUND(SUM(BE868,BF868,BG868,BH868)-SUM(OFFSET(INDEX(MO_CFS_CFO_BeforeWC,1,COLUMN()),ROW(INDEX(MO_SubSection_CFS_CFO,1,COLUMN()))-ROW(INDEX(MO_CFS_CFO_BeforeWC,1,COLUMN())),0,ROW(INDEX(MO_CFS_CFO_BeforeWC,1,COLUMN()))-ROW(INDEX(MO_SubSection_CFS_CFO,1,COLUMN())),1)),6)</f>
        <v>0</v>
      </c>
      <c r="BJ1039" s="1010"/>
      <c r="BK1039" s="1010"/>
      <c r="BL1039" s="1010"/>
      <c r="BM1039" s="1010"/>
      <c r="BN1039" s="1010">
        <f ca="1">ROUND(SUM(BJ868,BK868,BL868,BM868)-SUM(OFFSET(INDEX(MO_CFS_CFO_BeforeWC,1,COLUMN()),ROW(INDEX(MO_SubSection_CFS_CFO,1,COLUMN()))-ROW(INDEX(MO_CFS_CFO_BeforeWC,1,COLUMN())),0,ROW(INDEX(MO_CFS_CFO_BeforeWC,1,COLUMN()))-ROW(INDEX(MO_SubSection_CFS_CFO,1,COLUMN())),1)),6)</f>
        <v>0</v>
      </c>
      <c r="BO1039" s="1010"/>
      <c r="BP1039" s="1010"/>
      <c r="BQ1039" s="1010"/>
      <c r="BR1039" s="1010"/>
      <c r="BS1039" s="1010">
        <f ca="1">ROUND(SUM(BO868,BP868,BQ868,BR868)-SUM(OFFSET(INDEX(MO_CFS_CFO_BeforeWC,1,COLUMN()),ROW(INDEX(MO_SubSection_CFS_CFO,1,COLUMN()))-ROW(INDEX(MO_CFS_CFO_BeforeWC,1,COLUMN())),0,ROW(INDEX(MO_CFS_CFO_BeforeWC,1,COLUMN()))-ROW(INDEX(MO_SubSection_CFS_CFO,1,COLUMN())),1)),6)</f>
        <v>0</v>
      </c>
      <c r="BT1039" s="1010"/>
      <c r="BU1039" s="1010"/>
      <c r="BV1039" s="1010"/>
      <c r="BW1039" s="1010"/>
      <c r="BX1039" s="1010">
        <f ca="1">ROUND(SUM(BT868,BU868,BV868,BW868)-SUM(OFFSET(INDEX(MO_CFS_CFO_BeforeWC,1,COLUMN()),ROW(INDEX(MO_SubSection_CFS_CFO,1,COLUMN()))-ROW(INDEX(MO_CFS_CFO_BeforeWC,1,COLUMN())),0,ROW(INDEX(MO_CFS_CFO_BeforeWC,1,COLUMN()))-ROW(INDEX(MO_SubSection_CFS_CFO,1,COLUMN())),1)),6)</f>
        <v>0</v>
      </c>
      <c r="BY1039" s="1011"/>
      <c r="BZ1039" s="1010"/>
      <c r="CA1039" s="1010"/>
      <c r="CB1039" s="1010"/>
      <c r="CC1039" s="1010">
        <f ca="1">ROUND(SUM(BY868,BZ868,CA868,CB868)-SUM(OFFSET(INDEX(MO_CFS_CFO_BeforeWC,1,COLUMN()),ROW(INDEX(MO_SubSection_CFS_CFO,1,COLUMN()))-ROW(INDEX(MO_CFS_CFO_BeforeWC,1,COLUMN())),0,ROW(INDEX(MO_CFS_CFO_BeforeWC,1,COLUMN()))-ROW(INDEX(MO_SubSection_CFS_CFO,1,COLUMN())),1)),6)</f>
        <v>0</v>
      </c>
      <c r="CD1039" s="1010"/>
      <c r="CE1039" s="1010"/>
      <c r="CF1039" s="1010"/>
      <c r="CG1039" s="1010"/>
      <c r="CH1039" s="1010">
        <f ca="1">ROUND(SUM(CD868,CE868,CF868,CG868)-SUM(OFFSET(INDEX(MO_CFS_CFO_BeforeWC,1,COLUMN()),ROW(INDEX(MO_SubSection_CFS_CFO,1,COLUMN()))-ROW(INDEX(MO_CFS_CFO_BeforeWC,1,COLUMN())),0,ROW(INDEX(MO_CFS_CFO_BeforeWC,1,COLUMN()))-ROW(INDEX(MO_SubSection_CFS_CFO,1,COLUMN())),1)),6)</f>
        <v>0</v>
      </c>
      <c r="CI1039" s="1010"/>
      <c r="CJ1039" s="1010"/>
      <c r="CK1039" s="1010"/>
      <c r="CL1039" s="155"/>
    </row>
    <row r="1040" spans="1:90" x14ac:dyDescent="0.3">
      <c r="A1040" s="27" t="s">
        <v>250</v>
      </c>
      <c r="B1040" s="563"/>
      <c r="C1040" s="1010"/>
      <c r="D1040" s="1010"/>
      <c r="E1040" s="1010"/>
      <c r="F1040" s="1010"/>
      <c r="G1040" s="1010"/>
      <c r="H1040" s="1010"/>
      <c r="I1040" s="1010"/>
      <c r="J1040" s="1010"/>
      <c r="K1040" s="1010">
        <f ca="1">ROUND(SUM(G877,H877,I877,J877)-SUM(OFFSET(INDEX(MO_CFS_CFO,1,COLUMN()),ROW(INDEX(MO_CFS_CFO_BeforeWC,1,COLUMN()))-ROW(INDEX(MO_CFS_CFO,1,COLUMN())),0,ROW(INDEX(MO_CFS_CFO,1,COLUMN()))-ROW(INDEX(MO_CFS_CFO_BeforeWC,1,COLUMN())),1)),6)</f>
        <v>0</v>
      </c>
      <c r="L1040" s="1010"/>
      <c r="M1040" s="1010"/>
      <c r="N1040" s="1010"/>
      <c r="O1040" s="1010"/>
      <c r="P1040" s="1010">
        <f ca="1">ROUND(SUM(L877,M877,N877,O877)-SUM(OFFSET(INDEX(MO_CFS_CFO,1,COLUMN()),ROW(INDEX(MO_CFS_CFO_BeforeWC,1,COLUMN()))-ROW(INDEX(MO_CFS_CFO,1,COLUMN())),0,ROW(INDEX(MO_CFS_CFO,1,COLUMN()))-ROW(INDEX(MO_CFS_CFO_BeforeWC,1,COLUMN())),1)),6)</f>
        <v>0</v>
      </c>
      <c r="Q1040" s="1010"/>
      <c r="R1040" s="1010"/>
      <c r="S1040" s="1010"/>
      <c r="T1040" s="1010"/>
      <c r="U1040" s="1010">
        <f ca="1">ROUND(SUM(Q877,R877,S877,T877)-SUM(OFFSET(INDEX(MO_CFS_CFO,1,COLUMN()),ROW(INDEX(MO_CFS_CFO_BeforeWC,1,COLUMN()))-ROW(INDEX(MO_CFS_CFO,1,COLUMN())),0,ROW(INDEX(MO_CFS_CFO,1,COLUMN()))-ROW(INDEX(MO_CFS_CFO_BeforeWC,1,COLUMN())),1)),6)</f>
        <v>0</v>
      </c>
      <c r="V1040" s="1010"/>
      <c r="W1040" s="1010"/>
      <c r="X1040" s="1010"/>
      <c r="Y1040" s="1010"/>
      <c r="Z1040" s="1010">
        <f ca="1">ROUND(SUM(V877,W877,X877,Y877)-SUM(OFFSET(INDEX(MO_CFS_CFO,1,COLUMN()),ROW(INDEX(MO_CFS_CFO_BeforeWC,1,COLUMN()))-ROW(INDEX(MO_CFS_CFO,1,COLUMN())),0,ROW(INDEX(MO_CFS_CFO,1,COLUMN()))-ROW(INDEX(MO_CFS_CFO_BeforeWC,1,COLUMN())),1)),6)</f>
        <v>0</v>
      </c>
      <c r="AA1040" s="1010"/>
      <c r="AB1040" s="1010"/>
      <c r="AC1040" s="1010"/>
      <c r="AD1040" s="1010"/>
      <c r="AE1040" s="1010">
        <f ca="1">ROUND(SUM(AA877,AB877,AC877,AD877)-SUM(OFFSET(INDEX(MO_CFS_CFO,1,COLUMN()),ROW(INDEX(MO_CFS_CFO_BeforeWC,1,COLUMN()))-ROW(INDEX(MO_CFS_CFO,1,COLUMN())),0,ROW(INDEX(MO_CFS_CFO,1,COLUMN()))-ROW(INDEX(MO_CFS_CFO_BeforeWC,1,COLUMN())),1)),6)</f>
        <v>0</v>
      </c>
      <c r="AF1040" s="1010"/>
      <c r="AG1040" s="1010"/>
      <c r="AH1040" s="1010"/>
      <c r="AI1040" s="1010"/>
      <c r="AJ1040" s="1010">
        <f ca="1">ROUND(SUM(AF877,AG877,AH877,AI877)-SUM(OFFSET(INDEX(MO_CFS_CFO,1,COLUMN()),ROW(INDEX(MO_CFS_CFO_BeforeWC,1,COLUMN()))-ROW(INDEX(MO_CFS_CFO,1,COLUMN())),0,ROW(INDEX(MO_CFS_CFO,1,COLUMN()))-ROW(INDEX(MO_CFS_CFO_BeforeWC,1,COLUMN())),1)),6)</f>
        <v>0</v>
      </c>
      <c r="AK1040" s="1010"/>
      <c r="AL1040" s="1010"/>
      <c r="AM1040" s="1010"/>
      <c r="AN1040" s="1010"/>
      <c r="AO1040" s="1010">
        <f ca="1">ROUND(SUM(AK877,AL877,AM877,AN877)-SUM(OFFSET(INDEX(MO_CFS_CFO,1,COLUMN()),ROW(INDEX(MO_CFS_CFO_BeforeWC,1,COLUMN()))-ROW(INDEX(MO_CFS_CFO,1,COLUMN())),0,ROW(INDEX(MO_CFS_CFO,1,COLUMN()))-ROW(INDEX(MO_CFS_CFO_BeforeWC,1,COLUMN())),1)),6)</f>
        <v>0</v>
      </c>
      <c r="AP1040" s="1010"/>
      <c r="AQ1040" s="1010"/>
      <c r="AR1040" s="1010"/>
      <c r="AS1040" s="1010"/>
      <c r="AT1040" s="1010">
        <f ca="1">ROUND(SUM(AP877,AQ877,AR877,AS877)-SUM(OFFSET(INDEX(MO_CFS_CFO,1,COLUMN()),ROW(INDEX(MO_CFS_CFO_BeforeWC,1,COLUMN()))-ROW(INDEX(MO_CFS_CFO,1,COLUMN())),0,ROW(INDEX(MO_CFS_CFO,1,COLUMN()))-ROW(INDEX(MO_CFS_CFO_BeforeWC,1,COLUMN())),1)),6)</f>
        <v>0</v>
      </c>
      <c r="AU1040" s="1010"/>
      <c r="AV1040" s="1010"/>
      <c r="AW1040" s="1010"/>
      <c r="AX1040" s="1010"/>
      <c r="AY1040" s="1010">
        <f ca="1">ROUND(SUM(AU877,AV877,AW877,AX877)-SUM(OFFSET(INDEX(MO_CFS_CFO,1,COLUMN()),ROW(INDEX(MO_CFS_CFO_BeforeWC,1,COLUMN()))-ROW(INDEX(MO_CFS_CFO,1,COLUMN())),0,ROW(INDEX(MO_CFS_CFO,1,COLUMN()))-ROW(INDEX(MO_CFS_CFO_BeforeWC,1,COLUMN())),1)),6)</f>
        <v>0</v>
      </c>
      <c r="AZ1040" s="1010"/>
      <c r="BA1040" s="1010"/>
      <c r="BB1040" s="1010"/>
      <c r="BC1040" s="1010"/>
      <c r="BD1040" s="1010">
        <f ca="1">ROUND(SUM(AZ877,BA877,BB877,BC877)-SUM(OFFSET(INDEX(MO_CFS_CFO,1,COLUMN()),ROW(INDEX(MO_CFS_CFO_BeforeWC,1,COLUMN()))-ROW(INDEX(MO_CFS_CFO,1,COLUMN())),0,ROW(INDEX(MO_CFS_CFO,1,COLUMN()))-ROW(INDEX(MO_CFS_CFO_BeforeWC,1,COLUMN())),1)),6)</f>
        <v>0</v>
      </c>
      <c r="BE1040" s="1010"/>
      <c r="BF1040" s="1010"/>
      <c r="BG1040" s="1010"/>
      <c r="BH1040" s="1010"/>
      <c r="BI1040" s="1010">
        <f ca="1">ROUND(SUM(BE877,BF877,BG877,BH877)-SUM(OFFSET(INDEX(MO_CFS_CFO,1,COLUMN()),ROW(INDEX(MO_CFS_CFO_BeforeWC,1,COLUMN()))-ROW(INDEX(MO_CFS_CFO,1,COLUMN())),0,ROW(INDEX(MO_CFS_CFO,1,COLUMN()))-ROW(INDEX(MO_CFS_CFO_BeforeWC,1,COLUMN())),1)),6)</f>
        <v>0</v>
      </c>
      <c r="BJ1040" s="1010"/>
      <c r="BK1040" s="1010"/>
      <c r="BL1040" s="1010"/>
      <c r="BM1040" s="1010"/>
      <c r="BN1040" s="1010">
        <f ca="1">ROUND(SUM(BJ877,BK877,BL877,BM877)-SUM(OFFSET(INDEX(MO_CFS_CFO,1,COLUMN()),ROW(INDEX(MO_CFS_CFO_BeforeWC,1,COLUMN()))-ROW(INDEX(MO_CFS_CFO,1,COLUMN())),0,ROW(INDEX(MO_CFS_CFO,1,COLUMN()))-ROW(INDEX(MO_CFS_CFO_BeforeWC,1,COLUMN())),1)),6)</f>
        <v>0</v>
      </c>
      <c r="BO1040" s="1010"/>
      <c r="BP1040" s="1010"/>
      <c r="BQ1040" s="1010"/>
      <c r="BR1040" s="1010"/>
      <c r="BS1040" s="1010">
        <f ca="1">ROUND(SUM(BO877,BP877,BQ877,BR877)-SUM(OFFSET(INDEX(MO_CFS_CFO,1,COLUMN()),ROW(INDEX(MO_CFS_CFO_BeforeWC,1,COLUMN()))-ROW(INDEX(MO_CFS_CFO,1,COLUMN())),0,ROW(INDEX(MO_CFS_CFO,1,COLUMN()))-ROW(INDEX(MO_CFS_CFO_BeforeWC,1,COLUMN())),1)),6)</f>
        <v>0</v>
      </c>
      <c r="BT1040" s="1010"/>
      <c r="BU1040" s="1010"/>
      <c r="BV1040" s="1010"/>
      <c r="BW1040" s="1010"/>
      <c r="BX1040" s="1010">
        <f ca="1">ROUND(SUM(BT877,BU877,BV877,BW877)-SUM(OFFSET(INDEX(MO_CFS_CFO,1,COLUMN()),ROW(INDEX(MO_CFS_CFO_BeforeWC,1,COLUMN()))-ROW(INDEX(MO_CFS_CFO,1,COLUMN())),0,ROW(INDEX(MO_CFS_CFO,1,COLUMN()))-ROW(INDEX(MO_CFS_CFO_BeforeWC,1,COLUMN())),1)),6)</f>
        <v>0</v>
      </c>
      <c r="BY1040" s="1011"/>
      <c r="BZ1040" s="1010"/>
      <c r="CA1040" s="1010"/>
      <c r="CB1040" s="1010"/>
      <c r="CC1040" s="1010">
        <f ca="1">ROUND(SUM(BY877,BZ877,CA877,CB877)-SUM(OFFSET(INDEX(MO_CFS_CFO,1,COLUMN()),ROW(INDEX(MO_CFS_CFO_BeforeWC,1,COLUMN()))-ROW(INDEX(MO_CFS_CFO,1,COLUMN())),0,ROW(INDEX(MO_CFS_CFO,1,COLUMN()))-ROW(INDEX(MO_CFS_CFO_BeforeWC,1,COLUMN())),1)),6)</f>
        <v>0</v>
      </c>
      <c r="CD1040" s="1010"/>
      <c r="CE1040" s="1010"/>
      <c r="CF1040" s="1010"/>
      <c r="CG1040" s="1010"/>
      <c r="CH1040" s="1010">
        <f ca="1">ROUND(SUM(CD877,CE877,CF877,CG877)-SUM(OFFSET(INDEX(MO_CFS_CFO,1,COLUMN()),ROW(INDEX(MO_CFS_CFO_BeforeWC,1,COLUMN()))-ROW(INDEX(MO_CFS_CFO,1,COLUMN())),0,ROW(INDEX(MO_CFS_CFO,1,COLUMN()))-ROW(INDEX(MO_CFS_CFO_BeforeWC,1,COLUMN())),1)),6)</f>
        <v>0</v>
      </c>
      <c r="CI1040" s="1010"/>
      <c r="CJ1040" s="1010"/>
      <c r="CK1040" s="1010"/>
      <c r="CL1040" s="155"/>
    </row>
    <row r="1041" spans="1:90" x14ac:dyDescent="0.3">
      <c r="A1041" s="27" t="s">
        <v>251</v>
      </c>
      <c r="B1041" s="563"/>
      <c r="C1041" s="1010"/>
      <c r="D1041" s="1010"/>
      <c r="E1041" s="1010"/>
      <c r="F1041" s="1010"/>
      <c r="G1041" s="1010"/>
      <c r="H1041" s="1010"/>
      <c r="I1041" s="1010"/>
      <c r="J1041" s="1010"/>
      <c r="K1041" s="1010">
        <f ca="1">ROUND(SUM(G890,H890,I890,J890)-SUM(OFFSET(INDEX(MO_CFS_CFI,1,COLUMN()),ROW(INDEX(MO_SubSection_CFS_CFI,1,COLUMN()))-ROW(INDEX(MO_CFS_CFI,1,COLUMN())),0,ROW(INDEX(MO_CFS_CFI,1,COLUMN()))-ROW(INDEX(MO_SubSection_CFS_CFI,1,COLUMN())),1)),6)</f>
        <v>0</v>
      </c>
      <c r="L1041" s="1010"/>
      <c r="M1041" s="1010"/>
      <c r="N1041" s="1010"/>
      <c r="O1041" s="1010"/>
      <c r="P1041" s="1010">
        <f ca="1">ROUND(SUM(L890,M890,N890,O890)-SUM(OFFSET(INDEX(MO_CFS_CFI,1,COLUMN()),ROW(INDEX(MO_SubSection_CFS_CFI,1,COLUMN()))-ROW(INDEX(MO_CFS_CFI,1,COLUMN())),0,ROW(INDEX(MO_CFS_CFI,1,COLUMN()))-ROW(INDEX(MO_SubSection_CFS_CFI,1,COLUMN())),1)),6)</f>
        <v>0</v>
      </c>
      <c r="Q1041" s="1010"/>
      <c r="R1041" s="1010"/>
      <c r="S1041" s="1010"/>
      <c r="T1041" s="1010"/>
      <c r="U1041" s="1010">
        <f ca="1">ROUND(SUM(Q890,R890,S890,T890)-SUM(OFFSET(INDEX(MO_CFS_CFI,1,COLUMN()),ROW(INDEX(MO_SubSection_CFS_CFI,1,COLUMN()))-ROW(INDEX(MO_CFS_CFI,1,COLUMN())),0,ROW(INDEX(MO_CFS_CFI,1,COLUMN()))-ROW(INDEX(MO_SubSection_CFS_CFI,1,COLUMN())),1)),6)</f>
        <v>0</v>
      </c>
      <c r="V1041" s="1010"/>
      <c r="W1041" s="1010"/>
      <c r="X1041" s="1010"/>
      <c r="Y1041" s="1010"/>
      <c r="Z1041" s="1010">
        <f ca="1">ROUND(SUM(V890,W890,X890,Y890)-SUM(OFFSET(INDEX(MO_CFS_CFI,1,COLUMN()),ROW(INDEX(MO_SubSection_CFS_CFI,1,COLUMN()))-ROW(INDEX(MO_CFS_CFI,1,COLUMN())),0,ROW(INDEX(MO_CFS_CFI,1,COLUMN()))-ROW(INDEX(MO_SubSection_CFS_CFI,1,COLUMN())),1)),6)</f>
        <v>0</v>
      </c>
      <c r="AA1041" s="1010"/>
      <c r="AB1041" s="1010"/>
      <c r="AC1041" s="1010"/>
      <c r="AD1041" s="1010"/>
      <c r="AE1041" s="1010">
        <f ca="1">ROUND(SUM(AA890,AB890,AC890,AD890)-SUM(OFFSET(INDEX(MO_CFS_CFI,1,COLUMN()),ROW(INDEX(MO_SubSection_CFS_CFI,1,COLUMN()))-ROW(INDEX(MO_CFS_CFI,1,COLUMN())),0,ROW(INDEX(MO_CFS_CFI,1,COLUMN()))-ROW(INDEX(MO_SubSection_CFS_CFI,1,COLUMN())),1)),6)</f>
        <v>0</v>
      </c>
      <c r="AF1041" s="1010"/>
      <c r="AG1041" s="1010"/>
      <c r="AH1041" s="1010"/>
      <c r="AI1041" s="1010"/>
      <c r="AJ1041" s="1010">
        <f ca="1">ROUND(SUM(AF890,AG890,AH890,AI890)-SUM(OFFSET(INDEX(MO_CFS_CFI,1,COLUMN()),ROW(INDEX(MO_SubSection_CFS_CFI,1,COLUMN()))-ROW(INDEX(MO_CFS_CFI,1,COLUMN())),0,ROW(INDEX(MO_CFS_CFI,1,COLUMN()))-ROW(INDEX(MO_SubSection_CFS_CFI,1,COLUMN())),1)),6)</f>
        <v>0</v>
      </c>
      <c r="AK1041" s="1010"/>
      <c r="AL1041" s="1010"/>
      <c r="AM1041" s="1010"/>
      <c r="AN1041" s="1010"/>
      <c r="AO1041" s="1010">
        <f ca="1">ROUND(SUM(AK890,AL890,AM890,AN890)-SUM(OFFSET(INDEX(MO_CFS_CFI,1,COLUMN()),ROW(INDEX(MO_SubSection_CFS_CFI,1,COLUMN()))-ROW(INDEX(MO_CFS_CFI,1,COLUMN())),0,ROW(INDEX(MO_CFS_CFI,1,COLUMN()))-ROW(INDEX(MO_SubSection_CFS_CFI,1,COLUMN())),1)),6)</f>
        <v>0</v>
      </c>
      <c r="AP1041" s="1010"/>
      <c r="AQ1041" s="1010"/>
      <c r="AR1041" s="1010"/>
      <c r="AS1041" s="1010"/>
      <c r="AT1041" s="1010">
        <f ca="1">ROUND(SUM(AP890,AQ890,AR890,AS890)-SUM(OFFSET(INDEX(MO_CFS_CFI,1,COLUMN()),ROW(INDEX(MO_SubSection_CFS_CFI,1,COLUMN()))-ROW(INDEX(MO_CFS_CFI,1,COLUMN())),0,ROW(INDEX(MO_CFS_CFI,1,COLUMN()))-ROW(INDEX(MO_SubSection_CFS_CFI,1,COLUMN())),1)),6)</f>
        <v>0</v>
      </c>
      <c r="AU1041" s="1010"/>
      <c r="AV1041" s="1010"/>
      <c r="AW1041" s="1010"/>
      <c r="AX1041" s="1010"/>
      <c r="AY1041" s="1010">
        <f ca="1">ROUND(SUM(AU890,AV890,AW890,AX890)-SUM(OFFSET(INDEX(MO_CFS_CFI,1,COLUMN()),ROW(INDEX(MO_SubSection_CFS_CFI,1,COLUMN()))-ROW(INDEX(MO_CFS_CFI,1,COLUMN())),0,ROW(INDEX(MO_CFS_CFI,1,COLUMN()))-ROW(INDEX(MO_SubSection_CFS_CFI,1,COLUMN())),1)),6)</f>
        <v>0</v>
      </c>
      <c r="AZ1041" s="1010"/>
      <c r="BA1041" s="1010"/>
      <c r="BB1041" s="1010"/>
      <c r="BC1041" s="1010"/>
      <c r="BD1041" s="1010">
        <f ca="1">ROUND(SUM(AZ890,BA890,BB890,BC890)-SUM(OFFSET(INDEX(MO_CFS_CFI,1,COLUMN()),ROW(INDEX(MO_SubSection_CFS_CFI,1,COLUMN()))-ROW(INDEX(MO_CFS_CFI,1,COLUMN())),0,ROW(INDEX(MO_CFS_CFI,1,COLUMN()))-ROW(INDEX(MO_SubSection_CFS_CFI,1,COLUMN())),1)),6)</f>
        <v>0</v>
      </c>
      <c r="BE1041" s="1010"/>
      <c r="BF1041" s="1010"/>
      <c r="BG1041" s="1010"/>
      <c r="BH1041" s="1010"/>
      <c r="BI1041" s="1010">
        <f ca="1">ROUND(SUM(BE890,BF890,BG890,BH890)-SUM(OFFSET(INDEX(MO_CFS_CFI,1,COLUMN()),ROW(INDEX(MO_SubSection_CFS_CFI,1,COLUMN()))-ROW(INDEX(MO_CFS_CFI,1,COLUMN())),0,ROW(INDEX(MO_CFS_CFI,1,COLUMN()))-ROW(INDEX(MO_SubSection_CFS_CFI,1,COLUMN())),1)),6)</f>
        <v>0</v>
      </c>
      <c r="BJ1041" s="1010"/>
      <c r="BK1041" s="1010"/>
      <c r="BL1041" s="1010"/>
      <c r="BM1041" s="1010"/>
      <c r="BN1041" s="1010">
        <f ca="1">ROUND(SUM(BJ890,BK890,BL890,BM890)-SUM(OFFSET(INDEX(MO_CFS_CFI,1,COLUMN()),ROW(INDEX(MO_SubSection_CFS_CFI,1,COLUMN()))-ROW(INDEX(MO_CFS_CFI,1,COLUMN())),0,ROW(INDEX(MO_CFS_CFI,1,COLUMN()))-ROW(INDEX(MO_SubSection_CFS_CFI,1,COLUMN())),1)),6)</f>
        <v>0</v>
      </c>
      <c r="BO1041" s="1010"/>
      <c r="BP1041" s="1010"/>
      <c r="BQ1041" s="1010"/>
      <c r="BR1041" s="1010"/>
      <c r="BS1041" s="1010">
        <f ca="1">ROUND(SUM(BO890,BP890,BQ890,BR890)-SUM(OFFSET(INDEX(MO_CFS_CFI,1,COLUMN()),ROW(INDEX(MO_SubSection_CFS_CFI,1,COLUMN()))-ROW(INDEX(MO_CFS_CFI,1,COLUMN())),0,ROW(INDEX(MO_CFS_CFI,1,COLUMN()))-ROW(INDEX(MO_SubSection_CFS_CFI,1,COLUMN())),1)),6)</f>
        <v>0</v>
      </c>
      <c r="BT1041" s="1010"/>
      <c r="BU1041" s="1010"/>
      <c r="BV1041" s="1010"/>
      <c r="BW1041" s="1010"/>
      <c r="BX1041" s="1010">
        <f ca="1">ROUND(SUM(BT890,BU890,BV890,BW890)-SUM(OFFSET(INDEX(MO_CFS_CFI,1,COLUMN()),ROW(INDEX(MO_SubSection_CFS_CFI,1,COLUMN()))-ROW(INDEX(MO_CFS_CFI,1,COLUMN())),0,ROW(INDEX(MO_CFS_CFI,1,COLUMN()))-ROW(INDEX(MO_SubSection_CFS_CFI,1,COLUMN())),1)),6)</f>
        <v>0</v>
      </c>
      <c r="BY1041" s="1011"/>
      <c r="BZ1041" s="1010"/>
      <c r="CA1041" s="1010"/>
      <c r="CB1041" s="1010"/>
      <c r="CC1041" s="1010">
        <f ca="1">ROUND(SUM(BY890,BZ890,CA890,CB890)-SUM(OFFSET(INDEX(MO_CFS_CFI,1,COLUMN()),ROW(INDEX(MO_SubSection_CFS_CFI,1,COLUMN()))-ROW(INDEX(MO_CFS_CFI,1,COLUMN())),0,ROW(INDEX(MO_CFS_CFI,1,COLUMN()))-ROW(INDEX(MO_SubSection_CFS_CFI,1,COLUMN())),1)),6)</f>
        <v>0</v>
      </c>
      <c r="CD1041" s="1010"/>
      <c r="CE1041" s="1010"/>
      <c r="CF1041" s="1010"/>
      <c r="CG1041" s="1010"/>
      <c r="CH1041" s="1010">
        <f ca="1">ROUND(SUM(CD890,CE890,CF890,CG890)-SUM(OFFSET(INDEX(MO_CFS_CFI,1,COLUMN()),ROW(INDEX(MO_SubSection_CFS_CFI,1,COLUMN()))-ROW(INDEX(MO_CFS_CFI,1,COLUMN())),0,ROW(INDEX(MO_CFS_CFI,1,COLUMN()))-ROW(INDEX(MO_SubSection_CFS_CFI,1,COLUMN())),1)),6)</f>
        <v>0</v>
      </c>
      <c r="CI1041" s="1010"/>
      <c r="CJ1041" s="1010"/>
      <c r="CK1041" s="1010"/>
      <c r="CL1041" s="155"/>
    </row>
    <row r="1042" spans="1:90" x14ac:dyDescent="0.3">
      <c r="A1042" s="27" t="s">
        <v>252</v>
      </c>
      <c r="B1042" s="563"/>
      <c r="C1042" s="1010"/>
      <c r="D1042" s="1010"/>
      <c r="E1042" s="1010"/>
      <c r="F1042" s="1010"/>
      <c r="G1042" s="1010"/>
      <c r="H1042" s="1010"/>
      <c r="I1042" s="1010"/>
      <c r="J1042" s="1010"/>
      <c r="K1042" s="1010">
        <f ca="1">ROUND(SUM(G910,H910,I910,J910)-SUM(OFFSET(INDEX(MO_CFS_CFF,1,COLUMN()),ROW(INDEX(MO_SubSection_CFS_CFF,1,COLUMN()))-ROW(INDEX(MO_CFS_CFF,1,COLUMN())),0,ROW(INDEX(MO_CFS_CFF,1,COLUMN()))-ROW(INDEX(MO_SubSection_CFS_CFF,1,COLUMN())),1)),6)</f>
        <v>0</v>
      </c>
      <c r="L1042" s="1010"/>
      <c r="M1042" s="1010"/>
      <c r="N1042" s="1010"/>
      <c r="O1042" s="1010"/>
      <c r="P1042" s="1010">
        <f ca="1">ROUND(SUM(L910,M910,N910,O910)-SUM(OFFSET(INDEX(MO_CFS_CFF,1,COLUMN()),ROW(INDEX(MO_SubSection_CFS_CFF,1,COLUMN()))-ROW(INDEX(MO_CFS_CFF,1,COLUMN())),0,ROW(INDEX(MO_CFS_CFF,1,COLUMN()))-ROW(INDEX(MO_SubSection_CFS_CFF,1,COLUMN())),1)),6)</f>
        <v>0</v>
      </c>
      <c r="Q1042" s="1010"/>
      <c r="R1042" s="1010"/>
      <c r="S1042" s="1010"/>
      <c r="T1042" s="1010"/>
      <c r="U1042" s="1010">
        <f ca="1">ROUND(SUM(Q910,R910,S910,T910)-SUM(OFFSET(INDEX(MO_CFS_CFF,1,COLUMN()),ROW(INDEX(MO_SubSection_CFS_CFF,1,COLUMN()))-ROW(INDEX(MO_CFS_CFF,1,COLUMN())),0,ROW(INDEX(MO_CFS_CFF,1,COLUMN()))-ROW(INDEX(MO_SubSection_CFS_CFF,1,COLUMN())),1)),6)</f>
        <v>0</v>
      </c>
      <c r="V1042" s="1010"/>
      <c r="W1042" s="1010"/>
      <c r="X1042" s="1010"/>
      <c r="Y1042" s="1010"/>
      <c r="Z1042" s="1010">
        <f ca="1">ROUND(SUM(V910,W910,X910,Y910)-SUM(OFFSET(INDEX(MO_CFS_CFF,1,COLUMN()),ROW(INDEX(MO_SubSection_CFS_CFF,1,COLUMN()))-ROW(INDEX(MO_CFS_CFF,1,COLUMN())),0,ROW(INDEX(MO_CFS_CFF,1,COLUMN()))-ROW(INDEX(MO_SubSection_CFS_CFF,1,COLUMN())),1)),6)</f>
        <v>0</v>
      </c>
      <c r="AA1042" s="1010"/>
      <c r="AB1042" s="1010"/>
      <c r="AC1042" s="1010"/>
      <c r="AD1042" s="1010"/>
      <c r="AE1042" s="1010">
        <f ca="1">ROUND(SUM(AA910,AB910,AC910,AD910)-SUM(OFFSET(INDEX(MO_CFS_CFF,1,COLUMN()),ROW(INDEX(MO_SubSection_CFS_CFF,1,COLUMN()))-ROW(INDEX(MO_CFS_CFF,1,COLUMN())),0,ROW(INDEX(MO_CFS_CFF,1,COLUMN()))-ROW(INDEX(MO_SubSection_CFS_CFF,1,COLUMN())),1)),6)</f>
        <v>0</v>
      </c>
      <c r="AF1042" s="1010"/>
      <c r="AG1042" s="1010"/>
      <c r="AH1042" s="1010"/>
      <c r="AI1042" s="1010"/>
      <c r="AJ1042" s="1010">
        <f ca="1">ROUND(SUM(AF910,AG910,AH910,AI910)-SUM(OFFSET(INDEX(MO_CFS_CFF,1,COLUMN()),ROW(INDEX(MO_SubSection_CFS_CFF,1,COLUMN()))-ROW(INDEX(MO_CFS_CFF,1,COLUMN())),0,ROW(INDEX(MO_CFS_CFF,1,COLUMN()))-ROW(INDEX(MO_SubSection_CFS_CFF,1,COLUMN())),1)),6)</f>
        <v>0</v>
      </c>
      <c r="AK1042" s="1010"/>
      <c r="AL1042" s="1010"/>
      <c r="AM1042" s="1010"/>
      <c r="AN1042" s="1010"/>
      <c r="AO1042" s="1010">
        <f ca="1">ROUND(SUM(AK910,AL910,AM910,AN910)-SUM(OFFSET(INDEX(MO_CFS_CFF,1,COLUMN()),ROW(INDEX(MO_SubSection_CFS_CFF,1,COLUMN()))-ROW(INDEX(MO_CFS_CFF,1,COLUMN())),0,ROW(INDEX(MO_CFS_CFF,1,COLUMN()))-ROW(INDEX(MO_SubSection_CFS_CFF,1,COLUMN())),1)),6)</f>
        <v>0</v>
      </c>
      <c r="AP1042" s="1010"/>
      <c r="AQ1042" s="1010"/>
      <c r="AR1042" s="1010"/>
      <c r="AS1042" s="1010"/>
      <c r="AT1042" s="1010">
        <f ca="1">ROUND(SUM(AP910,AQ910,AR910,AS910)-SUM(OFFSET(INDEX(MO_CFS_CFF,1,COLUMN()),ROW(INDEX(MO_SubSection_CFS_CFF,1,COLUMN()))-ROW(INDEX(MO_CFS_CFF,1,COLUMN())),0,ROW(INDEX(MO_CFS_CFF,1,COLUMN()))-ROW(INDEX(MO_SubSection_CFS_CFF,1,COLUMN())),1)),6)</f>
        <v>0</v>
      </c>
      <c r="AU1042" s="1010"/>
      <c r="AV1042" s="1010"/>
      <c r="AW1042" s="1010"/>
      <c r="AX1042" s="1010"/>
      <c r="AY1042" s="1010">
        <f ca="1">ROUND(SUM(AU910,AV910,AW910,AX910)-SUM(OFFSET(INDEX(MO_CFS_CFF,1,COLUMN()),ROW(INDEX(MO_SubSection_CFS_CFF,1,COLUMN()))-ROW(INDEX(MO_CFS_CFF,1,COLUMN())),0,ROW(INDEX(MO_CFS_CFF,1,COLUMN()))-ROW(INDEX(MO_SubSection_CFS_CFF,1,COLUMN())),1)),6)</f>
        <v>0</v>
      </c>
      <c r="AZ1042" s="1010"/>
      <c r="BA1042" s="1010"/>
      <c r="BB1042" s="1010"/>
      <c r="BC1042" s="1010"/>
      <c r="BD1042" s="1010">
        <f ca="1">ROUND(SUM(AZ910,BA910,BB910,BC910)-SUM(OFFSET(INDEX(MO_CFS_CFF,1,COLUMN()),ROW(INDEX(MO_SubSection_CFS_CFF,1,COLUMN()))-ROW(INDEX(MO_CFS_CFF,1,COLUMN())),0,ROW(INDEX(MO_CFS_CFF,1,COLUMN()))-ROW(INDEX(MO_SubSection_CFS_CFF,1,COLUMN())),1)),6)</f>
        <v>0</v>
      </c>
      <c r="BE1042" s="1010"/>
      <c r="BF1042" s="1010"/>
      <c r="BG1042" s="1010"/>
      <c r="BH1042" s="1010"/>
      <c r="BI1042" s="1010">
        <f ca="1">ROUND(SUM(BE910,BF910,BG910,BH910)-SUM(OFFSET(INDEX(MO_CFS_CFF,1,COLUMN()),ROW(INDEX(MO_SubSection_CFS_CFF,1,COLUMN()))-ROW(INDEX(MO_CFS_CFF,1,COLUMN())),0,ROW(INDEX(MO_CFS_CFF,1,COLUMN()))-ROW(INDEX(MO_SubSection_CFS_CFF,1,COLUMN())),1)),6)</f>
        <v>0</v>
      </c>
      <c r="BJ1042" s="1010"/>
      <c r="BK1042" s="1010"/>
      <c r="BL1042" s="1010"/>
      <c r="BM1042" s="1010"/>
      <c r="BN1042" s="1010">
        <f ca="1">ROUND(SUM(BJ910,BK910,BL910,BM910)-SUM(OFFSET(INDEX(MO_CFS_CFF,1,COLUMN()),ROW(INDEX(MO_SubSection_CFS_CFF,1,COLUMN()))-ROW(INDEX(MO_CFS_CFF,1,COLUMN())),0,ROW(INDEX(MO_CFS_CFF,1,COLUMN()))-ROW(INDEX(MO_SubSection_CFS_CFF,1,COLUMN())),1)),6)</f>
        <v>0</v>
      </c>
      <c r="BO1042" s="1010"/>
      <c r="BP1042" s="1010"/>
      <c r="BQ1042" s="1010"/>
      <c r="BR1042" s="1010"/>
      <c r="BS1042" s="1010">
        <f ca="1">ROUND(SUM(BO910,BP910,BQ910,BR910)-SUM(OFFSET(INDEX(MO_CFS_CFF,1,COLUMN()),ROW(INDEX(MO_SubSection_CFS_CFF,1,COLUMN()))-ROW(INDEX(MO_CFS_CFF,1,COLUMN())),0,ROW(INDEX(MO_CFS_CFF,1,COLUMN()))-ROW(INDEX(MO_SubSection_CFS_CFF,1,COLUMN())),1)),6)</f>
        <v>0</v>
      </c>
      <c r="BT1042" s="1010"/>
      <c r="BU1042" s="1010"/>
      <c r="BV1042" s="1010"/>
      <c r="BW1042" s="1010"/>
      <c r="BX1042" s="1010">
        <f ca="1">ROUND(SUM(BT910,BU910,BV910,BW910)-SUM(OFFSET(INDEX(MO_CFS_CFF,1,COLUMN()),ROW(INDEX(MO_SubSection_CFS_CFF,1,COLUMN()))-ROW(INDEX(MO_CFS_CFF,1,COLUMN())),0,ROW(INDEX(MO_CFS_CFF,1,COLUMN()))-ROW(INDEX(MO_SubSection_CFS_CFF,1,COLUMN())),1)),6)</f>
        <v>0</v>
      </c>
      <c r="BY1042" s="1011"/>
      <c r="BZ1042" s="1010"/>
      <c r="CA1042" s="1010"/>
      <c r="CB1042" s="1010"/>
      <c r="CC1042" s="1010">
        <f ca="1">ROUND(SUM(BY910,BZ910,CA910,CB910)-SUM(OFFSET(INDEX(MO_CFS_CFF,1,COLUMN()),ROW(INDEX(MO_SubSection_CFS_CFF,1,COLUMN()))-ROW(INDEX(MO_CFS_CFF,1,COLUMN())),0,ROW(INDEX(MO_CFS_CFF,1,COLUMN()))-ROW(INDEX(MO_SubSection_CFS_CFF,1,COLUMN())),1)),6)</f>
        <v>0</v>
      </c>
      <c r="CD1042" s="1010"/>
      <c r="CE1042" s="1010"/>
      <c r="CF1042" s="1010"/>
      <c r="CG1042" s="1010"/>
      <c r="CH1042" s="1010">
        <f ca="1">ROUND(SUM(CD910,CE910,CF910,CG910)-SUM(OFFSET(INDEX(MO_CFS_CFF,1,COLUMN()),ROW(INDEX(MO_SubSection_CFS_CFF,1,COLUMN()))-ROW(INDEX(MO_CFS_CFF,1,COLUMN())),0,ROW(INDEX(MO_CFS_CFF,1,COLUMN()))-ROW(INDEX(MO_SubSection_CFS_CFF,1,COLUMN())),1)),6)</f>
        <v>0</v>
      </c>
      <c r="CI1042" s="1010"/>
      <c r="CJ1042" s="1010"/>
      <c r="CK1042" s="1010"/>
      <c r="CL1042" s="155"/>
    </row>
    <row r="1043" spans="1:90" x14ac:dyDescent="0.3">
      <c r="A1043" s="27" t="s">
        <v>253</v>
      </c>
      <c r="B1043" s="563"/>
      <c r="C1043" s="1010"/>
      <c r="D1043" s="1010"/>
      <c r="E1043" s="1010"/>
      <c r="F1043" s="1010"/>
      <c r="G1043" s="1010"/>
      <c r="H1043" s="1010"/>
      <c r="I1043" s="1010"/>
      <c r="J1043" s="1010"/>
      <c r="K1043" s="1010">
        <f>ROUND(SUM(INDEX(MO_CFSum_Acquisition,0,COLUMN()),INDEX(MO_CFSum_Capex,0,COLUMN()),INDEX(MO_CFSum_Divestiture,0,COLUMN()),INDEX(MO_CFSum_Dividend,0,COLUMN()))-SUM(G712,H712,I712,J712,G713,H713,I713,J713,G714,H714,I714,J714)-SUM(G709,H709,I709,J709),6)</f>
        <v>0</v>
      </c>
      <c r="L1043" s="1010"/>
      <c r="M1043" s="1010"/>
      <c r="N1043" s="1010"/>
      <c r="O1043" s="1010"/>
      <c r="P1043" s="1010">
        <f>ROUND(SUM(INDEX(MO_CFSum_Acquisition,0,COLUMN()),INDEX(MO_CFSum_Capex,0,COLUMN()),INDEX(MO_CFSum_Divestiture,0,COLUMN()),INDEX(MO_CFSum_Dividend,0,COLUMN()))-SUM(L712,M712,N712,O712,L713,M713,N713,O713,L714,M714,N714,O714)-SUM(L709,M709,N709,O709),6)</f>
        <v>0</v>
      </c>
      <c r="Q1043" s="1010"/>
      <c r="R1043" s="1010"/>
      <c r="S1043" s="1010"/>
      <c r="T1043" s="1010"/>
      <c r="U1043" s="1010">
        <f>ROUND(SUM(INDEX(MO_CFSum_Acquisition,0,COLUMN()),INDEX(MO_CFSum_Capex,0,COLUMN()),INDEX(MO_CFSum_Divestiture,0,COLUMN()),INDEX(MO_CFSum_Dividend,0,COLUMN()))-SUM(Q712,R712,S712,T712,Q713,R713,S713,T713,Q714,R714,S714,T714)-SUM(Q709,R709,S709,T709),6)</f>
        <v>0</v>
      </c>
      <c r="V1043" s="1010"/>
      <c r="W1043" s="1010"/>
      <c r="X1043" s="1010"/>
      <c r="Y1043" s="1010"/>
      <c r="Z1043" s="1010">
        <f>ROUND(SUM(INDEX(MO_CFSum_Acquisition,0,COLUMN()),INDEX(MO_CFSum_Capex,0,COLUMN()),INDEX(MO_CFSum_Divestiture,0,COLUMN()),INDEX(MO_CFSum_Dividend,0,COLUMN()))-SUM(V712,W712,X712,Y712,V713,W713,X713,Y713,V714,W714,X714,Y714)-SUM(V709,W709,X709,Y709),6)</f>
        <v>0</v>
      </c>
      <c r="AA1043" s="1010"/>
      <c r="AB1043" s="1010"/>
      <c r="AC1043" s="1010"/>
      <c r="AD1043" s="1010"/>
      <c r="AE1043" s="1010">
        <f>ROUND(SUM(INDEX(MO_CFSum_Acquisition,0,COLUMN()),INDEX(MO_CFSum_Capex,0,COLUMN()),INDEX(MO_CFSum_Divestiture,0,COLUMN()),INDEX(MO_CFSum_Dividend,0,COLUMN()))-SUM(AA712,AB712,AC712,AD712,AA713,AB713,AC713,AD713,AA714,AB714,AC714,AD714)-SUM(AA709,AB709,AC709,AD709),6)</f>
        <v>0</v>
      </c>
      <c r="AF1043" s="1010"/>
      <c r="AG1043" s="1010"/>
      <c r="AH1043" s="1010"/>
      <c r="AI1043" s="1010"/>
      <c r="AJ1043" s="1010">
        <f>ROUND(SUM(INDEX(MO_CFSum_Acquisition,0,COLUMN()),INDEX(MO_CFSum_Capex,0,COLUMN()),INDEX(MO_CFSum_Divestiture,0,COLUMN()),INDEX(MO_CFSum_Dividend,0,COLUMN()))-SUM(AF712,AG712,AH712,AI712,AF713,AG713,AH713,AI713,AF714,AG714,AH714,AI714)-SUM(AF709,AG709,AH709,AI709),6)</f>
        <v>0</v>
      </c>
      <c r="AK1043" s="1010"/>
      <c r="AL1043" s="1010"/>
      <c r="AM1043" s="1010"/>
      <c r="AN1043" s="1010"/>
      <c r="AO1043" s="1010">
        <f>ROUND(SUM(INDEX(MO_CFSum_Acquisition,0,COLUMN()),INDEX(MO_CFSum_Capex,0,COLUMN()),INDEX(MO_CFSum_Divestiture,0,COLUMN()),INDEX(MO_CFSum_Dividend,0,COLUMN()))-SUM(AK712,AL712,AM712,AN712,AK713,AL713,AM713,AN713,AK714,AL714,AM714,AN714)-SUM(AK709,AL709,AM709,AN709),6)</f>
        <v>0</v>
      </c>
      <c r="AP1043" s="1010"/>
      <c r="AQ1043" s="1010"/>
      <c r="AR1043" s="1010"/>
      <c r="AS1043" s="1010"/>
      <c r="AT1043" s="1010">
        <f>ROUND(SUM(INDEX(MO_CFSum_Acquisition,0,COLUMN()),INDEX(MO_CFSum_Capex,0,COLUMN()),INDEX(MO_CFSum_Divestiture,0,COLUMN()),INDEX(MO_CFSum_Dividend,0,COLUMN()))-SUM(AP712,AQ712,AR712,AS712,AP713,AQ713,AR713,AS713,AP714,AQ714,AR714,AS714)-SUM(AP709,AQ709,AR709,AS709),6)</f>
        <v>0</v>
      </c>
      <c r="AU1043" s="1010"/>
      <c r="AV1043" s="1010"/>
      <c r="AW1043" s="1010"/>
      <c r="AX1043" s="1010"/>
      <c r="AY1043" s="1010">
        <f>ROUND(SUM(INDEX(MO_CFSum_Acquisition,0,COLUMN()),INDEX(MO_CFSum_Capex,0,COLUMN()),INDEX(MO_CFSum_Divestiture,0,COLUMN()),INDEX(MO_CFSum_Dividend,0,COLUMN()))-SUM(AU712,AV712,AW712,AX712,AU713,AV713,AW713,AX713,AU714,AV714,AW714,AX714)-SUM(AU709,AV709,AW709,AX709),6)</f>
        <v>0</v>
      </c>
      <c r="AZ1043" s="1010"/>
      <c r="BA1043" s="1010"/>
      <c r="BB1043" s="1010"/>
      <c r="BC1043" s="1010"/>
      <c r="BD1043" s="1010">
        <f>ROUND(SUM(INDEX(MO_CFSum_Acquisition,0,COLUMN()),INDEX(MO_CFSum_Capex,0,COLUMN()),INDEX(MO_CFSum_Divestiture,0,COLUMN()),INDEX(MO_CFSum_Dividend,0,COLUMN()))-SUM(AZ712,BA712,BB712,BC712,AZ713,BA713,BB713,BC713,AZ714,BA714,BB714,BC714)-SUM(AZ709,BA709,BB709,BC709),6)</f>
        <v>0</v>
      </c>
      <c r="BE1043" s="1010"/>
      <c r="BF1043" s="1010"/>
      <c r="BG1043" s="1010"/>
      <c r="BH1043" s="1010"/>
      <c r="BI1043" s="1010">
        <f>ROUND(SUM(INDEX(MO_CFSum_Acquisition,0,COLUMN()),INDEX(MO_CFSum_Capex,0,COLUMN()),INDEX(MO_CFSum_Divestiture,0,COLUMN()),INDEX(MO_CFSum_Dividend,0,COLUMN()))-SUM(BE712,BF712,BG712,BH712,BE713,BF713,BG713,BH713,BE714,BF714,BG714,BH714)-SUM(BE709,BF709,BG709,BH709),6)</f>
        <v>0</v>
      </c>
      <c r="BJ1043" s="1010"/>
      <c r="BK1043" s="1010"/>
      <c r="BL1043" s="1010"/>
      <c r="BM1043" s="1010"/>
      <c r="BN1043" s="1010">
        <f>ROUND(SUM(INDEX(MO_CFSum_Acquisition,0,COLUMN()),INDEX(MO_CFSum_Capex,0,COLUMN()),INDEX(MO_CFSum_Divestiture,0,COLUMN()),INDEX(MO_CFSum_Dividend,0,COLUMN()))-SUM(BJ712,BK712,BL712,BM712,BJ713,BK713,BL713,BM713,BJ714,BK714,BL714,BM714)-SUM(BJ709,BK709,BL709,BM709),6)</f>
        <v>0</v>
      </c>
      <c r="BO1043" s="1010"/>
      <c r="BP1043" s="1010"/>
      <c r="BQ1043" s="1010"/>
      <c r="BR1043" s="1010"/>
      <c r="BS1043" s="1010">
        <f>ROUND(SUM(INDEX(MO_CFSum_Acquisition,0,COLUMN()),INDEX(MO_CFSum_Capex,0,COLUMN()),INDEX(MO_CFSum_Divestiture,0,COLUMN()),INDEX(MO_CFSum_Dividend,0,COLUMN()))-SUM(BO712,BP712,BQ712,BR712,BO713,BP713,BQ713,BR713,BO714,BP714,BQ714,BR714)-SUM(BO709,BP709,BQ709,BR709),6)</f>
        <v>0</v>
      </c>
      <c r="BT1043" s="1010"/>
      <c r="BU1043" s="1010"/>
      <c r="BV1043" s="1010"/>
      <c r="BW1043" s="1010"/>
      <c r="BX1043" s="1010">
        <f>ROUND(SUM(INDEX(MO_CFSum_Acquisition,0,COLUMN()),INDEX(MO_CFSum_Capex,0,COLUMN()),INDEX(MO_CFSum_Divestiture,0,COLUMN()),INDEX(MO_CFSum_Dividend,0,COLUMN()))-SUM(BT712,BU712,BV712,BW712,BT713,BU713,BV713,BW713,BT714,BU714,BV714,BW714)-SUM(BT709,BU709,BV709,BW709),6)</f>
        <v>0</v>
      </c>
      <c r="BY1043" s="1011"/>
      <c r="BZ1043" s="1010"/>
      <c r="CA1043" s="1010"/>
      <c r="CB1043" s="1010"/>
      <c r="CC1043" s="1010">
        <f>ROUND(SUM(INDEX(MO_CFSum_Acquisition,0,COLUMN()),INDEX(MO_CFSum_Capex,0,COLUMN()),INDEX(MO_CFSum_Divestiture,0,COLUMN()),INDEX(MO_CFSum_Dividend,0,COLUMN()))-SUM(BY712,BZ712,CA712,CB712,BY713,BZ713,CA713,CB713,BY714,BZ714,CA714,CB714)-SUM(BY709,BZ709,CA709,CB709),6)</f>
        <v>0</v>
      </c>
      <c r="CD1043" s="1010"/>
      <c r="CE1043" s="1010"/>
      <c r="CF1043" s="1010"/>
      <c r="CG1043" s="1010"/>
      <c r="CH1043" s="1010">
        <f>ROUND(SUM(INDEX(MO_CFSum_Acquisition,0,COLUMN()),INDEX(MO_CFSum_Capex,0,COLUMN()),INDEX(MO_CFSum_Divestiture,0,COLUMN()),INDEX(MO_CFSum_Dividend,0,COLUMN()))-SUM(CD712,CE712,CF712,CG712,CD713,CE713,CF713,CG713,CD714,CE714,CF714,CG714)-SUM(CD709,CE709,CF709,CG709),6)</f>
        <v>0</v>
      </c>
      <c r="CI1043" s="1010"/>
      <c r="CJ1043" s="1010"/>
      <c r="CK1043" s="1010"/>
      <c r="CL1043" s="155"/>
    </row>
    <row r="1044" spans="1:90" x14ac:dyDescent="0.3">
      <c r="A1044" s="93"/>
      <c r="B1044" s="93"/>
      <c r="C1044" s="93"/>
      <c r="D1044" s="93"/>
      <c r="E1044" s="93"/>
      <c r="F1044" s="93"/>
      <c r="G1044" s="93"/>
      <c r="H1044" s="93"/>
      <c r="I1044" s="93"/>
      <c r="J1044" s="93"/>
      <c r="K1044" s="93"/>
      <c r="L1044" s="93"/>
      <c r="M1044" s="93"/>
      <c r="N1044" s="93"/>
      <c r="O1044" s="93"/>
      <c r="P1044" s="93"/>
      <c r="Q1044" s="93"/>
      <c r="R1044" s="93"/>
      <c r="S1044" s="93"/>
      <c r="T1044" s="93"/>
      <c r="U1044" s="93"/>
      <c r="V1044" s="93"/>
      <c r="W1044" s="93"/>
      <c r="X1044" s="93"/>
      <c r="Y1044" s="93"/>
      <c r="Z1044" s="93"/>
      <c r="AA1044" s="93"/>
      <c r="AB1044" s="93"/>
      <c r="AC1044" s="93"/>
      <c r="AD1044" s="93"/>
      <c r="AE1044" s="93"/>
      <c r="AF1044" s="93"/>
      <c r="AG1044" s="93"/>
      <c r="AH1044" s="93"/>
      <c r="AI1044" s="93"/>
      <c r="AJ1044" s="93"/>
      <c r="AK1044" s="93"/>
      <c r="AL1044" s="93"/>
      <c r="AM1044" s="93"/>
      <c r="AN1044" s="93"/>
      <c r="AO1044" s="93"/>
      <c r="AP1044" s="93"/>
      <c r="AQ1044" s="93"/>
      <c r="AR1044" s="93"/>
      <c r="AS1044" s="93"/>
      <c r="AT1044" s="93"/>
      <c r="AU1044" s="93"/>
      <c r="AV1044" s="93"/>
      <c r="AW1044" s="93"/>
      <c r="AX1044" s="93"/>
      <c r="AY1044" s="93"/>
      <c r="AZ1044" s="93"/>
      <c r="BA1044" s="93"/>
      <c r="BB1044" s="93"/>
      <c r="BC1044" s="93"/>
      <c r="BD1044" s="93"/>
      <c r="BE1044" s="93"/>
      <c r="BF1044" s="93"/>
      <c r="BG1044" s="93"/>
      <c r="BH1044" s="93"/>
      <c r="BI1044" s="93"/>
      <c r="BJ1044" s="93"/>
      <c r="BK1044" s="93"/>
      <c r="BL1044" s="93"/>
      <c r="BM1044" s="93"/>
      <c r="BN1044" s="93"/>
      <c r="BO1044" s="93"/>
      <c r="BP1044" s="93"/>
      <c r="BQ1044" s="93"/>
      <c r="BR1044" s="93"/>
      <c r="BS1044" s="93"/>
      <c r="BT1044" s="93"/>
      <c r="BU1044" s="93"/>
      <c r="BV1044" s="93"/>
      <c r="BW1044" s="93"/>
      <c r="BX1044" s="93"/>
      <c r="BY1044" s="522"/>
      <c r="BZ1044" s="93"/>
      <c r="CA1044" s="93"/>
      <c r="CB1044" s="93"/>
      <c r="CC1044" s="93"/>
      <c r="CD1044" s="93"/>
      <c r="CE1044" s="93"/>
      <c r="CF1044" s="93"/>
      <c r="CG1044" s="93"/>
      <c r="CH1044" s="93"/>
      <c r="CI1044" s="93"/>
      <c r="CJ1044" s="93"/>
      <c r="CK1044" s="93"/>
      <c r="CL1044" s="155"/>
    </row>
    <row r="1045" spans="1:90" x14ac:dyDescent="0.3">
      <c r="A1045" s="95" t="s">
        <v>575</v>
      </c>
      <c r="B1045" s="95"/>
      <c r="C1045" s="95"/>
      <c r="D1045" s="95"/>
      <c r="E1045" s="95"/>
      <c r="F1045" s="95"/>
      <c r="G1045" s="95"/>
      <c r="H1045" s="95"/>
      <c r="I1045" s="95"/>
      <c r="J1045" s="95"/>
      <c r="K1045" s="95"/>
      <c r="L1045" s="95"/>
      <c r="M1045" s="95"/>
      <c r="N1045" s="95"/>
      <c r="O1045" s="95"/>
      <c r="P1045" s="95"/>
      <c r="Q1045" s="95"/>
      <c r="R1045" s="95"/>
      <c r="S1045" s="95"/>
      <c r="T1045" s="95"/>
      <c r="U1045" s="95"/>
      <c r="V1045" s="95"/>
      <c r="W1045" s="95"/>
      <c r="X1045" s="95"/>
      <c r="Y1045" s="95"/>
      <c r="Z1045" s="95"/>
      <c r="AA1045" s="95"/>
      <c r="AB1045" s="95"/>
      <c r="AC1045" s="95"/>
      <c r="AD1045" s="95"/>
      <c r="AE1045" s="95"/>
      <c r="AF1045" s="95"/>
      <c r="AG1045" s="95"/>
      <c r="AH1045" s="95"/>
      <c r="AI1045" s="95"/>
      <c r="AJ1045" s="95"/>
      <c r="AK1045" s="95"/>
      <c r="AL1045" s="95"/>
      <c r="AM1045" s="95"/>
      <c r="AN1045" s="95"/>
      <c r="AO1045" s="95"/>
      <c r="AP1045" s="95"/>
      <c r="AQ1045" s="95"/>
      <c r="AR1045" s="95"/>
      <c r="AS1045" s="95"/>
      <c r="AT1045" s="95"/>
      <c r="AU1045" s="95"/>
      <c r="AV1045" s="95"/>
      <c r="AW1045" s="95"/>
      <c r="AX1045" s="95"/>
      <c r="AY1045" s="95"/>
      <c r="AZ1045" s="95"/>
      <c r="BA1045" s="95"/>
      <c r="BB1045" s="95"/>
      <c r="BC1045" s="95"/>
      <c r="BD1045" s="95"/>
      <c r="BE1045" s="95"/>
      <c r="BF1045" s="95"/>
      <c r="BG1045" s="95"/>
      <c r="BH1045" s="95"/>
      <c r="BI1045" s="95"/>
      <c r="BJ1045" s="95"/>
      <c r="BK1045" s="95"/>
      <c r="BL1045" s="95"/>
      <c r="BM1045" s="95"/>
      <c r="BN1045" s="95"/>
      <c r="BO1045" s="95"/>
      <c r="BP1045" s="95"/>
      <c r="BQ1045" s="95"/>
      <c r="BR1045" s="95"/>
      <c r="BS1045" s="95"/>
      <c r="BT1045" s="95"/>
      <c r="BU1045" s="95"/>
      <c r="BV1045" s="95"/>
      <c r="BW1045" s="95"/>
      <c r="BX1045" s="95"/>
      <c r="BY1045" s="500"/>
      <c r="BZ1045" s="95"/>
      <c r="CA1045" s="95"/>
      <c r="CB1045" s="95"/>
      <c r="CC1045" s="95"/>
      <c r="CD1045" s="95"/>
      <c r="CE1045" s="95"/>
      <c r="CF1045" s="95"/>
      <c r="CG1045" s="95"/>
      <c r="CH1045" s="95"/>
      <c r="CI1045" s="95"/>
      <c r="CJ1045" s="95"/>
      <c r="CK1045" s="95"/>
      <c r="CL1045" s="155"/>
    </row>
    <row r="1046" spans="1:90" x14ac:dyDescent="0.3">
      <c r="A1046" s="253"/>
      <c r="B1046" s="93"/>
      <c r="C1046" s="1017"/>
      <c r="D1046" s="1017"/>
      <c r="E1046" s="93"/>
      <c r="F1046" s="93"/>
      <c r="G1046" s="93"/>
      <c r="H1046" s="93"/>
      <c r="I1046" s="93"/>
      <c r="J1046" s="93"/>
      <c r="K1046" s="93"/>
      <c r="L1046" s="93"/>
      <c r="M1046" s="93"/>
      <c r="N1046" s="93"/>
      <c r="O1046" s="93"/>
      <c r="P1046" s="93"/>
      <c r="Q1046" s="93"/>
      <c r="R1046" s="93"/>
      <c r="S1046" s="93"/>
      <c r="T1046" s="93"/>
      <c r="U1046" s="93"/>
      <c r="V1046" s="93"/>
      <c r="W1046" s="93"/>
      <c r="X1046" s="93"/>
      <c r="Y1046" s="93"/>
      <c r="Z1046" s="93"/>
      <c r="AA1046" s="93"/>
      <c r="AB1046" s="93"/>
      <c r="AC1046" s="93"/>
      <c r="AD1046" s="93"/>
      <c r="AE1046" s="93"/>
      <c r="AF1046" s="93"/>
      <c r="AG1046" s="93"/>
      <c r="AH1046" s="93"/>
      <c r="AI1046" s="93"/>
      <c r="AJ1046" s="93"/>
      <c r="AK1046" s="93"/>
      <c r="AL1046" s="93"/>
      <c r="AM1046" s="93"/>
      <c r="AN1046" s="93"/>
      <c r="AO1046" s="93"/>
      <c r="AP1046" s="93"/>
      <c r="AQ1046" s="93"/>
      <c r="AR1046" s="93"/>
      <c r="AS1046" s="93"/>
      <c r="AT1046" s="93"/>
      <c r="AU1046" s="93"/>
      <c r="AV1046" s="93"/>
      <c r="AW1046" s="93"/>
      <c r="AX1046" s="93"/>
      <c r="AY1046" s="93"/>
      <c r="AZ1046" s="93"/>
      <c r="BA1046" s="93"/>
      <c r="BB1046" s="93"/>
      <c r="BC1046" s="93"/>
      <c r="BD1046" s="93"/>
      <c r="BE1046" s="93"/>
      <c r="BF1046" s="93"/>
      <c r="BG1046" s="93"/>
      <c r="BH1046" s="93"/>
      <c r="BI1046" s="93"/>
      <c r="BJ1046" s="93"/>
      <c r="BK1046" s="93"/>
      <c r="BL1046" s="93"/>
      <c r="BM1046" s="93"/>
      <c r="BN1046" s="93"/>
      <c r="BO1046" s="93"/>
      <c r="BP1046" s="93"/>
      <c r="BQ1046" s="93"/>
      <c r="BR1046" s="93"/>
      <c r="BS1046" s="93"/>
      <c r="BT1046" s="93"/>
      <c r="BU1046" s="93"/>
      <c r="BV1046" s="93"/>
      <c r="BW1046" s="93"/>
      <c r="BX1046" s="93"/>
      <c r="BY1046" s="522"/>
      <c r="BZ1046" s="93"/>
      <c r="CA1046" s="93"/>
      <c r="CB1046" s="93"/>
      <c r="CC1046" s="93"/>
      <c r="CD1046" s="93"/>
      <c r="CE1046" s="93"/>
      <c r="CF1046" s="93"/>
      <c r="CG1046" s="93"/>
      <c r="CH1046" s="93"/>
      <c r="CI1046" s="93"/>
      <c r="CJ1046" s="93"/>
      <c r="CK1046" s="93"/>
      <c r="CL1046" s="155"/>
    </row>
    <row r="1047" spans="1:90" x14ac:dyDescent="0.3">
      <c r="A1047" s="551" t="s">
        <v>255</v>
      </c>
      <c r="B1047" s="63"/>
      <c r="C1047" s="1033"/>
      <c r="D1047" s="1033"/>
      <c r="E1047" s="63"/>
      <c r="F1047" s="63"/>
      <c r="G1047" s="63"/>
      <c r="H1047" s="63"/>
      <c r="I1047" s="63"/>
      <c r="J1047" s="63"/>
      <c r="K1047" s="63"/>
      <c r="L1047" s="63"/>
      <c r="M1047" s="63"/>
      <c r="N1047" s="63"/>
      <c r="O1047" s="63"/>
      <c r="P1047" s="63"/>
      <c r="Q1047" s="63"/>
      <c r="R1047" s="63"/>
      <c r="S1047" s="63"/>
      <c r="T1047" s="63"/>
      <c r="U1047" s="63"/>
      <c r="V1047" s="63"/>
      <c r="W1047" s="63"/>
      <c r="X1047" s="63"/>
      <c r="Y1047" s="63"/>
      <c r="Z1047" s="63"/>
      <c r="AA1047" s="63"/>
      <c r="AB1047" s="63"/>
      <c r="AC1047" s="63"/>
      <c r="AD1047" s="63"/>
      <c r="AE1047" s="63"/>
      <c r="AF1047" s="63"/>
      <c r="AG1047" s="63"/>
      <c r="AH1047" s="63"/>
      <c r="AI1047" s="63"/>
      <c r="AJ1047" s="63"/>
      <c r="AK1047" s="63"/>
      <c r="AL1047" s="63"/>
      <c r="AM1047" s="63"/>
      <c r="AN1047" s="63"/>
      <c r="AO1047" s="63"/>
      <c r="AP1047" s="63"/>
      <c r="AQ1047" s="63"/>
      <c r="AR1047" s="63"/>
      <c r="AS1047" s="63"/>
      <c r="AT1047" s="63"/>
      <c r="AU1047" s="63"/>
      <c r="AV1047" s="63"/>
      <c r="AW1047" s="63"/>
      <c r="AX1047" s="63"/>
      <c r="AY1047" s="63"/>
      <c r="AZ1047" s="63"/>
      <c r="BA1047" s="63"/>
      <c r="BB1047" s="63"/>
      <c r="BC1047" s="63"/>
      <c r="BD1047" s="63"/>
      <c r="BE1047" s="63"/>
      <c r="BF1047" s="63"/>
      <c r="BG1047" s="63"/>
      <c r="BH1047" s="63"/>
      <c r="BI1047" s="63"/>
      <c r="BJ1047" s="63"/>
      <c r="BK1047" s="63"/>
      <c r="BL1047" s="63"/>
      <c r="BM1047" s="63"/>
      <c r="BN1047" s="63"/>
      <c r="BO1047" s="63"/>
      <c r="BP1047" s="63"/>
      <c r="BQ1047" s="63"/>
      <c r="BR1047" s="63"/>
      <c r="BS1047" s="63"/>
      <c r="BT1047" s="63"/>
      <c r="BU1047" s="63"/>
      <c r="BV1047" s="63"/>
      <c r="BW1047" s="63"/>
      <c r="BX1047" s="63"/>
      <c r="BY1047" s="587"/>
      <c r="BZ1047" s="63"/>
      <c r="CA1047" s="63"/>
      <c r="CB1047" s="63"/>
      <c r="CC1047" s="63"/>
      <c r="CD1047" s="63"/>
      <c r="CE1047" s="63"/>
      <c r="CF1047" s="63"/>
      <c r="CG1047" s="63"/>
      <c r="CH1047" s="63"/>
      <c r="CI1047" s="63"/>
      <c r="CJ1047" s="63"/>
      <c r="CK1047" s="63"/>
      <c r="CL1047" s="155"/>
    </row>
    <row r="1048" spans="1:90" x14ac:dyDescent="0.3">
      <c r="A1048" s="871" t="s">
        <v>838</v>
      </c>
      <c r="B1048" s="68"/>
      <c r="C1048" s="1034"/>
      <c r="D1048" s="1034"/>
      <c r="E1048" s="68"/>
      <c r="F1048" s="68"/>
      <c r="G1048" s="68"/>
      <c r="H1048" s="68"/>
      <c r="I1048" s="68"/>
      <c r="J1048" s="68"/>
      <c r="K1048" s="68"/>
      <c r="L1048" s="68"/>
      <c r="M1048" s="68"/>
      <c r="N1048" s="68"/>
      <c r="O1048" s="68"/>
      <c r="P1048" s="68"/>
      <c r="Q1048" s="68"/>
      <c r="R1048" s="68"/>
      <c r="S1048" s="68"/>
      <c r="T1048" s="68"/>
      <c r="U1048" s="68"/>
      <c r="V1048" s="68"/>
      <c r="W1048" s="68"/>
      <c r="X1048" s="68"/>
      <c r="Y1048" s="68"/>
      <c r="Z1048" s="68"/>
      <c r="AA1048" s="68"/>
      <c r="AB1048" s="68"/>
      <c r="AC1048" s="68"/>
      <c r="AD1048" s="68"/>
      <c r="AE1048" s="68"/>
      <c r="AF1048" s="68"/>
      <c r="AG1048" s="68"/>
      <c r="AH1048" s="68"/>
      <c r="AI1048" s="68"/>
      <c r="AJ1048" s="68"/>
      <c r="AK1048" s="68"/>
      <c r="AL1048" s="68"/>
      <c r="AM1048" s="68"/>
      <c r="AN1048" s="68"/>
      <c r="AO1048" s="68"/>
      <c r="AP1048" s="68"/>
      <c r="AQ1048" s="68"/>
      <c r="AR1048" s="68"/>
      <c r="AS1048" s="68"/>
      <c r="AT1048" s="68"/>
      <c r="AU1048" s="68"/>
      <c r="AV1048" s="68"/>
      <c r="AW1048" s="68"/>
      <c r="AX1048" s="68"/>
      <c r="AY1048" s="68"/>
      <c r="AZ1048" s="68"/>
      <c r="BA1048" s="68"/>
      <c r="BB1048" s="68"/>
      <c r="BC1048" s="68"/>
      <c r="BD1048" s="68"/>
      <c r="BE1048" s="68"/>
      <c r="BF1048" s="68"/>
      <c r="BG1048" s="68"/>
      <c r="BH1048" s="68"/>
      <c r="BI1048" s="68"/>
      <c r="BJ1048" s="68"/>
      <c r="BK1048" s="68"/>
      <c r="BL1048" s="68"/>
      <c r="BM1048" s="68"/>
      <c r="BN1048" s="68"/>
      <c r="BO1048" s="68"/>
      <c r="BP1048" s="68"/>
      <c r="BQ1048" s="68"/>
      <c r="BR1048" s="68"/>
      <c r="BS1048" s="68"/>
      <c r="BT1048" s="68"/>
      <c r="BU1048" s="68"/>
      <c r="BV1048" s="68"/>
      <c r="BW1048" s="68"/>
      <c r="BX1048" s="68"/>
      <c r="BY1048" s="588"/>
      <c r="BZ1048" s="68"/>
      <c r="CA1048" s="68"/>
      <c r="CB1048" s="68"/>
      <c r="CC1048" s="68"/>
      <c r="CD1048" s="68"/>
      <c r="CE1048" s="68"/>
      <c r="CF1048" s="68"/>
      <c r="CG1048" s="68"/>
      <c r="CH1048" s="68"/>
      <c r="CI1048" s="68"/>
      <c r="CJ1048" s="68"/>
      <c r="CK1048" s="68"/>
      <c r="CL1048" s="155"/>
    </row>
    <row r="1049" spans="1:90" x14ac:dyDescent="0.3">
      <c r="A1049" s="552" t="s">
        <v>256</v>
      </c>
      <c r="B1049" s="68"/>
      <c r="C1049" s="1034"/>
      <c r="D1049" s="1034"/>
      <c r="E1049" s="68"/>
      <c r="F1049" s="68"/>
      <c r="G1049" s="68"/>
      <c r="H1049" s="68"/>
      <c r="I1049" s="68"/>
      <c r="J1049" s="68"/>
      <c r="K1049" s="68"/>
      <c r="L1049" s="68"/>
      <c r="M1049" s="68"/>
      <c r="N1049" s="68"/>
      <c r="O1049" s="68"/>
      <c r="P1049" s="68"/>
      <c r="Q1049" s="68"/>
      <c r="R1049" s="68"/>
      <c r="S1049" s="68"/>
      <c r="T1049" s="68"/>
      <c r="U1049" s="68"/>
      <c r="V1049" s="68"/>
      <c r="W1049" s="68"/>
      <c r="X1049" s="68"/>
      <c r="Y1049" s="68"/>
      <c r="Z1049" s="68"/>
      <c r="AA1049" s="68"/>
      <c r="AB1049" s="68"/>
      <c r="AC1049" s="68"/>
      <c r="AD1049" s="68"/>
      <c r="AE1049" s="68"/>
      <c r="AF1049" s="68"/>
      <c r="AG1049" s="68"/>
      <c r="AH1049" s="68"/>
      <c r="AI1049" s="68"/>
      <c r="AJ1049" s="68"/>
      <c r="AK1049" s="68"/>
      <c r="AL1049" s="68"/>
      <c r="AM1049" s="68"/>
      <c r="AN1049" s="68"/>
      <c r="AO1049" s="68"/>
      <c r="AP1049" s="68"/>
      <c r="AQ1049" s="68"/>
      <c r="AR1049" s="68"/>
      <c r="AS1049" s="68"/>
      <c r="AT1049" s="68"/>
      <c r="AU1049" s="68"/>
      <c r="AV1049" s="68"/>
      <c r="AW1049" s="68"/>
      <c r="AX1049" s="68"/>
      <c r="AY1049" s="68"/>
      <c r="AZ1049" s="68"/>
      <c r="BA1049" s="68"/>
      <c r="BB1049" s="68"/>
      <c r="BC1049" s="68"/>
      <c r="BD1049" s="68"/>
      <c r="BE1049" s="68"/>
      <c r="BF1049" s="68"/>
      <c r="BG1049" s="68"/>
      <c r="BH1049" s="68"/>
      <c r="BI1049" s="68"/>
      <c r="BJ1049" s="68"/>
      <c r="BK1049" s="68"/>
      <c r="BL1049" s="68"/>
      <c r="BM1049" s="68"/>
      <c r="BN1049" s="68"/>
      <c r="BO1049" s="68"/>
      <c r="BP1049" s="68"/>
      <c r="BQ1049" s="68"/>
      <c r="BR1049" s="68"/>
      <c r="BS1049" s="68"/>
      <c r="BT1049" s="68"/>
      <c r="BU1049" s="68"/>
      <c r="BV1049" s="68"/>
      <c r="BW1049" s="68"/>
      <c r="BX1049" s="68"/>
      <c r="BY1049" s="588"/>
      <c r="BZ1049" s="68"/>
      <c r="CA1049" s="68"/>
      <c r="CB1049" s="68"/>
      <c r="CC1049" s="68"/>
      <c r="CD1049" s="68"/>
      <c r="CE1049" s="68"/>
      <c r="CF1049" s="68"/>
      <c r="CG1049" s="68"/>
      <c r="CH1049" s="68"/>
      <c r="CI1049" s="68"/>
      <c r="CJ1049" s="68"/>
      <c r="CK1049" s="68"/>
      <c r="CL1049" s="155"/>
    </row>
    <row r="1050" spans="1:90" x14ac:dyDescent="0.3">
      <c r="A1050" s="553" t="s">
        <v>257</v>
      </c>
      <c r="B1050" s="68"/>
      <c r="C1050" s="1034"/>
      <c r="D1050" s="1034"/>
      <c r="E1050" s="68"/>
      <c r="F1050" s="68"/>
      <c r="G1050" s="68"/>
      <c r="H1050" s="68"/>
      <c r="I1050" s="68"/>
      <c r="J1050" s="68"/>
      <c r="K1050" s="68"/>
      <c r="L1050" s="68"/>
      <c r="M1050" s="68"/>
      <c r="N1050" s="68"/>
      <c r="O1050" s="68"/>
      <c r="P1050" s="68"/>
      <c r="Q1050" s="68"/>
      <c r="R1050" s="68"/>
      <c r="S1050" s="68"/>
      <c r="T1050" s="68"/>
      <c r="U1050" s="68"/>
      <c r="V1050" s="68"/>
      <c r="W1050" s="68"/>
      <c r="X1050" s="68"/>
      <c r="Y1050" s="68"/>
      <c r="Z1050" s="68"/>
      <c r="AA1050" s="68"/>
      <c r="AB1050" s="68"/>
      <c r="AC1050" s="68"/>
      <c r="AD1050" s="68"/>
      <c r="AE1050" s="68"/>
      <c r="AF1050" s="68"/>
      <c r="AG1050" s="68"/>
      <c r="AH1050" s="68"/>
      <c r="AI1050" s="68"/>
      <c r="AJ1050" s="68"/>
      <c r="AK1050" s="68"/>
      <c r="AL1050" s="68"/>
      <c r="AM1050" s="68"/>
      <c r="AN1050" s="68"/>
      <c r="AO1050" s="68"/>
      <c r="AP1050" s="68"/>
      <c r="AQ1050" s="68"/>
      <c r="AR1050" s="68"/>
      <c r="AS1050" s="68"/>
      <c r="AT1050" s="68"/>
      <c r="AU1050" s="68"/>
      <c r="AV1050" s="68"/>
      <c r="AW1050" s="68"/>
      <c r="AX1050" s="68"/>
      <c r="AY1050" s="68"/>
      <c r="AZ1050" s="68"/>
      <c r="BA1050" s="68"/>
      <c r="BB1050" s="68"/>
      <c r="BC1050" s="68"/>
      <c r="BD1050" s="68"/>
      <c r="BE1050" s="68"/>
      <c r="BF1050" s="68"/>
      <c r="BG1050" s="68"/>
      <c r="BH1050" s="68"/>
      <c r="BI1050" s="68"/>
      <c r="BJ1050" s="68"/>
      <c r="BK1050" s="68"/>
      <c r="BL1050" s="68"/>
      <c r="BM1050" s="68"/>
      <c r="BN1050" s="68"/>
      <c r="BO1050" s="68"/>
      <c r="BP1050" s="68"/>
      <c r="BQ1050" s="68"/>
      <c r="BR1050" s="68"/>
      <c r="BS1050" s="68"/>
      <c r="BT1050" s="68"/>
      <c r="BU1050" s="68"/>
      <c r="BV1050" s="68"/>
      <c r="BW1050" s="68"/>
      <c r="BX1050" s="68"/>
      <c r="BY1050" s="588"/>
      <c r="BZ1050" s="68"/>
      <c r="CA1050" s="68"/>
      <c r="CB1050" s="68"/>
      <c r="CC1050" s="68"/>
      <c r="CD1050" s="68"/>
      <c r="CE1050" s="68"/>
      <c r="CF1050" s="68"/>
      <c r="CG1050" s="68"/>
      <c r="CH1050" s="68"/>
      <c r="CI1050" s="68"/>
      <c r="CJ1050" s="68"/>
      <c r="CK1050" s="68"/>
      <c r="CL1050" s="155"/>
    </row>
    <row r="1051" spans="1:90" x14ac:dyDescent="0.3">
      <c r="A1051" s="554" t="s">
        <v>258</v>
      </c>
      <c r="B1051" s="68"/>
      <c r="C1051" s="1034"/>
      <c r="D1051" s="1034"/>
      <c r="E1051" s="68"/>
      <c r="F1051" s="68"/>
      <c r="G1051" s="68"/>
      <c r="H1051" s="68"/>
      <c r="I1051" s="68"/>
      <c r="J1051" s="68"/>
      <c r="K1051" s="68"/>
      <c r="L1051" s="68"/>
      <c r="M1051" s="68"/>
      <c r="N1051" s="68"/>
      <c r="O1051" s="68"/>
      <c r="P1051" s="68"/>
      <c r="Q1051" s="68"/>
      <c r="R1051" s="68"/>
      <c r="S1051" s="68"/>
      <c r="T1051" s="68"/>
      <c r="U1051" s="68"/>
      <c r="V1051" s="68"/>
      <c r="W1051" s="68"/>
      <c r="X1051" s="68"/>
      <c r="Y1051" s="68"/>
      <c r="Z1051" s="68"/>
      <c r="AA1051" s="68"/>
      <c r="AB1051" s="68"/>
      <c r="AC1051" s="68"/>
      <c r="AD1051" s="68"/>
      <c r="AE1051" s="68"/>
      <c r="AF1051" s="68"/>
      <c r="AG1051" s="68"/>
      <c r="AH1051" s="68"/>
      <c r="AI1051" s="68"/>
      <c r="AJ1051" s="68"/>
      <c r="AK1051" s="68"/>
      <c r="AL1051" s="68"/>
      <c r="AM1051" s="68"/>
      <c r="AN1051" s="68"/>
      <c r="AO1051" s="68"/>
      <c r="AP1051" s="68"/>
      <c r="AQ1051" s="68"/>
      <c r="AR1051" s="68"/>
      <c r="AS1051" s="68"/>
      <c r="AT1051" s="68"/>
      <c r="AU1051" s="68"/>
      <c r="AV1051" s="68"/>
      <c r="AW1051" s="68"/>
      <c r="AX1051" s="68"/>
      <c r="AY1051" s="68"/>
      <c r="AZ1051" s="68"/>
      <c r="BA1051" s="68"/>
      <c r="BB1051" s="68"/>
      <c r="BC1051" s="68"/>
      <c r="BD1051" s="68"/>
      <c r="BE1051" s="68"/>
      <c r="BF1051" s="68"/>
      <c r="BG1051" s="68"/>
      <c r="BH1051" s="68"/>
      <c r="BI1051" s="68"/>
      <c r="BJ1051" s="68"/>
      <c r="BK1051" s="68"/>
      <c r="BL1051" s="68"/>
      <c r="BM1051" s="68"/>
      <c r="BN1051" s="68"/>
      <c r="BO1051" s="68"/>
      <c r="BP1051" s="68"/>
      <c r="BQ1051" s="68"/>
      <c r="BR1051" s="68"/>
      <c r="BS1051" s="68"/>
      <c r="BT1051" s="68"/>
      <c r="BU1051" s="68"/>
      <c r="BV1051" s="68"/>
      <c r="BW1051" s="68"/>
      <c r="BX1051" s="68"/>
      <c r="BY1051" s="588"/>
      <c r="BZ1051" s="68"/>
      <c r="CA1051" s="68"/>
      <c r="CB1051" s="68"/>
      <c r="CC1051" s="68"/>
      <c r="CD1051" s="68"/>
      <c r="CE1051" s="68"/>
      <c r="CF1051" s="68"/>
      <c r="CG1051" s="68"/>
      <c r="CH1051" s="68"/>
      <c r="CI1051" s="68"/>
      <c r="CJ1051" s="68"/>
      <c r="CK1051" s="68"/>
      <c r="CL1051" s="155"/>
    </row>
    <row r="1052" spans="1:90" x14ac:dyDescent="0.3">
      <c r="A1052" s="584" t="s">
        <v>259</v>
      </c>
      <c r="B1052" s="68"/>
      <c r="C1052" s="1034"/>
      <c r="D1052" s="1034"/>
      <c r="E1052" s="68"/>
      <c r="F1052" s="68"/>
      <c r="G1052" s="68"/>
      <c r="H1052" s="68"/>
      <c r="I1052" s="68"/>
      <c r="J1052" s="68"/>
      <c r="K1052" s="68"/>
      <c r="L1052" s="68"/>
      <c r="M1052" s="68"/>
      <c r="N1052" s="68"/>
      <c r="O1052" s="68"/>
      <c r="P1052" s="68"/>
      <c r="Q1052" s="68"/>
      <c r="R1052" s="68"/>
      <c r="S1052" s="68"/>
      <c r="T1052" s="68"/>
      <c r="U1052" s="68"/>
      <c r="V1052" s="68"/>
      <c r="W1052" s="68"/>
      <c r="X1052" s="68"/>
      <c r="Y1052" s="68"/>
      <c r="Z1052" s="68"/>
      <c r="AA1052" s="68"/>
      <c r="AB1052" s="68"/>
      <c r="AC1052" s="68"/>
      <c r="AD1052" s="68"/>
      <c r="AE1052" s="68"/>
      <c r="AF1052" s="68"/>
      <c r="AG1052" s="68"/>
      <c r="AH1052" s="68"/>
      <c r="AI1052" s="68"/>
      <c r="AJ1052" s="68"/>
      <c r="AK1052" s="68"/>
      <c r="AL1052" s="68"/>
      <c r="AM1052" s="68"/>
      <c r="AN1052" s="68"/>
      <c r="AO1052" s="68"/>
      <c r="AP1052" s="68"/>
      <c r="AQ1052" s="68"/>
      <c r="AR1052" s="68"/>
      <c r="AS1052" s="68"/>
      <c r="AT1052" s="68"/>
      <c r="AU1052" s="68"/>
      <c r="AV1052" s="68"/>
      <c r="AW1052" s="68"/>
      <c r="AX1052" s="68"/>
      <c r="AY1052" s="68"/>
      <c r="AZ1052" s="68"/>
      <c r="BA1052" s="68"/>
      <c r="BB1052" s="68"/>
      <c r="BC1052" s="68"/>
      <c r="BD1052" s="68"/>
      <c r="BE1052" s="68"/>
      <c r="BF1052" s="68"/>
      <c r="BG1052" s="68"/>
      <c r="BH1052" s="68"/>
      <c r="BI1052" s="68"/>
      <c r="BJ1052" s="68"/>
      <c r="BK1052" s="68"/>
      <c r="BL1052" s="68"/>
      <c r="BM1052" s="68"/>
      <c r="BN1052" s="68"/>
      <c r="BO1052" s="68"/>
      <c r="BP1052" s="68"/>
      <c r="BQ1052" s="68"/>
      <c r="BR1052" s="68"/>
      <c r="BS1052" s="68"/>
      <c r="BT1052" s="68"/>
      <c r="BU1052" s="68"/>
      <c r="BV1052" s="68"/>
      <c r="BW1052" s="68"/>
      <c r="BX1052" s="68"/>
      <c r="BY1052" s="588"/>
      <c r="BZ1052" s="68"/>
      <c r="CA1052" s="68"/>
      <c r="CB1052" s="68"/>
      <c r="CC1052" s="68"/>
      <c r="CD1052" s="68"/>
      <c r="CE1052" s="68"/>
      <c r="CF1052" s="68"/>
      <c r="CG1052" s="68"/>
      <c r="CH1052" s="68"/>
      <c r="CI1052" s="68"/>
      <c r="CJ1052" s="68"/>
      <c r="CK1052" s="68"/>
      <c r="CL1052" s="155"/>
    </row>
    <row r="1053" spans="1:90" x14ac:dyDescent="0.3">
      <c r="A1053" s="253"/>
      <c r="B1053" s="68"/>
      <c r="C1053" s="1034"/>
      <c r="D1053" s="1034"/>
      <c r="E1053" s="68"/>
      <c r="F1053" s="68"/>
      <c r="G1053" s="68"/>
      <c r="H1053" s="68"/>
      <c r="I1053" s="68"/>
      <c r="J1053" s="68"/>
      <c r="K1053" s="68"/>
      <c r="L1053" s="68"/>
      <c r="M1053" s="68"/>
      <c r="N1053" s="68"/>
      <c r="O1053" s="68"/>
      <c r="P1053" s="68"/>
      <c r="Q1053" s="68"/>
      <c r="R1053" s="68"/>
      <c r="S1053" s="68"/>
      <c r="T1053" s="68"/>
      <c r="U1053" s="68"/>
      <c r="V1053" s="68"/>
      <c r="W1053" s="68"/>
      <c r="X1053" s="68"/>
      <c r="Y1053" s="68"/>
      <c r="Z1053" s="68"/>
      <c r="AA1053" s="68"/>
      <c r="AB1053" s="68"/>
      <c r="AC1053" s="68"/>
      <c r="AD1053" s="68"/>
      <c r="AE1053" s="68"/>
      <c r="AF1053" s="68"/>
      <c r="AG1053" s="68"/>
      <c r="AH1053" s="68"/>
      <c r="AI1053" s="68"/>
      <c r="AJ1053" s="68"/>
      <c r="AK1053" s="68"/>
      <c r="AL1053" s="68"/>
      <c r="AM1053" s="68"/>
      <c r="AN1053" s="68"/>
      <c r="AO1053" s="68"/>
      <c r="AP1053" s="68"/>
      <c r="AQ1053" s="68"/>
      <c r="AR1053" s="68"/>
      <c r="AS1053" s="68"/>
      <c r="AT1053" s="68"/>
      <c r="AU1053" s="68"/>
      <c r="AV1053" s="68"/>
      <c r="AW1053" s="68"/>
      <c r="AX1053" s="68"/>
      <c r="AY1053" s="68"/>
      <c r="AZ1053" s="68"/>
      <c r="BA1053" s="68"/>
      <c r="BB1053" s="68"/>
      <c r="BC1053" s="68"/>
      <c r="BD1053" s="68"/>
      <c r="BE1053" s="68"/>
      <c r="BF1053" s="68"/>
      <c r="BG1053" s="68"/>
      <c r="BH1053" s="68"/>
      <c r="BI1053" s="68"/>
      <c r="BJ1053" s="68"/>
      <c r="BK1053" s="68"/>
      <c r="BL1053" s="68"/>
      <c r="BM1053" s="68"/>
      <c r="BN1053" s="68"/>
      <c r="BO1053" s="68"/>
      <c r="BP1053" s="68"/>
      <c r="BQ1053" s="68"/>
      <c r="BR1053" s="68"/>
      <c r="BS1053" s="68"/>
      <c r="BT1053" s="68"/>
      <c r="BU1053" s="68"/>
      <c r="BV1053" s="68"/>
      <c r="BW1053" s="68"/>
      <c r="BX1053" s="68"/>
      <c r="BY1053" s="588"/>
      <c r="BZ1053" s="68"/>
      <c r="CA1053" s="68"/>
      <c r="CB1053" s="68"/>
      <c r="CC1053" s="68"/>
      <c r="CD1053" s="68"/>
      <c r="CE1053" s="68"/>
      <c r="CF1053" s="68"/>
      <c r="CG1053" s="68"/>
      <c r="CH1053" s="68"/>
      <c r="CI1053" s="68"/>
      <c r="CJ1053" s="68"/>
      <c r="CK1053" s="68"/>
      <c r="CL1053" s="155"/>
    </row>
    <row r="1054" spans="1:90" x14ac:dyDescent="0.3">
      <c r="A1054" s="556" t="s">
        <v>260</v>
      </c>
      <c r="B1054" s="555"/>
      <c r="C1054" s="627"/>
      <c r="D1054" s="627"/>
      <c r="E1054" s="627"/>
      <c r="F1054" s="627"/>
      <c r="G1054" s="627"/>
      <c r="H1054" s="627"/>
      <c r="I1054" s="627"/>
      <c r="J1054" s="627"/>
      <c r="K1054" s="627"/>
      <c r="L1054" s="627"/>
      <c r="M1054" s="627"/>
      <c r="N1054" s="627"/>
      <c r="O1054" s="627"/>
      <c r="P1054" s="627"/>
      <c r="Q1054" s="627"/>
      <c r="R1054" s="627"/>
      <c r="S1054" s="627"/>
      <c r="T1054" s="627"/>
      <c r="U1054" s="627"/>
      <c r="V1054" s="627"/>
      <c r="W1054" s="627"/>
      <c r="X1054" s="627"/>
      <c r="Y1054" s="627"/>
      <c r="Z1054" s="627"/>
      <c r="AA1054" s="627"/>
      <c r="AB1054" s="627"/>
      <c r="AC1054" s="627"/>
      <c r="AD1054" s="627"/>
      <c r="AE1054" s="627"/>
      <c r="AF1054" s="627"/>
      <c r="AG1054" s="627"/>
      <c r="AH1054" s="627"/>
      <c r="AI1054" s="627"/>
      <c r="AJ1054" s="627"/>
      <c r="AK1054" s="627"/>
      <c r="AL1054" s="627"/>
      <c r="AM1054" s="627"/>
      <c r="AN1054" s="627"/>
      <c r="AO1054" s="627"/>
      <c r="AP1054" s="627"/>
      <c r="AQ1054" s="627"/>
      <c r="AR1054" s="627"/>
      <c r="AS1054" s="627"/>
      <c r="AT1054" s="627"/>
      <c r="AU1054" s="627"/>
      <c r="AV1054" s="627"/>
      <c r="AW1054" s="627"/>
      <c r="AX1054" s="627"/>
      <c r="AY1054" s="627"/>
      <c r="AZ1054" s="627"/>
      <c r="BA1054" s="627"/>
      <c r="BB1054" s="627"/>
      <c r="BC1054" s="627"/>
      <c r="BD1054" s="627"/>
      <c r="BE1054" s="627"/>
      <c r="BF1054" s="627"/>
      <c r="BG1054" s="627"/>
      <c r="BH1054" s="627"/>
      <c r="BI1054" s="627"/>
      <c r="BJ1054" s="627"/>
      <c r="BK1054" s="627"/>
      <c r="BL1054" s="627"/>
      <c r="BM1054" s="627"/>
      <c r="BN1054" s="627"/>
      <c r="BO1054" s="627"/>
      <c r="BP1054" s="627"/>
      <c r="BQ1054" s="627"/>
      <c r="BR1054" s="627"/>
      <c r="BS1054" s="627"/>
      <c r="BT1054" s="627"/>
      <c r="BU1054" s="627"/>
      <c r="BV1054" s="627"/>
      <c r="BW1054" s="627"/>
      <c r="BX1054" s="627"/>
      <c r="BY1054" s="628"/>
      <c r="BZ1054" s="627"/>
      <c r="CA1054" s="627"/>
      <c r="CB1054" s="627"/>
      <c r="CC1054" s="627"/>
      <c r="CD1054" s="627"/>
      <c r="CE1054" s="627"/>
      <c r="CF1054" s="627"/>
      <c r="CG1054" s="627"/>
      <c r="CH1054" s="627"/>
      <c r="CI1054" s="627"/>
      <c r="CJ1054" s="627"/>
      <c r="CK1054" s="627"/>
      <c r="CL1054" s="155"/>
    </row>
    <row r="1055" spans="1:90" x14ac:dyDescent="0.3">
      <c r="A1055" s="549" t="s">
        <v>261</v>
      </c>
      <c r="B1055" s="1091">
        <v>1</v>
      </c>
      <c r="C1055" s="68"/>
      <c r="D1055" s="1034"/>
      <c r="E1055" s="68"/>
      <c r="F1055" s="68"/>
      <c r="G1055" s="68"/>
      <c r="H1055" s="68"/>
      <c r="I1055" s="68"/>
      <c r="J1055" s="68"/>
      <c r="K1055" s="68"/>
      <c r="L1055" s="68"/>
      <c r="M1055" s="68"/>
      <c r="N1055" s="68"/>
      <c r="O1055" s="68"/>
      <c r="P1055" s="68"/>
      <c r="Q1055" s="68"/>
      <c r="R1055" s="68"/>
      <c r="S1055" s="68"/>
      <c r="T1055" s="68"/>
      <c r="U1055" s="68"/>
      <c r="V1055" s="68"/>
      <c r="W1055" s="68"/>
      <c r="X1055" s="68"/>
      <c r="Y1055" s="68"/>
      <c r="Z1055" s="68"/>
      <c r="AA1055" s="68"/>
      <c r="AB1055" s="68"/>
      <c r="AC1055" s="68"/>
      <c r="AD1055" s="68"/>
      <c r="AE1055" s="68"/>
      <c r="AF1055" s="68"/>
      <c r="AG1055" s="68"/>
      <c r="AH1055" s="68"/>
      <c r="AI1055" s="68"/>
      <c r="AJ1055" s="68"/>
      <c r="AK1055" s="68"/>
      <c r="AL1055" s="68"/>
      <c r="AM1055" s="68"/>
      <c r="AN1055" s="68"/>
      <c r="AO1055" s="68"/>
      <c r="AP1055" s="68"/>
      <c r="AQ1055" s="68"/>
      <c r="AR1055" s="68"/>
      <c r="AS1055" s="68"/>
      <c r="AT1055" s="68"/>
      <c r="AU1055" s="68"/>
      <c r="AV1055" s="68"/>
      <c r="AW1055" s="68"/>
      <c r="AX1055" s="68"/>
      <c r="AY1055" s="68"/>
      <c r="AZ1055" s="68"/>
      <c r="BA1055" s="68"/>
      <c r="BB1055" s="68"/>
      <c r="BC1055" s="68"/>
      <c r="BD1055" s="68"/>
      <c r="BE1055" s="68"/>
      <c r="BF1055" s="68"/>
      <c r="BG1055" s="68"/>
      <c r="BH1055" s="68"/>
      <c r="BI1055" s="68"/>
      <c r="BJ1055" s="68"/>
      <c r="BK1055" s="68"/>
      <c r="BL1055" s="68"/>
      <c r="BM1055" s="68"/>
      <c r="BN1055" s="68"/>
      <c r="BO1055" s="68"/>
      <c r="BP1055" s="68"/>
      <c r="BQ1055" s="68"/>
      <c r="BR1055" s="68"/>
      <c r="BS1055" s="68"/>
      <c r="BT1055" s="68"/>
      <c r="BU1055" s="68"/>
      <c r="BV1055" s="68"/>
      <c r="BW1055" s="68"/>
      <c r="BX1055" s="68"/>
      <c r="BY1055" s="588"/>
      <c r="BZ1055" s="68"/>
      <c r="CA1055" s="68"/>
      <c r="CB1055" s="68"/>
      <c r="CC1055" s="68"/>
      <c r="CD1055" s="68"/>
      <c r="CE1055" s="68"/>
      <c r="CF1055" s="68"/>
      <c r="CG1055" s="68"/>
      <c r="CH1055" s="68"/>
      <c r="CI1055" s="68"/>
      <c r="CJ1055" s="68"/>
      <c r="CK1055" s="68"/>
      <c r="CL1055" s="155"/>
    </row>
    <row r="1056" spans="1:90" x14ac:dyDescent="0.3">
      <c r="A1056" s="549" t="s">
        <v>262</v>
      </c>
      <c r="B1056" s="1091">
        <v>2</v>
      </c>
      <c r="C1056" s="68"/>
      <c r="D1056" s="1034"/>
      <c r="E1056" s="68"/>
      <c r="F1056" s="68"/>
      <c r="G1056" s="68"/>
      <c r="H1056" s="68"/>
      <c r="I1056" s="68"/>
      <c r="J1056" s="68"/>
      <c r="K1056" s="68"/>
      <c r="L1056" s="68"/>
      <c r="M1056" s="68"/>
      <c r="N1056" s="68"/>
      <c r="O1056" s="68"/>
      <c r="P1056" s="68"/>
      <c r="Q1056" s="68"/>
      <c r="R1056" s="68"/>
      <c r="S1056" s="68"/>
      <c r="T1056" s="68"/>
      <c r="U1056" s="68"/>
      <c r="V1056" s="68"/>
      <c r="W1056" s="68"/>
      <c r="X1056" s="68"/>
      <c r="Y1056" s="68"/>
      <c r="Z1056" s="68"/>
      <c r="AA1056" s="68"/>
      <c r="AB1056" s="68"/>
      <c r="AC1056" s="68"/>
      <c r="AD1056" s="68"/>
      <c r="AE1056" s="68"/>
      <c r="AF1056" s="68"/>
      <c r="AG1056" s="68"/>
      <c r="AH1056" s="68"/>
      <c r="AI1056" s="68"/>
      <c r="AJ1056" s="68"/>
      <c r="AK1056" s="68"/>
      <c r="AL1056" s="68"/>
      <c r="AM1056" s="68"/>
      <c r="AN1056" s="68"/>
      <c r="AO1056" s="68"/>
      <c r="AP1056" s="68"/>
      <c r="AQ1056" s="68"/>
      <c r="AR1056" s="68"/>
      <c r="AS1056" s="68"/>
      <c r="AT1056" s="68"/>
      <c r="AU1056" s="68"/>
      <c r="AV1056" s="68"/>
      <c r="AW1056" s="68"/>
      <c r="AX1056" s="68"/>
      <c r="AY1056" s="68"/>
      <c r="AZ1056" s="68"/>
      <c r="BA1056" s="68"/>
      <c r="BB1056" s="68"/>
      <c r="BC1056" s="68"/>
      <c r="BD1056" s="68"/>
      <c r="BE1056" s="68"/>
      <c r="BF1056" s="68"/>
      <c r="BG1056" s="68"/>
      <c r="BH1056" s="68"/>
      <c r="BI1056" s="68"/>
      <c r="BJ1056" s="68"/>
      <c r="BK1056" s="68"/>
      <c r="BL1056" s="68"/>
      <c r="BM1056" s="68"/>
      <c r="BN1056" s="68"/>
      <c r="BO1056" s="68"/>
      <c r="BP1056" s="68"/>
      <c r="BQ1056" s="68"/>
      <c r="BR1056" s="68"/>
      <c r="BS1056" s="68"/>
      <c r="BT1056" s="68"/>
      <c r="BU1056" s="68"/>
      <c r="BV1056" s="68"/>
      <c r="BW1056" s="68"/>
      <c r="BX1056" s="68"/>
      <c r="BY1056" s="588"/>
      <c r="BZ1056" s="68"/>
      <c r="CA1056" s="68"/>
      <c r="CB1056" s="68"/>
      <c r="CC1056" s="68"/>
      <c r="CD1056" s="68"/>
      <c r="CE1056" s="68"/>
      <c r="CF1056" s="68"/>
      <c r="CG1056" s="68"/>
      <c r="CH1056" s="68"/>
      <c r="CI1056" s="68"/>
      <c r="CJ1056" s="68"/>
      <c r="CK1056" s="68"/>
      <c r="CL1056" s="155"/>
    </row>
    <row r="1057" spans="1:90" x14ac:dyDescent="0.3">
      <c r="A1057" s="549" t="s">
        <v>134</v>
      </c>
      <c r="B1057" s="1091">
        <v>3</v>
      </c>
      <c r="C1057" s="68"/>
      <c r="D1057" s="1034"/>
      <c r="E1057" s="68"/>
      <c r="F1057" s="68"/>
      <c r="G1057" s="68"/>
      <c r="H1057" s="68"/>
      <c r="I1057" s="68"/>
      <c r="J1057" s="68"/>
      <c r="K1057" s="68"/>
      <c r="L1057" s="68"/>
      <c r="M1057" s="68"/>
      <c r="N1057" s="68"/>
      <c r="O1057" s="68"/>
      <c r="P1057" s="68"/>
      <c r="Q1057" s="68"/>
      <c r="R1057" s="68"/>
      <c r="S1057" s="68"/>
      <c r="T1057" s="68"/>
      <c r="U1057" s="68"/>
      <c r="V1057" s="68"/>
      <c r="W1057" s="68"/>
      <c r="X1057" s="68"/>
      <c r="Y1057" s="68"/>
      <c r="Z1057" s="68"/>
      <c r="AA1057" s="68"/>
      <c r="AB1057" s="68"/>
      <c r="AC1057" s="68"/>
      <c r="AD1057" s="68"/>
      <c r="AE1057" s="68"/>
      <c r="AF1057" s="68"/>
      <c r="AG1057" s="68"/>
      <c r="AH1057" s="68"/>
      <c r="AI1057" s="68"/>
      <c r="AJ1057" s="68"/>
      <c r="AK1057" s="68"/>
      <c r="AL1057" s="68"/>
      <c r="AM1057" s="68"/>
      <c r="AN1057" s="68"/>
      <c r="AO1057" s="68"/>
      <c r="AP1057" s="68"/>
      <c r="AQ1057" s="68"/>
      <c r="AR1057" s="68"/>
      <c r="AS1057" s="68"/>
      <c r="AT1057" s="68"/>
      <c r="AU1057" s="68"/>
      <c r="AV1057" s="68"/>
      <c r="AW1057" s="68"/>
      <c r="AX1057" s="68"/>
      <c r="AY1057" s="68"/>
      <c r="AZ1057" s="68"/>
      <c r="BA1057" s="68"/>
      <c r="BB1057" s="68"/>
      <c r="BC1057" s="68"/>
      <c r="BD1057" s="68"/>
      <c r="BE1057" s="68"/>
      <c r="BF1057" s="68"/>
      <c r="BG1057" s="68"/>
      <c r="BH1057" s="68"/>
      <c r="BI1057" s="68"/>
      <c r="BJ1057" s="68"/>
      <c r="BK1057" s="68"/>
      <c r="BL1057" s="68"/>
      <c r="BM1057" s="68"/>
      <c r="BN1057" s="68"/>
      <c r="BO1057" s="68"/>
      <c r="BP1057" s="68"/>
      <c r="BQ1057" s="68"/>
      <c r="BR1057" s="68"/>
      <c r="BS1057" s="68"/>
      <c r="BT1057" s="68"/>
      <c r="BU1057" s="68"/>
      <c r="BV1057" s="68"/>
      <c r="BW1057" s="68"/>
      <c r="BX1057" s="68"/>
      <c r="BY1057" s="588"/>
      <c r="BZ1057" s="68"/>
      <c r="CA1057" s="68"/>
      <c r="CB1057" s="68"/>
      <c r="CC1057" s="68"/>
      <c r="CD1057" s="68"/>
      <c r="CE1057" s="68"/>
      <c r="CF1057" s="68"/>
      <c r="CG1057" s="68"/>
      <c r="CH1057" s="68"/>
      <c r="CI1057" s="68"/>
      <c r="CJ1057" s="68"/>
      <c r="CK1057" s="68"/>
      <c r="CL1057" s="155"/>
    </row>
    <row r="1058" spans="1:90" x14ac:dyDescent="0.3">
      <c r="A1058" s="550" t="s">
        <v>854</v>
      </c>
      <c r="B1058" s="1092">
        <v>4</v>
      </c>
      <c r="C1058" s="68"/>
      <c r="D1058" s="1034"/>
      <c r="E1058" s="68"/>
      <c r="F1058" s="68"/>
      <c r="G1058" s="68"/>
      <c r="H1058" s="68"/>
      <c r="I1058" s="68"/>
      <c r="J1058" s="68"/>
      <c r="K1058" s="68"/>
      <c r="L1058" s="68"/>
      <c r="M1058" s="68"/>
      <c r="N1058" s="68"/>
      <c r="O1058" s="68"/>
      <c r="P1058" s="68"/>
      <c r="Q1058" s="68"/>
      <c r="R1058" s="68"/>
      <c r="S1058" s="68"/>
      <c r="T1058" s="68"/>
      <c r="U1058" s="68"/>
      <c r="V1058" s="68"/>
      <c r="W1058" s="68"/>
      <c r="X1058" s="68"/>
      <c r="Y1058" s="68"/>
      <c r="Z1058" s="68"/>
      <c r="AA1058" s="68"/>
      <c r="AB1058" s="68"/>
      <c r="AC1058" s="68"/>
      <c r="AD1058" s="68"/>
      <c r="AE1058" s="68"/>
      <c r="AF1058" s="68"/>
      <c r="AG1058" s="68"/>
      <c r="AH1058" s="68"/>
      <c r="AI1058" s="68"/>
      <c r="AJ1058" s="68"/>
      <c r="AK1058" s="68"/>
      <c r="AL1058" s="68"/>
      <c r="AM1058" s="68"/>
      <c r="AN1058" s="68"/>
      <c r="AO1058" s="68"/>
      <c r="AP1058" s="68"/>
      <c r="AQ1058" s="68"/>
      <c r="AR1058" s="68"/>
      <c r="AS1058" s="68"/>
      <c r="AT1058" s="68"/>
      <c r="AU1058" s="68"/>
      <c r="AV1058" s="68"/>
      <c r="AW1058" s="68"/>
      <c r="AX1058" s="68"/>
      <c r="AY1058" s="68"/>
      <c r="AZ1058" s="68"/>
      <c r="BA1058" s="68"/>
      <c r="BB1058" s="68"/>
      <c r="BC1058" s="68"/>
      <c r="BD1058" s="68"/>
      <c r="BE1058" s="68"/>
      <c r="BF1058" s="68"/>
      <c r="BG1058" s="68"/>
      <c r="BH1058" s="68"/>
      <c r="BI1058" s="68"/>
      <c r="BJ1058" s="68"/>
      <c r="BK1058" s="68"/>
      <c r="BL1058" s="68"/>
      <c r="BM1058" s="68"/>
      <c r="BN1058" s="68"/>
      <c r="BO1058" s="68"/>
      <c r="BP1058" s="68"/>
      <c r="BQ1058" s="68"/>
      <c r="BR1058" s="68"/>
      <c r="BS1058" s="68"/>
      <c r="BT1058" s="68"/>
      <c r="BU1058" s="68"/>
      <c r="BV1058" s="68"/>
      <c r="BW1058" s="68"/>
      <c r="BX1058" s="68"/>
      <c r="BY1058" s="588"/>
      <c r="BZ1058" s="68"/>
      <c r="CA1058" s="68"/>
      <c r="CB1058" s="68"/>
      <c r="CC1058" s="68"/>
      <c r="CD1058" s="68"/>
      <c r="CE1058" s="68"/>
      <c r="CF1058" s="68"/>
      <c r="CG1058" s="68"/>
      <c r="CH1058" s="68"/>
      <c r="CI1058" s="68"/>
      <c r="CJ1058" s="68"/>
      <c r="CK1058" s="68"/>
      <c r="CL1058" s="155"/>
    </row>
    <row r="1059" spans="1:90" x14ac:dyDescent="0.3">
      <c r="A1059" s="253"/>
      <c r="B1059" s="68"/>
      <c r="C1059" s="1034"/>
      <c r="D1059" s="1034"/>
      <c r="E1059" s="68"/>
      <c r="F1059" s="68"/>
      <c r="G1059" s="68"/>
      <c r="H1059" s="68"/>
      <c r="I1059" s="68"/>
      <c r="J1059" s="68"/>
      <c r="K1059" s="68"/>
      <c r="L1059" s="68"/>
      <c r="M1059" s="68"/>
      <c r="N1059" s="68"/>
      <c r="O1059" s="68"/>
      <c r="P1059" s="68"/>
      <c r="Q1059" s="68"/>
      <c r="R1059" s="68"/>
      <c r="S1059" s="68"/>
      <c r="T1059" s="68"/>
      <c r="U1059" s="68"/>
      <c r="V1059" s="68"/>
      <c r="W1059" s="68"/>
      <c r="X1059" s="68"/>
      <c r="Y1059" s="68"/>
      <c r="Z1059" s="68"/>
      <c r="AA1059" s="68"/>
      <c r="AB1059" s="68"/>
      <c r="AC1059" s="68"/>
      <c r="AD1059" s="68"/>
      <c r="AE1059" s="68"/>
      <c r="AF1059" s="68"/>
      <c r="AG1059" s="68"/>
      <c r="AH1059" s="68"/>
      <c r="AI1059" s="68"/>
      <c r="AJ1059" s="68"/>
      <c r="AK1059" s="68"/>
      <c r="AL1059" s="68"/>
      <c r="AM1059" s="68"/>
      <c r="AN1059" s="68"/>
      <c r="AO1059" s="68"/>
      <c r="AP1059" s="68"/>
      <c r="AQ1059" s="68"/>
      <c r="AR1059" s="68"/>
      <c r="AS1059" s="68"/>
      <c r="AT1059" s="68"/>
      <c r="AU1059" s="68"/>
      <c r="AV1059" s="68"/>
      <c r="AW1059" s="68"/>
      <c r="AX1059" s="68"/>
      <c r="AY1059" s="68"/>
      <c r="AZ1059" s="68"/>
      <c r="BA1059" s="68"/>
      <c r="BB1059" s="68"/>
      <c r="BC1059" s="68"/>
      <c r="BD1059" s="68"/>
      <c r="BE1059" s="68"/>
      <c r="BF1059" s="68"/>
      <c r="BG1059" s="68"/>
      <c r="BH1059" s="68"/>
      <c r="BI1059" s="68"/>
      <c r="BJ1059" s="68"/>
      <c r="BK1059" s="68"/>
      <c r="BL1059" s="68"/>
      <c r="BM1059" s="68"/>
      <c r="BN1059" s="68"/>
      <c r="BO1059" s="68"/>
      <c r="BP1059" s="68"/>
      <c r="BQ1059" s="68"/>
      <c r="BR1059" s="68"/>
      <c r="BS1059" s="68"/>
      <c r="BT1059" s="68"/>
      <c r="BU1059" s="68"/>
      <c r="BV1059" s="68"/>
      <c r="BW1059" s="68"/>
      <c r="BX1059" s="68"/>
      <c r="BY1059" s="588"/>
      <c r="BZ1059" s="68"/>
      <c r="CA1059" s="68"/>
      <c r="CB1059" s="68"/>
      <c r="CC1059" s="68"/>
      <c r="CD1059" s="68"/>
      <c r="CE1059" s="68"/>
      <c r="CF1059" s="68"/>
      <c r="CG1059" s="68"/>
      <c r="CH1059" s="68"/>
      <c r="CI1059" s="68"/>
      <c r="CJ1059" s="68"/>
      <c r="CK1059" s="68"/>
      <c r="CL1059" s="155"/>
    </row>
    <row r="1060" spans="1:90" x14ac:dyDescent="0.3">
      <c r="A1060" s="557" t="s">
        <v>574</v>
      </c>
      <c r="B1060" s="68"/>
      <c r="C1060" s="1034"/>
      <c r="D1060" s="1034"/>
      <c r="E1060" s="68"/>
      <c r="F1060" s="68"/>
      <c r="G1060" s="68"/>
      <c r="H1060" s="68"/>
      <c r="I1060" s="68"/>
      <c r="J1060" s="68"/>
      <c r="K1060" s="68"/>
      <c r="L1060" s="68"/>
      <c r="M1060" s="68"/>
      <c r="N1060" s="68"/>
      <c r="O1060" s="68"/>
      <c r="P1060" s="68"/>
      <c r="Q1060" s="68"/>
      <c r="R1060" s="68"/>
      <c r="S1060" s="68"/>
      <c r="T1060" s="68"/>
      <c r="U1060" s="68"/>
      <c r="V1060" s="68"/>
      <c r="W1060" s="68"/>
      <c r="X1060" s="68"/>
      <c r="Y1060" s="68"/>
      <c r="Z1060" s="68"/>
      <c r="AA1060" s="68"/>
      <c r="AB1060" s="68"/>
      <c r="AC1060" s="68"/>
      <c r="AD1060" s="68"/>
      <c r="AE1060" s="68"/>
      <c r="AF1060" s="68"/>
      <c r="AG1060" s="68"/>
      <c r="AH1060" s="68"/>
      <c r="AI1060" s="68"/>
      <c r="AJ1060" s="68"/>
      <c r="AK1060" s="68"/>
      <c r="AL1060" s="68"/>
      <c r="AM1060" s="68"/>
      <c r="AN1060" s="68"/>
      <c r="AO1060" s="68"/>
      <c r="AP1060" s="68"/>
      <c r="AQ1060" s="68"/>
      <c r="AR1060" s="68"/>
      <c r="AS1060" s="68"/>
      <c r="AT1060" s="68"/>
      <c r="AU1060" s="68"/>
      <c r="AV1060" s="68"/>
      <c r="AW1060" s="68"/>
      <c r="AX1060" s="68"/>
      <c r="AY1060" s="68"/>
      <c r="AZ1060" s="68"/>
      <c r="BA1060" s="68"/>
      <c r="BB1060" s="68"/>
      <c r="BC1060" s="68"/>
      <c r="BD1060" s="68"/>
      <c r="BE1060" s="68"/>
      <c r="BF1060" s="68"/>
      <c r="BG1060" s="68"/>
      <c r="BH1060" s="68"/>
      <c r="BI1060" s="68"/>
      <c r="BJ1060" s="68"/>
      <c r="BK1060" s="68"/>
      <c r="BL1060" s="68"/>
      <c r="BM1060" s="68"/>
      <c r="BN1060" s="68"/>
      <c r="BO1060" s="68"/>
      <c r="BP1060" s="68"/>
      <c r="BQ1060" s="68"/>
      <c r="BR1060" s="68"/>
      <c r="BS1060" s="68"/>
      <c r="BT1060" s="68"/>
      <c r="BU1060" s="68"/>
      <c r="BV1060" s="68"/>
      <c r="BW1060" s="68"/>
      <c r="BX1060" s="68"/>
      <c r="BY1060" s="588"/>
      <c r="BZ1060" s="68"/>
      <c r="CA1060" s="68"/>
      <c r="CB1060" s="68"/>
      <c r="CC1060" s="68"/>
      <c r="CD1060" s="68"/>
      <c r="CE1060" s="68"/>
      <c r="CF1060" s="68"/>
      <c r="CG1060" s="68"/>
      <c r="CH1060" s="68"/>
      <c r="CI1060" s="68"/>
      <c r="CJ1060" s="68"/>
      <c r="CK1060" s="68"/>
      <c r="CL1060" s="155"/>
    </row>
    <row r="1061" spans="1:90" x14ac:dyDescent="0.3">
      <c r="A1061" s="558" t="str">
        <f>MO_RIS_REV</f>
        <v>Net Revenue</v>
      </c>
      <c r="B1061" s="68"/>
      <c r="C1061" s="1034"/>
      <c r="D1061" s="1034"/>
      <c r="E1061" s="68"/>
      <c r="F1061" s="68"/>
      <c r="G1061" s="68"/>
      <c r="H1061" s="68"/>
      <c r="I1061" s="68"/>
      <c r="J1061" s="68"/>
      <c r="K1061" s="68"/>
      <c r="L1061" s="68"/>
      <c r="M1061" s="68"/>
      <c r="N1061" s="68"/>
      <c r="O1061" s="68"/>
      <c r="P1061" s="68"/>
      <c r="Q1061" s="68"/>
      <c r="R1061" s="68"/>
      <c r="S1061" s="68"/>
      <c r="T1061" s="68"/>
      <c r="U1061" s="68"/>
      <c r="V1061" s="68"/>
      <c r="W1061" s="68"/>
      <c r="X1061" s="68"/>
      <c r="Y1061" s="68"/>
      <c r="Z1061" s="68"/>
      <c r="AA1061" s="68"/>
      <c r="AB1061" s="68"/>
      <c r="AC1061" s="68"/>
      <c r="AD1061" s="68"/>
      <c r="AE1061" s="68"/>
      <c r="AF1061" s="68"/>
      <c r="AG1061" s="68"/>
      <c r="AH1061" s="68"/>
      <c r="AI1061" s="68"/>
      <c r="AJ1061" s="68"/>
      <c r="AK1061" s="68"/>
      <c r="AL1061" s="68"/>
      <c r="AM1061" s="68"/>
      <c r="AN1061" s="68"/>
      <c r="AO1061" s="68"/>
      <c r="AP1061" s="68"/>
      <c r="AQ1061" s="68"/>
      <c r="AR1061" s="68"/>
      <c r="AS1061" s="68"/>
      <c r="AT1061" s="68"/>
      <c r="AU1061" s="68"/>
      <c r="AV1061" s="68"/>
      <c r="AW1061" s="68"/>
      <c r="AX1061" s="68"/>
      <c r="AY1061" s="68"/>
      <c r="AZ1061" s="68"/>
      <c r="BA1061" s="68"/>
      <c r="BB1061" s="68"/>
      <c r="BC1061" s="68"/>
      <c r="BD1061" s="68"/>
      <c r="BE1061" s="68"/>
      <c r="BF1061" s="68"/>
      <c r="BG1061" s="68"/>
      <c r="BH1061" s="68"/>
      <c r="BI1061" s="68"/>
      <c r="BJ1061" s="68"/>
      <c r="BK1061" s="68"/>
      <c r="BL1061" s="68"/>
      <c r="BM1061" s="68"/>
      <c r="BN1061" s="68"/>
      <c r="BO1061" s="68"/>
      <c r="BP1061" s="68"/>
      <c r="BQ1061" s="68"/>
      <c r="BR1061" s="68"/>
      <c r="BS1061" s="68"/>
      <c r="BT1061" s="68"/>
      <c r="BU1061" s="68"/>
      <c r="BV1061" s="68"/>
      <c r="BW1061" s="68"/>
      <c r="BX1061" s="68"/>
      <c r="BY1061" s="588"/>
      <c r="BZ1061" s="68"/>
      <c r="CA1061" s="68"/>
      <c r="CB1061" s="68"/>
      <c r="CC1061" s="68"/>
      <c r="CD1061" s="68"/>
      <c r="CE1061" s="68"/>
      <c r="CF1061" s="68"/>
      <c r="CG1061" s="68"/>
      <c r="CH1061" s="68"/>
      <c r="CI1061" s="68"/>
      <c r="CJ1061" s="68"/>
      <c r="CK1061" s="68"/>
      <c r="CL1061" s="155"/>
    </row>
    <row r="1062" spans="1:90" x14ac:dyDescent="0.3">
      <c r="A1062" s="558" t="str">
        <f>MO_RIS_EBITDA_Adj</f>
        <v>Non-GAAP EBITDA</v>
      </c>
      <c r="B1062" s="68"/>
      <c r="C1062" s="1034"/>
      <c r="D1062" s="1034"/>
      <c r="E1062" s="68"/>
      <c r="F1062" s="68"/>
      <c r="G1062" s="68"/>
      <c r="H1062" s="68"/>
      <c r="I1062" s="68"/>
      <c r="J1062" s="68"/>
      <c r="K1062" s="68"/>
      <c r="L1062" s="68"/>
      <c r="M1062" s="68"/>
      <c r="N1062" s="68"/>
      <c r="O1062" s="68"/>
      <c r="P1062" s="68"/>
      <c r="Q1062" s="68"/>
      <c r="R1062" s="68"/>
      <c r="S1062" s="68"/>
      <c r="T1062" s="68"/>
      <c r="U1062" s="68"/>
      <c r="V1062" s="68"/>
      <c r="W1062" s="68"/>
      <c r="X1062" s="68"/>
      <c r="Y1062" s="68"/>
      <c r="Z1062" s="68"/>
      <c r="AA1062" s="68"/>
      <c r="AB1062" s="68"/>
      <c r="AC1062" s="68"/>
      <c r="AD1062" s="68"/>
      <c r="AE1062" s="68"/>
      <c r="AF1062" s="68"/>
      <c r="AG1062" s="68"/>
      <c r="AH1062" s="68"/>
      <c r="AI1062" s="68"/>
      <c r="AJ1062" s="68"/>
      <c r="AK1062" s="68"/>
      <c r="AL1062" s="68"/>
      <c r="AM1062" s="68"/>
      <c r="AN1062" s="68"/>
      <c r="AO1062" s="68"/>
      <c r="AP1062" s="68"/>
      <c r="AQ1062" s="68"/>
      <c r="AR1062" s="68"/>
      <c r="AS1062" s="68"/>
      <c r="AT1062" s="68"/>
      <c r="AU1062" s="68"/>
      <c r="AV1062" s="68"/>
      <c r="AW1062" s="68"/>
      <c r="AX1062" s="68"/>
      <c r="AY1062" s="68"/>
      <c r="AZ1062" s="68"/>
      <c r="BA1062" s="68"/>
      <c r="BB1062" s="68"/>
      <c r="BC1062" s="68"/>
      <c r="BD1062" s="68"/>
      <c r="BE1062" s="68"/>
      <c r="BF1062" s="68"/>
      <c r="BG1062" s="68"/>
      <c r="BH1062" s="68"/>
      <c r="BI1062" s="68"/>
      <c r="BJ1062" s="68"/>
      <c r="BK1062" s="68"/>
      <c r="BL1062" s="68"/>
      <c r="BM1062" s="68"/>
      <c r="BN1062" s="68"/>
      <c r="BO1062" s="68"/>
      <c r="BP1062" s="68"/>
      <c r="BQ1062" s="68"/>
      <c r="BR1062" s="68"/>
      <c r="BS1062" s="68"/>
      <c r="BT1062" s="68"/>
      <c r="BU1062" s="68"/>
      <c r="BV1062" s="68"/>
      <c r="BW1062" s="68"/>
      <c r="BX1062" s="68"/>
      <c r="BY1062" s="588"/>
      <c r="BZ1062" s="68"/>
      <c r="CA1062" s="68"/>
      <c r="CB1062" s="68"/>
      <c r="CC1062" s="68"/>
      <c r="CD1062" s="68"/>
      <c r="CE1062" s="68"/>
      <c r="CF1062" s="68"/>
      <c r="CG1062" s="68"/>
      <c r="CH1062" s="68"/>
      <c r="CI1062" s="68"/>
      <c r="CJ1062" s="68"/>
      <c r="CK1062" s="68"/>
      <c r="CL1062" s="155"/>
    </row>
    <row r="1063" spans="1:90" x14ac:dyDescent="0.3">
      <c r="A1063" s="558" t="str">
        <f>MO_RIS_EPS_WAD_Adj</f>
        <v>Non-GAAP Adjusted Earnings Per Share - WAD</v>
      </c>
      <c r="B1063" s="68"/>
      <c r="C1063" s="1034"/>
      <c r="D1063" s="1034"/>
      <c r="E1063" s="68"/>
      <c r="F1063" s="68"/>
      <c r="G1063" s="68"/>
      <c r="H1063" s="68"/>
      <c r="I1063" s="68"/>
      <c r="J1063" s="68"/>
      <c r="K1063" s="68"/>
      <c r="L1063" s="68"/>
      <c r="M1063" s="68"/>
      <c r="N1063" s="68"/>
      <c r="O1063" s="68"/>
      <c r="P1063" s="68"/>
      <c r="Q1063" s="68"/>
      <c r="R1063" s="68"/>
      <c r="S1063" s="68"/>
      <c r="T1063" s="68"/>
      <c r="U1063" s="68"/>
      <c r="V1063" s="68"/>
      <c r="W1063" s="68"/>
      <c r="X1063" s="68"/>
      <c r="Y1063" s="68"/>
      <c r="Z1063" s="68"/>
      <c r="AA1063" s="68"/>
      <c r="AB1063" s="68"/>
      <c r="AC1063" s="68"/>
      <c r="AD1063" s="68"/>
      <c r="AE1063" s="68"/>
      <c r="AF1063" s="68"/>
      <c r="AG1063" s="68"/>
      <c r="AH1063" s="68"/>
      <c r="AI1063" s="68"/>
      <c r="AJ1063" s="68"/>
      <c r="AK1063" s="68"/>
      <c r="AL1063" s="68"/>
      <c r="AM1063" s="68"/>
      <c r="AN1063" s="68"/>
      <c r="AO1063" s="68"/>
      <c r="AP1063" s="68"/>
      <c r="AQ1063" s="68"/>
      <c r="AR1063" s="68"/>
      <c r="AS1063" s="68"/>
      <c r="AT1063" s="68"/>
      <c r="AU1063" s="68"/>
      <c r="AV1063" s="68"/>
      <c r="AW1063" s="68"/>
      <c r="AX1063" s="68"/>
      <c r="AY1063" s="68"/>
      <c r="AZ1063" s="68"/>
      <c r="BA1063" s="68"/>
      <c r="BB1063" s="68"/>
      <c r="BC1063" s="68"/>
      <c r="BD1063" s="68"/>
      <c r="BE1063" s="68"/>
      <c r="BF1063" s="68"/>
      <c r="BG1063" s="68"/>
      <c r="BH1063" s="68"/>
      <c r="BI1063" s="68"/>
      <c r="BJ1063" s="68"/>
      <c r="BK1063" s="68"/>
      <c r="BL1063" s="68"/>
      <c r="BM1063" s="68"/>
      <c r="BN1063" s="68"/>
      <c r="BO1063" s="68"/>
      <c r="BP1063" s="68"/>
      <c r="BQ1063" s="68"/>
      <c r="BR1063" s="68"/>
      <c r="BS1063" s="68"/>
      <c r="BT1063" s="68"/>
      <c r="BU1063" s="68"/>
      <c r="BV1063" s="68"/>
      <c r="BW1063" s="68"/>
      <c r="BX1063" s="68"/>
      <c r="BY1063" s="588"/>
      <c r="BZ1063" s="68"/>
      <c r="CA1063" s="68"/>
      <c r="CB1063" s="68"/>
      <c r="CC1063" s="68"/>
      <c r="CD1063" s="68"/>
      <c r="CE1063" s="68"/>
      <c r="CF1063" s="68"/>
      <c r="CG1063" s="68"/>
      <c r="CH1063" s="68"/>
      <c r="CI1063" s="68"/>
      <c r="CJ1063" s="68"/>
      <c r="CK1063" s="68"/>
      <c r="CL1063" s="155"/>
    </row>
    <row r="1064" spans="1:90" x14ac:dyDescent="0.3">
      <c r="A1064" s="558" t="str">
        <f>MO_VA_EV_ToEBITDA</f>
        <v>EV/EBITDA - EoP</v>
      </c>
      <c r="B1064" s="68"/>
      <c r="C1064" s="1034"/>
      <c r="D1064" s="1034"/>
      <c r="E1064" s="68"/>
      <c r="F1064" s="68"/>
      <c r="G1064" s="68"/>
      <c r="H1064" s="68"/>
      <c r="I1064" s="68"/>
      <c r="J1064" s="68"/>
      <c r="K1064" s="68"/>
      <c r="L1064" s="68"/>
      <c r="M1064" s="68"/>
      <c r="N1064" s="68"/>
      <c r="O1064" s="68"/>
      <c r="P1064" s="68"/>
      <c r="Q1064" s="68"/>
      <c r="R1064" s="68"/>
      <c r="S1064" s="68"/>
      <c r="T1064" s="68"/>
      <c r="U1064" s="68"/>
      <c r="V1064" s="68"/>
      <c r="W1064" s="68"/>
      <c r="X1064" s="68"/>
      <c r="Y1064" s="68"/>
      <c r="Z1064" s="68"/>
      <c r="AA1064" s="68"/>
      <c r="AB1064" s="68"/>
      <c r="AC1064" s="68"/>
      <c r="AD1064" s="68"/>
      <c r="AE1064" s="68"/>
      <c r="AF1064" s="68"/>
      <c r="AG1064" s="68"/>
      <c r="AH1064" s="68"/>
      <c r="AI1064" s="68"/>
      <c r="AJ1064" s="68"/>
      <c r="AK1064" s="68"/>
      <c r="AL1064" s="68"/>
      <c r="AM1064" s="68"/>
      <c r="AN1064" s="68"/>
      <c r="AO1064" s="68"/>
      <c r="AP1064" s="68"/>
      <c r="AQ1064" s="68"/>
      <c r="AR1064" s="68"/>
      <c r="AS1064" s="68"/>
      <c r="AT1064" s="68"/>
      <c r="AU1064" s="68"/>
      <c r="AV1064" s="68"/>
      <c r="AW1064" s="68"/>
      <c r="AX1064" s="68"/>
      <c r="AY1064" s="68"/>
      <c r="AZ1064" s="68"/>
      <c r="BA1064" s="68"/>
      <c r="BB1064" s="68"/>
      <c r="BC1064" s="68"/>
      <c r="BD1064" s="68"/>
      <c r="BE1064" s="68"/>
      <c r="BF1064" s="68"/>
      <c r="BG1064" s="68"/>
      <c r="BH1064" s="68"/>
      <c r="BI1064" s="68"/>
      <c r="BJ1064" s="68"/>
      <c r="BK1064" s="68"/>
      <c r="BL1064" s="68"/>
      <c r="BM1064" s="68"/>
      <c r="BN1064" s="68"/>
      <c r="BO1064" s="68"/>
      <c r="BP1064" s="68"/>
      <c r="BQ1064" s="68"/>
      <c r="BR1064" s="68"/>
      <c r="BS1064" s="68"/>
      <c r="BT1064" s="68"/>
      <c r="BU1064" s="68"/>
      <c r="BV1064" s="68"/>
      <c r="BW1064" s="68"/>
      <c r="BX1064" s="68"/>
      <c r="BY1064" s="588"/>
      <c r="BZ1064" s="68"/>
      <c r="CA1064" s="68"/>
      <c r="CB1064" s="68"/>
      <c r="CC1064" s="68"/>
      <c r="CD1064" s="68"/>
      <c r="CE1064" s="68"/>
      <c r="CF1064" s="68"/>
      <c r="CG1064" s="68"/>
      <c r="CH1064" s="68"/>
      <c r="CI1064" s="68"/>
      <c r="CJ1064" s="68"/>
      <c r="CK1064" s="68"/>
      <c r="CL1064" s="155"/>
    </row>
    <row r="1065" spans="1:90" x14ac:dyDescent="0.3">
      <c r="A1065" s="558" t="str">
        <f>MO_VA_P_ToE</f>
        <v>P/E - EoP</v>
      </c>
      <c r="B1065" s="68"/>
      <c r="C1065" s="1034"/>
      <c r="D1065" s="1034"/>
      <c r="E1065" s="68"/>
      <c r="F1065" s="68"/>
      <c r="G1065" s="68"/>
      <c r="H1065" s="68"/>
      <c r="I1065" s="68"/>
      <c r="J1065" s="68"/>
      <c r="K1065" s="68"/>
      <c r="L1065" s="68"/>
      <c r="M1065" s="68"/>
      <c r="N1065" s="68"/>
      <c r="O1065" s="68"/>
      <c r="P1065" s="68"/>
      <c r="Q1065" s="68"/>
      <c r="R1065" s="68"/>
      <c r="S1065" s="68"/>
      <c r="T1065" s="68"/>
      <c r="U1065" s="68"/>
      <c r="V1065" s="68"/>
      <c r="W1065" s="68"/>
      <c r="X1065" s="68"/>
      <c r="Y1065" s="68"/>
      <c r="Z1065" s="68"/>
      <c r="AA1065" s="68"/>
      <c r="AB1065" s="68"/>
      <c r="AC1065" s="68"/>
      <c r="AD1065" s="68"/>
      <c r="AE1065" s="68"/>
      <c r="AF1065" s="68"/>
      <c r="AG1065" s="68"/>
      <c r="AH1065" s="68"/>
      <c r="AI1065" s="68"/>
      <c r="AJ1065" s="68"/>
      <c r="AK1065" s="68"/>
      <c r="AL1065" s="68"/>
      <c r="AM1065" s="68"/>
      <c r="AN1065" s="68"/>
      <c r="AO1065" s="68"/>
      <c r="AP1065" s="68"/>
      <c r="AQ1065" s="68"/>
      <c r="AR1065" s="68"/>
      <c r="AS1065" s="68"/>
      <c r="AT1065" s="68"/>
      <c r="AU1065" s="68"/>
      <c r="AV1065" s="68"/>
      <c r="AW1065" s="68"/>
      <c r="AX1065" s="68"/>
      <c r="AY1065" s="68"/>
      <c r="AZ1065" s="68"/>
      <c r="BA1065" s="68"/>
      <c r="BB1065" s="68"/>
      <c r="BC1065" s="68"/>
      <c r="BD1065" s="68"/>
      <c r="BE1065" s="68"/>
      <c r="BF1065" s="68"/>
      <c r="BG1065" s="68"/>
      <c r="BH1065" s="68"/>
      <c r="BI1065" s="68"/>
      <c r="BJ1065" s="68"/>
      <c r="BK1065" s="68"/>
      <c r="BL1065" s="68"/>
      <c r="BM1065" s="68"/>
      <c r="BN1065" s="68"/>
      <c r="BO1065" s="68"/>
      <c r="BP1065" s="68"/>
      <c r="BQ1065" s="68"/>
      <c r="BR1065" s="68"/>
      <c r="BS1065" s="68"/>
      <c r="BT1065" s="68"/>
      <c r="BU1065" s="68"/>
      <c r="BV1065" s="68"/>
      <c r="BW1065" s="68"/>
      <c r="BX1065" s="68"/>
      <c r="BY1065" s="588"/>
      <c r="BZ1065" s="68"/>
      <c r="CA1065" s="68"/>
      <c r="CB1065" s="68"/>
      <c r="CC1065" s="68"/>
      <c r="CD1065" s="68"/>
      <c r="CE1065" s="68"/>
      <c r="CF1065" s="68"/>
      <c r="CG1065" s="68"/>
      <c r="CH1065" s="68"/>
      <c r="CI1065" s="68"/>
      <c r="CJ1065" s="68"/>
      <c r="CK1065" s="68"/>
      <c r="CL1065" s="155"/>
    </row>
    <row r="1066" spans="1:90" x14ac:dyDescent="0.3">
      <c r="A1066" s="629"/>
      <c r="B1066" s="68"/>
      <c r="C1066" s="1034"/>
      <c r="D1066" s="1034"/>
      <c r="E1066" s="68"/>
      <c r="F1066" s="68"/>
      <c r="G1066" s="68"/>
      <c r="H1066" s="68"/>
      <c r="I1066" s="68"/>
      <c r="J1066" s="68"/>
      <c r="K1066" s="68"/>
      <c r="L1066" s="68"/>
      <c r="M1066" s="68"/>
      <c r="N1066" s="68"/>
      <c r="O1066" s="68"/>
      <c r="P1066" s="68"/>
      <c r="Q1066" s="68"/>
      <c r="R1066" s="68"/>
      <c r="S1066" s="68"/>
      <c r="T1066" s="68"/>
      <c r="U1066" s="68"/>
      <c r="V1066" s="68"/>
      <c r="W1066" s="68"/>
      <c r="X1066" s="68"/>
      <c r="Y1066" s="68"/>
      <c r="Z1066" s="68"/>
      <c r="AA1066" s="68"/>
      <c r="AB1066" s="68"/>
      <c r="AC1066" s="68"/>
      <c r="AD1066" s="68"/>
      <c r="AE1066" s="68"/>
      <c r="AF1066" s="68"/>
      <c r="AG1066" s="68"/>
      <c r="AH1066" s="68"/>
      <c r="AI1066" s="68"/>
      <c r="AJ1066" s="68"/>
      <c r="AK1066" s="68"/>
      <c r="AL1066" s="68"/>
      <c r="AM1066" s="68"/>
      <c r="AN1066" s="68"/>
      <c r="AO1066" s="68"/>
      <c r="AP1066" s="68"/>
      <c r="AQ1066" s="68"/>
      <c r="AR1066" s="68"/>
      <c r="AS1066" s="68"/>
      <c r="AT1066" s="68"/>
      <c r="AU1066" s="68"/>
      <c r="AV1066" s="68"/>
      <c r="AW1066" s="68"/>
      <c r="AX1066" s="68"/>
      <c r="AY1066" s="68"/>
      <c r="AZ1066" s="68"/>
      <c r="BA1066" s="68"/>
      <c r="BB1066" s="68"/>
      <c r="BC1066" s="68"/>
      <c r="BD1066" s="68"/>
      <c r="BE1066" s="68"/>
      <c r="BF1066" s="68"/>
      <c r="BG1066" s="68"/>
      <c r="BH1066" s="68"/>
      <c r="BI1066" s="68"/>
      <c r="BJ1066" s="68"/>
      <c r="BK1066" s="68"/>
      <c r="BL1066" s="68"/>
      <c r="BM1066" s="68"/>
      <c r="BN1066" s="68"/>
      <c r="BO1066" s="68"/>
      <c r="BP1066" s="68"/>
      <c r="BQ1066" s="68"/>
      <c r="BR1066" s="68"/>
      <c r="BS1066" s="68"/>
      <c r="BT1066" s="68"/>
      <c r="BU1066" s="68"/>
      <c r="BV1066" s="68"/>
      <c r="BW1066" s="68"/>
      <c r="BX1066" s="68"/>
      <c r="BY1066" s="588"/>
      <c r="BZ1066" s="68"/>
      <c r="CA1066" s="68"/>
      <c r="CB1066" s="68"/>
      <c r="CC1066" s="68"/>
      <c r="CD1066" s="68"/>
      <c r="CE1066" s="68"/>
      <c r="CF1066" s="68"/>
      <c r="CG1066" s="68"/>
      <c r="CH1066" s="68"/>
      <c r="CI1066" s="68"/>
      <c r="CJ1066" s="68"/>
      <c r="CK1066" s="68"/>
      <c r="CL1066" s="155"/>
    </row>
    <row r="1067" spans="1:90" x14ac:dyDescent="0.3">
      <c r="A1067" s="253"/>
      <c r="B1067" s="68"/>
      <c r="C1067" s="1034"/>
      <c r="D1067" s="1034"/>
      <c r="E1067" s="68"/>
      <c r="F1067" s="68"/>
      <c r="G1067" s="68"/>
      <c r="H1067" s="68"/>
      <c r="I1067" s="68"/>
      <c r="J1067" s="68"/>
      <c r="K1067" s="68"/>
      <c r="L1067" s="68"/>
      <c r="M1067" s="68"/>
      <c r="N1067" s="68"/>
      <c r="O1067" s="68"/>
      <c r="P1067" s="68"/>
      <c r="Q1067" s="68"/>
      <c r="R1067" s="68"/>
      <c r="S1067" s="68"/>
      <c r="T1067" s="68"/>
      <c r="U1067" s="68"/>
      <c r="V1067" s="68"/>
      <c r="W1067" s="68"/>
      <c r="X1067" s="68"/>
      <c r="Y1067" s="68"/>
      <c r="Z1067" s="68"/>
      <c r="AA1067" s="68"/>
      <c r="AB1067" s="68"/>
      <c r="AC1067" s="68"/>
      <c r="AD1067" s="68"/>
      <c r="AE1067" s="68"/>
      <c r="AF1067" s="68"/>
      <c r="AG1067" s="68"/>
      <c r="AH1067" s="68"/>
      <c r="AI1067" s="68"/>
      <c r="AJ1067" s="68"/>
      <c r="AK1067" s="68"/>
      <c r="AL1067" s="68"/>
      <c r="AM1067" s="68"/>
      <c r="AN1067" s="68"/>
      <c r="AO1067" s="68"/>
      <c r="AP1067" s="68"/>
      <c r="AQ1067" s="68"/>
      <c r="AR1067" s="68"/>
      <c r="AS1067" s="68"/>
      <c r="AT1067" s="68"/>
      <c r="AU1067" s="68"/>
      <c r="AV1067" s="68"/>
      <c r="AW1067" s="68"/>
      <c r="AX1067" s="68"/>
      <c r="AY1067" s="68"/>
      <c r="AZ1067" s="68"/>
      <c r="BA1067" s="68"/>
      <c r="BB1067" s="68"/>
      <c r="BC1067" s="68"/>
      <c r="BD1067" s="68"/>
      <c r="BE1067" s="68"/>
      <c r="BF1067" s="68"/>
      <c r="BG1067" s="68"/>
      <c r="BH1067" s="68"/>
      <c r="BI1067" s="68"/>
      <c r="BJ1067" s="68"/>
      <c r="BK1067" s="68"/>
      <c r="BL1067" s="68"/>
      <c r="BM1067" s="68"/>
      <c r="BN1067" s="68"/>
      <c r="BO1067" s="68"/>
      <c r="BP1067" s="68"/>
      <c r="BQ1067" s="68"/>
      <c r="BR1067" s="68"/>
      <c r="BS1067" s="68"/>
      <c r="BT1067" s="68"/>
      <c r="BU1067" s="68"/>
      <c r="BV1067" s="68"/>
      <c r="BW1067" s="68"/>
      <c r="BX1067" s="68"/>
      <c r="BY1067" s="588"/>
      <c r="BZ1067" s="68"/>
      <c r="CA1067" s="68"/>
      <c r="CB1067" s="68"/>
      <c r="CC1067" s="68"/>
      <c r="CD1067" s="68"/>
      <c r="CE1067" s="68"/>
      <c r="CF1067" s="68"/>
      <c r="CG1067" s="68"/>
      <c r="CH1067" s="68"/>
      <c r="CI1067" s="68"/>
      <c r="CJ1067" s="68"/>
      <c r="CK1067" s="68"/>
      <c r="CL1067" s="155"/>
    </row>
    <row r="1068" spans="1:90" x14ac:dyDescent="0.3">
      <c r="A1068" s="728" t="s">
        <v>907</v>
      </c>
      <c r="B1068" s="68"/>
      <c r="C1068" s="1034"/>
      <c r="D1068" s="1034"/>
      <c r="E1068" s="68"/>
      <c r="F1068" s="68"/>
      <c r="G1068" s="68"/>
      <c r="H1068" s="68"/>
      <c r="I1068" s="68"/>
      <c r="J1068" s="68"/>
      <c r="K1068" s="68"/>
      <c r="L1068" s="68"/>
      <c r="M1068" s="68"/>
      <c r="N1068" s="68"/>
      <c r="O1068" s="68"/>
      <c r="P1068" s="68"/>
      <c r="Q1068" s="68"/>
      <c r="R1068" s="68"/>
      <c r="S1068" s="68"/>
      <c r="T1068" s="68"/>
      <c r="U1068" s="68"/>
      <c r="V1068" s="68"/>
      <c r="W1068" s="68"/>
      <c r="X1068" s="68"/>
      <c r="Y1068" s="68"/>
      <c r="Z1068" s="68"/>
      <c r="AA1068" s="68"/>
      <c r="AB1068" s="68"/>
      <c r="AC1068" s="68"/>
      <c r="AD1068" s="68"/>
      <c r="AE1068" s="68"/>
      <c r="AF1068" s="68"/>
      <c r="AG1068" s="68"/>
      <c r="AH1068" s="68"/>
      <c r="AI1068" s="68"/>
      <c r="AJ1068" s="68"/>
      <c r="AK1068" s="68"/>
      <c r="AL1068" s="68"/>
      <c r="AM1068" s="68"/>
      <c r="AN1068" s="68"/>
      <c r="AO1068" s="68"/>
      <c r="AP1068" s="68"/>
      <c r="AQ1068" s="68"/>
      <c r="AR1068" s="68"/>
      <c r="AS1068" s="68"/>
      <c r="AT1068" s="68"/>
      <c r="AU1068" s="68"/>
      <c r="AV1068" s="68"/>
      <c r="AW1068" s="68"/>
      <c r="AX1068" s="68"/>
      <c r="AY1068" s="68"/>
      <c r="AZ1068" s="68"/>
      <c r="BA1068" s="68"/>
      <c r="BB1068" s="68"/>
      <c r="BC1068" s="68"/>
      <c r="BD1068" s="68"/>
      <c r="BE1068" s="68"/>
      <c r="BF1068" s="68"/>
      <c r="BG1068" s="68"/>
      <c r="BH1068" s="68"/>
      <c r="BI1068" s="68"/>
      <c r="BJ1068" s="68"/>
      <c r="BK1068" s="68"/>
      <c r="BL1068" s="68"/>
      <c r="BM1068" s="68"/>
      <c r="BN1068" s="68"/>
      <c r="BO1068" s="68"/>
      <c r="BP1068" s="68"/>
      <c r="BQ1068" s="68"/>
      <c r="BR1068" s="68"/>
      <c r="BS1068" s="68"/>
      <c r="BT1068" s="68"/>
      <c r="BU1068" s="68"/>
      <c r="BV1068" s="68"/>
      <c r="BW1068" s="68"/>
      <c r="BX1068" s="68"/>
      <c r="BY1068" s="588"/>
      <c r="BZ1068" s="68"/>
      <c r="CA1068" s="68"/>
      <c r="CB1068" s="68"/>
      <c r="CC1068" s="68"/>
      <c r="CD1068" s="68"/>
      <c r="CE1068" s="68"/>
      <c r="CF1068" s="68"/>
      <c r="CG1068" s="68"/>
      <c r="CH1068" s="68"/>
      <c r="CI1068" s="68"/>
      <c r="CJ1068" s="68"/>
      <c r="CK1068" s="68"/>
      <c r="CL1068" s="155"/>
    </row>
    <row r="1069" spans="1:90" x14ac:dyDescent="0.3">
      <c r="A1069" s="729" t="s">
        <v>300</v>
      </c>
      <c r="B1069" s="68"/>
      <c r="C1069" s="1034"/>
      <c r="D1069" s="1034"/>
      <c r="E1069" s="68"/>
      <c r="F1069" s="68"/>
      <c r="G1069" s="68"/>
      <c r="H1069" s="68"/>
      <c r="I1069" s="68"/>
      <c r="J1069" s="68"/>
      <c r="K1069" s="68"/>
      <c r="L1069" s="68"/>
      <c r="M1069" s="68"/>
      <c r="N1069" s="68"/>
      <c r="O1069" s="68"/>
      <c r="P1069" s="68"/>
      <c r="Q1069" s="68"/>
      <c r="R1069" s="68"/>
      <c r="S1069" s="68"/>
      <c r="T1069" s="68"/>
      <c r="U1069" s="68"/>
      <c r="V1069" s="68"/>
      <c r="W1069" s="68"/>
      <c r="X1069" s="68"/>
      <c r="Y1069" s="68"/>
      <c r="Z1069" s="68"/>
      <c r="AA1069" s="68"/>
      <c r="AB1069" s="68"/>
      <c r="AC1069" s="68"/>
      <c r="AD1069" s="68"/>
      <c r="AE1069" s="68"/>
      <c r="AF1069" s="68"/>
      <c r="AG1069" s="68"/>
      <c r="AH1069" s="68"/>
      <c r="AI1069" s="68"/>
      <c r="AJ1069" s="68"/>
      <c r="AK1069" s="68"/>
      <c r="AL1069" s="68"/>
      <c r="AM1069" s="68"/>
      <c r="AN1069" s="68"/>
      <c r="AO1069" s="68"/>
      <c r="AP1069" s="68"/>
      <c r="AQ1069" s="68"/>
      <c r="AR1069" s="68"/>
      <c r="AS1069" s="68"/>
      <c r="AT1069" s="68"/>
      <c r="AU1069" s="68"/>
      <c r="AV1069" s="68"/>
      <c r="AW1069" s="68"/>
      <c r="AX1069" s="68"/>
      <c r="AY1069" s="68"/>
      <c r="AZ1069" s="68"/>
      <c r="BA1069" s="68"/>
      <c r="BB1069" s="68"/>
      <c r="BC1069" s="68"/>
      <c r="BD1069" s="68"/>
      <c r="BE1069" s="68"/>
      <c r="BF1069" s="68"/>
      <c r="BG1069" s="68"/>
      <c r="BH1069" s="68"/>
      <c r="BI1069" s="68"/>
      <c r="BJ1069" s="68"/>
      <c r="BK1069" s="68"/>
      <c r="BL1069" s="68"/>
      <c r="BM1069" s="68"/>
      <c r="BN1069" s="68"/>
      <c r="BO1069" s="68"/>
      <c r="BP1069" s="68"/>
      <c r="BQ1069" s="68"/>
      <c r="BR1069" s="68"/>
      <c r="BS1069" s="68"/>
      <c r="BT1069" s="68"/>
      <c r="BU1069" s="68"/>
      <c r="BV1069" s="68"/>
      <c r="BW1069" s="68"/>
      <c r="BX1069" s="68"/>
      <c r="BY1069" s="588"/>
      <c r="BZ1069" s="68"/>
      <c r="CA1069" s="68"/>
      <c r="CB1069" s="68"/>
      <c r="CC1069" s="68"/>
      <c r="CD1069" s="68"/>
      <c r="CE1069" s="68"/>
      <c r="CF1069" s="68"/>
      <c r="CG1069" s="68"/>
      <c r="CH1069" s="68"/>
      <c r="CI1069" s="68"/>
      <c r="CJ1069" s="68"/>
      <c r="CK1069" s="68"/>
      <c r="CL1069" s="155"/>
    </row>
    <row r="1070" spans="1:90" x14ac:dyDescent="0.3">
      <c r="A1070" s="729" t="s">
        <v>908</v>
      </c>
      <c r="B1070" s="68"/>
      <c r="C1070" s="1034"/>
      <c r="D1070" s="1034"/>
      <c r="E1070" s="68"/>
      <c r="F1070" s="68"/>
      <c r="G1070" s="68"/>
      <c r="H1070" s="68"/>
      <c r="I1070" s="68"/>
      <c r="J1070" s="68"/>
      <c r="K1070" s="68"/>
      <c r="L1070" s="68"/>
      <c r="M1070" s="68"/>
      <c r="N1070" s="68"/>
      <c r="O1070" s="68"/>
      <c r="P1070" s="68"/>
      <c r="Q1070" s="68"/>
      <c r="R1070" s="68"/>
      <c r="S1070" s="68"/>
      <c r="T1070" s="68"/>
      <c r="U1070" s="68"/>
      <c r="V1070" s="68"/>
      <c r="W1070" s="68"/>
      <c r="X1070" s="68"/>
      <c r="Y1070" s="68"/>
      <c r="Z1070" s="68"/>
      <c r="AA1070" s="68"/>
      <c r="AB1070" s="68"/>
      <c r="AC1070" s="68"/>
      <c r="AD1070" s="68"/>
      <c r="AE1070" s="68"/>
      <c r="AF1070" s="68"/>
      <c r="AG1070" s="68"/>
      <c r="AH1070" s="68"/>
      <c r="AI1070" s="68"/>
      <c r="AJ1070" s="68"/>
      <c r="AK1070" s="68"/>
      <c r="AL1070" s="68"/>
      <c r="AM1070" s="68"/>
      <c r="AN1070" s="68"/>
      <c r="AO1070" s="68"/>
      <c r="AP1070" s="68"/>
      <c r="AQ1070" s="68"/>
      <c r="AR1070" s="68"/>
      <c r="AS1070" s="68"/>
      <c r="AT1070" s="68"/>
      <c r="AU1070" s="68"/>
      <c r="AV1070" s="68"/>
      <c r="AW1070" s="68"/>
      <c r="AX1070" s="68"/>
      <c r="AY1070" s="68"/>
      <c r="AZ1070" s="68"/>
      <c r="BA1070" s="68"/>
      <c r="BB1070" s="68"/>
      <c r="BC1070" s="68"/>
      <c r="BD1070" s="68"/>
      <c r="BE1070" s="68"/>
      <c r="BF1070" s="68"/>
      <c r="BG1070" s="68"/>
      <c r="BH1070" s="68"/>
      <c r="BI1070" s="68"/>
      <c r="BJ1070" s="68"/>
      <c r="BK1070" s="68"/>
      <c r="BL1070" s="68"/>
      <c r="BM1070" s="68"/>
      <c r="BN1070" s="68"/>
      <c r="BO1070" s="68"/>
      <c r="BP1070" s="68"/>
      <c r="BQ1070" s="68"/>
      <c r="BR1070" s="68"/>
      <c r="BS1070" s="68"/>
      <c r="BT1070" s="68"/>
      <c r="BU1070" s="68"/>
      <c r="BV1070" s="68"/>
      <c r="BW1070" s="68"/>
      <c r="BX1070" s="68"/>
      <c r="BY1070" s="588"/>
      <c r="BZ1070" s="68"/>
      <c r="CA1070" s="68"/>
      <c r="CB1070" s="68"/>
      <c r="CC1070" s="68"/>
      <c r="CD1070" s="68"/>
      <c r="CE1070" s="68"/>
      <c r="CF1070" s="68"/>
      <c r="CG1070" s="68"/>
      <c r="CH1070" s="68"/>
      <c r="CI1070" s="68"/>
      <c r="CJ1070" s="68"/>
      <c r="CK1070" s="68"/>
      <c r="CL1070" s="155"/>
    </row>
    <row r="1071" spans="1:90" x14ac:dyDescent="0.3">
      <c r="A1071" s="729" t="s">
        <v>909</v>
      </c>
      <c r="B1071" s="68"/>
      <c r="C1071" s="1034"/>
      <c r="D1071" s="1034"/>
      <c r="E1071" s="68"/>
      <c r="F1071" s="68"/>
      <c r="G1071" s="68"/>
      <c r="H1071" s="68"/>
      <c r="I1071" s="68"/>
      <c r="J1071" s="68"/>
      <c r="K1071" s="68"/>
      <c r="L1071" s="68"/>
      <c r="M1071" s="68"/>
      <c r="N1071" s="68"/>
      <c r="O1071" s="68"/>
      <c r="P1071" s="68"/>
      <c r="Q1071" s="68"/>
      <c r="R1071" s="68"/>
      <c r="S1071" s="68"/>
      <c r="T1071" s="68"/>
      <c r="U1071" s="68"/>
      <c r="V1071" s="68"/>
      <c r="W1071" s="68"/>
      <c r="X1071" s="68"/>
      <c r="Y1071" s="68"/>
      <c r="Z1071" s="68"/>
      <c r="AA1071" s="68"/>
      <c r="AB1071" s="68"/>
      <c r="AC1071" s="68"/>
      <c r="AD1071" s="68"/>
      <c r="AE1071" s="68"/>
      <c r="AF1071" s="68"/>
      <c r="AG1071" s="68"/>
      <c r="AH1071" s="68"/>
      <c r="AI1071" s="68"/>
      <c r="AJ1071" s="68"/>
      <c r="AK1071" s="68"/>
      <c r="AL1071" s="68"/>
      <c r="AM1071" s="68"/>
      <c r="AN1071" s="68"/>
      <c r="AO1071" s="68"/>
      <c r="AP1071" s="68"/>
      <c r="AQ1071" s="68"/>
      <c r="AR1071" s="68"/>
      <c r="AS1071" s="68"/>
      <c r="AT1071" s="68"/>
      <c r="AU1071" s="68"/>
      <c r="AV1071" s="68"/>
      <c r="AW1071" s="68"/>
      <c r="AX1071" s="68"/>
      <c r="AY1071" s="68"/>
      <c r="AZ1071" s="68"/>
      <c r="BA1071" s="68"/>
      <c r="BB1071" s="68"/>
      <c r="BC1071" s="68"/>
      <c r="BD1071" s="68"/>
      <c r="BE1071" s="68"/>
      <c r="BF1071" s="68"/>
      <c r="BG1071" s="68"/>
      <c r="BH1071" s="68"/>
      <c r="BI1071" s="68"/>
      <c r="BJ1071" s="68"/>
      <c r="BK1071" s="68"/>
      <c r="BL1071" s="68"/>
      <c r="BM1071" s="68"/>
      <c r="BN1071" s="68"/>
      <c r="BO1071" s="68"/>
      <c r="BP1071" s="68"/>
      <c r="BQ1071" s="68"/>
      <c r="BR1071" s="68"/>
      <c r="BS1071" s="68"/>
      <c r="BT1071" s="68"/>
      <c r="BU1071" s="68"/>
      <c r="BV1071" s="68"/>
      <c r="BW1071" s="68"/>
      <c r="BX1071" s="68"/>
      <c r="BY1071" s="588"/>
      <c r="BZ1071" s="68"/>
      <c r="CA1071" s="68"/>
      <c r="CB1071" s="68"/>
      <c r="CC1071" s="68"/>
      <c r="CD1071" s="68"/>
      <c r="CE1071" s="68"/>
      <c r="CF1071" s="68"/>
      <c r="CG1071" s="68"/>
      <c r="CH1071" s="68"/>
      <c r="CI1071" s="68"/>
      <c r="CJ1071" s="68"/>
      <c r="CK1071" s="68"/>
      <c r="CL1071" s="155"/>
    </row>
    <row r="1072" spans="1:90" x14ac:dyDescent="0.3">
      <c r="A1072" s="729" t="s">
        <v>910</v>
      </c>
      <c r="B1072" s="68"/>
      <c r="C1072" s="1034"/>
      <c r="D1072" s="1034"/>
      <c r="E1072" s="68"/>
      <c r="F1072" s="68"/>
      <c r="G1072" s="68"/>
      <c r="H1072" s="68"/>
      <c r="I1072" s="68"/>
      <c r="J1072" s="68"/>
      <c r="K1072" s="68"/>
      <c r="L1072" s="68"/>
      <c r="M1072" s="68"/>
      <c r="N1072" s="68"/>
      <c r="O1072" s="68"/>
      <c r="P1072" s="68"/>
      <c r="Q1072" s="68"/>
      <c r="R1072" s="68"/>
      <c r="S1072" s="68"/>
      <c r="T1072" s="68"/>
      <c r="U1072" s="68"/>
      <c r="V1072" s="68"/>
      <c r="W1072" s="68"/>
      <c r="X1072" s="68"/>
      <c r="Y1072" s="68"/>
      <c r="Z1072" s="68"/>
      <c r="AA1072" s="68"/>
      <c r="AB1072" s="68"/>
      <c r="AC1072" s="68"/>
      <c r="AD1072" s="68"/>
      <c r="AE1072" s="68"/>
      <c r="AF1072" s="68"/>
      <c r="AG1072" s="68"/>
      <c r="AH1072" s="68"/>
      <c r="AI1072" s="68"/>
      <c r="AJ1072" s="68"/>
      <c r="AK1072" s="68"/>
      <c r="AL1072" s="68"/>
      <c r="AM1072" s="68"/>
      <c r="AN1072" s="68"/>
      <c r="AO1072" s="68"/>
      <c r="AP1072" s="68"/>
      <c r="AQ1072" s="68"/>
      <c r="AR1072" s="68"/>
      <c r="AS1072" s="68"/>
      <c r="AT1072" s="68"/>
      <c r="AU1072" s="68"/>
      <c r="AV1072" s="68"/>
      <c r="AW1072" s="68"/>
      <c r="AX1072" s="68"/>
      <c r="AY1072" s="68"/>
      <c r="AZ1072" s="68"/>
      <c r="BA1072" s="68"/>
      <c r="BB1072" s="68"/>
      <c r="BC1072" s="68"/>
      <c r="BD1072" s="68"/>
      <c r="BE1072" s="68"/>
      <c r="BF1072" s="68"/>
      <c r="BG1072" s="68"/>
      <c r="BH1072" s="68"/>
      <c r="BI1072" s="68"/>
      <c r="BJ1072" s="68"/>
      <c r="BK1072" s="68"/>
      <c r="BL1072" s="68"/>
      <c r="BM1072" s="68"/>
      <c r="BN1072" s="68"/>
      <c r="BO1072" s="68"/>
      <c r="BP1072" s="68"/>
      <c r="BQ1072" s="68"/>
      <c r="BR1072" s="68"/>
      <c r="BS1072" s="68"/>
      <c r="BT1072" s="68"/>
      <c r="BU1072" s="68"/>
      <c r="BV1072" s="68"/>
      <c r="BW1072" s="68"/>
      <c r="BX1072" s="68"/>
      <c r="BY1072" s="588"/>
      <c r="BZ1072" s="68"/>
      <c r="CA1072" s="68"/>
      <c r="CB1072" s="68"/>
      <c r="CC1072" s="68"/>
      <c r="CD1072" s="68"/>
      <c r="CE1072" s="68"/>
      <c r="CF1072" s="68"/>
      <c r="CG1072" s="68"/>
      <c r="CH1072" s="68"/>
      <c r="CI1072" s="68"/>
      <c r="CJ1072" s="68"/>
      <c r="CK1072" s="68"/>
      <c r="CL1072" s="155"/>
    </row>
    <row r="1073" spans="1:90" x14ac:dyDescent="0.3">
      <c r="A1073" s="729" t="s">
        <v>911</v>
      </c>
      <c r="B1073" s="68"/>
      <c r="C1073" s="1034"/>
      <c r="D1073" s="1034"/>
      <c r="E1073" s="68"/>
      <c r="F1073" s="68"/>
      <c r="G1073" s="68"/>
      <c r="H1073" s="68"/>
      <c r="I1073" s="68"/>
      <c r="J1073" s="68"/>
      <c r="K1073" s="68"/>
      <c r="L1073" s="68"/>
      <c r="M1073" s="68"/>
      <c r="N1073" s="68"/>
      <c r="O1073" s="68"/>
      <c r="P1073" s="68"/>
      <c r="Q1073" s="68"/>
      <c r="R1073" s="68"/>
      <c r="S1073" s="68"/>
      <c r="T1073" s="68"/>
      <c r="U1073" s="68"/>
      <c r="V1073" s="68"/>
      <c r="W1073" s="68"/>
      <c r="X1073" s="68"/>
      <c r="Y1073" s="68"/>
      <c r="Z1073" s="68"/>
      <c r="AA1073" s="68"/>
      <c r="AB1073" s="68"/>
      <c r="AC1073" s="68"/>
      <c r="AD1073" s="68"/>
      <c r="AE1073" s="68"/>
      <c r="AF1073" s="68"/>
      <c r="AG1073" s="68"/>
      <c r="AH1073" s="68"/>
      <c r="AI1073" s="68"/>
      <c r="AJ1073" s="68"/>
      <c r="AK1073" s="68"/>
      <c r="AL1073" s="68"/>
      <c r="AM1073" s="68"/>
      <c r="AN1073" s="68"/>
      <c r="AO1073" s="68"/>
      <c r="AP1073" s="68"/>
      <c r="AQ1073" s="68"/>
      <c r="AR1073" s="68"/>
      <c r="AS1073" s="68"/>
      <c r="AT1073" s="68"/>
      <c r="AU1073" s="68"/>
      <c r="AV1073" s="68"/>
      <c r="AW1073" s="68"/>
      <c r="AX1073" s="68"/>
      <c r="AY1073" s="68"/>
      <c r="AZ1073" s="68"/>
      <c r="BA1073" s="68"/>
      <c r="BB1073" s="68"/>
      <c r="BC1073" s="68"/>
      <c r="BD1073" s="68"/>
      <c r="BE1073" s="68"/>
      <c r="BF1073" s="68"/>
      <c r="BG1073" s="68"/>
      <c r="BH1073" s="68"/>
      <c r="BI1073" s="68"/>
      <c r="BJ1073" s="68"/>
      <c r="BK1073" s="68"/>
      <c r="BL1073" s="68"/>
      <c r="BM1073" s="68"/>
      <c r="BN1073" s="68"/>
      <c r="BO1073" s="68"/>
      <c r="BP1073" s="68"/>
      <c r="BQ1073" s="68"/>
      <c r="BR1073" s="68"/>
      <c r="BS1073" s="68"/>
      <c r="BT1073" s="68"/>
      <c r="BU1073" s="68"/>
      <c r="BV1073" s="68"/>
      <c r="BW1073" s="68"/>
      <c r="BX1073" s="68"/>
      <c r="BY1073" s="588"/>
      <c r="BZ1073" s="68"/>
      <c r="CA1073" s="68"/>
      <c r="CB1073" s="68"/>
      <c r="CC1073" s="68"/>
      <c r="CD1073" s="68"/>
      <c r="CE1073" s="68"/>
      <c r="CF1073" s="68"/>
      <c r="CG1073" s="68"/>
      <c r="CH1073" s="68"/>
      <c r="CI1073" s="68"/>
      <c r="CJ1073" s="68"/>
      <c r="CK1073" s="68"/>
      <c r="CL1073" s="155"/>
    </row>
    <row r="1074" spans="1:90" x14ac:dyDescent="0.3">
      <c r="A1074" s="729" t="s">
        <v>914</v>
      </c>
      <c r="B1074" s="68"/>
      <c r="C1074" s="1034"/>
      <c r="D1074" s="1034"/>
      <c r="E1074" s="68"/>
      <c r="F1074" s="68"/>
      <c r="G1074" s="68"/>
      <c r="H1074" s="68"/>
      <c r="I1074" s="68"/>
      <c r="J1074" s="68"/>
      <c r="K1074" s="68"/>
      <c r="L1074" s="68"/>
      <c r="M1074" s="68"/>
      <c r="N1074" s="68"/>
      <c r="O1074" s="68"/>
      <c r="P1074" s="68"/>
      <c r="Q1074" s="68"/>
      <c r="R1074" s="68"/>
      <c r="S1074" s="68"/>
      <c r="T1074" s="68"/>
      <c r="U1074" s="68"/>
      <c r="V1074" s="68"/>
      <c r="W1074" s="68"/>
      <c r="X1074" s="68"/>
      <c r="Y1074" s="68"/>
      <c r="Z1074" s="68"/>
      <c r="AA1074" s="68"/>
      <c r="AB1074" s="68"/>
      <c r="AC1074" s="68"/>
      <c r="AD1074" s="68"/>
      <c r="AE1074" s="68"/>
      <c r="AF1074" s="68"/>
      <c r="AG1074" s="68"/>
      <c r="AH1074" s="68"/>
      <c r="AI1074" s="68"/>
      <c r="AJ1074" s="68"/>
      <c r="AK1074" s="68"/>
      <c r="AL1074" s="68"/>
      <c r="AM1074" s="68"/>
      <c r="AN1074" s="68"/>
      <c r="AO1074" s="68"/>
      <c r="AP1074" s="68"/>
      <c r="AQ1074" s="68"/>
      <c r="AR1074" s="68"/>
      <c r="AS1074" s="68"/>
      <c r="AT1074" s="68"/>
      <c r="AU1074" s="68"/>
      <c r="AV1074" s="68"/>
      <c r="AW1074" s="68"/>
      <c r="AX1074" s="68"/>
      <c r="AY1074" s="68"/>
      <c r="AZ1074" s="68"/>
      <c r="BA1074" s="68"/>
      <c r="BB1074" s="68"/>
      <c r="BC1074" s="68"/>
      <c r="BD1074" s="68"/>
      <c r="BE1074" s="68"/>
      <c r="BF1074" s="68"/>
      <c r="BG1074" s="68"/>
      <c r="BH1074" s="68"/>
      <c r="BI1074" s="68"/>
      <c r="BJ1074" s="68"/>
      <c r="BK1074" s="68"/>
      <c r="BL1074" s="68"/>
      <c r="BM1074" s="68"/>
      <c r="BN1074" s="68"/>
      <c r="BO1074" s="68"/>
      <c r="BP1074" s="68"/>
      <c r="BQ1074" s="68"/>
      <c r="BR1074" s="68"/>
      <c r="BS1074" s="68"/>
      <c r="BT1074" s="68"/>
      <c r="BU1074" s="68"/>
      <c r="BV1074" s="68"/>
      <c r="BW1074" s="68"/>
      <c r="BX1074" s="68"/>
      <c r="BY1074" s="588"/>
      <c r="BZ1074" s="68"/>
      <c r="CA1074" s="68"/>
      <c r="CB1074" s="68"/>
      <c r="CC1074" s="68"/>
      <c r="CD1074" s="68"/>
      <c r="CE1074" s="68"/>
      <c r="CF1074" s="68"/>
      <c r="CG1074" s="68"/>
      <c r="CH1074" s="68"/>
      <c r="CI1074" s="68"/>
      <c r="CJ1074" s="68"/>
      <c r="CK1074" s="68"/>
      <c r="CL1074" s="155"/>
    </row>
    <row r="1075" spans="1:90" x14ac:dyDescent="0.3">
      <c r="A1075" s="729" t="s">
        <v>915</v>
      </c>
      <c r="B1075" s="68"/>
      <c r="C1075" s="1034"/>
      <c r="D1075" s="1034"/>
      <c r="E1075" s="68"/>
      <c r="F1075" s="68"/>
      <c r="G1075" s="68"/>
      <c r="H1075" s="68"/>
      <c r="I1075" s="68"/>
      <c r="J1075" s="68"/>
      <c r="K1075" s="68"/>
      <c r="L1075" s="68"/>
      <c r="M1075" s="68"/>
      <c r="N1075" s="68"/>
      <c r="O1075" s="68"/>
      <c r="P1075" s="68"/>
      <c r="Q1075" s="68"/>
      <c r="R1075" s="68"/>
      <c r="S1075" s="68"/>
      <c r="T1075" s="68"/>
      <c r="U1075" s="68"/>
      <c r="V1075" s="68"/>
      <c r="W1075" s="68"/>
      <c r="X1075" s="68"/>
      <c r="Y1075" s="68"/>
      <c r="Z1075" s="68"/>
      <c r="AA1075" s="68"/>
      <c r="AB1075" s="68"/>
      <c r="AC1075" s="68"/>
      <c r="AD1075" s="68"/>
      <c r="AE1075" s="68"/>
      <c r="AF1075" s="68"/>
      <c r="AG1075" s="68"/>
      <c r="AH1075" s="68"/>
      <c r="AI1075" s="68"/>
      <c r="AJ1075" s="68"/>
      <c r="AK1075" s="68"/>
      <c r="AL1075" s="68"/>
      <c r="AM1075" s="68"/>
      <c r="AN1075" s="68"/>
      <c r="AO1075" s="68"/>
      <c r="AP1075" s="68"/>
      <c r="AQ1075" s="68"/>
      <c r="AR1075" s="68"/>
      <c r="AS1075" s="68"/>
      <c r="AT1075" s="68"/>
      <c r="AU1075" s="68"/>
      <c r="AV1075" s="68"/>
      <c r="AW1075" s="68"/>
      <c r="AX1075" s="68"/>
      <c r="AY1075" s="68"/>
      <c r="AZ1075" s="68"/>
      <c r="BA1075" s="68"/>
      <c r="BB1075" s="68"/>
      <c r="BC1075" s="68"/>
      <c r="BD1075" s="68"/>
      <c r="BE1075" s="68"/>
      <c r="BF1075" s="68"/>
      <c r="BG1075" s="68"/>
      <c r="BH1075" s="68"/>
      <c r="BI1075" s="68"/>
      <c r="BJ1075" s="68"/>
      <c r="BK1075" s="68"/>
      <c r="BL1075" s="68"/>
      <c r="BM1075" s="68"/>
      <c r="BN1075" s="68"/>
      <c r="BO1075" s="68"/>
      <c r="BP1075" s="68"/>
      <c r="BQ1075" s="68"/>
      <c r="BR1075" s="68"/>
      <c r="BS1075" s="68"/>
      <c r="BT1075" s="68"/>
      <c r="BU1075" s="68"/>
      <c r="BV1075" s="68"/>
      <c r="BW1075" s="68"/>
      <c r="BX1075" s="68"/>
      <c r="BY1075" s="588"/>
      <c r="BZ1075" s="68"/>
      <c r="CA1075" s="68"/>
      <c r="CB1075" s="68"/>
      <c r="CC1075" s="68"/>
      <c r="CD1075" s="68"/>
      <c r="CE1075" s="68"/>
      <c r="CF1075" s="68"/>
      <c r="CG1075" s="68"/>
      <c r="CH1075" s="68"/>
      <c r="CI1075" s="68"/>
      <c r="CJ1075" s="68"/>
      <c r="CK1075" s="68"/>
      <c r="CL1075" s="155"/>
    </row>
    <row r="1076" spans="1:90" x14ac:dyDescent="0.3">
      <c r="A1076" s="729" t="s">
        <v>916</v>
      </c>
      <c r="B1076" s="68"/>
      <c r="C1076" s="1034"/>
      <c r="D1076" s="1034"/>
      <c r="E1076" s="68"/>
      <c r="F1076" s="68"/>
      <c r="G1076" s="68"/>
      <c r="H1076" s="68"/>
      <c r="I1076" s="68"/>
      <c r="J1076" s="68"/>
      <c r="K1076" s="68"/>
      <c r="L1076" s="68"/>
      <c r="M1076" s="68"/>
      <c r="N1076" s="68"/>
      <c r="O1076" s="68"/>
      <c r="P1076" s="68"/>
      <c r="Q1076" s="68"/>
      <c r="R1076" s="68"/>
      <c r="S1076" s="68"/>
      <c r="T1076" s="68"/>
      <c r="U1076" s="68"/>
      <c r="V1076" s="68"/>
      <c r="W1076" s="68"/>
      <c r="X1076" s="68"/>
      <c r="Y1076" s="68"/>
      <c r="Z1076" s="68"/>
      <c r="AA1076" s="68"/>
      <c r="AB1076" s="68"/>
      <c r="AC1076" s="68"/>
      <c r="AD1076" s="68"/>
      <c r="AE1076" s="68"/>
      <c r="AF1076" s="68"/>
      <c r="AG1076" s="68"/>
      <c r="AH1076" s="68"/>
      <c r="AI1076" s="68"/>
      <c r="AJ1076" s="68"/>
      <c r="AK1076" s="68"/>
      <c r="AL1076" s="68"/>
      <c r="AM1076" s="68"/>
      <c r="AN1076" s="68"/>
      <c r="AO1076" s="68"/>
      <c r="AP1076" s="68"/>
      <c r="AQ1076" s="68"/>
      <c r="AR1076" s="68"/>
      <c r="AS1076" s="68"/>
      <c r="AT1076" s="68"/>
      <c r="AU1076" s="68"/>
      <c r="AV1076" s="68"/>
      <c r="AW1076" s="68"/>
      <c r="AX1076" s="68"/>
      <c r="AY1076" s="68"/>
      <c r="AZ1076" s="68"/>
      <c r="BA1076" s="68"/>
      <c r="BB1076" s="68"/>
      <c r="BC1076" s="68"/>
      <c r="BD1076" s="68"/>
      <c r="BE1076" s="68"/>
      <c r="BF1076" s="68"/>
      <c r="BG1076" s="68"/>
      <c r="BH1076" s="68"/>
      <c r="BI1076" s="68"/>
      <c r="BJ1076" s="68"/>
      <c r="BK1076" s="68"/>
      <c r="BL1076" s="68"/>
      <c r="BM1076" s="68"/>
      <c r="BN1076" s="68"/>
      <c r="BO1076" s="68"/>
      <c r="BP1076" s="68"/>
      <c r="BQ1076" s="68"/>
      <c r="BR1076" s="68"/>
      <c r="BS1076" s="68"/>
      <c r="BT1076" s="68"/>
      <c r="BU1076" s="68"/>
      <c r="BV1076" s="68"/>
      <c r="BW1076" s="68"/>
      <c r="BX1076" s="68"/>
      <c r="BY1076" s="588"/>
      <c r="BZ1076" s="68"/>
      <c r="CA1076" s="68"/>
      <c r="CB1076" s="68"/>
      <c r="CC1076" s="68"/>
      <c r="CD1076" s="68"/>
      <c r="CE1076" s="68"/>
      <c r="CF1076" s="68"/>
      <c r="CG1076" s="68"/>
      <c r="CH1076" s="68"/>
      <c r="CI1076" s="68"/>
      <c r="CJ1076" s="68"/>
      <c r="CK1076" s="68"/>
      <c r="CL1076" s="155"/>
    </row>
    <row r="1077" spans="1:90" x14ac:dyDescent="0.3">
      <c r="A1077" s="729" t="s">
        <v>917</v>
      </c>
      <c r="B1077" s="68"/>
      <c r="C1077" s="1034"/>
      <c r="D1077" s="1034"/>
      <c r="E1077" s="68"/>
      <c r="F1077" s="68"/>
      <c r="G1077" s="68"/>
      <c r="H1077" s="68"/>
      <c r="I1077" s="68"/>
      <c r="J1077" s="68"/>
      <c r="K1077" s="68"/>
      <c r="L1077" s="68"/>
      <c r="M1077" s="68"/>
      <c r="N1077" s="68"/>
      <c r="O1077" s="68"/>
      <c r="P1077" s="68"/>
      <c r="Q1077" s="68"/>
      <c r="R1077" s="68"/>
      <c r="S1077" s="68"/>
      <c r="T1077" s="68"/>
      <c r="U1077" s="68"/>
      <c r="V1077" s="68"/>
      <c r="W1077" s="68"/>
      <c r="X1077" s="68"/>
      <c r="Y1077" s="68"/>
      <c r="Z1077" s="68"/>
      <c r="AA1077" s="68"/>
      <c r="AB1077" s="68"/>
      <c r="AC1077" s="68"/>
      <c r="AD1077" s="68"/>
      <c r="AE1077" s="68"/>
      <c r="AF1077" s="68"/>
      <c r="AG1077" s="68"/>
      <c r="AH1077" s="68"/>
      <c r="AI1077" s="68"/>
      <c r="AJ1077" s="68"/>
      <c r="AK1077" s="68"/>
      <c r="AL1077" s="68"/>
      <c r="AM1077" s="68"/>
      <c r="AN1077" s="68"/>
      <c r="AO1077" s="68"/>
      <c r="AP1077" s="68"/>
      <c r="AQ1077" s="68"/>
      <c r="AR1077" s="68"/>
      <c r="AS1077" s="68"/>
      <c r="AT1077" s="68"/>
      <c r="AU1077" s="68"/>
      <c r="AV1077" s="68"/>
      <c r="AW1077" s="68"/>
      <c r="AX1077" s="68"/>
      <c r="AY1077" s="68"/>
      <c r="AZ1077" s="68"/>
      <c r="BA1077" s="68"/>
      <c r="BB1077" s="68"/>
      <c r="BC1077" s="68"/>
      <c r="BD1077" s="68"/>
      <c r="BE1077" s="68"/>
      <c r="BF1077" s="68"/>
      <c r="BG1077" s="68"/>
      <c r="BH1077" s="68"/>
      <c r="BI1077" s="68"/>
      <c r="BJ1077" s="68"/>
      <c r="BK1077" s="68"/>
      <c r="BL1077" s="68"/>
      <c r="BM1077" s="68"/>
      <c r="BN1077" s="68"/>
      <c r="BO1077" s="68"/>
      <c r="BP1077" s="68"/>
      <c r="BQ1077" s="68"/>
      <c r="BR1077" s="68"/>
      <c r="BS1077" s="68"/>
      <c r="BT1077" s="68"/>
      <c r="BU1077" s="68"/>
      <c r="BV1077" s="68"/>
      <c r="BW1077" s="68"/>
      <c r="BX1077" s="68"/>
      <c r="BY1077" s="588"/>
      <c r="BZ1077" s="68"/>
      <c r="CA1077" s="68"/>
      <c r="CB1077" s="68"/>
      <c r="CC1077" s="68"/>
      <c r="CD1077" s="68"/>
      <c r="CE1077" s="68"/>
      <c r="CF1077" s="68"/>
      <c r="CG1077" s="68"/>
      <c r="CH1077" s="68"/>
      <c r="CI1077" s="68"/>
      <c r="CJ1077" s="68"/>
      <c r="CK1077" s="68"/>
      <c r="CL1077" s="155"/>
    </row>
    <row r="1078" spans="1:90" x14ac:dyDescent="0.3">
      <c r="A1078" s="729" t="s">
        <v>918</v>
      </c>
      <c r="B1078" s="68"/>
      <c r="C1078" s="1034"/>
      <c r="D1078" s="1034"/>
      <c r="E1078" s="68"/>
      <c r="F1078" s="68"/>
      <c r="G1078" s="68"/>
      <c r="H1078" s="68"/>
      <c r="I1078" s="68"/>
      <c r="J1078" s="68"/>
      <c r="K1078" s="68"/>
      <c r="L1078" s="68"/>
      <c r="M1078" s="68"/>
      <c r="N1078" s="68"/>
      <c r="O1078" s="68"/>
      <c r="P1078" s="68"/>
      <c r="Q1078" s="68"/>
      <c r="R1078" s="68"/>
      <c r="S1078" s="68"/>
      <c r="T1078" s="68"/>
      <c r="U1078" s="68"/>
      <c r="V1078" s="68"/>
      <c r="W1078" s="68"/>
      <c r="X1078" s="68"/>
      <c r="Y1078" s="68"/>
      <c r="Z1078" s="68"/>
      <c r="AA1078" s="68"/>
      <c r="AB1078" s="68"/>
      <c r="AC1078" s="68"/>
      <c r="AD1078" s="68"/>
      <c r="AE1078" s="68"/>
      <c r="AF1078" s="68"/>
      <c r="AG1078" s="68"/>
      <c r="AH1078" s="68"/>
      <c r="AI1078" s="68"/>
      <c r="AJ1078" s="68"/>
      <c r="AK1078" s="68"/>
      <c r="AL1078" s="68"/>
      <c r="AM1078" s="68"/>
      <c r="AN1078" s="68"/>
      <c r="AO1078" s="68"/>
      <c r="AP1078" s="68"/>
      <c r="AQ1078" s="68"/>
      <c r="AR1078" s="68"/>
      <c r="AS1078" s="68"/>
      <c r="AT1078" s="68"/>
      <c r="AU1078" s="68"/>
      <c r="AV1078" s="68"/>
      <c r="AW1078" s="68"/>
      <c r="AX1078" s="68"/>
      <c r="AY1078" s="68"/>
      <c r="AZ1078" s="68"/>
      <c r="BA1078" s="68"/>
      <c r="BB1078" s="68"/>
      <c r="BC1078" s="68"/>
      <c r="BD1078" s="68"/>
      <c r="BE1078" s="68"/>
      <c r="BF1078" s="68"/>
      <c r="BG1078" s="68"/>
      <c r="BH1078" s="68"/>
      <c r="BI1078" s="68"/>
      <c r="BJ1078" s="68"/>
      <c r="BK1078" s="68"/>
      <c r="BL1078" s="68"/>
      <c r="BM1078" s="68"/>
      <c r="BN1078" s="68"/>
      <c r="BO1078" s="68"/>
      <c r="BP1078" s="68"/>
      <c r="BQ1078" s="68"/>
      <c r="BR1078" s="68"/>
      <c r="BS1078" s="68"/>
      <c r="BT1078" s="68"/>
      <c r="BU1078" s="68"/>
      <c r="BV1078" s="68"/>
      <c r="BW1078" s="68"/>
      <c r="BX1078" s="68"/>
      <c r="BY1078" s="588"/>
      <c r="BZ1078" s="68"/>
      <c r="CA1078" s="68"/>
      <c r="CB1078" s="68"/>
      <c r="CC1078" s="68"/>
      <c r="CD1078" s="68"/>
      <c r="CE1078" s="68"/>
      <c r="CF1078" s="68"/>
      <c r="CG1078" s="68"/>
      <c r="CH1078" s="68"/>
      <c r="CI1078" s="68"/>
      <c r="CJ1078" s="68"/>
      <c r="CK1078" s="68"/>
      <c r="CL1078" s="155"/>
    </row>
    <row r="1079" spans="1:90" x14ac:dyDescent="0.3">
      <c r="A1079" s="729" t="s">
        <v>919</v>
      </c>
      <c r="B1079" s="68"/>
      <c r="C1079" s="1034"/>
      <c r="D1079" s="1034"/>
      <c r="E1079" s="68"/>
      <c r="F1079" s="68"/>
      <c r="G1079" s="68"/>
      <c r="H1079" s="68"/>
      <c r="I1079" s="68"/>
      <c r="J1079" s="68"/>
      <c r="K1079" s="68"/>
      <c r="L1079" s="68"/>
      <c r="M1079" s="68"/>
      <c r="N1079" s="68"/>
      <c r="O1079" s="68"/>
      <c r="P1079" s="68"/>
      <c r="Q1079" s="68"/>
      <c r="R1079" s="68"/>
      <c r="S1079" s="68"/>
      <c r="T1079" s="68"/>
      <c r="U1079" s="68"/>
      <c r="V1079" s="68"/>
      <c r="W1079" s="68"/>
      <c r="X1079" s="68"/>
      <c r="Y1079" s="68"/>
      <c r="Z1079" s="68"/>
      <c r="AA1079" s="68"/>
      <c r="AB1079" s="68"/>
      <c r="AC1079" s="68"/>
      <c r="AD1079" s="68"/>
      <c r="AE1079" s="68"/>
      <c r="AF1079" s="68"/>
      <c r="AG1079" s="68"/>
      <c r="AH1079" s="68"/>
      <c r="AI1079" s="68"/>
      <c r="AJ1079" s="68"/>
      <c r="AK1079" s="68"/>
      <c r="AL1079" s="68"/>
      <c r="AM1079" s="68"/>
      <c r="AN1079" s="68"/>
      <c r="AO1079" s="68"/>
      <c r="AP1079" s="68"/>
      <c r="AQ1079" s="68"/>
      <c r="AR1079" s="68"/>
      <c r="AS1079" s="68"/>
      <c r="AT1079" s="68"/>
      <c r="AU1079" s="68"/>
      <c r="AV1079" s="68"/>
      <c r="AW1079" s="68"/>
      <c r="AX1079" s="68"/>
      <c r="AY1079" s="68"/>
      <c r="AZ1079" s="68"/>
      <c r="BA1079" s="68"/>
      <c r="BB1079" s="68"/>
      <c r="BC1079" s="68"/>
      <c r="BD1079" s="68"/>
      <c r="BE1079" s="68"/>
      <c r="BF1079" s="68"/>
      <c r="BG1079" s="68"/>
      <c r="BH1079" s="68"/>
      <c r="BI1079" s="68"/>
      <c r="BJ1079" s="68"/>
      <c r="BK1079" s="68"/>
      <c r="BL1079" s="68"/>
      <c r="BM1079" s="68"/>
      <c r="BN1079" s="68"/>
      <c r="BO1079" s="68"/>
      <c r="BP1079" s="68"/>
      <c r="BQ1079" s="68"/>
      <c r="BR1079" s="68"/>
      <c r="BS1079" s="68"/>
      <c r="BT1079" s="68"/>
      <c r="BU1079" s="68"/>
      <c r="BV1079" s="68"/>
      <c r="BW1079" s="68"/>
      <c r="BX1079" s="68"/>
      <c r="BY1079" s="588"/>
      <c r="BZ1079" s="68"/>
      <c r="CA1079" s="68"/>
      <c r="CB1079" s="68"/>
      <c r="CC1079" s="68"/>
      <c r="CD1079" s="68"/>
      <c r="CE1079" s="68"/>
      <c r="CF1079" s="68"/>
      <c r="CG1079" s="68"/>
      <c r="CH1079" s="68"/>
      <c r="CI1079" s="68"/>
      <c r="CJ1079" s="68"/>
      <c r="CK1079" s="68"/>
      <c r="CL1079" s="155"/>
    </row>
    <row r="1080" spans="1:90" x14ac:dyDescent="0.3">
      <c r="A1080" s="729" t="s">
        <v>920</v>
      </c>
      <c r="B1080" s="68"/>
      <c r="C1080" s="1034"/>
      <c r="D1080" s="1034"/>
      <c r="E1080" s="68"/>
      <c r="F1080" s="68"/>
      <c r="G1080" s="68"/>
      <c r="H1080" s="68"/>
      <c r="I1080" s="68"/>
      <c r="J1080" s="68"/>
      <c r="K1080" s="68"/>
      <c r="L1080" s="68"/>
      <c r="M1080" s="68"/>
      <c r="N1080" s="68"/>
      <c r="O1080" s="68"/>
      <c r="P1080" s="68"/>
      <c r="Q1080" s="68"/>
      <c r="R1080" s="68"/>
      <c r="S1080" s="68"/>
      <c r="T1080" s="68"/>
      <c r="U1080" s="68"/>
      <c r="V1080" s="68"/>
      <c r="W1080" s="68"/>
      <c r="X1080" s="68"/>
      <c r="Y1080" s="68"/>
      <c r="Z1080" s="68"/>
      <c r="AA1080" s="68"/>
      <c r="AB1080" s="68"/>
      <c r="AC1080" s="68"/>
      <c r="AD1080" s="68"/>
      <c r="AE1080" s="68"/>
      <c r="AF1080" s="68"/>
      <c r="AG1080" s="68"/>
      <c r="AH1080" s="68"/>
      <c r="AI1080" s="68"/>
      <c r="AJ1080" s="68"/>
      <c r="AK1080" s="68"/>
      <c r="AL1080" s="68"/>
      <c r="AM1080" s="68"/>
      <c r="AN1080" s="68"/>
      <c r="AO1080" s="68"/>
      <c r="AP1080" s="68"/>
      <c r="AQ1080" s="68"/>
      <c r="AR1080" s="68"/>
      <c r="AS1080" s="68"/>
      <c r="AT1080" s="68"/>
      <c r="AU1080" s="68"/>
      <c r="AV1080" s="68"/>
      <c r="AW1080" s="68"/>
      <c r="AX1080" s="68"/>
      <c r="AY1080" s="68"/>
      <c r="AZ1080" s="68"/>
      <c r="BA1080" s="68"/>
      <c r="BB1080" s="68"/>
      <c r="BC1080" s="68"/>
      <c r="BD1080" s="68"/>
      <c r="BE1080" s="68"/>
      <c r="BF1080" s="68"/>
      <c r="BG1080" s="68"/>
      <c r="BH1080" s="68"/>
      <c r="BI1080" s="68"/>
      <c r="BJ1080" s="68"/>
      <c r="BK1080" s="68"/>
      <c r="BL1080" s="68"/>
      <c r="BM1080" s="68"/>
      <c r="BN1080" s="68"/>
      <c r="BO1080" s="68"/>
      <c r="BP1080" s="68"/>
      <c r="BQ1080" s="68"/>
      <c r="BR1080" s="68"/>
      <c r="BS1080" s="68"/>
      <c r="BT1080" s="68"/>
      <c r="BU1080" s="68"/>
      <c r="BV1080" s="68"/>
      <c r="BW1080" s="68"/>
      <c r="BX1080" s="68"/>
      <c r="BY1080" s="588"/>
      <c r="BZ1080" s="68"/>
      <c r="CA1080" s="68"/>
      <c r="CB1080" s="68"/>
      <c r="CC1080" s="68"/>
      <c r="CD1080" s="68"/>
      <c r="CE1080" s="68"/>
      <c r="CF1080" s="68"/>
      <c r="CG1080" s="68"/>
      <c r="CH1080" s="68"/>
      <c r="CI1080" s="68"/>
      <c r="CJ1080" s="68"/>
      <c r="CK1080" s="68"/>
      <c r="CL1080" s="155"/>
    </row>
    <row r="1081" spans="1:90" x14ac:dyDescent="0.3">
      <c r="A1081" s="729" t="s">
        <v>921</v>
      </c>
      <c r="B1081" s="68"/>
      <c r="C1081" s="1034"/>
      <c r="D1081" s="1034"/>
      <c r="E1081" s="68"/>
      <c r="F1081" s="68"/>
      <c r="G1081" s="68"/>
      <c r="H1081" s="68"/>
      <c r="I1081" s="68"/>
      <c r="J1081" s="68"/>
      <c r="K1081" s="68"/>
      <c r="L1081" s="68"/>
      <c r="M1081" s="68"/>
      <c r="N1081" s="68"/>
      <c r="O1081" s="68"/>
      <c r="P1081" s="68"/>
      <c r="Q1081" s="68"/>
      <c r="R1081" s="68"/>
      <c r="S1081" s="68"/>
      <c r="T1081" s="68"/>
      <c r="U1081" s="68"/>
      <c r="V1081" s="68"/>
      <c r="W1081" s="68"/>
      <c r="X1081" s="68"/>
      <c r="Y1081" s="68"/>
      <c r="Z1081" s="68"/>
      <c r="AA1081" s="68"/>
      <c r="AB1081" s="68"/>
      <c r="AC1081" s="68"/>
      <c r="AD1081" s="68"/>
      <c r="AE1081" s="68"/>
      <c r="AF1081" s="68"/>
      <c r="AG1081" s="68"/>
      <c r="AH1081" s="68"/>
      <c r="AI1081" s="68"/>
      <c r="AJ1081" s="68"/>
      <c r="AK1081" s="68"/>
      <c r="AL1081" s="68"/>
      <c r="AM1081" s="68"/>
      <c r="AN1081" s="68"/>
      <c r="AO1081" s="68"/>
      <c r="AP1081" s="68"/>
      <c r="AQ1081" s="68"/>
      <c r="AR1081" s="68"/>
      <c r="AS1081" s="68"/>
      <c r="AT1081" s="68"/>
      <c r="AU1081" s="68"/>
      <c r="AV1081" s="68"/>
      <c r="AW1081" s="68"/>
      <c r="AX1081" s="68"/>
      <c r="AY1081" s="68"/>
      <c r="AZ1081" s="68"/>
      <c r="BA1081" s="68"/>
      <c r="BB1081" s="68"/>
      <c r="BC1081" s="68"/>
      <c r="BD1081" s="68"/>
      <c r="BE1081" s="68"/>
      <c r="BF1081" s="68"/>
      <c r="BG1081" s="68"/>
      <c r="BH1081" s="68"/>
      <c r="BI1081" s="68"/>
      <c r="BJ1081" s="68"/>
      <c r="BK1081" s="68"/>
      <c r="BL1081" s="68"/>
      <c r="BM1081" s="68"/>
      <c r="BN1081" s="68"/>
      <c r="BO1081" s="68"/>
      <c r="BP1081" s="68"/>
      <c r="BQ1081" s="68"/>
      <c r="BR1081" s="68"/>
      <c r="BS1081" s="68"/>
      <c r="BT1081" s="68"/>
      <c r="BU1081" s="68"/>
      <c r="BV1081" s="68"/>
      <c r="BW1081" s="68"/>
      <c r="BX1081" s="68"/>
      <c r="BY1081" s="588"/>
      <c r="BZ1081" s="68"/>
      <c r="CA1081" s="68"/>
      <c r="CB1081" s="68"/>
      <c r="CC1081" s="68"/>
      <c r="CD1081" s="68"/>
      <c r="CE1081" s="68"/>
      <c r="CF1081" s="68"/>
      <c r="CG1081" s="68"/>
      <c r="CH1081" s="68"/>
      <c r="CI1081" s="68"/>
      <c r="CJ1081" s="68"/>
      <c r="CK1081" s="68"/>
      <c r="CL1081" s="155"/>
    </row>
    <row r="1082" spans="1:90" x14ac:dyDescent="0.3">
      <c r="A1082" s="729" t="s">
        <v>922</v>
      </c>
      <c r="B1082" s="68"/>
      <c r="C1082" s="1034"/>
      <c r="D1082" s="1034"/>
      <c r="E1082" s="68"/>
      <c r="F1082" s="68"/>
      <c r="G1082" s="68"/>
      <c r="H1082" s="68"/>
      <c r="I1082" s="68"/>
      <c r="J1082" s="68"/>
      <c r="K1082" s="68"/>
      <c r="L1082" s="68"/>
      <c r="M1082" s="68"/>
      <c r="N1082" s="68"/>
      <c r="O1082" s="68"/>
      <c r="P1082" s="68"/>
      <c r="Q1082" s="68"/>
      <c r="R1082" s="68"/>
      <c r="S1082" s="68"/>
      <c r="T1082" s="68"/>
      <c r="U1082" s="68"/>
      <c r="V1082" s="68"/>
      <c r="W1082" s="68"/>
      <c r="X1082" s="68"/>
      <c r="Y1082" s="68"/>
      <c r="Z1082" s="68"/>
      <c r="AA1082" s="68"/>
      <c r="AB1082" s="68"/>
      <c r="AC1082" s="68"/>
      <c r="AD1082" s="68"/>
      <c r="AE1082" s="68"/>
      <c r="AF1082" s="68"/>
      <c r="AG1082" s="68"/>
      <c r="AH1082" s="68"/>
      <c r="AI1082" s="68"/>
      <c r="AJ1082" s="68"/>
      <c r="AK1082" s="68"/>
      <c r="AL1082" s="68"/>
      <c r="AM1082" s="68"/>
      <c r="AN1082" s="68"/>
      <c r="AO1082" s="68"/>
      <c r="AP1082" s="68"/>
      <c r="AQ1082" s="68"/>
      <c r="AR1082" s="68"/>
      <c r="AS1082" s="68"/>
      <c r="AT1082" s="68"/>
      <c r="AU1082" s="68"/>
      <c r="AV1082" s="68"/>
      <c r="AW1082" s="68"/>
      <c r="AX1082" s="68"/>
      <c r="AY1082" s="68"/>
      <c r="AZ1082" s="68"/>
      <c r="BA1082" s="68"/>
      <c r="BB1082" s="68"/>
      <c r="BC1082" s="68"/>
      <c r="BD1082" s="68"/>
      <c r="BE1082" s="68"/>
      <c r="BF1082" s="68"/>
      <c r="BG1082" s="68"/>
      <c r="BH1082" s="68"/>
      <c r="BI1082" s="68"/>
      <c r="BJ1082" s="68"/>
      <c r="BK1082" s="68"/>
      <c r="BL1082" s="68"/>
      <c r="BM1082" s="68"/>
      <c r="BN1082" s="68"/>
      <c r="BO1082" s="68"/>
      <c r="BP1082" s="68"/>
      <c r="BQ1082" s="68"/>
      <c r="BR1082" s="68"/>
      <c r="BS1082" s="68"/>
      <c r="BT1082" s="68"/>
      <c r="BU1082" s="68"/>
      <c r="BV1082" s="68"/>
      <c r="BW1082" s="68"/>
      <c r="BX1082" s="68"/>
      <c r="BY1082" s="588"/>
      <c r="BZ1082" s="68"/>
      <c r="CA1082" s="68"/>
      <c r="CB1082" s="68"/>
      <c r="CC1082" s="68"/>
      <c r="CD1082" s="68"/>
      <c r="CE1082" s="68"/>
      <c r="CF1082" s="68"/>
      <c r="CG1082" s="68"/>
      <c r="CH1082" s="68"/>
      <c r="CI1082" s="68"/>
      <c r="CJ1082" s="68"/>
      <c r="CK1082" s="68"/>
      <c r="CL1082" s="155"/>
    </row>
    <row r="1083" spans="1:90" x14ac:dyDescent="0.3">
      <c r="A1083" s="729" t="s">
        <v>923</v>
      </c>
      <c r="B1083" s="68"/>
      <c r="C1083" s="1034"/>
      <c r="D1083" s="1034"/>
      <c r="E1083" s="68"/>
      <c r="F1083" s="68"/>
      <c r="G1083" s="68"/>
      <c r="H1083" s="68"/>
      <c r="I1083" s="68"/>
      <c r="J1083" s="68"/>
      <c r="K1083" s="68"/>
      <c r="L1083" s="68"/>
      <c r="M1083" s="68"/>
      <c r="N1083" s="68"/>
      <c r="O1083" s="68"/>
      <c r="P1083" s="68"/>
      <c r="Q1083" s="68"/>
      <c r="R1083" s="68"/>
      <c r="S1083" s="68"/>
      <c r="T1083" s="68"/>
      <c r="U1083" s="68"/>
      <c r="V1083" s="68"/>
      <c r="W1083" s="68"/>
      <c r="X1083" s="68"/>
      <c r="Y1083" s="68"/>
      <c r="Z1083" s="68"/>
      <c r="AA1083" s="68"/>
      <c r="AB1083" s="68"/>
      <c r="AC1083" s="68"/>
      <c r="AD1083" s="68"/>
      <c r="AE1083" s="68"/>
      <c r="AF1083" s="68"/>
      <c r="AG1083" s="68"/>
      <c r="AH1083" s="68"/>
      <c r="AI1083" s="68"/>
      <c r="AJ1083" s="68"/>
      <c r="AK1083" s="68"/>
      <c r="AL1083" s="68"/>
      <c r="AM1083" s="68"/>
      <c r="AN1083" s="68"/>
      <c r="AO1083" s="68"/>
      <c r="AP1083" s="68"/>
      <c r="AQ1083" s="68"/>
      <c r="AR1083" s="68"/>
      <c r="AS1083" s="68"/>
      <c r="AT1083" s="68"/>
      <c r="AU1083" s="68"/>
      <c r="AV1083" s="68"/>
      <c r="AW1083" s="68"/>
      <c r="AX1083" s="68"/>
      <c r="AY1083" s="68"/>
      <c r="AZ1083" s="68"/>
      <c r="BA1083" s="68"/>
      <c r="BB1083" s="68"/>
      <c r="BC1083" s="68"/>
      <c r="BD1083" s="68"/>
      <c r="BE1083" s="68"/>
      <c r="BF1083" s="68"/>
      <c r="BG1083" s="68"/>
      <c r="BH1083" s="68"/>
      <c r="BI1083" s="68"/>
      <c r="BJ1083" s="68"/>
      <c r="BK1083" s="68"/>
      <c r="BL1083" s="68"/>
      <c r="BM1083" s="68"/>
      <c r="BN1083" s="68"/>
      <c r="BO1083" s="68"/>
      <c r="BP1083" s="68"/>
      <c r="BQ1083" s="68"/>
      <c r="BR1083" s="68"/>
      <c r="BS1083" s="68"/>
      <c r="BT1083" s="68"/>
      <c r="BU1083" s="68"/>
      <c r="BV1083" s="68"/>
      <c r="BW1083" s="68"/>
      <c r="BX1083" s="68"/>
      <c r="BY1083" s="588"/>
      <c r="BZ1083" s="68"/>
      <c r="CA1083" s="68"/>
      <c r="CB1083" s="68"/>
      <c r="CC1083" s="68"/>
      <c r="CD1083" s="68"/>
      <c r="CE1083" s="68"/>
      <c r="CF1083" s="68"/>
      <c r="CG1083" s="68"/>
      <c r="CH1083" s="68"/>
      <c r="CI1083" s="68"/>
      <c r="CJ1083" s="68"/>
      <c r="CK1083" s="68"/>
      <c r="CL1083" s="155"/>
    </row>
    <row r="1084" spans="1:90" x14ac:dyDescent="0.3">
      <c r="A1084" s="729" t="s">
        <v>924</v>
      </c>
      <c r="B1084" s="68"/>
      <c r="C1084" s="1034"/>
      <c r="D1084" s="1034"/>
      <c r="E1084" s="68"/>
      <c r="F1084" s="68"/>
      <c r="G1084" s="68"/>
      <c r="H1084" s="68"/>
      <c r="I1084" s="68"/>
      <c r="J1084" s="68"/>
      <c r="K1084" s="68"/>
      <c r="L1084" s="68"/>
      <c r="M1084" s="68"/>
      <c r="N1084" s="68"/>
      <c r="O1084" s="68"/>
      <c r="P1084" s="68"/>
      <c r="Q1084" s="68"/>
      <c r="R1084" s="68"/>
      <c r="S1084" s="68"/>
      <c r="T1084" s="68"/>
      <c r="U1084" s="68"/>
      <c r="V1084" s="68"/>
      <c r="W1084" s="68"/>
      <c r="X1084" s="68"/>
      <c r="Y1084" s="68"/>
      <c r="Z1084" s="68"/>
      <c r="AA1084" s="68"/>
      <c r="AB1084" s="68"/>
      <c r="AC1084" s="68"/>
      <c r="AD1084" s="68"/>
      <c r="AE1084" s="68"/>
      <c r="AF1084" s="68"/>
      <c r="AG1084" s="68"/>
      <c r="AH1084" s="68"/>
      <c r="AI1084" s="68"/>
      <c r="AJ1084" s="68"/>
      <c r="AK1084" s="68"/>
      <c r="AL1084" s="68"/>
      <c r="AM1084" s="68"/>
      <c r="AN1084" s="68"/>
      <c r="AO1084" s="68"/>
      <c r="AP1084" s="68"/>
      <c r="AQ1084" s="68"/>
      <c r="AR1084" s="68"/>
      <c r="AS1084" s="68"/>
      <c r="AT1084" s="68"/>
      <c r="AU1084" s="68"/>
      <c r="AV1084" s="68"/>
      <c r="AW1084" s="68"/>
      <c r="AX1084" s="68"/>
      <c r="AY1084" s="68"/>
      <c r="AZ1084" s="68"/>
      <c r="BA1084" s="68"/>
      <c r="BB1084" s="68"/>
      <c r="BC1084" s="68"/>
      <c r="BD1084" s="68"/>
      <c r="BE1084" s="68"/>
      <c r="BF1084" s="68"/>
      <c r="BG1084" s="68"/>
      <c r="BH1084" s="68"/>
      <c r="BI1084" s="68"/>
      <c r="BJ1084" s="68"/>
      <c r="BK1084" s="68"/>
      <c r="BL1084" s="68"/>
      <c r="BM1084" s="68"/>
      <c r="BN1084" s="68"/>
      <c r="BO1084" s="68"/>
      <c r="BP1084" s="68"/>
      <c r="BQ1084" s="68"/>
      <c r="BR1084" s="68"/>
      <c r="BS1084" s="68"/>
      <c r="BT1084" s="68"/>
      <c r="BU1084" s="68"/>
      <c r="BV1084" s="68"/>
      <c r="BW1084" s="68"/>
      <c r="BX1084" s="68"/>
      <c r="BY1084" s="588"/>
      <c r="BZ1084" s="68"/>
      <c r="CA1084" s="68"/>
      <c r="CB1084" s="68"/>
      <c r="CC1084" s="68"/>
      <c r="CD1084" s="68"/>
      <c r="CE1084" s="68"/>
      <c r="CF1084" s="68"/>
      <c r="CG1084" s="68"/>
      <c r="CH1084" s="68"/>
      <c r="CI1084" s="68"/>
      <c r="CJ1084" s="68"/>
      <c r="CK1084" s="68"/>
      <c r="CL1084" s="155"/>
    </row>
    <row r="1085" spans="1:90" x14ac:dyDescent="0.3">
      <c r="A1085" s="729" t="s">
        <v>560</v>
      </c>
      <c r="B1085" s="68"/>
      <c r="C1085" s="1034"/>
      <c r="D1085" s="1034"/>
      <c r="E1085" s="68"/>
      <c r="F1085" s="68"/>
      <c r="G1085" s="68"/>
      <c r="H1085" s="68"/>
      <c r="I1085" s="68"/>
      <c r="J1085" s="68"/>
      <c r="K1085" s="68"/>
      <c r="L1085" s="68"/>
      <c r="M1085" s="68"/>
      <c r="N1085" s="68"/>
      <c r="O1085" s="68"/>
      <c r="P1085" s="68"/>
      <c r="Q1085" s="68"/>
      <c r="R1085" s="68"/>
      <c r="S1085" s="68"/>
      <c r="T1085" s="68"/>
      <c r="U1085" s="68"/>
      <c r="V1085" s="68"/>
      <c r="W1085" s="68"/>
      <c r="X1085" s="68"/>
      <c r="Y1085" s="68"/>
      <c r="Z1085" s="68"/>
      <c r="AA1085" s="68"/>
      <c r="AB1085" s="68"/>
      <c r="AC1085" s="68"/>
      <c r="AD1085" s="68"/>
      <c r="AE1085" s="68"/>
      <c r="AF1085" s="68"/>
      <c r="AG1085" s="68"/>
      <c r="AH1085" s="68"/>
      <c r="AI1085" s="68"/>
      <c r="AJ1085" s="68"/>
      <c r="AK1085" s="68"/>
      <c r="AL1085" s="68"/>
      <c r="AM1085" s="68"/>
      <c r="AN1085" s="68"/>
      <c r="AO1085" s="68"/>
      <c r="AP1085" s="68"/>
      <c r="AQ1085" s="68"/>
      <c r="AR1085" s="68"/>
      <c r="AS1085" s="68"/>
      <c r="AT1085" s="68"/>
      <c r="AU1085" s="68"/>
      <c r="AV1085" s="68"/>
      <c r="AW1085" s="68"/>
      <c r="AX1085" s="68"/>
      <c r="AY1085" s="68"/>
      <c r="AZ1085" s="68"/>
      <c r="BA1085" s="68"/>
      <c r="BB1085" s="68"/>
      <c r="BC1085" s="68"/>
      <c r="BD1085" s="68"/>
      <c r="BE1085" s="68"/>
      <c r="BF1085" s="68"/>
      <c r="BG1085" s="68"/>
      <c r="BH1085" s="68"/>
      <c r="BI1085" s="68"/>
      <c r="BJ1085" s="68"/>
      <c r="BK1085" s="68"/>
      <c r="BL1085" s="68"/>
      <c r="BM1085" s="68"/>
      <c r="BN1085" s="68"/>
      <c r="BO1085" s="68"/>
      <c r="BP1085" s="68"/>
      <c r="BQ1085" s="68"/>
      <c r="BR1085" s="68"/>
      <c r="BS1085" s="68"/>
      <c r="BT1085" s="68"/>
      <c r="BU1085" s="68"/>
      <c r="BV1085" s="68"/>
      <c r="BW1085" s="68"/>
      <c r="BX1085" s="68"/>
      <c r="BY1085" s="588"/>
      <c r="BZ1085" s="68"/>
      <c r="CA1085" s="68"/>
      <c r="CB1085" s="68"/>
      <c r="CC1085" s="68"/>
      <c r="CD1085" s="68"/>
      <c r="CE1085" s="68"/>
      <c r="CF1085" s="68"/>
      <c r="CG1085" s="68"/>
      <c r="CH1085" s="68"/>
      <c r="CI1085" s="68"/>
      <c r="CJ1085" s="68"/>
      <c r="CK1085" s="68"/>
      <c r="CL1085" s="155"/>
    </row>
    <row r="1086" spans="1:90" x14ac:dyDescent="0.3">
      <c r="A1086" s="729" t="s">
        <v>303</v>
      </c>
      <c r="B1086" s="68"/>
      <c r="C1086" s="1034"/>
      <c r="D1086" s="1034"/>
      <c r="E1086" s="68"/>
      <c r="F1086" s="68"/>
      <c r="G1086" s="68"/>
      <c r="H1086" s="68"/>
      <c r="I1086" s="68"/>
      <c r="J1086" s="68"/>
      <c r="K1086" s="68"/>
      <c r="L1086" s="68"/>
      <c r="M1086" s="68"/>
      <c r="N1086" s="68"/>
      <c r="O1086" s="68"/>
      <c r="P1086" s="68"/>
      <c r="Q1086" s="68"/>
      <c r="R1086" s="68"/>
      <c r="S1086" s="68"/>
      <c r="T1086" s="68"/>
      <c r="U1086" s="68"/>
      <c r="V1086" s="68"/>
      <c r="W1086" s="68"/>
      <c r="X1086" s="68"/>
      <c r="Y1086" s="68"/>
      <c r="Z1086" s="68"/>
      <c r="AA1086" s="68"/>
      <c r="AB1086" s="68"/>
      <c r="AC1086" s="68"/>
      <c r="AD1086" s="68"/>
      <c r="AE1086" s="68"/>
      <c r="AF1086" s="68"/>
      <c r="AG1086" s="68"/>
      <c r="AH1086" s="68"/>
      <c r="AI1086" s="68"/>
      <c r="AJ1086" s="68"/>
      <c r="AK1086" s="68"/>
      <c r="AL1086" s="68"/>
      <c r="AM1086" s="68"/>
      <c r="AN1086" s="68"/>
      <c r="AO1086" s="68"/>
      <c r="AP1086" s="68"/>
      <c r="AQ1086" s="68"/>
      <c r="AR1086" s="68"/>
      <c r="AS1086" s="68"/>
      <c r="AT1086" s="68"/>
      <c r="AU1086" s="68"/>
      <c r="AV1086" s="68"/>
      <c r="AW1086" s="68"/>
      <c r="AX1086" s="68"/>
      <c r="AY1086" s="68"/>
      <c r="AZ1086" s="68"/>
      <c r="BA1086" s="68"/>
      <c r="BB1086" s="68"/>
      <c r="BC1086" s="68"/>
      <c r="BD1086" s="68"/>
      <c r="BE1086" s="68"/>
      <c r="BF1086" s="68"/>
      <c r="BG1086" s="68"/>
      <c r="BH1086" s="68"/>
      <c r="BI1086" s="68"/>
      <c r="BJ1086" s="68"/>
      <c r="BK1086" s="68"/>
      <c r="BL1086" s="68"/>
      <c r="BM1086" s="68"/>
      <c r="BN1086" s="68"/>
      <c r="BO1086" s="68"/>
      <c r="BP1086" s="68"/>
      <c r="BQ1086" s="68"/>
      <c r="BR1086" s="68"/>
      <c r="BS1086" s="68"/>
      <c r="BT1086" s="68"/>
      <c r="BU1086" s="68"/>
      <c r="BV1086" s="68"/>
      <c r="BW1086" s="68"/>
      <c r="BX1086" s="68"/>
      <c r="BY1086" s="588"/>
      <c r="BZ1086" s="68"/>
      <c r="CA1086" s="68"/>
      <c r="CB1086" s="68"/>
      <c r="CC1086" s="68"/>
      <c r="CD1086" s="68"/>
      <c r="CE1086" s="68"/>
      <c r="CF1086" s="68"/>
      <c r="CG1086" s="68"/>
      <c r="CH1086" s="68"/>
      <c r="CI1086" s="68"/>
      <c r="CJ1086" s="68"/>
      <c r="CK1086" s="68"/>
      <c r="CL1086" s="155"/>
    </row>
    <row r="1087" spans="1:90" x14ac:dyDescent="0.3">
      <c r="A1087" s="729" t="s">
        <v>1286</v>
      </c>
      <c r="B1087" s="68"/>
      <c r="C1087" s="1034"/>
      <c r="D1087" s="1034"/>
      <c r="E1087" s="68"/>
      <c r="F1087" s="68"/>
      <c r="G1087" s="68"/>
      <c r="H1087" s="68"/>
      <c r="I1087" s="68"/>
      <c r="J1087" s="68"/>
      <c r="K1087" s="68"/>
      <c r="L1087" s="68"/>
      <c r="M1087" s="68"/>
      <c r="N1087" s="68"/>
      <c r="O1087" s="68"/>
      <c r="P1087" s="68"/>
      <c r="Q1087" s="68"/>
      <c r="R1087" s="68"/>
      <c r="S1087" s="68"/>
      <c r="T1087" s="68"/>
      <c r="U1087" s="68"/>
      <c r="V1087" s="68"/>
      <c r="W1087" s="68"/>
      <c r="X1087" s="68"/>
      <c r="Y1087" s="68"/>
      <c r="Z1087" s="68"/>
      <c r="AA1087" s="68"/>
      <c r="AB1087" s="68"/>
      <c r="AC1087" s="68"/>
      <c r="AD1087" s="68"/>
      <c r="AE1087" s="68"/>
      <c r="AF1087" s="68"/>
      <c r="AG1087" s="68"/>
      <c r="AH1087" s="68"/>
      <c r="AI1087" s="68"/>
      <c r="AJ1087" s="68"/>
      <c r="AK1087" s="68"/>
      <c r="AL1087" s="68"/>
      <c r="AM1087" s="68"/>
      <c r="AN1087" s="68"/>
      <c r="AO1087" s="68"/>
      <c r="AP1087" s="68"/>
      <c r="AQ1087" s="68"/>
      <c r="AR1087" s="68"/>
      <c r="AS1087" s="68"/>
      <c r="AT1087" s="68"/>
      <c r="AU1087" s="68"/>
      <c r="AV1087" s="68"/>
      <c r="AW1087" s="68"/>
      <c r="AX1087" s="68"/>
      <c r="AY1087" s="68"/>
      <c r="AZ1087" s="68"/>
      <c r="BA1087" s="68"/>
      <c r="BB1087" s="68"/>
      <c r="BC1087" s="68"/>
      <c r="BD1087" s="68"/>
      <c r="BE1087" s="68"/>
      <c r="BF1087" s="68"/>
      <c r="BG1087" s="68"/>
      <c r="BH1087" s="68"/>
      <c r="BI1087" s="68"/>
      <c r="BJ1087" s="68"/>
      <c r="BK1087" s="68"/>
      <c r="BL1087" s="68"/>
      <c r="BM1087" s="68"/>
      <c r="BN1087" s="68"/>
      <c r="BO1087" s="68"/>
      <c r="BP1087" s="68"/>
      <c r="BQ1087" s="68"/>
      <c r="BR1087" s="68"/>
      <c r="BS1087" s="68"/>
      <c r="BT1087" s="68"/>
      <c r="BU1087" s="68"/>
      <c r="BV1087" s="68"/>
      <c r="BW1087" s="68"/>
      <c r="BX1087" s="68"/>
      <c r="BY1087" s="588"/>
      <c r="BZ1087" s="68"/>
      <c r="CA1087" s="68"/>
      <c r="CB1087" s="68"/>
      <c r="CC1087" s="68"/>
      <c r="CD1087" s="68"/>
      <c r="CE1087" s="68"/>
      <c r="CF1087" s="68"/>
      <c r="CG1087" s="68"/>
      <c r="CH1087" s="68"/>
      <c r="CI1087" s="68"/>
      <c r="CJ1087" s="68"/>
      <c r="CK1087" s="68"/>
      <c r="CL1087" s="155"/>
    </row>
    <row r="1088" spans="1:90" x14ac:dyDescent="0.3">
      <c r="A1088" s="729" t="s">
        <v>1287</v>
      </c>
      <c r="B1088" s="68"/>
      <c r="C1088" s="1034"/>
      <c r="D1088" s="1034"/>
      <c r="E1088" s="68"/>
      <c r="F1088" s="68"/>
      <c r="G1088" s="68"/>
      <c r="H1088" s="68"/>
      <c r="I1088" s="68"/>
      <c r="J1088" s="68"/>
      <c r="K1088" s="68"/>
      <c r="L1088" s="68"/>
      <c r="M1088" s="68"/>
      <c r="N1088" s="68"/>
      <c r="O1088" s="68"/>
      <c r="P1088" s="68"/>
      <c r="Q1088" s="68"/>
      <c r="R1088" s="68"/>
      <c r="S1088" s="68"/>
      <c r="T1088" s="68"/>
      <c r="U1088" s="68"/>
      <c r="V1088" s="68"/>
      <c r="W1088" s="68"/>
      <c r="X1088" s="68"/>
      <c r="Y1088" s="68"/>
      <c r="Z1088" s="68"/>
      <c r="AA1088" s="68"/>
      <c r="AB1088" s="68"/>
      <c r="AC1088" s="68"/>
      <c r="AD1088" s="68"/>
      <c r="AE1088" s="68"/>
      <c r="AF1088" s="68"/>
      <c r="AG1088" s="68"/>
      <c r="AH1088" s="68"/>
      <c r="AI1088" s="68"/>
      <c r="AJ1088" s="68"/>
      <c r="AK1088" s="68"/>
      <c r="AL1088" s="68"/>
      <c r="AM1088" s="68"/>
      <c r="AN1088" s="68"/>
      <c r="AO1088" s="68"/>
      <c r="AP1088" s="68"/>
      <c r="AQ1088" s="68"/>
      <c r="AR1088" s="68"/>
      <c r="AS1088" s="68"/>
      <c r="AT1088" s="68"/>
      <c r="AU1088" s="68"/>
      <c r="AV1088" s="68"/>
      <c r="AW1088" s="68"/>
      <c r="AX1088" s="68"/>
      <c r="AY1088" s="68"/>
      <c r="AZ1088" s="68"/>
      <c r="BA1088" s="68"/>
      <c r="BB1088" s="68"/>
      <c r="BC1088" s="68"/>
      <c r="BD1088" s="68"/>
      <c r="BE1088" s="68"/>
      <c r="BF1088" s="68"/>
      <c r="BG1088" s="68"/>
      <c r="BH1088" s="68"/>
      <c r="BI1088" s="68"/>
      <c r="BJ1088" s="68"/>
      <c r="BK1088" s="68"/>
      <c r="BL1088" s="68"/>
      <c r="BM1088" s="68"/>
      <c r="BN1088" s="68"/>
      <c r="BO1088" s="68"/>
      <c r="BP1088" s="68"/>
      <c r="BQ1088" s="68"/>
      <c r="BR1088" s="68"/>
      <c r="BS1088" s="68"/>
      <c r="BT1088" s="68"/>
      <c r="BU1088" s="68"/>
      <c r="BV1088" s="68"/>
      <c r="BW1088" s="68"/>
      <c r="BX1088" s="68"/>
      <c r="BY1088" s="588"/>
      <c r="BZ1088" s="68"/>
      <c r="CA1088" s="68"/>
      <c r="CB1088" s="68"/>
      <c r="CC1088" s="68"/>
      <c r="CD1088" s="68"/>
      <c r="CE1088" s="68"/>
      <c r="CF1088" s="68"/>
      <c r="CG1088" s="68"/>
      <c r="CH1088" s="68"/>
      <c r="CI1088" s="68"/>
      <c r="CJ1088" s="68"/>
      <c r="CK1088" s="68"/>
      <c r="CL1088" s="155"/>
    </row>
    <row r="1089" spans="1:90" x14ac:dyDescent="0.3">
      <c r="A1089" s="729" t="s">
        <v>1288</v>
      </c>
      <c r="B1089" s="68"/>
      <c r="C1089" s="1034"/>
      <c r="D1089" s="1034"/>
      <c r="E1089" s="68"/>
      <c r="F1089" s="68"/>
      <c r="G1089" s="68"/>
      <c r="H1089" s="68"/>
      <c r="I1089" s="68"/>
      <c r="J1089" s="68"/>
      <c r="K1089" s="68"/>
      <c r="L1089" s="68"/>
      <c r="M1089" s="68"/>
      <c r="N1089" s="68"/>
      <c r="O1089" s="68"/>
      <c r="P1089" s="68"/>
      <c r="Q1089" s="68"/>
      <c r="R1089" s="68"/>
      <c r="S1089" s="68"/>
      <c r="T1089" s="68"/>
      <c r="U1089" s="68"/>
      <c r="V1089" s="68"/>
      <c r="W1089" s="68"/>
      <c r="X1089" s="68"/>
      <c r="Y1089" s="68"/>
      <c r="Z1089" s="68"/>
      <c r="AA1089" s="68"/>
      <c r="AB1089" s="68"/>
      <c r="AC1089" s="68"/>
      <c r="AD1089" s="68"/>
      <c r="AE1089" s="68"/>
      <c r="AF1089" s="68"/>
      <c r="AG1089" s="68"/>
      <c r="AH1089" s="68"/>
      <c r="AI1089" s="68"/>
      <c r="AJ1089" s="68"/>
      <c r="AK1089" s="68"/>
      <c r="AL1089" s="68"/>
      <c r="AM1089" s="68"/>
      <c r="AN1089" s="68"/>
      <c r="AO1089" s="68"/>
      <c r="AP1089" s="68"/>
      <c r="AQ1089" s="68"/>
      <c r="AR1089" s="68"/>
      <c r="AS1089" s="68"/>
      <c r="AT1089" s="68"/>
      <c r="AU1089" s="68"/>
      <c r="AV1089" s="68"/>
      <c r="AW1089" s="68"/>
      <c r="AX1089" s="68"/>
      <c r="AY1089" s="68"/>
      <c r="AZ1089" s="68"/>
      <c r="BA1089" s="68"/>
      <c r="BB1089" s="68"/>
      <c r="BC1089" s="68"/>
      <c r="BD1089" s="68"/>
      <c r="BE1089" s="68"/>
      <c r="BF1089" s="68"/>
      <c r="BG1089" s="68"/>
      <c r="BH1089" s="68"/>
      <c r="BI1089" s="68"/>
      <c r="BJ1089" s="68"/>
      <c r="BK1089" s="68"/>
      <c r="BL1089" s="68"/>
      <c r="BM1089" s="68"/>
      <c r="BN1089" s="68"/>
      <c r="BO1089" s="68"/>
      <c r="BP1089" s="68"/>
      <c r="BQ1089" s="68"/>
      <c r="BR1089" s="68"/>
      <c r="BS1089" s="68"/>
      <c r="BT1089" s="68"/>
      <c r="BU1089" s="68"/>
      <c r="BV1089" s="68"/>
      <c r="BW1089" s="68"/>
      <c r="BX1089" s="68"/>
      <c r="BY1089" s="588"/>
      <c r="BZ1089" s="68"/>
      <c r="CA1089" s="68"/>
      <c r="CB1089" s="68"/>
      <c r="CC1089" s="68"/>
      <c r="CD1089" s="68"/>
      <c r="CE1089" s="68"/>
      <c r="CF1089" s="68"/>
      <c r="CG1089" s="68"/>
      <c r="CH1089" s="68"/>
      <c r="CI1089" s="68"/>
      <c r="CJ1089" s="68"/>
      <c r="CK1089" s="68"/>
      <c r="CL1089" s="155"/>
    </row>
    <row r="1090" spans="1:90" x14ac:dyDescent="0.3">
      <c r="A1090" s="629"/>
      <c r="B1090" s="68"/>
      <c r="C1090" s="1034"/>
      <c r="D1090" s="1034"/>
      <c r="E1090" s="68"/>
      <c r="F1090" s="68"/>
      <c r="G1090" s="68"/>
      <c r="H1090" s="68"/>
      <c r="I1090" s="68"/>
      <c r="J1090" s="68"/>
      <c r="K1090" s="68"/>
      <c r="L1090" s="68"/>
      <c r="M1090" s="68"/>
      <c r="N1090" s="68"/>
      <c r="O1090" s="68"/>
      <c r="P1090" s="68"/>
      <c r="Q1090" s="68"/>
      <c r="R1090" s="68"/>
      <c r="S1090" s="68"/>
      <c r="T1090" s="68"/>
      <c r="U1090" s="68"/>
      <c r="V1090" s="68"/>
      <c r="W1090" s="68"/>
      <c r="X1090" s="68"/>
      <c r="Y1090" s="68"/>
      <c r="Z1090" s="68"/>
      <c r="AA1090" s="68"/>
      <c r="AB1090" s="68"/>
      <c r="AC1090" s="68"/>
      <c r="AD1090" s="68"/>
      <c r="AE1090" s="68"/>
      <c r="AF1090" s="68"/>
      <c r="AG1090" s="68"/>
      <c r="AH1090" s="68"/>
      <c r="AI1090" s="68"/>
      <c r="AJ1090" s="68"/>
      <c r="AK1090" s="68"/>
      <c r="AL1090" s="68"/>
      <c r="AM1090" s="68"/>
      <c r="AN1090" s="68"/>
      <c r="AO1090" s="68"/>
      <c r="AP1090" s="68"/>
      <c r="AQ1090" s="68"/>
      <c r="AR1090" s="68"/>
      <c r="AS1090" s="68"/>
      <c r="AT1090" s="68"/>
      <c r="AU1090" s="68"/>
      <c r="AV1090" s="68"/>
      <c r="AW1090" s="68"/>
      <c r="AX1090" s="68"/>
      <c r="AY1090" s="68"/>
      <c r="AZ1090" s="68"/>
      <c r="BA1090" s="68"/>
      <c r="BB1090" s="68"/>
      <c r="BC1090" s="68"/>
      <c r="BD1090" s="68"/>
      <c r="BE1090" s="68"/>
      <c r="BF1090" s="68"/>
      <c r="BG1090" s="68"/>
      <c r="BH1090" s="68"/>
      <c r="BI1090" s="68"/>
      <c r="BJ1090" s="68"/>
      <c r="BK1090" s="68"/>
      <c r="BL1090" s="68"/>
      <c r="BM1090" s="68"/>
      <c r="BN1090" s="68"/>
      <c r="BO1090" s="68"/>
      <c r="BP1090" s="68"/>
      <c r="BQ1090" s="68"/>
      <c r="BR1090" s="68"/>
      <c r="BS1090" s="68"/>
      <c r="BT1090" s="68"/>
      <c r="BU1090" s="68"/>
      <c r="BV1090" s="68"/>
      <c r="BW1090" s="68"/>
      <c r="BX1090" s="68"/>
      <c r="BY1090" s="588"/>
      <c r="BZ1090" s="68"/>
      <c r="CA1090" s="68"/>
      <c r="CB1090" s="68"/>
      <c r="CC1090" s="68"/>
      <c r="CD1090" s="68"/>
      <c r="CE1090" s="68"/>
      <c r="CF1090" s="68"/>
      <c r="CG1090" s="68"/>
      <c r="CH1090" s="68"/>
      <c r="CI1090" s="68"/>
      <c r="CJ1090" s="68"/>
      <c r="CK1090" s="68"/>
      <c r="CL1090" s="155"/>
    </row>
    <row r="1091" spans="1:90" x14ac:dyDescent="0.3">
      <c r="A1091" s="253"/>
      <c r="B1091" s="68"/>
      <c r="C1091" s="1034"/>
      <c r="D1091" s="1034"/>
      <c r="E1091" s="68"/>
      <c r="F1091" s="68"/>
      <c r="G1091" s="68"/>
      <c r="H1091" s="68"/>
      <c r="I1091" s="68"/>
      <c r="J1091" s="68"/>
      <c r="K1091" s="68"/>
      <c r="L1091" s="68"/>
      <c r="M1091" s="68"/>
      <c r="N1091" s="68"/>
      <c r="O1091" s="68"/>
      <c r="P1091" s="68"/>
      <c r="Q1091" s="68"/>
      <c r="R1091" s="68"/>
      <c r="S1091" s="68"/>
      <c r="T1091" s="68"/>
      <c r="U1091" s="68"/>
      <c r="V1091" s="68"/>
      <c r="W1091" s="68"/>
      <c r="X1091" s="68"/>
      <c r="Y1091" s="68"/>
      <c r="Z1091" s="68"/>
      <c r="AA1091" s="68"/>
      <c r="AB1091" s="68"/>
      <c r="AC1091" s="68"/>
      <c r="AD1091" s="68"/>
      <c r="AE1091" s="68"/>
      <c r="AF1091" s="68"/>
      <c r="AG1091" s="68"/>
      <c r="AH1091" s="68"/>
      <c r="AI1091" s="68"/>
      <c r="AJ1091" s="68"/>
      <c r="AK1091" s="68"/>
      <c r="AL1091" s="68"/>
      <c r="AM1091" s="68"/>
      <c r="AN1091" s="68"/>
      <c r="AO1091" s="68"/>
      <c r="AP1091" s="68"/>
      <c r="AQ1091" s="68"/>
      <c r="AR1091" s="68"/>
      <c r="AS1091" s="68"/>
      <c r="AT1091" s="68"/>
      <c r="AU1091" s="68"/>
      <c r="AV1091" s="68"/>
      <c r="AW1091" s="68"/>
      <c r="AX1091" s="68"/>
      <c r="AY1091" s="68"/>
      <c r="AZ1091" s="68"/>
      <c r="BA1091" s="68"/>
      <c r="BB1091" s="68"/>
      <c r="BC1091" s="68"/>
      <c r="BD1091" s="68"/>
      <c r="BE1091" s="68"/>
      <c r="BF1091" s="68"/>
      <c r="BG1091" s="68"/>
      <c r="BH1091" s="68"/>
      <c r="BI1091" s="68"/>
      <c r="BJ1091" s="68"/>
      <c r="BK1091" s="68"/>
      <c r="BL1091" s="68"/>
      <c r="BM1091" s="68"/>
      <c r="BN1091" s="68"/>
      <c r="BO1091" s="68"/>
      <c r="BP1091" s="68"/>
      <c r="BQ1091" s="68"/>
      <c r="BR1091" s="68"/>
      <c r="BS1091" s="68"/>
      <c r="BT1091" s="68"/>
      <c r="BU1091" s="68"/>
      <c r="BV1091" s="68"/>
      <c r="BW1091" s="68"/>
      <c r="BX1091" s="68"/>
      <c r="BY1091" s="588"/>
      <c r="BZ1091" s="68"/>
      <c r="CA1091" s="68"/>
      <c r="CB1091" s="68"/>
      <c r="CC1091" s="68"/>
      <c r="CD1091" s="68"/>
      <c r="CE1091" s="68"/>
      <c r="CF1091" s="68"/>
      <c r="CG1091" s="68"/>
      <c r="CH1091" s="68"/>
      <c r="CI1091" s="68"/>
      <c r="CJ1091" s="68"/>
      <c r="CK1091" s="68"/>
      <c r="CL1091" s="155"/>
    </row>
    <row r="1092" spans="1:90" x14ac:dyDescent="0.3">
      <c r="A1092" s="742" t="s">
        <v>933</v>
      </c>
      <c r="B1092" s="561"/>
      <c r="C1092" s="737"/>
      <c r="D1092" s="737"/>
      <c r="E1092" s="561"/>
      <c r="F1092" s="561"/>
      <c r="G1092" s="561"/>
      <c r="H1092" s="561"/>
      <c r="I1092" s="561"/>
      <c r="J1092" s="561"/>
      <c r="K1092" s="561"/>
      <c r="L1092" s="561"/>
      <c r="M1092" s="561"/>
      <c r="N1092" s="561"/>
      <c r="O1092" s="561"/>
      <c r="P1092" s="561"/>
      <c r="Q1092" s="561"/>
      <c r="R1092" s="561"/>
      <c r="S1092" s="561"/>
      <c r="T1092" s="561"/>
      <c r="U1092" s="561"/>
      <c r="V1092" s="561"/>
      <c r="W1092" s="561"/>
      <c r="X1092" s="561"/>
      <c r="Y1092" s="561"/>
      <c r="Z1092" s="561"/>
      <c r="AA1092" s="561"/>
      <c r="AB1092" s="561"/>
      <c r="AC1092" s="561"/>
      <c r="AD1092" s="561"/>
      <c r="AE1092" s="561"/>
      <c r="AF1092" s="561"/>
      <c r="AG1092" s="561"/>
      <c r="AH1092" s="561"/>
      <c r="AI1092" s="561"/>
      <c r="AJ1092" s="561"/>
      <c r="AK1092" s="561"/>
      <c r="AL1092" s="561"/>
      <c r="AM1092" s="561"/>
      <c r="AN1092" s="561"/>
      <c r="AO1092" s="561"/>
      <c r="AP1092" s="561"/>
      <c r="AQ1092" s="561"/>
      <c r="AR1092" s="561"/>
      <c r="AS1092" s="561"/>
      <c r="AT1092" s="561"/>
      <c r="AU1092" s="561"/>
      <c r="AV1092" s="561"/>
      <c r="AW1092" s="561"/>
      <c r="AX1092" s="561"/>
      <c r="AY1092" s="561"/>
      <c r="AZ1092" s="561"/>
      <c r="BA1092" s="561"/>
      <c r="BB1092" s="561"/>
      <c r="BC1092" s="561"/>
      <c r="BD1092" s="561"/>
      <c r="BE1092" s="561"/>
      <c r="BF1092" s="561"/>
      <c r="BG1092" s="561"/>
      <c r="BH1092" s="561"/>
      <c r="BI1092" s="561"/>
      <c r="BJ1092" s="561"/>
      <c r="BK1092" s="561"/>
      <c r="BL1092" s="561"/>
      <c r="BM1092" s="561"/>
      <c r="BN1092" s="561"/>
      <c r="BO1092" s="561"/>
      <c r="BP1092" s="561"/>
      <c r="BQ1092" s="561"/>
      <c r="BR1092" s="561"/>
      <c r="BS1092" s="561"/>
      <c r="BT1092" s="561"/>
      <c r="BU1092" s="561"/>
      <c r="BV1092" s="561"/>
      <c r="BW1092" s="561"/>
      <c r="BX1092" s="561"/>
      <c r="BY1092" s="738"/>
      <c r="BZ1092" s="561"/>
      <c r="CA1092" s="561"/>
      <c r="CB1092" s="561"/>
      <c r="CC1092" s="561"/>
      <c r="CD1092" s="561"/>
      <c r="CE1092" s="561"/>
      <c r="CF1092" s="561"/>
      <c r="CG1092" s="561"/>
      <c r="CH1092" s="561"/>
      <c r="CI1092" s="561"/>
      <c r="CJ1092" s="561"/>
      <c r="CK1092" s="739"/>
      <c r="CL1092" s="155"/>
    </row>
    <row r="1093" spans="1:90" x14ac:dyDescent="0.3">
      <c r="A1093" s="743" t="s">
        <v>934</v>
      </c>
      <c r="B1093" s="68"/>
      <c r="C1093" s="1035"/>
      <c r="D1093" s="1035"/>
      <c r="E1093" s="745"/>
      <c r="F1093" s="745"/>
      <c r="G1093" s="745"/>
      <c r="H1093" s="745"/>
      <c r="I1093" s="745"/>
      <c r="J1093" s="745"/>
      <c r="K1093" s="745"/>
      <c r="L1093" s="745"/>
      <c r="M1093" s="745"/>
      <c r="N1093" s="745"/>
      <c r="O1093" s="745"/>
      <c r="P1093" s="745"/>
      <c r="Q1093" s="745"/>
      <c r="R1093" s="745"/>
      <c r="S1093" s="745"/>
      <c r="T1093" s="745"/>
      <c r="U1093" s="745"/>
      <c r="V1093" s="745"/>
      <c r="W1093" s="745"/>
      <c r="X1093" s="745"/>
      <c r="Y1093" s="745"/>
      <c r="Z1093" s="745"/>
      <c r="AA1093" s="745"/>
      <c r="AB1093" s="745"/>
      <c r="AC1093" s="745"/>
      <c r="AD1093" s="745"/>
      <c r="AE1093" s="745"/>
      <c r="AF1093" s="745"/>
      <c r="AG1093" s="745"/>
      <c r="AH1093" s="1093">
        <v>43048</v>
      </c>
      <c r="AI1093" s="1093">
        <v>43139</v>
      </c>
      <c r="AJ1093" s="1093">
        <v>43139</v>
      </c>
      <c r="AK1093" s="1093">
        <v>43230</v>
      </c>
      <c r="AL1093" s="1093">
        <v>43328</v>
      </c>
      <c r="AM1093" s="1093">
        <v>43419</v>
      </c>
      <c r="AN1093" s="1093">
        <v>43510</v>
      </c>
      <c r="AO1093" s="1093">
        <v>43510</v>
      </c>
      <c r="AP1093" s="1093">
        <v>43601</v>
      </c>
      <c r="AQ1093" s="1093">
        <v>43692</v>
      </c>
      <c r="AR1093" s="1093">
        <v>43783</v>
      </c>
      <c r="AS1093" s="1093">
        <v>43874</v>
      </c>
      <c r="AT1093" s="1093">
        <v>43874</v>
      </c>
      <c r="AU1093" s="1093">
        <v>43972</v>
      </c>
      <c r="AV1093" s="1093">
        <v>44062</v>
      </c>
      <c r="AW1093" s="1093">
        <v>44153</v>
      </c>
      <c r="AX1093" s="1093">
        <v>44251</v>
      </c>
      <c r="AY1093" s="1093">
        <v>44251</v>
      </c>
      <c r="AZ1093" s="1093">
        <v>44342</v>
      </c>
      <c r="BA1093" s="1093">
        <v>44426</v>
      </c>
      <c r="BB1093" s="1093">
        <v>44517</v>
      </c>
      <c r="BC1093" s="1093">
        <v>44608</v>
      </c>
      <c r="BD1093" s="1093">
        <v>44608</v>
      </c>
      <c r="BE1093" s="1093">
        <v>44706</v>
      </c>
      <c r="BF1093" s="1093">
        <v>44797</v>
      </c>
      <c r="BG1093" s="1093">
        <v>44881</v>
      </c>
      <c r="BH1093" s="1093">
        <v>44979</v>
      </c>
      <c r="BI1093" s="1093">
        <v>44979</v>
      </c>
      <c r="BJ1093" s="1093">
        <v>45070</v>
      </c>
      <c r="BK1093" s="1093">
        <v>45161</v>
      </c>
      <c r="BL1093" s="1093">
        <v>45251</v>
      </c>
      <c r="BM1093" s="1093">
        <v>45343</v>
      </c>
      <c r="BN1093" s="1093">
        <v>45343</v>
      </c>
      <c r="BO1093" s="1093">
        <v>45434</v>
      </c>
      <c r="BP1093" s="1093">
        <v>45532</v>
      </c>
      <c r="BQ1093" s="1093">
        <v>45616</v>
      </c>
      <c r="BR1093" s="1093">
        <v>45714</v>
      </c>
      <c r="BS1093" s="1093">
        <v>45714</v>
      </c>
      <c r="BT1093" s="1093">
        <v>45805</v>
      </c>
      <c r="BU1093" s="1093">
        <v>45896</v>
      </c>
      <c r="BV1093" s="1093">
        <v>45980</v>
      </c>
      <c r="BW1093" s="1093">
        <v>46078</v>
      </c>
      <c r="BX1093" s="1093">
        <v>46078</v>
      </c>
      <c r="BY1093" s="1094">
        <v>46162</v>
      </c>
      <c r="BZ1093" s="745"/>
      <c r="CA1093" s="745"/>
      <c r="CB1093" s="745"/>
      <c r="CC1093" s="745"/>
      <c r="CD1093" s="745"/>
      <c r="CE1093" s="745"/>
      <c r="CF1093" s="745"/>
      <c r="CG1093" s="745"/>
      <c r="CH1093" s="745"/>
      <c r="CI1093" s="745"/>
      <c r="CJ1093" s="745"/>
      <c r="CK1093" s="747"/>
      <c r="CL1093" s="155"/>
    </row>
    <row r="1094" spans="1:90" x14ac:dyDescent="0.3">
      <c r="A1094" s="743" t="s">
        <v>935</v>
      </c>
      <c r="B1094" s="68"/>
      <c r="C1094" s="1036"/>
      <c r="D1094" s="1036"/>
      <c r="E1094" s="748"/>
      <c r="F1094" s="748"/>
      <c r="G1094" s="748"/>
      <c r="H1094" s="748"/>
      <c r="I1094" s="748"/>
      <c r="J1094" s="748"/>
      <c r="K1094" s="748"/>
      <c r="L1094" s="748"/>
      <c r="M1094" s="748"/>
      <c r="N1094" s="748"/>
      <c r="O1094" s="748"/>
      <c r="P1094" s="748"/>
      <c r="Q1094" s="748"/>
      <c r="R1094" s="748"/>
      <c r="S1094" s="748"/>
      <c r="T1094" s="748"/>
      <c r="U1094" s="748"/>
      <c r="V1094" s="748"/>
      <c r="W1094" s="748"/>
      <c r="X1094" s="748"/>
      <c r="Y1094" s="748"/>
      <c r="Z1094" s="748"/>
      <c r="AA1094" s="748"/>
      <c r="AB1094" s="748"/>
      <c r="AC1094" s="748"/>
      <c r="AD1094" s="748"/>
      <c r="AE1094" s="748"/>
      <c r="AF1094" s="748"/>
      <c r="AG1094" s="748"/>
      <c r="AH1094" s="748" t="str">
        <f>AI$5</f>
        <v>Q4-2018</v>
      </c>
      <c r="AI1094" s="748" t="str">
        <f>AK$5</f>
        <v>Q1-2019</v>
      </c>
      <c r="AJ1094" s="748" t="str">
        <f>AK$5</f>
        <v>Q1-2019</v>
      </c>
      <c r="AK1094" s="748" t="str">
        <f>AL$5</f>
        <v>Q2-2019</v>
      </c>
      <c r="AL1094" s="748" t="str">
        <f>AM$5</f>
        <v>Q3-2019</v>
      </c>
      <c r="AM1094" s="748" t="str">
        <f>AN$5</f>
        <v>Q4-2019</v>
      </c>
      <c r="AN1094" s="748" t="str">
        <f>AP$5</f>
        <v>Q1-2020</v>
      </c>
      <c r="AO1094" s="748" t="str">
        <f>AP$5</f>
        <v>Q1-2020</v>
      </c>
      <c r="AP1094" s="748" t="str">
        <f>AQ$5</f>
        <v>Q2-2020</v>
      </c>
      <c r="AQ1094" s="748" t="str">
        <f>AR$5</f>
        <v>Q3-2020</v>
      </c>
      <c r="AR1094" s="748" t="str">
        <f>AS$5</f>
        <v>Q4-2020</v>
      </c>
      <c r="AS1094" s="748" t="str">
        <f>AU$5</f>
        <v>Q1-2021</v>
      </c>
      <c r="AT1094" s="748" t="str">
        <f>AU$5</f>
        <v>Q1-2021</v>
      </c>
      <c r="AU1094" s="748" t="str">
        <f>AV$5</f>
        <v>Q2-2021</v>
      </c>
      <c r="AV1094" s="748" t="str">
        <f>AW$5</f>
        <v>Q3-2021</v>
      </c>
      <c r="AW1094" s="748" t="str">
        <f>AX$5</f>
        <v>Q4-2021</v>
      </c>
      <c r="AX1094" s="748" t="str">
        <f>AZ$5</f>
        <v>Q1-2022</v>
      </c>
      <c r="AY1094" s="748" t="str">
        <f>AZ$5</f>
        <v>Q1-2022</v>
      </c>
      <c r="AZ1094" s="748" t="str">
        <f>BA$5</f>
        <v>Q2-2022</v>
      </c>
      <c r="BA1094" s="748" t="str">
        <f>BB$5</f>
        <v>Q3-2022</v>
      </c>
      <c r="BB1094" s="748" t="str">
        <f>BC$5</f>
        <v>Q4-2022</v>
      </c>
      <c r="BC1094" s="748" t="str">
        <f>BE$5</f>
        <v>Q1-2023</v>
      </c>
      <c r="BD1094" s="748" t="str">
        <f>BE$5</f>
        <v>Q1-2023</v>
      </c>
      <c r="BE1094" s="748" t="str">
        <f>BF$5</f>
        <v>Q2-2023</v>
      </c>
      <c r="BF1094" s="748" t="str">
        <f>BG$5</f>
        <v>Q3-2023</v>
      </c>
      <c r="BG1094" s="748" t="str">
        <f>BH$5</f>
        <v>Q4-2023</v>
      </c>
      <c r="BH1094" s="748" t="str">
        <f>BJ$5</f>
        <v>Q1-2024</v>
      </c>
      <c r="BI1094" s="748" t="str">
        <f>BJ$5</f>
        <v>Q1-2024</v>
      </c>
      <c r="BJ1094" s="748" t="str">
        <f>BK$5</f>
        <v>Q2-2024</v>
      </c>
      <c r="BK1094" s="748" t="str">
        <f>BL$5</f>
        <v>Q3-2024</v>
      </c>
      <c r="BL1094" s="748" t="str">
        <f>BM$5</f>
        <v>Q4-2024</v>
      </c>
      <c r="BM1094" s="748" t="str">
        <f>BO$5</f>
        <v>Q1-2025</v>
      </c>
      <c r="BN1094" s="748" t="str">
        <f>BO$5</f>
        <v>Q1-2025</v>
      </c>
      <c r="BO1094" s="748" t="str">
        <f>BP$5</f>
        <v>Q2-2025</v>
      </c>
      <c r="BP1094" s="748" t="str">
        <f>BQ$5</f>
        <v>Q3-2025</v>
      </c>
      <c r="BQ1094" s="748" t="str">
        <f>BR$5</f>
        <v>Q4-2025</v>
      </c>
      <c r="BR1094" s="748" t="str">
        <f>BT$5</f>
        <v>Q1-2026</v>
      </c>
      <c r="BS1094" s="748" t="str">
        <f>BT$5</f>
        <v>Q1-2026</v>
      </c>
      <c r="BT1094" s="748" t="str">
        <f>BU$5</f>
        <v>Q2-2026</v>
      </c>
      <c r="BU1094" s="748" t="str">
        <f>BV$5</f>
        <v>Q3-2026</v>
      </c>
      <c r="BV1094" s="748" t="str">
        <f>BW$5</f>
        <v>Q4-2026</v>
      </c>
      <c r="BW1094" s="748" t="str">
        <f>BY$5</f>
        <v>Q1-2027</v>
      </c>
      <c r="BX1094" s="748" t="str">
        <f>BY$5</f>
        <v>Q1-2027</v>
      </c>
      <c r="BY1094" s="749" t="str">
        <f>BZ$5</f>
        <v>Q2-2027</v>
      </c>
      <c r="BZ1094" s="748"/>
      <c r="CA1094" s="748"/>
      <c r="CB1094" s="748"/>
      <c r="CC1094" s="748"/>
      <c r="CD1094" s="748"/>
      <c r="CE1094" s="748"/>
      <c r="CF1094" s="748"/>
      <c r="CG1094" s="748"/>
      <c r="CH1094" s="748"/>
      <c r="CI1094" s="748"/>
      <c r="CJ1094" s="748"/>
      <c r="CK1094" s="750"/>
      <c r="CL1094" s="155"/>
    </row>
    <row r="1095" spans="1:90" x14ac:dyDescent="0.3">
      <c r="A1095" s="793" t="s">
        <v>940</v>
      </c>
      <c r="B1095" s="1055" t="s">
        <v>300</v>
      </c>
      <c r="C1095" s="1037"/>
      <c r="D1095" s="1037"/>
      <c r="E1095" s="563"/>
      <c r="F1095" s="563"/>
      <c r="G1095" s="563"/>
      <c r="H1095" s="563"/>
      <c r="I1095" s="563"/>
      <c r="J1095" s="563"/>
      <c r="K1095" s="563"/>
      <c r="L1095" s="563"/>
      <c r="M1095" s="563"/>
      <c r="N1095" s="563"/>
      <c r="O1095" s="563"/>
      <c r="P1095" s="563"/>
      <c r="Q1095" s="563"/>
      <c r="R1095" s="563"/>
      <c r="S1095" s="563"/>
      <c r="T1095" s="563"/>
      <c r="U1095" s="563"/>
      <c r="V1095" s="563"/>
      <c r="W1095" s="563"/>
      <c r="X1095" s="563"/>
      <c r="Y1095" s="563"/>
      <c r="Z1095" s="563"/>
      <c r="AA1095" s="563"/>
      <c r="AB1095" s="563"/>
      <c r="AC1095" s="563"/>
      <c r="AD1095" s="563"/>
      <c r="AE1095" s="563"/>
      <c r="AF1095" s="563"/>
      <c r="AG1095" s="563"/>
      <c r="AH1095" s="563">
        <f>IF(ISBLANK(AH$1094),"N/A",IF(COUNTIFS(GD_Item_FiscalPeriod,AH$1094,GD_Item_Name,$B1095,GD_Update_Date,AH$1093)=0,"NR",SUMIFS(GD_Guidance_Low,GD_Item_Name,$B1095,GD_Item_FiscalPeriod,AH$1094,GD_Update_Date,AH$1093)))</f>
        <v>2597</v>
      </c>
      <c r="AI1095" s="563">
        <f>IF(ISBLANK(AI$1094),"N/A",IF(COUNTIFS(GD_Item_FiscalPeriod,AI$1094,GD_Item_Name,$B1095,GD_Update_Date,AI$1093)=0,"NR",SUMIFS(GD_Guidance_Low,GD_Item_Name,$B1095,GD_Item_FiscalPeriod,AI$1094,GD_Update_Date,AI$1093)))</f>
        <v>2842</v>
      </c>
      <c r="AJ1095" s="563">
        <f>IF(ISBLANK(AJ$1094),"N/A",IF(COUNTIFS(GD_Item_FiscalPeriod,AJ$1094,GD_Item_Name,$B1095,GD_Update_Date,AJ$1093)=0,"NR",SUMIFS(GD_Guidance_Low,GD_Item_Name,$B1095,GD_Item_FiscalPeriod,AJ$1094,GD_Update_Date,AJ$1093)))</f>
        <v>2842</v>
      </c>
      <c r="AK1095" s="563">
        <f>IF(ISBLANK(AK$1094),"N/A",IF(COUNTIFS(GD_Item_FiscalPeriod,AK$1094,GD_Item_Name,$B1095,GD_Update_Date,AK$1093)=0,"NR",SUMIFS(GD_Guidance_Low,GD_Item_Name,$B1095,GD_Item_FiscalPeriod,AK$1094,GD_Update_Date,AK$1093)))</f>
        <v>3038</v>
      </c>
      <c r="AL1095" s="563">
        <f>IF(ISBLANK(AL$1094),"N/A",IF(COUNTIFS(GD_Item_FiscalPeriod,AL$1094,GD_Item_Name,$B1095,GD_Update_Date,AL$1093)=0,"NR",SUMIFS(GD_Guidance_Low,GD_Item_Name,$B1095,GD_Item_FiscalPeriod,AL$1094,GD_Update_Date,AL$1093)))</f>
        <v>3185</v>
      </c>
      <c r="AM1095" s="563">
        <f>IF(ISBLANK(AM$1094),"N/A",IF(COUNTIFS(GD_Item_FiscalPeriod,AM$1094,GD_Item_Name,$B1095,GD_Update_Date,AM$1093)=0,"NR",SUMIFS(GD_Guidance_Low,GD_Item_Name,$B1095,GD_Item_FiscalPeriod,AM$1094,GD_Update_Date,AM$1093)))</f>
        <v>2646</v>
      </c>
      <c r="AN1095" s="563">
        <f>IF(ISBLANK(AN$1094),"N/A",IF(COUNTIFS(GD_Item_FiscalPeriod,AN$1094,GD_Item_Name,$B1095,GD_Update_Date,AN$1093)=0,"NR",SUMIFS(GD_Guidance_Low,GD_Item_Name,$B1095,GD_Item_FiscalPeriod,AN$1094,GD_Update_Date,AN$1093)))</f>
        <v>2156</v>
      </c>
      <c r="AO1095" s="563">
        <f>IF(ISBLANK(AO$1094),"N/A",IF(COUNTIFS(GD_Item_FiscalPeriod,AO$1094,GD_Item_Name,$B1095,GD_Update_Date,AO$1093)=0,"NR",SUMIFS(GD_Guidance_Low,GD_Item_Name,$B1095,GD_Item_FiscalPeriod,AO$1094,GD_Update_Date,AO$1093)))</f>
        <v>2156</v>
      </c>
      <c r="AP1095" s="563">
        <f>IF(ISBLANK(AP$1094),"N/A",IF(COUNTIFS(GD_Item_FiscalPeriod,AP$1094,GD_Item_Name,$B1095,GD_Update_Date,AP$1093)=0,"NR",SUMIFS(GD_Guidance_Low,GD_Item_Name,$B1095,GD_Item_FiscalPeriod,AP$1094,GD_Update_Date,AP$1093)))</f>
        <v>2499</v>
      </c>
      <c r="AQ1095" s="563">
        <f>IF(ISBLANK(AQ$1094),"N/A",IF(COUNTIFS(GD_Item_FiscalPeriod,AQ$1094,GD_Item_Name,$B1095,GD_Update_Date,AQ$1093)=0,"NR",SUMIFS(GD_Guidance_Low,GD_Item_Name,$B1095,GD_Item_FiscalPeriod,AQ$1094,GD_Update_Date,AQ$1093)))</f>
        <v>2842</v>
      </c>
      <c r="AR1095" s="563">
        <f>IF(ISBLANK(AR$1094),"N/A",IF(COUNTIFS(GD_Item_FiscalPeriod,AR$1094,GD_Item_Name,$B1095,GD_Update_Date,AR$1093)=0,"NR",SUMIFS(GD_Guidance_Low,GD_Item_Name,$B1095,GD_Item_FiscalPeriod,AR$1094,GD_Update_Date,AR$1093)))</f>
        <v>2891</v>
      </c>
      <c r="AS1095" s="563">
        <f>IF(ISBLANK(AS$1094),"N/A",IF(COUNTIFS(GD_Item_FiscalPeriod,AS$1094,GD_Item_Name,$B1095,GD_Update_Date,AS$1093)=0,"NR",SUMIFS(GD_Guidance_Low,GD_Item_Name,$B1095,GD_Item_FiscalPeriod,AS$1094,GD_Update_Date,AS$1093)))</f>
        <v>2940</v>
      </c>
      <c r="AT1095" s="563">
        <f>IF(ISBLANK(AT$1094),"N/A",IF(COUNTIFS(GD_Item_FiscalPeriod,AT$1094,GD_Item_Name,$B1095,GD_Update_Date,AT$1093)=0,"NR",SUMIFS(GD_Guidance_Low,GD_Item_Name,$B1095,GD_Item_FiscalPeriod,AT$1094,GD_Update_Date,AT$1093)))</f>
        <v>2940</v>
      </c>
      <c r="AU1095" s="563">
        <f>IF(ISBLANK(AU$1094),"N/A",IF(COUNTIFS(GD_Item_FiscalPeriod,AU$1094,GD_Item_Name,$B1095,GD_Update_Date,AU$1093)=0,"NR",SUMIFS(GD_Guidance_Low,GD_Item_Name,$B1095,GD_Item_FiscalPeriod,AU$1094,GD_Update_Date,AU$1093)))</f>
        <v>3577</v>
      </c>
      <c r="AV1095" s="563">
        <f>IF(ISBLANK(AV$1094),"N/A",IF(COUNTIFS(GD_Item_FiscalPeriod,AV$1094,GD_Item_Name,$B1095,GD_Update_Date,AV$1093)=0,"NR",SUMIFS(GD_Guidance_Low,GD_Item_Name,$B1095,GD_Item_FiscalPeriod,AV$1094,GD_Update_Date,AV$1093)))</f>
        <v>4312</v>
      </c>
      <c r="AW1095" s="563">
        <f>IF(ISBLANK(AW$1094),"N/A",IF(COUNTIFS(GD_Item_FiscalPeriod,AW$1094,GD_Item_Name,$B1095,GD_Update_Date,AW$1093)=0,"NR",SUMIFS(GD_Guidance_Low,GD_Item_Name,$B1095,GD_Item_FiscalPeriod,AW$1094,GD_Update_Date,AW$1093)))</f>
        <v>4704</v>
      </c>
      <c r="AX1095" s="563">
        <f>IF(ISBLANK(AX$1094),"N/A",IF(COUNTIFS(GD_Item_FiscalPeriod,AX$1094,GD_Item_Name,$B1095,GD_Update_Date,AX$1093)=0,"NR",SUMIFS(GD_Guidance_Low,GD_Item_Name,$B1095,GD_Item_FiscalPeriod,AX$1094,GD_Update_Date,AX$1093)))</f>
        <v>5194</v>
      </c>
      <c r="AY1095" s="563">
        <f>IF(ISBLANK(AY$1094),"N/A",IF(COUNTIFS(GD_Item_FiscalPeriod,AY$1094,GD_Item_Name,$B1095,GD_Update_Date,AY$1093)=0,"NR",SUMIFS(GD_Guidance_Low,GD_Item_Name,$B1095,GD_Item_FiscalPeriod,AY$1094,GD_Update_Date,AY$1093)))</f>
        <v>5194</v>
      </c>
      <c r="AZ1095" s="563">
        <f>IF(ISBLANK(AZ$1094),"N/A",IF(COUNTIFS(GD_Item_FiscalPeriod,AZ$1094,GD_Item_Name,$B1095,GD_Update_Date,AZ$1093)=0,"NR",SUMIFS(GD_Guidance_Low,GD_Item_Name,$B1095,GD_Item_FiscalPeriod,AZ$1094,GD_Update_Date,AZ$1093)))</f>
        <v>6174</v>
      </c>
      <c r="BA1095" s="563">
        <f>IF(ISBLANK(BA$1094),"N/A",IF(COUNTIFS(GD_Item_FiscalPeriod,BA$1094,GD_Item_Name,$B1095,GD_Update_Date,BA$1093)=0,"NR",SUMIFS(GD_Guidance_Low,GD_Item_Name,$B1095,GD_Item_FiscalPeriod,BA$1094,GD_Update_Date,BA$1093)))</f>
        <v>6664</v>
      </c>
      <c r="BB1095" s="563">
        <f>IF(ISBLANK(BB$1094),"N/A",IF(COUNTIFS(GD_Item_FiscalPeriod,BB$1094,GD_Item_Name,$B1095,GD_Update_Date,BB$1093)=0,"NR",SUMIFS(GD_Guidance_Low,GD_Item_Name,$B1095,GD_Item_FiscalPeriod,BB$1094,GD_Update_Date,BB$1093)))</f>
        <v>7252</v>
      </c>
      <c r="BC1095" s="563">
        <f>IF(ISBLANK(BC$1094),"N/A",IF(COUNTIFS(GD_Item_FiscalPeriod,BC$1094,GD_Item_Name,$B1095,GD_Update_Date,BC$1093)=0,"NR",SUMIFS(GD_Guidance_Low,GD_Item_Name,$B1095,GD_Item_FiscalPeriod,BC$1094,GD_Update_Date,BC$1093)))</f>
        <v>7938</v>
      </c>
      <c r="BD1095" s="563">
        <f>IF(ISBLANK(BD$1094),"N/A",IF(COUNTIFS(GD_Item_FiscalPeriod,BD$1094,GD_Item_Name,$B1095,GD_Update_Date,BD$1093)=0,"NR",SUMIFS(GD_Guidance_Low,GD_Item_Name,$B1095,GD_Item_FiscalPeriod,BD$1094,GD_Update_Date,BD$1093)))</f>
        <v>7938</v>
      </c>
      <c r="BE1095" s="563">
        <f>IF(ISBLANK(BE$1094),"N/A",IF(COUNTIFS(GD_Item_FiscalPeriod,BE$1094,GD_Item_Name,$B1095,GD_Update_Date,BE$1093)=0,"NR",SUMIFS(GD_Guidance_Low,GD_Item_Name,$B1095,GD_Item_FiscalPeriod,BE$1094,GD_Update_Date,BE$1093)))</f>
        <v>7938</v>
      </c>
      <c r="BF1095" s="563">
        <f>IF(ISBLANK(BF$1094),"N/A",IF(COUNTIFS(GD_Item_FiscalPeriod,BF$1094,GD_Item_Name,$B1095,GD_Update_Date,BF$1093)=0,"NR",SUMIFS(GD_Guidance_Low,GD_Item_Name,$B1095,GD_Item_FiscalPeriod,BF$1094,GD_Update_Date,BF$1093)))</f>
        <v>5782</v>
      </c>
      <c r="BG1095" s="563">
        <f>IF(ISBLANK(BG$1094),"N/A",IF(COUNTIFS(GD_Item_FiscalPeriod,BG$1094,GD_Item_Name,$B1095,GD_Update_Date,BG$1093)=0,"NR",SUMIFS(GD_Guidance_Low,GD_Item_Name,$B1095,GD_Item_FiscalPeriod,BG$1094,GD_Update_Date,BG$1093)))</f>
        <v>5880</v>
      </c>
      <c r="BH1095" s="563">
        <f>IF(ISBLANK(BH$1094),"N/A",IF(COUNTIFS(GD_Item_FiscalPeriod,BH$1094,GD_Item_Name,$B1095,GD_Update_Date,BH$1093)=0,"NR",SUMIFS(GD_Guidance_Low,GD_Item_Name,$B1095,GD_Item_FiscalPeriod,BH$1094,GD_Update_Date,BH$1093)))</f>
        <v>6370</v>
      </c>
      <c r="BI1095" s="563">
        <f>IF(ISBLANK(BI$1094),"N/A",IF(COUNTIFS(GD_Item_FiscalPeriod,BI$1094,GD_Item_Name,$B1095,GD_Update_Date,BI$1093)=0,"NR",SUMIFS(GD_Guidance_Low,GD_Item_Name,$B1095,GD_Item_FiscalPeriod,BI$1094,GD_Update_Date,BI$1093)))</f>
        <v>6370</v>
      </c>
      <c r="BJ1095" s="563">
        <f>IF(ISBLANK(BJ$1094),"N/A",IF(COUNTIFS(GD_Item_FiscalPeriod,BJ$1094,GD_Item_Name,$B1095,GD_Update_Date,BJ$1093)=0,"NR",SUMIFS(GD_Guidance_Low,GD_Item_Name,$B1095,GD_Item_FiscalPeriod,BJ$1094,GD_Update_Date,BJ$1093)))</f>
        <v>10780</v>
      </c>
      <c r="BK1095" s="563">
        <f>IF(ISBLANK(BK$1094),"N/A",IF(COUNTIFS(GD_Item_FiscalPeriod,BK$1094,GD_Item_Name,$B1095,GD_Update_Date,BK$1093)=0,"NR",SUMIFS(GD_Guidance_Low,GD_Item_Name,$B1095,GD_Item_FiscalPeriod,BK$1094,GD_Update_Date,BK$1093)))</f>
        <v>15680</v>
      </c>
      <c r="BL1095" s="563">
        <f>IF(ISBLANK(BL$1094),"N/A",IF(COUNTIFS(GD_Item_FiscalPeriod,BL$1094,GD_Item_Name,$B1095,GD_Update_Date,BL$1093)=0,"NR",SUMIFS(GD_Guidance_Low,GD_Item_Name,$B1095,GD_Item_FiscalPeriod,BL$1094,GD_Update_Date,BL$1093)))</f>
        <v>19600</v>
      </c>
      <c r="BM1095" s="563">
        <f>IF(ISBLANK(BM$1094),"N/A",IF(COUNTIFS(GD_Item_FiscalPeriod,BM$1094,GD_Item_Name,$B1095,GD_Update_Date,BM$1093)=0,"NR",SUMIFS(GD_Guidance_Low,GD_Item_Name,$B1095,GD_Item_FiscalPeriod,BM$1094,GD_Update_Date,BM$1093)))</f>
        <v>23520</v>
      </c>
      <c r="BN1095" s="563">
        <f>IF(ISBLANK(BN$1094),"N/A",IF(COUNTIFS(GD_Item_FiscalPeriod,BN$1094,GD_Item_Name,$B1095,GD_Update_Date,BN$1093)=0,"NR",SUMIFS(GD_Guidance_Low,GD_Item_Name,$B1095,GD_Item_FiscalPeriod,BN$1094,GD_Update_Date,BN$1093)))</f>
        <v>23520</v>
      </c>
      <c r="BO1095" s="563">
        <f>IF(ISBLANK(BO$1094),"N/A",IF(COUNTIFS(GD_Item_FiscalPeriod,BO$1094,GD_Item_Name,$B1095,GD_Update_Date,BO$1093)=0,"NR",SUMIFS(GD_Guidance_Low,GD_Item_Name,$B1095,GD_Item_FiscalPeriod,BO$1094,GD_Update_Date,BO$1093)))</f>
        <v>27440</v>
      </c>
      <c r="BP1095" s="563">
        <f>IF(ISBLANK(BP$1094),"N/A",IF(COUNTIFS(GD_Item_FiscalPeriod,BP$1094,GD_Item_Name,$B1095,GD_Update_Date,BP$1093)=0,"NR",SUMIFS(GD_Guidance_Low,GD_Item_Name,$B1095,GD_Item_FiscalPeriod,BP$1094,GD_Update_Date,BP$1093)))</f>
        <v>31850</v>
      </c>
      <c r="BQ1095" s="563">
        <f>IF(ISBLANK(BQ$1094),"N/A",IF(COUNTIFS(GD_Item_FiscalPeriod,BQ$1094,GD_Item_Name,$B1095,GD_Update_Date,BQ$1093)=0,"NR",SUMIFS(GD_Guidance_Low,GD_Item_Name,$B1095,GD_Item_FiscalPeriod,BQ$1094,GD_Update_Date,BQ$1093)))</f>
        <v>36750</v>
      </c>
      <c r="BR1095" s="563">
        <f>IF(ISBLANK(BR$1094),"N/A",IF(COUNTIFS(GD_Item_FiscalPeriod,BR$1094,GD_Item_Name,$B1095,GD_Update_Date,BR$1093)=0,"NR",SUMIFS(GD_Guidance_Low,GD_Item_Name,$B1095,GD_Item_FiscalPeriod,BR$1094,GD_Update_Date,BR$1093)))</f>
        <v>42140</v>
      </c>
      <c r="BS1095" s="563">
        <f>IF(ISBLANK(BS$1094),"N/A",IF(COUNTIFS(GD_Item_FiscalPeriod,BS$1094,GD_Item_Name,$B1095,GD_Update_Date,BS$1093)=0,"NR",SUMIFS(GD_Guidance_Low,GD_Item_Name,$B1095,GD_Item_FiscalPeriod,BS$1094,GD_Update_Date,BS$1093)))</f>
        <v>42140</v>
      </c>
      <c r="BT1095" s="563">
        <f>IF(ISBLANK(BT$1094),"N/A",IF(COUNTIFS(GD_Item_FiscalPeriod,BT$1094,GD_Item_Name,$B1095,GD_Update_Date,BT$1093)=0,"NR",SUMIFS(GD_Guidance_Low,GD_Item_Name,$B1095,GD_Item_FiscalPeriod,BT$1094,GD_Update_Date,BT$1093)))</f>
        <v>44100</v>
      </c>
      <c r="BU1095" s="563">
        <f>IF(ISBLANK(BU$1094),"N/A",IF(COUNTIFS(GD_Item_FiscalPeriod,BU$1094,GD_Item_Name,$B1095,GD_Update_Date,BU$1093)=0,"NR",SUMIFS(GD_Guidance_Low,GD_Item_Name,$B1095,GD_Item_FiscalPeriod,BU$1094,GD_Update_Date,BU$1093)))</f>
        <v>52920</v>
      </c>
      <c r="BV1095" s="563">
        <f>IF(ISBLANK(BV$1094),"N/A",IF(COUNTIFS(GD_Item_FiscalPeriod,BV$1094,GD_Item_Name,$B1095,GD_Update_Date,BV$1093)=0,"NR",SUMIFS(GD_Guidance_Low,GD_Item_Name,$B1095,GD_Item_FiscalPeriod,BV$1094,GD_Update_Date,BV$1093)))</f>
        <v>63700</v>
      </c>
      <c r="BW1095" s="563">
        <f>IF(ISBLANK(BW$1094),"N/A",IF(COUNTIFS(GD_Item_FiscalPeriod,BW$1094,GD_Item_Name,$B1095,GD_Update_Date,BW$1093)=0,"NR",SUMIFS(GD_Guidance_Low,GD_Item_Name,$B1095,GD_Item_FiscalPeriod,BW$1094,GD_Update_Date,BW$1093)))</f>
        <v>76440</v>
      </c>
      <c r="BX1095" s="563">
        <f>IF(ISBLANK(BX$1094),"N/A",IF(COUNTIFS(GD_Item_FiscalPeriod,BX$1094,GD_Item_Name,$B1095,GD_Update_Date,BX$1093)=0,"NR",SUMIFS(GD_Guidance_Low,GD_Item_Name,$B1095,GD_Item_FiscalPeriod,BX$1094,GD_Update_Date,BX$1093)))</f>
        <v>76440</v>
      </c>
      <c r="BY1095" s="731">
        <f>IF(ISBLANK(BY$1094),"N/A",IF(COUNTIFS(GD_Item_FiscalPeriod,BY$1094,GD_Item_Name,$B1095,GD_Update_Date,BY$1093)=0,"NR",SUMIFS(GD_Guidance_Low,GD_Item_Name,$B1095,GD_Item_FiscalPeriod,BY$1094,GD_Update_Date,BY$1093)))</f>
        <v>89180</v>
      </c>
      <c r="BZ1095" s="563" t="str">
        <f>IF(ISBLANK(BZ$1094),"N/A",IF(COUNTIFS(GD_Item_FiscalPeriod,BZ$1094,GD_Item_Name,$B1095,GD_Update_Date,BZ$1093)=0,"NR",SUMIFS(GD_Guidance_Low,GD_Item_Name,$B1095,GD_Item_FiscalPeriod,BZ$1094,GD_Update_Date,BZ$1093)))</f>
        <v>N/A</v>
      </c>
      <c r="CA1095" s="563" t="str">
        <f>IF(ISBLANK(CA$1094),"N/A",IF(COUNTIFS(GD_Item_FiscalPeriod,CA$1094,GD_Item_Name,$B1095,GD_Update_Date,CA$1093)=0,"NR",SUMIFS(GD_Guidance_Low,GD_Item_Name,$B1095,GD_Item_FiscalPeriod,CA$1094,GD_Update_Date,CA$1093)))</f>
        <v>N/A</v>
      </c>
      <c r="CB1095" s="563" t="str">
        <f>IF(ISBLANK(CB$1094),"N/A",IF(COUNTIFS(GD_Item_FiscalPeriod,CB$1094,GD_Item_Name,$B1095,GD_Update_Date,CB$1093)=0,"NR",SUMIFS(GD_Guidance_Low,GD_Item_Name,$B1095,GD_Item_FiscalPeriod,CB$1094,GD_Update_Date,CB$1093)))</f>
        <v>N/A</v>
      </c>
      <c r="CC1095" s="563" t="str">
        <f>IF(ISBLANK(CC$1094),"N/A",IF(COUNTIFS(GD_Item_FiscalPeriod,CC$1094,GD_Item_Name,$B1095,GD_Update_Date,CC$1093)=0,"NR",SUMIFS(GD_Guidance_Low,GD_Item_Name,$B1095,GD_Item_FiscalPeriod,CC$1094,GD_Update_Date,CC$1093)))</f>
        <v>N/A</v>
      </c>
      <c r="CD1095" s="563" t="str">
        <f>IF(ISBLANK(CD$1094),"N/A",IF(COUNTIFS(GD_Item_FiscalPeriod,CD$1094,GD_Item_Name,$B1095,GD_Update_Date,CD$1093)=0,"NR",SUMIFS(GD_Guidance_Low,GD_Item_Name,$B1095,GD_Item_FiscalPeriod,CD$1094,GD_Update_Date,CD$1093)))</f>
        <v>N/A</v>
      </c>
      <c r="CE1095" s="563" t="str">
        <f>IF(ISBLANK(CE$1094),"N/A",IF(COUNTIFS(GD_Item_FiscalPeriod,CE$1094,GD_Item_Name,$B1095,GD_Update_Date,CE$1093)=0,"NR",SUMIFS(GD_Guidance_Low,GD_Item_Name,$B1095,GD_Item_FiscalPeriod,CE$1094,GD_Update_Date,CE$1093)))</f>
        <v>N/A</v>
      </c>
      <c r="CF1095" s="563" t="str">
        <f>IF(ISBLANK(CF$1094),"N/A",IF(COUNTIFS(GD_Item_FiscalPeriod,CF$1094,GD_Item_Name,$B1095,GD_Update_Date,CF$1093)=0,"NR",SUMIFS(GD_Guidance_Low,GD_Item_Name,$B1095,GD_Item_FiscalPeriod,CF$1094,GD_Update_Date,CF$1093)))</f>
        <v>N/A</v>
      </c>
      <c r="CG1095" s="563" t="str">
        <f>IF(ISBLANK(CG$1094),"N/A",IF(COUNTIFS(GD_Item_FiscalPeriod,CG$1094,GD_Item_Name,$B1095,GD_Update_Date,CG$1093)=0,"NR",SUMIFS(GD_Guidance_Low,GD_Item_Name,$B1095,GD_Item_FiscalPeriod,CG$1094,GD_Update_Date,CG$1093)))</f>
        <v>N/A</v>
      </c>
      <c r="CH1095" s="563" t="str">
        <f>IF(ISBLANK(CH$1094),"N/A",IF(COUNTIFS(GD_Item_FiscalPeriod,CH$1094,GD_Item_Name,$B1095,GD_Update_Date,CH$1093)=0,"NR",SUMIFS(GD_Guidance_Low,GD_Item_Name,$B1095,GD_Item_FiscalPeriod,CH$1094,GD_Update_Date,CH$1093)))</f>
        <v>N/A</v>
      </c>
      <c r="CI1095" s="563" t="str">
        <f>IF(ISBLANK(CI$1094),"N/A",IF(COUNTIFS(GD_Item_FiscalPeriod,CI$1094,GD_Item_Name,$B1095,GD_Update_Date,CI$1093)=0,"NR",SUMIFS(GD_Guidance_Low,GD_Item_Name,$B1095,GD_Item_FiscalPeriod,CI$1094,GD_Update_Date,CI$1093)))</f>
        <v>N/A</v>
      </c>
      <c r="CJ1095" s="563" t="str">
        <f>IF(ISBLANK(CJ$1094),"N/A",IF(COUNTIFS(GD_Item_FiscalPeriod,CJ$1094,GD_Item_Name,$B1095,GD_Update_Date,CJ$1093)=0,"NR",SUMIFS(GD_Guidance_Low,GD_Item_Name,$B1095,GD_Item_FiscalPeriod,CJ$1094,GD_Update_Date,CJ$1093)))</f>
        <v>N/A</v>
      </c>
      <c r="CK1095" s="794" t="str">
        <f>IF(ISBLANK(CK$1094),"N/A",IF(COUNTIFS(GD_Item_FiscalPeriod,CK$1094,GD_Item_Name,$B1095,GD_Update_Date,CK$1093)=0,"NR",SUMIFS(GD_Guidance_Low,GD_Item_Name,$B1095,GD_Item_FiscalPeriod,CK$1094,GD_Update_Date,CK$1093)))</f>
        <v>N/A</v>
      </c>
      <c r="CL1095" s="155"/>
    </row>
    <row r="1096" spans="1:90" x14ac:dyDescent="0.3">
      <c r="A1096" s="793" t="s">
        <v>941</v>
      </c>
      <c r="B1096" s="1055" t="s">
        <v>300</v>
      </c>
      <c r="C1096" s="1037"/>
      <c r="D1096" s="1037"/>
      <c r="E1096" s="563"/>
      <c r="F1096" s="563"/>
      <c r="G1096" s="563"/>
      <c r="H1096" s="563"/>
      <c r="I1096" s="563"/>
      <c r="J1096" s="563"/>
      <c r="K1096" s="563"/>
      <c r="L1096" s="563"/>
      <c r="M1096" s="563"/>
      <c r="N1096" s="563"/>
      <c r="O1096" s="563"/>
      <c r="P1096" s="563"/>
      <c r="Q1096" s="563"/>
      <c r="R1096" s="563"/>
      <c r="S1096" s="563"/>
      <c r="T1096" s="563"/>
      <c r="U1096" s="563"/>
      <c r="V1096" s="563"/>
      <c r="W1096" s="563"/>
      <c r="X1096" s="563"/>
      <c r="Y1096" s="563"/>
      <c r="Z1096" s="563"/>
      <c r="AA1096" s="563"/>
      <c r="AB1096" s="563"/>
      <c r="AC1096" s="563"/>
      <c r="AD1096" s="563"/>
      <c r="AE1096" s="563"/>
      <c r="AF1096" s="563"/>
      <c r="AG1096" s="563"/>
      <c r="AH1096" s="563">
        <f>IF(ISBLANK(AH$1094),"N/A",IF(COUNTIFS(GD_Item_FiscalPeriod,AH$1094,GD_Item_Name,$B1096,GD_Update_Date,AH$1093)=0,"NR",SUMIFS(GD_Guidance_High,GD_Item_Name,$B1096,GD_Item_FiscalPeriod,AH$1094,GD_Update_Date,AH$1093)))</f>
        <v>2703</v>
      </c>
      <c r="AI1096" s="563">
        <f>IF(ISBLANK(AI$1094),"N/A",IF(COUNTIFS(GD_Item_FiscalPeriod,AI$1094,GD_Item_Name,$B1096,GD_Update_Date,AI$1093)=0,"NR",SUMIFS(GD_Guidance_High,GD_Item_Name,$B1096,GD_Item_FiscalPeriod,AI$1094,GD_Update_Date,AI$1093)))</f>
        <v>2958</v>
      </c>
      <c r="AJ1096" s="563">
        <f>IF(ISBLANK(AJ$1094),"N/A",IF(COUNTIFS(GD_Item_FiscalPeriod,AJ$1094,GD_Item_Name,$B1096,GD_Update_Date,AJ$1093)=0,"NR",SUMIFS(GD_Guidance_High,GD_Item_Name,$B1096,GD_Item_FiscalPeriod,AJ$1094,GD_Update_Date,AJ$1093)))</f>
        <v>2958</v>
      </c>
      <c r="AK1096" s="563">
        <f>IF(ISBLANK(AK$1094),"N/A",IF(COUNTIFS(GD_Item_FiscalPeriod,AK$1094,GD_Item_Name,$B1096,GD_Update_Date,AK$1093)=0,"NR",SUMIFS(GD_Guidance_High,GD_Item_Name,$B1096,GD_Item_FiscalPeriod,AK$1094,GD_Update_Date,AK$1093)))</f>
        <v>3162</v>
      </c>
      <c r="AL1096" s="563">
        <f>IF(ISBLANK(AL$1094),"N/A",IF(COUNTIFS(GD_Item_FiscalPeriod,AL$1094,GD_Item_Name,$B1096,GD_Update_Date,AL$1093)=0,"NR",SUMIFS(GD_Guidance_High,GD_Item_Name,$B1096,GD_Item_FiscalPeriod,AL$1094,GD_Update_Date,AL$1093)))</f>
        <v>3315</v>
      </c>
      <c r="AM1096" s="563">
        <f>IF(ISBLANK(AM$1094),"N/A",IF(COUNTIFS(GD_Item_FiscalPeriod,AM$1094,GD_Item_Name,$B1096,GD_Update_Date,AM$1093)=0,"NR",SUMIFS(GD_Guidance_High,GD_Item_Name,$B1096,GD_Item_FiscalPeriod,AM$1094,GD_Update_Date,AM$1093)))</f>
        <v>2754</v>
      </c>
      <c r="AN1096" s="563">
        <f>IF(ISBLANK(AN$1094),"N/A",IF(COUNTIFS(GD_Item_FiscalPeriod,AN$1094,GD_Item_Name,$B1096,GD_Update_Date,AN$1093)=0,"NR",SUMIFS(GD_Guidance_High,GD_Item_Name,$B1096,GD_Item_FiscalPeriod,AN$1094,GD_Update_Date,AN$1093)))</f>
        <v>2244</v>
      </c>
      <c r="AO1096" s="563">
        <f>IF(ISBLANK(AO$1094),"N/A",IF(COUNTIFS(GD_Item_FiscalPeriod,AO$1094,GD_Item_Name,$B1096,GD_Update_Date,AO$1093)=0,"NR",SUMIFS(GD_Guidance_High,GD_Item_Name,$B1096,GD_Item_FiscalPeriod,AO$1094,GD_Update_Date,AO$1093)))</f>
        <v>2244</v>
      </c>
      <c r="AP1096" s="563">
        <f>IF(ISBLANK(AP$1094),"N/A",IF(COUNTIFS(GD_Item_FiscalPeriod,AP$1094,GD_Item_Name,$B1096,GD_Update_Date,AP$1093)=0,"NR",SUMIFS(GD_Guidance_High,GD_Item_Name,$B1096,GD_Item_FiscalPeriod,AP$1094,GD_Update_Date,AP$1093)))</f>
        <v>2601</v>
      </c>
      <c r="AQ1096" s="563">
        <f>IF(ISBLANK(AQ$1094),"N/A",IF(COUNTIFS(GD_Item_FiscalPeriod,AQ$1094,GD_Item_Name,$B1096,GD_Update_Date,AQ$1093)=0,"NR",SUMIFS(GD_Guidance_High,GD_Item_Name,$B1096,GD_Item_FiscalPeriod,AQ$1094,GD_Update_Date,AQ$1093)))</f>
        <v>2958</v>
      </c>
      <c r="AR1096" s="563">
        <f>IF(ISBLANK(AR$1094),"N/A",IF(COUNTIFS(GD_Item_FiscalPeriod,AR$1094,GD_Item_Name,$B1096,GD_Update_Date,AR$1093)=0,"NR",SUMIFS(GD_Guidance_High,GD_Item_Name,$B1096,GD_Item_FiscalPeriod,AR$1094,GD_Update_Date,AR$1093)))</f>
        <v>3009</v>
      </c>
      <c r="AS1096" s="563">
        <f>IF(ISBLANK(AS$1094),"N/A",IF(COUNTIFS(GD_Item_FiscalPeriod,AS$1094,GD_Item_Name,$B1096,GD_Update_Date,AS$1093)=0,"NR",SUMIFS(GD_Guidance_High,GD_Item_Name,$B1096,GD_Item_FiscalPeriod,AS$1094,GD_Update_Date,AS$1093)))</f>
        <v>3060</v>
      </c>
      <c r="AT1096" s="563">
        <f>IF(ISBLANK(AT$1094),"N/A",IF(COUNTIFS(GD_Item_FiscalPeriod,AT$1094,GD_Item_Name,$B1096,GD_Update_Date,AT$1093)=0,"NR",SUMIFS(GD_Guidance_High,GD_Item_Name,$B1096,GD_Item_FiscalPeriod,AT$1094,GD_Update_Date,AT$1093)))</f>
        <v>3060</v>
      </c>
      <c r="AU1096" s="563">
        <f>IF(ISBLANK(AU$1094),"N/A",IF(COUNTIFS(GD_Item_FiscalPeriod,AU$1094,GD_Item_Name,$B1096,GD_Update_Date,AU$1093)=0,"NR",SUMIFS(GD_Guidance_High,GD_Item_Name,$B1096,GD_Item_FiscalPeriod,AU$1094,GD_Update_Date,AU$1093)))</f>
        <v>3723</v>
      </c>
      <c r="AV1096" s="563">
        <f>IF(ISBLANK(AV$1094),"N/A",IF(COUNTIFS(GD_Item_FiscalPeriod,AV$1094,GD_Item_Name,$B1096,GD_Update_Date,AV$1093)=0,"NR",SUMIFS(GD_Guidance_High,GD_Item_Name,$B1096,GD_Item_FiscalPeriod,AV$1094,GD_Update_Date,AV$1093)))</f>
        <v>4488</v>
      </c>
      <c r="AW1096" s="563">
        <f>IF(ISBLANK(AW$1094),"N/A",IF(COUNTIFS(GD_Item_FiscalPeriod,AW$1094,GD_Item_Name,$B1096,GD_Update_Date,AW$1093)=0,"NR",SUMIFS(GD_Guidance_High,GD_Item_Name,$B1096,GD_Item_FiscalPeriod,AW$1094,GD_Update_Date,AW$1093)))</f>
        <v>4896</v>
      </c>
      <c r="AX1096" s="563">
        <f>IF(ISBLANK(AX$1094),"N/A",IF(COUNTIFS(GD_Item_FiscalPeriod,AX$1094,GD_Item_Name,$B1096,GD_Update_Date,AX$1093)=0,"NR",SUMIFS(GD_Guidance_High,GD_Item_Name,$B1096,GD_Item_FiscalPeriod,AX$1094,GD_Update_Date,AX$1093)))</f>
        <v>5406</v>
      </c>
      <c r="AY1096" s="563">
        <f>IF(ISBLANK(AY$1094),"N/A",IF(COUNTIFS(GD_Item_FiscalPeriod,AY$1094,GD_Item_Name,$B1096,GD_Update_Date,AY$1093)=0,"NR",SUMIFS(GD_Guidance_High,GD_Item_Name,$B1096,GD_Item_FiscalPeriod,AY$1094,GD_Update_Date,AY$1093)))</f>
        <v>5406</v>
      </c>
      <c r="AZ1096" s="563">
        <f>IF(ISBLANK(AZ$1094),"N/A",IF(COUNTIFS(GD_Item_FiscalPeriod,AZ$1094,GD_Item_Name,$B1096,GD_Update_Date,AZ$1093)=0,"NR",SUMIFS(GD_Guidance_High,GD_Item_Name,$B1096,GD_Item_FiscalPeriod,AZ$1094,GD_Update_Date,AZ$1093)))</f>
        <v>6426</v>
      </c>
      <c r="BA1096" s="563">
        <f>IF(ISBLANK(BA$1094),"N/A",IF(COUNTIFS(GD_Item_FiscalPeriod,BA$1094,GD_Item_Name,$B1096,GD_Update_Date,BA$1093)=0,"NR",SUMIFS(GD_Guidance_High,GD_Item_Name,$B1096,GD_Item_FiscalPeriod,BA$1094,GD_Update_Date,BA$1093)))</f>
        <v>6936</v>
      </c>
      <c r="BB1096" s="563">
        <f>IF(ISBLANK(BB$1094),"N/A",IF(COUNTIFS(GD_Item_FiscalPeriod,BB$1094,GD_Item_Name,$B1096,GD_Update_Date,BB$1093)=0,"NR",SUMIFS(GD_Guidance_High,GD_Item_Name,$B1096,GD_Item_FiscalPeriod,BB$1094,GD_Update_Date,BB$1093)))</f>
        <v>7548</v>
      </c>
      <c r="BC1096" s="563">
        <f>IF(ISBLANK(BC$1094),"N/A",IF(COUNTIFS(GD_Item_FiscalPeriod,BC$1094,GD_Item_Name,$B1096,GD_Update_Date,BC$1093)=0,"NR",SUMIFS(GD_Guidance_High,GD_Item_Name,$B1096,GD_Item_FiscalPeriod,BC$1094,GD_Update_Date,BC$1093)))</f>
        <v>8262</v>
      </c>
      <c r="BD1096" s="563">
        <f>IF(ISBLANK(BD$1094),"N/A",IF(COUNTIFS(GD_Item_FiscalPeriod,BD$1094,GD_Item_Name,$B1096,GD_Update_Date,BD$1093)=0,"NR",SUMIFS(GD_Guidance_High,GD_Item_Name,$B1096,GD_Item_FiscalPeriod,BD$1094,GD_Update_Date,BD$1093)))</f>
        <v>8262</v>
      </c>
      <c r="BE1096" s="563">
        <f>IF(ISBLANK(BE$1094),"N/A",IF(COUNTIFS(GD_Item_FiscalPeriod,BE$1094,GD_Item_Name,$B1096,GD_Update_Date,BE$1093)=0,"NR",SUMIFS(GD_Guidance_High,GD_Item_Name,$B1096,GD_Item_FiscalPeriod,BE$1094,GD_Update_Date,BE$1093)))</f>
        <v>8262</v>
      </c>
      <c r="BF1096" s="563">
        <f>IF(ISBLANK(BF$1094),"N/A",IF(COUNTIFS(GD_Item_FiscalPeriod,BF$1094,GD_Item_Name,$B1096,GD_Update_Date,BF$1093)=0,"NR",SUMIFS(GD_Guidance_High,GD_Item_Name,$B1096,GD_Item_FiscalPeriod,BF$1094,GD_Update_Date,BF$1093)))</f>
        <v>6018</v>
      </c>
      <c r="BG1096" s="563">
        <f>IF(ISBLANK(BG$1094),"N/A",IF(COUNTIFS(GD_Item_FiscalPeriod,BG$1094,GD_Item_Name,$B1096,GD_Update_Date,BG$1093)=0,"NR",SUMIFS(GD_Guidance_High,GD_Item_Name,$B1096,GD_Item_FiscalPeriod,BG$1094,GD_Update_Date,BG$1093)))</f>
        <v>6120</v>
      </c>
      <c r="BH1096" s="563">
        <f>IF(ISBLANK(BH$1094),"N/A",IF(COUNTIFS(GD_Item_FiscalPeriod,BH$1094,GD_Item_Name,$B1096,GD_Update_Date,BH$1093)=0,"NR",SUMIFS(GD_Guidance_High,GD_Item_Name,$B1096,GD_Item_FiscalPeriod,BH$1094,GD_Update_Date,BH$1093)))</f>
        <v>6630</v>
      </c>
      <c r="BI1096" s="563">
        <f>IF(ISBLANK(BI$1094),"N/A",IF(COUNTIFS(GD_Item_FiscalPeriod,BI$1094,GD_Item_Name,$B1096,GD_Update_Date,BI$1093)=0,"NR",SUMIFS(GD_Guidance_High,GD_Item_Name,$B1096,GD_Item_FiscalPeriod,BI$1094,GD_Update_Date,BI$1093)))</f>
        <v>6630</v>
      </c>
      <c r="BJ1096" s="563">
        <f>IF(ISBLANK(BJ$1094),"N/A",IF(COUNTIFS(GD_Item_FiscalPeriod,BJ$1094,GD_Item_Name,$B1096,GD_Update_Date,BJ$1093)=0,"NR",SUMIFS(GD_Guidance_High,GD_Item_Name,$B1096,GD_Item_FiscalPeriod,BJ$1094,GD_Update_Date,BJ$1093)))</f>
        <v>11220</v>
      </c>
      <c r="BK1096" s="563">
        <f>IF(ISBLANK(BK$1094),"N/A",IF(COUNTIFS(GD_Item_FiscalPeriod,BK$1094,GD_Item_Name,$B1096,GD_Update_Date,BK$1093)=0,"NR",SUMIFS(GD_Guidance_High,GD_Item_Name,$B1096,GD_Item_FiscalPeriod,BK$1094,GD_Update_Date,BK$1093)))</f>
        <v>16320</v>
      </c>
      <c r="BL1096" s="563">
        <f>IF(ISBLANK(BL$1094),"N/A",IF(COUNTIFS(GD_Item_FiscalPeriod,BL$1094,GD_Item_Name,$B1096,GD_Update_Date,BL$1093)=0,"NR",SUMIFS(GD_Guidance_High,GD_Item_Name,$B1096,GD_Item_FiscalPeriod,BL$1094,GD_Update_Date,BL$1093)))</f>
        <v>20400</v>
      </c>
      <c r="BM1096" s="563">
        <f>IF(ISBLANK(BM$1094),"N/A",IF(COUNTIFS(GD_Item_FiscalPeriod,BM$1094,GD_Item_Name,$B1096,GD_Update_Date,BM$1093)=0,"NR",SUMIFS(GD_Guidance_High,GD_Item_Name,$B1096,GD_Item_FiscalPeriod,BM$1094,GD_Update_Date,BM$1093)))</f>
        <v>24480</v>
      </c>
      <c r="BN1096" s="563">
        <f>IF(ISBLANK(BN$1094),"N/A",IF(COUNTIFS(GD_Item_FiscalPeriod,BN$1094,GD_Item_Name,$B1096,GD_Update_Date,BN$1093)=0,"NR",SUMIFS(GD_Guidance_High,GD_Item_Name,$B1096,GD_Item_FiscalPeriod,BN$1094,GD_Update_Date,BN$1093)))</f>
        <v>24480</v>
      </c>
      <c r="BO1096" s="563">
        <f>IF(ISBLANK(BO$1094),"N/A",IF(COUNTIFS(GD_Item_FiscalPeriod,BO$1094,GD_Item_Name,$B1096,GD_Update_Date,BO$1093)=0,"NR",SUMIFS(GD_Guidance_High,GD_Item_Name,$B1096,GD_Item_FiscalPeriod,BO$1094,GD_Update_Date,BO$1093)))</f>
        <v>28560</v>
      </c>
      <c r="BP1096" s="563">
        <f>IF(ISBLANK(BP$1094),"N/A",IF(COUNTIFS(GD_Item_FiscalPeriod,BP$1094,GD_Item_Name,$B1096,GD_Update_Date,BP$1093)=0,"NR",SUMIFS(GD_Guidance_High,GD_Item_Name,$B1096,GD_Item_FiscalPeriod,BP$1094,GD_Update_Date,BP$1093)))</f>
        <v>33150</v>
      </c>
      <c r="BQ1096" s="563">
        <f>IF(ISBLANK(BQ$1094),"N/A",IF(COUNTIFS(GD_Item_FiscalPeriod,BQ$1094,GD_Item_Name,$B1096,GD_Update_Date,BQ$1093)=0,"NR",SUMIFS(GD_Guidance_High,GD_Item_Name,$B1096,GD_Item_FiscalPeriod,BQ$1094,GD_Update_Date,BQ$1093)))</f>
        <v>38250</v>
      </c>
      <c r="BR1096" s="563">
        <f>IF(ISBLANK(BR$1094),"N/A",IF(COUNTIFS(GD_Item_FiscalPeriod,BR$1094,GD_Item_Name,$B1096,GD_Update_Date,BR$1093)=0,"NR",SUMIFS(GD_Guidance_High,GD_Item_Name,$B1096,GD_Item_FiscalPeriod,BR$1094,GD_Update_Date,BR$1093)))</f>
        <v>43860</v>
      </c>
      <c r="BS1096" s="563">
        <f>IF(ISBLANK(BS$1094),"N/A",IF(COUNTIFS(GD_Item_FiscalPeriod,BS$1094,GD_Item_Name,$B1096,GD_Update_Date,BS$1093)=0,"NR",SUMIFS(GD_Guidance_High,GD_Item_Name,$B1096,GD_Item_FiscalPeriod,BS$1094,GD_Update_Date,BS$1093)))</f>
        <v>43860</v>
      </c>
      <c r="BT1096" s="563">
        <f>IF(ISBLANK(BT$1094),"N/A",IF(COUNTIFS(GD_Item_FiscalPeriod,BT$1094,GD_Item_Name,$B1096,GD_Update_Date,BT$1093)=0,"NR",SUMIFS(GD_Guidance_High,GD_Item_Name,$B1096,GD_Item_FiscalPeriod,BT$1094,GD_Update_Date,BT$1093)))</f>
        <v>45900</v>
      </c>
      <c r="BU1096" s="563">
        <f>IF(ISBLANK(BU$1094),"N/A",IF(COUNTIFS(GD_Item_FiscalPeriod,BU$1094,GD_Item_Name,$B1096,GD_Update_Date,BU$1093)=0,"NR",SUMIFS(GD_Guidance_High,GD_Item_Name,$B1096,GD_Item_FiscalPeriod,BU$1094,GD_Update_Date,BU$1093)))</f>
        <v>55080</v>
      </c>
      <c r="BV1096" s="563">
        <f>IF(ISBLANK(BV$1094),"N/A",IF(COUNTIFS(GD_Item_FiscalPeriod,BV$1094,GD_Item_Name,$B1096,GD_Update_Date,BV$1093)=0,"NR",SUMIFS(GD_Guidance_High,GD_Item_Name,$B1096,GD_Item_FiscalPeriod,BV$1094,GD_Update_Date,BV$1093)))</f>
        <v>66300</v>
      </c>
      <c r="BW1096" s="563">
        <f>IF(ISBLANK(BW$1094),"N/A",IF(COUNTIFS(GD_Item_FiscalPeriod,BW$1094,GD_Item_Name,$B1096,GD_Update_Date,BW$1093)=0,"NR",SUMIFS(GD_Guidance_High,GD_Item_Name,$B1096,GD_Item_FiscalPeriod,BW$1094,GD_Update_Date,BW$1093)))</f>
        <v>79560</v>
      </c>
      <c r="BX1096" s="563">
        <f>IF(ISBLANK(BX$1094),"N/A",IF(COUNTIFS(GD_Item_FiscalPeriod,BX$1094,GD_Item_Name,$B1096,GD_Update_Date,BX$1093)=0,"NR",SUMIFS(GD_Guidance_High,GD_Item_Name,$B1096,GD_Item_FiscalPeriod,BX$1094,GD_Update_Date,BX$1093)))</f>
        <v>79560</v>
      </c>
      <c r="BY1096" s="731">
        <f>IF(ISBLANK(BY$1094),"N/A",IF(COUNTIFS(GD_Item_FiscalPeriod,BY$1094,GD_Item_Name,$B1096,GD_Update_Date,BY$1093)=0,"NR",SUMIFS(GD_Guidance_High,GD_Item_Name,$B1096,GD_Item_FiscalPeriod,BY$1094,GD_Update_Date,BY$1093)))</f>
        <v>92820</v>
      </c>
      <c r="BZ1096" s="563" t="str">
        <f>IF(ISBLANK(BZ$1094),"N/A",IF(COUNTIFS(GD_Item_FiscalPeriod,BZ$1094,GD_Item_Name,$B1096,GD_Update_Date,BZ$1093)=0,"NR",SUMIFS(GD_Guidance_High,GD_Item_Name,$B1096,GD_Item_FiscalPeriod,BZ$1094,GD_Update_Date,BZ$1093)))</f>
        <v>N/A</v>
      </c>
      <c r="CA1096" s="563" t="str">
        <f>IF(ISBLANK(CA$1094),"N/A",IF(COUNTIFS(GD_Item_FiscalPeriod,CA$1094,GD_Item_Name,$B1096,GD_Update_Date,CA$1093)=0,"NR",SUMIFS(GD_Guidance_High,GD_Item_Name,$B1096,GD_Item_FiscalPeriod,CA$1094,GD_Update_Date,CA$1093)))</f>
        <v>N/A</v>
      </c>
      <c r="CB1096" s="563" t="str">
        <f>IF(ISBLANK(CB$1094),"N/A",IF(COUNTIFS(GD_Item_FiscalPeriod,CB$1094,GD_Item_Name,$B1096,GD_Update_Date,CB$1093)=0,"NR",SUMIFS(GD_Guidance_High,GD_Item_Name,$B1096,GD_Item_FiscalPeriod,CB$1094,GD_Update_Date,CB$1093)))</f>
        <v>N/A</v>
      </c>
      <c r="CC1096" s="563" t="str">
        <f>IF(ISBLANK(CC$1094),"N/A",IF(COUNTIFS(GD_Item_FiscalPeriod,CC$1094,GD_Item_Name,$B1096,GD_Update_Date,CC$1093)=0,"NR",SUMIFS(GD_Guidance_High,GD_Item_Name,$B1096,GD_Item_FiscalPeriod,CC$1094,GD_Update_Date,CC$1093)))</f>
        <v>N/A</v>
      </c>
      <c r="CD1096" s="563" t="str">
        <f>IF(ISBLANK(CD$1094),"N/A",IF(COUNTIFS(GD_Item_FiscalPeriod,CD$1094,GD_Item_Name,$B1096,GD_Update_Date,CD$1093)=0,"NR",SUMIFS(GD_Guidance_High,GD_Item_Name,$B1096,GD_Item_FiscalPeriod,CD$1094,GD_Update_Date,CD$1093)))</f>
        <v>N/A</v>
      </c>
      <c r="CE1096" s="563" t="str">
        <f>IF(ISBLANK(CE$1094),"N/A",IF(COUNTIFS(GD_Item_FiscalPeriod,CE$1094,GD_Item_Name,$B1096,GD_Update_Date,CE$1093)=0,"NR",SUMIFS(GD_Guidance_High,GD_Item_Name,$B1096,GD_Item_FiscalPeriod,CE$1094,GD_Update_Date,CE$1093)))</f>
        <v>N/A</v>
      </c>
      <c r="CF1096" s="563" t="str">
        <f>IF(ISBLANK(CF$1094),"N/A",IF(COUNTIFS(GD_Item_FiscalPeriod,CF$1094,GD_Item_Name,$B1096,GD_Update_Date,CF$1093)=0,"NR",SUMIFS(GD_Guidance_High,GD_Item_Name,$B1096,GD_Item_FiscalPeriod,CF$1094,GD_Update_Date,CF$1093)))</f>
        <v>N/A</v>
      </c>
      <c r="CG1096" s="563" t="str">
        <f>IF(ISBLANK(CG$1094),"N/A",IF(COUNTIFS(GD_Item_FiscalPeriod,CG$1094,GD_Item_Name,$B1096,GD_Update_Date,CG$1093)=0,"NR",SUMIFS(GD_Guidance_High,GD_Item_Name,$B1096,GD_Item_FiscalPeriod,CG$1094,GD_Update_Date,CG$1093)))</f>
        <v>N/A</v>
      </c>
      <c r="CH1096" s="563" t="str">
        <f>IF(ISBLANK(CH$1094),"N/A",IF(COUNTIFS(GD_Item_FiscalPeriod,CH$1094,GD_Item_Name,$B1096,GD_Update_Date,CH$1093)=0,"NR",SUMIFS(GD_Guidance_High,GD_Item_Name,$B1096,GD_Item_FiscalPeriod,CH$1094,GD_Update_Date,CH$1093)))</f>
        <v>N/A</v>
      </c>
      <c r="CI1096" s="563" t="str">
        <f>IF(ISBLANK(CI$1094),"N/A",IF(COUNTIFS(GD_Item_FiscalPeriod,CI$1094,GD_Item_Name,$B1096,GD_Update_Date,CI$1093)=0,"NR",SUMIFS(GD_Guidance_High,GD_Item_Name,$B1096,GD_Item_FiscalPeriod,CI$1094,GD_Update_Date,CI$1093)))</f>
        <v>N/A</v>
      </c>
      <c r="CJ1096" s="563" t="str">
        <f>IF(ISBLANK(CJ$1094),"N/A",IF(COUNTIFS(GD_Item_FiscalPeriod,CJ$1094,GD_Item_Name,$B1096,GD_Update_Date,CJ$1093)=0,"NR",SUMIFS(GD_Guidance_High,GD_Item_Name,$B1096,GD_Item_FiscalPeriod,CJ$1094,GD_Update_Date,CJ$1093)))</f>
        <v>N/A</v>
      </c>
      <c r="CK1096" s="794" t="str">
        <f>IF(ISBLANK(CK$1094),"N/A",IF(COUNTIFS(GD_Item_FiscalPeriod,CK$1094,GD_Item_Name,$B1096,GD_Update_Date,CK$1093)=0,"NR",SUMIFS(GD_Guidance_High,GD_Item_Name,$B1096,GD_Item_FiscalPeriod,CK$1094,GD_Update_Date,CK$1093)))</f>
        <v>N/A</v>
      </c>
      <c r="CL1096" s="155"/>
    </row>
    <row r="1097" spans="1:90" x14ac:dyDescent="0.3">
      <c r="A1097" s="793" t="s">
        <v>942</v>
      </c>
      <c r="B1097" s="1055" t="s">
        <v>300</v>
      </c>
      <c r="C1097" s="1037"/>
      <c r="D1097" s="1037"/>
      <c r="E1097" s="563"/>
      <c r="F1097" s="563"/>
      <c r="G1097" s="563"/>
      <c r="H1097" s="563"/>
      <c r="I1097" s="563"/>
      <c r="J1097" s="563"/>
      <c r="K1097" s="563"/>
      <c r="L1097" s="563"/>
      <c r="M1097" s="563"/>
      <c r="N1097" s="563"/>
      <c r="O1097" s="563"/>
      <c r="P1097" s="563"/>
      <c r="Q1097" s="563"/>
      <c r="R1097" s="563"/>
      <c r="S1097" s="563"/>
      <c r="T1097" s="563"/>
      <c r="U1097" s="563"/>
      <c r="V1097" s="563"/>
      <c r="W1097" s="563"/>
      <c r="X1097" s="563"/>
      <c r="Y1097" s="563"/>
      <c r="Z1097" s="563"/>
      <c r="AA1097" s="563"/>
      <c r="AB1097" s="563"/>
      <c r="AC1097" s="563"/>
      <c r="AD1097" s="563"/>
      <c r="AE1097" s="563"/>
      <c r="AF1097" s="563"/>
      <c r="AG1097" s="563"/>
      <c r="AH1097" s="563">
        <f>IF(ISBLANK(AH$1094),"N/A",IF(COUNTIFS(GD_Item_FiscalPeriod,AH$1094,GD_Item_Name,$B1097,GD_Update_Date,AH$1093)=0,"NR",SUMIFS(GD_Guidance_Mid,GD_Item_Name,$B1097,GD_Item_FiscalPeriod,AH$1094,GD_Update_Date,AH$1093)))</f>
        <v>2650</v>
      </c>
      <c r="AI1097" s="563">
        <f>IF(ISBLANK(AI$1094),"N/A",IF(COUNTIFS(GD_Item_FiscalPeriod,AI$1094,GD_Item_Name,$B1097,GD_Update_Date,AI$1093)=0,"NR",SUMIFS(GD_Guidance_Mid,GD_Item_Name,$B1097,GD_Item_FiscalPeriod,AI$1094,GD_Update_Date,AI$1093)))</f>
        <v>2900</v>
      </c>
      <c r="AJ1097" s="563">
        <f>IF(ISBLANK(AJ$1094),"N/A",IF(COUNTIFS(GD_Item_FiscalPeriod,AJ$1094,GD_Item_Name,$B1097,GD_Update_Date,AJ$1093)=0,"NR",SUMIFS(GD_Guidance_Mid,GD_Item_Name,$B1097,GD_Item_FiscalPeriod,AJ$1094,GD_Update_Date,AJ$1093)))</f>
        <v>2900</v>
      </c>
      <c r="AK1097" s="563">
        <f>IF(ISBLANK(AK$1094),"N/A",IF(COUNTIFS(GD_Item_FiscalPeriod,AK$1094,GD_Item_Name,$B1097,GD_Update_Date,AK$1093)=0,"NR",SUMIFS(GD_Guidance_Mid,GD_Item_Name,$B1097,GD_Item_FiscalPeriod,AK$1094,GD_Update_Date,AK$1093)))</f>
        <v>3100</v>
      </c>
      <c r="AL1097" s="563">
        <f>IF(ISBLANK(AL$1094),"N/A",IF(COUNTIFS(GD_Item_FiscalPeriod,AL$1094,GD_Item_Name,$B1097,GD_Update_Date,AL$1093)=0,"NR",SUMIFS(GD_Guidance_Mid,GD_Item_Name,$B1097,GD_Item_FiscalPeriod,AL$1094,GD_Update_Date,AL$1093)))</f>
        <v>3250</v>
      </c>
      <c r="AM1097" s="563">
        <f>IF(ISBLANK(AM$1094),"N/A",IF(COUNTIFS(GD_Item_FiscalPeriod,AM$1094,GD_Item_Name,$B1097,GD_Update_Date,AM$1093)=0,"NR",SUMIFS(GD_Guidance_Mid,GD_Item_Name,$B1097,GD_Item_FiscalPeriod,AM$1094,GD_Update_Date,AM$1093)))</f>
        <v>2700</v>
      </c>
      <c r="AN1097" s="563">
        <f>IF(ISBLANK(AN$1094),"N/A",IF(COUNTIFS(GD_Item_FiscalPeriod,AN$1094,GD_Item_Name,$B1097,GD_Update_Date,AN$1093)=0,"NR",SUMIFS(GD_Guidance_Mid,GD_Item_Name,$B1097,GD_Item_FiscalPeriod,AN$1094,GD_Update_Date,AN$1093)))</f>
        <v>2200</v>
      </c>
      <c r="AO1097" s="563">
        <f>IF(ISBLANK(AO$1094),"N/A",IF(COUNTIFS(GD_Item_FiscalPeriod,AO$1094,GD_Item_Name,$B1097,GD_Update_Date,AO$1093)=0,"NR",SUMIFS(GD_Guidance_Mid,GD_Item_Name,$B1097,GD_Item_FiscalPeriod,AO$1094,GD_Update_Date,AO$1093)))</f>
        <v>2200</v>
      </c>
      <c r="AP1097" s="563">
        <f>IF(ISBLANK(AP$1094),"N/A",IF(COUNTIFS(GD_Item_FiscalPeriod,AP$1094,GD_Item_Name,$B1097,GD_Update_Date,AP$1093)=0,"NR",SUMIFS(GD_Guidance_Mid,GD_Item_Name,$B1097,GD_Item_FiscalPeriod,AP$1094,GD_Update_Date,AP$1093)))</f>
        <v>2550</v>
      </c>
      <c r="AQ1097" s="563">
        <f>IF(ISBLANK(AQ$1094),"N/A",IF(COUNTIFS(GD_Item_FiscalPeriod,AQ$1094,GD_Item_Name,$B1097,GD_Update_Date,AQ$1093)=0,"NR",SUMIFS(GD_Guidance_Mid,GD_Item_Name,$B1097,GD_Item_FiscalPeriod,AQ$1094,GD_Update_Date,AQ$1093)))</f>
        <v>2900</v>
      </c>
      <c r="AR1097" s="563">
        <f>IF(ISBLANK(AR$1094),"N/A",IF(COUNTIFS(GD_Item_FiscalPeriod,AR$1094,GD_Item_Name,$B1097,GD_Update_Date,AR$1093)=0,"NR",SUMIFS(GD_Guidance_Mid,GD_Item_Name,$B1097,GD_Item_FiscalPeriod,AR$1094,GD_Update_Date,AR$1093)))</f>
        <v>2950</v>
      </c>
      <c r="AS1097" s="563">
        <f>IF(ISBLANK(AS$1094),"N/A",IF(COUNTIFS(GD_Item_FiscalPeriod,AS$1094,GD_Item_Name,$B1097,GD_Update_Date,AS$1093)=0,"NR",SUMIFS(GD_Guidance_Mid,GD_Item_Name,$B1097,GD_Item_FiscalPeriod,AS$1094,GD_Update_Date,AS$1093)))</f>
        <v>3000</v>
      </c>
      <c r="AT1097" s="563">
        <f>IF(ISBLANK(AT$1094),"N/A",IF(COUNTIFS(GD_Item_FiscalPeriod,AT$1094,GD_Item_Name,$B1097,GD_Update_Date,AT$1093)=0,"NR",SUMIFS(GD_Guidance_Mid,GD_Item_Name,$B1097,GD_Item_FiscalPeriod,AT$1094,GD_Update_Date,AT$1093)))</f>
        <v>3000</v>
      </c>
      <c r="AU1097" s="563">
        <f>IF(ISBLANK(AU$1094),"N/A",IF(COUNTIFS(GD_Item_FiscalPeriod,AU$1094,GD_Item_Name,$B1097,GD_Update_Date,AU$1093)=0,"NR",SUMIFS(GD_Guidance_Mid,GD_Item_Name,$B1097,GD_Item_FiscalPeriod,AU$1094,GD_Update_Date,AU$1093)))</f>
        <v>3650</v>
      </c>
      <c r="AV1097" s="563">
        <f>IF(ISBLANK(AV$1094),"N/A",IF(COUNTIFS(GD_Item_FiscalPeriod,AV$1094,GD_Item_Name,$B1097,GD_Update_Date,AV$1093)=0,"NR",SUMIFS(GD_Guidance_Mid,GD_Item_Name,$B1097,GD_Item_FiscalPeriod,AV$1094,GD_Update_Date,AV$1093)))</f>
        <v>4400</v>
      </c>
      <c r="AW1097" s="563">
        <f>IF(ISBLANK(AW$1094),"N/A",IF(COUNTIFS(GD_Item_FiscalPeriod,AW$1094,GD_Item_Name,$B1097,GD_Update_Date,AW$1093)=0,"NR",SUMIFS(GD_Guidance_Mid,GD_Item_Name,$B1097,GD_Item_FiscalPeriod,AW$1094,GD_Update_Date,AW$1093)))</f>
        <v>4800</v>
      </c>
      <c r="AX1097" s="563">
        <f>IF(ISBLANK(AX$1094),"N/A",IF(COUNTIFS(GD_Item_FiscalPeriod,AX$1094,GD_Item_Name,$B1097,GD_Update_Date,AX$1093)=0,"NR",SUMIFS(GD_Guidance_Mid,GD_Item_Name,$B1097,GD_Item_FiscalPeriod,AX$1094,GD_Update_Date,AX$1093)))</f>
        <v>5300</v>
      </c>
      <c r="AY1097" s="563">
        <f>IF(ISBLANK(AY$1094),"N/A",IF(COUNTIFS(GD_Item_FiscalPeriod,AY$1094,GD_Item_Name,$B1097,GD_Update_Date,AY$1093)=0,"NR",SUMIFS(GD_Guidance_Mid,GD_Item_Name,$B1097,GD_Item_FiscalPeriod,AY$1094,GD_Update_Date,AY$1093)))</f>
        <v>5300</v>
      </c>
      <c r="AZ1097" s="563">
        <f>IF(ISBLANK(AZ$1094),"N/A",IF(COUNTIFS(GD_Item_FiscalPeriod,AZ$1094,GD_Item_Name,$B1097,GD_Update_Date,AZ$1093)=0,"NR",SUMIFS(GD_Guidance_Mid,GD_Item_Name,$B1097,GD_Item_FiscalPeriod,AZ$1094,GD_Update_Date,AZ$1093)))</f>
        <v>6300</v>
      </c>
      <c r="BA1097" s="563">
        <f>IF(ISBLANK(BA$1094),"N/A",IF(COUNTIFS(GD_Item_FiscalPeriod,BA$1094,GD_Item_Name,$B1097,GD_Update_Date,BA$1093)=0,"NR",SUMIFS(GD_Guidance_Mid,GD_Item_Name,$B1097,GD_Item_FiscalPeriod,BA$1094,GD_Update_Date,BA$1093)))</f>
        <v>6800</v>
      </c>
      <c r="BB1097" s="563">
        <f>IF(ISBLANK(BB$1094),"N/A",IF(COUNTIFS(GD_Item_FiscalPeriod,BB$1094,GD_Item_Name,$B1097,GD_Update_Date,BB$1093)=0,"NR",SUMIFS(GD_Guidance_Mid,GD_Item_Name,$B1097,GD_Item_FiscalPeriod,BB$1094,GD_Update_Date,BB$1093)))</f>
        <v>7400</v>
      </c>
      <c r="BC1097" s="563">
        <f>IF(ISBLANK(BC$1094),"N/A",IF(COUNTIFS(GD_Item_FiscalPeriod,BC$1094,GD_Item_Name,$B1097,GD_Update_Date,BC$1093)=0,"NR",SUMIFS(GD_Guidance_Mid,GD_Item_Name,$B1097,GD_Item_FiscalPeriod,BC$1094,GD_Update_Date,BC$1093)))</f>
        <v>8100</v>
      </c>
      <c r="BD1097" s="563">
        <f>IF(ISBLANK(BD$1094),"N/A",IF(COUNTIFS(GD_Item_FiscalPeriod,BD$1094,GD_Item_Name,$B1097,GD_Update_Date,BD$1093)=0,"NR",SUMIFS(GD_Guidance_Mid,GD_Item_Name,$B1097,GD_Item_FiscalPeriod,BD$1094,GD_Update_Date,BD$1093)))</f>
        <v>8100</v>
      </c>
      <c r="BE1097" s="563">
        <f>IF(ISBLANK(BE$1094),"N/A",IF(COUNTIFS(GD_Item_FiscalPeriod,BE$1094,GD_Item_Name,$B1097,GD_Update_Date,BE$1093)=0,"NR",SUMIFS(GD_Guidance_Mid,GD_Item_Name,$B1097,GD_Item_FiscalPeriod,BE$1094,GD_Update_Date,BE$1093)))</f>
        <v>8100</v>
      </c>
      <c r="BF1097" s="563">
        <f>IF(ISBLANK(BF$1094),"N/A",IF(COUNTIFS(GD_Item_FiscalPeriod,BF$1094,GD_Item_Name,$B1097,GD_Update_Date,BF$1093)=0,"NR",SUMIFS(GD_Guidance_Mid,GD_Item_Name,$B1097,GD_Item_FiscalPeriod,BF$1094,GD_Update_Date,BF$1093)))</f>
        <v>5900</v>
      </c>
      <c r="BG1097" s="563">
        <f>IF(ISBLANK(BG$1094),"N/A",IF(COUNTIFS(GD_Item_FiscalPeriod,BG$1094,GD_Item_Name,$B1097,GD_Update_Date,BG$1093)=0,"NR",SUMIFS(GD_Guidance_Mid,GD_Item_Name,$B1097,GD_Item_FiscalPeriod,BG$1094,GD_Update_Date,BG$1093)))</f>
        <v>6000</v>
      </c>
      <c r="BH1097" s="563">
        <f>IF(ISBLANK(BH$1094),"N/A",IF(COUNTIFS(GD_Item_FiscalPeriod,BH$1094,GD_Item_Name,$B1097,GD_Update_Date,BH$1093)=0,"NR",SUMIFS(GD_Guidance_Mid,GD_Item_Name,$B1097,GD_Item_FiscalPeriod,BH$1094,GD_Update_Date,BH$1093)))</f>
        <v>6500</v>
      </c>
      <c r="BI1097" s="563">
        <f>IF(ISBLANK(BI$1094),"N/A",IF(COUNTIFS(GD_Item_FiscalPeriod,BI$1094,GD_Item_Name,$B1097,GD_Update_Date,BI$1093)=0,"NR",SUMIFS(GD_Guidance_Mid,GD_Item_Name,$B1097,GD_Item_FiscalPeriod,BI$1094,GD_Update_Date,BI$1093)))</f>
        <v>6500</v>
      </c>
      <c r="BJ1097" s="563">
        <f>IF(ISBLANK(BJ$1094),"N/A",IF(COUNTIFS(GD_Item_FiscalPeriod,BJ$1094,GD_Item_Name,$B1097,GD_Update_Date,BJ$1093)=0,"NR",SUMIFS(GD_Guidance_Mid,GD_Item_Name,$B1097,GD_Item_FiscalPeriod,BJ$1094,GD_Update_Date,BJ$1093)))</f>
        <v>11000</v>
      </c>
      <c r="BK1097" s="563">
        <f>IF(ISBLANK(BK$1094),"N/A",IF(COUNTIFS(GD_Item_FiscalPeriod,BK$1094,GD_Item_Name,$B1097,GD_Update_Date,BK$1093)=0,"NR",SUMIFS(GD_Guidance_Mid,GD_Item_Name,$B1097,GD_Item_FiscalPeriod,BK$1094,GD_Update_Date,BK$1093)))</f>
        <v>16000</v>
      </c>
      <c r="BL1097" s="563">
        <f>IF(ISBLANK(BL$1094),"N/A",IF(COUNTIFS(GD_Item_FiscalPeriod,BL$1094,GD_Item_Name,$B1097,GD_Update_Date,BL$1093)=0,"NR",SUMIFS(GD_Guidance_Mid,GD_Item_Name,$B1097,GD_Item_FiscalPeriod,BL$1094,GD_Update_Date,BL$1093)))</f>
        <v>20000</v>
      </c>
      <c r="BM1097" s="563">
        <f>IF(ISBLANK(BM$1094),"N/A",IF(COUNTIFS(GD_Item_FiscalPeriod,BM$1094,GD_Item_Name,$B1097,GD_Update_Date,BM$1093)=0,"NR",SUMIFS(GD_Guidance_Mid,GD_Item_Name,$B1097,GD_Item_FiscalPeriod,BM$1094,GD_Update_Date,BM$1093)))</f>
        <v>24000</v>
      </c>
      <c r="BN1097" s="563">
        <f>IF(ISBLANK(BN$1094),"N/A",IF(COUNTIFS(GD_Item_FiscalPeriod,BN$1094,GD_Item_Name,$B1097,GD_Update_Date,BN$1093)=0,"NR",SUMIFS(GD_Guidance_Mid,GD_Item_Name,$B1097,GD_Item_FiscalPeriod,BN$1094,GD_Update_Date,BN$1093)))</f>
        <v>24000</v>
      </c>
      <c r="BO1097" s="563">
        <f>IF(ISBLANK(BO$1094),"N/A",IF(COUNTIFS(GD_Item_FiscalPeriod,BO$1094,GD_Item_Name,$B1097,GD_Update_Date,BO$1093)=0,"NR",SUMIFS(GD_Guidance_Mid,GD_Item_Name,$B1097,GD_Item_FiscalPeriod,BO$1094,GD_Update_Date,BO$1093)))</f>
        <v>28000</v>
      </c>
      <c r="BP1097" s="563">
        <f>IF(ISBLANK(BP$1094),"N/A",IF(COUNTIFS(GD_Item_FiscalPeriod,BP$1094,GD_Item_Name,$B1097,GD_Update_Date,BP$1093)=0,"NR",SUMIFS(GD_Guidance_Mid,GD_Item_Name,$B1097,GD_Item_FiscalPeriod,BP$1094,GD_Update_Date,BP$1093)))</f>
        <v>32500</v>
      </c>
      <c r="BQ1097" s="563">
        <f>IF(ISBLANK(BQ$1094),"N/A",IF(COUNTIFS(GD_Item_FiscalPeriod,BQ$1094,GD_Item_Name,$B1097,GD_Update_Date,BQ$1093)=0,"NR",SUMIFS(GD_Guidance_Mid,GD_Item_Name,$B1097,GD_Item_FiscalPeriod,BQ$1094,GD_Update_Date,BQ$1093)))</f>
        <v>37500</v>
      </c>
      <c r="BR1097" s="563">
        <f>IF(ISBLANK(BR$1094),"N/A",IF(COUNTIFS(GD_Item_FiscalPeriod,BR$1094,GD_Item_Name,$B1097,GD_Update_Date,BR$1093)=0,"NR",SUMIFS(GD_Guidance_Mid,GD_Item_Name,$B1097,GD_Item_FiscalPeriod,BR$1094,GD_Update_Date,BR$1093)))</f>
        <v>43000</v>
      </c>
      <c r="BS1097" s="563">
        <f>IF(ISBLANK(BS$1094),"N/A",IF(COUNTIFS(GD_Item_FiscalPeriod,BS$1094,GD_Item_Name,$B1097,GD_Update_Date,BS$1093)=0,"NR",SUMIFS(GD_Guidance_Mid,GD_Item_Name,$B1097,GD_Item_FiscalPeriod,BS$1094,GD_Update_Date,BS$1093)))</f>
        <v>43000</v>
      </c>
      <c r="BT1097" s="563">
        <f>IF(ISBLANK(BT$1094),"N/A",IF(COUNTIFS(GD_Item_FiscalPeriod,BT$1094,GD_Item_Name,$B1097,GD_Update_Date,BT$1093)=0,"NR",SUMIFS(GD_Guidance_Mid,GD_Item_Name,$B1097,GD_Item_FiscalPeriod,BT$1094,GD_Update_Date,BT$1093)))</f>
        <v>45000</v>
      </c>
      <c r="BU1097" s="563">
        <f>IF(ISBLANK(BU$1094),"N/A",IF(COUNTIFS(GD_Item_FiscalPeriod,BU$1094,GD_Item_Name,$B1097,GD_Update_Date,BU$1093)=0,"NR",SUMIFS(GD_Guidance_Mid,GD_Item_Name,$B1097,GD_Item_FiscalPeriod,BU$1094,GD_Update_Date,BU$1093)))</f>
        <v>54000</v>
      </c>
      <c r="BV1097" s="563">
        <f>IF(ISBLANK(BV$1094),"N/A",IF(COUNTIFS(GD_Item_FiscalPeriod,BV$1094,GD_Item_Name,$B1097,GD_Update_Date,BV$1093)=0,"NR",SUMIFS(GD_Guidance_Mid,GD_Item_Name,$B1097,GD_Item_FiscalPeriod,BV$1094,GD_Update_Date,BV$1093)))</f>
        <v>65000</v>
      </c>
      <c r="BW1097" s="563">
        <f>IF(ISBLANK(BW$1094),"N/A",IF(COUNTIFS(GD_Item_FiscalPeriod,BW$1094,GD_Item_Name,$B1097,GD_Update_Date,BW$1093)=0,"NR",SUMIFS(GD_Guidance_Mid,GD_Item_Name,$B1097,GD_Item_FiscalPeriod,BW$1094,GD_Update_Date,BW$1093)))</f>
        <v>78000</v>
      </c>
      <c r="BX1097" s="563">
        <f>IF(ISBLANK(BX$1094),"N/A",IF(COUNTIFS(GD_Item_FiscalPeriod,BX$1094,GD_Item_Name,$B1097,GD_Update_Date,BX$1093)=0,"NR",SUMIFS(GD_Guidance_Mid,GD_Item_Name,$B1097,GD_Item_FiscalPeriod,BX$1094,GD_Update_Date,BX$1093)))</f>
        <v>78000</v>
      </c>
      <c r="BY1097" s="731">
        <f>IF(ISBLANK(BY$1094),"N/A",IF(COUNTIFS(GD_Item_FiscalPeriod,BY$1094,GD_Item_Name,$B1097,GD_Update_Date,BY$1093)=0,"NR",SUMIFS(GD_Guidance_Mid,GD_Item_Name,$B1097,GD_Item_FiscalPeriod,BY$1094,GD_Update_Date,BY$1093)))</f>
        <v>91000</v>
      </c>
      <c r="BZ1097" s="563" t="str">
        <f>IF(ISBLANK(BZ$1094),"N/A",IF(COUNTIFS(GD_Item_FiscalPeriod,BZ$1094,GD_Item_Name,$B1097,GD_Update_Date,BZ$1093)=0,"NR",SUMIFS(GD_Guidance_Mid,GD_Item_Name,$B1097,GD_Item_FiscalPeriod,BZ$1094,GD_Update_Date,BZ$1093)))</f>
        <v>N/A</v>
      </c>
      <c r="CA1097" s="563" t="str">
        <f>IF(ISBLANK(CA$1094),"N/A",IF(COUNTIFS(GD_Item_FiscalPeriod,CA$1094,GD_Item_Name,$B1097,GD_Update_Date,CA$1093)=0,"NR",SUMIFS(GD_Guidance_Mid,GD_Item_Name,$B1097,GD_Item_FiscalPeriod,CA$1094,GD_Update_Date,CA$1093)))</f>
        <v>N/A</v>
      </c>
      <c r="CB1097" s="563" t="str">
        <f>IF(ISBLANK(CB$1094),"N/A",IF(COUNTIFS(GD_Item_FiscalPeriod,CB$1094,GD_Item_Name,$B1097,GD_Update_Date,CB$1093)=0,"NR",SUMIFS(GD_Guidance_Mid,GD_Item_Name,$B1097,GD_Item_FiscalPeriod,CB$1094,GD_Update_Date,CB$1093)))</f>
        <v>N/A</v>
      </c>
      <c r="CC1097" s="563" t="str">
        <f>IF(ISBLANK(CC$1094),"N/A",IF(COUNTIFS(GD_Item_FiscalPeriod,CC$1094,GD_Item_Name,$B1097,GD_Update_Date,CC$1093)=0,"NR",SUMIFS(GD_Guidance_Mid,GD_Item_Name,$B1097,GD_Item_FiscalPeriod,CC$1094,GD_Update_Date,CC$1093)))</f>
        <v>N/A</v>
      </c>
      <c r="CD1097" s="563" t="str">
        <f>IF(ISBLANK(CD$1094),"N/A",IF(COUNTIFS(GD_Item_FiscalPeriod,CD$1094,GD_Item_Name,$B1097,GD_Update_Date,CD$1093)=0,"NR",SUMIFS(GD_Guidance_Mid,GD_Item_Name,$B1097,GD_Item_FiscalPeriod,CD$1094,GD_Update_Date,CD$1093)))</f>
        <v>N/A</v>
      </c>
      <c r="CE1097" s="563" t="str">
        <f>IF(ISBLANK(CE$1094),"N/A",IF(COUNTIFS(GD_Item_FiscalPeriod,CE$1094,GD_Item_Name,$B1097,GD_Update_Date,CE$1093)=0,"NR",SUMIFS(GD_Guidance_Mid,GD_Item_Name,$B1097,GD_Item_FiscalPeriod,CE$1094,GD_Update_Date,CE$1093)))</f>
        <v>N/A</v>
      </c>
      <c r="CF1097" s="563" t="str">
        <f>IF(ISBLANK(CF$1094),"N/A",IF(COUNTIFS(GD_Item_FiscalPeriod,CF$1094,GD_Item_Name,$B1097,GD_Update_Date,CF$1093)=0,"NR",SUMIFS(GD_Guidance_Mid,GD_Item_Name,$B1097,GD_Item_FiscalPeriod,CF$1094,GD_Update_Date,CF$1093)))</f>
        <v>N/A</v>
      </c>
      <c r="CG1097" s="563" t="str">
        <f>IF(ISBLANK(CG$1094),"N/A",IF(COUNTIFS(GD_Item_FiscalPeriod,CG$1094,GD_Item_Name,$B1097,GD_Update_Date,CG$1093)=0,"NR",SUMIFS(GD_Guidance_Mid,GD_Item_Name,$B1097,GD_Item_FiscalPeriod,CG$1094,GD_Update_Date,CG$1093)))</f>
        <v>N/A</v>
      </c>
      <c r="CH1097" s="563" t="str">
        <f>IF(ISBLANK(CH$1094),"N/A",IF(COUNTIFS(GD_Item_FiscalPeriod,CH$1094,GD_Item_Name,$B1097,GD_Update_Date,CH$1093)=0,"NR",SUMIFS(GD_Guidance_Mid,GD_Item_Name,$B1097,GD_Item_FiscalPeriod,CH$1094,GD_Update_Date,CH$1093)))</f>
        <v>N/A</v>
      </c>
      <c r="CI1097" s="563" t="str">
        <f>IF(ISBLANK(CI$1094),"N/A",IF(COUNTIFS(GD_Item_FiscalPeriod,CI$1094,GD_Item_Name,$B1097,GD_Update_Date,CI$1093)=0,"NR",SUMIFS(GD_Guidance_Mid,GD_Item_Name,$B1097,GD_Item_FiscalPeriod,CI$1094,GD_Update_Date,CI$1093)))</f>
        <v>N/A</v>
      </c>
      <c r="CJ1097" s="563" t="str">
        <f>IF(ISBLANK(CJ$1094),"N/A",IF(COUNTIFS(GD_Item_FiscalPeriod,CJ$1094,GD_Item_Name,$B1097,GD_Update_Date,CJ$1093)=0,"NR",SUMIFS(GD_Guidance_Mid,GD_Item_Name,$B1097,GD_Item_FiscalPeriod,CJ$1094,GD_Update_Date,CJ$1093)))</f>
        <v>N/A</v>
      </c>
      <c r="CK1097" s="794" t="str">
        <f>IF(ISBLANK(CK$1094),"N/A",IF(COUNTIFS(GD_Item_FiscalPeriod,CK$1094,GD_Item_Name,$B1097,GD_Update_Date,CK$1093)=0,"NR",SUMIFS(GD_Guidance_Mid,GD_Item_Name,$B1097,GD_Item_FiscalPeriod,CK$1094,GD_Update_Date,CK$1093)))</f>
        <v>N/A</v>
      </c>
      <c r="CL1097" s="155"/>
    </row>
    <row r="1098" spans="1:90" x14ac:dyDescent="0.3">
      <c r="A1098" s="795" t="s">
        <v>943</v>
      </c>
      <c r="B1098" s="1069" t="s">
        <v>304</v>
      </c>
      <c r="C1098" s="1038"/>
      <c r="D1098" s="1038"/>
      <c r="E1098" s="594"/>
      <c r="F1098" s="594"/>
      <c r="G1098" s="594"/>
      <c r="H1098" s="594"/>
      <c r="I1098" s="594"/>
      <c r="J1098" s="594"/>
      <c r="K1098" s="594"/>
      <c r="L1098" s="594"/>
      <c r="M1098" s="594"/>
      <c r="N1098" s="594"/>
      <c r="O1098" s="594"/>
      <c r="P1098" s="594"/>
      <c r="Q1098" s="594"/>
      <c r="R1098" s="594"/>
      <c r="S1098" s="594"/>
      <c r="T1098" s="594"/>
      <c r="U1098" s="594"/>
      <c r="V1098" s="594"/>
      <c r="W1098" s="594"/>
      <c r="X1098" s="594"/>
      <c r="Y1098" s="594"/>
      <c r="Z1098" s="594"/>
      <c r="AA1098" s="594"/>
      <c r="AB1098" s="594"/>
      <c r="AC1098" s="594"/>
      <c r="AD1098" s="594"/>
      <c r="AE1098" s="594"/>
      <c r="AF1098" s="594"/>
      <c r="AG1098" s="594"/>
      <c r="AH1098" s="594">
        <f>IF(ISBLANK(AH$1094),"N/A",IF(COUNTIFS(GD_Item_FiscalPeriod,AH$1094,GD_Item_Name,$B1098,GD_Update_Date,AH$1093)=0,"NR",SUMIFS(GD_Guidance_Low,GD_Item_Name,$B1098,GD_Item_FiscalPeriod,AH$1094,GD_Update_Date,AH$1093)))</f>
        <v>0.6</v>
      </c>
      <c r="AI1098" s="594">
        <f>IF(ISBLANK(AI$1094),"N/A",IF(COUNTIFS(GD_Item_FiscalPeriod,AI$1094,GD_Item_Name,$B1098,GD_Update_Date,AI$1093)=0,"NR",SUMIFS(GD_Guidance_Low,GD_Item_Name,$B1098,GD_Item_FiscalPeriod,AI$1094,GD_Update_Date,AI$1093)))</f>
        <v>0.625</v>
      </c>
      <c r="AJ1098" s="594">
        <f>IF(ISBLANK(AJ$1094),"N/A",IF(COUNTIFS(GD_Item_FiscalPeriod,AJ$1094,GD_Item_Name,$B1098,GD_Update_Date,AJ$1093)=0,"NR",SUMIFS(GD_Guidance_Low,GD_Item_Name,$B1098,GD_Item_FiscalPeriod,AJ$1094,GD_Update_Date,AJ$1093)))</f>
        <v>0.625</v>
      </c>
      <c r="AK1098" s="594">
        <f>IF(ISBLANK(AK$1094),"N/A",IF(COUNTIFS(GD_Item_FiscalPeriod,AK$1094,GD_Item_Name,$B1098,GD_Update_Date,AK$1093)=0,"NR",SUMIFS(GD_Guidance_Low,GD_Item_Name,$B1098,GD_Item_FiscalPeriod,AK$1094,GD_Update_Date,AK$1093)))</f>
        <v>0.63</v>
      </c>
      <c r="AL1098" s="594">
        <f>IF(ISBLANK(AL$1094),"N/A",IF(COUNTIFS(GD_Item_FiscalPeriod,AL$1094,GD_Item_Name,$B1098,GD_Update_Date,AL$1093)=0,"NR",SUMIFS(GD_Guidance_Low,GD_Item_Name,$B1098,GD_Item_FiscalPeriod,AL$1094,GD_Update_Date,AL$1093)))</f>
        <v>0.623</v>
      </c>
      <c r="AM1098" s="594">
        <f>IF(ISBLANK(AM$1094),"N/A",IF(COUNTIFS(GD_Item_FiscalPeriod,AM$1094,GD_Item_Name,$B1098,GD_Update_Date,AM$1093)=0,"NR",SUMIFS(GD_Guidance_Low,GD_Item_Name,$B1098,GD_Item_FiscalPeriod,AM$1094,GD_Update_Date,AM$1093)))</f>
        <v>0.62</v>
      </c>
      <c r="AN1098" s="594">
        <f>IF(ISBLANK(AN$1094),"N/A",IF(COUNTIFS(GD_Item_FiscalPeriod,AN$1094,GD_Item_Name,$B1098,GD_Update_Date,AN$1093)=0,"NR",SUMIFS(GD_Guidance_Low,GD_Item_Name,$B1098,GD_Item_FiscalPeriod,AN$1094,GD_Update_Date,AN$1093)))</f>
        <v>0.58499999999999996</v>
      </c>
      <c r="AO1098" s="594">
        <f>IF(ISBLANK(AO$1094),"N/A",IF(COUNTIFS(GD_Item_FiscalPeriod,AO$1094,GD_Item_Name,$B1098,GD_Update_Date,AO$1093)=0,"NR",SUMIFS(GD_Guidance_Low,GD_Item_Name,$B1098,GD_Item_FiscalPeriod,AO$1094,GD_Update_Date,AO$1093)))</f>
        <v>0.58499999999999996</v>
      </c>
      <c r="AP1098" s="594">
        <f>IF(ISBLANK(AP$1094),"N/A",IF(COUNTIFS(GD_Item_FiscalPeriod,AP$1094,GD_Item_Name,$B1098,GD_Update_Date,AP$1093)=0,"NR",SUMIFS(GD_Guidance_Low,GD_Item_Name,$B1098,GD_Item_FiscalPeriod,AP$1094,GD_Update_Date,AP$1093)))</f>
        <v>0.59</v>
      </c>
      <c r="AQ1098" s="594">
        <f>IF(ISBLANK(AQ$1094),"N/A",IF(COUNTIFS(GD_Item_FiscalPeriod,AQ$1094,GD_Item_Name,$B1098,GD_Update_Date,AQ$1093)=0,"NR",SUMIFS(GD_Guidance_Low,GD_Item_Name,$B1098,GD_Item_FiscalPeriod,AQ$1094,GD_Update_Date,AQ$1093)))</f>
        <v>0.62</v>
      </c>
      <c r="AR1098" s="594">
        <f>IF(ISBLANK(AR$1094),"N/A",IF(COUNTIFS(GD_Item_FiscalPeriod,AR$1094,GD_Item_Name,$B1098,GD_Update_Date,AR$1093)=0,"NR",SUMIFS(GD_Guidance_Low,GD_Item_Name,$B1098,GD_Item_FiscalPeriod,AR$1094,GD_Update_Date,AR$1093)))</f>
        <v>0.64</v>
      </c>
      <c r="AS1098" s="594">
        <f>IF(ISBLANK(AS$1094),"N/A",IF(COUNTIFS(GD_Item_FiscalPeriod,AS$1094,GD_Item_Name,$B1098,GD_Update_Date,AS$1093)=0,"NR",SUMIFS(GD_Guidance_Low,GD_Item_Name,$B1098,GD_Item_FiscalPeriod,AS$1094,GD_Update_Date,AS$1093)))</f>
        <v>0.64900000000000002</v>
      </c>
      <c r="AT1098" s="594">
        <f>IF(ISBLANK(AT$1094),"N/A",IF(COUNTIFS(GD_Item_FiscalPeriod,AT$1094,GD_Item_Name,$B1098,GD_Update_Date,AT$1093)=0,"NR",SUMIFS(GD_Guidance_Low,GD_Item_Name,$B1098,GD_Item_FiscalPeriod,AT$1094,GD_Update_Date,AT$1093)))</f>
        <v>0.64900000000000002</v>
      </c>
      <c r="AU1098" s="594">
        <f>IF(ISBLANK(AU$1094),"N/A",IF(COUNTIFS(GD_Item_FiscalPeriod,AU$1094,GD_Item_Name,$B1098,GD_Update_Date,AU$1093)=0,"NR",SUMIFS(GD_Guidance_Low,GD_Item_Name,$B1098,GD_Item_FiscalPeriod,AU$1094,GD_Update_Date,AU$1093)))</f>
        <v>0.65500000000000003</v>
      </c>
      <c r="AV1098" s="594">
        <f>IF(ISBLANK(AV$1094),"N/A",IF(COUNTIFS(GD_Item_FiscalPeriod,AV$1094,GD_Item_Name,$B1098,GD_Update_Date,AV$1093)=0,"NR",SUMIFS(GD_Guidance_Low,GD_Item_Name,$B1098,GD_Item_FiscalPeriod,AV$1094,GD_Update_Date,AV$1093)))</f>
        <v>0.65</v>
      </c>
      <c r="AW1098" s="594">
        <f>IF(ISBLANK(AW$1094),"N/A",IF(COUNTIFS(GD_Item_FiscalPeriod,AW$1094,GD_Item_Name,$B1098,GD_Update_Date,AW$1093)=0,"NR",SUMIFS(GD_Guidance_Low,GD_Item_Name,$B1098,GD_Item_FiscalPeriod,AW$1094,GD_Update_Date,AW$1093)))</f>
        <v>0.65</v>
      </c>
      <c r="AX1098" s="594">
        <f>IF(ISBLANK(AX$1094),"N/A",IF(COUNTIFS(GD_Item_FiscalPeriod,AX$1094,GD_Item_Name,$B1098,GD_Update_Date,AX$1093)=0,"NR",SUMIFS(GD_Guidance_Low,GD_Item_Name,$B1098,GD_Item_FiscalPeriod,AX$1094,GD_Update_Date,AX$1093)))</f>
        <v>0.65500000000000003</v>
      </c>
      <c r="AY1098" s="594">
        <f>IF(ISBLANK(AY$1094),"N/A",IF(COUNTIFS(GD_Item_FiscalPeriod,AY$1094,GD_Item_Name,$B1098,GD_Update_Date,AY$1093)=0,"NR",SUMIFS(GD_Guidance_Low,GD_Item_Name,$B1098,GD_Item_FiscalPeriod,AY$1094,GD_Update_Date,AY$1093)))</f>
        <v>0.65500000000000003</v>
      </c>
      <c r="AZ1098" s="594">
        <f>IF(ISBLANK(AZ$1094),"N/A",IF(COUNTIFS(GD_Item_FiscalPeriod,AZ$1094,GD_Item_Name,$B1098,GD_Update_Date,AZ$1093)=0,"NR",SUMIFS(GD_Guidance_Low,GD_Item_Name,$B1098,GD_Item_FiscalPeriod,AZ$1094,GD_Update_Date,AZ$1093)))</f>
        <v>0.66</v>
      </c>
      <c r="BA1098" s="594">
        <f>IF(ISBLANK(BA$1094),"N/A",IF(COUNTIFS(GD_Item_FiscalPeriod,BA$1094,GD_Item_Name,$B1098,GD_Update_Date,BA$1093)=0,"NR",SUMIFS(GD_Guidance_Low,GD_Item_Name,$B1098,GD_Item_FiscalPeriod,BA$1094,GD_Update_Date,BA$1093)))</f>
        <v>0.66500000000000004</v>
      </c>
      <c r="BB1098" s="594">
        <f>IF(ISBLANK(BB$1094),"N/A",IF(COUNTIFS(GD_Item_FiscalPeriod,BB$1094,GD_Item_Name,$B1098,GD_Update_Date,BB$1093)=0,"NR",SUMIFS(GD_Guidance_Low,GD_Item_Name,$B1098,GD_Item_FiscalPeriod,BB$1094,GD_Update_Date,BB$1093)))</f>
        <v>0.66500000000000004</v>
      </c>
      <c r="BC1098" s="594">
        <f>IF(ISBLANK(BC$1094),"N/A",IF(COUNTIFS(GD_Item_FiscalPeriod,BC$1094,GD_Item_Name,$B1098,GD_Update_Date,BC$1093)=0,"NR",SUMIFS(GD_Guidance_Low,GD_Item_Name,$B1098,GD_Item_FiscalPeriod,BC$1094,GD_Update_Date,BC$1093)))</f>
        <v>0.66500000000000004</v>
      </c>
      <c r="BD1098" s="594">
        <f>IF(ISBLANK(BD$1094),"N/A",IF(COUNTIFS(GD_Item_FiscalPeriod,BD$1094,GD_Item_Name,$B1098,GD_Update_Date,BD$1093)=0,"NR",SUMIFS(GD_Guidance_Low,GD_Item_Name,$B1098,GD_Item_FiscalPeriod,BD$1094,GD_Update_Date,BD$1093)))</f>
        <v>0.66500000000000004</v>
      </c>
      <c r="BE1098" s="594">
        <f>IF(ISBLANK(BE$1094),"N/A",IF(COUNTIFS(GD_Item_FiscalPeriod,BE$1094,GD_Item_Name,$B1098,GD_Update_Date,BE$1093)=0,"NR",SUMIFS(GD_Guidance_Low,GD_Item_Name,$B1098,GD_Item_FiscalPeriod,BE$1094,GD_Update_Date,BE$1093)))</f>
        <v>0.66599999999999993</v>
      </c>
      <c r="BF1098" s="594">
        <f>IF(ISBLANK(BF$1094),"N/A",IF(COUNTIFS(GD_Item_FiscalPeriod,BF$1094,GD_Item_Name,$B1098,GD_Update_Date,BF$1093)=0,"NR",SUMIFS(GD_Guidance_Low,GD_Item_Name,$B1098,GD_Item_FiscalPeriod,BF$1094,GD_Update_Date,BF$1093)))</f>
        <v>0.65</v>
      </c>
      <c r="BG1098" s="594">
        <f>IF(ISBLANK(BG$1094),"N/A",IF(COUNTIFS(GD_Item_FiscalPeriod,BG$1094,GD_Item_Name,$B1098,GD_Update_Date,BG$1093)=0,"NR",SUMIFS(GD_Guidance_Low,GD_Item_Name,$B1098,GD_Item_FiscalPeriod,BG$1094,GD_Update_Date,BG$1093)))</f>
        <v>0.65500000000000003</v>
      </c>
      <c r="BH1098" s="594">
        <f>IF(ISBLANK(BH$1094),"N/A",IF(COUNTIFS(GD_Item_FiscalPeriod,BH$1094,GD_Item_Name,$B1098,GD_Update_Date,BH$1093)=0,"NR",SUMIFS(GD_Guidance_Low,GD_Item_Name,$B1098,GD_Item_FiscalPeriod,BH$1094,GD_Update_Date,BH$1093)))</f>
        <v>0.66</v>
      </c>
      <c r="BI1098" s="594">
        <f>IF(ISBLANK(BI$1094),"N/A",IF(COUNTIFS(GD_Item_FiscalPeriod,BI$1094,GD_Item_Name,$B1098,GD_Update_Date,BI$1093)=0,"NR",SUMIFS(GD_Guidance_Low,GD_Item_Name,$B1098,GD_Item_FiscalPeriod,BI$1094,GD_Update_Date,BI$1093)))</f>
        <v>0.66</v>
      </c>
      <c r="BJ1098" s="594">
        <f>IF(ISBLANK(BJ$1094),"N/A",IF(COUNTIFS(GD_Item_FiscalPeriod,BJ$1094,GD_Item_Name,$B1098,GD_Update_Date,BJ$1093)=0,"NR",SUMIFS(GD_Guidance_Low,GD_Item_Name,$B1098,GD_Item_FiscalPeriod,BJ$1094,GD_Update_Date,BJ$1093)))</f>
        <v>0.69499999999999995</v>
      </c>
      <c r="BK1098" s="594">
        <f>IF(ISBLANK(BK$1094),"N/A",IF(COUNTIFS(GD_Item_FiscalPeriod,BK$1094,GD_Item_Name,$B1098,GD_Update_Date,BK$1093)=0,"NR",SUMIFS(GD_Guidance_Low,GD_Item_Name,$B1098,GD_Item_FiscalPeriod,BK$1094,GD_Update_Date,BK$1093)))</f>
        <v>0.72</v>
      </c>
      <c r="BL1098" s="594">
        <f>IF(ISBLANK(BL$1094),"N/A",IF(COUNTIFS(GD_Item_FiscalPeriod,BL$1094,GD_Item_Name,$B1098,GD_Update_Date,BL$1093)=0,"NR",SUMIFS(GD_Guidance_Low,GD_Item_Name,$B1098,GD_Item_FiscalPeriod,BL$1094,GD_Update_Date,BL$1093)))</f>
        <v>0.75</v>
      </c>
      <c r="BM1098" s="594">
        <f>IF(ISBLANK(BM$1094),"N/A",IF(COUNTIFS(GD_Item_FiscalPeriod,BM$1094,GD_Item_Name,$B1098,GD_Update_Date,BM$1093)=0,"NR",SUMIFS(GD_Guidance_Low,GD_Item_Name,$B1098,GD_Item_FiscalPeriod,BM$1094,GD_Update_Date,BM$1093)))</f>
        <v>0.76500000000000001</v>
      </c>
      <c r="BN1098" s="594">
        <f>IF(ISBLANK(BN$1094),"N/A",IF(COUNTIFS(GD_Item_FiscalPeriod,BN$1094,GD_Item_Name,$B1098,GD_Update_Date,BN$1093)=0,"NR",SUMIFS(GD_Guidance_Low,GD_Item_Name,$B1098,GD_Item_FiscalPeriod,BN$1094,GD_Update_Date,BN$1093)))</f>
        <v>0.76500000000000001</v>
      </c>
      <c r="BO1098" s="594">
        <f>IF(ISBLANK(BO$1094),"N/A",IF(COUNTIFS(GD_Item_FiscalPeriod,BO$1094,GD_Item_Name,$B1098,GD_Update_Date,BO$1093)=0,"NR",SUMIFS(GD_Guidance_Low,GD_Item_Name,$B1098,GD_Item_FiscalPeriod,BO$1094,GD_Update_Date,BO$1093)))</f>
        <v>0.75</v>
      </c>
      <c r="BP1098" s="594">
        <f>IF(ISBLANK(BP$1094),"N/A",IF(COUNTIFS(GD_Item_FiscalPeriod,BP$1094,GD_Item_Name,$B1098,GD_Update_Date,BP$1093)=0,"NR",SUMIFS(GD_Guidance_Low,GD_Item_Name,$B1098,GD_Item_FiscalPeriod,BP$1094,GD_Update_Date,BP$1093)))</f>
        <v>0.745</v>
      </c>
      <c r="BQ1098" s="594">
        <f>IF(ISBLANK(BQ$1094),"N/A",IF(COUNTIFS(GD_Item_FiscalPeriod,BQ$1094,GD_Item_Name,$B1098,GD_Update_Date,BQ$1093)=0,"NR",SUMIFS(GD_Guidance_Low,GD_Item_Name,$B1098,GD_Item_FiscalPeriod,BQ$1094,GD_Update_Date,BQ$1093)))</f>
        <v>0.73</v>
      </c>
      <c r="BR1098" s="594">
        <f>IF(ISBLANK(BR$1094),"N/A",IF(COUNTIFS(GD_Item_FiscalPeriod,BR$1094,GD_Item_Name,$B1098,GD_Update_Date,BR$1093)=0,"NR",SUMIFS(GD_Guidance_Low,GD_Item_Name,$B1098,GD_Item_FiscalPeriod,BR$1094,GD_Update_Date,BR$1093)))</f>
        <v>0.70499999999999996</v>
      </c>
      <c r="BS1098" s="594">
        <f>IF(ISBLANK(BS$1094),"N/A",IF(COUNTIFS(GD_Item_FiscalPeriod,BS$1094,GD_Item_Name,$B1098,GD_Update_Date,BS$1093)=0,"NR",SUMIFS(GD_Guidance_Low,GD_Item_Name,$B1098,GD_Item_FiscalPeriod,BS$1094,GD_Update_Date,BS$1093)))</f>
        <v>0.70499999999999996</v>
      </c>
      <c r="BT1098" s="594">
        <f>IF(ISBLANK(BT$1094),"N/A",IF(COUNTIFS(GD_Item_FiscalPeriod,BT$1094,GD_Item_Name,$B1098,GD_Update_Date,BT$1093)=0,"NR",SUMIFS(GD_Guidance_Low,GD_Item_Name,$B1098,GD_Item_FiscalPeriod,BT$1094,GD_Update_Date,BT$1093)))</f>
        <v>0.71499999999999997</v>
      </c>
      <c r="BU1098" s="594">
        <f>IF(ISBLANK(BU$1094),"N/A",IF(COUNTIFS(GD_Item_FiscalPeriod,BU$1094,GD_Item_Name,$B1098,GD_Update_Date,BU$1093)=0,"NR",SUMIFS(GD_Guidance_Low,GD_Item_Name,$B1098,GD_Item_FiscalPeriod,BU$1094,GD_Update_Date,BU$1093)))</f>
        <v>0.73</v>
      </c>
      <c r="BV1098" s="594">
        <f>IF(ISBLANK(BV$1094),"N/A",IF(COUNTIFS(GD_Item_FiscalPeriod,BV$1094,GD_Item_Name,$B1098,GD_Update_Date,BV$1093)=0,"NR",SUMIFS(GD_Guidance_Low,GD_Item_Name,$B1098,GD_Item_FiscalPeriod,BV$1094,GD_Update_Date,BV$1093)))</f>
        <v>0.745</v>
      </c>
      <c r="BW1098" s="594">
        <f>IF(ISBLANK(BW$1094),"N/A",IF(COUNTIFS(GD_Item_FiscalPeriod,BW$1094,GD_Item_Name,$B1098,GD_Update_Date,BW$1093)=0,"NR",SUMIFS(GD_Guidance_Low,GD_Item_Name,$B1098,GD_Item_FiscalPeriod,BW$1094,GD_Update_Date,BW$1093)))</f>
        <v>0.75</v>
      </c>
      <c r="BX1098" s="594">
        <f>IF(ISBLANK(BX$1094),"N/A",IF(COUNTIFS(GD_Item_FiscalPeriod,BX$1094,GD_Item_Name,$B1098,GD_Update_Date,BX$1093)=0,"NR",SUMIFS(GD_Guidance_Low,GD_Item_Name,$B1098,GD_Item_FiscalPeriod,BX$1094,GD_Update_Date,BX$1093)))</f>
        <v>0.75</v>
      </c>
      <c r="BY1098" s="732">
        <f>IF(ISBLANK(BY$1094),"N/A",IF(COUNTIFS(GD_Item_FiscalPeriod,BY$1094,GD_Item_Name,$B1098,GD_Update_Date,BY$1093)=0,"NR",SUMIFS(GD_Guidance_Low,GD_Item_Name,$B1098,GD_Item_FiscalPeriod,BY$1094,GD_Update_Date,BY$1093)))</f>
        <v>0.745</v>
      </c>
      <c r="BZ1098" s="594" t="str">
        <f>IF(ISBLANK(BZ$1094),"N/A",IF(COUNTIFS(GD_Item_FiscalPeriod,BZ$1094,GD_Item_Name,$B1098,GD_Update_Date,BZ$1093)=0,"NR",SUMIFS(GD_Guidance_Low,GD_Item_Name,$B1098,GD_Item_FiscalPeriod,BZ$1094,GD_Update_Date,BZ$1093)))</f>
        <v>N/A</v>
      </c>
      <c r="CA1098" s="594" t="str">
        <f>IF(ISBLANK(CA$1094),"N/A",IF(COUNTIFS(GD_Item_FiscalPeriod,CA$1094,GD_Item_Name,$B1098,GD_Update_Date,CA$1093)=0,"NR",SUMIFS(GD_Guidance_Low,GD_Item_Name,$B1098,GD_Item_FiscalPeriod,CA$1094,GD_Update_Date,CA$1093)))</f>
        <v>N/A</v>
      </c>
      <c r="CB1098" s="594" t="str">
        <f>IF(ISBLANK(CB$1094),"N/A",IF(COUNTIFS(GD_Item_FiscalPeriod,CB$1094,GD_Item_Name,$B1098,GD_Update_Date,CB$1093)=0,"NR",SUMIFS(GD_Guidance_Low,GD_Item_Name,$B1098,GD_Item_FiscalPeriod,CB$1094,GD_Update_Date,CB$1093)))</f>
        <v>N/A</v>
      </c>
      <c r="CC1098" s="594" t="str">
        <f>IF(ISBLANK(CC$1094),"N/A",IF(COUNTIFS(GD_Item_FiscalPeriod,CC$1094,GD_Item_Name,$B1098,GD_Update_Date,CC$1093)=0,"NR",SUMIFS(GD_Guidance_Low,GD_Item_Name,$B1098,GD_Item_FiscalPeriod,CC$1094,GD_Update_Date,CC$1093)))</f>
        <v>N/A</v>
      </c>
      <c r="CD1098" s="594" t="str">
        <f>IF(ISBLANK(CD$1094),"N/A",IF(COUNTIFS(GD_Item_FiscalPeriod,CD$1094,GD_Item_Name,$B1098,GD_Update_Date,CD$1093)=0,"NR",SUMIFS(GD_Guidance_Low,GD_Item_Name,$B1098,GD_Item_FiscalPeriod,CD$1094,GD_Update_Date,CD$1093)))</f>
        <v>N/A</v>
      </c>
      <c r="CE1098" s="594" t="str">
        <f>IF(ISBLANK(CE$1094),"N/A",IF(COUNTIFS(GD_Item_FiscalPeriod,CE$1094,GD_Item_Name,$B1098,GD_Update_Date,CE$1093)=0,"NR",SUMIFS(GD_Guidance_Low,GD_Item_Name,$B1098,GD_Item_FiscalPeriod,CE$1094,GD_Update_Date,CE$1093)))</f>
        <v>N/A</v>
      </c>
      <c r="CF1098" s="594" t="str">
        <f>IF(ISBLANK(CF$1094),"N/A",IF(COUNTIFS(GD_Item_FiscalPeriod,CF$1094,GD_Item_Name,$B1098,GD_Update_Date,CF$1093)=0,"NR",SUMIFS(GD_Guidance_Low,GD_Item_Name,$B1098,GD_Item_FiscalPeriod,CF$1094,GD_Update_Date,CF$1093)))</f>
        <v>N/A</v>
      </c>
      <c r="CG1098" s="594" t="str">
        <f>IF(ISBLANK(CG$1094),"N/A",IF(COUNTIFS(GD_Item_FiscalPeriod,CG$1094,GD_Item_Name,$B1098,GD_Update_Date,CG$1093)=0,"NR",SUMIFS(GD_Guidance_Low,GD_Item_Name,$B1098,GD_Item_FiscalPeriod,CG$1094,GD_Update_Date,CG$1093)))</f>
        <v>N/A</v>
      </c>
      <c r="CH1098" s="594" t="str">
        <f>IF(ISBLANK(CH$1094),"N/A",IF(COUNTIFS(GD_Item_FiscalPeriod,CH$1094,GD_Item_Name,$B1098,GD_Update_Date,CH$1093)=0,"NR",SUMIFS(GD_Guidance_Low,GD_Item_Name,$B1098,GD_Item_FiscalPeriod,CH$1094,GD_Update_Date,CH$1093)))</f>
        <v>N/A</v>
      </c>
      <c r="CI1098" s="594" t="str">
        <f>IF(ISBLANK(CI$1094),"N/A",IF(COUNTIFS(GD_Item_FiscalPeriod,CI$1094,GD_Item_Name,$B1098,GD_Update_Date,CI$1093)=0,"NR",SUMIFS(GD_Guidance_Low,GD_Item_Name,$B1098,GD_Item_FiscalPeriod,CI$1094,GD_Update_Date,CI$1093)))</f>
        <v>N/A</v>
      </c>
      <c r="CJ1098" s="594" t="str">
        <f>IF(ISBLANK(CJ$1094),"N/A",IF(COUNTIFS(GD_Item_FiscalPeriod,CJ$1094,GD_Item_Name,$B1098,GD_Update_Date,CJ$1093)=0,"NR",SUMIFS(GD_Guidance_Low,GD_Item_Name,$B1098,GD_Item_FiscalPeriod,CJ$1094,GD_Update_Date,CJ$1093)))</f>
        <v>N/A</v>
      </c>
      <c r="CK1098" s="796" t="str">
        <f>IF(ISBLANK(CK$1094),"N/A",IF(COUNTIFS(GD_Item_FiscalPeriod,CK$1094,GD_Item_Name,$B1098,GD_Update_Date,CK$1093)=0,"NR",SUMIFS(GD_Guidance_Low,GD_Item_Name,$B1098,GD_Item_FiscalPeriod,CK$1094,GD_Update_Date,CK$1093)))</f>
        <v>N/A</v>
      </c>
      <c r="CL1098" s="155"/>
    </row>
    <row r="1099" spans="1:90" x14ac:dyDescent="0.3">
      <c r="A1099" s="795" t="s">
        <v>944</v>
      </c>
      <c r="B1099" s="1069" t="s">
        <v>304</v>
      </c>
      <c r="C1099" s="1038"/>
      <c r="D1099" s="1038"/>
      <c r="E1099" s="594"/>
      <c r="F1099" s="594"/>
      <c r="G1099" s="594"/>
      <c r="H1099" s="594"/>
      <c r="I1099" s="594"/>
      <c r="J1099" s="594"/>
      <c r="K1099" s="594"/>
      <c r="L1099" s="594"/>
      <c r="M1099" s="594"/>
      <c r="N1099" s="594"/>
      <c r="O1099" s="594"/>
      <c r="P1099" s="594"/>
      <c r="Q1099" s="594"/>
      <c r="R1099" s="594"/>
      <c r="S1099" s="594"/>
      <c r="T1099" s="594"/>
      <c r="U1099" s="594"/>
      <c r="V1099" s="594"/>
      <c r="W1099" s="594"/>
      <c r="X1099" s="594"/>
      <c r="Y1099" s="594"/>
      <c r="Z1099" s="594"/>
      <c r="AA1099" s="594"/>
      <c r="AB1099" s="594"/>
      <c r="AC1099" s="594"/>
      <c r="AD1099" s="594"/>
      <c r="AE1099" s="594"/>
      <c r="AF1099" s="594"/>
      <c r="AG1099" s="594"/>
      <c r="AH1099" s="594">
        <f>IF(ISBLANK(AH$1094),"N/A",IF(COUNTIFS(GD_Item_FiscalPeriod,AH$1094,GD_Item_Name,$B1099,GD_Update_Date,AH$1093)=0,"NR",SUMIFS(GD_Guidance_High,GD_Item_Name,$B1099,GD_Item_FiscalPeriod,AH$1094,GD_Update_Date,AH$1093)))</f>
        <v>0.6</v>
      </c>
      <c r="AI1099" s="594">
        <f>IF(ISBLANK(AI$1094),"N/A",IF(COUNTIFS(GD_Item_FiscalPeriod,AI$1094,GD_Item_Name,$B1099,GD_Update_Date,AI$1093)=0,"NR",SUMIFS(GD_Guidance_High,GD_Item_Name,$B1099,GD_Item_FiscalPeriod,AI$1094,GD_Update_Date,AI$1093)))</f>
        <v>0.63500000000000001</v>
      </c>
      <c r="AJ1099" s="594">
        <f>IF(ISBLANK(AJ$1094),"N/A",IF(COUNTIFS(GD_Item_FiscalPeriod,AJ$1094,GD_Item_Name,$B1099,GD_Update_Date,AJ$1093)=0,"NR",SUMIFS(GD_Guidance_High,GD_Item_Name,$B1099,GD_Item_FiscalPeriod,AJ$1094,GD_Update_Date,AJ$1093)))</f>
        <v>0.63500000000000001</v>
      </c>
      <c r="AK1099" s="594">
        <f>IF(ISBLANK(AK$1094),"N/A",IF(COUNTIFS(GD_Item_FiscalPeriod,AK$1094,GD_Item_Name,$B1099,GD_Update_Date,AK$1093)=0,"NR",SUMIFS(GD_Guidance_High,GD_Item_Name,$B1099,GD_Item_FiscalPeriod,AK$1094,GD_Update_Date,AK$1093)))</f>
        <v>0.64</v>
      </c>
      <c r="AL1099" s="594">
        <f>IF(ISBLANK(AL$1094),"N/A",IF(COUNTIFS(GD_Item_FiscalPeriod,AL$1094,GD_Item_Name,$B1099,GD_Update_Date,AL$1093)=0,"NR",SUMIFS(GD_Guidance_High,GD_Item_Name,$B1099,GD_Item_FiscalPeriod,AL$1094,GD_Update_Date,AL$1093)))</f>
        <v>0.63300000000000001</v>
      </c>
      <c r="AM1099" s="594">
        <f>IF(ISBLANK(AM$1094),"N/A",IF(COUNTIFS(GD_Item_FiscalPeriod,AM$1094,GD_Item_Name,$B1099,GD_Update_Date,AM$1093)=0,"NR",SUMIFS(GD_Guidance_High,GD_Item_Name,$B1099,GD_Item_FiscalPeriod,AM$1094,GD_Update_Date,AM$1093)))</f>
        <v>0.63</v>
      </c>
      <c r="AN1099" s="594">
        <f>IF(ISBLANK(AN$1094),"N/A",IF(COUNTIFS(GD_Item_FiscalPeriod,AN$1094,GD_Item_Name,$B1099,GD_Update_Date,AN$1093)=0,"NR",SUMIFS(GD_Guidance_High,GD_Item_Name,$B1099,GD_Item_FiscalPeriod,AN$1094,GD_Update_Date,AN$1093)))</f>
        <v>0.59499999999999997</v>
      </c>
      <c r="AO1099" s="594">
        <f>IF(ISBLANK(AO$1094),"N/A",IF(COUNTIFS(GD_Item_FiscalPeriod,AO$1094,GD_Item_Name,$B1099,GD_Update_Date,AO$1093)=0,"NR",SUMIFS(GD_Guidance_High,GD_Item_Name,$B1099,GD_Item_FiscalPeriod,AO$1094,GD_Update_Date,AO$1093)))</f>
        <v>0.59499999999999997</v>
      </c>
      <c r="AP1099" s="594">
        <f>IF(ISBLANK(AP$1094),"N/A",IF(COUNTIFS(GD_Item_FiscalPeriod,AP$1094,GD_Item_Name,$B1099,GD_Update_Date,AP$1093)=0,"NR",SUMIFS(GD_Guidance_High,GD_Item_Name,$B1099,GD_Item_FiscalPeriod,AP$1094,GD_Update_Date,AP$1093)))</f>
        <v>0.6</v>
      </c>
      <c r="AQ1099" s="594">
        <f>IF(ISBLANK(AQ$1094),"N/A",IF(COUNTIFS(GD_Item_FiscalPeriod,AQ$1094,GD_Item_Name,$B1099,GD_Update_Date,AQ$1093)=0,"NR",SUMIFS(GD_Guidance_High,GD_Item_Name,$B1099,GD_Item_FiscalPeriod,AQ$1094,GD_Update_Date,AQ$1093)))</f>
        <v>0.63</v>
      </c>
      <c r="AR1099" s="594">
        <f>IF(ISBLANK(AR$1094),"N/A",IF(COUNTIFS(GD_Item_FiscalPeriod,AR$1094,GD_Item_Name,$B1099,GD_Update_Date,AR$1093)=0,"NR",SUMIFS(GD_Guidance_High,GD_Item_Name,$B1099,GD_Item_FiscalPeriod,AR$1094,GD_Update_Date,AR$1093)))</f>
        <v>0.65</v>
      </c>
      <c r="AS1099" s="594">
        <f>IF(ISBLANK(AS$1094),"N/A",IF(COUNTIFS(GD_Item_FiscalPeriod,AS$1094,GD_Item_Name,$B1099,GD_Update_Date,AS$1093)=0,"NR",SUMIFS(GD_Guidance_High,GD_Item_Name,$B1099,GD_Item_FiscalPeriod,AS$1094,GD_Update_Date,AS$1093)))</f>
        <v>0.65900000000000003</v>
      </c>
      <c r="AT1099" s="594">
        <f>IF(ISBLANK(AT$1094),"N/A",IF(COUNTIFS(GD_Item_FiscalPeriod,AT$1094,GD_Item_Name,$B1099,GD_Update_Date,AT$1093)=0,"NR",SUMIFS(GD_Guidance_High,GD_Item_Name,$B1099,GD_Item_FiscalPeriod,AT$1094,GD_Update_Date,AT$1093)))</f>
        <v>0.65900000000000003</v>
      </c>
      <c r="AU1099" s="594">
        <f>IF(ISBLANK(AU$1094),"N/A",IF(COUNTIFS(GD_Item_FiscalPeriod,AU$1094,GD_Item_Name,$B1099,GD_Update_Date,AU$1093)=0,"NR",SUMIFS(GD_Guidance_High,GD_Item_Name,$B1099,GD_Item_FiscalPeriod,AU$1094,GD_Update_Date,AU$1093)))</f>
        <v>0.66500000000000004</v>
      </c>
      <c r="AV1099" s="594">
        <f>IF(ISBLANK(AV$1094),"N/A",IF(COUNTIFS(GD_Item_FiscalPeriod,AV$1094,GD_Item_Name,$B1099,GD_Update_Date,AV$1093)=0,"NR",SUMIFS(GD_Guidance_High,GD_Item_Name,$B1099,GD_Item_FiscalPeriod,AV$1094,GD_Update_Date,AV$1093)))</f>
        <v>0.66</v>
      </c>
      <c r="AW1099" s="594">
        <f>IF(ISBLANK(AW$1094),"N/A",IF(COUNTIFS(GD_Item_FiscalPeriod,AW$1094,GD_Item_Name,$B1099,GD_Update_Date,AW$1093)=0,"NR",SUMIFS(GD_Guidance_High,GD_Item_Name,$B1099,GD_Item_FiscalPeriod,AW$1094,GD_Update_Date,AW$1093)))</f>
        <v>0.66</v>
      </c>
      <c r="AX1099" s="594">
        <f>IF(ISBLANK(AX$1094),"N/A",IF(COUNTIFS(GD_Item_FiscalPeriod,AX$1094,GD_Item_Name,$B1099,GD_Update_Date,AX$1093)=0,"NR",SUMIFS(GD_Guidance_High,GD_Item_Name,$B1099,GD_Item_FiscalPeriod,AX$1094,GD_Update_Date,AX$1093)))</f>
        <v>0.66500000000000004</v>
      </c>
      <c r="AY1099" s="594">
        <f>IF(ISBLANK(AY$1094),"N/A",IF(COUNTIFS(GD_Item_FiscalPeriod,AY$1094,GD_Item_Name,$B1099,GD_Update_Date,AY$1093)=0,"NR",SUMIFS(GD_Guidance_High,GD_Item_Name,$B1099,GD_Item_FiscalPeriod,AY$1094,GD_Update_Date,AY$1093)))</f>
        <v>0.66500000000000004</v>
      </c>
      <c r="AZ1099" s="594">
        <f>IF(ISBLANK(AZ$1094),"N/A",IF(COUNTIFS(GD_Item_FiscalPeriod,AZ$1094,GD_Item_Name,$B1099,GD_Update_Date,AZ$1093)=0,"NR",SUMIFS(GD_Guidance_High,GD_Item_Name,$B1099,GD_Item_FiscalPeriod,AZ$1094,GD_Update_Date,AZ$1093)))</f>
        <v>0.67</v>
      </c>
      <c r="BA1099" s="594">
        <f>IF(ISBLANK(BA$1094),"N/A",IF(COUNTIFS(GD_Item_FiscalPeriod,BA$1094,GD_Item_Name,$B1099,GD_Update_Date,BA$1093)=0,"NR",SUMIFS(GD_Guidance_High,GD_Item_Name,$B1099,GD_Item_FiscalPeriod,BA$1094,GD_Update_Date,BA$1093)))</f>
        <v>0.67500000000000004</v>
      </c>
      <c r="BB1099" s="594">
        <f>IF(ISBLANK(BB$1094),"N/A",IF(COUNTIFS(GD_Item_FiscalPeriod,BB$1094,GD_Item_Name,$B1099,GD_Update_Date,BB$1093)=0,"NR",SUMIFS(GD_Guidance_High,GD_Item_Name,$B1099,GD_Item_FiscalPeriod,BB$1094,GD_Update_Date,BB$1093)))</f>
        <v>0.67500000000000004</v>
      </c>
      <c r="BC1099" s="594">
        <f>IF(ISBLANK(BC$1094),"N/A",IF(COUNTIFS(GD_Item_FiscalPeriod,BC$1094,GD_Item_Name,$B1099,GD_Update_Date,BC$1093)=0,"NR",SUMIFS(GD_Guidance_High,GD_Item_Name,$B1099,GD_Item_FiscalPeriod,BC$1094,GD_Update_Date,BC$1093)))</f>
        <v>0.67500000000000004</v>
      </c>
      <c r="BD1099" s="594">
        <f>IF(ISBLANK(BD$1094),"N/A",IF(COUNTIFS(GD_Item_FiscalPeriod,BD$1094,GD_Item_Name,$B1099,GD_Update_Date,BD$1093)=0,"NR",SUMIFS(GD_Guidance_High,GD_Item_Name,$B1099,GD_Item_FiscalPeriod,BD$1094,GD_Update_Date,BD$1093)))</f>
        <v>0.67500000000000004</v>
      </c>
      <c r="BE1099" s="594">
        <f>IF(ISBLANK(BE$1094),"N/A",IF(COUNTIFS(GD_Item_FiscalPeriod,BE$1094,GD_Item_Name,$B1099,GD_Update_Date,BE$1093)=0,"NR",SUMIFS(GD_Guidance_High,GD_Item_Name,$B1099,GD_Item_FiscalPeriod,BE$1094,GD_Update_Date,BE$1093)))</f>
        <v>0.67599999999999993</v>
      </c>
      <c r="BF1099" s="594">
        <f>IF(ISBLANK(BF$1094),"N/A",IF(COUNTIFS(GD_Item_FiscalPeriod,BF$1094,GD_Item_Name,$B1099,GD_Update_Date,BF$1093)=0,"NR",SUMIFS(GD_Guidance_High,GD_Item_Name,$B1099,GD_Item_FiscalPeriod,BF$1094,GD_Update_Date,BF$1093)))</f>
        <v>0.65</v>
      </c>
      <c r="BG1099" s="594">
        <f>IF(ISBLANK(BG$1094),"N/A",IF(COUNTIFS(GD_Item_FiscalPeriod,BG$1094,GD_Item_Name,$B1099,GD_Update_Date,BG$1093)=0,"NR",SUMIFS(GD_Guidance_High,GD_Item_Name,$B1099,GD_Item_FiscalPeriod,BG$1094,GD_Update_Date,BG$1093)))</f>
        <v>0.66500000000000004</v>
      </c>
      <c r="BH1099" s="594">
        <f>IF(ISBLANK(BH$1094),"N/A",IF(COUNTIFS(GD_Item_FiscalPeriod,BH$1094,GD_Item_Name,$B1099,GD_Update_Date,BH$1093)=0,"NR",SUMIFS(GD_Guidance_High,GD_Item_Name,$B1099,GD_Item_FiscalPeriod,BH$1094,GD_Update_Date,BH$1093)))</f>
        <v>0.67</v>
      </c>
      <c r="BI1099" s="594">
        <f>IF(ISBLANK(BI$1094),"N/A",IF(COUNTIFS(GD_Item_FiscalPeriod,BI$1094,GD_Item_Name,$B1099,GD_Update_Date,BI$1093)=0,"NR",SUMIFS(GD_Guidance_High,GD_Item_Name,$B1099,GD_Item_FiscalPeriod,BI$1094,GD_Update_Date,BI$1093)))</f>
        <v>0.67</v>
      </c>
      <c r="BJ1099" s="594">
        <f>IF(ISBLANK(BJ$1094),"N/A",IF(COUNTIFS(GD_Item_FiscalPeriod,BJ$1094,GD_Item_Name,$B1099,GD_Update_Date,BJ$1093)=0,"NR",SUMIFS(GD_Guidance_High,GD_Item_Name,$B1099,GD_Item_FiscalPeriod,BJ$1094,GD_Update_Date,BJ$1093)))</f>
        <v>0.70499999999999996</v>
      </c>
      <c r="BK1099" s="594">
        <f>IF(ISBLANK(BK$1094),"N/A",IF(COUNTIFS(GD_Item_FiscalPeriod,BK$1094,GD_Item_Name,$B1099,GD_Update_Date,BK$1093)=0,"NR",SUMIFS(GD_Guidance_High,GD_Item_Name,$B1099,GD_Item_FiscalPeriod,BK$1094,GD_Update_Date,BK$1093)))</f>
        <v>0.73</v>
      </c>
      <c r="BL1099" s="594">
        <f>IF(ISBLANK(BL$1094),"N/A",IF(COUNTIFS(GD_Item_FiscalPeriod,BL$1094,GD_Item_Name,$B1099,GD_Update_Date,BL$1093)=0,"NR",SUMIFS(GD_Guidance_High,GD_Item_Name,$B1099,GD_Item_FiscalPeriod,BL$1094,GD_Update_Date,BL$1093)))</f>
        <v>0.76</v>
      </c>
      <c r="BM1099" s="594">
        <f>IF(ISBLANK(BM$1094),"N/A",IF(COUNTIFS(GD_Item_FiscalPeriod,BM$1094,GD_Item_Name,$B1099,GD_Update_Date,BM$1093)=0,"NR",SUMIFS(GD_Guidance_High,GD_Item_Name,$B1099,GD_Item_FiscalPeriod,BM$1094,GD_Update_Date,BM$1093)))</f>
        <v>0.77500000000000002</v>
      </c>
      <c r="BN1099" s="594">
        <f>IF(ISBLANK(BN$1094),"N/A",IF(COUNTIFS(GD_Item_FiscalPeriod,BN$1094,GD_Item_Name,$B1099,GD_Update_Date,BN$1093)=0,"NR",SUMIFS(GD_Guidance_High,GD_Item_Name,$B1099,GD_Item_FiscalPeriod,BN$1094,GD_Update_Date,BN$1093)))</f>
        <v>0.77500000000000002</v>
      </c>
      <c r="BO1099" s="594">
        <f>IF(ISBLANK(BO$1094),"N/A",IF(COUNTIFS(GD_Item_FiscalPeriod,BO$1094,GD_Item_Name,$B1099,GD_Update_Date,BO$1093)=0,"NR",SUMIFS(GD_Guidance_High,GD_Item_Name,$B1099,GD_Item_FiscalPeriod,BO$1094,GD_Update_Date,BO$1093)))</f>
        <v>0.76</v>
      </c>
      <c r="BP1099" s="594">
        <f>IF(ISBLANK(BP$1094),"N/A",IF(COUNTIFS(GD_Item_FiscalPeriod,BP$1094,GD_Item_Name,$B1099,GD_Update_Date,BP$1093)=0,"NR",SUMIFS(GD_Guidance_High,GD_Item_Name,$B1099,GD_Item_FiscalPeriod,BP$1094,GD_Update_Date,BP$1093)))</f>
        <v>0.755</v>
      </c>
      <c r="BQ1099" s="594">
        <f>IF(ISBLANK(BQ$1094),"N/A",IF(COUNTIFS(GD_Item_FiscalPeriod,BQ$1094,GD_Item_Name,$B1099,GD_Update_Date,BQ$1093)=0,"NR",SUMIFS(GD_Guidance_High,GD_Item_Name,$B1099,GD_Item_FiscalPeriod,BQ$1094,GD_Update_Date,BQ$1093)))</f>
        <v>0.74</v>
      </c>
      <c r="BR1099" s="594">
        <f>IF(ISBLANK(BR$1094),"N/A",IF(COUNTIFS(GD_Item_FiscalPeriod,BR$1094,GD_Item_Name,$B1099,GD_Update_Date,BR$1093)=0,"NR",SUMIFS(GD_Guidance_High,GD_Item_Name,$B1099,GD_Item_FiscalPeriod,BR$1094,GD_Update_Date,BR$1093)))</f>
        <v>0.71499999999999997</v>
      </c>
      <c r="BS1099" s="594">
        <f>IF(ISBLANK(BS$1094),"N/A",IF(COUNTIFS(GD_Item_FiscalPeriod,BS$1094,GD_Item_Name,$B1099,GD_Update_Date,BS$1093)=0,"NR",SUMIFS(GD_Guidance_High,GD_Item_Name,$B1099,GD_Item_FiscalPeriod,BS$1094,GD_Update_Date,BS$1093)))</f>
        <v>0.71499999999999997</v>
      </c>
      <c r="BT1099" s="594">
        <f>IF(ISBLANK(BT$1094),"N/A",IF(COUNTIFS(GD_Item_FiscalPeriod,BT$1094,GD_Item_Name,$B1099,GD_Update_Date,BT$1093)=0,"NR",SUMIFS(GD_Guidance_High,GD_Item_Name,$B1099,GD_Item_FiscalPeriod,BT$1094,GD_Update_Date,BT$1093)))</f>
        <v>0.72499999999999998</v>
      </c>
      <c r="BU1099" s="594">
        <f>IF(ISBLANK(BU$1094),"N/A",IF(COUNTIFS(GD_Item_FiscalPeriod,BU$1094,GD_Item_Name,$B1099,GD_Update_Date,BU$1093)=0,"NR",SUMIFS(GD_Guidance_High,GD_Item_Name,$B1099,GD_Item_FiscalPeriod,BU$1094,GD_Update_Date,BU$1093)))</f>
        <v>0.74</v>
      </c>
      <c r="BV1099" s="594">
        <f>IF(ISBLANK(BV$1094),"N/A",IF(COUNTIFS(GD_Item_FiscalPeriod,BV$1094,GD_Item_Name,$B1099,GD_Update_Date,BV$1093)=0,"NR",SUMIFS(GD_Guidance_High,GD_Item_Name,$B1099,GD_Item_FiscalPeriod,BV$1094,GD_Update_Date,BV$1093)))</f>
        <v>0.755</v>
      </c>
      <c r="BW1099" s="594">
        <f>IF(ISBLANK(BW$1094),"N/A",IF(COUNTIFS(GD_Item_FiscalPeriod,BW$1094,GD_Item_Name,$B1099,GD_Update_Date,BW$1093)=0,"NR",SUMIFS(GD_Guidance_High,GD_Item_Name,$B1099,GD_Item_FiscalPeriod,BW$1094,GD_Update_Date,BW$1093)))</f>
        <v>0.75</v>
      </c>
      <c r="BX1099" s="594">
        <f>IF(ISBLANK(BX$1094),"N/A",IF(COUNTIFS(GD_Item_FiscalPeriod,BX$1094,GD_Item_Name,$B1099,GD_Update_Date,BX$1093)=0,"NR",SUMIFS(GD_Guidance_High,GD_Item_Name,$B1099,GD_Item_FiscalPeriod,BX$1094,GD_Update_Date,BX$1093)))</f>
        <v>0.75</v>
      </c>
      <c r="BY1099" s="732">
        <f>IF(ISBLANK(BY$1094),"N/A",IF(COUNTIFS(GD_Item_FiscalPeriod,BY$1094,GD_Item_Name,$B1099,GD_Update_Date,BY$1093)=0,"NR",SUMIFS(GD_Guidance_High,GD_Item_Name,$B1099,GD_Item_FiscalPeriod,BY$1094,GD_Update_Date,BY$1093)))</f>
        <v>0.755</v>
      </c>
      <c r="BZ1099" s="594" t="str">
        <f>IF(ISBLANK(BZ$1094),"N/A",IF(COUNTIFS(GD_Item_FiscalPeriod,BZ$1094,GD_Item_Name,$B1099,GD_Update_Date,BZ$1093)=0,"NR",SUMIFS(GD_Guidance_High,GD_Item_Name,$B1099,GD_Item_FiscalPeriod,BZ$1094,GD_Update_Date,BZ$1093)))</f>
        <v>N/A</v>
      </c>
      <c r="CA1099" s="594" t="str">
        <f>IF(ISBLANK(CA$1094),"N/A",IF(COUNTIFS(GD_Item_FiscalPeriod,CA$1094,GD_Item_Name,$B1099,GD_Update_Date,CA$1093)=0,"NR",SUMIFS(GD_Guidance_High,GD_Item_Name,$B1099,GD_Item_FiscalPeriod,CA$1094,GD_Update_Date,CA$1093)))</f>
        <v>N/A</v>
      </c>
      <c r="CB1099" s="594" t="str">
        <f>IF(ISBLANK(CB$1094),"N/A",IF(COUNTIFS(GD_Item_FiscalPeriod,CB$1094,GD_Item_Name,$B1099,GD_Update_Date,CB$1093)=0,"NR",SUMIFS(GD_Guidance_High,GD_Item_Name,$B1099,GD_Item_FiscalPeriod,CB$1094,GD_Update_Date,CB$1093)))</f>
        <v>N/A</v>
      </c>
      <c r="CC1099" s="594" t="str">
        <f>IF(ISBLANK(CC$1094),"N/A",IF(COUNTIFS(GD_Item_FiscalPeriod,CC$1094,GD_Item_Name,$B1099,GD_Update_Date,CC$1093)=0,"NR",SUMIFS(GD_Guidance_High,GD_Item_Name,$B1099,GD_Item_FiscalPeriod,CC$1094,GD_Update_Date,CC$1093)))</f>
        <v>N/A</v>
      </c>
      <c r="CD1099" s="594" t="str">
        <f>IF(ISBLANK(CD$1094),"N/A",IF(COUNTIFS(GD_Item_FiscalPeriod,CD$1094,GD_Item_Name,$B1099,GD_Update_Date,CD$1093)=0,"NR",SUMIFS(GD_Guidance_High,GD_Item_Name,$B1099,GD_Item_FiscalPeriod,CD$1094,GD_Update_Date,CD$1093)))</f>
        <v>N/A</v>
      </c>
      <c r="CE1099" s="594" t="str">
        <f>IF(ISBLANK(CE$1094),"N/A",IF(COUNTIFS(GD_Item_FiscalPeriod,CE$1094,GD_Item_Name,$B1099,GD_Update_Date,CE$1093)=0,"NR",SUMIFS(GD_Guidance_High,GD_Item_Name,$B1099,GD_Item_FiscalPeriod,CE$1094,GD_Update_Date,CE$1093)))</f>
        <v>N/A</v>
      </c>
      <c r="CF1099" s="594" t="str">
        <f>IF(ISBLANK(CF$1094),"N/A",IF(COUNTIFS(GD_Item_FiscalPeriod,CF$1094,GD_Item_Name,$B1099,GD_Update_Date,CF$1093)=0,"NR",SUMIFS(GD_Guidance_High,GD_Item_Name,$B1099,GD_Item_FiscalPeriod,CF$1094,GD_Update_Date,CF$1093)))</f>
        <v>N/A</v>
      </c>
      <c r="CG1099" s="594" t="str">
        <f>IF(ISBLANK(CG$1094),"N/A",IF(COUNTIFS(GD_Item_FiscalPeriod,CG$1094,GD_Item_Name,$B1099,GD_Update_Date,CG$1093)=0,"NR",SUMIFS(GD_Guidance_High,GD_Item_Name,$B1099,GD_Item_FiscalPeriod,CG$1094,GD_Update_Date,CG$1093)))</f>
        <v>N/A</v>
      </c>
      <c r="CH1099" s="594" t="str">
        <f>IF(ISBLANK(CH$1094),"N/A",IF(COUNTIFS(GD_Item_FiscalPeriod,CH$1094,GD_Item_Name,$B1099,GD_Update_Date,CH$1093)=0,"NR",SUMIFS(GD_Guidance_High,GD_Item_Name,$B1099,GD_Item_FiscalPeriod,CH$1094,GD_Update_Date,CH$1093)))</f>
        <v>N/A</v>
      </c>
      <c r="CI1099" s="594" t="str">
        <f>IF(ISBLANK(CI$1094),"N/A",IF(COUNTIFS(GD_Item_FiscalPeriod,CI$1094,GD_Item_Name,$B1099,GD_Update_Date,CI$1093)=0,"NR",SUMIFS(GD_Guidance_High,GD_Item_Name,$B1099,GD_Item_FiscalPeriod,CI$1094,GD_Update_Date,CI$1093)))</f>
        <v>N/A</v>
      </c>
      <c r="CJ1099" s="594" t="str">
        <f>IF(ISBLANK(CJ$1094),"N/A",IF(COUNTIFS(GD_Item_FiscalPeriod,CJ$1094,GD_Item_Name,$B1099,GD_Update_Date,CJ$1093)=0,"NR",SUMIFS(GD_Guidance_High,GD_Item_Name,$B1099,GD_Item_FiscalPeriod,CJ$1094,GD_Update_Date,CJ$1093)))</f>
        <v>N/A</v>
      </c>
      <c r="CK1099" s="796" t="str">
        <f>IF(ISBLANK(CK$1094),"N/A",IF(COUNTIFS(GD_Item_FiscalPeriod,CK$1094,GD_Item_Name,$B1099,GD_Update_Date,CK$1093)=0,"NR",SUMIFS(GD_Guidance_High,GD_Item_Name,$B1099,GD_Item_FiscalPeriod,CK$1094,GD_Update_Date,CK$1093)))</f>
        <v>N/A</v>
      </c>
      <c r="CL1099" s="155"/>
    </row>
    <row r="1100" spans="1:90" x14ac:dyDescent="0.3">
      <c r="A1100" s="795" t="s">
        <v>945</v>
      </c>
      <c r="B1100" s="1069" t="s">
        <v>304</v>
      </c>
      <c r="C1100" s="1038"/>
      <c r="D1100" s="1038"/>
      <c r="E1100" s="594"/>
      <c r="F1100" s="594"/>
      <c r="G1100" s="594"/>
      <c r="H1100" s="594"/>
      <c r="I1100" s="594"/>
      <c r="J1100" s="594"/>
      <c r="K1100" s="594"/>
      <c r="L1100" s="594"/>
      <c r="M1100" s="594"/>
      <c r="N1100" s="594"/>
      <c r="O1100" s="594"/>
      <c r="P1100" s="594"/>
      <c r="Q1100" s="594"/>
      <c r="R1100" s="594"/>
      <c r="S1100" s="594"/>
      <c r="T1100" s="594"/>
      <c r="U1100" s="594"/>
      <c r="V1100" s="594"/>
      <c r="W1100" s="594"/>
      <c r="X1100" s="594"/>
      <c r="Y1100" s="594"/>
      <c r="Z1100" s="594"/>
      <c r="AA1100" s="594"/>
      <c r="AB1100" s="594"/>
      <c r="AC1100" s="594"/>
      <c r="AD1100" s="594"/>
      <c r="AE1100" s="594"/>
      <c r="AF1100" s="594"/>
      <c r="AG1100" s="594"/>
      <c r="AH1100" s="594">
        <f>IF(ISBLANK(AH$1094),"N/A",IF(COUNTIFS(GD_Item_FiscalPeriod,AH$1094,GD_Item_Name,$B1100,GD_Update_Date,AH$1093)=0,"NR",SUMIFS(GD_Guidance_Mid,GD_Item_Name,$B1100,GD_Item_FiscalPeriod,AH$1094,GD_Update_Date,AH$1093)))</f>
        <v>0.6</v>
      </c>
      <c r="AI1100" s="594">
        <f>IF(ISBLANK(AI$1094),"N/A",IF(COUNTIFS(GD_Item_FiscalPeriod,AI$1094,GD_Item_Name,$B1100,GD_Update_Date,AI$1093)=0,"NR",SUMIFS(GD_Guidance_Mid,GD_Item_Name,$B1100,GD_Item_FiscalPeriod,AI$1094,GD_Update_Date,AI$1093)))</f>
        <v>0.63</v>
      </c>
      <c r="AJ1100" s="594">
        <f>IF(ISBLANK(AJ$1094),"N/A",IF(COUNTIFS(GD_Item_FiscalPeriod,AJ$1094,GD_Item_Name,$B1100,GD_Update_Date,AJ$1093)=0,"NR",SUMIFS(GD_Guidance_Mid,GD_Item_Name,$B1100,GD_Item_FiscalPeriod,AJ$1094,GD_Update_Date,AJ$1093)))</f>
        <v>0.63</v>
      </c>
      <c r="AK1100" s="594">
        <f>IF(ISBLANK(AK$1094),"N/A",IF(COUNTIFS(GD_Item_FiscalPeriod,AK$1094,GD_Item_Name,$B1100,GD_Update_Date,AK$1093)=0,"NR",SUMIFS(GD_Guidance_Mid,GD_Item_Name,$B1100,GD_Item_FiscalPeriod,AK$1094,GD_Update_Date,AK$1093)))</f>
        <v>0.63500000000000001</v>
      </c>
      <c r="AL1100" s="594">
        <f>IF(ISBLANK(AL$1094),"N/A",IF(COUNTIFS(GD_Item_FiscalPeriod,AL$1094,GD_Item_Name,$B1100,GD_Update_Date,AL$1093)=0,"NR",SUMIFS(GD_Guidance_Mid,GD_Item_Name,$B1100,GD_Item_FiscalPeriod,AL$1094,GD_Update_Date,AL$1093)))</f>
        <v>0.628</v>
      </c>
      <c r="AM1100" s="594">
        <f>IF(ISBLANK(AM$1094),"N/A",IF(COUNTIFS(GD_Item_FiscalPeriod,AM$1094,GD_Item_Name,$B1100,GD_Update_Date,AM$1093)=0,"NR",SUMIFS(GD_Guidance_Mid,GD_Item_Name,$B1100,GD_Item_FiscalPeriod,AM$1094,GD_Update_Date,AM$1093)))</f>
        <v>0.625</v>
      </c>
      <c r="AN1100" s="594">
        <f>IF(ISBLANK(AN$1094),"N/A",IF(COUNTIFS(GD_Item_FiscalPeriod,AN$1094,GD_Item_Name,$B1100,GD_Update_Date,AN$1093)=0,"NR",SUMIFS(GD_Guidance_Mid,GD_Item_Name,$B1100,GD_Item_FiscalPeriod,AN$1094,GD_Update_Date,AN$1093)))</f>
        <v>0.59</v>
      </c>
      <c r="AO1100" s="594">
        <f>IF(ISBLANK(AO$1094),"N/A",IF(COUNTIFS(GD_Item_FiscalPeriod,AO$1094,GD_Item_Name,$B1100,GD_Update_Date,AO$1093)=0,"NR",SUMIFS(GD_Guidance_Mid,GD_Item_Name,$B1100,GD_Item_FiscalPeriod,AO$1094,GD_Update_Date,AO$1093)))</f>
        <v>0.59</v>
      </c>
      <c r="AP1100" s="594">
        <f>IF(ISBLANK(AP$1094),"N/A",IF(COUNTIFS(GD_Item_FiscalPeriod,AP$1094,GD_Item_Name,$B1100,GD_Update_Date,AP$1093)=0,"NR",SUMIFS(GD_Guidance_Mid,GD_Item_Name,$B1100,GD_Item_FiscalPeriod,AP$1094,GD_Update_Date,AP$1093)))</f>
        <v>0.59499999999999997</v>
      </c>
      <c r="AQ1100" s="594">
        <f>IF(ISBLANK(AQ$1094),"N/A",IF(COUNTIFS(GD_Item_FiscalPeriod,AQ$1094,GD_Item_Name,$B1100,GD_Update_Date,AQ$1093)=0,"NR",SUMIFS(GD_Guidance_Mid,GD_Item_Name,$B1100,GD_Item_FiscalPeriod,AQ$1094,GD_Update_Date,AQ$1093)))</f>
        <v>0.625</v>
      </c>
      <c r="AR1100" s="594">
        <f>IF(ISBLANK(AR$1094),"N/A",IF(COUNTIFS(GD_Item_FiscalPeriod,AR$1094,GD_Item_Name,$B1100,GD_Update_Date,AR$1093)=0,"NR",SUMIFS(GD_Guidance_Mid,GD_Item_Name,$B1100,GD_Item_FiscalPeriod,AR$1094,GD_Update_Date,AR$1093)))</f>
        <v>0.64500000000000002</v>
      </c>
      <c r="AS1100" s="594">
        <f>IF(ISBLANK(AS$1094),"N/A",IF(COUNTIFS(GD_Item_FiscalPeriod,AS$1094,GD_Item_Name,$B1100,GD_Update_Date,AS$1093)=0,"NR",SUMIFS(GD_Guidance_Mid,GD_Item_Name,$B1100,GD_Item_FiscalPeriod,AS$1094,GD_Update_Date,AS$1093)))</f>
        <v>0.65400000000000003</v>
      </c>
      <c r="AT1100" s="594">
        <f>IF(ISBLANK(AT$1094),"N/A",IF(COUNTIFS(GD_Item_FiscalPeriod,AT$1094,GD_Item_Name,$B1100,GD_Update_Date,AT$1093)=0,"NR",SUMIFS(GD_Guidance_Mid,GD_Item_Name,$B1100,GD_Item_FiscalPeriod,AT$1094,GD_Update_Date,AT$1093)))</f>
        <v>0.65400000000000003</v>
      </c>
      <c r="AU1100" s="594">
        <f>IF(ISBLANK(AU$1094),"N/A",IF(COUNTIFS(GD_Item_FiscalPeriod,AU$1094,GD_Item_Name,$B1100,GD_Update_Date,AU$1093)=0,"NR",SUMIFS(GD_Guidance_Mid,GD_Item_Name,$B1100,GD_Item_FiscalPeriod,AU$1094,GD_Update_Date,AU$1093)))</f>
        <v>0.66</v>
      </c>
      <c r="AV1100" s="594">
        <f>IF(ISBLANK(AV$1094),"N/A",IF(COUNTIFS(GD_Item_FiscalPeriod,AV$1094,GD_Item_Name,$B1100,GD_Update_Date,AV$1093)=0,"NR",SUMIFS(GD_Guidance_Mid,GD_Item_Name,$B1100,GD_Item_FiscalPeriod,AV$1094,GD_Update_Date,AV$1093)))</f>
        <v>0.65500000000000003</v>
      </c>
      <c r="AW1100" s="594">
        <f>IF(ISBLANK(AW$1094),"N/A",IF(COUNTIFS(GD_Item_FiscalPeriod,AW$1094,GD_Item_Name,$B1100,GD_Update_Date,AW$1093)=0,"NR",SUMIFS(GD_Guidance_Mid,GD_Item_Name,$B1100,GD_Item_FiscalPeriod,AW$1094,GD_Update_Date,AW$1093)))</f>
        <v>0.65500000000000003</v>
      </c>
      <c r="AX1100" s="594">
        <f>IF(ISBLANK(AX$1094),"N/A",IF(COUNTIFS(GD_Item_FiscalPeriod,AX$1094,GD_Item_Name,$B1100,GD_Update_Date,AX$1093)=0,"NR",SUMIFS(GD_Guidance_Mid,GD_Item_Name,$B1100,GD_Item_FiscalPeriod,AX$1094,GD_Update_Date,AX$1093)))</f>
        <v>0.66</v>
      </c>
      <c r="AY1100" s="594">
        <f>IF(ISBLANK(AY$1094),"N/A",IF(COUNTIFS(GD_Item_FiscalPeriod,AY$1094,GD_Item_Name,$B1100,GD_Update_Date,AY$1093)=0,"NR",SUMIFS(GD_Guidance_Mid,GD_Item_Name,$B1100,GD_Item_FiscalPeriod,AY$1094,GD_Update_Date,AY$1093)))</f>
        <v>0.66</v>
      </c>
      <c r="AZ1100" s="594">
        <f>IF(ISBLANK(AZ$1094),"N/A",IF(COUNTIFS(GD_Item_FiscalPeriod,AZ$1094,GD_Item_Name,$B1100,GD_Update_Date,AZ$1093)=0,"NR",SUMIFS(GD_Guidance_Mid,GD_Item_Name,$B1100,GD_Item_FiscalPeriod,AZ$1094,GD_Update_Date,AZ$1093)))</f>
        <v>0.66500000000000004</v>
      </c>
      <c r="BA1100" s="594">
        <f>IF(ISBLANK(BA$1094),"N/A",IF(COUNTIFS(GD_Item_FiscalPeriod,BA$1094,GD_Item_Name,$B1100,GD_Update_Date,BA$1093)=0,"NR",SUMIFS(GD_Guidance_Mid,GD_Item_Name,$B1100,GD_Item_FiscalPeriod,BA$1094,GD_Update_Date,BA$1093)))</f>
        <v>0.67</v>
      </c>
      <c r="BB1100" s="594">
        <f>IF(ISBLANK(BB$1094),"N/A",IF(COUNTIFS(GD_Item_FiscalPeriod,BB$1094,GD_Item_Name,$B1100,GD_Update_Date,BB$1093)=0,"NR",SUMIFS(GD_Guidance_Mid,GD_Item_Name,$B1100,GD_Item_FiscalPeriod,BB$1094,GD_Update_Date,BB$1093)))</f>
        <v>0.67</v>
      </c>
      <c r="BC1100" s="594">
        <f>IF(ISBLANK(BC$1094),"N/A",IF(COUNTIFS(GD_Item_FiscalPeriod,BC$1094,GD_Item_Name,$B1100,GD_Update_Date,BC$1093)=0,"NR",SUMIFS(GD_Guidance_Mid,GD_Item_Name,$B1100,GD_Item_FiscalPeriod,BC$1094,GD_Update_Date,BC$1093)))</f>
        <v>0.67</v>
      </c>
      <c r="BD1100" s="594">
        <f>IF(ISBLANK(BD$1094),"N/A",IF(COUNTIFS(GD_Item_FiscalPeriod,BD$1094,GD_Item_Name,$B1100,GD_Update_Date,BD$1093)=0,"NR",SUMIFS(GD_Guidance_Mid,GD_Item_Name,$B1100,GD_Item_FiscalPeriod,BD$1094,GD_Update_Date,BD$1093)))</f>
        <v>0.67</v>
      </c>
      <c r="BE1100" s="594">
        <f>IF(ISBLANK(BE$1094),"N/A",IF(COUNTIFS(GD_Item_FiscalPeriod,BE$1094,GD_Item_Name,$B1100,GD_Update_Date,BE$1093)=0,"NR",SUMIFS(GD_Guidance_Mid,GD_Item_Name,$B1100,GD_Item_FiscalPeriod,BE$1094,GD_Update_Date,BE$1093)))</f>
        <v>0.67099999999999993</v>
      </c>
      <c r="BF1100" s="594">
        <f>IF(ISBLANK(BF$1094),"N/A",IF(COUNTIFS(GD_Item_FiscalPeriod,BF$1094,GD_Item_Name,$B1100,GD_Update_Date,BF$1093)=0,"NR",SUMIFS(GD_Guidance_Mid,GD_Item_Name,$B1100,GD_Item_FiscalPeriod,BF$1094,GD_Update_Date,BF$1093)))</f>
        <v>0.65</v>
      </c>
      <c r="BG1100" s="594">
        <f>IF(ISBLANK(BG$1094),"N/A",IF(COUNTIFS(GD_Item_FiscalPeriod,BG$1094,GD_Item_Name,$B1100,GD_Update_Date,BG$1093)=0,"NR",SUMIFS(GD_Guidance_Mid,GD_Item_Name,$B1100,GD_Item_FiscalPeriod,BG$1094,GD_Update_Date,BG$1093)))</f>
        <v>0.66</v>
      </c>
      <c r="BH1100" s="594">
        <f>IF(ISBLANK(BH$1094),"N/A",IF(COUNTIFS(GD_Item_FiscalPeriod,BH$1094,GD_Item_Name,$B1100,GD_Update_Date,BH$1093)=0,"NR",SUMIFS(GD_Guidance_Mid,GD_Item_Name,$B1100,GD_Item_FiscalPeriod,BH$1094,GD_Update_Date,BH$1093)))</f>
        <v>0.66500000000000004</v>
      </c>
      <c r="BI1100" s="594">
        <f>IF(ISBLANK(BI$1094),"N/A",IF(COUNTIFS(GD_Item_FiscalPeriod,BI$1094,GD_Item_Name,$B1100,GD_Update_Date,BI$1093)=0,"NR",SUMIFS(GD_Guidance_Mid,GD_Item_Name,$B1100,GD_Item_FiscalPeriod,BI$1094,GD_Update_Date,BI$1093)))</f>
        <v>0.66500000000000004</v>
      </c>
      <c r="BJ1100" s="594">
        <f>IF(ISBLANK(BJ$1094),"N/A",IF(COUNTIFS(GD_Item_FiscalPeriod,BJ$1094,GD_Item_Name,$B1100,GD_Update_Date,BJ$1093)=0,"NR",SUMIFS(GD_Guidance_Mid,GD_Item_Name,$B1100,GD_Item_FiscalPeriod,BJ$1094,GD_Update_Date,BJ$1093)))</f>
        <v>0.7</v>
      </c>
      <c r="BK1100" s="594">
        <f>IF(ISBLANK(BK$1094),"N/A",IF(COUNTIFS(GD_Item_FiscalPeriod,BK$1094,GD_Item_Name,$B1100,GD_Update_Date,BK$1093)=0,"NR",SUMIFS(GD_Guidance_Mid,GD_Item_Name,$B1100,GD_Item_FiscalPeriod,BK$1094,GD_Update_Date,BK$1093)))</f>
        <v>0.72499999999999998</v>
      </c>
      <c r="BL1100" s="594">
        <f>IF(ISBLANK(BL$1094),"N/A",IF(COUNTIFS(GD_Item_FiscalPeriod,BL$1094,GD_Item_Name,$B1100,GD_Update_Date,BL$1093)=0,"NR",SUMIFS(GD_Guidance_Mid,GD_Item_Name,$B1100,GD_Item_FiscalPeriod,BL$1094,GD_Update_Date,BL$1093)))</f>
        <v>0.755</v>
      </c>
      <c r="BM1100" s="594">
        <f>IF(ISBLANK(BM$1094),"N/A",IF(COUNTIFS(GD_Item_FiscalPeriod,BM$1094,GD_Item_Name,$B1100,GD_Update_Date,BM$1093)=0,"NR",SUMIFS(GD_Guidance_Mid,GD_Item_Name,$B1100,GD_Item_FiscalPeriod,BM$1094,GD_Update_Date,BM$1093)))</f>
        <v>0.77</v>
      </c>
      <c r="BN1100" s="594">
        <f>IF(ISBLANK(BN$1094),"N/A",IF(COUNTIFS(GD_Item_FiscalPeriod,BN$1094,GD_Item_Name,$B1100,GD_Update_Date,BN$1093)=0,"NR",SUMIFS(GD_Guidance_Mid,GD_Item_Name,$B1100,GD_Item_FiscalPeriod,BN$1094,GD_Update_Date,BN$1093)))</f>
        <v>0.77</v>
      </c>
      <c r="BO1100" s="594">
        <f>IF(ISBLANK(BO$1094),"N/A",IF(COUNTIFS(GD_Item_FiscalPeriod,BO$1094,GD_Item_Name,$B1100,GD_Update_Date,BO$1093)=0,"NR",SUMIFS(GD_Guidance_Mid,GD_Item_Name,$B1100,GD_Item_FiscalPeriod,BO$1094,GD_Update_Date,BO$1093)))</f>
        <v>0.755</v>
      </c>
      <c r="BP1100" s="594">
        <f>IF(ISBLANK(BP$1094),"N/A",IF(COUNTIFS(GD_Item_FiscalPeriod,BP$1094,GD_Item_Name,$B1100,GD_Update_Date,BP$1093)=0,"NR",SUMIFS(GD_Guidance_Mid,GD_Item_Name,$B1100,GD_Item_FiscalPeriod,BP$1094,GD_Update_Date,BP$1093)))</f>
        <v>0.75</v>
      </c>
      <c r="BQ1100" s="594">
        <f>IF(ISBLANK(BQ$1094),"N/A",IF(COUNTIFS(GD_Item_FiscalPeriod,BQ$1094,GD_Item_Name,$B1100,GD_Update_Date,BQ$1093)=0,"NR",SUMIFS(GD_Guidance_Mid,GD_Item_Name,$B1100,GD_Item_FiscalPeriod,BQ$1094,GD_Update_Date,BQ$1093)))</f>
        <v>0.73499999999999999</v>
      </c>
      <c r="BR1100" s="594">
        <f>IF(ISBLANK(BR$1094),"N/A",IF(COUNTIFS(GD_Item_FiscalPeriod,BR$1094,GD_Item_Name,$B1100,GD_Update_Date,BR$1093)=0,"NR",SUMIFS(GD_Guidance_Mid,GD_Item_Name,$B1100,GD_Item_FiscalPeriod,BR$1094,GD_Update_Date,BR$1093)))</f>
        <v>0.71</v>
      </c>
      <c r="BS1100" s="594">
        <f>IF(ISBLANK(BS$1094),"N/A",IF(COUNTIFS(GD_Item_FiscalPeriod,BS$1094,GD_Item_Name,$B1100,GD_Update_Date,BS$1093)=0,"NR",SUMIFS(GD_Guidance_Mid,GD_Item_Name,$B1100,GD_Item_FiscalPeriod,BS$1094,GD_Update_Date,BS$1093)))</f>
        <v>0.71</v>
      </c>
      <c r="BT1100" s="594">
        <f>IF(ISBLANK(BT$1094),"N/A",IF(COUNTIFS(GD_Item_FiscalPeriod,BT$1094,GD_Item_Name,$B1100,GD_Update_Date,BT$1093)=0,"NR",SUMIFS(GD_Guidance_Mid,GD_Item_Name,$B1100,GD_Item_FiscalPeriod,BT$1094,GD_Update_Date,BT$1093)))</f>
        <v>0.72</v>
      </c>
      <c r="BU1100" s="594">
        <f>IF(ISBLANK(BU$1094),"N/A",IF(COUNTIFS(GD_Item_FiscalPeriod,BU$1094,GD_Item_Name,$B1100,GD_Update_Date,BU$1093)=0,"NR",SUMIFS(GD_Guidance_Mid,GD_Item_Name,$B1100,GD_Item_FiscalPeriod,BU$1094,GD_Update_Date,BU$1093)))</f>
        <v>0.73499999999999999</v>
      </c>
      <c r="BV1100" s="594">
        <f>IF(ISBLANK(BV$1094),"N/A",IF(COUNTIFS(GD_Item_FiscalPeriod,BV$1094,GD_Item_Name,$B1100,GD_Update_Date,BV$1093)=0,"NR",SUMIFS(GD_Guidance_Mid,GD_Item_Name,$B1100,GD_Item_FiscalPeriod,BV$1094,GD_Update_Date,BV$1093)))</f>
        <v>0.75</v>
      </c>
      <c r="BW1100" s="594">
        <f>IF(ISBLANK(BW$1094),"N/A",IF(COUNTIFS(GD_Item_FiscalPeriod,BW$1094,GD_Item_Name,$B1100,GD_Update_Date,BW$1093)=0,"NR",SUMIFS(GD_Guidance_Mid,GD_Item_Name,$B1100,GD_Item_FiscalPeriod,BW$1094,GD_Update_Date,BW$1093)))</f>
        <v>0.75</v>
      </c>
      <c r="BX1100" s="594">
        <f>IF(ISBLANK(BX$1094),"N/A",IF(COUNTIFS(GD_Item_FiscalPeriod,BX$1094,GD_Item_Name,$B1100,GD_Update_Date,BX$1093)=0,"NR",SUMIFS(GD_Guidance_Mid,GD_Item_Name,$B1100,GD_Item_FiscalPeriod,BX$1094,GD_Update_Date,BX$1093)))</f>
        <v>0.75</v>
      </c>
      <c r="BY1100" s="732">
        <f>IF(ISBLANK(BY$1094),"N/A",IF(COUNTIFS(GD_Item_FiscalPeriod,BY$1094,GD_Item_Name,$B1100,GD_Update_Date,BY$1093)=0,"NR",SUMIFS(GD_Guidance_Mid,GD_Item_Name,$B1100,GD_Item_FiscalPeriod,BY$1094,GD_Update_Date,BY$1093)))</f>
        <v>0.75</v>
      </c>
      <c r="BZ1100" s="594" t="str">
        <f>IF(ISBLANK(BZ$1094),"N/A",IF(COUNTIFS(GD_Item_FiscalPeriod,BZ$1094,GD_Item_Name,$B1100,GD_Update_Date,BZ$1093)=0,"NR",SUMIFS(GD_Guidance_Mid,GD_Item_Name,$B1100,GD_Item_FiscalPeriod,BZ$1094,GD_Update_Date,BZ$1093)))</f>
        <v>N/A</v>
      </c>
      <c r="CA1100" s="594" t="str">
        <f>IF(ISBLANK(CA$1094),"N/A",IF(COUNTIFS(GD_Item_FiscalPeriod,CA$1094,GD_Item_Name,$B1100,GD_Update_Date,CA$1093)=0,"NR",SUMIFS(GD_Guidance_Mid,GD_Item_Name,$B1100,GD_Item_FiscalPeriod,CA$1094,GD_Update_Date,CA$1093)))</f>
        <v>N/A</v>
      </c>
      <c r="CB1100" s="594" t="str">
        <f>IF(ISBLANK(CB$1094),"N/A",IF(COUNTIFS(GD_Item_FiscalPeriod,CB$1094,GD_Item_Name,$B1100,GD_Update_Date,CB$1093)=0,"NR",SUMIFS(GD_Guidance_Mid,GD_Item_Name,$B1100,GD_Item_FiscalPeriod,CB$1094,GD_Update_Date,CB$1093)))</f>
        <v>N/A</v>
      </c>
      <c r="CC1100" s="594" t="str">
        <f>IF(ISBLANK(CC$1094),"N/A",IF(COUNTIFS(GD_Item_FiscalPeriod,CC$1094,GD_Item_Name,$B1100,GD_Update_Date,CC$1093)=0,"NR",SUMIFS(GD_Guidance_Mid,GD_Item_Name,$B1100,GD_Item_FiscalPeriod,CC$1094,GD_Update_Date,CC$1093)))</f>
        <v>N/A</v>
      </c>
      <c r="CD1100" s="594" t="str">
        <f>IF(ISBLANK(CD$1094),"N/A",IF(COUNTIFS(GD_Item_FiscalPeriod,CD$1094,GD_Item_Name,$B1100,GD_Update_Date,CD$1093)=0,"NR",SUMIFS(GD_Guidance_Mid,GD_Item_Name,$B1100,GD_Item_FiscalPeriod,CD$1094,GD_Update_Date,CD$1093)))</f>
        <v>N/A</v>
      </c>
      <c r="CE1100" s="594" t="str">
        <f>IF(ISBLANK(CE$1094),"N/A",IF(COUNTIFS(GD_Item_FiscalPeriod,CE$1094,GD_Item_Name,$B1100,GD_Update_Date,CE$1093)=0,"NR",SUMIFS(GD_Guidance_Mid,GD_Item_Name,$B1100,GD_Item_FiscalPeriod,CE$1094,GD_Update_Date,CE$1093)))</f>
        <v>N/A</v>
      </c>
      <c r="CF1100" s="594" t="str">
        <f>IF(ISBLANK(CF$1094),"N/A",IF(COUNTIFS(GD_Item_FiscalPeriod,CF$1094,GD_Item_Name,$B1100,GD_Update_Date,CF$1093)=0,"NR",SUMIFS(GD_Guidance_Mid,GD_Item_Name,$B1100,GD_Item_FiscalPeriod,CF$1094,GD_Update_Date,CF$1093)))</f>
        <v>N/A</v>
      </c>
      <c r="CG1100" s="594" t="str">
        <f>IF(ISBLANK(CG$1094),"N/A",IF(COUNTIFS(GD_Item_FiscalPeriod,CG$1094,GD_Item_Name,$B1100,GD_Update_Date,CG$1093)=0,"NR",SUMIFS(GD_Guidance_Mid,GD_Item_Name,$B1100,GD_Item_FiscalPeriod,CG$1094,GD_Update_Date,CG$1093)))</f>
        <v>N/A</v>
      </c>
      <c r="CH1100" s="594" t="str">
        <f>IF(ISBLANK(CH$1094),"N/A",IF(COUNTIFS(GD_Item_FiscalPeriod,CH$1094,GD_Item_Name,$B1100,GD_Update_Date,CH$1093)=0,"NR",SUMIFS(GD_Guidance_Mid,GD_Item_Name,$B1100,GD_Item_FiscalPeriod,CH$1094,GD_Update_Date,CH$1093)))</f>
        <v>N/A</v>
      </c>
      <c r="CI1100" s="594" t="str">
        <f>IF(ISBLANK(CI$1094),"N/A",IF(COUNTIFS(GD_Item_FiscalPeriod,CI$1094,GD_Item_Name,$B1100,GD_Update_Date,CI$1093)=0,"NR",SUMIFS(GD_Guidance_Mid,GD_Item_Name,$B1100,GD_Item_FiscalPeriod,CI$1094,GD_Update_Date,CI$1093)))</f>
        <v>N/A</v>
      </c>
      <c r="CJ1100" s="594" t="str">
        <f>IF(ISBLANK(CJ$1094),"N/A",IF(COUNTIFS(GD_Item_FiscalPeriod,CJ$1094,GD_Item_Name,$B1100,GD_Update_Date,CJ$1093)=0,"NR",SUMIFS(GD_Guidance_Mid,GD_Item_Name,$B1100,GD_Item_FiscalPeriod,CJ$1094,GD_Update_Date,CJ$1093)))</f>
        <v>N/A</v>
      </c>
      <c r="CK1100" s="796" t="str">
        <f>IF(ISBLANK(CK$1094),"N/A",IF(COUNTIFS(GD_Item_FiscalPeriod,CK$1094,GD_Item_Name,$B1100,GD_Update_Date,CK$1093)=0,"NR",SUMIFS(GD_Guidance_Mid,GD_Item_Name,$B1100,GD_Item_FiscalPeriod,CK$1094,GD_Update_Date,CK$1093)))</f>
        <v>N/A</v>
      </c>
      <c r="CL1100" s="155"/>
    </row>
    <row r="1101" spans="1:90" x14ac:dyDescent="0.3">
      <c r="A1101" s="793" t="s">
        <v>946</v>
      </c>
      <c r="B1101" s="1055" t="s">
        <v>939</v>
      </c>
      <c r="C1101" s="1037"/>
      <c r="D1101" s="1037"/>
      <c r="E1101" s="563"/>
      <c r="F1101" s="563"/>
      <c r="G1101" s="563"/>
      <c r="H1101" s="563"/>
      <c r="I1101" s="563"/>
      <c r="J1101" s="563"/>
      <c r="K1101" s="563"/>
      <c r="L1101" s="563"/>
      <c r="M1101" s="563"/>
      <c r="N1101" s="563"/>
      <c r="O1101" s="563"/>
      <c r="P1101" s="563"/>
      <c r="Q1101" s="563"/>
      <c r="R1101" s="563"/>
      <c r="S1101" s="563"/>
      <c r="T1101" s="563"/>
      <c r="U1101" s="563"/>
      <c r="V1101" s="563"/>
      <c r="W1101" s="563"/>
      <c r="X1101" s="563"/>
      <c r="Y1101" s="563"/>
      <c r="Z1101" s="563"/>
      <c r="AA1101" s="563"/>
      <c r="AB1101" s="563"/>
      <c r="AC1101" s="563"/>
      <c r="AD1101" s="563"/>
      <c r="AE1101" s="563"/>
      <c r="AF1101" s="563"/>
      <c r="AG1101" s="563"/>
      <c r="AH1101" s="563">
        <f>IF(ISBLANK(AH$1094),"N/A",IF(COUNTIFS(GD_Item_FiscalPeriod,AH$1094,GD_Item_Name,$B1101,GD_Update_Date,AH$1093)=0,"NR",SUMIFS(GD_Guidance_Low,GD_Item_Name,$B1101,GD_Item_FiscalPeriod,AH$1094,GD_Update_Date,AH$1093)))</f>
        <v>600</v>
      </c>
      <c r="AI1101" s="563">
        <f>IF(ISBLANK(AI$1094),"N/A",IF(COUNTIFS(GD_Item_FiscalPeriod,AI$1094,GD_Item_Name,$B1101,GD_Update_Date,AI$1093)=0,"NR",SUMIFS(GD_Guidance_Low,GD_Item_Name,$B1101,GD_Item_FiscalPeriod,AI$1094,GD_Update_Date,AI$1093)))</f>
        <v>645</v>
      </c>
      <c r="AJ1101" s="563">
        <f>IF(ISBLANK(AJ$1094),"N/A",IF(COUNTIFS(GD_Item_FiscalPeriod,AJ$1094,GD_Item_Name,$B1101,GD_Update_Date,AJ$1093)=0,"NR",SUMIFS(GD_Guidance_Low,GD_Item_Name,$B1101,GD_Item_FiscalPeriod,AJ$1094,GD_Update_Date,AJ$1093)))</f>
        <v>645</v>
      </c>
      <c r="AK1101" s="563">
        <f>IF(ISBLANK(AK$1094),"N/A",IF(COUNTIFS(GD_Item_FiscalPeriod,AK$1094,GD_Item_Name,$B1101,GD_Update_Date,AK$1093)=0,"NR",SUMIFS(GD_Guidance_Low,GD_Item_Name,$B1101,GD_Item_FiscalPeriod,AK$1094,GD_Update_Date,AK$1093)))</f>
        <v>685</v>
      </c>
      <c r="AL1101" s="563">
        <f>IF(ISBLANK(AL$1094),"N/A",IF(COUNTIFS(GD_Item_FiscalPeriod,AL$1094,GD_Item_Name,$B1101,GD_Update_Date,AL$1093)=0,"NR",SUMIFS(GD_Guidance_Low,GD_Item_Name,$B1101,GD_Item_FiscalPeriod,AL$1094,GD_Update_Date,AL$1093)))</f>
        <v>730</v>
      </c>
      <c r="AM1101" s="563">
        <f>IF(ISBLANK(AM$1094),"N/A",IF(COUNTIFS(GD_Item_FiscalPeriod,AM$1094,GD_Item_Name,$B1101,GD_Update_Date,AM$1093)=0,"NR",SUMIFS(GD_Guidance_Low,GD_Item_Name,$B1101,GD_Item_FiscalPeriod,AM$1094,GD_Update_Date,AM$1093)))</f>
        <v>755</v>
      </c>
      <c r="AN1101" s="563">
        <f>IF(ISBLANK(AN$1094),"N/A",IF(COUNTIFS(GD_Item_FiscalPeriod,AN$1094,GD_Item_Name,$B1101,GD_Update_Date,AN$1093)=0,"NR",SUMIFS(GD_Guidance_Low,GD_Item_Name,$B1101,GD_Item_FiscalPeriod,AN$1094,GD_Update_Date,AN$1093)))</f>
        <v>755</v>
      </c>
      <c r="AO1101" s="563">
        <f>IF(ISBLANK(AO$1094),"N/A",IF(COUNTIFS(GD_Item_FiscalPeriod,AO$1094,GD_Item_Name,$B1101,GD_Update_Date,AO$1093)=0,"NR",SUMIFS(GD_Guidance_Low,GD_Item_Name,$B1101,GD_Item_FiscalPeriod,AO$1094,GD_Update_Date,AO$1093)))</f>
        <v>755</v>
      </c>
      <c r="AP1101" s="563">
        <f>IF(ISBLANK(AP$1094),"N/A",IF(COUNTIFS(GD_Item_FiscalPeriod,AP$1094,GD_Item_Name,$B1101,GD_Update_Date,AP$1093)=0,"NR",SUMIFS(GD_Guidance_Low,GD_Item_Name,$B1101,GD_Item_FiscalPeriod,AP$1094,GD_Update_Date,AP$1093)))</f>
        <v>765</v>
      </c>
      <c r="AQ1101" s="563">
        <f>IF(ISBLANK(AQ$1094),"N/A",IF(COUNTIFS(GD_Item_FiscalPeriod,AQ$1094,GD_Item_Name,$B1101,GD_Update_Date,AQ$1093)=0,"NR",SUMIFS(GD_Guidance_Low,GD_Item_Name,$B1101,GD_Item_FiscalPeriod,AQ$1094,GD_Update_Date,AQ$1093)))</f>
        <v>765</v>
      </c>
      <c r="AR1101" s="563">
        <f>IF(ISBLANK(AR$1094),"N/A",IF(COUNTIFS(GD_Item_FiscalPeriod,AR$1094,GD_Item_Name,$B1101,GD_Update_Date,AR$1093)=0,"NR",SUMIFS(GD_Guidance_Low,GD_Item_Name,$B1101,GD_Item_FiscalPeriod,AR$1094,GD_Update_Date,AR$1093)))</f>
        <v>805</v>
      </c>
      <c r="AS1101" s="563">
        <f>IF(ISBLANK(AS$1094),"N/A",IF(COUNTIFS(GD_Item_FiscalPeriod,AS$1094,GD_Item_Name,$B1101,GD_Update_Date,AS$1093)=0,"NR",SUMIFS(GD_Guidance_Low,GD_Item_Name,$B1101,GD_Item_FiscalPeriod,AS$1094,GD_Update_Date,AS$1093)))</f>
        <v>835</v>
      </c>
      <c r="AT1101" s="563">
        <f>IF(ISBLANK(AT$1094),"N/A",IF(COUNTIFS(GD_Item_FiscalPeriod,AT$1094,GD_Item_Name,$B1101,GD_Update_Date,AT$1093)=0,"NR",SUMIFS(GD_Guidance_Low,GD_Item_Name,$B1101,GD_Item_FiscalPeriod,AT$1094,GD_Update_Date,AT$1093)))</f>
        <v>835</v>
      </c>
      <c r="AU1101" s="563">
        <f>IF(ISBLANK(AU$1094),"N/A",IF(COUNTIFS(GD_Item_FiscalPeriod,AU$1094,GD_Item_Name,$B1101,GD_Update_Date,AU$1093)=0,"NR",SUMIFS(GD_Guidance_Low,GD_Item_Name,$B1101,GD_Item_FiscalPeriod,AU$1094,GD_Update_Date,AU$1093)))</f>
        <v>1040</v>
      </c>
      <c r="AV1101" s="563">
        <f>IF(ISBLANK(AV$1094),"N/A",IF(COUNTIFS(GD_Item_FiscalPeriod,AV$1094,GD_Item_Name,$B1101,GD_Update_Date,AV$1093)=0,"NR",SUMIFS(GD_Guidance_Low,GD_Item_Name,$B1101,GD_Item_FiscalPeriod,AV$1094,GD_Update_Date,AV$1093)))</f>
        <v>1090</v>
      </c>
      <c r="AW1101" s="563">
        <f>IF(ISBLANK(AW$1094),"N/A",IF(COUNTIFS(GD_Item_FiscalPeriod,AW$1094,GD_Item_Name,$B1101,GD_Update_Date,AW$1093)=0,"NR",SUMIFS(GD_Guidance_Low,GD_Item_Name,$B1101,GD_Item_FiscalPeriod,AW$1094,GD_Update_Date,AW$1093)))</f>
        <v>1180</v>
      </c>
      <c r="AX1101" s="563">
        <f>IF(ISBLANK(AX$1094),"N/A",IF(COUNTIFS(GD_Item_FiscalPeriod,AX$1094,GD_Item_Name,$B1101,GD_Update_Date,AX$1093)=0,"NR",SUMIFS(GD_Guidance_Low,GD_Item_Name,$B1101,GD_Item_FiscalPeriod,AX$1094,GD_Update_Date,AX$1093)))</f>
        <v>1200</v>
      </c>
      <c r="AY1101" s="563">
        <f>IF(ISBLANK(AY$1094),"N/A",IF(COUNTIFS(GD_Item_FiscalPeriod,AY$1094,GD_Item_Name,$B1101,GD_Update_Date,AY$1093)=0,"NR",SUMIFS(GD_Guidance_Low,GD_Item_Name,$B1101,GD_Item_FiscalPeriod,AY$1094,GD_Update_Date,AY$1093)))</f>
        <v>1200</v>
      </c>
      <c r="AZ1101" s="563">
        <f>IF(ISBLANK(AZ$1094),"N/A",IF(COUNTIFS(GD_Item_FiscalPeriod,AZ$1094,GD_Item_Name,$B1101,GD_Update_Date,AZ$1093)=0,"NR",SUMIFS(GD_Guidance_Low,GD_Item_Name,$B1101,GD_Item_FiscalPeriod,AZ$1094,GD_Update_Date,AZ$1093)))</f>
        <v>1260</v>
      </c>
      <c r="BA1101" s="563">
        <f>IF(ISBLANK(BA$1094),"N/A",IF(COUNTIFS(GD_Item_FiscalPeriod,BA$1094,GD_Item_Name,$B1101,GD_Update_Date,BA$1093)=0,"NR",SUMIFS(GD_Guidance_Low,GD_Item_Name,$B1101,GD_Item_FiscalPeriod,BA$1094,GD_Update_Date,BA$1093)))</f>
        <v>1370</v>
      </c>
      <c r="BB1101" s="563">
        <f>IF(ISBLANK(BB$1094),"N/A",IF(COUNTIFS(GD_Item_FiscalPeriod,BB$1094,GD_Item_Name,$B1101,GD_Update_Date,BB$1093)=0,"NR",SUMIFS(GD_Guidance_Low,GD_Item_Name,$B1101,GD_Item_FiscalPeriod,BB$1094,GD_Update_Date,BB$1093)))</f>
        <v>1430</v>
      </c>
      <c r="BC1101" s="563">
        <f>IF(ISBLANK(BC$1094),"N/A",IF(COUNTIFS(GD_Item_FiscalPeriod,BC$1094,GD_Item_Name,$B1101,GD_Update_Date,BC$1093)=0,"NR",SUMIFS(GD_Guidance_Low,GD_Item_Name,$B1101,GD_Item_FiscalPeriod,BC$1094,GD_Update_Date,BC$1093)))</f>
        <v>1600</v>
      </c>
      <c r="BD1101" s="563">
        <f>IF(ISBLANK(BD$1094),"N/A",IF(COUNTIFS(GD_Item_FiscalPeriod,BD$1094,GD_Item_Name,$B1101,GD_Update_Date,BD$1093)=0,"NR",SUMIFS(GD_Guidance_Low,GD_Item_Name,$B1101,GD_Item_FiscalPeriod,BD$1094,GD_Update_Date,BD$1093)))</f>
        <v>1600</v>
      </c>
      <c r="BE1101" s="563">
        <f>IF(ISBLANK(BE$1094),"N/A",IF(COUNTIFS(GD_Item_FiscalPeriod,BE$1094,GD_Item_Name,$B1101,GD_Update_Date,BE$1093)=0,"NR",SUMIFS(GD_Guidance_Low,GD_Item_Name,$B1101,GD_Item_FiscalPeriod,BE$1094,GD_Update_Date,BE$1093)))</f>
        <v>1750</v>
      </c>
      <c r="BF1101" s="563">
        <f>IF(ISBLANK(BF$1094),"N/A",IF(COUNTIFS(GD_Item_FiscalPeriod,BF$1094,GD_Item_Name,$B1101,GD_Update_Date,BF$1093)=0,"NR",SUMIFS(GD_Guidance_Low,GD_Item_Name,$B1101,GD_Item_FiscalPeriod,BF$1094,GD_Update_Date,BF$1093)))</f>
        <v>1820</v>
      </c>
      <c r="BG1101" s="563">
        <f>IF(ISBLANK(BG$1094),"N/A",IF(COUNTIFS(GD_Item_FiscalPeriod,BG$1094,GD_Item_Name,$B1101,GD_Update_Date,BG$1093)=0,"NR",SUMIFS(GD_Guidance_Low,GD_Item_Name,$B1101,GD_Item_FiscalPeriod,BG$1094,GD_Update_Date,BG$1093)))</f>
        <v>1780</v>
      </c>
      <c r="BH1101" s="563">
        <f>IF(ISBLANK(BH$1094),"N/A",IF(COUNTIFS(GD_Item_FiscalPeriod,BH$1094,GD_Item_Name,$B1101,GD_Update_Date,BH$1093)=0,"NR",SUMIFS(GD_Guidance_Low,GD_Item_Name,$B1101,GD_Item_FiscalPeriod,BH$1094,GD_Update_Date,BH$1093)))</f>
        <v>1780</v>
      </c>
      <c r="BI1101" s="563">
        <f>IF(ISBLANK(BI$1094),"N/A",IF(COUNTIFS(GD_Item_FiscalPeriod,BI$1094,GD_Item_Name,$B1101,GD_Update_Date,BI$1093)=0,"NR",SUMIFS(GD_Guidance_Low,GD_Item_Name,$B1101,GD_Item_FiscalPeriod,BI$1094,GD_Update_Date,BI$1093)))</f>
        <v>1780</v>
      </c>
      <c r="BJ1101" s="563">
        <f>IF(ISBLANK(BJ$1094),"N/A",IF(COUNTIFS(GD_Item_FiscalPeriod,BJ$1094,GD_Item_Name,$B1101,GD_Update_Date,BJ$1093)=0,"NR",SUMIFS(GD_Guidance_Low,GD_Item_Name,$B1101,GD_Item_FiscalPeriod,BJ$1094,GD_Update_Date,BJ$1093)))</f>
        <v>1900</v>
      </c>
      <c r="BK1101" s="563">
        <f>IF(ISBLANK(BK$1094),"N/A",IF(COUNTIFS(GD_Item_FiscalPeriod,BK$1094,GD_Item_Name,$B1101,GD_Update_Date,BK$1093)=0,"NR",SUMIFS(GD_Guidance_Low,GD_Item_Name,$B1101,GD_Item_FiscalPeriod,BK$1094,GD_Update_Date,BK$1093)))</f>
        <v>2000</v>
      </c>
      <c r="BL1101" s="563">
        <f>IF(ISBLANK(BL$1094),"N/A",IF(COUNTIFS(GD_Item_FiscalPeriod,BL$1094,GD_Item_Name,$B1101,GD_Update_Date,BL$1093)=0,"NR",SUMIFS(GD_Guidance_Low,GD_Item_Name,$B1101,GD_Item_FiscalPeriod,BL$1094,GD_Update_Date,BL$1093)))</f>
        <v>2200</v>
      </c>
      <c r="BM1101" s="563">
        <f>IF(ISBLANK(BM$1094),"N/A",IF(COUNTIFS(GD_Item_FiscalPeriod,BM$1094,GD_Item_Name,$B1101,GD_Update_Date,BM$1093)=0,"NR",SUMIFS(GD_Guidance_Low,GD_Item_Name,$B1101,GD_Item_FiscalPeriod,BM$1094,GD_Update_Date,BM$1093)))</f>
        <v>2500</v>
      </c>
      <c r="BN1101" s="563">
        <f>IF(ISBLANK(BN$1094),"N/A",IF(COUNTIFS(GD_Item_FiscalPeriod,BN$1094,GD_Item_Name,$B1101,GD_Update_Date,BN$1093)=0,"NR",SUMIFS(GD_Guidance_Low,GD_Item_Name,$B1101,GD_Item_FiscalPeriod,BN$1094,GD_Update_Date,BN$1093)))</f>
        <v>2500</v>
      </c>
      <c r="BO1101" s="563">
        <f>IF(ISBLANK(BO$1094),"N/A",IF(COUNTIFS(GD_Item_FiscalPeriod,BO$1094,GD_Item_Name,$B1101,GD_Update_Date,BO$1093)=0,"NR",SUMIFS(GD_Guidance_Low,GD_Item_Name,$B1101,GD_Item_FiscalPeriod,BO$1094,GD_Update_Date,BO$1093)))</f>
        <v>2800</v>
      </c>
      <c r="BP1101" s="563">
        <f>IF(ISBLANK(BP$1094),"N/A",IF(COUNTIFS(GD_Item_FiscalPeriod,BP$1094,GD_Item_Name,$B1101,GD_Update_Date,BP$1093)=0,"NR",SUMIFS(GD_Guidance_Low,GD_Item_Name,$B1101,GD_Item_FiscalPeriod,BP$1094,GD_Update_Date,BP$1093)))</f>
        <v>3000</v>
      </c>
      <c r="BQ1101" s="563">
        <f>IF(ISBLANK(BQ$1094),"N/A",IF(COUNTIFS(GD_Item_FiscalPeriod,BQ$1094,GD_Item_Name,$B1101,GD_Update_Date,BQ$1093)=0,"NR",SUMIFS(GD_Guidance_Low,GD_Item_Name,$B1101,GD_Item_FiscalPeriod,BQ$1094,GD_Update_Date,BQ$1093)))</f>
        <v>3400</v>
      </c>
      <c r="BR1101" s="563">
        <f>IF(ISBLANK(BR$1094),"N/A",IF(COUNTIFS(GD_Item_FiscalPeriod,BR$1094,GD_Item_Name,$B1101,GD_Update_Date,BR$1093)=0,"NR",SUMIFS(GD_Guidance_Low,GD_Item_Name,$B1101,GD_Item_FiscalPeriod,BR$1094,GD_Update_Date,BR$1093)))</f>
        <v>3600</v>
      </c>
      <c r="BS1101" s="563">
        <f>IF(ISBLANK(BS$1094),"N/A",IF(COUNTIFS(GD_Item_FiscalPeriod,BS$1094,GD_Item_Name,$B1101,GD_Update_Date,BS$1093)=0,"NR",SUMIFS(GD_Guidance_Low,GD_Item_Name,$B1101,GD_Item_FiscalPeriod,BS$1094,GD_Update_Date,BS$1093)))</f>
        <v>3600</v>
      </c>
      <c r="BT1101" s="563">
        <f>IF(ISBLANK(BT$1094),"N/A",IF(COUNTIFS(GD_Item_FiscalPeriod,BT$1094,GD_Item_Name,$B1101,GD_Update_Date,BT$1093)=0,"NR",SUMIFS(GD_Guidance_Low,GD_Item_Name,$B1101,GD_Item_FiscalPeriod,BT$1094,GD_Update_Date,BT$1093)))</f>
        <v>4000</v>
      </c>
      <c r="BU1101" s="563">
        <f>IF(ISBLANK(BU$1094),"N/A",IF(COUNTIFS(GD_Item_FiscalPeriod,BU$1094,GD_Item_Name,$B1101,GD_Update_Date,BU$1093)=0,"NR",SUMIFS(GD_Guidance_Low,GD_Item_Name,$B1101,GD_Item_FiscalPeriod,BU$1094,GD_Update_Date,BU$1093)))</f>
        <v>4200</v>
      </c>
      <c r="BV1101" s="563">
        <f>IF(ISBLANK(BV$1094),"N/A",IF(COUNTIFS(GD_Item_FiscalPeriod,BV$1094,GD_Item_Name,$B1101,GD_Update_Date,BV$1093)=0,"NR",SUMIFS(GD_Guidance_Low,GD_Item_Name,$B1101,GD_Item_FiscalPeriod,BV$1094,GD_Update_Date,BV$1093)))</f>
        <v>5000</v>
      </c>
      <c r="BW1101" s="563">
        <f>IF(ISBLANK(BW$1094),"N/A",IF(COUNTIFS(GD_Item_FiscalPeriod,BW$1094,GD_Item_Name,$B1101,GD_Update_Date,BW$1093)=0,"NR",SUMIFS(GD_Guidance_Low,GD_Item_Name,$B1101,GD_Item_FiscalPeriod,BW$1094,GD_Update_Date,BW$1093)))</f>
        <v>7500</v>
      </c>
      <c r="BX1101" s="563">
        <f>IF(ISBLANK(BX$1094),"N/A",IF(COUNTIFS(GD_Item_FiscalPeriod,BX$1094,GD_Item_Name,$B1101,GD_Update_Date,BX$1093)=0,"NR",SUMIFS(GD_Guidance_Low,GD_Item_Name,$B1101,GD_Item_FiscalPeriod,BX$1094,GD_Update_Date,BX$1093)))</f>
        <v>7500</v>
      </c>
      <c r="BY1101" s="731">
        <f>IF(ISBLANK(BY$1094),"N/A",IF(COUNTIFS(GD_Item_FiscalPeriod,BY$1094,GD_Item_Name,$B1101,GD_Update_Date,BY$1093)=0,"NR",SUMIFS(GD_Guidance_Low,GD_Item_Name,$B1101,GD_Item_FiscalPeriod,BY$1094,GD_Update_Date,BY$1093)))</f>
        <v>8300</v>
      </c>
      <c r="BZ1101" s="563" t="str">
        <f>IF(ISBLANK(BZ$1094),"N/A",IF(COUNTIFS(GD_Item_FiscalPeriod,BZ$1094,GD_Item_Name,$B1101,GD_Update_Date,BZ$1093)=0,"NR",SUMIFS(GD_Guidance_Low,GD_Item_Name,$B1101,GD_Item_FiscalPeriod,BZ$1094,GD_Update_Date,BZ$1093)))</f>
        <v>N/A</v>
      </c>
      <c r="CA1101" s="563" t="str">
        <f>IF(ISBLANK(CA$1094),"N/A",IF(COUNTIFS(GD_Item_FiscalPeriod,CA$1094,GD_Item_Name,$B1101,GD_Update_Date,CA$1093)=0,"NR",SUMIFS(GD_Guidance_Low,GD_Item_Name,$B1101,GD_Item_FiscalPeriod,CA$1094,GD_Update_Date,CA$1093)))</f>
        <v>N/A</v>
      </c>
      <c r="CB1101" s="563" t="str">
        <f>IF(ISBLANK(CB$1094),"N/A",IF(COUNTIFS(GD_Item_FiscalPeriod,CB$1094,GD_Item_Name,$B1101,GD_Update_Date,CB$1093)=0,"NR",SUMIFS(GD_Guidance_Low,GD_Item_Name,$B1101,GD_Item_FiscalPeriod,CB$1094,GD_Update_Date,CB$1093)))</f>
        <v>N/A</v>
      </c>
      <c r="CC1101" s="563" t="str">
        <f>IF(ISBLANK(CC$1094),"N/A",IF(COUNTIFS(GD_Item_FiscalPeriod,CC$1094,GD_Item_Name,$B1101,GD_Update_Date,CC$1093)=0,"NR",SUMIFS(GD_Guidance_Low,GD_Item_Name,$B1101,GD_Item_FiscalPeriod,CC$1094,GD_Update_Date,CC$1093)))</f>
        <v>N/A</v>
      </c>
      <c r="CD1101" s="563" t="str">
        <f>IF(ISBLANK(CD$1094),"N/A",IF(COUNTIFS(GD_Item_FiscalPeriod,CD$1094,GD_Item_Name,$B1101,GD_Update_Date,CD$1093)=0,"NR",SUMIFS(GD_Guidance_Low,GD_Item_Name,$B1101,GD_Item_FiscalPeriod,CD$1094,GD_Update_Date,CD$1093)))</f>
        <v>N/A</v>
      </c>
      <c r="CE1101" s="563" t="str">
        <f>IF(ISBLANK(CE$1094),"N/A",IF(COUNTIFS(GD_Item_FiscalPeriod,CE$1094,GD_Item_Name,$B1101,GD_Update_Date,CE$1093)=0,"NR",SUMIFS(GD_Guidance_Low,GD_Item_Name,$B1101,GD_Item_FiscalPeriod,CE$1094,GD_Update_Date,CE$1093)))</f>
        <v>N/A</v>
      </c>
      <c r="CF1101" s="563" t="str">
        <f>IF(ISBLANK(CF$1094),"N/A",IF(COUNTIFS(GD_Item_FiscalPeriod,CF$1094,GD_Item_Name,$B1101,GD_Update_Date,CF$1093)=0,"NR",SUMIFS(GD_Guidance_Low,GD_Item_Name,$B1101,GD_Item_FiscalPeriod,CF$1094,GD_Update_Date,CF$1093)))</f>
        <v>N/A</v>
      </c>
      <c r="CG1101" s="563" t="str">
        <f>IF(ISBLANK(CG$1094),"N/A",IF(COUNTIFS(GD_Item_FiscalPeriod,CG$1094,GD_Item_Name,$B1101,GD_Update_Date,CG$1093)=0,"NR",SUMIFS(GD_Guidance_Low,GD_Item_Name,$B1101,GD_Item_FiscalPeriod,CG$1094,GD_Update_Date,CG$1093)))</f>
        <v>N/A</v>
      </c>
      <c r="CH1101" s="563" t="str">
        <f>IF(ISBLANK(CH$1094),"N/A",IF(COUNTIFS(GD_Item_FiscalPeriod,CH$1094,GD_Item_Name,$B1101,GD_Update_Date,CH$1093)=0,"NR",SUMIFS(GD_Guidance_Low,GD_Item_Name,$B1101,GD_Item_FiscalPeriod,CH$1094,GD_Update_Date,CH$1093)))</f>
        <v>N/A</v>
      </c>
      <c r="CI1101" s="563" t="str">
        <f>IF(ISBLANK(CI$1094),"N/A",IF(COUNTIFS(GD_Item_FiscalPeriod,CI$1094,GD_Item_Name,$B1101,GD_Update_Date,CI$1093)=0,"NR",SUMIFS(GD_Guidance_Low,GD_Item_Name,$B1101,GD_Item_FiscalPeriod,CI$1094,GD_Update_Date,CI$1093)))</f>
        <v>N/A</v>
      </c>
      <c r="CJ1101" s="563" t="str">
        <f>IF(ISBLANK(CJ$1094),"N/A",IF(COUNTIFS(GD_Item_FiscalPeriod,CJ$1094,GD_Item_Name,$B1101,GD_Update_Date,CJ$1093)=0,"NR",SUMIFS(GD_Guidance_Low,GD_Item_Name,$B1101,GD_Item_FiscalPeriod,CJ$1094,GD_Update_Date,CJ$1093)))</f>
        <v>N/A</v>
      </c>
      <c r="CK1101" s="794" t="str">
        <f>IF(ISBLANK(CK$1094),"N/A",IF(COUNTIFS(GD_Item_FiscalPeriod,CK$1094,GD_Item_Name,$B1101,GD_Update_Date,CK$1093)=0,"NR",SUMIFS(GD_Guidance_Low,GD_Item_Name,$B1101,GD_Item_FiscalPeriod,CK$1094,GD_Update_Date,CK$1093)))</f>
        <v>N/A</v>
      </c>
      <c r="CL1101" s="155"/>
    </row>
    <row r="1102" spans="1:90" x14ac:dyDescent="0.3">
      <c r="A1102" s="793" t="s">
        <v>947</v>
      </c>
      <c r="B1102" s="1055" t="s">
        <v>939</v>
      </c>
      <c r="C1102" s="1037"/>
      <c r="D1102" s="1037"/>
      <c r="E1102" s="563"/>
      <c r="F1102" s="563"/>
      <c r="G1102" s="563"/>
      <c r="H1102" s="563"/>
      <c r="I1102" s="563"/>
      <c r="J1102" s="563"/>
      <c r="K1102" s="563"/>
      <c r="L1102" s="563"/>
      <c r="M1102" s="563"/>
      <c r="N1102" s="563"/>
      <c r="O1102" s="563"/>
      <c r="P1102" s="563"/>
      <c r="Q1102" s="563"/>
      <c r="R1102" s="563"/>
      <c r="S1102" s="563"/>
      <c r="T1102" s="563"/>
      <c r="U1102" s="563"/>
      <c r="V1102" s="563"/>
      <c r="W1102" s="563"/>
      <c r="X1102" s="563"/>
      <c r="Y1102" s="563"/>
      <c r="Z1102" s="563"/>
      <c r="AA1102" s="563"/>
      <c r="AB1102" s="563"/>
      <c r="AC1102" s="563"/>
      <c r="AD1102" s="563"/>
      <c r="AE1102" s="563"/>
      <c r="AF1102" s="563"/>
      <c r="AG1102" s="563"/>
      <c r="AH1102" s="563">
        <f>IF(ISBLANK(AH$1094),"N/A",IF(COUNTIFS(GD_Item_FiscalPeriod,AH$1094,GD_Item_Name,$B1102,GD_Update_Date,AH$1093)=0,"NR",SUMIFS(GD_Guidance_High,GD_Item_Name,$B1102,GD_Item_FiscalPeriod,AH$1094,GD_Update_Date,AH$1093)))</f>
        <v>600</v>
      </c>
      <c r="AI1102" s="563">
        <f>IF(ISBLANK(AI$1094),"N/A",IF(COUNTIFS(GD_Item_FiscalPeriod,AI$1094,GD_Item_Name,$B1102,GD_Update_Date,AI$1093)=0,"NR",SUMIFS(GD_Guidance_High,GD_Item_Name,$B1102,GD_Item_FiscalPeriod,AI$1094,GD_Update_Date,AI$1093)))</f>
        <v>645</v>
      </c>
      <c r="AJ1102" s="563">
        <f>IF(ISBLANK(AJ$1094),"N/A",IF(COUNTIFS(GD_Item_FiscalPeriod,AJ$1094,GD_Item_Name,$B1102,GD_Update_Date,AJ$1093)=0,"NR",SUMIFS(GD_Guidance_High,GD_Item_Name,$B1102,GD_Item_FiscalPeriod,AJ$1094,GD_Update_Date,AJ$1093)))</f>
        <v>645</v>
      </c>
      <c r="AK1102" s="563">
        <f>IF(ISBLANK(AK$1094),"N/A",IF(COUNTIFS(GD_Item_FiscalPeriod,AK$1094,GD_Item_Name,$B1102,GD_Update_Date,AK$1093)=0,"NR",SUMIFS(GD_Guidance_High,GD_Item_Name,$B1102,GD_Item_FiscalPeriod,AK$1094,GD_Update_Date,AK$1093)))</f>
        <v>685</v>
      </c>
      <c r="AL1102" s="563">
        <f>IF(ISBLANK(AL$1094),"N/A",IF(COUNTIFS(GD_Item_FiscalPeriod,AL$1094,GD_Item_Name,$B1102,GD_Update_Date,AL$1093)=0,"NR",SUMIFS(GD_Guidance_High,GD_Item_Name,$B1102,GD_Item_FiscalPeriod,AL$1094,GD_Update_Date,AL$1093)))</f>
        <v>730</v>
      </c>
      <c r="AM1102" s="563">
        <f>IF(ISBLANK(AM$1094),"N/A",IF(COUNTIFS(GD_Item_FiscalPeriod,AM$1094,GD_Item_Name,$B1102,GD_Update_Date,AM$1093)=0,"NR",SUMIFS(GD_Guidance_High,GD_Item_Name,$B1102,GD_Item_FiscalPeriod,AM$1094,GD_Update_Date,AM$1093)))</f>
        <v>755</v>
      </c>
      <c r="AN1102" s="563">
        <f>IF(ISBLANK(AN$1094),"N/A",IF(COUNTIFS(GD_Item_FiscalPeriod,AN$1094,GD_Item_Name,$B1102,GD_Update_Date,AN$1093)=0,"NR",SUMIFS(GD_Guidance_High,GD_Item_Name,$B1102,GD_Item_FiscalPeriod,AN$1094,GD_Update_Date,AN$1093)))</f>
        <v>755</v>
      </c>
      <c r="AO1102" s="563">
        <f>IF(ISBLANK(AO$1094),"N/A",IF(COUNTIFS(GD_Item_FiscalPeriod,AO$1094,GD_Item_Name,$B1102,GD_Update_Date,AO$1093)=0,"NR",SUMIFS(GD_Guidance_High,GD_Item_Name,$B1102,GD_Item_FiscalPeriod,AO$1094,GD_Update_Date,AO$1093)))</f>
        <v>755</v>
      </c>
      <c r="AP1102" s="563">
        <f>IF(ISBLANK(AP$1094),"N/A",IF(COUNTIFS(GD_Item_FiscalPeriod,AP$1094,GD_Item_Name,$B1102,GD_Update_Date,AP$1093)=0,"NR",SUMIFS(GD_Guidance_High,GD_Item_Name,$B1102,GD_Item_FiscalPeriod,AP$1094,GD_Update_Date,AP$1093)))</f>
        <v>765</v>
      </c>
      <c r="AQ1102" s="563">
        <f>IF(ISBLANK(AQ$1094),"N/A",IF(COUNTIFS(GD_Item_FiscalPeriod,AQ$1094,GD_Item_Name,$B1102,GD_Update_Date,AQ$1093)=0,"NR",SUMIFS(GD_Guidance_High,GD_Item_Name,$B1102,GD_Item_FiscalPeriod,AQ$1094,GD_Update_Date,AQ$1093)))</f>
        <v>765</v>
      </c>
      <c r="AR1102" s="563">
        <f>IF(ISBLANK(AR$1094),"N/A",IF(COUNTIFS(GD_Item_FiscalPeriod,AR$1094,GD_Item_Name,$B1102,GD_Update_Date,AR$1093)=0,"NR",SUMIFS(GD_Guidance_High,GD_Item_Name,$B1102,GD_Item_FiscalPeriod,AR$1094,GD_Update_Date,AR$1093)))</f>
        <v>805</v>
      </c>
      <c r="AS1102" s="563">
        <f>IF(ISBLANK(AS$1094),"N/A",IF(COUNTIFS(GD_Item_FiscalPeriod,AS$1094,GD_Item_Name,$B1102,GD_Update_Date,AS$1093)=0,"NR",SUMIFS(GD_Guidance_High,GD_Item_Name,$B1102,GD_Item_FiscalPeriod,AS$1094,GD_Update_Date,AS$1093)))</f>
        <v>835</v>
      </c>
      <c r="AT1102" s="563">
        <f>IF(ISBLANK(AT$1094),"N/A",IF(COUNTIFS(GD_Item_FiscalPeriod,AT$1094,GD_Item_Name,$B1102,GD_Update_Date,AT$1093)=0,"NR",SUMIFS(GD_Guidance_High,GD_Item_Name,$B1102,GD_Item_FiscalPeriod,AT$1094,GD_Update_Date,AT$1093)))</f>
        <v>835</v>
      </c>
      <c r="AU1102" s="563">
        <f>IF(ISBLANK(AU$1094),"N/A",IF(COUNTIFS(GD_Item_FiscalPeriod,AU$1094,GD_Item_Name,$B1102,GD_Update_Date,AU$1093)=0,"NR",SUMIFS(GD_Guidance_High,GD_Item_Name,$B1102,GD_Item_FiscalPeriod,AU$1094,GD_Update_Date,AU$1093)))</f>
        <v>1040</v>
      </c>
      <c r="AV1102" s="563">
        <f>IF(ISBLANK(AV$1094),"N/A",IF(COUNTIFS(GD_Item_FiscalPeriod,AV$1094,GD_Item_Name,$B1102,GD_Update_Date,AV$1093)=0,"NR",SUMIFS(GD_Guidance_High,GD_Item_Name,$B1102,GD_Item_FiscalPeriod,AV$1094,GD_Update_Date,AV$1093)))</f>
        <v>1090</v>
      </c>
      <c r="AW1102" s="563">
        <f>IF(ISBLANK(AW$1094),"N/A",IF(COUNTIFS(GD_Item_FiscalPeriod,AW$1094,GD_Item_Name,$B1102,GD_Update_Date,AW$1093)=0,"NR",SUMIFS(GD_Guidance_High,GD_Item_Name,$B1102,GD_Item_FiscalPeriod,AW$1094,GD_Update_Date,AW$1093)))</f>
        <v>1180</v>
      </c>
      <c r="AX1102" s="563">
        <f>IF(ISBLANK(AX$1094),"N/A",IF(COUNTIFS(GD_Item_FiscalPeriod,AX$1094,GD_Item_Name,$B1102,GD_Update_Date,AX$1093)=0,"NR",SUMIFS(GD_Guidance_High,GD_Item_Name,$B1102,GD_Item_FiscalPeriod,AX$1094,GD_Update_Date,AX$1093)))</f>
        <v>1200</v>
      </c>
      <c r="AY1102" s="563">
        <f>IF(ISBLANK(AY$1094),"N/A",IF(COUNTIFS(GD_Item_FiscalPeriod,AY$1094,GD_Item_Name,$B1102,GD_Update_Date,AY$1093)=0,"NR",SUMIFS(GD_Guidance_High,GD_Item_Name,$B1102,GD_Item_FiscalPeriod,AY$1094,GD_Update_Date,AY$1093)))</f>
        <v>1200</v>
      </c>
      <c r="AZ1102" s="563">
        <f>IF(ISBLANK(AZ$1094),"N/A",IF(COUNTIFS(GD_Item_FiscalPeriod,AZ$1094,GD_Item_Name,$B1102,GD_Update_Date,AZ$1093)=0,"NR",SUMIFS(GD_Guidance_High,GD_Item_Name,$B1102,GD_Item_FiscalPeriod,AZ$1094,GD_Update_Date,AZ$1093)))</f>
        <v>1260</v>
      </c>
      <c r="BA1102" s="563">
        <f>IF(ISBLANK(BA$1094),"N/A",IF(COUNTIFS(GD_Item_FiscalPeriod,BA$1094,GD_Item_Name,$B1102,GD_Update_Date,BA$1093)=0,"NR",SUMIFS(GD_Guidance_High,GD_Item_Name,$B1102,GD_Item_FiscalPeriod,BA$1094,GD_Update_Date,BA$1093)))</f>
        <v>1370</v>
      </c>
      <c r="BB1102" s="563">
        <f>IF(ISBLANK(BB$1094),"N/A",IF(COUNTIFS(GD_Item_FiscalPeriod,BB$1094,GD_Item_Name,$B1102,GD_Update_Date,BB$1093)=0,"NR",SUMIFS(GD_Guidance_High,GD_Item_Name,$B1102,GD_Item_FiscalPeriod,BB$1094,GD_Update_Date,BB$1093)))</f>
        <v>1430</v>
      </c>
      <c r="BC1102" s="563">
        <f>IF(ISBLANK(BC$1094),"N/A",IF(COUNTIFS(GD_Item_FiscalPeriod,BC$1094,GD_Item_Name,$B1102,GD_Update_Date,BC$1093)=0,"NR",SUMIFS(GD_Guidance_High,GD_Item_Name,$B1102,GD_Item_FiscalPeriod,BC$1094,GD_Update_Date,BC$1093)))</f>
        <v>1600</v>
      </c>
      <c r="BD1102" s="563">
        <f>IF(ISBLANK(BD$1094),"N/A",IF(COUNTIFS(GD_Item_FiscalPeriod,BD$1094,GD_Item_Name,$B1102,GD_Update_Date,BD$1093)=0,"NR",SUMIFS(GD_Guidance_High,GD_Item_Name,$B1102,GD_Item_FiscalPeriod,BD$1094,GD_Update_Date,BD$1093)))</f>
        <v>1600</v>
      </c>
      <c r="BE1102" s="563">
        <f>IF(ISBLANK(BE$1094),"N/A",IF(COUNTIFS(GD_Item_FiscalPeriod,BE$1094,GD_Item_Name,$B1102,GD_Update_Date,BE$1093)=0,"NR",SUMIFS(GD_Guidance_High,GD_Item_Name,$B1102,GD_Item_FiscalPeriod,BE$1094,GD_Update_Date,BE$1093)))</f>
        <v>1750</v>
      </c>
      <c r="BF1102" s="563">
        <f>IF(ISBLANK(BF$1094),"N/A",IF(COUNTIFS(GD_Item_FiscalPeriod,BF$1094,GD_Item_Name,$B1102,GD_Update_Date,BF$1093)=0,"NR",SUMIFS(GD_Guidance_High,GD_Item_Name,$B1102,GD_Item_FiscalPeriod,BF$1094,GD_Update_Date,BF$1093)))</f>
        <v>1820</v>
      </c>
      <c r="BG1102" s="563">
        <f>IF(ISBLANK(BG$1094),"N/A",IF(COUNTIFS(GD_Item_FiscalPeriod,BG$1094,GD_Item_Name,$B1102,GD_Update_Date,BG$1093)=0,"NR",SUMIFS(GD_Guidance_High,GD_Item_Name,$B1102,GD_Item_FiscalPeriod,BG$1094,GD_Update_Date,BG$1093)))</f>
        <v>1780</v>
      </c>
      <c r="BH1102" s="563">
        <f>IF(ISBLANK(BH$1094),"N/A",IF(COUNTIFS(GD_Item_FiscalPeriod,BH$1094,GD_Item_Name,$B1102,GD_Update_Date,BH$1093)=0,"NR",SUMIFS(GD_Guidance_High,GD_Item_Name,$B1102,GD_Item_FiscalPeriod,BH$1094,GD_Update_Date,BH$1093)))</f>
        <v>1780</v>
      </c>
      <c r="BI1102" s="563">
        <f>IF(ISBLANK(BI$1094),"N/A",IF(COUNTIFS(GD_Item_FiscalPeriod,BI$1094,GD_Item_Name,$B1102,GD_Update_Date,BI$1093)=0,"NR",SUMIFS(GD_Guidance_High,GD_Item_Name,$B1102,GD_Item_FiscalPeriod,BI$1094,GD_Update_Date,BI$1093)))</f>
        <v>1780</v>
      </c>
      <c r="BJ1102" s="563">
        <f>IF(ISBLANK(BJ$1094),"N/A",IF(COUNTIFS(GD_Item_FiscalPeriod,BJ$1094,GD_Item_Name,$B1102,GD_Update_Date,BJ$1093)=0,"NR",SUMIFS(GD_Guidance_High,GD_Item_Name,$B1102,GD_Item_FiscalPeriod,BJ$1094,GD_Update_Date,BJ$1093)))</f>
        <v>1900</v>
      </c>
      <c r="BK1102" s="563">
        <f>IF(ISBLANK(BK$1094),"N/A",IF(COUNTIFS(GD_Item_FiscalPeriod,BK$1094,GD_Item_Name,$B1102,GD_Update_Date,BK$1093)=0,"NR",SUMIFS(GD_Guidance_High,GD_Item_Name,$B1102,GD_Item_FiscalPeriod,BK$1094,GD_Update_Date,BK$1093)))</f>
        <v>2000</v>
      </c>
      <c r="BL1102" s="563">
        <f>IF(ISBLANK(BL$1094),"N/A",IF(COUNTIFS(GD_Item_FiscalPeriod,BL$1094,GD_Item_Name,$B1102,GD_Update_Date,BL$1093)=0,"NR",SUMIFS(GD_Guidance_High,GD_Item_Name,$B1102,GD_Item_FiscalPeriod,BL$1094,GD_Update_Date,BL$1093)))</f>
        <v>2200</v>
      </c>
      <c r="BM1102" s="563">
        <f>IF(ISBLANK(BM$1094),"N/A",IF(COUNTIFS(GD_Item_FiscalPeriod,BM$1094,GD_Item_Name,$B1102,GD_Update_Date,BM$1093)=0,"NR",SUMIFS(GD_Guidance_High,GD_Item_Name,$B1102,GD_Item_FiscalPeriod,BM$1094,GD_Update_Date,BM$1093)))</f>
        <v>2500</v>
      </c>
      <c r="BN1102" s="563">
        <f>IF(ISBLANK(BN$1094),"N/A",IF(COUNTIFS(GD_Item_FiscalPeriod,BN$1094,GD_Item_Name,$B1102,GD_Update_Date,BN$1093)=0,"NR",SUMIFS(GD_Guidance_High,GD_Item_Name,$B1102,GD_Item_FiscalPeriod,BN$1094,GD_Update_Date,BN$1093)))</f>
        <v>2500</v>
      </c>
      <c r="BO1102" s="563">
        <f>IF(ISBLANK(BO$1094),"N/A",IF(COUNTIFS(GD_Item_FiscalPeriod,BO$1094,GD_Item_Name,$B1102,GD_Update_Date,BO$1093)=0,"NR",SUMIFS(GD_Guidance_High,GD_Item_Name,$B1102,GD_Item_FiscalPeriod,BO$1094,GD_Update_Date,BO$1093)))</f>
        <v>2800</v>
      </c>
      <c r="BP1102" s="563">
        <f>IF(ISBLANK(BP$1094),"N/A",IF(COUNTIFS(GD_Item_FiscalPeriod,BP$1094,GD_Item_Name,$B1102,GD_Update_Date,BP$1093)=0,"NR",SUMIFS(GD_Guidance_High,GD_Item_Name,$B1102,GD_Item_FiscalPeriod,BP$1094,GD_Update_Date,BP$1093)))</f>
        <v>3000</v>
      </c>
      <c r="BQ1102" s="563">
        <f>IF(ISBLANK(BQ$1094),"N/A",IF(COUNTIFS(GD_Item_FiscalPeriod,BQ$1094,GD_Item_Name,$B1102,GD_Update_Date,BQ$1093)=0,"NR",SUMIFS(GD_Guidance_High,GD_Item_Name,$B1102,GD_Item_FiscalPeriod,BQ$1094,GD_Update_Date,BQ$1093)))</f>
        <v>3400</v>
      </c>
      <c r="BR1102" s="563">
        <f>IF(ISBLANK(BR$1094),"N/A",IF(COUNTIFS(GD_Item_FiscalPeriod,BR$1094,GD_Item_Name,$B1102,GD_Update_Date,BR$1093)=0,"NR",SUMIFS(GD_Guidance_High,GD_Item_Name,$B1102,GD_Item_FiscalPeriod,BR$1094,GD_Update_Date,BR$1093)))</f>
        <v>3600</v>
      </c>
      <c r="BS1102" s="563">
        <f>IF(ISBLANK(BS$1094),"N/A",IF(COUNTIFS(GD_Item_FiscalPeriod,BS$1094,GD_Item_Name,$B1102,GD_Update_Date,BS$1093)=0,"NR",SUMIFS(GD_Guidance_High,GD_Item_Name,$B1102,GD_Item_FiscalPeriod,BS$1094,GD_Update_Date,BS$1093)))</f>
        <v>3600</v>
      </c>
      <c r="BT1102" s="563">
        <f>IF(ISBLANK(BT$1094),"N/A",IF(COUNTIFS(GD_Item_FiscalPeriod,BT$1094,GD_Item_Name,$B1102,GD_Update_Date,BT$1093)=0,"NR",SUMIFS(GD_Guidance_High,GD_Item_Name,$B1102,GD_Item_FiscalPeriod,BT$1094,GD_Update_Date,BT$1093)))</f>
        <v>4000</v>
      </c>
      <c r="BU1102" s="563">
        <f>IF(ISBLANK(BU$1094),"N/A",IF(COUNTIFS(GD_Item_FiscalPeriod,BU$1094,GD_Item_Name,$B1102,GD_Update_Date,BU$1093)=0,"NR",SUMIFS(GD_Guidance_High,GD_Item_Name,$B1102,GD_Item_FiscalPeriod,BU$1094,GD_Update_Date,BU$1093)))</f>
        <v>4200</v>
      </c>
      <c r="BV1102" s="563">
        <f>IF(ISBLANK(BV$1094),"N/A",IF(COUNTIFS(GD_Item_FiscalPeriod,BV$1094,GD_Item_Name,$B1102,GD_Update_Date,BV$1093)=0,"NR",SUMIFS(GD_Guidance_High,GD_Item_Name,$B1102,GD_Item_FiscalPeriod,BV$1094,GD_Update_Date,BV$1093)))</f>
        <v>5000</v>
      </c>
      <c r="BW1102" s="563">
        <f>IF(ISBLANK(BW$1094),"N/A",IF(COUNTIFS(GD_Item_FiscalPeriod,BW$1094,GD_Item_Name,$B1102,GD_Update_Date,BW$1093)=0,"NR",SUMIFS(GD_Guidance_High,GD_Item_Name,$B1102,GD_Item_FiscalPeriod,BW$1094,GD_Update_Date,BW$1093)))</f>
        <v>7500</v>
      </c>
      <c r="BX1102" s="563">
        <f>IF(ISBLANK(BX$1094),"N/A",IF(COUNTIFS(GD_Item_FiscalPeriod,BX$1094,GD_Item_Name,$B1102,GD_Update_Date,BX$1093)=0,"NR",SUMIFS(GD_Guidance_High,GD_Item_Name,$B1102,GD_Item_FiscalPeriod,BX$1094,GD_Update_Date,BX$1093)))</f>
        <v>7500</v>
      </c>
      <c r="BY1102" s="731">
        <f>IF(ISBLANK(BY$1094),"N/A",IF(COUNTIFS(GD_Item_FiscalPeriod,BY$1094,GD_Item_Name,$B1102,GD_Update_Date,BY$1093)=0,"NR",SUMIFS(GD_Guidance_High,GD_Item_Name,$B1102,GD_Item_FiscalPeriod,BY$1094,GD_Update_Date,BY$1093)))</f>
        <v>8300</v>
      </c>
      <c r="BZ1102" s="563" t="str">
        <f>IF(ISBLANK(BZ$1094),"N/A",IF(COUNTIFS(GD_Item_FiscalPeriod,BZ$1094,GD_Item_Name,$B1102,GD_Update_Date,BZ$1093)=0,"NR",SUMIFS(GD_Guidance_High,GD_Item_Name,$B1102,GD_Item_FiscalPeriod,BZ$1094,GD_Update_Date,BZ$1093)))</f>
        <v>N/A</v>
      </c>
      <c r="CA1102" s="563" t="str">
        <f>IF(ISBLANK(CA$1094),"N/A",IF(COUNTIFS(GD_Item_FiscalPeriod,CA$1094,GD_Item_Name,$B1102,GD_Update_Date,CA$1093)=0,"NR",SUMIFS(GD_Guidance_High,GD_Item_Name,$B1102,GD_Item_FiscalPeriod,CA$1094,GD_Update_Date,CA$1093)))</f>
        <v>N/A</v>
      </c>
      <c r="CB1102" s="563" t="str">
        <f>IF(ISBLANK(CB$1094),"N/A",IF(COUNTIFS(GD_Item_FiscalPeriod,CB$1094,GD_Item_Name,$B1102,GD_Update_Date,CB$1093)=0,"NR",SUMIFS(GD_Guidance_High,GD_Item_Name,$B1102,GD_Item_FiscalPeriod,CB$1094,GD_Update_Date,CB$1093)))</f>
        <v>N/A</v>
      </c>
      <c r="CC1102" s="563" t="str">
        <f>IF(ISBLANK(CC$1094),"N/A",IF(COUNTIFS(GD_Item_FiscalPeriod,CC$1094,GD_Item_Name,$B1102,GD_Update_Date,CC$1093)=0,"NR",SUMIFS(GD_Guidance_High,GD_Item_Name,$B1102,GD_Item_FiscalPeriod,CC$1094,GD_Update_Date,CC$1093)))</f>
        <v>N/A</v>
      </c>
      <c r="CD1102" s="563" t="str">
        <f>IF(ISBLANK(CD$1094),"N/A",IF(COUNTIFS(GD_Item_FiscalPeriod,CD$1094,GD_Item_Name,$B1102,GD_Update_Date,CD$1093)=0,"NR",SUMIFS(GD_Guidance_High,GD_Item_Name,$B1102,GD_Item_FiscalPeriod,CD$1094,GD_Update_Date,CD$1093)))</f>
        <v>N/A</v>
      </c>
      <c r="CE1102" s="563" t="str">
        <f>IF(ISBLANK(CE$1094),"N/A",IF(COUNTIFS(GD_Item_FiscalPeriod,CE$1094,GD_Item_Name,$B1102,GD_Update_Date,CE$1093)=0,"NR",SUMIFS(GD_Guidance_High,GD_Item_Name,$B1102,GD_Item_FiscalPeriod,CE$1094,GD_Update_Date,CE$1093)))</f>
        <v>N/A</v>
      </c>
      <c r="CF1102" s="563" t="str">
        <f>IF(ISBLANK(CF$1094),"N/A",IF(COUNTIFS(GD_Item_FiscalPeriod,CF$1094,GD_Item_Name,$B1102,GD_Update_Date,CF$1093)=0,"NR",SUMIFS(GD_Guidance_High,GD_Item_Name,$B1102,GD_Item_FiscalPeriod,CF$1094,GD_Update_Date,CF$1093)))</f>
        <v>N/A</v>
      </c>
      <c r="CG1102" s="563" t="str">
        <f>IF(ISBLANK(CG$1094),"N/A",IF(COUNTIFS(GD_Item_FiscalPeriod,CG$1094,GD_Item_Name,$B1102,GD_Update_Date,CG$1093)=0,"NR",SUMIFS(GD_Guidance_High,GD_Item_Name,$B1102,GD_Item_FiscalPeriod,CG$1094,GD_Update_Date,CG$1093)))</f>
        <v>N/A</v>
      </c>
      <c r="CH1102" s="563" t="str">
        <f>IF(ISBLANK(CH$1094),"N/A",IF(COUNTIFS(GD_Item_FiscalPeriod,CH$1094,GD_Item_Name,$B1102,GD_Update_Date,CH$1093)=0,"NR",SUMIFS(GD_Guidance_High,GD_Item_Name,$B1102,GD_Item_FiscalPeriod,CH$1094,GD_Update_Date,CH$1093)))</f>
        <v>N/A</v>
      </c>
      <c r="CI1102" s="563" t="str">
        <f>IF(ISBLANK(CI$1094),"N/A",IF(COUNTIFS(GD_Item_FiscalPeriod,CI$1094,GD_Item_Name,$B1102,GD_Update_Date,CI$1093)=0,"NR",SUMIFS(GD_Guidance_High,GD_Item_Name,$B1102,GD_Item_FiscalPeriod,CI$1094,GD_Update_Date,CI$1093)))</f>
        <v>N/A</v>
      </c>
      <c r="CJ1102" s="563" t="str">
        <f>IF(ISBLANK(CJ$1094),"N/A",IF(COUNTIFS(GD_Item_FiscalPeriod,CJ$1094,GD_Item_Name,$B1102,GD_Update_Date,CJ$1093)=0,"NR",SUMIFS(GD_Guidance_High,GD_Item_Name,$B1102,GD_Item_FiscalPeriod,CJ$1094,GD_Update_Date,CJ$1093)))</f>
        <v>N/A</v>
      </c>
      <c r="CK1102" s="794" t="str">
        <f>IF(ISBLANK(CK$1094),"N/A",IF(COUNTIFS(GD_Item_FiscalPeriod,CK$1094,GD_Item_Name,$B1102,GD_Update_Date,CK$1093)=0,"NR",SUMIFS(GD_Guidance_High,GD_Item_Name,$B1102,GD_Item_FiscalPeriod,CK$1094,GD_Update_Date,CK$1093)))</f>
        <v>N/A</v>
      </c>
      <c r="CL1102" s="155"/>
    </row>
    <row r="1103" spans="1:90" x14ac:dyDescent="0.3">
      <c r="A1103" s="793" t="s">
        <v>948</v>
      </c>
      <c r="B1103" s="1055" t="s">
        <v>939</v>
      </c>
      <c r="C1103" s="1037"/>
      <c r="D1103" s="1037"/>
      <c r="E1103" s="563"/>
      <c r="F1103" s="563"/>
      <c r="G1103" s="563"/>
      <c r="H1103" s="563"/>
      <c r="I1103" s="563"/>
      <c r="J1103" s="563"/>
      <c r="K1103" s="563"/>
      <c r="L1103" s="563"/>
      <c r="M1103" s="563"/>
      <c r="N1103" s="563"/>
      <c r="O1103" s="563"/>
      <c r="P1103" s="563"/>
      <c r="Q1103" s="563"/>
      <c r="R1103" s="563"/>
      <c r="S1103" s="563"/>
      <c r="T1103" s="563"/>
      <c r="U1103" s="563"/>
      <c r="V1103" s="563"/>
      <c r="W1103" s="563"/>
      <c r="X1103" s="563"/>
      <c r="Y1103" s="563"/>
      <c r="Z1103" s="563"/>
      <c r="AA1103" s="563"/>
      <c r="AB1103" s="563"/>
      <c r="AC1103" s="563"/>
      <c r="AD1103" s="563"/>
      <c r="AE1103" s="563"/>
      <c r="AF1103" s="563"/>
      <c r="AG1103" s="563"/>
      <c r="AH1103" s="563">
        <f>IF(ISBLANK(AH$1094),"N/A",IF(COUNTIFS(GD_Item_FiscalPeriod,AH$1094,GD_Item_Name,$B1103,GD_Update_Date,AH$1093)=0,"NR",SUMIFS(GD_Guidance_Mid,GD_Item_Name,$B1103,GD_Item_FiscalPeriod,AH$1094,GD_Update_Date,AH$1093)))</f>
        <v>600</v>
      </c>
      <c r="AI1103" s="563">
        <f>IF(ISBLANK(AI$1094),"N/A",IF(COUNTIFS(GD_Item_FiscalPeriod,AI$1094,GD_Item_Name,$B1103,GD_Update_Date,AI$1093)=0,"NR",SUMIFS(GD_Guidance_Mid,GD_Item_Name,$B1103,GD_Item_FiscalPeriod,AI$1094,GD_Update_Date,AI$1093)))</f>
        <v>645</v>
      </c>
      <c r="AJ1103" s="563">
        <f>IF(ISBLANK(AJ$1094),"N/A",IF(COUNTIFS(GD_Item_FiscalPeriod,AJ$1094,GD_Item_Name,$B1103,GD_Update_Date,AJ$1093)=0,"NR",SUMIFS(GD_Guidance_Mid,GD_Item_Name,$B1103,GD_Item_FiscalPeriod,AJ$1094,GD_Update_Date,AJ$1093)))</f>
        <v>645</v>
      </c>
      <c r="AK1103" s="563">
        <f>IF(ISBLANK(AK$1094),"N/A",IF(COUNTIFS(GD_Item_FiscalPeriod,AK$1094,GD_Item_Name,$B1103,GD_Update_Date,AK$1093)=0,"NR",SUMIFS(GD_Guidance_Mid,GD_Item_Name,$B1103,GD_Item_FiscalPeriod,AK$1094,GD_Update_Date,AK$1093)))</f>
        <v>685</v>
      </c>
      <c r="AL1103" s="563">
        <f>IF(ISBLANK(AL$1094),"N/A",IF(COUNTIFS(GD_Item_FiscalPeriod,AL$1094,GD_Item_Name,$B1103,GD_Update_Date,AL$1093)=0,"NR",SUMIFS(GD_Guidance_Mid,GD_Item_Name,$B1103,GD_Item_FiscalPeriod,AL$1094,GD_Update_Date,AL$1093)))</f>
        <v>730</v>
      </c>
      <c r="AM1103" s="563">
        <f>IF(ISBLANK(AM$1094),"N/A",IF(COUNTIFS(GD_Item_FiscalPeriod,AM$1094,GD_Item_Name,$B1103,GD_Update_Date,AM$1093)=0,"NR",SUMIFS(GD_Guidance_Mid,GD_Item_Name,$B1103,GD_Item_FiscalPeriod,AM$1094,GD_Update_Date,AM$1093)))</f>
        <v>755</v>
      </c>
      <c r="AN1103" s="563">
        <f>IF(ISBLANK(AN$1094),"N/A",IF(COUNTIFS(GD_Item_FiscalPeriod,AN$1094,GD_Item_Name,$B1103,GD_Update_Date,AN$1093)=0,"NR",SUMIFS(GD_Guidance_Mid,GD_Item_Name,$B1103,GD_Item_FiscalPeriod,AN$1094,GD_Update_Date,AN$1093)))</f>
        <v>755</v>
      </c>
      <c r="AO1103" s="563">
        <f>IF(ISBLANK(AO$1094),"N/A",IF(COUNTIFS(GD_Item_FiscalPeriod,AO$1094,GD_Item_Name,$B1103,GD_Update_Date,AO$1093)=0,"NR",SUMIFS(GD_Guidance_Mid,GD_Item_Name,$B1103,GD_Item_FiscalPeriod,AO$1094,GD_Update_Date,AO$1093)))</f>
        <v>755</v>
      </c>
      <c r="AP1103" s="563">
        <f>IF(ISBLANK(AP$1094),"N/A",IF(COUNTIFS(GD_Item_FiscalPeriod,AP$1094,GD_Item_Name,$B1103,GD_Update_Date,AP$1093)=0,"NR",SUMIFS(GD_Guidance_Mid,GD_Item_Name,$B1103,GD_Item_FiscalPeriod,AP$1094,GD_Update_Date,AP$1093)))</f>
        <v>765</v>
      </c>
      <c r="AQ1103" s="563">
        <f>IF(ISBLANK(AQ$1094),"N/A",IF(COUNTIFS(GD_Item_FiscalPeriod,AQ$1094,GD_Item_Name,$B1103,GD_Update_Date,AQ$1093)=0,"NR",SUMIFS(GD_Guidance_Mid,GD_Item_Name,$B1103,GD_Item_FiscalPeriod,AQ$1094,GD_Update_Date,AQ$1093)))</f>
        <v>765</v>
      </c>
      <c r="AR1103" s="563">
        <f>IF(ISBLANK(AR$1094),"N/A",IF(COUNTIFS(GD_Item_FiscalPeriod,AR$1094,GD_Item_Name,$B1103,GD_Update_Date,AR$1093)=0,"NR",SUMIFS(GD_Guidance_Mid,GD_Item_Name,$B1103,GD_Item_FiscalPeriod,AR$1094,GD_Update_Date,AR$1093)))</f>
        <v>805</v>
      </c>
      <c r="AS1103" s="563">
        <f>IF(ISBLANK(AS$1094),"N/A",IF(COUNTIFS(GD_Item_FiscalPeriod,AS$1094,GD_Item_Name,$B1103,GD_Update_Date,AS$1093)=0,"NR",SUMIFS(GD_Guidance_Mid,GD_Item_Name,$B1103,GD_Item_FiscalPeriod,AS$1094,GD_Update_Date,AS$1093)))</f>
        <v>835</v>
      </c>
      <c r="AT1103" s="563">
        <f>IF(ISBLANK(AT$1094),"N/A",IF(COUNTIFS(GD_Item_FiscalPeriod,AT$1094,GD_Item_Name,$B1103,GD_Update_Date,AT$1093)=0,"NR",SUMIFS(GD_Guidance_Mid,GD_Item_Name,$B1103,GD_Item_FiscalPeriod,AT$1094,GD_Update_Date,AT$1093)))</f>
        <v>835</v>
      </c>
      <c r="AU1103" s="563">
        <f>IF(ISBLANK(AU$1094),"N/A",IF(COUNTIFS(GD_Item_FiscalPeriod,AU$1094,GD_Item_Name,$B1103,GD_Update_Date,AU$1093)=0,"NR",SUMIFS(GD_Guidance_Mid,GD_Item_Name,$B1103,GD_Item_FiscalPeriod,AU$1094,GD_Update_Date,AU$1093)))</f>
        <v>1040</v>
      </c>
      <c r="AV1103" s="563">
        <f>IF(ISBLANK(AV$1094),"N/A",IF(COUNTIFS(GD_Item_FiscalPeriod,AV$1094,GD_Item_Name,$B1103,GD_Update_Date,AV$1093)=0,"NR",SUMIFS(GD_Guidance_Mid,GD_Item_Name,$B1103,GD_Item_FiscalPeriod,AV$1094,GD_Update_Date,AV$1093)))</f>
        <v>1090</v>
      </c>
      <c r="AW1103" s="563">
        <f>IF(ISBLANK(AW$1094),"N/A",IF(COUNTIFS(GD_Item_FiscalPeriod,AW$1094,GD_Item_Name,$B1103,GD_Update_Date,AW$1093)=0,"NR",SUMIFS(GD_Guidance_Mid,GD_Item_Name,$B1103,GD_Item_FiscalPeriod,AW$1094,GD_Update_Date,AW$1093)))</f>
        <v>1180</v>
      </c>
      <c r="AX1103" s="563">
        <f>IF(ISBLANK(AX$1094),"N/A",IF(COUNTIFS(GD_Item_FiscalPeriod,AX$1094,GD_Item_Name,$B1103,GD_Update_Date,AX$1093)=0,"NR",SUMIFS(GD_Guidance_Mid,GD_Item_Name,$B1103,GD_Item_FiscalPeriod,AX$1094,GD_Update_Date,AX$1093)))</f>
        <v>1200</v>
      </c>
      <c r="AY1103" s="563">
        <f>IF(ISBLANK(AY$1094),"N/A",IF(COUNTIFS(GD_Item_FiscalPeriod,AY$1094,GD_Item_Name,$B1103,GD_Update_Date,AY$1093)=0,"NR",SUMIFS(GD_Guidance_Mid,GD_Item_Name,$B1103,GD_Item_FiscalPeriod,AY$1094,GD_Update_Date,AY$1093)))</f>
        <v>1200</v>
      </c>
      <c r="AZ1103" s="563">
        <f>IF(ISBLANK(AZ$1094),"N/A",IF(COUNTIFS(GD_Item_FiscalPeriod,AZ$1094,GD_Item_Name,$B1103,GD_Update_Date,AZ$1093)=0,"NR",SUMIFS(GD_Guidance_Mid,GD_Item_Name,$B1103,GD_Item_FiscalPeriod,AZ$1094,GD_Update_Date,AZ$1093)))</f>
        <v>1260</v>
      </c>
      <c r="BA1103" s="563">
        <f>IF(ISBLANK(BA$1094),"N/A",IF(COUNTIFS(GD_Item_FiscalPeriod,BA$1094,GD_Item_Name,$B1103,GD_Update_Date,BA$1093)=0,"NR",SUMIFS(GD_Guidance_Mid,GD_Item_Name,$B1103,GD_Item_FiscalPeriod,BA$1094,GD_Update_Date,BA$1093)))</f>
        <v>1370</v>
      </c>
      <c r="BB1103" s="563">
        <f>IF(ISBLANK(BB$1094),"N/A",IF(COUNTIFS(GD_Item_FiscalPeriod,BB$1094,GD_Item_Name,$B1103,GD_Update_Date,BB$1093)=0,"NR",SUMIFS(GD_Guidance_Mid,GD_Item_Name,$B1103,GD_Item_FiscalPeriod,BB$1094,GD_Update_Date,BB$1093)))</f>
        <v>1430</v>
      </c>
      <c r="BC1103" s="563">
        <f>IF(ISBLANK(BC$1094),"N/A",IF(COUNTIFS(GD_Item_FiscalPeriod,BC$1094,GD_Item_Name,$B1103,GD_Update_Date,BC$1093)=0,"NR",SUMIFS(GD_Guidance_Mid,GD_Item_Name,$B1103,GD_Item_FiscalPeriod,BC$1094,GD_Update_Date,BC$1093)))</f>
        <v>1600</v>
      </c>
      <c r="BD1103" s="563">
        <f>IF(ISBLANK(BD$1094),"N/A",IF(COUNTIFS(GD_Item_FiscalPeriod,BD$1094,GD_Item_Name,$B1103,GD_Update_Date,BD$1093)=0,"NR",SUMIFS(GD_Guidance_Mid,GD_Item_Name,$B1103,GD_Item_FiscalPeriod,BD$1094,GD_Update_Date,BD$1093)))</f>
        <v>1600</v>
      </c>
      <c r="BE1103" s="563">
        <f>IF(ISBLANK(BE$1094),"N/A",IF(COUNTIFS(GD_Item_FiscalPeriod,BE$1094,GD_Item_Name,$B1103,GD_Update_Date,BE$1093)=0,"NR",SUMIFS(GD_Guidance_Mid,GD_Item_Name,$B1103,GD_Item_FiscalPeriod,BE$1094,GD_Update_Date,BE$1093)))</f>
        <v>1750</v>
      </c>
      <c r="BF1103" s="563">
        <f>IF(ISBLANK(BF$1094),"N/A",IF(COUNTIFS(GD_Item_FiscalPeriod,BF$1094,GD_Item_Name,$B1103,GD_Update_Date,BF$1093)=0,"NR",SUMIFS(GD_Guidance_Mid,GD_Item_Name,$B1103,GD_Item_FiscalPeriod,BF$1094,GD_Update_Date,BF$1093)))</f>
        <v>1820</v>
      </c>
      <c r="BG1103" s="563">
        <f>IF(ISBLANK(BG$1094),"N/A",IF(COUNTIFS(GD_Item_FiscalPeriod,BG$1094,GD_Item_Name,$B1103,GD_Update_Date,BG$1093)=0,"NR",SUMIFS(GD_Guidance_Mid,GD_Item_Name,$B1103,GD_Item_FiscalPeriod,BG$1094,GD_Update_Date,BG$1093)))</f>
        <v>1780</v>
      </c>
      <c r="BH1103" s="563">
        <f>IF(ISBLANK(BH$1094),"N/A",IF(COUNTIFS(GD_Item_FiscalPeriod,BH$1094,GD_Item_Name,$B1103,GD_Update_Date,BH$1093)=0,"NR",SUMIFS(GD_Guidance_Mid,GD_Item_Name,$B1103,GD_Item_FiscalPeriod,BH$1094,GD_Update_Date,BH$1093)))</f>
        <v>1780</v>
      </c>
      <c r="BI1103" s="563">
        <f>IF(ISBLANK(BI$1094),"N/A",IF(COUNTIFS(GD_Item_FiscalPeriod,BI$1094,GD_Item_Name,$B1103,GD_Update_Date,BI$1093)=0,"NR",SUMIFS(GD_Guidance_Mid,GD_Item_Name,$B1103,GD_Item_FiscalPeriod,BI$1094,GD_Update_Date,BI$1093)))</f>
        <v>1780</v>
      </c>
      <c r="BJ1103" s="563">
        <f>IF(ISBLANK(BJ$1094),"N/A",IF(COUNTIFS(GD_Item_FiscalPeriod,BJ$1094,GD_Item_Name,$B1103,GD_Update_Date,BJ$1093)=0,"NR",SUMIFS(GD_Guidance_Mid,GD_Item_Name,$B1103,GD_Item_FiscalPeriod,BJ$1094,GD_Update_Date,BJ$1093)))</f>
        <v>1900</v>
      </c>
      <c r="BK1103" s="563">
        <f>IF(ISBLANK(BK$1094),"N/A",IF(COUNTIFS(GD_Item_FiscalPeriod,BK$1094,GD_Item_Name,$B1103,GD_Update_Date,BK$1093)=0,"NR",SUMIFS(GD_Guidance_Mid,GD_Item_Name,$B1103,GD_Item_FiscalPeriod,BK$1094,GD_Update_Date,BK$1093)))</f>
        <v>2000</v>
      </c>
      <c r="BL1103" s="563">
        <f>IF(ISBLANK(BL$1094),"N/A",IF(COUNTIFS(GD_Item_FiscalPeriod,BL$1094,GD_Item_Name,$B1103,GD_Update_Date,BL$1093)=0,"NR",SUMIFS(GD_Guidance_Mid,GD_Item_Name,$B1103,GD_Item_FiscalPeriod,BL$1094,GD_Update_Date,BL$1093)))</f>
        <v>2200</v>
      </c>
      <c r="BM1103" s="563">
        <f>IF(ISBLANK(BM$1094),"N/A",IF(COUNTIFS(GD_Item_FiscalPeriod,BM$1094,GD_Item_Name,$B1103,GD_Update_Date,BM$1093)=0,"NR",SUMIFS(GD_Guidance_Mid,GD_Item_Name,$B1103,GD_Item_FiscalPeriod,BM$1094,GD_Update_Date,BM$1093)))</f>
        <v>2500</v>
      </c>
      <c r="BN1103" s="563">
        <f>IF(ISBLANK(BN$1094),"N/A",IF(COUNTIFS(GD_Item_FiscalPeriod,BN$1094,GD_Item_Name,$B1103,GD_Update_Date,BN$1093)=0,"NR",SUMIFS(GD_Guidance_Mid,GD_Item_Name,$B1103,GD_Item_FiscalPeriod,BN$1094,GD_Update_Date,BN$1093)))</f>
        <v>2500</v>
      </c>
      <c r="BO1103" s="563">
        <f>IF(ISBLANK(BO$1094),"N/A",IF(COUNTIFS(GD_Item_FiscalPeriod,BO$1094,GD_Item_Name,$B1103,GD_Update_Date,BO$1093)=0,"NR",SUMIFS(GD_Guidance_Mid,GD_Item_Name,$B1103,GD_Item_FiscalPeriod,BO$1094,GD_Update_Date,BO$1093)))</f>
        <v>2800</v>
      </c>
      <c r="BP1103" s="563">
        <f>IF(ISBLANK(BP$1094),"N/A",IF(COUNTIFS(GD_Item_FiscalPeriod,BP$1094,GD_Item_Name,$B1103,GD_Update_Date,BP$1093)=0,"NR",SUMIFS(GD_Guidance_Mid,GD_Item_Name,$B1103,GD_Item_FiscalPeriod,BP$1094,GD_Update_Date,BP$1093)))</f>
        <v>3000</v>
      </c>
      <c r="BQ1103" s="563">
        <f>IF(ISBLANK(BQ$1094),"N/A",IF(COUNTIFS(GD_Item_FiscalPeriod,BQ$1094,GD_Item_Name,$B1103,GD_Update_Date,BQ$1093)=0,"NR",SUMIFS(GD_Guidance_Mid,GD_Item_Name,$B1103,GD_Item_FiscalPeriod,BQ$1094,GD_Update_Date,BQ$1093)))</f>
        <v>3400</v>
      </c>
      <c r="BR1103" s="563">
        <f>IF(ISBLANK(BR$1094),"N/A",IF(COUNTIFS(GD_Item_FiscalPeriod,BR$1094,GD_Item_Name,$B1103,GD_Update_Date,BR$1093)=0,"NR",SUMIFS(GD_Guidance_Mid,GD_Item_Name,$B1103,GD_Item_FiscalPeriod,BR$1094,GD_Update_Date,BR$1093)))</f>
        <v>3600</v>
      </c>
      <c r="BS1103" s="563">
        <f>IF(ISBLANK(BS$1094),"N/A",IF(COUNTIFS(GD_Item_FiscalPeriod,BS$1094,GD_Item_Name,$B1103,GD_Update_Date,BS$1093)=0,"NR",SUMIFS(GD_Guidance_Mid,GD_Item_Name,$B1103,GD_Item_FiscalPeriod,BS$1094,GD_Update_Date,BS$1093)))</f>
        <v>3600</v>
      </c>
      <c r="BT1103" s="563">
        <f>IF(ISBLANK(BT$1094),"N/A",IF(COUNTIFS(GD_Item_FiscalPeriod,BT$1094,GD_Item_Name,$B1103,GD_Update_Date,BT$1093)=0,"NR",SUMIFS(GD_Guidance_Mid,GD_Item_Name,$B1103,GD_Item_FiscalPeriod,BT$1094,GD_Update_Date,BT$1093)))</f>
        <v>4000</v>
      </c>
      <c r="BU1103" s="563">
        <f>IF(ISBLANK(BU$1094),"N/A",IF(COUNTIFS(GD_Item_FiscalPeriod,BU$1094,GD_Item_Name,$B1103,GD_Update_Date,BU$1093)=0,"NR",SUMIFS(GD_Guidance_Mid,GD_Item_Name,$B1103,GD_Item_FiscalPeriod,BU$1094,GD_Update_Date,BU$1093)))</f>
        <v>4200</v>
      </c>
      <c r="BV1103" s="563">
        <f>IF(ISBLANK(BV$1094),"N/A",IF(COUNTIFS(GD_Item_FiscalPeriod,BV$1094,GD_Item_Name,$B1103,GD_Update_Date,BV$1093)=0,"NR",SUMIFS(GD_Guidance_Mid,GD_Item_Name,$B1103,GD_Item_FiscalPeriod,BV$1094,GD_Update_Date,BV$1093)))</f>
        <v>5000</v>
      </c>
      <c r="BW1103" s="563">
        <f>IF(ISBLANK(BW$1094),"N/A",IF(COUNTIFS(GD_Item_FiscalPeriod,BW$1094,GD_Item_Name,$B1103,GD_Update_Date,BW$1093)=0,"NR",SUMIFS(GD_Guidance_Mid,GD_Item_Name,$B1103,GD_Item_FiscalPeriod,BW$1094,GD_Update_Date,BW$1093)))</f>
        <v>7500</v>
      </c>
      <c r="BX1103" s="563">
        <f>IF(ISBLANK(BX$1094),"N/A",IF(COUNTIFS(GD_Item_FiscalPeriod,BX$1094,GD_Item_Name,$B1103,GD_Update_Date,BX$1093)=0,"NR",SUMIFS(GD_Guidance_Mid,GD_Item_Name,$B1103,GD_Item_FiscalPeriod,BX$1094,GD_Update_Date,BX$1093)))</f>
        <v>7500</v>
      </c>
      <c r="BY1103" s="731">
        <f>IF(ISBLANK(BY$1094),"N/A",IF(COUNTIFS(GD_Item_FiscalPeriod,BY$1094,GD_Item_Name,$B1103,GD_Update_Date,BY$1093)=0,"NR",SUMIFS(GD_Guidance_Mid,GD_Item_Name,$B1103,GD_Item_FiscalPeriod,BY$1094,GD_Update_Date,BY$1093)))</f>
        <v>8300</v>
      </c>
      <c r="BZ1103" s="563" t="str">
        <f>IF(ISBLANK(BZ$1094),"N/A",IF(COUNTIFS(GD_Item_FiscalPeriod,BZ$1094,GD_Item_Name,$B1103,GD_Update_Date,BZ$1093)=0,"NR",SUMIFS(GD_Guidance_Mid,GD_Item_Name,$B1103,GD_Item_FiscalPeriod,BZ$1094,GD_Update_Date,BZ$1093)))</f>
        <v>N/A</v>
      </c>
      <c r="CA1103" s="563" t="str">
        <f>IF(ISBLANK(CA$1094),"N/A",IF(COUNTIFS(GD_Item_FiscalPeriod,CA$1094,GD_Item_Name,$B1103,GD_Update_Date,CA$1093)=0,"NR",SUMIFS(GD_Guidance_Mid,GD_Item_Name,$B1103,GD_Item_FiscalPeriod,CA$1094,GD_Update_Date,CA$1093)))</f>
        <v>N/A</v>
      </c>
      <c r="CB1103" s="563" t="str">
        <f>IF(ISBLANK(CB$1094),"N/A",IF(COUNTIFS(GD_Item_FiscalPeriod,CB$1094,GD_Item_Name,$B1103,GD_Update_Date,CB$1093)=0,"NR",SUMIFS(GD_Guidance_Mid,GD_Item_Name,$B1103,GD_Item_FiscalPeriod,CB$1094,GD_Update_Date,CB$1093)))</f>
        <v>N/A</v>
      </c>
      <c r="CC1103" s="563" t="str">
        <f>IF(ISBLANK(CC$1094),"N/A",IF(COUNTIFS(GD_Item_FiscalPeriod,CC$1094,GD_Item_Name,$B1103,GD_Update_Date,CC$1093)=0,"NR",SUMIFS(GD_Guidance_Mid,GD_Item_Name,$B1103,GD_Item_FiscalPeriod,CC$1094,GD_Update_Date,CC$1093)))</f>
        <v>N/A</v>
      </c>
      <c r="CD1103" s="563" t="str">
        <f>IF(ISBLANK(CD$1094),"N/A",IF(COUNTIFS(GD_Item_FiscalPeriod,CD$1094,GD_Item_Name,$B1103,GD_Update_Date,CD$1093)=0,"NR",SUMIFS(GD_Guidance_Mid,GD_Item_Name,$B1103,GD_Item_FiscalPeriod,CD$1094,GD_Update_Date,CD$1093)))</f>
        <v>N/A</v>
      </c>
      <c r="CE1103" s="563" t="str">
        <f>IF(ISBLANK(CE$1094),"N/A",IF(COUNTIFS(GD_Item_FiscalPeriod,CE$1094,GD_Item_Name,$B1103,GD_Update_Date,CE$1093)=0,"NR",SUMIFS(GD_Guidance_Mid,GD_Item_Name,$B1103,GD_Item_FiscalPeriod,CE$1094,GD_Update_Date,CE$1093)))</f>
        <v>N/A</v>
      </c>
      <c r="CF1103" s="563" t="str">
        <f>IF(ISBLANK(CF$1094),"N/A",IF(COUNTIFS(GD_Item_FiscalPeriod,CF$1094,GD_Item_Name,$B1103,GD_Update_Date,CF$1093)=0,"NR",SUMIFS(GD_Guidance_Mid,GD_Item_Name,$B1103,GD_Item_FiscalPeriod,CF$1094,GD_Update_Date,CF$1093)))</f>
        <v>N/A</v>
      </c>
      <c r="CG1103" s="563" t="str">
        <f>IF(ISBLANK(CG$1094),"N/A",IF(COUNTIFS(GD_Item_FiscalPeriod,CG$1094,GD_Item_Name,$B1103,GD_Update_Date,CG$1093)=0,"NR",SUMIFS(GD_Guidance_Mid,GD_Item_Name,$B1103,GD_Item_FiscalPeriod,CG$1094,GD_Update_Date,CG$1093)))</f>
        <v>N/A</v>
      </c>
      <c r="CH1103" s="563" t="str">
        <f>IF(ISBLANK(CH$1094),"N/A",IF(COUNTIFS(GD_Item_FiscalPeriod,CH$1094,GD_Item_Name,$B1103,GD_Update_Date,CH$1093)=0,"NR",SUMIFS(GD_Guidance_Mid,GD_Item_Name,$B1103,GD_Item_FiscalPeriod,CH$1094,GD_Update_Date,CH$1093)))</f>
        <v>N/A</v>
      </c>
      <c r="CI1103" s="563" t="str">
        <f>IF(ISBLANK(CI$1094),"N/A",IF(COUNTIFS(GD_Item_FiscalPeriod,CI$1094,GD_Item_Name,$B1103,GD_Update_Date,CI$1093)=0,"NR",SUMIFS(GD_Guidance_Mid,GD_Item_Name,$B1103,GD_Item_FiscalPeriod,CI$1094,GD_Update_Date,CI$1093)))</f>
        <v>N/A</v>
      </c>
      <c r="CJ1103" s="563" t="str">
        <f>IF(ISBLANK(CJ$1094),"N/A",IF(COUNTIFS(GD_Item_FiscalPeriod,CJ$1094,GD_Item_Name,$B1103,GD_Update_Date,CJ$1093)=0,"NR",SUMIFS(GD_Guidance_Mid,GD_Item_Name,$B1103,GD_Item_FiscalPeriod,CJ$1094,GD_Update_Date,CJ$1093)))</f>
        <v>N/A</v>
      </c>
      <c r="CK1103" s="794" t="str">
        <f>IF(ISBLANK(CK$1094),"N/A",IF(COUNTIFS(GD_Item_FiscalPeriod,CK$1094,GD_Item_Name,$B1103,GD_Update_Date,CK$1093)=0,"NR",SUMIFS(GD_Guidance_Mid,GD_Item_Name,$B1103,GD_Item_FiscalPeriod,CK$1094,GD_Update_Date,CK$1093)))</f>
        <v>N/A</v>
      </c>
      <c r="CL1103" s="155"/>
    </row>
    <row r="1104" spans="1:90" x14ac:dyDescent="0.3">
      <c r="A1104" s="793" t="s">
        <v>949</v>
      </c>
      <c r="B1104" s="1055" t="s">
        <v>560</v>
      </c>
      <c r="C1104" s="1037"/>
      <c r="D1104" s="1037"/>
      <c r="E1104" s="563"/>
      <c r="F1104" s="563"/>
      <c r="G1104" s="563"/>
      <c r="H1104" s="563"/>
      <c r="I1104" s="563"/>
      <c r="J1104" s="563"/>
      <c r="K1104" s="563"/>
      <c r="L1104" s="563"/>
      <c r="M1104" s="563"/>
      <c r="N1104" s="563"/>
      <c r="O1104" s="563"/>
      <c r="P1104" s="563"/>
      <c r="Q1104" s="563"/>
      <c r="R1104" s="563"/>
      <c r="S1104" s="563"/>
      <c r="T1104" s="563"/>
      <c r="U1104" s="563"/>
      <c r="V1104" s="563"/>
      <c r="W1104" s="563"/>
      <c r="X1104" s="563"/>
      <c r="Y1104" s="563"/>
      <c r="Z1104" s="563"/>
      <c r="AA1104" s="563"/>
      <c r="AB1104" s="563"/>
      <c r="AC1104" s="563"/>
      <c r="AD1104" s="563"/>
      <c r="AE1104" s="563"/>
      <c r="AF1104" s="563"/>
      <c r="AG1104" s="563"/>
      <c r="AH1104" s="563" t="str">
        <f>IF(ISBLANK(AH$1094),"N/A",IF(COUNTIFS(GD_Item_FiscalPeriod,AH$1094,GD_Item_Name,$B1104,GD_Update_Date,AH$1093)=0,"NR",SUMIFS(GD_Guidance_Low,GD_Item_Name,$B1104,GD_Item_FiscalPeriod,AH$1094,GD_Update_Date,AH$1093)))</f>
        <v>NR</v>
      </c>
      <c r="AI1104" s="563" t="str">
        <f>IF(ISBLANK(AI$1094),"N/A",IF(COUNTIFS(GD_Item_FiscalPeriod,AI$1094,GD_Item_Name,$B1104,GD_Update_Date,AI$1093)=0,"NR",SUMIFS(GD_Guidance_Low,GD_Item_Name,$B1104,GD_Item_FiscalPeriod,AI$1094,GD_Update_Date,AI$1093)))</f>
        <v>NR</v>
      </c>
      <c r="AJ1104" s="563" t="str">
        <f>IF(ISBLANK(AJ$1094),"N/A",IF(COUNTIFS(GD_Item_FiscalPeriod,AJ$1094,GD_Item_Name,$B1104,GD_Update_Date,AJ$1093)=0,"NR",SUMIFS(GD_Guidance_Low,GD_Item_Name,$B1104,GD_Item_FiscalPeriod,AJ$1094,GD_Update_Date,AJ$1093)))</f>
        <v>NR</v>
      </c>
      <c r="AK1104" s="563" t="str">
        <f>IF(ISBLANK(AK$1094),"N/A",IF(COUNTIFS(GD_Item_FiscalPeriod,AK$1094,GD_Item_Name,$B1104,GD_Update_Date,AK$1093)=0,"NR",SUMIFS(GD_Guidance_Low,GD_Item_Name,$B1104,GD_Item_FiscalPeriod,AK$1094,GD_Update_Date,AK$1093)))</f>
        <v>NR</v>
      </c>
      <c r="AL1104" s="563" t="str">
        <f>IF(ISBLANK(AL$1094),"N/A",IF(COUNTIFS(GD_Item_FiscalPeriod,AL$1094,GD_Item_Name,$B1104,GD_Update_Date,AL$1093)=0,"NR",SUMIFS(GD_Guidance_Low,GD_Item_Name,$B1104,GD_Item_FiscalPeriod,AL$1094,GD_Update_Date,AL$1093)))</f>
        <v>NR</v>
      </c>
      <c r="AM1104" s="563" t="str">
        <f>IF(ISBLANK(AM$1094),"N/A",IF(COUNTIFS(GD_Item_FiscalPeriod,AM$1094,GD_Item_Name,$B1104,GD_Update_Date,AM$1093)=0,"NR",SUMIFS(GD_Guidance_Low,GD_Item_Name,$B1104,GD_Item_FiscalPeriod,AM$1094,GD_Update_Date,AM$1093)))</f>
        <v>NR</v>
      </c>
      <c r="AN1104" s="563" t="str">
        <f>IF(ISBLANK(AN$1094),"N/A",IF(COUNTIFS(GD_Item_FiscalPeriod,AN$1094,GD_Item_Name,$B1104,GD_Update_Date,AN$1093)=0,"NR",SUMIFS(GD_Guidance_Low,GD_Item_Name,$B1104,GD_Item_FiscalPeriod,AN$1094,GD_Update_Date,AN$1093)))</f>
        <v>NR</v>
      </c>
      <c r="AO1104" s="563" t="str">
        <f>IF(ISBLANK(AO$1094),"N/A",IF(COUNTIFS(GD_Item_FiscalPeriod,AO$1094,GD_Item_Name,$B1104,GD_Update_Date,AO$1093)=0,"NR",SUMIFS(GD_Guidance_Low,GD_Item_Name,$B1104,GD_Item_FiscalPeriod,AO$1094,GD_Update_Date,AO$1093)))</f>
        <v>NR</v>
      </c>
      <c r="AP1104" s="563" t="str">
        <f>IF(ISBLANK(AP$1094),"N/A",IF(COUNTIFS(GD_Item_FiscalPeriod,AP$1094,GD_Item_Name,$B1104,GD_Update_Date,AP$1093)=0,"NR",SUMIFS(GD_Guidance_Low,GD_Item_Name,$B1104,GD_Item_FiscalPeriod,AP$1094,GD_Update_Date,AP$1093)))</f>
        <v>NR</v>
      </c>
      <c r="AQ1104" s="563" t="str">
        <f>IF(ISBLANK(AQ$1094),"N/A",IF(COUNTIFS(GD_Item_FiscalPeriod,AQ$1094,GD_Item_Name,$B1104,GD_Update_Date,AQ$1093)=0,"NR",SUMIFS(GD_Guidance_Low,GD_Item_Name,$B1104,GD_Item_FiscalPeriod,AQ$1094,GD_Update_Date,AQ$1093)))</f>
        <v>NR</v>
      </c>
      <c r="AR1104" s="563">
        <f>IF(ISBLANK(AR$1094),"N/A",IF(COUNTIFS(GD_Item_FiscalPeriod,AR$1094,GD_Item_Name,$B1104,GD_Update_Date,AR$1093)=0,"NR",SUMIFS(GD_Guidance_Low,GD_Item_Name,$B1104,GD_Item_FiscalPeriod,AR$1094,GD_Update_Date,AR$1093)))</f>
        <v>-150</v>
      </c>
      <c r="AS1104" s="563" t="str">
        <f>IF(ISBLANK(AS$1094),"N/A",IF(COUNTIFS(GD_Item_FiscalPeriod,AS$1094,GD_Item_Name,$B1104,GD_Update_Date,AS$1093)=0,"NR",SUMIFS(GD_Guidance_Low,GD_Item_Name,$B1104,GD_Item_FiscalPeriod,AS$1094,GD_Update_Date,AS$1093)))</f>
        <v>NR</v>
      </c>
      <c r="AT1104" s="563" t="str">
        <f>IF(ISBLANK(AT$1094),"N/A",IF(COUNTIFS(GD_Item_FiscalPeriod,AT$1094,GD_Item_Name,$B1104,GD_Update_Date,AT$1093)=0,"NR",SUMIFS(GD_Guidance_Low,GD_Item_Name,$B1104,GD_Item_FiscalPeriod,AT$1094,GD_Update_Date,AT$1093)))</f>
        <v>NR</v>
      </c>
      <c r="AU1104" s="563">
        <f>IF(ISBLANK(AU$1094),"N/A",IF(COUNTIFS(GD_Item_FiscalPeriod,AU$1094,GD_Item_Name,$B1104,GD_Update_Date,AU$1093)=0,"NR",SUMIFS(GD_Guidance_Low,GD_Item_Name,$B1104,GD_Item_FiscalPeriod,AU$1094,GD_Update_Date,AU$1093)))</f>
        <v>-225</v>
      </c>
      <c r="AV1104" s="563">
        <f>IF(ISBLANK(AV$1094),"N/A",IF(COUNTIFS(GD_Item_FiscalPeriod,AV$1094,GD_Item_Name,$B1104,GD_Update_Date,AV$1093)=0,"NR",SUMIFS(GD_Guidance_Low,GD_Item_Name,$B1104,GD_Item_FiscalPeriod,AV$1094,GD_Update_Date,AV$1093)))</f>
        <v>-225</v>
      </c>
      <c r="AW1104" s="563" t="str">
        <f>IF(ISBLANK(AW$1094),"N/A",IF(COUNTIFS(GD_Item_FiscalPeriod,AW$1094,GD_Item_Name,$B1104,GD_Update_Date,AW$1093)=0,"NR",SUMIFS(GD_Guidance_Low,GD_Item_Name,$B1104,GD_Item_FiscalPeriod,AW$1094,GD_Update_Date,AW$1093)))</f>
        <v>NR</v>
      </c>
      <c r="AX1104" s="563">
        <f>IF(ISBLANK(AX$1094),"N/A",IF(COUNTIFS(GD_Item_FiscalPeriod,AX$1094,GD_Item_Name,$B1104,GD_Update_Date,AX$1093)=0,"NR",SUMIFS(GD_Guidance_Low,GD_Item_Name,$B1104,GD_Item_FiscalPeriod,AX$1094,GD_Update_Date,AX$1093)))</f>
        <v>-325</v>
      </c>
      <c r="AY1104" s="563">
        <f>IF(ISBLANK(AY$1094),"N/A",IF(COUNTIFS(GD_Item_FiscalPeriod,AY$1094,GD_Item_Name,$B1104,GD_Update_Date,AY$1093)=0,"NR",SUMIFS(GD_Guidance_Low,GD_Item_Name,$B1104,GD_Item_FiscalPeriod,AY$1094,GD_Update_Date,AY$1093)))</f>
        <v>-325</v>
      </c>
      <c r="AZ1104" s="563">
        <f>IF(ISBLANK(AZ$1094),"N/A",IF(COUNTIFS(GD_Item_FiscalPeriod,AZ$1094,GD_Item_Name,$B1104,GD_Update_Date,AZ$1093)=0,"NR",SUMIFS(GD_Guidance_Low,GD_Item_Name,$B1104,GD_Item_FiscalPeriod,AZ$1094,GD_Update_Date,AZ$1093)))</f>
        <v>-325</v>
      </c>
      <c r="BA1104" s="563">
        <f>IF(ISBLANK(BA$1094),"N/A",IF(COUNTIFS(GD_Item_FiscalPeriod,BA$1094,GD_Item_Name,$B1104,GD_Update_Date,BA$1093)=0,"NR",SUMIFS(GD_Guidance_Low,GD_Item_Name,$B1104,GD_Item_FiscalPeriod,BA$1094,GD_Update_Date,BA$1093)))</f>
        <v>-200</v>
      </c>
      <c r="BB1104" s="563">
        <f>IF(ISBLANK(BB$1094),"N/A",IF(COUNTIFS(GD_Item_FiscalPeriod,BB$1094,GD_Item_Name,$B1104,GD_Update_Date,BB$1093)=0,"NR",SUMIFS(GD_Guidance_Low,GD_Item_Name,$B1104,GD_Item_FiscalPeriod,BB$1094,GD_Update_Date,BB$1093)))</f>
        <v>-275</v>
      </c>
      <c r="BC1104" s="563">
        <f>IF(ISBLANK(BC$1094),"N/A",IF(COUNTIFS(GD_Item_FiscalPeriod,BC$1094,GD_Item_Name,$B1104,GD_Update_Date,BC$1093)=0,"NR",SUMIFS(GD_Guidance_Low,GD_Item_Name,$B1104,GD_Item_FiscalPeriod,BC$1094,GD_Update_Date,BC$1093)))</f>
        <v>-400</v>
      </c>
      <c r="BD1104" s="563">
        <f>IF(ISBLANK(BD$1094),"N/A",IF(COUNTIFS(GD_Item_FiscalPeriod,BD$1094,GD_Item_Name,$B1104,GD_Update_Date,BD$1093)=0,"NR",SUMIFS(GD_Guidance_Low,GD_Item_Name,$B1104,GD_Item_FiscalPeriod,BD$1094,GD_Update_Date,BD$1093)))</f>
        <v>-400</v>
      </c>
      <c r="BE1104" s="563">
        <f>IF(ISBLANK(BE$1094),"N/A",IF(COUNTIFS(GD_Item_FiscalPeriod,BE$1094,GD_Item_Name,$B1104,GD_Update_Date,BE$1093)=0,"NR",SUMIFS(GD_Guidance_Low,GD_Item_Name,$B1104,GD_Item_FiscalPeriod,BE$1094,GD_Update_Date,BE$1093)))</f>
        <v>-450</v>
      </c>
      <c r="BF1104" s="563">
        <f>IF(ISBLANK(BF$1094),"N/A",IF(COUNTIFS(GD_Item_FiscalPeriod,BF$1094,GD_Item_Name,$B1104,GD_Update_Date,BF$1093)=0,"NR",SUMIFS(GD_Guidance_Low,GD_Item_Name,$B1104,GD_Item_FiscalPeriod,BF$1094,GD_Update_Date,BF$1093)))</f>
        <v>-600</v>
      </c>
      <c r="BG1104" s="563">
        <f>IF(ISBLANK(BG$1094),"N/A",IF(COUNTIFS(GD_Item_FiscalPeriod,BG$1094,GD_Item_Name,$B1104,GD_Update_Date,BG$1093)=0,"NR",SUMIFS(GD_Guidance_Low,GD_Item_Name,$B1104,GD_Item_FiscalPeriod,BG$1094,GD_Update_Date,BG$1093)))</f>
        <v>-550</v>
      </c>
      <c r="BH1104" s="563">
        <f>IF(ISBLANK(BH$1094),"N/A",IF(COUNTIFS(GD_Item_FiscalPeriod,BH$1094,GD_Item_Name,$B1104,GD_Update_Date,BH$1093)=0,"NR",SUMIFS(GD_Guidance_Low,GD_Item_Name,$B1104,GD_Item_FiscalPeriod,BH$1094,GD_Update_Date,BH$1093)))</f>
        <v>-400</v>
      </c>
      <c r="BI1104" s="563">
        <f>IF(ISBLANK(BI$1094),"N/A",IF(COUNTIFS(GD_Item_FiscalPeriod,BI$1094,GD_Item_Name,$B1104,GD_Update_Date,BI$1093)=0,"NR",SUMIFS(GD_Guidance_Low,GD_Item_Name,$B1104,GD_Item_FiscalPeriod,BI$1094,GD_Update_Date,BI$1093)))</f>
        <v>-400</v>
      </c>
      <c r="BJ1104" s="563">
        <f>IF(ISBLANK(BJ$1094),"N/A",IF(COUNTIFS(GD_Item_FiscalPeriod,BJ$1094,GD_Item_Name,$B1104,GD_Update_Date,BJ$1093)=0,"NR",SUMIFS(GD_Guidance_Low,GD_Item_Name,$B1104,GD_Item_FiscalPeriod,BJ$1094,GD_Update_Date,BJ$1093)))</f>
        <v>-300</v>
      </c>
      <c r="BK1104" s="563" t="str">
        <f>IF(ISBLANK(BK$1094),"N/A",IF(COUNTIFS(GD_Item_FiscalPeriod,BK$1094,GD_Item_Name,$B1104,GD_Update_Date,BK$1093)=0,"NR",SUMIFS(GD_Guidance_Low,GD_Item_Name,$B1104,GD_Item_FiscalPeriod,BK$1094,GD_Update_Date,BK$1093)))</f>
        <v>NR</v>
      </c>
      <c r="BL1104" s="563" t="str">
        <f>IF(ISBLANK(BL$1094),"N/A",IF(COUNTIFS(GD_Item_FiscalPeriod,BL$1094,GD_Item_Name,$B1104,GD_Update_Date,BL$1093)=0,"NR",SUMIFS(GD_Guidance_Low,GD_Item_Name,$B1104,GD_Item_FiscalPeriod,BL$1094,GD_Update_Date,BL$1093)))</f>
        <v>NR</v>
      </c>
      <c r="BM1104" s="563" t="str">
        <f>IF(ISBLANK(BM$1094),"N/A",IF(COUNTIFS(GD_Item_FiscalPeriod,BM$1094,GD_Item_Name,$B1104,GD_Update_Date,BM$1093)=0,"NR",SUMIFS(GD_Guidance_Low,GD_Item_Name,$B1104,GD_Item_FiscalPeriod,BM$1094,GD_Update_Date,BM$1093)))</f>
        <v>NR</v>
      </c>
      <c r="BN1104" s="563" t="str">
        <f>IF(ISBLANK(BN$1094),"N/A",IF(COUNTIFS(GD_Item_FiscalPeriod,BN$1094,GD_Item_Name,$B1104,GD_Update_Date,BN$1093)=0,"NR",SUMIFS(GD_Guidance_Low,GD_Item_Name,$B1104,GD_Item_FiscalPeriod,BN$1094,GD_Update_Date,BN$1093)))</f>
        <v>NR</v>
      </c>
      <c r="BO1104" s="563" t="str">
        <f>IF(ISBLANK(BO$1094),"N/A",IF(COUNTIFS(GD_Item_FiscalPeriod,BO$1094,GD_Item_Name,$B1104,GD_Update_Date,BO$1093)=0,"NR",SUMIFS(GD_Guidance_Low,GD_Item_Name,$B1104,GD_Item_FiscalPeriod,BO$1094,GD_Update_Date,BO$1093)))</f>
        <v>NR</v>
      </c>
      <c r="BP1104" s="563" t="str">
        <f>IF(ISBLANK(BP$1094),"N/A",IF(COUNTIFS(GD_Item_FiscalPeriod,BP$1094,GD_Item_Name,$B1104,GD_Update_Date,BP$1093)=0,"NR",SUMIFS(GD_Guidance_Low,GD_Item_Name,$B1104,GD_Item_FiscalPeriod,BP$1094,GD_Update_Date,BP$1093)))</f>
        <v>NR</v>
      </c>
      <c r="BQ1104" s="563" t="str">
        <f>IF(ISBLANK(BQ$1094),"N/A",IF(COUNTIFS(GD_Item_FiscalPeriod,BQ$1094,GD_Item_Name,$B1104,GD_Update_Date,BQ$1093)=0,"NR",SUMIFS(GD_Guidance_Low,GD_Item_Name,$B1104,GD_Item_FiscalPeriod,BQ$1094,GD_Update_Date,BQ$1093)))</f>
        <v>NR</v>
      </c>
      <c r="BR1104" s="563" t="str">
        <f>IF(ISBLANK(BR$1094),"N/A",IF(COUNTIFS(GD_Item_FiscalPeriod,BR$1094,GD_Item_Name,$B1104,GD_Update_Date,BR$1093)=0,"NR",SUMIFS(GD_Guidance_Low,GD_Item_Name,$B1104,GD_Item_FiscalPeriod,BR$1094,GD_Update_Date,BR$1093)))</f>
        <v>NR</v>
      </c>
      <c r="BS1104" s="563" t="str">
        <f>IF(ISBLANK(BS$1094),"N/A",IF(COUNTIFS(GD_Item_FiscalPeriod,BS$1094,GD_Item_Name,$B1104,GD_Update_Date,BS$1093)=0,"NR",SUMIFS(GD_Guidance_Low,GD_Item_Name,$B1104,GD_Item_FiscalPeriod,BS$1094,GD_Update_Date,BS$1093)))</f>
        <v>NR</v>
      </c>
      <c r="BT1104" s="563" t="str">
        <f>IF(ISBLANK(BT$1094),"N/A",IF(COUNTIFS(GD_Item_FiscalPeriod,BT$1094,GD_Item_Name,$B1104,GD_Update_Date,BT$1093)=0,"NR",SUMIFS(GD_Guidance_Low,GD_Item_Name,$B1104,GD_Item_FiscalPeriod,BT$1094,GD_Update_Date,BT$1093)))</f>
        <v>NR</v>
      </c>
      <c r="BU1104" s="563" t="str">
        <f>IF(ISBLANK(BU$1094),"N/A",IF(COUNTIFS(GD_Item_FiscalPeriod,BU$1094,GD_Item_Name,$B1104,GD_Update_Date,BU$1093)=0,"NR",SUMIFS(GD_Guidance_Low,GD_Item_Name,$B1104,GD_Item_FiscalPeriod,BU$1094,GD_Update_Date,BU$1093)))</f>
        <v>NR</v>
      </c>
      <c r="BV1104" s="563" t="str">
        <f>IF(ISBLANK(BV$1094),"N/A",IF(COUNTIFS(GD_Item_FiscalPeriod,BV$1094,GD_Item_Name,$B1104,GD_Update_Date,BV$1093)=0,"NR",SUMIFS(GD_Guidance_Low,GD_Item_Name,$B1104,GD_Item_FiscalPeriod,BV$1094,GD_Update_Date,BV$1093)))</f>
        <v>NR</v>
      </c>
      <c r="BW1104" s="563" t="str">
        <f>IF(ISBLANK(BW$1094),"N/A",IF(COUNTIFS(GD_Item_FiscalPeriod,BW$1094,GD_Item_Name,$B1104,GD_Update_Date,BW$1093)=0,"NR",SUMIFS(GD_Guidance_Low,GD_Item_Name,$B1104,GD_Item_FiscalPeriod,BW$1094,GD_Update_Date,BW$1093)))</f>
        <v>NR</v>
      </c>
      <c r="BX1104" s="563" t="str">
        <f>IF(ISBLANK(BX$1094),"N/A",IF(COUNTIFS(GD_Item_FiscalPeriod,BX$1094,GD_Item_Name,$B1104,GD_Update_Date,BX$1093)=0,"NR",SUMIFS(GD_Guidance_Low,GD_Item_Name,$B1104,GD_Item_FiscalPeriod,BX$1094,GD_Update_Date,BX$1093)))</f>
        <v>NR</v>
      </c>
      <c r="BY1104" s="731" t="str">
        <f>IF(ISBLANK(BY$1094),"N/A",IF(COUNTIFS(GD_Item_FiscalPeriod,BY$1094,GD_Item_Name,$B1104,GD_Update_Date,BY$1093)=0,"NR",SUMIFS(GD_Guidance_Low,GD_Item_Name,$B1104,GD_Item_FiscalPeriod,BY$1094,GD_Update_Date,BY$1093)))</f>
        <v>NR</v>
      </c>
      <c r="BZ1104" s="563" t="str">
        <f>IF(ISBLANK(BZ$1094),"N/A",IF(COUNTIFS(GD_Item_FiscalPeriod,BZ$1094,GD_Item_Name,$B1104,GD_Update_Date,BZ$1093)=0,"NR",SUMIFS(GD_Guidance_Low,GD_Item_Name,$B1104,GD_Item_FiscalPeriod,BZ$1094,GD_Update_Date,BZ$1093)))</f>
        <v>N/A</v>
      </c>
      <c r="CA1104" s="563" t="str">
        <f>IF(ISBLANK(CA$1094),"N/A",IF(COUNTIFS(GD_Item_FiscalPeriod,CA$1094,GD_Item_Name,$B1104,GD_Update_Date,CA$1093)=0,"NR",SUMIFS(GD_Guidance_Low,GD_Item_Name,$B1104,GD_Item_FiscalPeriod,CA$1094,GD_Update_Date,CA$1093)))</f>
        <v>N/A</v>
      </c>
      <c r="CB1104" s="563" t="str">
        <f>IF(ISBLANK(CB$1094),"N/A",IF(COUNTIFS(GD_Item_FiscalPeriod,CB$1094,GD_Item_Name,$B1104,GD_Update_Date,CB$1093)=0,"NR",SUMIFS(GD_Guidance_Low,GD_Item_Name,$B1104,GD_Item_FiscalPeriod,CB$1094,GD_Update_Date,CB$1093)))</f>
        <v>N/A</v>
      </c>
      <c r="CC1104" s="563" t="str">
        <f>IF(ISBLANK(CC$1094),"N/A",IF(COUNTIFS(GD_Item_FiscalPeriod,CC$1094,GD_Item_Name,$B1104,GD_Update_Date,CC$1093)=0,"NR",SUMIFS(GD_Guidance_Low,GD_Item_Name,$B1104,GD_Item_FiscalPeriod,CC$1094,GD_Update_Date,CC$1093)))</f>
        <v>N/A</v>
      </c>
      <c r="CD1104" s="563" t="str">
        <f>IF(ISBLANK(CD$1094),"N/A",IF(COUNTIFS(GD_Item_FiscalPeriod,CD$1094,GD_Item_Name,$B1104,GD_Update_Date,CD$1093)=0,"NR",SUMIFS(GD_Guidance_Low,GD_Item_Name,$B1104,GD_Item_FiscalPeriod,CD$1094,GD_Update_Date,CD$1093)))</f>
        <v>N/A</v>
      </c>
      <c r="CE1104" s="563" t="str">
        <f>IF(ISBLANK(CE$1094),"N/A",IF(COUNTIFS(GD_Item_FiscalPeriod,CE$1094,GD_Item_Name,$B1104,GD_Update_Date,CE$1093)=0,"NR",SUMIFS(GD_Guidance_Low,GD_Item_Name,$B1104,GD_Item_FiscalPeriod,CE$1094,GD_Update_Date,CE$1093)))</f>
        <v>N/A</v>
      </c>
      <c r="CF1104" s="563" t="str">
        <f>IF(ISBLANK(CF$1094),"N/A",IF(COUNTIFS(GD_Item_FiscalPeriod,CF$1094,GD_Item_Name,$B1104,GD_Update_Date,CF$1093)=0,"NR",SUMIFS(GD_Guidance_Low,GD_Item_Name,$B1104,GD_Item_FiscalPeriod,CF$1094,GD_Update_Date,CF$1093)))</f>
        <v>N/A</v>
      </c>
      <c r="CG1104" s="563" t="str">
        <f>IF(ISBLANK(CG$1094),"N/A",IF(COUNTIFS(GD_Item_FiscalPeriod,CG$1094,GD_Item_Name,$B1104,GD_Update_Date,CG$1093)=0,"NR",SUMIFS(GD_Guidance_Low,GD_Item_Name,$B1104,GD_Item_FiscalPeriod,CG$1094,GD_Update_Date,CG$1093)))</f>
        <v>N/A</v>
      </c>
      <c r="CH1104" s="563" t="str">
        <f>IF(ISBLANK(CH$1094),"N/A",IF(COUNTIFS(GD_Item_FiscalPeriod,CH$1094,GD_Item_Name,$B1104,GD_Update_Date,CH$1093)=0,"NR",SUMIFS(GD_Guidance_Low,GD_Item_Name,$B1104,GD_Item_FiscalPeriod,CH$1094,GD_Update_Date,CH$1093)))</f>
        <v>N/A</v>
      </c>
      <c r="CI1104" s="563" t="str">
        <f>IF(ISBLANK(CI$1094),"N/A",IF(COUNTIFS(GD_Item_FiscalPeriod,CI$1094,GD_Item_Name,$B1104,GD_Update_Date,CI$1093)=0,"NR",SUMIFS(GD_Guidance_Low,GD_Item_Name,$B1104,GD_Item_FiscalPeriod,CI$1094,GD_Update_Date,CI$1093)))</f>
        <v>N/A</v>
      </c>
      <c r="CJ1104" s="563" t="str">
        <f>IF(ISBLANK(CJ$1094),"N/A",IF(COUNTIFS(GD_Item_FiscalPeriod,CJ$1094,GD_Item_Name,$B1104,GD_Update_Date,CJ$1093)=0,"NR",SUMIFS(GD_Guidance_Low,GD_Item_Name,$B1104,GD_Item_FiscalPeriod,CJ$1094,GD_Update_Date,CJ$1093)))</f>
        <v>N/A</v>
      </c>
      <c r="CK1104" s="794" t="str">
        <f>IF(ISBLANK(CK$1094),"N/A",IF(COUNTIFS(GD_Item_FiscalPeriod,CK$1094,GD_Item_Name,$B1104,GD_Update_Date,CK$1093)=0,"NR",SUMIFS(GD_Guidance_Low,GD_Item_Name,$B1104,GD_Item_FiscalPeriod,CK$1094,GD_Update_Date,CK$1093)))</f>
        <v>N/A</v>
      </c>
      <c r="CL1104" s="155"/>
    </row>
    <row r="1105" spans="1:90" x14ac:dyDescent="0.3">
      <c r="A1105" s="793" t="s">
        <v>950</v>
      </c>
      <c r="B1105" s="1055" t="s">
        <v>560</v>
      </c>
      <c r="C1105" s="1037"/>
      <c r="D1105" s="1037"/>
      <c r="E1105" s="563"/>
      <c r="F1105" s="563"/>
      <c r="G1105" s="563"/>
      <c r="H1105" s="563"/>
      <c r="I1105" s="563"/>
      <c r="J1105" s="563"/>
      <c r="K1105" s="563"/>
      <c r="L1105" s="563"/>
      <c r="M1105" s="563"/>
      <c r="N1105" s="563"/>
      <c r="O1105" s="563"/>
      <c r="P1105" s="563"/>
      <c r="Q1105" s="563"/>
      <c r="R1105" s="563"/>
      <c r="S1105" s="563"/>
      <c r="T1105" s="563"/>
      <c r="U1105" s="563"/>
      <c r="V1105" s="563"/>
      <c r="W1105" s="563"/>
      <c r="X1105" s="563"/>
      <c r="Y1105" s="563"/>
      <c r="Z1105" s="563"/>
      <c r="AA1105" s="563"/>
      <c r="AB1105" s="563"/>
      <c r="AC1105" s="563"/>
      <c r="AD1105" s="563"/>
      <c r="AE1105" s="563"/>
      <c r="AF1105" s="563"/>
      <c r="AG1105" s="563"/>
      <c r="AH1105" s="563" t="str">
        <f>IF(ISBLANK(AH$1094),"N/A",IF(COUNTIFS(GD_Item_FiscalPeriod,AH$1094,GD_Item_Name,$B1105,GD_Update_Date,AH$1093)=0,"NR",SUMIFS(GD_Guidance_High,GD_Item_Name,$B1105,GD_Item_FiscalPeriod,AH$1094,GD_Update_Date,AH$1093)))</f>
        <v>NR</v>
      </c>
      <c r="AI1105" s="563" t="str">
        <f>IF(ISBLANK(AI$1094),"N/A",IF(COUNTIFS(GD_Item_FiscalPeriod,AI$1094,GD_Item_Name,$B1105,GD_Update_Date,AI$1093)=0,"NR",SUMIFS(GD_Guidance_High,GD_Item_Name,$B1105,GD_Item_FiscalPeriod,AI$1094,GD_Update_Date,AI$1093)))</f>
        <v>NR</v>
      </c>
      <c r="AJ1105" s="563" t="str">
        <f>IF(ISBLANK(AJ$1094),"N/A",IF(COUNTIFS(GD_Item_FiscalPeriod,AJ$1094,GD_Item_Name,$B1105,GD_Update_Date,AJ$1093)=0,"NR",SUMIFS(GD_Guidance_High,GD_Item_Name,$B1105,GD_Item_FiscalPeriod,AJ$1094,GD_Update_Date,AJ$1093)))</f>
        <v>NR</v>
      </c>
      <c r="AK1105" s="563" t="str">
        <f>IF(ISBLANK(AK$1094),"N/A",IF(COUNTIFS(GD_Item_FiscalPeriod,AK$1094,GD_Item_Name,$B1105,GD_Update_Date,AK$1093)=0,"NR",SUMIFS(GD_Guidance_High,GD_Item_Name,$B1105,GD_Item_FiscalPeriod,AK$1094,GD_Update_Date,AK$1093)))</f>
        <v>NR</v>
      </c>
      <c r="AL1105" s="563" t="str">
        <f>IF(ISBLANK(AL$1094),"N/A",IF(COUNTIFS(GD_Item_FiscalPeriod,AL$1094,GD_Item_Name,$B1105,GD_Update_Date,AL$1093)=0,"NR",SUMIFS(GD_Guidance_High,GD_Item_Name,$B1105,GD_Item_FiscalPeriod,AL$1094,GD_Update_Date,AL$1093)))</f>
        <v>NR</v>
      </c>
      <c r="AM1105" s="563" t="str">
        <f>IF(ISBLANK(AM$1094),"N/A",IF(COUNTIFS(GD_Item_FiscalPeriod,AM$1094,GD_Item_Name,$B1105,GD_Update_Date,AM$1093)=0,"NR",SUMIFS(GD_Guidance_High,GD_Item_Name,$B1105,GD_Item_FiscalPeriod,AM$1094,GD_Update_Date,AM$1093)))</f>
        <v>NR</v>
      </c>
      <c r="AN1105" s="563" t="str">
        <f>IF(ISBLANK(AN$1094),"N/A",IF(COUNTIFS(GD_Item_FiscalPeriod,AN$1094,GD_Item_Name,$B1105,GD_Update_Date,AN$1093)=0,"NR",SUMIFS(GD_Guidance_High,GD_Item_Name,$B1105,GD_Item_FiscalPeriod,AN$1094,GD_Update_Date,AN$1093)))</f>
        <v>NR</v>
      </c>
      <c r="AO1105" s="563" t="str">
        <f>IF(ISBLANK(AO$1094),"N/A",IF(COUNTIFS(GD_Item_FiscalPeriod,AO$1094,GD_Item_Name,$B1105,GD_Update_Date,AO$1093)=0,"NR",SUMIFS(GD_Guidance_High,GD_Item_Name,$B1105,GD_Item_FiscalPeriod,AO$1094,GD_Update_Date,AO$1093)))</f>
        <v>NR</v>
      </c>
      <c r="AP1105" s="563" t="str">
        <f>IF(ISBLANK(AP$1094),"N/A",IF(COUNTIFS(GD_Item_FiscalPeriod,AP$1094,GD_Item_Name,$B1105,GD_Update_Date,AP$1093)=0,"NR",SUMIFS(GD_Guidance_High,GD_Item_Name,$B1105,GD_Item_FiscalPeriod,AP$1094,GD_Update_Date,AP$1093)))</f>
        <v>NR</v>
      </c>
      <c r="AQ1105" s="563" t="str">
        <f>IF(ISBLANK(AQ$1094),"N/A",IF(COUNTIFS(GD_Item_FiscalPeriod,AQ$1094,GD_Item_Name,$B1105,GD_Update_Date,AQ$1093)=0,"NR",SUMIFS(GD_Guidance_High,GD_Item_Name,$B1105,GD_Item_FiscalPeriod,AQ$1094,GD_Update_Date,AQ$1093)))</f>
        <v>NR</v>
      </c>
      <c r="AR1105" s="563">
        <f>IF(ISBLANK(AR$1094),"N/A",IF(COUNTIFS(GD_Item_FiscalPeriod,AR$1094,GD_Item_Name,$B1105,GD_Update_Date,AR$1093)=0,"NR",SUMIFS(GD_Guidance_High,GD_Item_Name,$B1105,GD_Item_FiscalPeriod,AR$1094,GD_Update_Date,AR$1093)))</f>
        <v>-130</v>
      </c>
      <c r="AS1105" s="563" t="str">
        <f>IF(ISBLANK(AS$1094),"N/A",IF(COUNTIFS(GD_Item_FiscalPeriod,AS$1094,GD_Item_Name,$B1105,GD_Update_Date,AS$1093)=0,"NR",SUMIFS(GD_Guidance_High,GD_Item_Name,$B1105,GD_Item_FiscalPeriod,AS$1094,GD_Update_Date,AS$1093)))</f>
        <v>NR</v>
      </c>
      <c r="AT1105" s="563" t="str">
        <f>IF(ISBLANK(AT$1094),"N/A",IF(COUNTIFS(GD_Item_FiscalPeriod,AT$1094,GD_Item_Name,$B1105,GD_Update_Date,AT$1093)=0,"NR",SUMIFS(GD_Guidance_High,GD_Item_Name,$B1105,GD_Item_FiscalPeriod,AT$1094,GD_Update_Date,AT$1093)))</f>
        <v>NR</v>
      </c>
      <c r="AU1105" s="563">
        <f>IF(ISBLANK(AU$1094),"N/A",IF(COUNTIFS(GD_Item_FiscalPeriod,AU$1094,GD_Item_Name,$B1105,GD_Update_Date,AU$1093)=0,"NR",SUMIFS(GD_Guidance_High,GD_Item_Name,$B1105,GD_Item_FiscalPeriod,AU$1094,GD_Update_Date,AU$1093)))</f>
        <v>-250</v>
      </c>
      <c r="AV1105" s="563">
        <f>IF(ISBLANK(AV$1094),"N/A",IF(COUNTIFS(GD_Item_FiscalPeriod,AV$1094,GD_Item_Name,$B1105,GD_Update_Date,AV$1093)=0,"NR",SUMIFS(GD_Guidance_High,GD_Item_Name,$B1105,GD_Item_FiscalPeriod,AV$1094,GD_Update_Date,AV$1093)))</f>
        <v>-250</v>
      </c>
      <c r="AW1105" s="563" t="str">
        <f>IF(ISBLANK(AW$1094),"N/A",IF(COUNTIFS(GD_Item_FiscalPeriod,AW$1094,GD_Item_Name,$B1105,GD_Update_Date,AW$1093)=0,"NR",SUMIFS(GD_Guidance_High,GD_Item_Name,$B1105,GD_Item_FiscalPeriod,AW$1094,GD_Update_Date,AW$1093)))</f>
        <v>NR</v>
      </c>
      <c r="AX1105" s="563">
        <f>IF(ISBLANK(AX$1094),"N/A",IF(COUNTIFS(GD_Item_FiscalPeriod,AX$1094,GD_Item_Name,$B1105,GD_Update_Date,AX$1093)=0,"NR",SUMIFS(GD_Guidance_High,GD_Item_Name,$B1105,GD_Item_FiscalPeriod,AX$1094,GD_Update_Date,AX$1093)))</f>
        <v>-300</v>
      </c>
      <c r="AY1105" s="563">
        <f>IF(ISBLANK(AY$1094),"N/A",IF(COUNTIFS(GD_Item_FiscalPeriod,AY$1094,GD_Item_Name,$B1105,GD_Update_Date,AY$1093)=0,"NR",SUMIFS(GD_Guidance_High,GD_Item_Name,$B1105,GD_Item_FiscalPeriod,AY$1094,GD_Update_Date,AY$1093)))</f>
        <v>-300</v>
      </c>
      <c r="AZ1105" s="563">
        <f>IF(ISBLANK(AZ$1094),"N/A",IF(COUNTIFS(GD_Item_FiscalPeriod,AZ$1094,GD_Item_Name,$B1105,GD_Update_Date,AZ$1093)=0,"NR",SUMIFS(GD_Guidance_High,GD_Item_Name,$B1105,GD_Item_FiscalPeriod,AZ$1094,GD_Update_Date,AZ$1093)))</f>
        <v>-300</v>
      </c>
      <c r="BA1105" s="563">
        <f>IF(ISBLANK(BA$1094),"N/A",IF(COUNTIFS(GD_Item_FiscalPeriod,BA$1094,GD_Item_Name,$B1105,GD_Update_Date,BA$1093)=0,"NR",SUMIFS(GD_Guidance_High,GD_Item_Name,$B1105,GD_Item_FiscalPeriod,BA$1094,GD_Update_Date,BA$1093)))</f>
        <v>-225</v>
      </c>
      <c r="BB1105" s="563">
        <f>IF(ISBLANK(BB$1094),"N/A",IF(COUNTIFS(GD_Item_FiscalPeriod,BB$1094,GD_Item_Name,$B1105,GD_Update_Date,BB$1093)=0,"NR",SUMIFS(GD_Guidance_High,GD_Item_Name,$B1105,GD_Item_FiscalPeriod,BB$1094,GD_Update_Date,BB$1093)))</f>
        <v>-250</v>
      </c>
      <c r="BC1105" s="563">
        <f>IF(ISBLANK(BC$1094),"N/A",IF(COUNTIFS(GD_Item_FiscalPeriod,BC$1094,GD_Item_Name,$B1105,GD_Update_Date,BC$1093)=0,"NR",SUMIFS(GD_Guidance_High,GD_Item_Name,$B1105,GD_Item_FiscalPeriod,BC$1094,GD_Update_Date,BC$1093)))</f>
        <v>-350</v>
      </c>
      <c r="BD1105" s="563">
        <f>IF(ISBLANK(BD$1094),"N/A",IF(COUNTIFS(GD_Item_FiscalPeriod,BD$1094,GD_Item_Name,$B1105,GD_Update_Date,BD$1093)=0,"NR",SUMIFS(GD_Guidance_High,GD_Item_Name,$B1105,GD_Item_FiscalPeriod,BD$1094,GD_Update_Date,BD$1093)))</f>
        <v>-350</v>
      </c>
      <c r="BE1105" s="563">
        <f>IF(ISBLANK(BE$1094),"N/A",IF(COUNTIFS(GD_Item_FiscalPeriod,BE$1094,GD_Item_Name,$B1105,GD_Update_Date,BE$1093)=0,"NR",SUMIFS(GD_Guidance_High,GD_Item_Name,$B1105,GD_Item_FiscalPeriod,BE$1094,GD_Update_Date,BE$1093)))</f>
        <v>-400</v>
      </c>
      <c r="BF1105" s="563">
        <f>IF(ISBLANK(BF$1094),"N/A",IF(COUNTIFS(GD_Item_FiscalPeriod,BF$1094,GD_Item_Name,$B1105,GD_Update_Date,BF$1093)=0,"NR",SUMIFS(GD_Guidance_High,GD_Item_Name,$B1105,GD_Item_FiscalPeriod,BF$1094,GD_Update_Date,BF$1093)))</f>
        <v>-550</v>
      </c>
      <c r="BG1105" s="563">
        <f>IF(ISBLANK(BG$1094),"N/A",IF(COUNTIFS(GD_Item_FiscalPeriod,BG$1094,GD_Item_Name,$B1105,GD_Update_Date,BG$1093)=0,"NR",SUMIFS(GD_Guidance_High,GD_Item_Name,$B1105,GD_Item_FiscalPeriod,BG$1094,GD_Update_Date,BG$1093)))</f>
        <v>-500</v>
      </c>
      <c r="BH1105" s="563">
        <f>IF(ISBLANK(BH$1094),"N/A",IF(COUNTIFS(GD_Item_FiscalPeriod,BH$1094,GD_Item_Name,$B1105,GD_Update_Date,BH$1093)=0,"NR",SUMIFS(GD_Guidance_High,GD_Item_Name,$B1105,GD_Item_FiscalPeriod,BH$1094,GD_Update_Date,BH$1093)))</f>
        <v>-350</v>
      </c>
      <c r="BI1105" s="563">
        <f>IF(ISBLANK(BI$1094),"N/A",IF(COUNTIFS(GD_Item_FiscalPeriod,BI$1094,GD_Item_Name,$B1105,GD_Update_Date,BI$1093)=0,"NR",SUMIFS(GD_Guidance_High,GD_Item_Name,$B1105,GD_Item_FiscalPeriod,BI$1094,GD_Update_Date,BI$1093)))</f>
        <v>-350</v>
      </c>
      <c r="BJ1105" s="563">
        <f>IF(ISBLANK(BJ$1094),"N/A",IF(COUNTIFS(GD_Item_FiscalPeriod,BJ$1094,GD_Item_Name,$B1105,GD_Update_Date,BJ$1093)=0,"NR",SUMIFS(GD_Guidance_High,GD_Item_Name,$B1105,GD_Item_FiscalPeriod,BJ$1094,GD_Update_Date,BJ$1093)))</f>
        <v>-350</v>
      </c>
      <c r="BK1105" s="563" t="str">
        <f>IF(ISBLANK(BK$1094),"N/A",IF(COUNTIFS(GD_Item_FiscalPeriod,BK$1094,GD_Item_Name,$B1105,GD_Update_Date,BK$1093)=0,"NR",SUMIFS(GD_Guidance_High,GD_Item_Name,$B1105,GD_Item_FiscalPeriod,BK$1094,GD_Update_Date,BK$1093)))</f>
        <v>NR</v>
      </c>
      <c r="BL1105" s="563" t="str">
        <f>IF(ISBLANK(BL$1094),"N/A",IF(COUNTIFS(GD_Item_FiscalPeriod,BL$1094,GD_Item_Name,$B1105,GD_Update_Date,BL$1093)=0,"NR",SUMIFS(GD_Guidance_High,GD_Item_Name,$B1105,GD_Item_FiscalPeriod,BL$1094,GD_Update_Date,BL$1093)))</f>
        <v>NR</v>
      </c>
      <c r="BM1105" s="563" t="str">
        <f>IF(ISBLANK(BM$1094),"N/A",IF(COUNTIFS(GD_Item_FiscalPeriod,BM$1094,GD_Item_Name,$B1105,GD_Update_Date,BM$1093)=0,"NR",SUMIFS(GD_Guidance_High,GD_Item_Name,$B1105,GD_Item_FiscalPeriod,BM$1094,GD_Update_Date,BM$1093)))</f>
        <v>NR</v>
      </c>
      <c r="BN1105" s="563" t="str">
        <f>IF(ISBLANK(BN$1094),"N/A",IF(COUNTIFS(GD_Item_FiscalPeriod,BN$1094,GD_Item_Name,$B1105,GD_Update_Date,BN$1093)=0,"NR",SUMIFS(GD_Guidance_High,GD_Item_Name,$B1105,GD_Item_FiscalPeriod,BN$1094,GD_Update_Date,BN$1093)))</f>
        <v>NR</v>
      </c>
      <c r="BO1105" s="563" t="str">
        <f>IF(ISBLANK(BO$1094),"N/A",IF(COUNTIFS(GD_Item_FiscalPeriod,BO$1094,GD_Item_Name,$B1105,GD_Update_Date,BO$1093)=0,"NR",SUMIFS(GD_Guidance_High,GD_Item_Name,$B1105,GD_Item_FiscalPeriod,BO$1094,GD_Update_Date,BO$1093)))</f>
        <v>NR</v>
      </c>
      <c r="BP1105" s="563" t="str">
        <f>IF(ISBLANK(BP$1094),"N/A",IF(COUNTIFS(GD_Item_FiscalPeriod,BP$1094,GD_Item_Name,$B1105,GD_Update_Date,BP$1093)=0,"NR",SUMIFS(GD_Guidance_High,GD_Item_Name,$B1105,GD_Item_FiscalPeriod,BP$1094,GD_Update_Date,BP$1093)))</f>
        <v>NR</v>
      </c>
      <c r="BQ1105" s="563" t="str">
        <f>IF(ISBLANK(BQ$1094),"N/A",IF(COUNTIFS(GD_Item_FiscalPeriod,BQ$1094,GD_Item_Name,$B1105,GD_Update_Date,BQ$1093)=0,"NR",SUMIFS(GD_Guidance_High,GD_Item_Name,$B1105,GD_Item_FiscalPeriod,BQ$1094,GD_Update_Date,BQ$1093)))</f>
        <v>NR</v>
      </c>
      <c r="BR1105" s="563" t="str">
        <f>IF(ISBLANK(BR$1094),"N/A",IF(COUNTIFS(GD_Item_FiscalPeriod,BR$1094,GD_Item_Name,$B1105,GD_Update_Date,BR$1093)=0,"NR",SUMIFS(GD_Guidance_High,GD_Item_Name,$B1105,GD_Item_FiscalPeriod,BR$1094,GD_Update_Date,BR$1093)))</f>
        <v>NR</v>
      </c>
      <c r="BS1105" s="563" t="str">
        <f>IF(ISBLANK(BS$1094),"N/A",IF(COUNTIFS(GD_Item_FiscalPeriod,BS$1094,GD_Item_Name,$B1105,GD_Update_Date,BS$1093)=0,"NR",SUMIFS(GD_Guidance_High,GD_Item_Name,$B1105,GD_Item_FiscalPeriod,BS$1094,GD_Update_Date,BS$1093)))</f>
        <v>NR</v>
      </c>
      <c r="BT1105" s="563" t="str">
        <f>IF(ISBLANK(BT$1094),"N/A",IF(COUNTIFS(GD_Item_FiscalPeriod,BT$1094,GD_Item_Name,$B1105,GD_Update_Date,BT$1093)=0,"NR",SUMIFS(GD_Guidance_High,GD_Item_Name,$B1105,GD_Item_FiscalPeriod,BT$1094,GD_Update_Date,BT$1093)))</f>
        <v>NR</v>
      </c>
      <c r="BU1105" s="563" t="str">
        <f>IF(ISBLANK(BU$1094),"N/A",IF(COUNTIFS(GD_Item_FiscalPeriod,BU$1094,GD_Item_Name,$B1105,GD_Update_Date,BU$1093)=0,"NR",SUMIFS(GD_Guidance_High,GD_Item_Name,$B1105,GD_Item_FiscalPeriod,BU$1094,GD_Update_Date,BU$1093)))</f>
        <v>NR</v>
      </c>
      <c r="BV1105" s="563" t="str">
        <f>IF(ISBLANK(BV$1094),"N/A",IF(COUNTIFS(GD_Item_FiscalPeriod,BV$1094,GD_Item_Name,$B1105,GD_Update_Date,BV$1093)=0,"NR",SUMIFS(GD_Guidance_High,GD_Item_Name,$B1105,GD_Item_FiscalPeriod,BV$1094,GD_Update_Date,BV$1093)))</f>
        <v>NR</v>
      </c>
      <c r="BW1105" s="563" t="str">
        <f>IF(ISBLANK(BW$1094),"N/A",IF(COUNTIFS(GD_Item_FiscalPeriod,BW$1094,GD_Item_Name,$B1105,GD_Update_Date,BW$1093)=0,"NR",SUMIFS(GD_Guidance_High,GD_Item_Name,$B1105,GD_Item_FiscalPeriod,BW$1094,GD_Update_Date,BW$1093)))</f>
        <v>NR</v>
      </c>
      <c r="BX1105" s="563" t="str">
        <f>IF(ISBLANK(BX$1094),"N/A",IF(COUNTIFS(GD_Item_FiscalPeriod,BX$1094,GD_Item_Name,$B1105,GD_Update_Date,BX$1093)=0,"NR",SUMIFS(GD_Guidance_High,GD_Item_Name,$B1105,GD_Item_FiscalPeriod,BX$1094,GD_Update_Date,BX$1093)))</f>
        <v>NR</v>
      </c>
      <c r="BY1105" s="731" t="str">
        <f>IF(ISBLANK(BY$1094),"N/A",IF(COUNTIFS(GD_Item_FiscalPeriod,BY$1094,GD_Item_Name,$B1105,GD_Update_Date,BY$1093)=0,"NR",SUMIFS(GD_Guidance_High,GD_Item_Name,$B1105,GD_Item_FiscalPeriod,BY$1094,GD_Update_Date,BY$1093)))</f>
        <v>NR</v>
      </c>
      <c r="BZ1105" s="563" t="str">
        <f>IF(ISBLANK(BZ$1094),"N/A",IF(COUNTIFS(GD_Item_FiscalPeriod,BZ$1094,GD_Item_Name,$B1105,GD_Update_Date,BZ$1093)=0,"NR",SUMIFS(GD_Guidance_High,GD_Item_Name,$B1105,GD_Item_FiscalPeriod,BZ$1094,GD_Update_Date,BZ$1093)))</f>
        <v>N/A</v>
      </c>
      <c r="CA1105" s="563" t="str">
        <f>IF(ISBLANK(CA$1094),"N/A",IF(COUNTIFS(GD_Item_FiscalPeriod,CA$1094,GD_Item_Name,$B1105,GD_Update_Date,CA$1093)=0,"NR",SUMIFS(GD_Guidance_High,GD_Item_Name,$B1105,GD_Item_FiscalPeriod,CA$1094,GD_Update_Date,CA$1093)))</f>
        <v>N/A</v>
      </c>
      <c r="CB1105" s="563" t="str">
        <f>IF(ISBLANK(CB$1094),"N/A",IF(COUNTIFS(GD_Item_FiscalPeriod,CB$1094,GD_Item_Name,$B1105,GD_Update_Date,CB$1093)=0,"NR",SUMIFS(GD_Guidance_High,GD_Item_Name,$B1105,GD_Item_FiscalPeriod,CB$1094,GD_Update_Date,CB$1093)))</f>
        <v>N/A</v>
      </c>
      <c r="CC1105" s="563" t="str">
        <f>IF(ISBLANK(CC$1094),"N/A",IF(COUNTIFS(GD_Item_FiscalPeriod,CC$1094,GD_Item_Name,$B1105,GD_Update_Date,CC$1093)=0,"NR",SUMIFS(GD_Guidance_High,GD_Item_Name,$B1105,GD_Item_FiscalPeriod,CC$1094,GD_Update_Date,CC$1093)))</f>
        <v>N/A</v>
      </c>
      <c r="CD1105" s="563" t="str">
        <f>IF(ISBLANK(CD$1094),"N/A",IF(COUNTIFS(GD_Item_FiscalPeriod,CD$1094,GD_Item_Name,$B1105,GD_Update_Date,CD$1093)=0,"NR",SUMIFS(GD_Guidance_High,GD_Item_Name,$B1105,GD_Item_FiscalPeriod,CD$1094,GD_Update_Date,CD$1093)))</f>
        <v>N/A</v>
      </c>
      <c r="CE1105" s="563" t="str">
        <f>IF(ISBLANK(CE$1094),"N/A",IF(COUNTIFS(GD_Item_FiscalPeriod,CE$1094,GD_Item_Name,$B1105,GD_Update_Date,CE$1093)=0,"NR",SUMIFS(GD_Guidance_High,GD_Item_Name,$B1105,GD_Item_FiscalPeriod,CE$1094,GD_Update_Date,CE$1093)))</f>
        <v>N/A</v>
      </c>
      <c r="CF1105" s="563" t="str">
        <f>IF(ISBLANK(CF$1094),"N/A",IF(COUNTIFS(GD_Item_FiscalPeriod,CF$1094,GD_Item_Name,$B1105,GD_Update_Date,CF$1093)=0,"NR",SUMIFS(GD_Guidance_High,GD_Item_Name,$B1105,GD_Item_FiscalPeriod,CF$1094,GD_Update_Date,CF$1093)))</f>
        <v>N/A</v>
      </c>
      <c r="CG1105" s="563" t="str">
        <f>IF(ISBLANK(CG$1094),"N/A",IF(COUNTIFS(GD_Item_FiscalPeriod,CG$1094,GD_Item_Name,$B1105,GD_Update_Date,CG$1093)=0,"NR",SUMIFS(GD_Guidance_High,GD_Item_Name,$B1105,GD_Item_FiscalPeriod,CG$1094,GD_Update_Date,CG$1093)))</f>
        <v>N/A</v>
      </c>
      <c r="CH1105" s="563" t="str">
        <f>IF(ISBLANK(CH$1094),"N/A",IF(COUNTIFS(GD_Item_FiscalPeriod,CH$1094,GD_Item_Name,$B1105,GD_Update_Date,CH$1093)=0,"NR",SUMIFS(GD_Guidance_High,GD_Item_Name,$B1105,GD_Item_FiscalPeriod,CH$1094,GD_Update_Date,CH$1093)))</f>
        <v>N/A</v>
      </c>
      <c r="CI1105" s="563" t="str">
        <f>IF(ISBLANK(CI$1094),"N/A",IF(COUNTIFS(GD_Item_FiscalPeriod,CI$1094,GD_Item_Name,$B1105,GD_Update_Date,CI$1093)=0,"NR",SUMIFS(GD_Guidance_High,GD_Item_Name,$B1105,GD_Item_FiscalPeriod,CI$1094,GD_Update_Date,CI$1093)))</f>
        <v>N/A</v>
      </c>
      <c r="CJ1105" s="563" t="str">
        <f>IF(ISBLANK(CJ$1094),"N/A",IF(COUNTIFS(GD_Item_FiscalPeriod,CJ$1094,GD_Item_Name,$B1105,GD_Update_Date,CJ$1093)=0,"NR",SUMIFS(GD_Guidance_High,GD_Item_Name,$B1105,GD_Item_FiscalPeriod,CJ$1094,GD_Update_Date,CJ$1093)))</f>
        <v>N/A</v>
      </c>
      <c r="CK1105" s="794" t="str">
        <f>IF(ISBLANK(CK$1094),"N/A",IF(COUNTIFS(GD_Item_FiscalPeriod,CK$1094,GD_Item_Name,$B1105,GD_Update_Date,CK$1093)=0,"NR",SUMIFS(GD_Guidance_High,GD_Item_Name,$B1105,GD_Item_FiscalPeriod,CK$1094,GD_Update_Date,CK$1093)))</f>
        <v>N/A</v>
      </c>
      <c r="CL1105" s="155"/>
    </row>
    <row r="1106" spans="1:90" x14ac:dyDescent="0.3">
      <c r="A1106" s="793" t="s">
        <v>951</v>
      </c>
      <c r="B1106" s="1055" t="s">
        <v>560</v>
      </c>
      <c r="C1106" s="1037"/>
      <c r="D1106" s="1037"/>
      <c r="E1106" s="563"/>
      <c r="F1106" s="563"/>
      <c r="G1106" s="563"/>
      <c r="H1106" s="563"/>
      <c r="I1106" s="563"/>
      <c r="J1106" s="563"/>
      <c r="K1106" s="563"/>
      <c r="L1106" s="563"/>
      <c r="M1106" s="563"/>
      <c r="N1106" s="563"/>
      <c r="O1106" s="563"/>
      <c r="P1106" s="563"/>
      <c r="Q1106" s="563"/>
      <c r="R1106" s="563"/>
      <c r="S1106" s="563"/>
      <c r="T1106" s="563"/>
      <c r="U1106" s="563"/>
      <c r="V1106" s="563"/>
      <c r="W1106" s="563"/>
      <c r="X1106" s="563"/>
      <c r="Y1106" s="563"/>
      <c r="Z1106" s="563"/>
      <c r="AA1106" s="563"/>
      <c r="AB1106" s="563"/>
      <c r="AC1106" s="563"/>
      <c r="AD1106" s="563"/>
      <c r="AE1106" s="563"/>
      <c r="AF1106" s="563"/>
      <c r="AG1106" s="563"/>
      <c r="AH1106" s="563" t="str">
        <f>IF(ISBLANK(AH$1094),"N/A",IF(COUNTIFS(GD_Item_FiscalPeriod,AH$1094,GD_Item_Name,$B1106,GD_Update_Date,AH$1093)=0,"NR",SUMIFS(GD_Guidance_Mid,GD_Item_Name,$B1106,GD_Item_FiscalPeriod,AH$1094,GD_Update_Date,AH$1093)))</f>
        <v>NR</v>
      </c>
      <c r="AI1106" s="563" t="str">
        <f>IF(ISBLANK(AI$1094),"N/A",IF(COUNTIFS(GD_Item_FiscalPeriod,AI$1094,GD_Item_Name,$B1106,GD_Update_Date,AI$1093)=0,"NR",SUMIFS(GD_Guidance_Mid,GD_Item_Name,$B1106,GD_Item_FiscalPeriod,AI$1094,GD_Update_Date,AI$1093)))</f>
        <v>NR</v>
      </c>
      <c r="AJ1106" s="563" t="str">
        <f>IF(ISBLANK(AJ$1094),"N/A",IF(COUNTIFS(GD_Item_FiscalPeriod,AJ$1094,GD_Item_Name,$B1106,GD_Update_Date,AJ$1093)=0,"NR",SUMIFS(GD_Guidance_Mid,GD_Item_Name,$B1106,GD_Item_FiscalPeriod,AJ$1094,GD_Update_Date,AJ$1093)))</f>
        <v>NR</v>
      </c>
      <c r="AK1106" s="563" t="str">
        <f>IF(ISBLANK(AK$1094),"N/A",IF(COUNTIFS(GD_Item_FiscalPeriod,AK$1094,GD_Item_Name,$B1106,GD_Update_Date,AK$1093)=0,"NR",SUMIFS(GD_Guidance_Mid,GD_Item_Name,$B1106,GD_Item_FiscalPeriod,AK$1094,GD_Update_Date,AK$1093)))</f>
        <v>NR</v>
      </c>
      <c r="AL1106" s="563" t="str">
        <f>IF(ISBLANK(AL$1094),"N/A",IF(COUNTIFS(GD_Item_FiscalPeriod,AL$1094,GD_Item_Name,$B1106,GD_Update_Date,AL$1093)=0,"NR",SUMIFS(GD_Guidance_Mid,GD_Item_Name,$B1106,GD_Item_FiscalPeriod,AL$1094,GD_Update_Date,AL$1093)))</f>
        <v>NR</v>
      </c>
      <c r="AM1106" s="563" t="str">
        <f>IF(ISBLANK(AM$1094),"N/A",IF(COUNTIFS(GD_Item_FiscalPeriod,AM$1094,GD_Item_Name,$B1106,GD_Update_Date,AM$1093)=0,"NR",SUMIFS(GD_Guidance_Mid,GD_Item_Name,$B1106,GD_Item_FiscalPeriod,AM$1094,GD_Update_Date,AM$1093)))</f>
        <v>NR</v>
      </c>
      <c r="AN1106" s="563" t="str">
        <f>IF(ISBLANK(AN$1094),"N/A",IF(COUNTIFS(GD_Item_FiscalPeriod,AN$1094,GD_Item_Name,$B1106,GD_Update_Date,AN$1093)=0,"NR",SUMIFS(GD_Guidance_Mid,GD_Item_Name,$B1106,GD_Item_FiscalPeriod,AN$1094,GD_Update_Date,AN$1093)))</f>
        <v>NR</v>
      </c>
      <c r="AO1106" s="563" t="str">
        <f>IF(ISBLANK(AO$1094),"N/A",IF(COUNTIFS(GD_Item_FiscalPeriod,AO$1094,GD_Item_Name,$B1106,GD_Update_Date,AO$1093)=0,"NR",SUMIFS(GD_Guidance_Mid,GD_Item_Name,$B1106,GD_Item_FiscalPeriod,AO$1094,GD_Update_Date,AO$1093)))</f>
        <v>NR</v>
      </c>
      <c r="AP1106" s="563" t="str">
        <f>IF(ISBLANK(AP$1094),"N/A",IF(COUNTIFS(GD_Item_FiscalPeriod,AP$1094,GD_Item_Name,$B1106,GD_Update_Date,AP$1093)=0,"NR",SUMIFS(GD_Guidance_Mid,GD_Item_Name,$B1106,GD_Item_FiscalPeriod,AP$1094,GD_Update_Date,AP$1093)))</f>
        <v>NR</v>
      </c>
      <c r="AQ1106" s="563" t="str">
        <f>IF(ISBLANK(AQ$1094),"N/A",IF(COUNTIFS(GD_Item_FiscalPeriod,AQ$1094,GD_Item_Name,$B1106,GD_Update_Date,AQ$1093)=0,"NR",SUMIFS(GD_Guidance_Mid,GD_Item_Name,$B1106,GD_Item_FiscalPeriod,AQ$1094,GD_Update_Date,AQ$1093)))</f>
        <v>NR</v>
      </c>
      <c r="AR1106" s="563">
        <f>IF(ISBLANK(AR$1094),"N/A",IF(COUNTIFS(GD_Item_FiscalPeriod,AR$1094,GD_Item_Name,$B1106,GD_Update_Date,AR$1093)=0,"NR",SUMIFS(GD_Guidance_Mid,GD_Item_Name,$B1106,GD_Item_FiscalPeriod,AR$1094,GD_Update_Date,AR$1093)))</f>
        <v>-140</v>
      </c>
      <c r="AS1106" s="563" t="str">
        <f>IF(ISBLANK(AS$1094),"N/A",IF(COUNTIFS(GD_Item_FiscalPeriod,AS$1094,GD_Item_Name,$B1106,GD_Update_Date,AS$1093)=0,"NR",SUMIFS(GD_Guidance_Mid,GD_Item_Name,$B1106,GD_Item_FiscalPeriod,AS$1094,GD_Update_Date,AS$1093)))</f>
        <v>NR</v>
      </c>
      <c r="AT1106" s="563" t="str">
        <f>IF(ISBLANK(AT$1094),"N/A",IF(COUNTIFS(GD_Item_FiscalPeriod,AT$1094,GD_Item_Name,$B1106,GD_Update_Date,AT$1093)=0,"NR",SUMIFS(GD_Guidance_Mid,GD_Item_Name,$B1106,GD_Item_FiscalPeriod,AT$1094,GD_Update_Date,AT$1093)))</f>
        <v>NR</v>
      </c>
      <c r="AU1106" s="563">
        <f>IF(ISBLANK(AU$1094),"N/A",IF(COUNTIFS(GD_Item_FiscalPeriod,AU$1094,GD_Item_Name,$B1106,GD_Update_Date,AU$1093)=0,"NR",SUMIFS(GD_Guidance_Mid,GD_Item_Name,$B1106,GD_Item_FiscalPeriod,AU$1094,GD_Update_Date,AU$1093)))</f>
        <v>-237.5</v>
      </c>
      <c r="AV1106" s="563">
        <f>IF(ISBLANK(AV$1094),"N/A",IF(COUNTIFS(GD_Item_FiscalPeriod,AV$1094,GD_Item_Name,$B1106,GD_Update_Date,AV$1093)=0,"NR",SUMIFS(GD_Guidance_Mid,GD_Item_Name,$B1106,GD_Item_FiscalPeriod,AV$1094,GD_Update_Date,AV$1093)))</f>
        <v>-237.5</v>
      </c>
      <c r="AW1106" s="563" t="str">
        <f>IF(ISBLANK(AW$1094),"N/A",IF(COUNTIFS(GD_Item_FiscalPeriod,AW$1094,GD_Item_Name,$B1106,GD_Update_Date,AW$1093)=0,"NR",SUMIFS(GD_Guidance_Mid,GD_Item_Name,$B1106,GD_Item_FiscalPeriod,AW$1094,GD_Update_Date,AW$1093)))</f>
        <v>NR</v>
      </c>
      <c r="AX1106" s="563">
        <f>IF(ISBLANK(AX$1094),"N/A",IF(COUNTIFS(GD_Item_FiscalPeriod,AX$1094,GD_Item_Name,$B1106,GD_Update_Date,AX$1093)=0,"NR",SUMIFS(GD_Guidance_Mid,GD_Item_Name,$B1106,GD_Item_FiscalPeriod,AX$1094,GD_Update_Date,AX$1093)))</f>
        <v>-312.5</v>
      </c>
      <c r="AY1106" s="563">
        <f>IF(ISBLANK(AY$1094),"N/A",IF(COUNTIFS(GD_Item_FiscalPeriod,AY$1094,GD_Item_Name,$B1106,GD_Update_Date,AY$1093)=0,"NR",SUMIFS(GD_Guidance_Mid,GD_Item_Name,$B1106,GD_Item_FiscalPeriod,AY$1094,GD_Update_Date,AY$1093)))</f>
        <v>-312.5</v>
      </c>
      <c r="AZ1106" s="563">
        <f>IF(ISBLANK(AZ$1094),"N/A",IF(COUNTIFS(GD_Item_FiscalPeriod,AZ$1094,GD_Item_Name,$B1106,GD_Update_Date,AZ$1093)=0,"NR",SUMIFS(GD_Guidance_Mid,GD_Item_Name,$B1106,GD_Item_FiscalPeriod,AZ$1094,GD_Update_Date,AZ$1093)))</f>
        <v>-312.5</v>
      </c>
      <c r="BA1106" s="563">
        <f>IF(ISBLANK(BA$1094),"N/A",IF(COUNTIFS(GD_Item_FiscalPeriod,BA$1094,GD_Item_Name,$B1106,GD_Update_Date,BA$1093)=0,"NR",SUMIFS(GD_Guidance_Mid,GD_Item_Name,$B1106,GD_Item_FiscalPeriod,BA$1094,GD_Update_Date,BA$1093)))</f>
        <v>-212.5</v>
      </c>
      <c r="BB1106" s="563">
        <f>IF(ISBLANK(BB$1094),"N/A",IF(COUNTIFS(GD_Item_FiscalPeriod,BB$1094,GD_Item_Name,$B1106,GD_Update_Date,BB$1093)=0,"NR",SUMIFS(GD_Guidance_Mid,GD_Item_Name,$B1106,GD_Item_FiscalPeriod,BB$1094,GD_Update_Date,BB$1093)))</f>
        <v>-262.5</v>
      </c>
      <c r="BC1106" s="563">
        <f>IF(ISBLANK(BC$1094),"N/A",IF(COUNTIFS(GD_Item_FiscalPeriod,BC$1094,GD_Item_Name,$B1106,GD_Update_Date,BC$1093)=0,"NR",SUMIFS(GD_Guidance_Mid,GD_Item_Name,$B1106,GD_Item_FiscalPeriod,BC$1094,GD_Update_Date,BC$1093)))</f>
        <v>-375</v>
      </c>
      <c r="BD1106" s="563">
        <f>IF(ISBLANK(BD$1094),"N/A",IF(COUNTIFS(GD_Item_FiscalPeriod,BD$1094,GD_Item_Name,$B1106,GD_Update_Date,BD$1093)=0,"NR",SUMIFS(GD_Guidance_Mid,GD_Item_Name,$B1106,GD_Item_FiscalPeriod,BD$1094,GD_Update_Date,BD$1093)))</f>
        <v>-375</v>
      </c>
      <c r="BE1106" s="563">
        <f>IF(ISBLANK(BE$1094),"N/A",IF(COUNTIFS(GD_Item_FiscalPeriod,BE$1094,GD_Item_Name,$B1106,GD_Update_Date,BE$1093)=0,"NR",SUMIFS(GD_Guidance_Mid,GD_Item_Name,$B1106,GD_Item_FiscalPeriod,BE$1094,GD_Update_Date,BE$1093)))</f>
        <v>-425</v>
      </c>
      <c r="BF1106" s="563">
        <f>IF(ISBLANK(BF$1094),"N/A",IF(COUNTIFS(GD_Item_FiscalPeriod,BF$1094,GD_Item_Name,$B1106,GD_Update_Date,BF$1093)=0,"NR",SUMIFS(GD_Guidance_Mid,GD_Item_Name,$B1106,GD_Item_FiscalPeriod,BF$1094,GD_Update_Date,BF$1093)))</f>
        <v>-575</v>
      </c>
      <c r="BG1106" s="563">
        <f>IF(ISBLANK(BG$1094),"N/A",IF(COUNTIFS(GD_Item_FiscalPeriod,BG$1094,GD_Item_Name,$B1106,GD_Update_Date,BG$1093)=0,"NR",SUMIFS(GD_Guidance_Mid,GD_Item_Name,$B1106,GD_Item_FiscalPeriod,BG$1094,GD_Update_Date,BG$1093)))</f>
        <v>-525</v>
      </c>
      <c r="BH1106" s="563">
        <f>IF(ISBLANK(BH$1094),"N/A",IF(COUNTIFS(GD_Item_FiscalPeriod,BH$1094,GD_Item_Name,$B1106,GD_Update_Date,BH$1093)=0,"NR",SUMIFS(GD_Guidance_Mid,GD_Item_Name,$B1106,GD_Item_FiscalPeriod,BH$1094,GD_Update_Date,BH$1093)))</f>
        <v>-375</v>
      </c>
      <c r="BI1106" s="563">
        <f>IF(ISBLANK(BI$1094),"N/A",IF(COUNTIFS(GD_Item_FiscalPeriod,BI$1094,GD_Item_Name,$B1106,GD_Update_Date,BI$1093)=0,"NR",SUMIFS(GD_Guidance_Mid,GD_Item_Name,$B1106,GD_Item_FiscalPeriod,BI$1094,GD_Update_Date,BI$1093)))</f>
        <v>-375</v>
      </c>
      <c r="BJ1106" s="563">
        <f>IF(ISBLANK(BJ$1094),"N/A",IF(COUNTIFS(GD_Item_FiscalPeriod,BJ$1094,GD_Item_Name,$B1106,GD_Update_Date,BJ$1093)=0,"NR",SUMIFS(GD_Guidance_Mid,GD_Item_Name,$B1106,GD_Item_FiscalPeriod,BJ$1094,GD_Update_Date,BJ$1093)))</f>
        <v>-325</v>
      </c>
      <c r="BK1106" s="563" t="str">
        <f>IF(ISBLANK(BK$1094),"N/A",IF(COUNTIFS(GD_Item_FiscalPeriod,BK$1094,GD_Item_Name,$B1106,GD_Update_Date,BK$1093)=0,"NR",SUMIFS(GD_Guidance_Mid,GD_Item_Name,$B1106,GD_Item_FiscalPeriod,BK$1094,GD_Update_Date,BK$1093)))</f>
        <v>NR</v>
      </c>
      <c r="BL1106" s="563" t="str">
        <f>IF(ISBLANK(BL$1094),"N/A",IF(COUNTIFS(GD_Item_FiscalPeriod,BL$1094,GD_Item_Name,$B1106,GD_Update_Date,BL$1093)=0,"NR",SUMIFS(GD_Guidance_Mid,GD_Item_Name,$B1106,GD_Item_FiscalPeriod,BL$1094,GD_Update_Date,BL$1093)))</f>
        <v>NR</v>
      </c>
      <c r="BM1106" s="563" t="str">
        <f>IF(ISBLANK(BM$1094),"N/A",IF(COUNTIFS(GD_Item_FiscalPeriod,BM$1094,GD_Item_Name,$B1106,GD_Update_Date,BM$1093)=0,"NR",SUMIFS(GD_Guidance_Mid,GD_Item_Name,$B1106,GD_Item_FiscalPeriod,BM$1094,GD_Update_Date,BM$1093)))</f>
        <v>NR</v>
      </c>
      <c r="BN1106" s="563" t="str">
        <f>IF(ISBLANK(BN$1094),"N/A",IF(COUNTIFS(GD_Item_FiscalPeriod,BN$1094,GD_Item_Name,$B1106,GD_Update_Date,BN$1093)=0,"NR",SUMIFS(GD_Guidance_Mid,GD_Item_Name,$B1106,GD_Item_FiscalPeriod,BN$1094,GD_Update_Date,BN$1093)))</f>
        <v>NR</v>
      </c>
      <c r="BO1106" s="563" t="str">
        <f>IF(ISBLANK(BO$1094),"N/A",IF(COUNTIFS(GD_Item_FiscalPeriod,BO$1094,GD_Item_Name,$B1106,GD_Update_Date,BO$1093)=0,"NR",SUMIFS(GD_Guidance_Mid,GD_Item_Name,$B1106,GD_Item_FiscalPeriod,BO$1094,GD_Update_Date,BO$1093)))</f>
        <v>NR</v>
      </c>
      <c r="BP1106" s="563" t="str">
        <f>IF(ISBLANK(BP$1094),"N/A",IF(COUNTIFS(GD_Item_FiscalPeriod,BP$1094,GD_Item_Name,$B1106,GD_Update_Date,BP$1093)=0,"NR",SUMIFS(GD_Guidance_Mid,GD_Item_Name,$B1106,GD_Item_FiscalPeriod,BP$1094,GD_Update_Date,BP$1093)))</f>
        <v>NR</v>
      </c>
      <c r="BQ1106" s="563" t="str">
        <f>IF(ISBLANK(BQ$1094),"N/A",IF(COUNTIFS(GD_Item_FiscalPeriod,BQ$1094,GD_Item_Name,$B1106,GD_Update_Date,BQ$1093)=0,"NR",SUMIFS(GD_Guidance_Mid,GD_Item_Name,$B1106,GD_Item_FiscalPeriod,BQ$1094,GD_Update_Date,BQ$1093)))</f>
        <v>NR</v>
      </c>
      <c r="BR1106" s="563" t="str">
        <f>IF(ISBLANK(BR$1094),"N/A",IF(COUNTIFS(GD_Item_FiscalPeriod,BR$1094,GD_Item_Name,$B1106,GD_Update_Date,BR$1093)=0,"NR",SUMIFS(GD_Guidance_Mid,GD_Item_Name,$B1106,GD_Item_FiscalPeriod,BR$1094,GD_Update_Date,BR$1093)))</f>
        <v>NR</v>
      </c>
      <c r="BS1106" s="563" t="str">
        <f>IF(ISBLANK(BS$1094),"N/A",IF(COUNTIFS(GD_Item_FiscalPeriod,BS$1094,GD_Item_Name,$B1106,GD_Update_Date,BS$1093)=0,"NR",SUMIFS(GD_Guidance_Mid,GD_Item_Name,$B1106,GD_Item_FiscalPeriod,BS$1094,GD_Update_Date,BS$1093)))</f>
        <v>NR</v>
      </c>
      <c r="BT1106" s="563" t="str">
        <f>IF(ISBLANK(BT$1094),"N/A",IF(COUNTIFS(GD_Item_FiscalPeriod,BT$1094,GD_Item_Name,$B1106,GD_Update_Date,BT$1093)=0,"NR",SUMIFS(GD_Guidance_Mid,GD_Item_Name,$B1106,GD_Item_FiscalPeriod,BT$1094,GD_Update_Date,BT$1093)))</f>
        <v>NR</v>
      </c>
      <c r="BU1106" s="563" t="str">
        <f>IF(ISBLANK(BU$1094),"N/A",IF(COUNTIFS(GD_Item_FiscalPeriod,BU$1094,GD_Item_Name,$B1106,GD_Update_Date,BU$1093)=0,"NR",SUMIFS(GD_Guidance_Mid,GD_Item_Name,$B1106,GD_Item_FiscalPeriod,BU$1094,GD_Update_Date,BU$1093)))</f>
        <v>NR</v>
      </c>
      <c r="BV1106" s="563" t="str">
        <f>IF(ISBLANK(BV$1094),"N/A",IF(COUNTIFS(GD_Item_FiscalPeriod,BV$1094,GD_Item_Name,$B1106,GD_Update_Date,BV$1093)=0,"NR",SUMIFS(GD_Guidance_Mid,GD_Item_Name,$B1106,GD_Item_FiscalPeriod,BV$1094,GD_Update_Date,BV$1093)))</f>
        <v>NR</v>
      </c>
      <c r="BW1106" s="563" t="str">
        <f>IF(ISBLANK(BW$1094),"N/A",IF(COUNTIFS(GD_Item_FiscalPeriod,BW$1094,GD_Item_Name,$B1106,GD_Update_Date,BW$1093)=0,"NR",SUMIFS(GD_Guidance_Mid,GD_Item_Name,$B1106,GD_Item_FiscalPeriod,BW$1094,GD_Update_Date,BW$1093)))</f>
        <v>NR</v>
      </c>
      <c r="BX1106" s="563" t="str">
        <f>IF(ISBLANK(BX$1094),"N/A",IF(COUNTIFS(GD_Item_FiscalPeriod,BX$1094,GD_Item_Name,$B1106,GD_Update_Date,BX$1093)=0,"NR",SUMIFS(GD_Guidance_Mid,GD_Item_Name,$B1106,GD_Item_FiscalPeriod,BX$1094,GD_Update_Date,BX$1093)))</f>
        <v>NR</v>
      </c>
      <c r="BY1106" s="731" t="str">
        <f>IF(ISBLANK(BY$1094),"N/A",IF(COUNTIFS(GD_Item_FiscalPeriod,BY$1094,GD_Item_Name,$B1106,GD_Update_Date,BY$1093)=0,"NR",SUMIFS(GD_Guidance_Mid,GD_Item_Name,$B1106,GD_Item_FiscalPeriod,BY$1094,GD_Update_Date,BY$1093)))</f>
        <v>NR</v>
      </c>
      <c r="BZ1106" s="563" t="str">
        <f>IF(ISBLANK(BZ$1094),"N/A",IF(COUNTIFS(GD_Item_FiscalPeriod,BZ$1094,GD_Item_Name,$B1106,GD_Update_Date,BZ$1093)=0,"NR",SUMIFS(GD_Guidance_Mid,GD_Item_Name,$B1106,GD_Item_FiscalPeriod,BZ$1094,GD_Update_Date,BZ$1093)))</f>
        <v>N/A</v>
      </c>
      <c r="CA1106" s="563" t="str">
        <f>IF(ISBLANK(CA$1094),"N/A",IF(COUNTIFS(GD_Item_FiscalPeriod,CA$1094,GD_Item_Name,$B1106,GD_Update_Date,CA$1093)=0,"NR",SUMIFS(GD_Guidance_Mid,GD_Item_Name,$B1106,GD_Item_FiscalPeriod,CA$1094,GD_Update_Date,CA$1093)))</f>
        <v>N/A</v>
      </c>
      <c r="CB1106" s="563" t="str">
        <f>IF(ISBLANK(CB$1094),"N/A",IF(COUNTIFS(GD_Item_FiscalPeriod,CB$1094,GD_Item_Name,$B1106,GD_Update_Date,CB$1093)=0,"NR",SUMIFS(GD_Guidance_Mid,GD_Item_Name,$B1106,GD_Item_FiscalPeriod,CB$1094,GD_Update_Date,CB$1093)))</f>
        <v>N/A</v>
      </c>
      <c r="CC1106" s="563" t="str">
        <f>IF(ISBLANK(CC$1094),"N/A",IF(COUNTIFS(GD_Item_FiscalPeriod,CC$1094,GD_Item_Name,$B1106,GD_Update_Date,CC$1093)=0,"NR",SUMIFS(GD_Guidance_Mid,GD_Item_Name,$B1106,GD_Item_FiscalPeriod,CC$1094,GD_Update_Date,CC$1093)))</f>
        <v>N/A</v>
      </c>
      <c r="CD1106" s="563" t="str">
        <f>IF(ISBLANK(CD$1094),"N/A",IF(COUNTIFS(GD_Item_FiscalPeriod,CD$1094,GD_Item_Name,$B1106,GD_Update_Date,CD$1093)=0,"NR",SUMIFS(GD_Guidance_Mid,GD_Item_Name,$B1106,GD_Item_FiscalPeriod,CD$1094,GD_Update_Date,CD$1093)))</f>
        <v>N/A</v>
      </c>
      <c r="CE1106" s="563" t="str">
        <f>IF(ISBLANK(CE$1094),"N/A",IF(COUNTIFS(GD_Item_FiscalPeriod,CE$1094,GD_Item_Name,$B1106,GD_Update_Date,CE$1093)=0,"NR",SUMIFS(GD_Guidance_Mid,GD_Item_Name,$B1106,GD_Item_FiscalPeriod,CE$1094,GD_Update_Date,CE$1093)))</f>
        <v>N/A</v>
      </c>
      <c r="CF1106" s="563" t="str">
        <f>IF(ISBLANK(CF$1094),"N/A",IF(COUNTIFS(GD_Item_FiscalPeriod,CF$1094,GD_Item_Name,$B1106,GD_Update_Date,CF$1093)=0,"NR",SUMIFS(GD_Guidance_Mid,GD_Item_Name,$B1106,GD_Item_FiscalPeriod,CF$1094,GD_Update_Date,CF$1093)))</f>
        <v>N/A</v>
      </c>
      <c r="CG1106" s="563" t="str">
        <f>IF(ISBLANK(CG$1094),"N/A",IF(COUNTIFS(GD_Item_FiscalPeriod,CG$1094,GD_Item_Name,$B1106,GD_Update_Date,CG$1093)=0,"NR",SUMIFS(GD_Guidance_Mid,GD_Item_Name,$B1106,GD_Item_FiscalPeriod,CG$1094,GD_Update_Date,CG$1093)))</f>
        <v>N/A</v>
      </c>
      <c r="CH1106" s="563" t="str">
        <f>IF(ISBLANK(CH$1094),"N/A",IF(COUNTIFS(GD_Item_FiscalPeriod,CH$1094,GD_Item_Name,$B1106,GD_Update_Date,CH$1093)=0,"NR",SUMIFS(GD_Guidance_Mid,GD_Item_Name,$B1106,GD_Item_FiscalPeriod,CH$1094,GD_Update_Date,CH$1093)))</f>
        <v>N/A</v>
      </c>
      <c r="CI1106" s="563" t="str">
        <f>IF(ISBLANK(CI$1094),"N/A",IF(COUNTIFS(GD_Item_FiscalPeriod,CI$1094,GD_Item_Name,$B1106,GD_Update_Date,CI$1093)=0,"NR",SUMIFS(GD_Guidance_Mid,GD_Item_Name,$B1106,GD_Item_FiscalPeriod,CI$1094,GD_Update_Date,CI$1093)))</f>
        <v>N/A</v>
      </c>
      <c r="CJ1106" s="563" t="str">
        <f>IF(ISBLANK(CJ$1094),"N/A",IF(COUNTIFS(GD_Item_FiscalPeriod,CJ$1094,GD_Item_Name,$B1106,GD_Update_Date,CJ$1093)=0,"NR",SUMIFS(GD_Guidance_Mid,GD_Item_Name,$B1106,GD_Item_FiscalPeriod,CJ$1094,GD_Update_Date,CJ$1093)))</f>
        <v>N/A</v>
      </c>
      <c r="CK1106" s="794" t="str">
        <f>IF(ISBLANK(CK$1094),"N/A",IF(COUNTIFS(GD_Item_FiscalPeriod,CK$1094,GD_Item_Name,$B1106,GD_Update_Date,CK$1093)=0,"NR",SUMIFS(GD_Guidance_Mid,GD_Item_Name,$B1106,GD_Item_FiscalPeriod,CK$1094,GD_Update_Date,CK$1093)))</f>
        <v>N/A</v>
      </c>
      <c r="CL1106" s="155"/>
    </row>
    <row r="1107" spans="1:90" x14ac:dyDescent="0.3">
      <c r="A1107" s="744"/>
      <c r="B1107" s="109"/>
      <c r="C1107" s="740"/>
      <c r="D1107" s="740"/>
      <c r="E1107" s="109"/>
      <c r="F1107" s="109"/>
      <c r="G1107" s="109"/>
      <c r="H1107" s="109"/>
      <c r="I1107" s="109"/>
      <c r="J1107" s="109"/>
      <c r="K1107" s="109"/>
      <c r="L1107" s="109"/>
      <c r="M1107" s="109"/>
      <c r="N1107" s="109"/>
      <c r="O1107" s="109"/>
      <c r="P1107" s="109"/>
      <c r="Q1107" s="109"/>
      <c r="R1107" s="109"/>
      <c r="S1107" s="109"/>
      <c r="T1107" s="109"/>
      <c r="U1107" s="109"/>
      <c r="V1107" s="109"/>
      <c r="W1107" s="109"/>
      <c r="X1107" s="109"/>
      <c r="Y1107" s="109"/>
      <c r="Z1107" s="109"/>
      <c r="AA1107" s="109"/>
      <c r="AB1107" s="109"/>
      <c r="AC1107" s="109"/>
      <c r="AD1107" s="109"/>
      <c r="AE1107" s="109"/>
      <c r="AF1107" s="109"/>
      <c r="AG1107" s="109"/>
      <c r="AH1107" s="109"/>
      <c r="AI1107" s="109"/>
      <c r="AJ1107" s="109"/>
      <c r="AK1107" s="109"/>
      <c r="AL1107" s="109"/>
      <c r="AM1107" s="109"/>
      <c r="AN1107" s="109"/>
      <c r="AO1107" s="109"/>
      <c r="AP1107" s="109"/>
      <c r="AQ1107" s="109"/>
      <c r="AR1107" s="109"/>
      <c r="AS1107" s="109"/>
      <c r="AT1107" s="109"/>
      <c r="AU1107" s="109"/>
      <c r="AV1107" s="109"/>
      <c r="AW1107" s="109"/>
      <c r="AX1107" s="109"/>
      <c r="AY1107" s="109"/>
      <c r="AZ1107" s="109"/>
      <c r="BA1107" s="109"/>
      <c r="BB1107" s="109"/>
      <c r="BC1107" s="109"/>
      <c r="BD1107" s="109"/>
      <c r="BE1107" s="109"/>
      <c r="BF1107" s="109"/>
      <c r="BG1107" s="109"/>
      <c r="BH1107" s="109"/>
      <c r="BI1107" s="109"/>
      <c r="BJ1107" s="109"/>
      <c r="BK1107" s="109"/>
      <c r="BL1107" s="109"/>
      <c r="BM1107" s="109"/>
      <c r="BN1107" s="109"/>
      <c r="BO1107" s="109"/>
      <c r="BP1107" s="109"/>
      <c r="BQ1107" s="109"/>
      <c r="BR1107" s="109"/>
      <c r="BS1107" s="109"/>
      <c r="BT1107" s="109"/>
      <c r="BU1107" s="109"/>
      <c r="BV1107" s="109"/>
      <c r="BW1107" s="109"/>
      <c r="BX1107" s="109"/>
      <c r="BY1107" s="730"/>
      <c r="BZ1107" s="109"/>
      <c r="CA1107" s="109"/>
      <c r="CB1107" s="109"/>
      <c r="CC1107" s="109"/>
      <c r="CD1107" s="109"/>
      <c r="CE1107" s="109"/>
      <c r="CF1107" s="109"/>
      <c r="CG1107" s="109"/>
      <c r="CH1107" s="109"/>
      <c r="CI1107" s="109"/>
      <c r="CJ1107" s="109"/>
      <c r="CK1107" s="741"/>
      <c r="CL1107" s="155"/>
    </row>
    <row r="1108" spans="1:90" x14ac:dyDescent="0.3">
      <c r="A1108" s="253"/>
      <c r="B1108" s="68"/>
      <c r="C1108" s="1034"/>
      <c r="D1108" s="1034"/>
      <c r="E1108" s="68"/>
      <c r="F1108" s="68"/>
      <c r="G1108" s="68"/>
      <c r="H1108" s="68"/>
      <c r="I1108" s="68"/>
      <c r="J1108" s="68"/>
      <c r="K1108" s="68"/>
      <c r="L1108" s="68"/>
      <c r="M1108" s="68"/>
      <c r="N1108" s="68"/>
      <c r="O1108" s="68"/>
      <c r="P1108" s="68"/>
      <c r="Q1108" s="68"/>
      <c r="R1108" s="68"/>
      <c r="S1108" s="68"/>
      <c r="T1108" s="68"/>
      <c r="U1108" s="68"/>
      <c r="V1108" s="68"/>
      <c r="W1108" s="68"/>
      <c r="X1108" s="68"/>
      <c r="Y1108" s="68"/>
      <c r="Z1108" s="68"/>
      <c r="AA1108" s="68"/>
      <c r="AB1108" s="68"/>
      <c r="AC1108" s="68"/>
      <c r="AD1108" s="68"/>
      <c r="AE1108" s="68"/>
      <c r="AF1108" s="68"/>
      <c r="AG1108" s="68"/>
      <c r="AH1108" s="68"/>
      <c r="AI1108" s="68"/>
      <c r="AJ1108" s="68"/>
      <c r="AK1108" s="68"/>
      <c r="AL1108" s="68"/>
      <c r="AM1108" s="68"/>
      <c r="AN1108" s="68"/>
      <c r="AO1108" s="68"/>
      <c r="AP1108" s="68"/>
      <c r="AQ1108" s="68"/>
      <c r="AR1108" s="68"/>
      <c r="AS1108" s="68"/>
      <c r="AT1108" s="68"/>
      <c r="AU1108" s="68"/>
      <c r="AV1108" s="68"/>
      <c r="AW1108" s="68"/>
      <c r="AX1108" s="68"/>
      <c r="AY1108" s="68"/>
      <c r="AZ1108" s="68"/>
      <c r="BA1108" s="68"/>
      <c r="BB1108" s="68"/>
      <c r="BC1108" s="68"/>
      <c r="BD1108" s="68"/>
      <c r="BE1108" s="68"/>
      <c r="BF1108" s="68"/>
      <c r="BG1108" s="68"/>
      <c r="BH1108" s="68"/>
      <c r="BI1108" s="68"/>
      <c r="BJ1108" s="68"/>
      <c r="BK1108" s="68"/>
      <c r="BL1108" s="68"/>
      <c r="BM1108" s="68"/>
      <c r="BN1108" s="68"/>
      <c r="BO1108" s="68"/>
      <c r="BP1108" s="68"/>
      <c r="BQ1108" s="68"/>
      <c r="BR1108" s="68"/>
      <c r="BS1108" s="68"/>
      <c r="BT1108" s="68"/>
      <c r="BU1108" s="68"/>
      <c r="BV1108" s="68"/>
      <c r="BW1108" s="68"/>
      <c r="BX1108" s="68"/>
      <c r="BY1108" s="588"/>
      <c r="BZ1108" s="68"/>
      <c r="CA1108" s="68"/>
      <c r="CB1108" s="68"/>
      <c r="CC1108" s="68"/>
      <c r="CD1108" s="68"/>
      <c r="CE1108" s="68"/>
      <c r="CF1108" s="68"/>
      <c r="CG1108" s="68"/>
      <c r="CH1108" s="68"/>
      <c r="CI1108" s="68"/>
      <c r="CJ1108" s="68"/>
      <c r="CK1108" s="68"/>
      <c r="CL1108" s="155"/>
    </row>
    <row r="1109" spans="1:90" x14ac:dyDescent="0.3">
      <c r="A1109" s="742" t="s">
        <v>936</v>
      </c>
      <c r="B1109" s="561"/>
      <c r="C1109" s="737"/>
      <c r="D1109" s="737"/>
      <c r="E1109" s="561"/>
      <c r="F1109" s="561"/>
      <c r="G1109" s="561"/>
      <c r="H1109" s="561"/>
      <c r="I1109" s="561"/>
      <c r="J1109" s="561"/>
      <c r="K1109" s="561"/>
      <c r="L1109" s="561"/>
      <c r="M1109" s="561"/>
      <c r="N1109" s="561"/>
      <c r="O1109" s="561"/>
      <c r="P1109" s="561"/>
      <c r="Q1109" s="561"/>
      <c r="R1109" s="561"/>
      <c r="S1109" s="561"/>
      <c r="T1109" s="561"/>
      <c r="U1109" s="561"/>
      <c r="V1109" s="561"/>
      <c r="W1109" s="561"/>
      <c r="X1109" s="561"/>
      <c r="Y1109" s="561"/>
      <c r="Z1109" s="561"/>
      <c r="AA1109" s="561"/>
      <c r="AB1109" s="561"/>
      <c r="AC1109" s="561"/>
      <c r="AD1109" s="561"/>
      <c r="AE1109" s="561"/>
      <c r="AF1109" s="561"/>
      <c r="AG1109" s="561"/>
      <c r="AH1109" s="561"/>
      <c r="AI1109" s="561"/>
      <c r="AJ1109" s="561"/>
      <c r="AK1109" s="561"/>
      <c r="AL1109" s="561"/>
      <c r="AM1109" s="561"/>
      <c r="AN1109" s="561"/>
      <c r="AO1109" s="561"/>
      <c r="AP1109" s="561"/>
      <c r="AQ1109" s="561"/>
      <c r="AR1109" s="561"/>
      <c r="AS1109" s="561"/>
      <c r="AT1109" s="561"/>
      <c r="AU1109" s="561"/>
      <c r="AV1109" s="561"/>
      <c r="AW1109" s="561"/>
      <c r="AX1109" s="561"/>
      <c r="AY1109" s="561"/>
      <c r="AZ1109" s="561"/>
      <c r="BA1109" s="561"/>
      <c r="BB1109" s="561"/>
      <c r="BC1109" s="561"/>
      <c r="BD1109" s="561"/>
      <c r="BE1109" s="561"/>
      <c r="BF1109" s="561"/>
      <c r="BG1109" s="561"/>
      <c r="BH1109" s="561"/>
      <c r="BI1109" s="561"/>
      <c r="BJ1109" s="561"/>
      <c r="BK1109" s="561"/>
      <c r="BL1109" s="561"/>
      <c r="BM1109" s="561"/>
      <c r="BN1109" s="561"/>
      <c r="BO1109" s="561"/>
      <c r="BP1109" s="561"/>
      <c r="BQ1109" s="561"/>
      <c r="BR1109" s="561"/>
      <c r="BS1109" s="561"/>
      <c r="BT1109" s="561"/>
      <c r="BU1109" s="561"/>
      <c r="BV1109" s="561"/>
      <c r="BW1109" s="561"/>
      <c r="BX1109" s="561"/>
      <c r="BY1109" s="738"/>
      <c r="BZ1109" s="561"/>
      <c r="CA1109" s="561"/>
      <c r="CB1109" s="561"/>
      <c r="CC1109" s="561"/>
      <c r="CD1109" s="561"/>
      <c r="CE1109" s="561"/>
      <c r="CF1109" s="561"/>
      <c r="CG1109" s="561"/>
      <c r="CH1109" s="561"/>
      <c r="CI1109" s="561"/>
      <c r="CJ1109" s="561"/>
      <c r="CK1109" s="739"/>
      <c r="CL1109" s="155"/>
    </row>
    <row r="1110" spans="1:90" x14ac:dyDescent="0.3">
      <c r="A1110" s="743" t="s">
        <v>934</v>
      </c>
      <c r="B1110" s="68"/>
      <c r="C1110" s="1035"/>
      <c r="D1110" s="1035"/>
      <c r="E1110" s="745"/>
      <c r="F1110" s="745"/>
      <c r="G1110" s="745"/>
      <c r="H1110" s="745"/>
      <c r="I1110" s="745"/>
      <c r="J1110" s="745"/>
      <c r="K1110" s="745"/>
      <c r="L1110" s="745"/>
      <c r="M1110" s="745"/>
      <c r="N1110" s="745"/>
      <c r="O1110" s="745"/>
      <c r="P1110" s="745"/>
      <c r="Q1110" s="745"/>
      <c r="R1110" s="745"/>
      <c r="S1110" s="745"/>
      <c r="T1110" s="745"/>
      <c r="U1110" s="745"/>
      <c r="V1110" s="745"/>
      <c r="W1110" s="745"/>
      <c r="X1110" s="745"/>
      <c r="Y1110" s="745"/>
      <c r="Z1110" s="745"/>
      <c r="AA1110" s="745"/>
      <c r="AB1110" s="745"/>
      <c r="AC1110" s="745"/>
      <c r="AD1110" s="745"/>
      <c r="AE1110" s="745"/>
      <c r="AF1110" s="745"/>
      <c r="AG1110" s="745"/>
      <c r="AH1110" s="745">
        <f>AH1093</f>
        <v>43048</v>
      </c>
      <c r="AI1110" s="745">
        <f>AI1093</f>
        <v>43139</v>
      </c>
      <c r="AJ1110" s="745">
        <f>AJ1093</f>
        <v>43139</v>
      </c>
      <c r="AK1110" s="745">
        <f>AK1093</f>
        <v>43230</v>
      </c>
      <c r="AL1110" s="745">
        <f>AL1093</f>
        <v>43328</v>
      </c>
      <c r="AM1110" s="745">
        <f>AM1093</f>
        <v>43419</v>
      </c>
      <c r="AN1110" s="745">
        <f>AN1093</f>
        <v>43510</v>
      </c>
      <c r="AO1110" s="745">
        <f>AO1093</f>
        <v>43510</v>
      </c>
      <c r="AP1110" s="745">
        <f>AP1093</f>
        <v>43601</v>
      </c>
      <c r="AQ1110" s="745">
        <f>AQ1093</f>
        <v>43692</v>
      </c>
      <c r="AR1110" s="745">
        <f>AR1093</f>
        <v>43783</v>
      </c>
      <c r="AS1110" s="745">
        <f>AS1093</f>
        <v>43874</v>
      </c>
      <c r="AT1110" s="745">
        <f>AT1093</f>
        <v>43874</v>
      </c>
      <c r="AU1110" s="745">
        <f>AU1093</f>
        <v>43972</v>
      </c>
      <c r="AV1110" s="745">
        <f>AV1093</f>
        <v>44062</v>
      </c>
      <c r="AW1110" s="745">
        <f>AW1093</f>
        <v>44153</v>
      </c>
      <c r="AX1110" s="745">
        <f>AX1093</f>
        <v>44251</v>
      </c>
      <c r="AY1110" s="745">
        <f>AY1093</f>
        <v>44251</v>
      </c>
      <c r="AZ1110" s="745">
        <f>AZ1093</f>
        <v>44342</v>
      </c>
      <c r="BA1110" s="745">
        <f>BA1093</f>
        <v>44426</v>
      </c>
      <c r="BB1110" s="745">
        <f>BB1093</f>
        <v>44517</v>
      </c>
      <c r="BC1110" s="745">
        <f>BC1093</f>
        <v>44608</v>
      </c>
      <c r="BD1110" s="745">
        <f>BD1093</f>
        <v>44608</v>
      </c>
      <c r="BE1110" s="745">
        <f>BE1093</f>
        <v>44706</v>
      </c>
      <c r="BF1110" s="745">
        <f>BF1093</f>
        <v>44797</v>
      </c>
      <c r="BG1110" s="745">
        <f>BG1093</f>
        <v>44881</v>
      </c>
      <c r="BH1110" s="745">
        <f>BH1093</f>
        <v>44979</v>
      </c>
      <c r="BI1110" s="745">
        <f>BI1093</f>
        <v>44979</v>
      </c>
      <c r="BJ1110" s="745">
        <f>BJ1093</f>
        <v>45070</v>
      </c>
      <c r="BK1110" s="745">
        <f>BK1093</f>
        <v>45161</v>
      </c>
      <c r="BL1110" s="745">
        <f>BL1093</f>
        <v>45251</v>
      </c>
      <c r="BM1110" s="745">
        <f>BM1093</f>
        <v>45343</v>
      </c>
      <c r="BN1110" s="745">
        <f>BN1093</f>
        <v>45343</v>
      </c>
      <c r="BO1110" s="745">
        <f>BO1093</f>
        <v>45434</v>
      </c>
      <c r="BP1110" s="745">
        <f>BP1093</f>
        <v>45532</v>
      </c>
      <c r="BQ1110" s="745">
        <f>BQ1093</f>
        <v>45616</v>
      </c>
      <c r="BR1110" s="745">
        <f>BR1093</f>
        <v>45714</v>
      </c>
      <c r="BS1110" s="745">
        <f>BS1093</f>
        <v>45714</v>
      </c>
      <c r="BT1110" s="745">
        <f>BT1093</f>
        <v>45805</v>
      </c>
      <c r="BU1110" s="745">
        <f>BU1093</f>
        <v>45896</v>
      </c>
      <c r="BV1110" s="745">
        <f>BV1093</f>
        <v>45980</v>
      </c>
      <c r="BW1110" s="745">
        <f>BW1093</f>
        <v>46078</v>
      </c>
      <c r="BX1110" s="745">
        <f>BX1093</f>
        <v>46078</v>
      </c>
      <c r="BY1110" s="746">
        <f>BY1093</f>
        <v>46162</v>
      </c>
      <c r="BZ1110" s="745"/>
      <c r="CA1110" s="745"/>
      <c r="CB1110" s="745"/>
      <c r="CC1110" s="745"/>
      <c r="CD1110" s="745"/>
      <c r="CE1110" s="745"/>
      <c r="CF1110" s="745"/>
      <c r="CG1110" s="745"/>
      <c r="CH1110" s="745"/>
      <c r="CI1110" s="745"/>
      <c r="CJ1110" s="745"/>
      <c r="CK1110" s="747"/>
      <c r="CL1110" s="155"/>
    </row>
    <row r="1111" spans="1:90" x14ac:dyDescent="0.3">
      <c r="A1111" s="743" t="s">
        <v>937</v>
      </c>
      <c r="B1111" s="68"/>
      <c r="C1111" s="1036"/>
      <c r="D1111" s="1036"/>
      <c r="E1111" s="748"/>
      <c r="F1111" s="748"/>
      <c r="G1111" s="748"/>
      <c r="H1111" s="748"/>
      <c r="I1111" s="748"/>
      <c r="J1111" s="748"/>
      <c r="K1111" s="748"/>
      <c r="L1111" s="748"/>
      <c r="M1111" s="748"/>
      <c r="N1111" s="748"/>
      <c r="O1111" s="748"/>
      <c r="P1111" s="748"/>
      <c r="Q1111" s="748"/>
      <c r="R1111" s="748"/>
      <c r="S1111" s="748"/>
      <c r="T1111" s="748"/>
      <c r="U1111" s="748"/>
      <c r="V1111" s="748"/>
      <c r="W1111" s="748"/>
      <c r="X1111" s="748"/>
      <c r="Y1111" s="748"/>
      <c r="Z1111" s="748"/>
      <c r="AA1111" s="748"/>
      <c r="AB1111" s="748"/>
      <c r="AC1111" s="748"/>
      <c r="AD1111" s="748"/>
      <c r="AE1111" s="748"/>
      <c r="AF1111" s="748"/>
      <c r="AG1111" s="748"/>
      <c r="AH1111" s="748" t="str">
        <f>IF(AH1112=AI1112,"",AH1112)</f>
        <v>FY2018</v>
      </c>
      <c r="AI1111" s="748" t="str">
        <f>IF(AI1112=AJ1112,"",AI1112)</f>
        <v/>
      </c>
      <c r="AJ1111" s="748" t="str">
        <f>IF(AJ1112=AK1112,"",AJ1112)</f>
        <v/>
      </c>
      <c r="AK1111" s="748" t="str">
        <f>IF(AK1112=AL1112,"",AK1112)</f>
        <v/>
      </c>
      <c r="AL1111" s="748" t="str">
        <f>IF(AL1112=AM1112,"",AL1112)</f>
        <v/>
      </c>
      <c r="AM1111" s="748" t="str">
        <f>IF(AM1112=AN1112,"",AM1112)</f>
        <v>FY2019</v>
      </c>
      <c r="AN1111" s="748" t="str">
        <f>IF(AN1112=AO1112,"",AN1112)</f>
        <v/>
      </c>
      <c r="AO1111" s="748" t="str">
        <f>IF(AO1112=AP1112,"",AO1112)</f>
        <v/>
      </c>
      <c r="AP1111" s="748" t="str">
        <f>IF(AP1112=AQ1112,"",AP1112)</f>
        <v/>
      </c>
      <c r="AQ1111" s="748" t="str">
        <f>IF(AQ1112=AR1112,"",AQ1112)</f>
        <v/>
      </c>
      <c r="AR1111" s="748" t="str">
        <f>IF(AR1112=AS1112,"",AR1112)</f>
        <v>FY2020</v>
      </c>
      <c r="AS1111" s="748" t="str">
        <f>IF(AS1112=AT1112,"",AS1112)</f>
        <v/>
      </c>
      <c r="AT1111" s="748" t="str">
        <f>IF(AT1112=AU1112,"",AT1112)</f>
        <v/>
      </c>
      <c r="AU1111" s="748" t="str">
        <f>IF(AU1112=AV1112,"",AU1112)</f>
        <v/>
      </c>
      <c r="AV1111" s="748" t="str">
        <f>IF(AV1112=AW1112,"",AV1112)</f>
        <v/>
      </c>
      <c r="AW1111" s="748" t="str">
        <f>IF(AW1112=AX1112,"",AW1112)</f>
        <v>FY2021</v>
      </c>
      <c r="AX1111" s="748" t="str">
        <f>IF(AX1112=AY1112,"",AX1112)</f>
        <v/>
      </c>
      <c r="AY1111" s="748" t="str">
        <f>IF(AY1112=AZ1112,"",AY1112)</f>
        <v/>
      </c>
      <c r="AZ1111" s="748" t="str">
        <f>IF(AZ1112=BA1112,"",AZ1112)</f>
        <v/>
      </c>
      <c r="BA1111" s="748" t="str">
        <f>IF(BA1112=BB1112,"",BA1112)</f>
        <v/>
      </c>
      <c r="BB1111" s="748" t="str">
        <f>IF(BB1112=BC1112,"",BB1112)</f>
        <v>FY2022</v>
      </c>
      <c r="BC1111" s="748" t="str">
        <f>IF(BC1112=BD1112,"",BC1112)</f>
        <v/>
      </c>
      <c r="BD1111" s="748" t="str">
        <f>IF(BD1112=BE1112,"",BD1112)</f>
        <v/>
      </c>
      <c r="BE1111" s="748" t="str">
        <f>IF(BE1112=BF1112,"",BE1112)</f>
        <v/>
      </c>
      <c r="BF1111" s="748" t="str">
        <f>IF(BF1112=BG1112,"",BF1112)</f>
        <v/>
      </c>
      <c r="BG1111" s="748" t="str">
        <f>IF(BG1112=BH1112,"",BG1112)</f>
        <v>FY2023</v>
      </c>
      <c r="BH1111" s="748" t="str">
        <f>IF(BH1112=BI1112,"",BH1112)</f>
        <v/>
      </c>
      <c r="BI1111" s="748" t="str">
        <f>IF(BI1112=BJ1112,"",BI1112)</f>
        <v/>
      </c>
      <c r="BJ1111" s="748" t="str">
        <f>IF(BJ1112=BK1112,"",BJ1112)</f>
        <v/>
      </c>
      <c r="BK1111" s="748" t="str">
        <f>IF(BK1112=BL1112,"",BK1112)</f>
        <v/>
      </c>
      <c r="BL1111" s="748" t="str">
        <f>IF(BL1112=BM1112,"",BL1112)</f>
        <v>FY2024</v>
      </c>
      <c r="BM1111" s="748" t="str">
        <f>IF(BM1112=BN1112,"",BM1112)</f>
        <v/>
      </c>
      <c r="BN1111" s="748" t="str">
        <f>IF(BN1112=BO1112,"",BN1112)</f>
        <v/>
      </c>
      <c r="BO1111" s="748" t="str">
        <f>IF(BO1112=BP1112,"",BO1112)</f>
        <v/>
      </c>
      <c r="BP1111" s="748" t="str">
        <f>IF(BP1112=BQ1112,"",BP1112)</f>
        <v/>
      </c>
      <c r="BQ1111" s="748" t="str">
        <f>IF(BQ1112=BR1112,"",BQ1112)</f>
        <v>FY2025</v>
      </c>
      <c r="BR1111" s="748" t="str">
        <f>IF(BR1112=BS1112,"",BR1112)</f>
        <v/>
      </c>
      <c r="BS1111" s="748" t="str">
        <f>IF(BS1112=BT1112,"",BS1112)</f>
        <v/>
      </c>
      <c r="BT1111" s="748" t="str">
        <f>IF(BT1112=BU1112,"",BT1112)</f>
        <v/>
      </c>
      <c r="BU1111" s="748" t="str">
        <f>IF(BU1112=BV1112,"",BU1112)</f>
        <v/>
      </c>
      <c r="BV1111" s="748" t="str">
        <f>IF(BV1112=BW1112,"",BV1112)</f>
        <v>FY2026</v>
      </c>
      <c r="BW1111" s="748" t="str">
        <f>IF(BW1112=BX1112,"",BW1112)</f>
        <v/>
      </c>
      <c r="BX1111" s="748" t="str">
        <f>IF(BX1112=BY1112,"",BX1112)</f>
        <v/>
      </c>
      <c r="BY1111" s="749" t="str">
        <f>IF(BY1112=BZ1112,"",BY1112)</f>
        <v>FY2027</v>
      </c>
      <c r="BZ1111" s="748"/>
      <c r="CA1111" s="748"/>
      <c r="CB1111" s="748"/>
      <c r="CC1111" s="748"/>
      <c r="CD1111" s="748"/>
      <c r="CE1111" s="748"/>
      <c r="CF1111" s="748"/>
      <c r="CG1111" s="748"/>
      <c r="CH1111" s="748"/>
      <c r="CI1111" s="748"/>
      <c r="CJ1111" s="748"/>
      <c r="CK1111" s="750"/>
      <c r="CL1111" s="155"/>
    </row>
    <row r="1112" spans="1:90" x14ac:dyDescent="0.3">
      <c r="A1112" s="743" t="s">
        <v>935</v>
      </c>
      <c r="B1112" s="68"/>
      <c r="C1112" s="1036"/>
      <c r="D1112" s="1036"/>
      <c r="E1112" s="748"/>
      <c r="F1112" s="748"/>
      <c r="G1112" s="748"/>
      <c r="H1112" s="748"/>
      <c r="I1112" s="748"/>
      <c r="J1112" s="748"/>
      <c r="K1112" s="748"/>
      <c r="L1112" s="748"/>
      <c r="M1112" s="748"/>
      <c r="N1112" s="748"/>
      <c r="O1112" s="748"/>
      <c r="P1112" s="748"/>
      <c r="Q1112" s="748"/>
      <c r="R1112" s="748"/>
      <c r="S1112" s="748"/>
      <c r="T1112" s="748"/>
      <c r="U1112" s="748"/>
      <c r="V1112" s="748"/>
      <c r="W1112" s="748"/>
      <c r="X1112" s="748"/>
      <c r="Y1112" s="748"/>
      <c r="Z1112" s="748"/>
      <c r="AA1112" s="748"/>
      <c r="AB1112" s="748"/>
      <c r="AC1112" s="748"/>
      <c r="AD1112" s="748"/>
      <c r="AE1112" s="748"/>
      <c r="AF1112" s="748"/>
      <c r="AG1112" s="748"/>
      <c r="AH1112" s="748" t="str">
        <f>AJ$5</f>
        <v>FY2018</v>
      </c>
      <c r="AI1112" s="748" t="str">
        <f>AO$5</f>
        <v>FY2019</v>
      </c>
      <c r="AJ1112" s="748" t="str">
        <f>AO$5</f>
        <v>FY2019</v>
      </c>
      <c r="AK1112" s="748" t="str">
        <f>AO$5</f>
        <v>FY2019</v>
      </c>
      <c r="AL1112" s="748" t="str">
        <f>AO$5</f>
        <v>FY2019</v>
      </c>
      <c r="AM1112" s="748" t="str">
        <f>AO$5</f>
        <v>FY2019</v>
      </c>
      <c r="AN1112" s="748" t="str">
        <f>AT$5</f>
        <v>FY2020</v>
      </c>
      <c r="AO1112" s="748" t="str">
        <f>AT$5</f>
        <v>FY2020</v>
      </c>
      <c r="AP1112" s="748" t="str">
        <f>AT$5</f>
        <v>FY2020</v>
      </c>
      <c r="AQ1112" s="748" t="str">
        <f>AT$5</f>
        <v>FY2020</v>
      </c>
      <c r="AR1112" s="748" t="str">
        <f>AT$5</f>
        <v>FY2020</v>
      </c>
      <c r="AS1112" s="748" t="str">
        <f>AY$5</f>
        <v>FY2021</v>
      </c>
      <c r="AT1112" s="748" t="str">
        <f>AY$5</f>
        <v>FY2021</v>
      </c>
      <c r="AU1112" s="748" t="str">
        <f>AY$5</f>
        <v>FY2021</v>
      </c>
      <c r="AV1112" s="748" t="str">
        <f>AY$5</f>
        <v>FY2021</v>
      </c>
      <c r="AW1112" s="748" t="str">
        <f>AY$5</f>
        <v>FY2021</v>
      </c>
      <c r="AX1112" s="748" t="str">
        <f>BD$5</f>
        <v>FY2022</v>
      </c>
      <c r="AY1112" s="748" t="str">
        <f>BD$5</f>
        <v>FY2022</v>
      </c>
      <c r="AZ1112" s="748" t="str">
        <f>BD$5</f>
        <v>FY2022</v>
      </c>
      <c r="BA1112" s="748" t="str">
        <f>BD$5</f>
        <v>FY2022</v>
      </c>
      <c r="BB1112" s="748" t="str">
        <f>BD$5</f>
        <v>FY2022</v>
      </c>
      <c r="BC1112" s="748" t="str">
        <f>BI$5</f>
        <v>FY2023</v>
      </c>
      <c r="BD1112" s="748" t="str">
        <f>BI$5</f>
        <v>FY2023</v>
      </c>
      <c r="BE1112" s="748" t="str">
        <f>BI$5</f>
        <v>FY2023</v>
      </c>
      <c r="BF1112" s="748" t="str">
        <f>BI$5</f>
        <v>FY2023</v>
      </c>
      <c r="BG1112" s="748" t="str">
        <f>BI$5</f>
        <v>FY2023</v>
      </c>
      <c r="BH1112" s="748" t="str">
        <f>BN$5</f>
        <v>FY2024</v>
      </c>
      <c r="BI1112" s="748" t="str">
        <f>BN$5</f>
        <v>FY2024</v>
      </c>
      <c r="BJ1112" s="748" t="str">
        <f>BN$5</f>
        <v>FY2024</v>
      </c>
      <c r="BK1112" s="748" t="str">
        <f>BN$5</f>
        <v>FY2024</v>
      </c>
      <c r="BL1112" s="748" t="str">
        <f>BN$5</f>
        <v>FY2024</v>
      </c>
      <c r="BM1112" s="748" t="str">
        <f>BS$5</f>
        <v>FY2025</v>
      </c>
      <c r="BN1112" s="748" t="str">
        <f>BS$5</f>
        <v>FY2025</v>
      </c>
      <c r="BO1112" s="748" t="str">
        <f>BS$5</f>
        <v>FY2025</v>
      </c>
      <c r="BP1112" s="748" t="str">
        <f>BS$5</f>
        <v>FY2025</v>
      </c>
      <c r="BQ1112" s="748" t="str">
        <f>BS$5</f>
        <v>FY2025</v>
      </c>
      <c r="BR1112" s="748" t="str">
        <f>BX$5</f>
        <v>FY2026</v>
      </c>
      <c r="BS1112" s="748" t="str">
        <f>BX$5</f>
        <v>FY2026</v>
      </c>
      <c r="BT1112" s="748" t="str">
        <f>BX$5</f>
        <v>FY2026</v>
      </c>
      <c r="BU1112" s="748" t="str">
        <f>BX$5</f>
        <v>FY2026</v>
      </c>
      <c r="BV1112" s="748" t="str">
        <f>BX$5</f>
        <v>FY2026</v>
      </c>
      <c r="BW1112" s="748" t="str">
        <f>CC$5</f>
        <v>FY2027</v>
      </c>
      <c r="BX1112" s="748" t="str">
        <f>CC$5</f>
        <v>FY2027</v>
      </c>
      <c r="BY1112" s="749" t="str">
        <f>CC$5</f>
        <v>FY2027</v>
      </c>
      <c r="BZ1112" s="748"/>
      <c r="CA1112" s="748"/>
      <c r="CB1112" s="748"/>
      <c r="CC1112" s="748"/>
      <c r="CD1112" s="748"/>
      <c r="CE1112" s="748"/>
      <c r="CF1112" s="748"/>
      <c r="CG1112" s="748"/>
      <c r="CH1112" s="748"/>
      <c r="CI1112" s="748"/>
      <c r="CJ1112" s="748"/>
      <c r="CK1112" s="750"/>
      <c r="CL1112" s="155"/>
    </row>
    <row r="1113" spans="1:90" x14ac:dyDescent="0.3">
      <c r="A1113" s="793" t="s">
        <v>940</v>
      </c>
      <c r="B1113" s="1055" t="s">
        <v>300</v>
      </c>
      <c r="C1113" s="1037"/>
      <c r="D1113" s="1037"/>
      <c r="E1113" s="563"/>
      <c r="F1113" s="563"/>
      <c r="G1113" s="563"/>
      <c r="H1113" s="563"/>
      <c r="I1113" s="563"/>
      <c r="J1113" s="563"/>
      <c r="K1113" s="563"/>
      <c r="L1113" s="563"/>
      <c r="M1113" s="563"/>
      <c r="N1113" s="563"/>
      <c r="O1113" s="563"/>
      <c r="P1113" s="563"/>
      <c r="Q1113" s="563"/>
      <c r="R1113" s="563"/>
      <c r="S1113" s="563"/>
      <c r="T1113" s="563"/>
      <c r="U1113" s="563"/>
      <c r="V1113" s="563"/>
      <c r="W1113" s="563"/>
      <c r="X1113" s="563"/>
      <c r="Y1113" s="563"/>
      <c r="Z1113" s="563"/>
      <c r="AA1113" s="563"/>
      <c r="AB1113" s="563"/>
      <c r="AC1113" s="563"/>
      <c r="AD1113" s="563"/>
      <c r="AE1113" s="563"/>
      <c r="AF1113" s="563"/>
      <c r="AG1113" s="563"/>
      <c r="AH1113" s="563" t="str">
        <f>IF(ISBLANK(AH$1112),"N/A",IF(COUNTIFS(GD_Item_FiscalPeriod,AH$1112,GD_Item_Name,$B1113,GD_Update_Date,AH$1110)=0,"NR",SUMIFS(GD_Guidance_Low,GD_Item_Name,$B1113,GD_Item_FiscalPeriod,AH$1112,GD_Update_Date,AH$1110)))</f>
        <v>NR</v>
      </c>
      <c r="AI1113" s="563" t="str">
        <f>IF(ISBLANK(AI$1112),"N/A",IF(COUNTIFS(GD_Item_FiscalPeriod,AI$1112,GD_Item_Name,$B1113,GD_Update_Date,AI$1110)=0,"NR",SUMIFS(GD_Guidance_Low,GD_Item_Name,$B1113,GD_Item_FiscalPeriod,AI$1112,GD_Update_Date,AI$1110)))</f>
        <v>NR</v>
      </c>
      <c r="AJ1113" s="563" t="str">
        <f>IF(ISBLANK(AJ$1112),"N/A",IF(COUNTIFS(GD_Item_FiscalPeriod,AJ$1112,GD_Item_Name,$B1113,GD_Update_Date,AJ$1110)=0,"NR",SUMIFS(GD_Guidance_Low,GD_Item_Name,$B1113,GD_Item_FiscalPeriod,AJ$1112,GD_Update_Date,AJ$1110)))</f>
        <v>NR</v>
      </c>
      <c r="AK1113" s="563" t="str">
        <f>IF(ISBLANK(AK$1112),"N/A",IF(COUNTIFS(GD_Item_FiscalPeriod,AK$1112,GD_Item_Name,$B1113,GD_Update_Date,AK$1110)=0,"NR",SUMIFS(GD_Guidance_Low,GD_Item_Name,$B1113,GD_Item_FiscalPeriod,AK$1112,GD_Update_Date,AK$1110)))</f>
        <v>NR</v>
      </c>
      <c r="AL1113" s="563" t="str">
        <f>IF(ISBLANK(AL$1112),"N/A",IF(COUNTIFS(GD_Item_FiscalPeriod,AL$1112,GD_Item_Name,$B1113,GD_Update_Date,AL$1110)=0,"NR",SUMIFS(GD_Guidance_Low,GD_Item_Name,$B1113,GD_Item_FiscalPeriod,AL$1112,GD_Update_Date,AL$1110)))</f>
        <v>NR</v>
      </c>
      <c r="AM1113" s="563" t="str">
        <f>IF(ISBLANK(AM$1112),"N/A",IF(COUNTIFS(GD_Item_FiscalPeriod,AM$1112,GD_Item_Name,$B1113,GD_Update_Date,AM$1110)=0,"NR",SUMIFS(GD_Guidance_Low,GD_Item_Name,$B1113,GD_Item_FiscalPeriod,AM$1112,GD_Update_Date,AM$1110)))</f>
        <v>NR</v>
      </c>
      <c r="AN1113" s="563" t="str">
        <f>IF(ISBLANK(AN$1112),"N/A",IF(COUNTIFS(GD_Item_FiscalPeriod,AN$1112,GD_Item_Name,$B1113,GD_Update_Date,AN$1110)=0,"NR",SUMIFS(GD_Guidance_Low,GD_Item_Name,$B1113,GD_Item_FiscalPeriod,AN$1112,GD_Update_Date,AN$1110)))</f>
        <v>NR</v>
      </c>
      <c r="AO1113" s="563" t="str">
        <f>IF(ISBLANK(AO$1112),"N/A",IF(COUNTIFS(GD_Item_FiscalPeriod,AO$1112,GD_Item_Name,$B1113,GD_Update_Date,AO$1110)=0,"NR",SUMIFS(GD_Guidance_Low,GD_Item_Name,$B1113,GD_Item_FiscalPeriod,AO$1112,GD_Update_Date,AO$1110)))</f>
        <v>NR</v>
      </c>
      <c r="AP1113" s="563" t="str">
        <f>IF(ISBLANK(AP$1112),"N/A",IF(COUNTIFS(GD_Item_FiscalPeriod,AP$1112,GD_Item_Name,$B1113,GD_Update_Date,AP$1110)=0,"NR",SUMIFS(GD_Guidance_Low,GD_Item_Name,$B1113,GD_Item_FiscalPeriod,AP$1112,GD_Update_Date,AP$1110)))</f>
        <v>NR</v>
      </c>
      <c r="AQ1113" s="563" t="str">
        <f>IF(ISBLANK(AQ$1112),"N/A",IF(COUNTIFS(GD_Item_FiscalPeriod,AQ$1112,GD_Item_Name,$B1113,GD_Update_Date,AQ$1110)=0,"NR",SUMIFS(GD_Guidance_Low,GD_Item_Name,$B1113,GD_Item_FiscalPeriod,AQ$1112,GD_Update_Date,AQ$1110)))</f>
        <v>NR</v>
      </c>
      <c r="AR1113" s="563" t="str">
        <f>IF(ISBLANK(AR$1112),"N/A",IF(COUNTIFS(GD_Item_FiscalPeriod,AR$1112,GD_Item_Name,$B1113,GD_Update_Date,AR$1110)=0,"NR",SUMIFS(GD_Guidance_Low,GD_Item_Name,$B1113,GD_Item_FiscalPeriod,AR$1112,GD_Update_Date,AR$1110)))</f>
        <v>NR</v>
      </c>
      <c r="AS1113" s="563" t="str">
        <f>IF(ISBLANK(AS$1112),"N/A",IF(COUNTIFS(GD_Item_FiscalPeriod,AS$1112,GD_Item_Name,$B1113,GD_Update_Date,AS$1110)=0,"NR",SUMIFS(GD_Guidance_Low,GD_Item_Name,$B1113,GD_Item_FiscalPeriod,AS$1112,GD_Update_Date,AS$1110)))</f>
        <v>NR</v>
      </c>
      <c r="AT1113" s="563" t="str">
        <f>IF(ISBLANK(AT$1112),"N/A",IF(COUNTIFS(GD_Item_FiscalPeriod,AT$1112,GD_Item_Name,$B1113,GD_Update_Date,AT$1110)=0,"NR",SUMIFS(GD_Guidance_Low,GD_Item_Name,$B1113,GD_Item_FiscalPeriod,AT$1112,GD_Update_Date,AT$1110)))</f>
        <v>NR</v>
      </c>
      <c r="AU1113" s="563" t="str">
        <f>IF(ISBLANK(AU$1112),"N/A",IF(COUNTIFS(GD_Item_FiscalPeriod,AU$1112,GD_Item_Name,$B1113,GD_Update_Date,AU$1110)=0,"NR",SUMIFS(GD_Guidance_Low,GD_Item_Name,$B1113,GD_Item_FiscalPeriod,AU$1112,GD_Update_Date,AU$1110)))</f>
        <v>NR</v>
      </c>
      <c r="AV1113" s="563" t="str">
        <f>IF(ISBLANK(AV$1112),"N/A",IF(COUNTIFS(GD_Item_FiscalPeriod,AV$1112,GD_Item_Name,$B1113,GD_Update_Date,AV$1110)=0,"NR",SUMIFS(GD_Guidance_Low,GD_Item_Name,$B1113,GD_Item_FiscalPeriod,AV$1112,GD_Update_Date,AV$1110)))</f>
        <v>NR</v>
      </c>
      <c r="AW1113" s="563" t="str">
        <f>IF(ISBLANK(AW$1112),"N/A",IF(COUNTIFS(GD_Item_FiscalPeriod,AW$1112,GD_Item_Name,$B1113,GD_Update_Date,AW$1110)=0,"NR",SUMIFS(GD_Guidance_Low,GD_Item_Name,$B1113,GD_Item_FiscalPeriod,AW$1112,GD_Update_Date,AW$1110)))</f>
        <v>NR</v>
      </c>
      <c r="AX1113" s="563" t="str">
        <f>IF(ISBLANK(AX$1112),"N/A",IF(COUNTIFS(GD_Item_FiscalPeriod,AX$1112,GD_Item_Name,$B1113,GD_Update_Date,AX$1110)=0,"NR",SUMIFS(GD_Guidance_Low,GD_Item_Name,$B1113,GD_Item_FiscalPeriod,AX$1112,GD_Update_Date,AX$1110)))</f>
        <v>NR</v>
      </c>
      <c r="AY1113" s="563" t="str">
        <f>IF(ISBLANK(AY$1112),"N/A",IF(COUNTIFS(GD_Item_FiscalPeriod,AY$1112,GD_Item_Name,$B1113,GD_Update_Date,AY$1110)=0,"NR",SUMIFS(GD_Guidance_Low,GD_Item_Name,$B1113,GD_Item_FiscalPeriod,AY$1112,GD_Update_Date,AY$1110)))</f>
        <v>NR</v>
      </c>
      <c r="AZ1113" s="563" t="str">
        <f>IF(ISBLANK(AZ$1112),"N/A",IF(COUNTIFS(GD_Item_FiscalPeriod,AZ$1112,GD_Item_Name,$B1113,GD_Update_Date,AZ$1110)=0,"NR",SUMIFS(GD_Guidance_Low,GD_Item_Name,$B1113,GD_Item_FiscalPeriod,AZ$1112,GD_Update_Date,AZ$1110)))</f>
        <v>NR</v>
      </c>
      <c r="BA1113" s="563" t="str">
        <f>IF(ISBLANK(BA$1112),"N/A",IF(COUNTIFS(GD_Item_FiscalPeriod,BA$1112,GD_Item_Name,$B1113,GD_Update_Date,BA$1110)=0,"NR",SUMIFS(GD_Guidance_Low,GD_Item_Name,$B1113,GD_Item_FiscalPeriod,BA$1112,GD_Update_Date,BA$1110)))</f>
        <v>NR</v>
      </c>
      <c r="BB1113" s="563" t="str">
        <f>IF(ISBLANK(BB$1112),"N/A",IF(COUNTIFS(GD_Item_FiscalPeriod,BB$1112,GD_Item_Name,$B1113,GD_Update_Date,BB$1110)=0,"NR",SUMIFS(GD_Guidance_Low,GD_Item_Name,$B1113,GD_Item_FiscalPeriod,BB$1112,GD_Update_Date,BB$1110)))</f>
        <v>NR</v>
      </c>
      <c r="BC1113" s="563" t="str">
        <f>IF(ISBLANK(BC$1112),"N/A",IF(COUNTIFS(GD_Item_FiscalPeriod,BC$1112,GD_Item_Name,$B1113,GD_Update_Date,BC$1110)=0,"NR",SUMIFS(GD_Guidance_Low,GD_Item_Name,$B1113,GD_Item_FiscalPeriod,BC$1112,GD_Update_Date,BC$1110)))</f>
        <v>NR</v>
      </c>
      <c r="BD1113" s="563" t="str">
        <f>IF(ISBLANK(BD$1112),"N/A",IF(COUNTIFS(GD_Item_FiscalPeriod,BD$1112,GD_Item_Name,$B1113,GD_Update_Date,BD$1110)=0,"NR",SUMIFS(GD_Guidance_Low,GD_Item_Name,$B1113,GD_Item_FiscalPeriod,BD$1112,GD_Update_Date,BD$1110)))</f>
        <v>NR</v>
      </c>
      <c r="BE1113" s="563" t="str">
        <f>IF(ISBLANK(BE$1112),"N/A",IF(COUNTIFS(GD_Item_FiscalPeriod,BE$1112,GD_Item_Name,$B1113,GD_Update_Date,BE$1110)=0,"NR",SUMIFS(GD_Guidance_Low,GD_Item_Name,$B1113,GD_Item_FiscalPeriod,BE$1112,GD_Update_Date,BE$1110)))</f>
        <v>NR</v>
      </c>
      <c r="BF1113" s="563" t="str">
        <f>IF(ISBLANK(BF$1112),"N/A",IF(COUNTIFS(GD_Item_FiscalPeriod,BF$1112,GD_Item_Name,$B1113,GD_Update_Date,BF$1110)=0,"NR",SUMIFS(GD_Guidance_Low,GD_Item_Name,$B1113,GD_Item_FiscalPeriod,BF$1112,GD_Update_Date,BF$1110)))</f>
        <v>NR</v>
      </c>
      <c r="BG1113" s="563" t="str">
        <f>IF(ISBLANK(BG$1112),"N/A",IF(COUNTIFS(GD_Item_FiscalPeriod,BG$1112,GD_Item_Name,$B1113,GD_Update_Date,BG$1110)=0,"NR",SUMIFS(GD_Guidance_Low,GD_Item_Name,$B1113,GD_Item_FiscalPeriod,BG$1112,GD_Update_Date,BG$1110)))</f>
        <v>NR</v>
      </c>
      <c r="BH1113" s="563" t="str">
        <f>IF(ISBLANK(BH$1112),"N/A",IF(COUNTIFS(GD_Item_FiscalPeriod,BH$1112,GD_Item_Name,$B1113,GD_Update_Date,BH$1110)=0,"NR",SUMIFS(GD_Guidance_Low,GD_Item_Name,$B1113,GD_Item_FiscalPeriod,BH$1112,GD_Update_Date,BH$1110)))</f>
        <v>NR</v>
      </c>
      <c r="BI1113" s="563" t="str">
        <f>IF(ISBLANK(BI$1112),"N/A",IF(COUNTIFS(GD_Item_FiscalPeriod,BI$1112,GD_Item_Name,$B1113,GD_Update_Date,BI$1110)=0,"NR",SUMIFS(GD_Guidance_Low,GD_Item_Name,$B1113,GD_Item_FiscalPeriod,BI$1112,GD_Update_Date,BI$1110)))</f>
        <v>NR</v>
      </c>
      <c r="BJ1113" s="563" t="str">
        <f>IF(ISBLANK(BJ$1112),"N/A",IF(COUNTIFS(GD_Item_FiscalPeriod,BJ$1112,GD_Item_Name,$B1113,GD_Update_Date,BJ$1110)=0,"NR",SUMIFS(GD_Guidance_Low,GD_Item_Name,$B1113,GD_Item_FiscalPeriod,BJ$1112,GD_Update_Date,BJ$1110)))</f>
        <v>NR</v>
      </c>
      <c r="BK1113" s="563" t="str">
        <f>IF(ISBLANK(BK$1112),"N/A",IF(COUNTIFS(GD_Item_FiscalPeriod,BK$1112,GD_Item_Name,$B1113,GD_Update_Date,BK$1110)=0,"NR",SUMIFS(GD_Guidance_Low,GD_Item_Name,$B1113,GD_Item_FiscalPeriod,BK$1112,GD_Update_Date,BK$1110)))</f>
        <v>NR</v>
      </c>
      <c r="BL1113" s="563" t="str">
        <f>IF(ISBLANK(BL$1112),"N/A",IF(COUNTIFS(GD_Item_FiscalPeriod,BL$1112,GD_Item_Name,$B1113,GD_Update_Date,BL$1110)=0,"NR",SUMIFS(GD_Guidance_Low,GD_Item_Name,$B1113,GD_Item_FiscalPeriod,BL$1112,GD_Update_Date,BL$1110)))</f>
        <v>NR</v>
      </c>
      <c r="BM1113" s="563" t="str">
        <f>IF(ISBLANK(BM$1112),"N/A",IF(COUNTIFS(GD_Item_FiscalPeriod,BM$1112,GD_Item_Name,$B1113,GD_Update_Date,BM$1110)=0,"NR",SUMIFS(GD_Guidance_Low,GD_Item_Name,$B1113,GD_Item_FiscalPeriod,BM$1112,GD_Update_Date,BM$1110)))</f>
        <v>NR</v>
      </c>
      <c r="BN1113" s="563" t="str">
        <f>IF(ISBLANK(BN$1112),"N/A",IF(COUNTIFS(GD_Item_FiscalPeriod,BN$1112,GD_Item_Name,$B1113,GD_Update_Date,BN$1110)=0,"NR",SUMIFS(GD_Guidance_Low,GD_Item_Name,$B1113,GD_Item_FiscalPeriod,BN$1112,GD_Update_Date,BN$1110)))</f>
        <v>NR</v>
      </c>
      <c r="BO1113" s="563" t="str">
        <f>IF(ISBLANK(BO$1112),"N/A",IF(COUNTIFS(GD_Item_FiscalPeriod,BO$1112,GD_Item_Name,$B1113,GD_Update_Date,BO$1110)=0,"NR",SUMIFS(GD_Guidance_Low,GD_Item_Name,$B1113,GD_Item_FiscalPeriod,BO$1112,GD_Update_Date,BO$1110)))</f>
        <v>NR</v>
      </c>
      <c r="BP1113" s="563" t="str">
        <f>IF(ISBLANK(BP$1112),"N/A",IF(COUNTIFS(GD_Item_FiscalPeriod,BP$1112,GD_Item_Name,$B1113,GD_Update_Date,BP$1110)=0,"NR",SUMIFS(GD_Guidance_Low,GD_Item_Name,$B1113,GD_Item_FiscalPeriod,BP$1112,GD_Update_Date,BP$1110)))</f>
        <v>NR</v>
      </c>
      <c r="BQ1113" s="563" t="str">
        <f>IF(ISBLANK(BQ$1112),"N/A",IF(COUNTIFS(GD_Item_FiscalPeriod,BQ$1112,GD_Item_Name,$B1113,GD_Update_Date,BQ$1110)=0,"NR",SUMIFS(GD_Guidance_Low,GD_Item_Name,$B1113,GD_Item_FiscalPeriod,BQ$1112,GD_Update_Date,BQ$1110)))</f>
        <v>NR</v>
      </c>
      <c r="BR1113" s="563" t="str">
        <f>IF(ISBLANK(BR$1112),"N/A",IF(COUNTIFS(GD_Item_FiscalPeriod,BR$1112,GD_Item_Name,$B1113,GD_Update_Date,BR$1110)=0,"NR",SUMIFS(GD_Guidance_Low,GD_Item_Name,$B1113,GD_Item_FiscalPeriod,BR$1112,GD_Update_Date,BR$1110)))</f>
        <v>NR</v>
      </c>
      <c r="BS1113" s="563" t="str">
        <f>IF(ISBLANK(BS$1112),"N/A",IF(COUNTIFS(GD_Item_FiscalPeriod,BS$1112,GD_Item_Name,$B1113,GD_Update_Date,BS$1110)=0,"NR",SUMIFS(GD_Guidance_Low,GD_Item_Name,$B1113,GD_Item_FiscalPeriod,BS$1112,GD_Update_Date,BS$1110)))</f>
        <v>NR</v>
      </c>
      <c r="BT1113" s="563" t="str">
        <f>IF(ISBLANK(BT$1112),"N/A",IF(COUNTIFS(GD_Item_FiscalPeriod,BT$1112,GD_Item_Name,$B1113,GD_Update_Date,BT$1110)=0,"NR",SUMIFS(GD_Guidance_Low,GD_Item_Name,$B1113,GD_Item_FiscalPeriod,BT$1112,GD_Update_Date,BT$1110)))</f>
        <v>NR</v>
      </c>
      <c r="BU1113" s="563" t="str">
        <f>IF(ISBLANK(BU$1112),"N/A",IF(COUNTIFS(GD_Item_FiscalPeriod,BU$1112,GD_Item_Name,$B1113,GD_Update_Date,BU$1110)=0,"NR",SUMIFS(GD_Guidance_Low,GD_Item_Name,$B1113,GD_Item_FiscalPeriod,BU$1112,GD_Update_Date,BU$1110)))</f>
        <v>NR</v>
      </c>
      <c r="BV1113" s="563" t="str">
        <f>IF(ISBLANK(BV$1112),"N/A",IF(COUNTIFS(GD_Item_FiscalPeriod,BV$1112,GD_Item_Name,$B1113,GD_Update_Date,BV$1110)=0,"NR",SUMIFS(GD_Guidance_Low,GD_Item_Name,$B1113,GD_Item_FiscalPeriod,BV$1112,GD_Update_Date,BV$1110)))</f>
        <v>NR</v>
      </c>
      <c r="BW1113" s="563" t="str">
        <f>IF(ISBLANK(BW$1112),"N/A",IF(COUNTIFS(GD_Item_FiscalPeriod,BW$1112,GD_Item_Name,$B1113,GD_Update_Date,BW$1110)=0,"NR",SUMIFS(GD_Guidance_Low,GD_Item_Name,$B1113,GD_Item_FiscalPeriod,BW$1112,GD_Update_Date,BW$1110)))</f>
        <v>NR</v>
      </c>
      <c r="BX1113" s="563" t="str">
        <f>IF(ISBLANK(BX$1112),"N/A",IF(COUNTIFS(GD_Item_FiscalPeriod,BX$1112,GD_Item_Name,$B1113,GD_Update_Date,BX$1110)=0,"NR",SUMIFS(GD_Guidance_Low,GD_Item_Name,$B1113,GD_Item_FiscalPeriod,BX$1112,GD_Update_Date,BX$1110)))</f>
        <v>NR</v>
      </c>
      <c r="BY1113" s="731" t="str">
        <f>IF(ISBLANK(BY$1112),"N/A",IF(COUNTIFS(GD_Item_FiscalPeriod,BY$1112,GD_Item_Name,$B1113,GD_Update_Date,BY$1110)=0,"NR",SUMIFS(GD_Guidance_Low,GD_Item_Name,$B1113,GD_Item_FiscalPeriod,BY$1112,GD_Update_Date,BY$1110)))</f>
        <v>NR</v>
      </c>
      <c r="BZ1113" s="563" t="str">
        <f>IF(ISBLANK(BZ$1112),"N/A",IF(COUNTIFS(GD_Item_FiscalPeriod,BZ$1112,GD_Item_Name,$B1113,GD_Update_Date,BZ$1110)=0,"NR",SUMIFS(GD_Guidance_Low,GD_Item_Name,$B1113,GD_Item_FiscalPeriod,BZ$1112,GD_Update_Date,BZ$1110)))</f>
        <v>N/A</v>
      </c>
      <c r="CA1113" s="563" t="str">
        <f>IF(ISBLANK(CA$1112),"N/A",IF(COUNTIFS(GD_Item_FiscalPeriod,CA$1112,GD_Item_Name,$B1113,GD_Update_Date,CA$1110)=0,"NR",SUMIFS(GD_Guidance_Low,GD_Item_Name,$B1113,GD_Item_FiscalPeriod,CA$1112,GD_Update_Date,CA$1110)))</f>
        <v>N/A</v>
      </c>
      <c r="CB1113" s="563" t="str">
        <f>IF(ISBLANK(CB$1112),"N/A",IF(COUNTIFS(GD_Item_FiscalPeriod,CB$1112,GD_Item_Name,$B1113,GD_Update_Date,CB$1110)=0,"NR",SUMIFS(GD_Guidance_Low,GD_Item_Name,$B1113,GD_Item_FiscalPeriod,CB$1112,GD_Update_Date,CB$1110)))</f>
        <v>N/A</v>
      </c>
      <c r="CC1113" s="563" t="str">
        <f>IF(ISBLANK(CC$1112),"N/A",IF(COUNTIFS(GD_Item_FiscalPeriod,CC$1112,GD_Item_Name,$B1113,GD_Update_Date,CC$1110)=0,"NR",SUMIFS(GD_Guidance_Low,GD_Item_Name,$B1113,GD_Item_FiscalPeriod,CC$1112,GD_Update_Date,CC$1110)))</f>
        <v>N/A</v>
      </c>
      <c r="CD1113" s="563" t="str">
        <f>IF(ISBLANK(CD$1112),"N/A",IF(COUNTIFS(GD_Item_FiscalPeriod,CD$1112,GD_Item_Name,$B1113,GD_Update_Date,CD$1110)=0,"NR",SUMIFS(GD_Guidance_Low,GD_Item_Name,$B1113,GD_Item_FiscalPeriod,CD$1112,GD_Update_Date,CD$1110)))</f>
        <v>N/A</v>
      </c>
      <c r="CE1113" s="563" t="str">
        <f>IF(ISBLANK(CE$1112),"N/A",IF(COUNTIFS(GD_Item_FiscalPeriod,CE$1112,GD_Item_Name,$B1113,GD_Update_Date,CE$1110)=0,"NR",SUMIFS(GD_Guidance_Low,GD_Item_Name,$B1113,GD_Item_FiscalPeriod,CE$1112,GD_Update_Date,CE$1110)))</f>
        <v>N/A</v>
      </c>
      <c r="CF1113" s="563" t="str">
        <f>IF(ISBLANK(CF$1112),"N/A",IF(COUNTIFS(GD_Item_FiscalPeriod,CF$1112,GD_Item_Name,$B1113,GD_Update_Date,CF$1110)=0,"NR",SUMIFS(GD_Guidance_Low,GD_Item_Name,$B1113,GD_Item_FiscalPeriod,CF$1112,GD_Update_Date,CF$1110)))</f>
        <v>N/A</v>
      </c>
      <c r="CG1113" s="563" t="str">
        <f>IF(ISBLANK(CG$1112),"N/A",IF(COUNTIFS(GD_Item_FiscalPeriod,CG$1112,GD_Item_Name,$B1113,GD_Update_Date,CG$1110)=0,"NR",SUMIFS(GD_Guidance_Low,GD_Item_Name,$B1113,GD_Item_FiscalPeriod,CG$1112,GD_Update_Date,CG$1110)))</f>
        <v>N/A</v>
      </c>
      <c r="CH1113" s="563" t="str">
        <f>IF(ISBLANK(CH$1112),"N/A",IF(COUNTIFS(GD_Item_FiscalPeriod,CH$1112,GD_Item_Name,$B1113,GD_Update_Date,CH$1110)=0,"NR",SUMIFS(GD_Guidance_Low,GD_Item_Name,$B1113,GD_Item_FiscalPeriod,CH$1112,GD_Update_Date,CH$1110)))</f>
        <v>N/A</v>
      </c>
      <c r="CI1113" s="563" t="str">
        <f>IF(ISBLANK(CI$1112),"N/A",IF(COUNTIFS(GD_Item_FiscalPeriod,CI$1112,GD_Item_Name,$B1113,GD_Update_Date,CI$1110)=0,"NR",SUMIFS(GD_Guidance_Low,GD_Item_Name,$B1113,GD_Item_FiscalPeriod,CI$1112,GD_Update_Date,CI$1110)))</f>
        <v>N/A</v>
      </c>
      <c r="CJ1113" s="563" t="str">
        <f>IF(ISBLANK(CJ$1112),"N/A",IF(COUNTIFS(GD_Item_FiscalPeriod,CJ$1112,GD_Item_Name,$B1113,GD_Update_Date,CJ$1110)=0,"NR",SUMIFS(GD_Guidance_Low,GD_Item_Name,$B1113,GD_Item_FiscalPeriod,CJ$1112,GD_Update_Date,CJ$1110)))</f>
        <v>N/A</v>
      </c>
      <c r="CK1113" s="794" t="str">
        <f>IF(ISBLANK(CK$1112),"N/A",IF(COUNTIFS(GD_Item_FiscalPeriod,CK$1112,GD_Item_Name,$B1113,GD_Update_Date,CK$1110)=0,"NR",SUMIFS(GD_Guidance_Low,GD_Item_Name,$B1113,GD_Item_FiscalPeriod,CK$1112,GD_Update_Date,CK$1110)))</f>
        <v>N/A</v>
      </c>
      <c r="CL1113" s="155"/>
    </row>
    <row r="1114" spans="1:90" x14ac:dyDescent="0.3">
      <c r="A1114" s="793" t="s">
        <v>941</v>
      </c>
      <c r="B1114" s="1055" t="s">
        <v>300</v>
      </c>
      <c r="C1114" s="1037"/>
      <c r="D1114" s="1037"/>
      <c r="E1114" s="563"/>
      <c r="F1114" s="563"/>
      <c r="G1114" s="563"/>
      <c r="H1114" s="563"/>
      <c r="I1114" s="563"/>
      <c r="J1114" s="563"/>
      <c r="K1114" s="563"/>
      <c r="L1114" s="563"/>
      <c r="M1114" s="563"/>
      <c r="N1114" s="563"/>
      <c r="O1114" s="563"/>
      <c r="P1114" s="563"/>
      <c r="Q1114" s="563"/>
      <c r="R1114" s="563"/>
      <c r="S1114" s="563"/>
      <c r="T1114" s="563"/>
      <c r="U1114" s="563"/>
      <c r="V1114" s="563"/>
      <c r="W1114" s="563"/>
      <c r="X1114" s="563"/>
      <c r="Y1114" s="563"/>
      <c r="Z1114" s="563"/>
      <c r="AA1114" s="563"/>
      <c r="AB1114" s="563"/>
      <c r="AC1114" s="563"/>
      <c r="AD1114" s="563"/>
      <c r="AE1114" s="563"/>
      <c r="AF1114" s="563"/>
      <c r="AG1114" s="563"/>
      <c r="AH1114" s="563" t="str">
        <f>IF(ISBLANK(AH$1112),"N/A",IF(COUNTIFS(GD_Item_FiscalPeriod,AH$1112,GD_Item_Name,$B1114,GD_Update_Date,AH$1110)=0,"NR",SUMIFS(GD_Guidance_High,GD_Item_Name,$B1114,GD_Item_FiscalPeriod,AH$1112,GD_Update_Date,AH$1110)))</f>
        <v>NR</v>
      </c>
      <c r="AI1114" s="563" t="str">
        <f>IF(ISBLANK(AI$1112),"N/A",IF(COUNTIFS(GD_Item_FiscalPeriod,AI$1112,GD_Item_Name,$B1114,GD_Update_Date,AI$1110)=0,"NR",SUMIFS(GD_Guidance_High,GD_Item_Name,$B1114,GD_Item_FiscalPeriod,AI$1112,GD_Update_Date,AI$1110)))</f>
        <v>NR</v>
      </c>
      <c r="AJ1114" s="563" t="str">
        <f>IF(ISBLANK(AJ$1112),"N/A",IF(COUNTIFS(GD_Item_FiscalPeriod,AJ$1112,GD_Item_Name,$B1114,GD_Update_Date,AJ$1110)=0,"NR",SUMIFS(GD_Guidance_High,GD_Item_Name,$B1114,GD_Item_FiscalPeriod,AJ$1112,GD_Update_Date,AJ$1110)))</f>
        <v>NR</v>
      </c>
      <c r="AK1114" s="563" t="str">
        <f>IF(ISBLANK(AK$1112),"N/A",IF(COUNTIFS(GD_Item_FiscalPeriod,AK$1112,GD_Item_Name,$B1114,GD_Update_Date,AK$1110)=0,"NR",SUMIFS(GD_Guidance_High,GD_Item_Name,$B1114,GD_Item_FiscalPeriod,AK$1112,GD_Update_Date,AK$1110)))</f>
        <v>NR</v>
      </c>
      <c r="AL1114" s="563" t="str">
        <f>IF(ISBLANK(AL$1112),"N/A",IF(COUNTIFS(GD_Item_FiscalPeriod,AL$1112,GD_Item_Name,$B1114,GD_Update_Date,AL$1110)=0,"NR",SUMIFS(GD_Guidance_High,GD_Item_Name,$B1114,GD_Item_FiscalPeriod,AL$1112,GD_Update_Date,AL$1110)))</f>
        <v>NR</v>
      </c>
      <c r="AM1114" s="563" t="str">
        <f>IF(ISBLANK(AM$1112),"N/A",IF(COUNTIFS(GD_Item_FiscalPeriod,AM$1112,GD_Item_Name,$B1114,GD_Update_Date,AM$1110)=0,"NR",SUMIFS(GD_Guidance_High,GD_Item_Name,$B1114,GD_Item_FiscalPeriod,AM$1112,GD_Update_Date,AM$1110)))</f>
        <v>NR</v>
      </c>
      <c r="AN1114" s="563" t="str">
        <f>IF(ISBLANK(AN$1112),"N/A",IF(COUNTIFS(GD_Item_FiscalPeriod,AN$1112,GD_Item_Name,$B1114,GD_Update_Date,AN$1110)=0,"NR",SUMIFS(GD_Guidance_High,GD_Item_Name,$B1114,GD_Item_FiscalPeriod,AN$1112,GD_Update_Date,AN$1110)))</f>
        <v>NR</v>
      </c>
      <c r="AO1114" s="563" t="str">
        <f>IF(ISBLANK(AO$1112),"N/A",IF(COUNTIFS(GD_Item_FiscalPeriod,AO$1112,GD_Item_Name,$B1114,GD_Update_Date,AO$1110)=0,"NR",SUMIFS(GD_Guidance_High,GD_Item_Name,$B1114,GD_Item_FiscalPeriod,AO$1112,GD_Update_Date,AO$1110)))</f>
        <v>NR</v>
      </c>
      <c r="AP1114" s="563" t="str">
        <f>IF(ISBLANK(AP$1112),"N/A",IF(COUNTIFS(GD_Item_FiscalPeriod,AP$1112,GD_Item_Name,$B1114,GD_Update_Date,AP$1110)=0,"NR",SUMIFS(GD_Guidance_High,GD_Item_Name,$B1114,GD_Item_FiscalPeriod,AP$1112,GD_Update_Date,AP$1110)))</f>
        <v>NR</v>
      </c>
      <c r="AQ1114" s="563" t="str">
        <f>IF(ISBLANK(AQ$1112),"N/A",IF(COUNTIFS(GD_Item_FiscalPeriod,AQ$1112,GD_Item_Name,$B1114,GD_Update_Date,AQ$1110)=0,"NR",SUMIFS(GD_Guidance_High,GD_Item_Name,$B1114,GD_Item_FiscalPeriod,AQ$1112,GD_Update_Date,AQ$1110)))</f>
        <v>NR</v>
      </c>
      <c r="AR1114" s="563" t="str">
        <f>IF(ISBLANK(AR$1112),"N/A",IF(COUNTIFS(GD_Item_FiscalPeriod,AR$1112,GD_Item_Name,$B1114,GD_Update_Date,AR$1110)=0,"NR",SUMIFS(GD_Guidance_High,GD_Item_Name,$B1114,GD_Item_FiscalPeriod,AR$1112,GD_Update_Date,AR$1110)))</f>
        <v>NR</v>
      </c>
      <c r="AS1114" s="563" t="str">
        <f>IF(ISBLANK(AS$1112),"N/A",IF(COUNTIFS(GD_Item_FiscalPeriod,AS$1112,GD_Item_Name,$B1114,GD_Update_Date,AS$1110)=0,"NR",SUMIFS(GD_Guidance_High,GD_Item_Name,$B1114,GD_Item_FiscalPeriod,AS$1112,GD_Update_Date,AS$1110)))</f>
        <v>NR</v>
      </c>
      <c r="AT1114" s="563" t="str">
        <f>IF(ISBLANK(AT$1112),"N/A",IF(COUNTIFS(GD_Item_FiscalPeriod,AT$1112,GD_Item_Name,$B1114,GD_Update_Date,AT$1110)=0,"NR",SUMIFS(GD_Guidance_High,GD_Item_Name,$B1114,GD_Item_FiscalPeriod,AT$1112,GD_Update_Date,AT$1110)))</f>
        <v>NR</v>
      </c>
      <c r="AU1114" s="563" t="str">
        <f>IF(ISBLANK(AU$1112),"N/A",IF(COUNTIFS(GD_Item_FiscalPeriod,AU$1112,GD_Item_Name,$B1114,GD_Update_Date,AU$1110)=0,"NR",SUMIFS(GD_Guidance_High,GD_Item_Name,$B1114,GD_Item_FiscalPeriod,AU$1112,GD_Update_Date,AU$1110)))</f>
        <v>NR</v>
      </c>
      <c r="AV1114" s="563" t="str">
        <f>IF(ISBLANK(AV$1112),"N/A",IF(COUNTIFS(GD_Item_FiscalPeriod,AV$1112,GD_Item_Name,$B1114,GD_Update_Date,AV$1110)=0,"NR",SUMIFS(GD_Guidance_High,GD_Item_Name,$B1114,GD_Item_FiscalPeriod,AV$1112,GD_Update_Date,AV$1110)))</f>
        <v>NR</v>
      </c>
      <c r="AW1114" s="563" t="str">
        <f>IF(ISBLANK(AW$1112),"N/A",IF(COUNTIFS(GD_Item_FiscalPeriod,AW$1112,GD_Item_Name,$B1114,GD_Update_Date,AW$1110)=0,"NR",SUMIFS(GD_Guidance_High,GD_Item_Name,$B1114,GD_Item_FiscalPeriod,AW$1112,GD_Update_Date,AW$1110)))</f>
        <v>NR</v>
      </c>
      <c r="AX1114" s="563" t="str">
        <f>IF(ISBLANK(AX$1112),"N/A",IF(COUNTIFS(GD_Item_FiscalPeriod,AX$1112,GD_Item_Name,$B1114,GD_Update_Date,AX$1110)=0,"NR",SUMIFS(GD_Guidance_High,GD_Item_Name,$B1114,GD_Item_FiscalPeriod,AX$1112,GD_Update_Date,AX$1110)))</f>
        <v>NR</v>
      </c>
      <c r="AY1114" s="563" t="str">
        <f>IF(ISBLANK(AY$1112),"N/A",IF(COUNTIFS(GD_Item_FiscalPeriod,AY$1112,GD_Item_Name,$B1114,GD_Update_Date,AY$1110)=0,"NR",SUMIFS(GD_Guidance_High,GD_Item_Name,$B1114,GD_Item_FiscalPeriod,AY$1112,GD_Update_Date,AY$1110)))</f>
        <v>NR</v>
      </c>
      <c r="AZ1114" s="563" t="str">
        <f>IF(ISBLANK(AZ$1112),"N/A",IF(COUNTIFS(GD_Item_FiscalPeriod,AZ$1112,GD_Item_Name,$B1114,GD_Update_Date,AZ$1110)=0,"NR",SUMIFS(GD_Guidance_High,GD_Item_Name,$B1114,GD_Item_FiscalPeriod,AZ$1112,GD_Update_Date,AZ$1110)))</f>
        <v>NR</v>
      </c>
      <c r="BA1114" s="563" t="str">
        <f>IF(ISBLANK(BA$1112),"N/A",IF(COUNTIFS(GD_Item_FiscalPeriod,BA$1112,GD_Item_Name,$B1114,GD_Update_Date,BA$1110)=0,"NR",SUMIFS(GD_Guidance_High,GD_Item_Name,$B1114,GD_Item_FiscalPeriod,BA$1112,GD_Update_Date,BA$1110)))</f>
        <v>NR</v>
      </c>
      <c r="BB1114" s="563" t="str">
        <f>IF(ISBLANK(BB$1112),"N/A",IF(COUNTIFS(GD_Item_FiscalPeriod,BB$1112,GD_Item_Name,$B1114,GD_Update_Date,BB$1110)=0,"NR",SUMIFS(GD_Guidance_High,GD_Item_Name,$B1114,GD_Item_FiscalPeriod,BB$1112,GD_Update_Date,BB$1110)))</f>
        <v>NR</v>
      </c>
      <c r="BC1114" s="563" t="str">
        <f>IF(ISBLANK(BC$1112),"N/A",IF(COUNTIFS(GD_Item_FiscalPeriod,BC$1112,GD_Item_Name,$B1114,GD_Update_Date,BC$1110)=0,"NR",SUMIFS(GD_Guidance_High,GD_Item_Name,$B1114,GD_Item_FiscalPeriod,BC$1112,GD_Update_Date,BC$1110)))</f>
        <v>NR</v>
      </c>
      <c r="BD1114" s="563" t="str">
        <f>IF(ISBLANK(BD$1112),"N/A",IF(COUNTIFS(GD_Item_FiscalPeriod,BD$1112,GD_Item_Name,$B1114,GD_Update_Date,BD$1110)=0,"NR",SUMIFS(GD_Guidance_High,GD_Item_Name,$B1114,GD_Item_FiscalPeriod,BD$1112,GD_Update_Date,BD$1110)))</f>
        <v>NR</v>
      </c>
      <c r="BE1114" s="563" t="str">
        <f>IF(ISBLANK(BE$1112),"N/A",IF(COUNTIFS(GD_Item_FiscalPeriod,BE$1112,GD_Item_Name,$B1114,GD_Update_Date,BE$1110)=0,"NR",SUMIFS(GD_Guidance_High,GD_Item_Name,$B1114,GD_Item_FiscalPeriod,BE$1112,GD_Update_Date,BE$1110)))</f>
        <v>NR</v>
      </c>
      <c r="BF1114" s="563" t="str">
        <f>IF(ISBLANK(BF$1112),"N/A",IF(COUNTIFS(GD_Item_FiscalPeriod,BF$1112,GD_Item_Name,$B1114,GD_Update_Date,BF$1110)=0,"NR",SUMIFS(GD_Guidance_High,GD_Item_Name,$B1114,GD_Item_FiscalPeriod,BF$1112,GD_Update_Date,BF$1110)))</f>
        <v>NR</v>
      </c>
      <c r="BG1114" s="563" t="str">
        <f>IF(ISBLANK(BG$1112),"N/A",IF(COUNTIFS(GD_Item_FiscalPeriod,BG$1112,GD_Item_Name,$B1114,GD_Update_Date,BG$1110)=0,"NR",SUMIFS(GD_Guidance_High,GD_Item_Name,$B1114,GD_Item_FiscalPeriod,BG$1112,GD_Update_Date,BG$1110)))</f>
        <v>NR</v>
      </c>
      <c r="BH1114" s="563" t="str">
        <f>IF(ISBLANK(BH$1112),"N/A",IF(COUNTIFS(GD_Item_FiscalPeriod,BH$1112,GD_Item_Name,$B1114,GD_Update_Date,BH$1110)=0,"NR",SUMIFS(GD_Guidance_High,GD_Item_Name,$B1114,GD_Item_FiscalPeriod,BH$1112,GD_Update_Date,BH$1110)))</f>
        <v>NR</v>
      </c>
      <c r="BI1114" s="563" t="str">
        <f>IF(ISBLANK(BI$1112),"N/A",IF(COUNTIFS(GD_Item_FiscalPeriod,BI$1112,GD_Item_Name,$B1114,GD_Update_Date,BI$1110)=0,"NR",SUMIFS(GD_Guidance_High,GD_Item_Name,$B1114,GD_Item_FiscalPeriod,BI$1112,GD_Update_Date,BI$1110)))</f>
        <v>NR</v>
      </c>
      <c r="BJ1114" s="563" t="str">
        <f>IF(ISBLANK(BJ$1112),"N/A",IF(COUNTIFS(GD_Item_FiscalPeriod,BJ$1112,GD_Item_Name,$B1114,GD_Update_Date,BJ$1110)=0,"NR",SUMIFS(GD_Guidance_High,GD_Item_Name,$B1114,GD_Item_FiscalPeriod,BJ$1112,GD_Update_Date,BJ$1110)))</f>
        <v>NR</v>
      </c>
      <c r="BK1114" s="563" t="str">
        <f>IF(ISBLANK(BK$1112),"N/A",IF(COUNTIFS(GD_Item_FiscalPeriod,BK$1112,GD_Item_Name,$B1114,GD_Update_Date,BK$1110)=0,"NR",SUMIFS(GD_Guidance_High,GD_Item_Name,$B1114,GD_Item_FiscalPeriod,BK$1112,GD_Update_Date,BK$1110)))</f>
        <v>NR</v>
      </c>
      <c r="BL1114" s="563" t="str">
        <f>IF(ISBLANK(BL$1112),"N/A",IF(COUNTIFS(GD_Item_FiscalPeriod,BL$1112,GD_Item_Name,$B1114,GD_Update_Date,BL$1110)=0,"NR",SUMIFS(GD_Guidance_High,GD_Item_Name,$B1114,GD_Item_FiscalPeriod,BL$1112,GD_Update_Date,BL$1110)))</f>
        <v>NR</v>
      </c>
      <c r="BM1114" s="563" t="str">
        <f>IF(ISBLANK(BM$1112),"N/A",IF(COUNTIFS(GD_Item_FiscalPeriod,BM$1112,GD_Item_Name,$B1114,GD_Update_Date,BM$1110)=0,"NR",SUMIFS(GD_Guidance_High,GD_Item_Name,$B1114,GD_Item_FiscalPeriod,BM$1112,GD_Update_Date,BM$1110)))</f>
        <v>NR</v>
      </c>
      <c r="BN1114" s="563" t="str">
        <f>IF(ISBLANK(BN$1112),"N/A",IF(COUNTIFS(GD_Item_FiscalPeriod,BN$1112,GD_Item_Name,$B1114,GD_Update_Date,BN$1110)=0,"NR",SUMIFS(GD_Guidance_High,GD_Item_Name,$B1114,GD_Item_FiscalPeriod,BN$1112,GD_Update_Date,BN$1110)))</f>
        <v>NR</v>
      </c>
      <c r="BO1114" s="563" t="str">
        <f>IF(ISBLANK(BO$1112),"N/A",IF(COUNTIFS(GD_Item_FiscalPeriod,BO$1112,GD_Item_Name,$B1114,GD_Update_Date,BO$1110)=0,"NR",SUMIFS(GD_Guidance_High,GD_Item_Name,$B1114,GD_Item_FiscalPeriod,BO$1112,GD_Update_Date,BO$1110)))</f>
        <v>NR</v>
      </c>
      <c r="BP1114" s="563" t="str">
        <f>IF(ISBLANK(BP$1112),"N/A",IF(COUNTIFS(GD_Item_FiscalPeriod,BP$1112,GD_Item_Name,$B1114,GD_Update_Date,BP$1110)=0,"NR",SUMIFS(GD_Guidance_High,GD_Item_Name,$B1114,GD_Item_FiscalPeriod,BP$1112,GD_Update_Date,BP$1110)))</f>
        <v>NR</v>
      </c>
      <c r="BQ1114" s="563" t="str">
        <f>IF(ISBLANK(BQ$1112),"N/A",IF(COUNTIFS(GD_Item_FiscalPeriod,BQ$1112,GD_Item_Name,$B1114,GD_Update_Date,BQ$1110)=0,"NR",SUMIFS(GD_Guidance_High,GD_Item_Name,$B1114,GD_Item_FiscalPeriod,BQ$1112,GD_Update_Date,BQ$1110)))</f>
        <v>NR</v>
      </c>
      <c r="BR1114" s="563" t="str">
        <f>IF(ISBLANK(BR$1112),"N/A",IF(COUNTIFS(GD_Item_FiscalPeriod,BR$1112,GD_Item_Name,$B1114,GD_Update_Date,BR$1110)=0,"NR",SUMIFS(GD_Guidance_High,GD_Item_Name,$B1114,GD_Item_FiscalPeriod,BR$1112,GD_Update_Date,BR$1110)))</f>
        <v>NR</v>
      </c>
      <c r="BS1114" s="563" t="str">
        <f>IF(ISBLANK(BS$1112),"N/A",IF(COUNTIFS(GD_Item_FiscalPeriod,BS$1112,GD_Item_Name,$B1114,GD_Update_Date,BS$1110)=0,"NR",SUMIFS(GD_Guidance_High,GD_Item_Name,$B1114,GD_Item_FiscalPeriod,BS$1112,GD_Update_Date,BS$1110)))</f>
        <v>NR</v>
      </c>
      <c r="BT1114" s="563" t="str">
        <f>IF(ISBLANK(BT$1112),"N/A",IF(COUNTIFS(GD_Item_FiscalPeriod,BT$1112,GD_Item_Name,$B1114,GD_Update_Date,BT$1110)=0,"NR",SUMIFS(GD_Guidance_High,GD_Item_Name,$B1114,GD_Item_FiscalPeriod,BT$1112,GD_Update_Date,BT$1110)))</f>
        <v>NR</v>
      </c>
      <c r="BU1114" s="563" t="str">
        <f>IF(ISBLANK(BU$1112),"N/A",IF(COUNTIFS(GD_Item_FiscalPeriod,BU$1112,GD_Item_Name,$B1114,GD_Update_Date,BU$1110)=0,"NR",SUMIFS(GD_Guidance_High,GD_Item_Name,$B1114,GD_Item_FiscalPeriod,BU$1112,GD_Update_Date,BU$1110)))</f>
        <v>NR</v>
      </c>
      <c r="BV1114" s="563" t="str">
        <f>IF(ISBLANK(BV$1112),"N/A",IF(COUNTIFS(GD_Item_FiscalPeriod,BV$1112,GD_Item_Name,$B1114,GD_Update_Date,BV$1110)=0,"NR",SUMIFS(GD_Guidance_High,GD_Item_Name,$B1114,GD_Item_FiscalPeriod,BV$1112,GD_Update_Date,BV$1110)))</f>
        <v>NR</v>
      </c>
      <c r="BW1114" s="563" t="str">
        <f>IF(ISBLANK(BW$1112),"N/A",IF(COUNTIFS(GD_Item_FiscalPeriod,BW$1112,GD_Item_Name,$B1114,GD_Update_Date,BW$1110)=0,"NR",SUMIFS(GD_Guidance_High,GD_Item_Name,$B1114,GD_Item_FiscalPeriod,BW$1112,GD_Update_Date,BW$1110)))</f>
        <v>NR</v>
      </c>
      <c r="BX1114" s="563" t="str">
        <f>IF(ISBLANK(BX$1112),"N/A",IF(COUNTIFS(GD_Item_FiscalPeriod,BX$1112,GD_Item_Name,$B1114,GD_Update_Date,BX$1110)=0,"NR",SUMIFS(GD_Guidance_High,GD_Item_Name,$B1114,GD_Item_FiscalPeriod,BX$1112,GD_Update_Date,BX$1110)))</f>
        <v>NR</v>
      </c>
      <c r="BY1114" s="731" t="str">
        <f>IF(ISBLANK(BY$1112),"N/A",IF(COUNTIFS(GD_Item_FiscalPeriod,BY$1112,GD_Item_Name,$B1114,GD_Update_Date,BY$1110)=0,"NR",SUMIFS(GD_Guidance_High,GD_Item_Name,$B1114,GD_Item_FiscalPeriod,BY$1112,GD_Update_Date,BY$1110)))</f>
        <v>NR</v>
      </c>
      <c r="BZ1114" s="563" t="str">
        <f>IF(ISBLANK(BZ$1112),"N/A",IF(COUNTIFS(GD_Item_FiscalPeriod,BZ$1112,GD_Item_Name,$B1114,GD_Update_Date,BZ$1110)=0,"NR",SUMIFS(GD_Guidance_High,GD_Item_Name,$B1114,GD_Item_FiscalPeriod,BZ$1112,GD_Update_Date,BZ$1110)))</f>
        <v>N/A</v>
      </c>
      <c r="CA1114" s="563" t="str">
        <f>IF(ISBLANK(CA$1112),"N/A",IF(COUNTIFS(GD_Item_FiscalPeriod,CA$1112,GD_Item_Name,$B1114,GD_Update_Date,CA$1110)=0,"NR",SUMIFS(GD_Guidance_High,GD_Item_Name,$B1114,GD_Item_FiscalPeriod,CA$1112,GD_Update_Date,CA$1110)))</f>
        <v>N/A</v>
      </c>
      <c r="CB1114" s="563" t="str">
        <f>IF(ISBLANK(CB$1112),"N/A",IF(COUNTIFS(GD_Item_FiscalPeriod,CB$1112,GD_Item_Name,$B1114,GD_Update_Date,CB$1110)=0,"NR",SUMIFS(GD_Guidance_High,GD_Item_Name,$B1114,GD_Item_FiscalPeriod,CB$1112,GD_Update_Date,CB$1110)))</f>
        <v>N/A</v>
      </c>
      <c r="CC1114" s="563" t="str">
        <f>IF(ISBLANK(CC$1112),"N/A",IF(COUNTIFS(GD_Item_FiscalPeriod,CC$1112,GD_Item_Name,$B1114,GD_Update_Date,CC$1110)=0,"NR",SUMIFS(GD_Guidance_High,GD_Item_Name,$B1114,GD_Item_FiscalPeriod,CC$1112,GD_Update_Date,CC$1110)))</f>
        <v>N/A</v>
      </c>
      <c r="CD1114" s="563" t="str">
        <f>IF(ISBLANK(CD$1112),"N/A",IF(COUNTIFS(GD_Item_FiscalPeriod,CD$1112,GD_Item_Name,$B1114,GD_Update_Date,CD$1110)=0,"NR",SUMIFS(GD_Guidance_High,GD_Item_Name,$B1114,GD_Item_FiscalPeriod,CD$1112,GD_Update_Date,CD$1110)))</f>
        <v>N/A</v>
      </c>
      <c r="CE1114" s="563" t="str">
        <f>IF(ISBLANK(CE$1112),"N/A",IF(COUNTIFS(GD_Item_FiscalPeriod,CE$1112,GD_Item_Name,$B1114,GD_Update_Date,CE$1110)=0,"NR",SUMIFS(GD_Guidance_High,GD_Item_Name,$B1114,GD_Item_FiscalPeriod,CE$1112,GD_Update_Date,CE$1110)))</f>
        <v>N/A</v>
      </c>
      <c r="CF1114" s="563" t="str">
        <f>IF(ISBLANK(CF$1112),"N/A",IF(COUNTIFS(GD_Item_FiscalPeriod,CF$1112,GD_Item_Name,$B1114,GD_Update_Date,CF$1110)=0,"NR",SUMIFS(GD_Guidance_High,GD_Item_Name,$B1114,GD_Item_FiscalPeriod,CF$1112,GD_Update_Date,CF$1110)))</f>
        <v>N/A</v>
      </c>
      <c r="CG1114" s="563" t="str">
        <f>IF(ISBLANK(CG$1112),"N/A",IF(COUNTIFS(GD_Item_FiscalPeriod,CG$1112,GD_Item_Name,$B1114,GD_Update_Date,CG$1110)=0,"NR",SUMIFS(GD_Guidance_High,GD_Item_Name,$B1114,GD_Item_FiscalPeriod,CG$1112,GD_Update_Date,CG$1110)))</f>
        <v>N/A</v>
      </c>
      <c r="CH1114" s="563" t="str">
        <f>IF(ISBLANK(CH$1112),"N/A",IF(COUNTIFS(GD_Item_FiscalPeriod,CH$1112,GD_Item_Name,$B1114,GD_Update_Date,CH$1110)=0,"NR",SUMIFS(GD_Guidance_High,GD_Item_Name,$B1114,GD_Item_FiscalPeriod,CH$1112,GD_Update_Date,CH$1110)))</f>
        <v>N/A</v>
      </c>
      <c r="CI1114" s="563" t="str">
        <f>IF(ISBLANK(CI$1112),"N/A",IF(COUNTIFS(GD_Item_FiscalPeriod,CI$1112,GD_Item_Name,$B1114,GD_Update_Date,CI$1110)=0,"NR",SUMIFS(GD_Guidance_High,GD_Item_Name,$B1114,GD_Item_FiscalPeriod,CI$1112,GD_Update_Date,CI$1110)))</f>
        <v>N/A</v>
      </c>
      <c r="CJ1114" s="563" t="str">
        <f>IF(ISBLANK(CJ$1112),"N/A",IF(COUNTIFS(GD_Item_FiscalPeriod,CJ$1112,GD_Item_Name,$B1114,GD_Update_Date,CJ$1110)=0,"NR",SUMIFS(GD_Guidance_High,GD_Item_Name,$B1114,GD_Item_FiscalPeriod,CJ$1112,GD_Update_Date,CJ$1110)))</f>
        <v>N/A</v>
      </c>
      <c r="CK1114" s="794" t="str">
        <f>IF(ISBLANK(CK$1112),"N/A",IF(COUNTIFS(GD_Item_FiscalPeriod,CK$1112,GD_Item_Name,$B1114,GD_Update_Date,CK$1110)=0,"NR",SUMIFS(GD_Guidance_High,GD_Item_Name,$B1114,GD_Item_FiscalPeriod,CK$1112,GD_Update_Date,CK$1110)))</f>
        <v>N/A</v>
      </c>
      <c r="CL1114" s="155"/>
    </row>
    <row r="1115" spans="1:90" x14ac:dyDescent="0.3">
      <c r="A1115" s="793" t="s">
        <v>942</v>
      </c>
      <c r="B1115" s="1055" t="s">
        <v>300</v>
      </c>
      <c r="C1115" s="1037"/>
      <c r="D1115" s="1037"/>
      <c r="E1115" s="563"/>
      <c r="F1115" s="563"/>
      <c r="G1115" s="563"/>
      <c r="H1115" s="563"/>
      <c r="I1115" s="563"/>
      <c r="J1115" s="563"/>
      <c r="K1115" s="563"/>
      <c r="L1115" s="563"/>
      <c r="M1115" s="563"/>
      <c r="N1115" s="563"/>
      <c r="O1115" s="563"/>
      <c r="P1115" s="563"/>
      <c r="Q1115" s="563"/>
      <c r="R1115" s="563"/>
      <c r="S1115" s="563"/>
      <c r="T1115" s="563"/>
      <c r="U1115" s="563"/>
      <c r="V1115" s="563"/>
      <c r="W1115" s="563"/>
      <c r="X1115" s="563"/>
      <c r="Y1115" s="563"/>
      <c r="Z1115" s="563"/>
      <c r="AA1115" s="563"/>
      <c r="AB1115" s="563"/>
      <c r="AC1115" s="563"/>
      <c r="AD1115" s="563"/>
      <c r="AE1115" s="563"/>
      <c r="AF1115" s="563"/>
      <c r="AG1115" s="563"/>
      <c r="AH1115" s="563" t="str">
        <f>IF(ISBLANK(AH$1112),"N/A",IF(COUNTIFS(GD_Item_FiscalPeriod,AH$1112,GD_Item_Name,$B1115,GD_Update_Date,AH$1110)=0,"NR",SUMIFS(GD_Guidance_Mid,GD_Item_Name,$B1115,GD_Item_FiscalPeriod,AH$1112,GD_Update_Date,AH$1110)))</f>
        <v>NR</v>
      </c>
      <c r="AI1115" s="563" t="str">
        <f>IF(ISBLANK(AI$1112),"N/A",IF(COUNTIFS(GD_Item_FiscalPeriod,AI$1112,GD_Item_Name,$B1115,GD_Update_Date,AI$1110)=0,"NR",SUMIFS(GD_Guidance_Mid,GD_Item_Name,$B1115,GD_Item_FiscalPeriod,AI$1112,GD_Update_Date,AI$1110)))</f>
        <v>NR</v>
      </c>
      <c r="AJ1115" s="563" t="str">
        <f>IF(ISBLANK(AJ$1112),"N/A",IF(COUNTIFS(GD_Item_FiscalPeriod,AJ$1112,GD_Item_Name,$B1115,GD_Update_Date,AJ$1110)=0,"NR",SUMIFS(GD_Guidance_Mid,GD_Item_Name,$B1115,GD_Item_FiscalPeriod,AJ$1112,GD_Update_Date,AJ$1110)))</f>
        <v>NR</v>
      </c>
      <c r="AK1115" s="563" t="str">
        <f>IF(ISBLANK(AK$1112),"N/A",IF(COUNTIFS(GD_Item_FiscalPeriod,AK$1112,GD_Item_Name,$B1115,GD_Update_Date,AK$1110)=0,"NR",SUMIFS(GD_Guidance_Mid,GD_Item_Name,$B1115,GD_Item_FiscalPeriod,AK$1112,GD_Update_Date,AK$1110)))</f>
        <v>NR</v>
      </c>
      <c r="AL1115" s="563" t="str">
        <f>IF(ISBLANK(AL$1112),"N/A",IF(COUNTIFS(GD_Item_FiscalPeriod,AL$1112,GD_Item_Name,$B1115,GD_Update_Date,AL$1110)=0,"NR",SUMIFS(GD_Guidance_Mid,GD_Item_Name,$B1115,GD_Item_FiscalPeriod,AL$1112,GD_Update_Date,AL$1110)))</f>
        <v>NR</v>
      </c>
      <c r="AM1115" s="563" t="str">
        <f>IF(ISBLANK(AM$1112),"N/A",IF(COUNTIFS(GD_Item_FiscalPeriod,AM$1112,GD_Item_Name,$B1115,GD_Update_Date,AM$1110)=0,"NR",SUMIFS(GD_Guidance_Mid,GD_Item_Name,$B1115,GD_Item_FiscalPeriod,AM$1112,GD_Update_Date,AM$1110)))</f>
        <v>NR</v>
      </c>
      <c r="AN1115" s="563" t="str">
        <f>IF(ISBLANK(AN$1112),"N/A",IF(COUNTIFS(GD_Item_FiscalPeriod,AN$1112,GD_Item_Name,$B1115,GD_Update_Date,AN$1110)=0,"NR",SUMIFS(GD_Guidance_Mid,GD_Item_Name,$B1115,GD_Item_FiscalPeriod,AN$1112,GD_Update_Date,AN$1110)))</f>
        <v>NR</v>
      </c>
      <c r="AO1115" s="563" t="str">
        <f>IF(ISBLANK(AO$1112),"N/A",IF(COUNTIFS(GD_Item_FiscalPeriod,AO$1112,GD_Item_Name,$B1115,GD_Update_Date,AO$1110)=0,"NR",SUMIFS(GD_Guidance_Mid,GD_Item_Name,$B1115,GD_Item_FiscalPeriod,AO$1112,GD_Update_Date,AO$1110)))</f>
        <v>NR</v>
      </c>
      <c r="AP1115" s="563" t="str">
        <f>IF(ISBLANK(AP$1112),"N/A",IF(COUNTIFS(GD_Item_FiscalPeriod,AP$1112,GD_Item_Name,$B1115,GD_Update_Date,AP$1110)=0,"NR",SUMIFS(GD_Guidance_Mid,GD_Item_Name,$B1115,GD_Item_FiscalPeriod,AP$1112,GD_Update_Date,AP$1110)))</f>
        <v>NR</v>
      </c>
      <c r="AQ1115" s="563" t="str">
        <f>IF(ISBLANK(AQ$1112),"N/A",IF(COUNTIFS(GD_Item_FiscalPeriod,AQ$1112,GD_Item_Name,$B1115,GD_Update_Date,AQ$1110)=0,"NR",SUMIFS(GD_Guidance_Mid,GD_Item_Name,$B1115,GD_Item_FiscalPeriod,AQ$1112,GD_Update_Date,AQ$1110)))</f>
        <v>NR</v>
      </c>
      <c r="AR1115" s="563" t="str">
        <f>IF(ISBLANK(AR$1112),"N/A",IF(COUNTIFS(GD_Item_FiscalPeriod,AR$1112,GD_Item_Name,$B1115,GD_Update_Date,AR$1110)=0,"NR",SUMIFS(GD_Guidance_Mid,GD_Item_Name,$B1115,GD_Item_FiscalPeriod,AR$1112,GD_Update_Date,AR$1110)))</f>
        <v>NR</v>
      </c>
      <c r="AS1115" s="563" t="str">
        <f>IF(ISBLANK(AS$1112),"N/A",IF(COUNTIFS(GD_Item_FiscalPeriod,AS$1112,GD_Item_Name,$B1115,GD_Update_Date,AS$1110)=0,"NR",SUMIFS(GD_Guidance_Mid,GD_Item_Name,$B1115,GD_Item_FiscalPeriod,AS$1112,GD_Update_Date,AS$1110)))</f>
        <v>NR</v>
      </c>
      <c r="AT1115" s="563" t="str">
        <f>IF(ISBLANK(AT$1112),"N/A",IF(COUNTIFS(GD_Item_FiscalPeriod,AT$1112,GD_Item_Name,$B1115,GD_Update_Date,AT$1110)=0,"NR",SUMIFS(GD_Guidance_Mid,GD_Item_Name,$B1115,GD_Item_FiscalPeriod,AT$1112,GD_Update_Date,AT$1110)))</f>
        <v>NR</v>
      </c>
      <c r="AU1115" s="563" t="str">
        <f>IF(ISBLANK(AU$1112),"N/A",IF(COUNTIFS(GD_Item_FiscalPeriod,AU$1112,GD_Item_Name,$B1115,GD_Update_Date,AU$1110)=0,"NR",SUMIFS(GD_Guidance_Mid,GD_Item_Name,$B1115,GD_Item_FiscalPeriod,AU$1112,GD_Update_Date,AU$1110)))</f>
        <v>NR</v>
      </c>
      <c r="AV1115" s="563" t="str">
        <f>IF(ISBLANK(AV$1112),"N/A",IF(COUNTIFS(GD_Item_FiscalPeriod,AV$1112,GD_Item_Name,$B1115,GD_Update_Date,AV$1110)=0,"NR",SUMIFS(GD_Guidance_Mid,GD_Item_Name,$B1115,GD_Item_FiscalPeriod,AV$1112,GD_Update_Date,AV$1110)))</f>
        <v>NR</v>
      </c>
      <c r="AW1115" s="563" t="str">
        <f>IF(ISBLANK(AW$1112),"N/A",IF(COUNTIFS(GD_Item_FiscalPeriod,AW$1112,GD_Item_Name,$B1115,GD_Update_Date,AW$1110)=0,"NR",SUMIFS(GD_Guidance_Mid,GD_Item_Name,$B1115,GD_Item_FiscalPeriod,AW$1112,GD_Update_Date,AW$1110)))</f>
        <v>NR</v>
      </c>
      <c r="AX1115" s="563" t="str">
        <f>IF(ISBLANK(AX$1112),"N/A",IF(COUNTIFS(GD_Item_FiscalPeriod,AX$1112,GD_Item_Name,$B1115,GD_Update_Date,AX$1110)=0,"NR",SUMIFS(GD_Guidance_Mid,GD_Item_Name,$B1115,GD_Item_FiscalPeriod,AX$1112,GD_Update_Date,AX$1110)))</f>
        <v>NR</v>
      </c>
      <c r="AY1115" s="563" t="str">
        <f>IF(ISBLANK(AY$1112),"N/A",IF(COUNTIFS(GD_Item_FiscalPeriod,AY$1112,GD_Item_Name,$B1115,GD_Update_Date,AY$1110)=0,"NR",SUMIFS(GD_Guidance_Mid,GD_Item_Name,$B1115,GD_Item_FiscalPeriod,AY$1112,GD_Update_Date,AY$1110)))</f>
        <v>NR</v>
      </c>
      <c r="AZ1115" s="563" t="str">
        <f>IF(ISBLANK(AZ$1112),"N/A",IF(COUNTIFS(GD_Item_FiscalPeriod,AZ$1112,GD_Item_Name,$B1115,GD_Update_Date,AZ$1110)=0,"NR",SUMIFS(GD_Guidance_Mid,GD_Item_Name,$B1115,GD_Item_FiscalPeriod,AZ$1112,GD_Update_Date,AZ$1110)))</f>
        <v>NR</v>
      </c>
      <c r="BA1115" s="563" t="str">
        <f>IF(ISBLANK(BA$1112),"N/A",IF(COUNTIFS(GD_Item_FiscalPeriod,BA$1112,GD_Item_Name,$B1115,GD_Update_Date,BA$1110)=0,"NR",SUMIFS(GD_Guidance_Mid,GD_Item_Name,$B1115,GD_Item_FiscalPeriod,BA$1112,GD_Update_Date,BA$1110)))</f>
        <v>NR</v>
      </c>
      <c r="BB1115" s="563" t="str">
        <f>IF(ISBLANK(BB$1112),"N/A",IF(COUNTIFS(GD_Item_FiscalPeriod,BB$1112,GD_Item_Name,$B1115,GD_Update_Date,BB$1110)=0,"NR",SUMIFS(GD_Guidance_Mid,GD_Item_Name,$B1115,GD_Item_FiscalPeriod,BB$1112,GD_Update_Date,BB$1110)))</f>
        <v>NR</v>
      </c>
      <c r="BC1115" s="563" t="str">
        <f>IF(ISBLANK(BC$1112),"N/A",IF(COUNTIFS(GD_Item_FiscalPeriod,BC$1112,GD_Item_Name,$B1115,GD_Update_Date,BC$1110)=0,"NR",SUMIFS(GD_Guidance_Mid,GD_Item_Name,$B1115,GD_Item_FiscalPeriod,BC$1112,GD_Update_Date,BC$1110)))</f>
        <v>NR</v>
      </c>
      <c r="BD1115" s="563" t="str">
        <f>IF(ISBLANK(BD$1112),"N/A",IF(COUNTIFS(GD_Item_FiscalPeriod,BD$1112,GD_Item_Name,$B1115,GD_Update_Date,BD$1110)=0,"NR",SUMIFS(GD_Guidance_Mid,GD_Item_Name,$B1115,GD_Item_FiscalPeriod,BD$1112,GD_Update_Date,BD$1110)))</f>
        <v>NR</v>
      </c>
      <c r="BE1115" s="563" t="str">
        <f>IF(ISBLANK(BE$1112),"N/A",IF(COUNTIFS(GD_Item_FiscalPeriod,BE$1112,GD_Item_Name,$B1115,GD_Update_Date,BE$1110)=0,"NR",SUMIFS(GD_Guidance_Mid,GD_Item_Name,$B1115,GD_Item_FiscalPeriod,BE$1112,GD_Update_Date,BE$1110)))</f>
        <v>NR</v>
      </c>
      <c r="BF1115" s="563" t="str">
        <f>IF(ISBLANK(BF$1112),"N/A",IF(COUNTIFS(GD_Item_FiscalPeriod,BF$1112,GD_Item_Name,$B1115,GD_Update_Date,BF$1110)=0,"NR",SUMIFS(GD_Guidance_Mid,GD_Item_Name,$B1115,GD_Item_FiscalPeriod,BF$1112,GD_Update_Date,BF$1110)))</f>
        <v>NR</v>
      </c>
      <c r="BG1115" s="563" t="str">
        <f>IF(ISBLANK(BG$1112),"N/A",IF(COUNTIFS(GD_Item_FiscalPeriod,BG$1112,GD_Item_Name,$B1115,GD_Update_Date,BG$1110)=0,"NR",SUMIFS(GD_Guidance_Mid,GD_Item_Name,$B1115,GD_Item_FiscalPeriod,BG$1112,GD_Update_Date,BG$1110)))</f>
        <v>NR</v>
      </c>
      <c r="BH1115" s="563" t="str">
        <f>IF(ISBLANK(BH$1112),"N/A",IF(COUNTIFS(GD_Item_FiscalPeriod,BH$1112,GD_Item_Name,$B1115,GD_Update_Date,BH$1110)=0,"NR",SUMIFS(GD_Guidance_Mid,GD_Item_Name,$B1115,GD_Item_FiscalPeriod,BH$1112,GD_Update_Date,BH$1110)))</f>
        <v>NR</v>
      </c>
      <c r="BI1115" s="563" t="str">
        <f>IF(ISBLANK(BI$1112),"N/A",IF(COUNTIFS(GD_Item_FiscalPeriod,BI$1112,GD_Item_Name,$B1115,GD_Update_Date,BI$1110)=0,"NR",SUMIFS(GD_Guidance_Mid,GD_Item_Name,$B1115,GD_Item_FiscalPeriod,BI$1112,GD_Update_Date,BI$1110)))</f>
        <v>NR</v>
      </c>
      <c r="BJ1115" s="563" t="str">
        <f>IF(ISBLANK(BJ$1112),"N/A",IF(COUNTIFS(GD_Item_FiscalPeriod,BJ$1112,GD_Item_Name,$B1115,GD_Update_Date,BJ$1110)=0,"NR",SUMIFS(GD_Guidance_Mid,GD_Item_Name,$B1115,GD_Item_FiscalPeriod,BJ$1112,GD_Update_Date,BJ$1110)))</f>
        <v>NR</v>
      </c>
      <c r="BK1115" s="563" t="str">
        <f>IF(ISBLANK(BK$1112),"N/A",IF(COUNTIFS(GD_Item_FiscalPeriod,BK$1112,GD_Item_Name,$B1115,GD_Update_Date,BK$1110)=0,"NR",SUMIFS(GD_Guidance_Mid,GD_Item_Name,$B1115,GD_Item_FiscalPeriod,BK$1112,GD_Update_Date,BK$1110)))</f>
        <v>NR</v>
      </c>
      <c r="BL1115" s="563" t="str">
        <f>IF(ISBLANK(BL$1112),"N/A",IF(COUNTIFS(GD_Item_FiscalPeriod,BL$1112,GD_Item_Name,$B1115,GD_Update_Date,BL$1110)=0,"NR",SUMIFS(GD_Guidance_Mid,GD_Item_Name,$B1115,GD_Item_FiscalPeriod,BL$1112,GD_Update_Date,BL$1110)))</f>
        <v>NR</v>
      </c>
      <c r="BM1115" s="563" t="str">
        <f>IF(ISBLANK(BM$1112),"N/A",IF(COUNTIFS(GD_Item_FiscalPeriod,BM$1112,GD_Item_Name,$B1115,GD_Update_Date,BM$1110)=0,"NR",SUMIFS(GD_Guidance_Mid,GD_Item_Name,$B1115,GD_Item_FiscalPeriod,BM$1112,GD_Update_Date,BM$1110)))</f>
        <v>NR</v>
      </c>
      <c r="BN1115" s="563" t="str">
        <f>IF(ISBLANK(BN$1112),"N/A",IF(COUNTIFS(GD_Item_FiscalPeriod,BN$1112,GD_Item_Name,$B1115,GD_Update_Date,BN$1110)=0,"NR",SUMIFS(GD_Guidance_Mid,GD_Item_Name,$B1115,GD_Item_FiscalPeriod,BN$1112,GD_Update_Date,BN$1110)))</f>
        <v>NR</v>
      </c>
      <c r="BO1115" s="563" t="str">
        <f>IF(ISBLANK(BO$1112),"N/A",IF(COUNTIFS(GD_Item_FiscalPeriod,BO$1112,GD_Item_Name,$B1115,GD_Update_Date,BO$1110)=0,"NR",SUMIFS(GD_Guidance_Mid,GD_Item_Name,$B1115,GD_Item_FiscalPeriod,BO$1112,GD_Update_Date,BO$1110)))</f>
        <v>NR</v>
      </c>
      <c r="BP1115" s="563" t="str">
        <f>IF(ISBLANK(BP$1112),"N/A",IF(COUNTIFS(GD_Item_FiscalPeriod,BP$1112,GD_Item_Name,$B1115,GD_Update_Date,BP$1110)=0,"NR",SUMIFS(GD_Guidance_Mid,GD_Item_Name,$B1115,GD_Item_FiscalPeriod,BP$1112,GD_Update_Date,BP$1110)))</f>
        <v>NR</v>
      </c>
      <c r="BQ1115" s="563" t="str">
        <f>IF(ISBLANK(BQ$1112),"N/A",IF(COUNTIFS(GD_Item_FiscalPeriod,BQ$1112,GD_Item_Name,$B1115,GD_Update_Date,BQ$1110)=0,"NR",SUMIFS(GD_Guidance_Mid,GD_Item_Name,$B1115,GD_Item_FiscalPeriod,BQ$1112,GD_Update_Date,BQ$1110)))</f>
        <v>NR</v>
      </c>
      <c r="BR1115" s="563" t="str">
        <f>IF(ISBLANK(BR$1112),"N/A",IF(COUNTIFS(GD_Item_FiscalPeriod,BR$1112,GD_Item_Name,$B1115,GD_Update_Date,BR$1110)=0,"NR",SUMIFS(GD_Guidance_Mid,GD_Item_Name,$B1115,GD_Item_FiscalPeriod,BR$1112,GD_Update_Date,BR$1110)))</f>
        <v>NR</v>
      </c>
      <c r="BS1115" s="563" t="str">
        <f>IF(ISBLANK(BS$1112),"N/A",IF(COUNTIFS(GD_Item_FiscalPeriod,BS$1112,GD_Item_Name,$B1115,GD_Update_Date,BS$1110)=0,"NR",SUMIFS(GD_Guidance_Mid,GD_Item_Name,$B1115,GD_Item_FiscalPeriod,BS$1112,GD_Update_Date,BS$1110)))</f>
        <v>NR</v>
      </c>
      <c r="BT1115" s="563" t="str">
        <f>IF(ISBLANK(BT$1112),"N/A",IF(COUNTIFS(GD_Item_FiscalPeriod,BT$1112,GD_Item_Name,$B1115,GD_Update_Date,BT$1110)=0,"NR",SUMIFS(GD_Guidance_Mid,GD_Item_Name,$B1115,GD_Item_FiscalPeriod,BT$1112,GD_Update_Date,BT$1110)))</f>
        <v>NR</v>
      </c>
      <c r="BU1115" s="563" t="str">
        <f>IF(ISBLANK(BU$1112),"N/A",IF(COUNTIFS(GD_Item_FiscalPeriod,BU$1112,GD_Item_Name,$B1115,GD_Update_Date,BU$1110)=0,"NR",SUMIFS(GD_Guidance_Mid,GD_Item_Name,$B1115,GD_Item_FiscalPeriod,BU$1112,GD_Update_Date,BU$1110)))</f>
        <v>NR</v>
      </c>
      <c r="BV1115" s="563" t="str">
        <f>IF(ISBLANK(BV$1112),"N/A",IF(COUNTIFS(GD_Item_FiscalPeriod,BV$1112,GD_Item_Name,$B1115,GD_Update_Date,BV$1110)=0,"NR",SUMIFS(GD_Guidance_Mid,GD_Item_Name,$B1115,GD_Item_FiscalPeriod,BV$1112,GD_Update_Date,BV$1110)))</f>
        <v>NR</v>
      </c>
      <c r="BW1115" s="563" t="str">
        <f>IF(ISBLANK(BW$1112),"N/A",IF(COUNTIFS(GD_Item_FiscalPeriod,BW$1112,GD_Item_Name,$B1115,GD_Update_Date,BW$1110)=0,"NR",SUMIFS(GD_Guidance_Mid,GD_Item_Name,$B1115,GD_Item_FiscalPeriod,BW$1112,GD_Update_Date,BW$1110)))</f>
        <v>NR</v>
      </c>
      <c r="BX1115" s="563" t="str">
        <f>IF(ISBLANK(BX$1112),"N/A",IF(COUNTIFS(GD_Item_FiscalPeriod,BX$1112,GD_Item_Name,$B1115,GD_Update_Date,BX$1110)=0,"NR",SUMIFS(GD_Guidance_Mid,GD_Item_Name,$B1115,GD_Item_FiscalPeriod,BX$1112,GD_Update_Date,BX$1110)))</f>
        <v>NR</v>
      </c>
      <c r="BY1115" s="731" t="str">
        <f>IF(ISBLANK(BY$1112),"N/A",IF(COUNTIFS(GD_Item_FiscalPeriod,BY$1112,GD_Item_Name,$B1115,GD_Update_Date,BY$1110)=0,"NR",SUMIFS(GD_Guidance_Mid,GD_Item_Name,$B1115,GD_Item_FiscalPeriod,BY$1112,GD_Update_Date,BY$1110)))</f>
        <v>NR</v>
      </c>
      <c r="BZ1115" s="563" t="str">
        <f>IF(ISBLANK(BZ$1112),"N/A",IF(COUNTIFS(GD_Item_FiscalPeriod,BZ$1112,GD_Item_Name,$B1115,GD_Update_Date,BZ$1110)=0,"NR",SUMIFS(GD_Guidance_Mid,GD_Item_Name,$B1115,GD_Item_FiscalPeriod,BZ$1112,GD_Update_Date,BZ$1110)))</f>
        <v>N/A</v>
      </c>
      <c r="CA1115" s="563" t="str">
        <f>IF(ISBLANK(CA$1112),"N/A",IF(COUNTIFS(GD_Item_FiscalPeriod,CA$1112,GD_Item_Name,$B1115,GD_Update_Date,CA$1110)=0,"NR",SUMIFS(GD_Guidance_Mid,GD_Item_Name,$B1115,GD_Item_FiscalPeriod,CA$1112,GD_Update_Date,CA$1110)))</f>
        <v>N/A</v>
      </c>
      <c r="CB1115" s="563" t="str">
        <f>IF(ISBLANK(CB$1112),"N/A",IF(COUNTIFS(GD_Item_FiscalPeriod,CB$1112,GD_Item_Name,$B1115,GD_Update_Date,CB$1110)=0,"NR",SUMIFS(GD_Guidance_Mid,GD_Item_Name,$B1115,GD_Item_FiscalPeriod,CB$1112,GD_Update_Date,CB$1110)))</f>
        <v>N/A</v>
      </c>
      <c r="CC1115" s="563" t="str">
        <f>IF(ISBLANK(CC$1112),"N/A",IF(COUNTIFS(GD_Item_FiscalPeriod,CC$1112,GD_Item_Name,$B1115,GD_Update_Date,CC$1110)=0,"NR",SUMIFS(GD_Guidance_Mid,GD_Item_Name,$B1115,GD_Item_FiscalPeriod,CC$1112,GD_Update_Date,CC$1110)))</f>
        <v>N/A</v>
      </c>
      <c r="CD1115" s="563" t="str">
        <f>IF(ISBLANK(CD$1112),"N/A",IF(COUNTIFS(GD_Item_FiscalPeriod,CD$1112,GD_Item_Name,$B1115,GD_Update_Date,CD$1110)=0,"NR",SUMIFS(GD_Guidance_Mid,GD_Item_Name,$B1115,GD_Item_FiscalPeriod,CD$1112,GD_Update_Date,CD$1110)))</f>
        <v>N/A</v>
      </c>
      <c r="CE1115" s="563" t="str">
        <f>IF(ISBLANK(CE$1112),"N/A",IF(COUNTIFS(GD_Item_FiscalPeriod,CE$1112,GD_Item_Name,$B1115,GD_Update_Date,CE$1110)=0,"NR",SUMIFS(GD_Guidance_Mid,GD_Item_Name,$B1115,GD_Item_FiscalPeriod,CE$1112,GD_Update_Date,CE$1110)))</f>
        <v>N/A</v>
      </c>
      <c r="CF1115" s="563" t="str">
        <f>IF(ISBLANK(CF$1112),"N/A",IF(COUNTIFS(GD_Item_FiscalPeriod,CF$1112,GD_Item_Name,$B1115,GD_Update_Date,CF$1110)=0,"NR",SUMIFS(GD_Guidance_Mid,GD_Item_Name,$B1115,GD_Item_FiscalPeriod,CF$1112,GD_Update_Date,CF$1110)))</f>
        <v>N/A</v>
      </c>
      <c r="CG1115" s="563" t="str">
        <f>IF(ISBLANK(CG$1112),"N/A",IF(COUNTIFS(GD_Item_FiscalPeriod,CG$1112,GD_Item_Name,$B1115,GD_Update_Date,CG$1110)=0,"NR",SUMIFS(GD_Guidance_Mid,GD_Item_Name,$B1115,GD_Item_FiscalPeriod,CG$1112,GD_Update_Date,CG$1110)))</f>
        <v>N/A</v>
      </c>
      <c r="CH1115" s="563" t="str">
        <f>IF(ISBLANK(CH$1112),"N/A",IF(COUNTIFS(GD_Item_FiscalPeriod,CH$1112,GD_Item_Name,$B1115,GD_Update_Date,CH$1110)=0,"NR",SUMIFS(GD_Guidance_Mid,GD_Item_Name,$B1115,GD_Item_FiscalPeriod,CH$1112,GD_Update_Date,CH$1110)))</f>
        <v>N/A</v>
      </c>
      <c r="CI1115" s="563" t="str">
        <f>IF(ISBLANK(CI$1112),"N/A",IF(COUNTIFS(GD_Item_FiscalPeriod,CI$1112,GD_Item_Name,$B1115,GD_Update_Date,CI$1110)=0,"NR",SUMIFS(GD_Guidance_Mid,GD_Item_Name,$B1115,GD_Item_FiscalPeriod,CI$1112,GD_Update_Date,CI$1110)))</f>
        <v>N/A</v>
      </c>
      <c r="CJ1115" s="563" t="str">
        <f>IF(ISBLANK(CJ$1112),"N/A",IF(COUNTIFS(GD_Item_FiscalPeriod,CJ$1112,GD_Item_Name,$B1115,GD_Update_Date,CJ$1110)=0,"NR",SUMIFS(GD_Guidance_Mid,GD_Item_Name,$B1115,GD_Item_FiscalPeriod,CJ$1112,GD_Update_Date,CJ$1110)))</f>
        <v>N/A</v>
      </c>
      <c r="CK1115" s="794" t="str">
        <f>IF(ISBLANK(CK$1112),"N/A",IF(COUNTIFS(GD_Item_FiscalPeriod,CK$1112,GD_Item_Name,$B1115,GD_Update_Date,CK$1110)=0,"NR",SUMIFS(GD_Guidance_Mid,GD_Item_Name,$B1115,GD_Item_FiscalPeriod,CK$1112,GD_Update_Date,CK$1110)))</f>
        <v>N/A</v>
      </c>
      <c r="CL1115" s="155"/>
    </row>
    <row r="1116" spans="1:90" x14ac:dyDescent="0.3">
      <c r="A1116" s="795" t="s">
        <v>943</v>
      </c>
      <c r="B1116" s="1069" t="s">
        <v>304</v>
      </c>
      <c r="C1116" s="1038"/>
      <c r="D1116" s="1038"/>
      <c r="E1116" s="594"/>
      <c r="F1116" s="594"/>
      <c r="G1116" s="594"/>
      <c r="H1116" s="594"/>
      <c r="I1116" s="594"/>
      <c r="J1116" s="594"/>
      <c r="K1116" s="594"/>
      <c r="L1116" s="594"/>
      <c r="M1116" s="594"/>
      <c r="N1116" s="594"/>
      <c r="O1116" s="594"/>
      <c r="P1116" s="594"/>
      <c r="Q1116" s="594"/>
      <c r="R1116" s="594"/>
      <c r="S1116" s="594"/>
      <c r="T1116" s="594"/>
      <c r="U1116" s="594"/>
      <c r="V1116" s="594"/>
      <c r="W1116" s="594"/>
      <c r="X1116" s="594"/>
      <c r="Y1116" s="594"/>
      <c r="Z1116" s="594"/>
      <c r="AA1116" s="594"/>
      <c r="AB1116" s="594"/>
      <c r="AC1116" s="594"/>
      <c r="AD1116" s="594"/>
      <c r="AE1116" s="594"/>
      <c r="AF1116" s="594"/>
      <c r="AG1116" s="594"/>
      <c r="AH1116" s="594" t="str">
        <f>IF(ISBLANK(AH$1112),"N/A",IF(COUNTIFS(GD_Item_FiscalPeriod,AH$1112,GD_Item_Name,$B1116,GD_Update_Date,AH$1110)=0,"NR",SUMIFS(GD_Guidance_Low,GD_Item_Name,$B1116,GD_Item_FiscalPeriod,AH$1112,GD_Update_Date,AH$1110)))</f>
        <v>NR</v>
      </c>
      <c r="AI1116" s="594" t="str">
        <f>IF(ISBLANK(AI$1112),"N/A",IF(COUNTIFS(GD_Item_FiscalPeriod,AI$1112,GD_Item_Name,$B1116,GD_Update_Date,AI$1110)=0,"NR",SUMIFS(GD_Guidance_Low,GD_Item_Name,$B1116,GD_Item_FiscalPeriod,AI$1112,GD_Update_Date,AI$1110)))</f>
        <v>NR</v>
      </c>
      <c r="AJ1116" s="594" t="str">
        <f>IF(ISBLANK(AJ$1112),"N/A",IF(COUNTIFS(GD_Item_FiscalPeriod,AJ$1112,GD_Item_Name,$B1116,GD_Update_Date,AJ$1110)=0,"NR",SUMIFS(GD_Guidance_Low,GD_Item_Name,$B1116,GD_Item_FiscalPeriod,AJ$1112,GD_Update_Date,AJ$1110)))</f>
        <v>NR</v>
      </c>
      <c r="AK1116" s="594" t="str">
        <f>IF(ISBLANK(AK$1112),"N/A",IF(COUNTIFS(GD_Item_FiscalPeriod,AK$1112,GD_Item_Name,$B1116,GD_Update_Date,AK$1110)=0,"NR",SUMIFS(GD_Guidance_Low,GD_Item_Name,$B1116,GD_Item_FiscalPeriod,AK$1112,GD_Update_Date,AK$1110)))</f>
        <v>NR</v>
      </c>
      <c r="AL1116" s="594" t="str">
        <f>IF(ISBLANK(AL$1112),"N/A",IF(COUNTIFS(GD_Item_FiscalPeriod,AL$1112,GD_Item_Name,$B1116,GD_Update_Date,AL$1110)=0,"NR",SUMIFS(GD_Guidance_Low,GD_Item_Name,$B1116,GD_Item_FiscalPeriod,AL$1112,GD_Update_Date,AL$1110)))</f>
        <v>NR</v>
      </c>
      <c r="AM1116" s="594" t="str">
        <f>IF(ISBLANK(AM$1112),"N/A",IF(COUNTIFS(GD_Item_FiscalPeriod,AM$1112,GD_Item_Name,$B1116,GD_Update_Date,AM$1110)=0,"NR",SUMIFS(GD_Guidance_Low,GD_Item_Name,$B1116,GD_Item_FiscalPeriod,AM$1112,GD_Update_Date,AM$1110)))</f>
        <v>NR</v>
      </c>
      <c r="AN1116" s="594" t="str">
        <f>IF(ISBLANK(AN$1112),"N/A",IF(COUNTIFS(GD_Item_FiscalPeriod,AN$1112,GD_Item_Name,$B1116,GD_Update_Date,AN$1110)=0,"NR",SUMIFS(GD_Guidance_Low,GD_Item_Name,$B1116,GD_Item_FiscalPeriod,AN$1112,GD_Update_Date,AN$1110)))</f>
        <v>NR</v>
      </c>
      <c r="AO1116" s="594" t="str">
        <f>IF(ISBLANK(AO$1112),"N/A",IF(COUNTIFS(GD_Item_FiscalPeriod,AO$1112,GD_Item_Name,$B1116,GD_Update_Date,AO$1110)=0,"NR",SUMIFS(GD_Guidance_Low,GD_Item_Name,$B1116,GD_Item_FiscalPeriod,AO$1112,GD_Update_Date,AO$1110)))</f>
        <v>NR</v>
      </c>
      <c r="AP1116" s="594" t="str">
        <f>IF(ISBLANK(AP$1112),"N/A",IF(COUNTIFS(GD_Item_FiscalPeriod,AP$1112,GD_Item_Name,$B1116,GD_Update_Date,AP$1110)=0,"NR",SUMIFS(GD_Guidance_Low,GD_Item_Name,$B1116,GD_Item_FiscalPeriod,AP$1112,GD_Update_Date,AP$1110)))</f>
        <v>NR</v>
      </c>
      <c r="AQ1116" s="594" t="str">
        <f>IF(ISBLANK(AQ$1112),"N/A",IF(COUNTIFS(GD_Item_FiscalPeriod,AQ$1112,GD_Item_Name,$B1116,GD_Update_Date,AQ$1110)=0,"NR",SUMIFS(GD_Guidance_Low,GD_Item_Name,$B1116,GD_Item_FiscalPeriod,AQ$1112,GD_Update_Date,AQ$1110)))</f>
        <v>NR</v>
      </c>
      <c r="AR1116" s="594" t="str">
        <f>IF(ISBLANK(AR$1112),"N/A",IF(COUNTIFS(GD_Item_FiscalPeriod,AR$1112,GD_Item_Name,$B1116,GD_Update_Date,AR$1110)=0,"NR",SUMIFS(GD_Guidance_Low,GD_Item_Name,$B1116,GD_Item_FiscalPeriod,AR$1112,GD_Update_Date,AR$1110)))</f>
        <v>NR</v>
      </c>
      <c r="AS1116" s="594" t="str">
        <f>IF(ISBLANK(AS$1112),"N/A",IF(COUNTIFS(GD_Item_FiscalPeriod,AS$1112,GD_Item_Name,$B1116,GD_Update_Date,AS$1110)=0,"NR",SUMIFS(GD_Guidance_Low,GD_Item_Name,$B1116,GD_Item_FiscalPeriod,AS$1112,GD_Update_Date,AS$1110)))</f>
        <v>NR</v>
      </c>
      <c r="AT1116" s="594" t="str">
        <f>IF(ISBLANK(AT$1112),"N/A",IF(COUNTIFS(GD_Item_FiscalPeriod,AT$1112,GD_Item_Name,$B1116,GD_Update_Date,AT$1110)=0,"NR",SUMIFS(GD_Guidance_Low,GD_Item_Name,$B1116,GD_Item_FiscalPeriod,AT$1112,GD_Update_Date,AT$1110)))</f>
        <v>NR</v>
      </c>
      <c r="AU1116" s="594" t="str">
        <f>IF(ISBLANK(AU$1112),"N/A",IF(COUNTIFS(GD_Item_FiscalPeriod,AU$1112,GD_Item_Name,$B1116,GD_Update_Date,AU$1110)=0,"NR",SUMIFS(GD_Guidance_Low,GD_Item_Name,$B1116,GD_Item_FiscalPeriod,AU$1112,GD_Update_Date,AU$1110)))</f>
        <v>NR</v>
      </c>
      <c r="AV1116" s="594" t="str">
        <f>IF(ISBLANK(AV$1112),"N/A",IF(COUNTIFS(GD_Item_FiscalPeriod,AV$1112,GD_Item_Name,$B1116,GD_Update_Date,AV$1110)=0,"NR",SUMIFS(GD_Guidance_Low,GD_Item_Name,$B1116,GD_Item_FiscalPeriod,AV$1112,GD_Update_Date,AV$1110)))</f>
        <v>NR</v>
      </c>
      <c r="AW1116" s="594" t="str">
        <f>IF(ISBLANK(AW$1112),"N/A",IF(COUNTIFS(GD_Item_FiscalPeriod,AW$1112,GD_Item_Name,$B1116,GD_Update_Date,AW$1110)=0,"NR",SUMIFS(GD_Guidance_Low,GD_Item_Name,$B1116,GD_Item_FiscalPeriod,AW$1112,GD_Update_Date,AW$1110)))</f>
        <v>NR</v>
      </c>
      <c r="AX1116" s="594" t="str">
        <f>IF(ISBLANK(AX$1112),"N/A",IF(COUNTIFS(GD_Item_FiscalPeriod,AX$1112,GD_Item_Name,$B1116,GD_Update_Date,AX$1110)=0,"NR",SUMIFS(GD_Guidance_Low,GD_Item_Name,$B1116,GD_Item_FiscalPeriod,AX$1112,GD_Update_Date,AX$1110)))</f>
        <v>NR</v>
      </c>
      <c r="AY1116" s="594" t="str">
        <f>IF(ISBLANK(AY$1112),"N/A",IF(COUNTIFS(GD_Item_FiscalPeriod,AY$1112,GD_Item_Name,$B1116,GD_Update_Date,AY$1110)=0,"NR",SUMIFS(GD_Guidance_Low,GD_Item_Name,$B1116,GD_Item_FiscalPeriod,AY$1112,GD_Update_Date,AY$1110)))</f>
        <v>NR</v>
      </c>
      <c r="AZ1116" s="594" t="str">
        <f>IF(ISBLANK(AZ$1112),"N/A",IF(COUNTIFS(GD_Item_FiscalPeriod,AZ$1112,GD_Item_Name,$B1116,GD_Update_Date,AZ$1110)=0,"NR",SUMIFS(GD_Guidance_Low,GD_Item_Name,$B1116,GD_Item_FiscalPeriod,AZ$1112,GD_Update_Date,AZ$1110)))</f>
        <v>NR</v>
      </c>
      <c r="BA1116" s="594" t="str">
        <f>IF(ISBLANK(BA$1112),"N/A",IF(COUNTIFS(GD_Item_FiscalPeriod,BA$1112,GD_Item_Name,$B1116,GD_Update_Date,BA$1110)=0,"NR",SUMIFS(GD_Guidance_Low,GD_Item_Name,$B1116,GD_Item_FiscalPeriod,BA$1112,GD_Update_Date,BA$1110)))</f>
        <v>NR</v>
      </c>
      <c r="BB1116" s="594" t="str">
        <f>IF(ISBLANK(BB$1112),"N/A",IF(COUNTIFS(GD_Item_FiscalPeriod,BB$1112,GD_Item_Name,$B1116,GD_Update_Date,BB$1110)=0,"NR",SUMIFS(GD_Guidance_Low,GD_Item_Name,$B1116,GD_Item_FiscalPeriod,BB$1112,GD_Update_Date,BB$1110)))</f>
        <v>NR</v>
      </c>
      <c r="BC1116" s="594" t="str">
        <f>IF(ISBLANK(BC$1112),"N/A",IF(COUNTIFS(GD_Item_FiscalPeriod,BC$1112,GD_Item_Name,$B1116,GD_Update_Date,BC$1110)=0,"NR",SUMIFS(GD_Guidance_Low,GD_Item_Name,$B1116,GD_Item_FiscalPeriod,BC$1112,GD_Update_Date,BC$1110)))</f>
        <v>NR</v>
      </c>
      <c r="BD1116" s="594" t="str">
        <f>IF(ISBLANK(BD$1112),"N/A",IF(COUNTIFS(GD_Item_FiscalPeriod,BD$1112,GD_Item_Name,$B1116,GD_Update_Date,BD$1110)=0,"NR",SUMIFS(GD_Guidance_Low,GD_Item_Name,$B1116,GD_Item_FiscalPeriod,BD$1112,GD_Update_Date,BD$1110)))</f>
        <v>NR</v>
      </c>
      <c r="BE1116" s="594" t="str">
        <f>IF(ISBLANK(BE$1112),"N/A",IF(COUNTIFS(GD_Item_FiscalPeriod,BE$1112,GD_Item_Name,$B1116,GD_Update_Date,BE$1110)=0,"NR",SUMIFS(GD_Guidance_Low,GD_Item_Name,$B1116,GD_Item_FiscalPeriod,BE$1112,GD_Update_Date,BE$1110)))</f>
        <v>NR</v>
      </c>
      <c r="BF1116" s="594" t="str">
        <f>IF(ISBLANK(BF$1112),"N/A",IF(COUNTIFS(GD_Item_FiscalPeriod,BF$1112,GD_Item_Name,$B1116,GD_Update_Date,BF$1110)=0,"NR",SUMIFS(GD_Guidance_Low,GD_Item_Name,$B1116,GD_Item_FiscalPeriod,BF$1112,GD_Update_Date,BF$1110)))</f>
        <v>NR</v>
      </c>
      <c r="BG1116" s="594" t="str">
        <f>IF(ISBLANK(BG$1112),"N/A",IF(COUNTIFS(GD_Item_FiscalPeriod,BG$1112,GD_Item_Name,$B1116,GD_Update_Date,BG$1110)=0,"NR",SUMIFS(GD_Guidance_Low,GD_Item_Name,$B1116,GD_Item_FiscalPeriod,BG$1112,GD_Update_Date,BG$1110)))</f>
        <v>NR</v>
      </c>
      <c r="BH1116" s="594" t="str">
        <f>IF(ISBLANK(BH$1112),"N/A",IF(COUNTIFS(GD_Item_FiscalPeriod,BH$1112,GD_Item_Name,$B1116,GD_Update_Date,BH$1110)=0,"NR",SUMIFS(GD_Guidance_Low,GD_Item_Name,$B1116,GD_Item_FiscalPeriod,BH$1112,GD_Update_Date,BH$1110)))</f>
        <v>NR</v>
      </c>
      <c r="BI1116" s="594" t="str">
        <f>IF(ISBLANK(BI$1112),"N/A",IF(COUNTIFS(GD_Item_FiscalPeriod,BI$1112,GD_Item_Name,$B1116,GD_Update_Date,BI$1110)=0,"NR",SUMIFS(GD_Guidance_Low,GD_Item_Name,$B1116,GD_Item_FiscalPeriod,BI$1112,GD_Update_Date,BI$1110)))</f>
        <v>NR</v>
      </c>
      <c r="BJ1116" s="594" t="str">
        <f>IF(ISBLANK(BJ$1112),"N/A",IF(COUNTIFS(GD_Item_FiscalPeriod,BJ$1112,GD_Item_Name,$B1116,GD_Update_Date,BJ$1110)=0,"NR",SUMIFS(GD_Guidance_Low,GD_Item_Name,$B1116,GD_Item_FiscalPeriod,BJ$1112,GD_Update_Date,BJ$1110)))</f>
        <v>NR</v>
      </c>
      <c r="BK1116" s="594" t="str">
        <f>IF(ISBLANK(BK$1112),"N/A",IF(COUNTIFS(GD_Item_FiscalPeriod,BK$1112,GD_Item_Name,$B1116,GD_Update_Date,BK$1110)=0,"NR",SUMIFS(GD_Guidance_Low,GD_Item_Name,$B1116,GD_Item_FiscalPeriod,BK$1112,GD_Update_Date,BK$1110)))</f>
        <v>NR</v>
      </c>
      <c r="BL1116" s="594" t="str">
        <f>IF(ISBLANK(BL$1112),"N/A",IF(COUNTIFS(GD_Item_FiscalPeriod,BL$1112,GD_Item_Name,$B1116,GD_Update_Date,BL$1110)=0,"NR",SUMIFS(GD_Guidance_Low,GD_Item_Name,$B1116,GD_Item_FiscalPeriod,BL$1112,GD_Update_Date,BL$1110)))</f>
        <v>NR</v>
      </c>
      <c r="BM1116" s="594" t="str">
        <f>IF(ISBLANK(BM$1112),"N/A",IF(COUNTIFS(GD_Item_FiscalPeriod,BM$1112,GD_Item_Name,$B1116,GD_Update_Date,BM$1110)=0,"NR",SUMIFS(GD_Guidance_Low,GD_Item_Name,$B1116,GD_Item_FiscalPeriod,BM$1112,GD_Update_Date,BM$1110)))</f>
        <v>NR</v>
      </c>
      <c r="BN1116" s="594" t="str">
        <f>IF(ISBLANK(BN$1112),"N/A",IF(COUNTIFS(GD_Item_FiscalPeriod,BN$1112,GD_Item_Name,$B1116,GD_Update_Date,BN$1110)=0,"NR",SUMIFS(GD_Guidance_Low,GD_Item_Name,$B1116,GD_Item_FiscalPeriod,BN$1112,GD_Update_Date,BN$1110)))</f>
        <v>NR</v>
      </c>
      <c r="BO1116" s="594">
        <f>IF(ISBLANK(BO$1112),"N/A",IF(COUNTIFS(GD_Item_FiscalPeriod,BO$1112,GD_Item_Name,$B1116,GD_Update_Date,BO$1110)=0,"NR",SUMIFS(GD_Guidance_Low,GD_Item_Name,$B1116,GD_Item_FiscalPeriod,BO$1112,GD_Update_Date,BO$1110)))</f>
        <v>0.74</v>
      </c>
      <c r="BP1116" s="594">
        <f>IF(ISBLANK(BP$1112),"N/A",IF(COUNTIFS(GD_Item_FiscalPeriod,BP$1112,GD_Item_Name,$B1116,GD_Update_Date,BP$1110)=0,"NR",SUMIFS(GD_Guidance_Low,GD_Item_Name,$B1116,GD_Item_FiscalPeriod,BP$1112,GD_Update_Date,BP$1110)))</f>
        <v>0.74</v>
      </c>
      <c r="BQ1116" s="594" t="str">
        <f>IF(ISBLANK(BQ$1112),"N/A",IF(COUNTIFS(GD_Item_FiscalPeriod,BQ$1112,GD_Item_Name,$B1116,GD_Update_Date,BQ$1110)=0,"NR",SUMIFS(GD_Guidance_Low,GD_Item_Name,$B1116,GD_Item_FiscalPeriod,BQ$1112,GD_Update_Date,BQ$1110)))</f>
        <v>NR</v>
      </c>
      <c r="BR1116" s="594" t="str">
        <f>IF(ISBLANK(BR$1112),"N/A",IF(COUNTIFS(GD_Item_FiscalPeriod,BR$1112,GD_Item_Name,$B1116,GD_Update_Date,BR$1110)=0,"NR",SUMIFS(GD_Guidance_Low,GD_Item_Name,$B1116,GD_Item_FiscalPeriod,BR$1112,GD_Update_Date,BR$1110)))</f>
        <v>NR</v>
      </c>
      <c r="BS1116" s="594" t="str">
        <f>IF(ISBLANK(BS$1112),"N/A",IF(COUNTIFS(GD_Item_FiscalPeriod,BS$1112,GD_Item_Name,$B1116,GD_Update_Date,BS$1110)=0,"NR",SUMIFS(GD_Guidance_Low,GD_Item_Name,$B1116,GD_Item_FiscalPeriod,BS$1112,GD_Update_Date,BS$1110)))</f>
        <v>NR</v>
      </c>
      <c r="BT1116" s="594" t="str">
        <f>IF(ISBLANK(BT$1112),"N/A",IF(COUNTIFS(GD_Item_FiscalPeriod,BT$1112,GD_Item_Name,$B1116,GD_Update_Date,BT$1110)=0,"NR",SUMIFS(GD_Guidance_Low,GD_Item_Name,$B1116,GD_Item_FiscalPeriod,BT$1112,GD_Update_Date,BT$1110)))</f>
        <v>NR</v>
      </c>
      <c r="BU1116" s="594" t="str">
        <f>IF(ISBLANK(BU$1112),"N/A",IF(COUNTIFS(GD_Item_FiscalPeriod,BU$1112,GD_Item_Name,$B1116,GD_Update_Date,BU$1110)=0,"NR",SUMIFS(GD_Guidance_Low,GD_Item_Name,$B1116,GD_Item_FiscalPeriod,BU$1112,GD_Update_Date,BU$1110)))</f>
        <v>NR</v>
      </c>
      <c r="BV1116" s="594" t="str">
        <f>IF(ISBLANK(BV$1112),"N/A",IF(COUNTIFS(GD_Item_FiscalPeriod,BV$1112,GD_Item_Name,$B1116,GD_Update_Date,BV$1110)=0,"NR",SUMIFS(GD_Guidance_Low,GD_Item_Name,$B1116,GD_Item_FiscalPeriod,BV$1112,GD_Update_Date,BV$1110)))</f>
        <v>NR</v>
      </c>
      <c r="BW1116" s="594" t="str">
        <f>IF(ISBLANK(BW$1112),"N/A",IF(COUNTIFS(GD_Item_FiscalPeriod,BW$1112,GD_Item_Name,$B1116,GD_Update_Date,BW$1110)=0,"NR",SUMIFS(GD_Guidance_Low,GD_Item_Name,$B1116,GD_Item_FiscalPeriod,BW$1112,GD_Update_Date,BW$1110)))</f>
        <v>NR</v>
      </c>
      <c r="BX1116" s="594" t="str">
        <f>IF(ISBLANK(BX$1112),"N/A",IF(COUNTIFS(GD_Item_FiscalPeriod,BX$1112,GD_Item_Name,$B1116,GD_Update_Date,BX$1110)=0,"NR",SUMIFS(GD_Guidance_Low,GD_Item_Name,$B1116,GD_Item_FiscalPeriod,BX$1112,GD_Update_Date,BX$1110)))</f>
        <v>NR</v>
      </c>
      <c r="BY1116" s="732" t="str">
        <f>IF(ISBLANK(BY$1112),"N/A",IF(COUNTIFS(GD_Item_FiscalPeriod,BY$1112,GD_Item_Name,$B1116,GD_Update_Date,BY$1110)=0,"NR",SUMIFS(GD_Guidance_Low,GD_Item_Name,$B1116,GD_Item_FiscalPeriod,BY$1112,GD_Update_Date,BY$1110)))</f>
        <v>NR</v>
      </c>
      <c r="BZ1116" s="594" t="str">
        <f>IF(ISBLANK(BZ$1112),"N/A",IF(COUNTIFS(GD_Item_FiscalPeriod,BZ$1112,GD_Item_Name,$B1116,GD_Update_Date,BZ$1110)=0,"NR",SUMIFS(GD_Guidance_Low,GD_Item_Name,$B1116,GD_Item_FiscalPeriod,BZ$1112,GD_Update_Date,BZ$1110)))</f>
        <v>N/A</v>
      </c>
      <c r="CA1116" s="594" t="str">
        <f>IF(ISBLANK(CA$1112),"N/A",IF(COUNTIFS(GD_Item_FiscalPeriod,CA$1112,GD_Item_Name,$B1116,GD_Update_Date,CA$1110)=0,"NR",SUMIFS(GD_Guidance_Low,GD_Item_Name,$B1116,GD_Item_FiscalPeriod,CA$1112,GD_Update_Date,CA$1110)))</f>
        <v>N/A</v>
      </c>
      <c r="CB1116" s="594" t="str">
        <f>IF(ISBLANK(CB$1112),"N/A",IF(COUNTIFS(GD_Item_FiscalPeriod,CB$1112,GD_Item_Name,$B1116,GD_Update_Date,CB$1110)=0,"NR",SUMIFS(GD_Guidance_Low,GD_Item_Name,$B1116,GD_Item_FiscalPeriod,CB$1112,GD_Update_Date,CB$1110)))</f>
        <v>N/A</v>
      </c>
      <c r="CC1116" s="594" t="str">
        <f>IF(ISBLANK(CC$1112),"N/A",IF(COUNTIFS(GD_Item_FiscalPeriod,CC$1112,GD_Item_Name,$B1116,GD_Update_Date,CC$1110)=0,"NR",SUMIFS(GD_Guidance_Low,GD_Item_Name,$B1116,GD_Item_FiscalPeriod,CC$1112,GD_Update_Date,CC$1110)))</f>
        <v>N/A</v>
      </c>
      <c r="CD1116" s="594" t="str">
        <f>IF(ISBLANK(CD$1112),"N/A",IF(COUNTIFS(GD_Item_FiscalPeriod,CD$1112,GD_Item_Name,$B1116,GD_Update_Date,CD$1110)=0,"NR",SUMIFS(GD_Guidance_Low,GD_Item_Name,$B1116,GD_Item_FiscalPeriod,CD$1112,GD_Update_Date,CD$1110)))</f>
        <v>N/A</v>
      </c>
      <c r="CE1116" s="594" t="str">
        <f>IF(ISBLANK(CE$1112),"N/A",IF(COUNTIFS(GD_Item_FiscalPeriod,CE$1112,GD_Item_Name,$B1116,GD_Update_Date,CE$1110)=0,"NR",SUMIFS(GD_Guidance_Low,GD_Item_Name,$B1116,GD_Item_FiscalPeriod,CE$1112,GD_Update_Date,CE$1110)))</f>
        <v>N/A</v>
      </c>
      <c r="CF1116" s="594" t="str">
        <f>IF(ISBLANK(CF$1112),"N/A",IF(COUNTIFS(GD_Item_FiscalPeriod,CF$1112,GD_Item_Name,$B1116,GD_Update_Date,CF$1110)=0,"NR",SUMIFS(GD_Guidance_Low,GD_Item_Name,$B1116,GD_Item_FiscalPeriod,CF$1112,GD_Update_Date,CF$1110)))</f>
        <v>N/A</v>
      </c>
      <c r="CG1116" s="594" t="str">
        <f>IF(ISBLANK(CG$1112),"N/A",IF(COUNTIFS(GD_Item_FiscalPeriod,CG$1112,GD_Item_Name,$B1116,GD_Update_Date,CG$1110)=0,"NR",SUMIFS(GD_Guidance_Low,GD_Item_Name,$B1116,GD_Item_FiscalPeriod,CG$1112,GD_Update_Date,CG$1110)))</f>
        <v>N/A</v>
      </c>
      <c r="CH1116" s="594" t="str">
        <f>IF(ISBLANK(CH$1112),"N/A",IF(COUNTIFS(GD_Item_FiscalPeriod,CH$1112,GD_Item_Name,$B1116,GD_Update_Date,CH$1110)=0,"NR",SUMIFS(GD_Guidance_Low,GD_Item_Name,$B1116,GD_Item_FiscalPeriod,CH$1112,GD_Update_Date,CH$1110)))</f>
        <v>N/A</v>
      </c>
      <c r="CI1116" s="594" t="str">
        <f>IF(ISBLANK(CI$1112),"N/A",IF(COUNTIFS(GD_Item_FiscalPeriod,CI$1112,GD_Item_Name,$B1116,GD_Update_Date,CI$1110)=0,"NR",SUMIFS(GD_Guidance_Low,GD_Item_Name,$B1116,GD_Item_FiscalPeriod,CI$1112,GD_Update_Date,CI$1110)))</f>
        <v>N/A</v>
      </c>
      <c r="CJ1116" s="594" t="str">
        <f>IF(ISBLANK(CJ$1112),"N/A",IF(COUNTIFS(GD_Item_FiscalPeriod,CJ$1112,GD_Item_Name,$B1116,GD_Update_Date,CJ$1110)=0,"NR",SUMIFS(GD_Guidance_Low,GD_Item_Name,$B1116,GD_Item_FiscalPeriod,CJ$1112,GD_Update_Date,CJ$1110)))</f>
        <v>N/A</v>
      </c>
      <c r="CK1116" s="796" t="str">
        <f>IF(ISBLANK(CK$1112),"N/A",IF(COUNTIFS(GD_Item_FiscalPeriod,CK$1112,GD_Item_Name,$B1116,GD_Update_Date,CK$1110)=0,"NR",SUMIFS(GD_Guidance_Low,GD_Item_Name,$B1116,GD_Item_FiscalPeriod,CK$1112,GD_Update_Date,CK$1110)))</f>
        <v>N/A</v>
      </c>
      <c r="CL1116" s="155"/>
    </row>
    <row r="1117" spans="1:90" x14ac:dyDescent="0.3">
      <c r="A1117" s="795" t="s">
        <v>944</v>
      </c>
      <c r="B1117" s="1069" t="s">
        <v>304</v>
      </c>
      <c r="C1117" s="1038"/>
      <c r="D1117" s="1038"/>
      <c r="E1117" s="594"/>
      <c r="F1117" s="594"/>
      <c r="G1117" s="594"/>
      <c r="H1117" s="594"/>
      <c r="I1117" s="594"/>
      <c r="J1117" s="594"/>
      <c r="K1117" s="594"/>
      <c r="L1117" s="594"/>
      <c r="M1117" s="594"/>
      <c r="N1117" s="594"/>
      <c r="O1117" s="594"/>
      <c r="P1117" s="594"/>
      <c r="Q1117" s="594"/>
      <c r="R1117" s="594"/>
      <c r="S1117" s="594"/>
      <c r="T1117" s="594"/>
      <c r="U1117" s="594"/>
      <c r="V1117" s="594"/>
      <c r="W1117" s="594"/>
      <c r="X1117" s="594"/>
      <c r="Y1117" s="594"/>
      <c r="Z1117" s="594"/>
      <c r="AA1117" s="594"/>
      <c r="AB1117" s="594"/>
      <c r="AC1117" s="594"/>
      <c r="AD1117" s="594"/>
      <c r="AE1117" s="594"/>
      <c r="AF1117" s="594"/>
      <c r="AG1117" s="594"/>
      <c r="AH1117" s="594" t="str">
        <f>IF(ISBLANK(AH$1112),"N/A",IF(COUNTIFS(GD_Item_FiscalPeriod,AH$1112,GD_Item_Name,$B1117,GD_Update_Date,AH$1110)=0,"NR",SUMIFS(GD_Guidance_High,GD_Item_Name,$B1117,GD_Item_FiscalPeriod,AH$1112,GD_Update_Date,AH$1110)))</f>
        <v>NR</v>
      </c>
      <c r="AI1117" s="594" t="str">
        <f>IF(ISBLANK(AI$1112),"N/A",IF(COUNTIFS(GD_Item_FiscalPeriod,AI$1112,GD_Item_Name,$B1117,GD_Update_Date,AI$1110)=0,"NR",SUMIFS(GD_Guidance_High,GD_Item_Name,$B1117,GD_Item_FiscalPeriod,AI$1112,GD_Update_Date,AI$1110)))</f>
        <v>NR</v>
      </c>
      <c r="AJ1117" s="594" t="str">
        <f>IF(ISBLANK(AJ$1112),"N/A",IF(COUNTIFS(GD_Item_FiscalPeriod,AJ$1112,GD_Item_Name,$B1117,GD_Update_Date,AJ$1110)=0,"NR",SUMIFS(GD_Guidance_High,GD_Item_Name,$B1117,GD_Item_FiscalPeriod,AJ$1112,GD_Update_Date,AJ$1110)))</f>
        <v>NR</v>
      </c>
      <c r="AK1117" s="594" t="str">
        <f>IF(ISBLANK(AK$1112),"N/A",IF(COUNTIFS(GD_Item_FiscalPeriod,AK$1112,GD_Item_Name,$B1117,GD_Update_Date,AK$1110)=0,"NR",SUMIFS(GD_Guidance_High,GD_Item_Name,$B1117,GD_Item_FiscalPeriod,AK$1112,GD_Update_Date,AK$1110)))</f>
        <v>NR</v>
      </c>
      <c r="AL1117" s="594" t="str">
        <f>IF(ISBLANK(AL$1112),"N/A",IF(COUNTIFS(GD_Item_FiscalPeriod,AL$1112,GD_Item_Name,$B1117,GD_Update_Date,AL$1110)=0,"NR",SUMIFS(GD_Guidance_High,GD_Item_Name,$B1117,GD_Item_FiscalPeriod,AL$1112,GD_Update_Date,AL$1110)))</f>
        <v>NR</v>
      </c>
      <c r="AM1117" s="594" t="str">
        <f>IF(ISBLANK(AM$1112),"N/A",IF(COUNTIFS(GD_Item_FiscalPeriod,AM$1112,GD_Item_Name,$B1117,GD_Update_Date,AM$1110)=0,"NR",SUMIFS(GD_Guidance_High,GD_Item_Name,$B1117,GD_Item_FiscalPeriod,AM$1112,GD_Update_Date,AM$1110)))</f>
        <v>NR</v>
      </c>
      <c r="AN1117" s="594" t="str">
        <f>IF(ISBLANK(AN$1112),"N/A",IF(COUNTIFS(GD_Item_FiscalPeriod,AN$1112,GD_Item_Name,$B1117,GD_Update_Date,AN$1110)=0,"NR",SUMIFS(GD_Guidance_High,GD_Item_Name,$B1117,GD_Item_FiscalPeriod,AN$1112,GD_Update_Date,AN$1110)))</f>
        <v>NR</v>
      </c>
      <c r="AO1117" s="594" t="str">
        <f>IF(ISBLANK(AO$1112),"N/A",IF(COUNTIFS(GD_Item_FiscalPeriod,AO$1112,GD_Item_Name,$B1117,GD_Update_Date,AO$1110)=0,"NR",SUMIFS(GD_Guidance_High,GD_Item_Name,$B1117,GD_Item_FiscalPeriod,AO$1112,GD_Update_Date,AO$1110)))</f>
        <v>NR</v>
      </c>
      <c r="AP1117" s="594" t="str">
        <f>IF(ISBLANK(AP$1112),"N/A",IF(COUNTIFS(GD_Item_FiscalPeriod,AP$1112,GD_Item_Name,$B1117,GD_Update_Date,AP$1110)=0,"NR",SUMIFS(GD_Guidance_High,GD_Item_Name,$B1117,GD_Item_FiscalPeriod,AP$1112,GD_Update_Date,AP$1110)))</f>
        <v>NR</v>
      </c>
      <c r="AQ1117" s="594" t="str">
        <f>IF(ISBLANK(AQ$1112),"N/A",IF(COUNTIFS(GD_Item_FiscalPeriod,AQ$1112,GD_Item_Name,$B1117,GD_Update_Date,AQ$1110)=0,"NR",SUMIFS(GD_Guidance_High,GD_Item_Name,$B1117,GD_Item_FiscalPeriod,AQ$1112,GD_Update_Date,AQ$1110)))</f>
        <v>NR</v>
      </c>
      <c r="AR1117" s="594" t="str">
        <f>IF(ISBLANK(AR$1112),"N/A",IF(COUNTIFS(GD_Item_FiscalPeriod,AR$1112,GD_Item_Name,$B1117,GD_Update_Date,AR$1110)=0,"NR",SUMIFS(GD_Guidance_High,GD_Item_Name,$B1117,GD_Item_FiscalPeriod,AR$1112,GD_Update_Date,AR$1110)))</f>
        <v>NR</v>
      </c>
      <c r="AS1117" s="594" t="str">
        <f>IF(ISBLANK(AS$1112),"N/A",IF(COUNTIFS(GD_Item_FiscalPeriod,AS$1112,GD_Item_Name,$B1117,GD_Update_Date,AS$1110)=0,"NR",SUMIFS(GD_Guidance_High,GD_Item_Name,$B1117,GD_Item_FiscalPeriod,AS$1112,GD_Update_Date,AS$1110)))</f>
        <v>NR</v>
      </c>
      <c r="AT1117" s="594" t="str">
        <f>IF(ISBLANK(AT$1112),"N/A",IF(COUNTIFS(GD_Item_FiscalPeriod,AT$1112,GD_Item_Name,$B1117,GD_Update_Date,AT$1110)=0,"NR",SUMIFS(GD_Guidance_High,GD_Item_Name,$B1117,GD_Item_FiscalPeriod,AT$1112,GD_Update_Date,AT$1110)))</f>
        <v>NR</v>
      </c>
      <c r="AU1117" s="594" t="str">
        <f>IF(ISBLANK(AU$1112),"N/A",IF(COUNTIFS(GD_Item_FiscalPeriod,AU$1112,GD_Item_Name,$B1117,GD_Update_Date,AU$1110)=0,"NR",SUMIFS(GD_Guidance_High,GD_Item_Name,$B1117,GD_Item_FiscalPeriod,AU$1112,GD_Update_Date,AU$1110)))</f>
        <v>NR</v>
      </c>
      <c r="AV1117" s="594" t="str">
        <f>IF(ISBLANK(AV$1112),"N/A",IF(COUNTIFS(GD_Item_FiscalPeriod,AV$1112,GD_Item_Name,$B1117,GD_Update_Date,AV$1110)=0,"NR",SUMIFS(GD_Guidance_High,GD_Item_Name,$B1117,GD_Item_FiscalPeriod,AV$1112,GD_Update_Date,AV$1110)))</f>
        <v>NR</v>
      </c>
      <c r="AW1117" s="594" t="str">
        <f>IF(ISBLANK(AW$1112),"N/A",IF(COUNTIFS(GD_Item_FiscalPeriod,AW$1112,GD_Item_Name,$B1117,GD_Update_Date,AW$1110)=0,"NR",SUMIFS(GD_Guidance_High,GD_Item_Name,$B1117,GD_Item_FiscalPeriod,AW$1112,GD_Update_Date,AW$1110)))</f>
        <v>NR</v>
      </c>
      <c r="AX1117" s="594" t="str">
        <f>IF(ISBLANK(AX$1112),"N/A",IF(COUNTIFS(GD_Item_FiscalPeriod,AX$1112,GD_Item_Name,$B1117,GD_Update_Date,AX$1110)=0,"NR",SUMIFS(GD_Guidance_High,GD_Item_Name,$B1117,GD_Item_FiscalPeriod,AX$1112,GD_Update_Date,AX$1110)))</f>
        <v>NR</v>
      </c>
      <c r="AY1117" s="594" t="str">
        <f>IF(ISBLANK(AY$1112),"N/A",IF(COUNTIFS(GD_Item_FiscalPeriod,AY$1112,GD_Item_Name,$B1117,GD_Update_Date,AY$1110)=0,"NR",SUMIFS(GD_Guidance_High,GD_Item_Name,$B1117,GD_Item_FiscalPeriod,AY$1112,GD_Update_Date,AY$1110)))</f>
        <v>NR</v>
      </c>
      <c r="AZ1117" s="594" t="str">
        <f>IF(ISBLANK(AZ$1112),"N/A",IF(COUNTIFS(GD_Item_FiscalPeriod,AZ$1112,GD_Item_Name,$B1117,GD_Update_Date,AZ$1110)=0,"NR",SUMIFS(GD_Guidance_High,GD_Item_Name,$B1117,GD_Item_FiscalPeriod,AZ$1112,GD_Update_Date,AZ$1110)))</f>
        <v>NR</v>
      </c>
      <c r="BA1117" s="594" t="str">
        <f>IF(ISBLANK(BA$1112),"N/A",IF(COUNTIFS(GD_Item_FiscalPeriod,BA$1112,GD_Item_Name,$B1117,GD_Update_Date,BA$1110)=0,"NR",SUMIFS(GD_Guidance_High,GD_Item_Name,$B1117,GD_Item_FiscalPeriod,BA$1112,GD_Update_Date,BA$1110)))</f>
        <v>NR</v>
      </c>
      <c r="BB1117" s="594" t="str">
        <f>IF(ISBLANK(BB$1112),"N/A",IF(COUNTIFS(GD_Item_FiscalPeriod,BB$1112,GD_Item_Name,$B1117,GD_Update_Date,BB$1110)=0,"NR",SUMIFS(GD_Guidance_High,GD_Item_Name,$B1117,GD_Item_FiscalPeriod,BB$1112,GD_Update_Date,BB$1110)))</f>
        <v>NR</v>
      </c>
      <c r="BC1117" s="594" t="str">
        <f>IF(ISBLANK(BC$1112),"N/A",IF(COUNTIFS(GD_Item_FiscalPeriod,BC$1112,GD_Item_Name,$B1117,GD_Update_Date,BC$1110)=0,"NR",SUMIFS(GD_Guidance_High,GD_Item_Name,$B1117,GD_Item_FiscalPeriod,BC$1112,GD_Update_Date,BC$1110)))</f>
        <v>NR</v>
      </c>
      <c r="BD1117" s="594" t="str">
        <f>IF(ISBLANK(BD$1112),"N/A",IF(COUNTIFS(GD_Item_FiscalPeriod,BD$1112,GD_Item_Name,$B1117,GD_Update_Date,BD$1110)=0,"NR",SUMIFS(GD_Guidance_High,GD_Item_Name,$B1117,GD_Item_FiscalPeriod,BD$1112,GD_Update_Date,BD$1110)))</f>
        <v>NR</v>
      </c>
      <c r="BE1117" s="594" t="str">
        <f>IF(ISBLANK(BE$1112),"N/A",IF(COUNTIFS(GD_Item_FiscalPeriod,BE$1112,GD_Item_Name,$B1117,GD_Update_Date,BE$1110)=0,"NR",SUMIFS(GD_Guidance_High,GD_Item_Name,$B1117,GD_Item_FiscalPeriod,BE$1112,GD_Update_Date,BE$1110)))</f>
        <v>NR</v>
      </c>
      <c r="BF1117" s="594" t="str">
        <f>IF(ISBLANK(BF$1112),"N/A",IF(COUNTIFS(GD_Item_FiscalPeriod,BF$1112,GD_Item_Name,$B1117,GD_Update_Date,BF$1110)=0,"NR",SUMIFS(GD_Guidance_High,GD_Item_Name,$B1117,GD_Item_FiscalPeriod,BF$1112,GD_Update_Date,BF$1110)))</f>
        <v>NR</v>
      </c>
      <c r="BG1117" s="594" t="str">
        <f>IF(ISBLANK(BG$1112),"N/A",IF(COUNTIFS(GD_Item_FiscalPeriod,BG$1112,GD_Item_Name,$B1117,GD_Update_Date,BG$1110)=0,"NR",SUMIFS(GD_Guidance_High,GD_Item_Name,$B1117,GD_Item_FiscalPeriod,BG$1112,GD_Update_Date,BG$1110)))</f>
        <v>NR</v>
      </c>
      <c r="BH1117" s="594" t="str">
        <f>IF(ISBLANK(BH$1112),"N/A",IF(COUNTIFS(GD_Item_FiscalPeriod,BH$1112,GD_Item_Name,$B1117,GD_Update_Date,BH$1110)=0,"NR",SUMIFS(GD_Guidance_High,GD_Item_Name,$B1117,GD_Item_FiscalPeriod,BH$1112,GD_Update_Date,BH$1110)))</f>
        <v>NR</v>
      </c>
      <c r="BI1117" s="594" t="str">
        <f>IF(ISBLANK(BI$1112),"N/A",IF(COUNTIFS(GD_Item_FiscalPeriod,BI$1112,GD_Item_Name,$B1117,GD_Update_Date,BI$1110)=0,"NR",SUMIFS(GD_Guidance_High,GD_Item_Name,$B1117,GD_Item_FiscalPeriod,BI$1112,GD_Update_Date,BI$1110)))</f>
        <v>NR</v>
      </c>
      <c r="BJ1117" s="594" t="str">
        <f>IF(ISBLANK(BJ$1112),"N/A",IF(COUNTIFS(GD_Item_FiscalPeriod,BJ$1112,GD_Item_Name,$B1117,GD_Update_Date,BJ$1110)=0,"NR",SUMIFS(GD_Guidance_High,GD_Item_Name,$B1117,GD_Item_FiscalPeriod,BJ$1112,GD_Update_Date,BJ$1110)))</f>
        <v>NR</v>
      </c>
      <c r="BK1117" s="594" t="str">
        <f>IF(ISBLANK(BK$1112),"N/A",IF(COUNTIFS(GD_Item_FiscalPeriod,BK$1112,GD_Item_Name,$B1117,GD_Update_Date,BK$1110)=0,"NR",SUMIFS(GD_Guidance_High,GD_Item_Name,$B1117,GD_Item_FiscalPeriod,BK$1112,GD_Update_Date,BK$1110)))</f>
        <v>NR</v>
      </c>
      <c r="BL1117" s="594" t="str">
        <f>IF(ISBLANK(BL$1112),"N/A",IF(COUNTIFS(GD_Item_FiscalPeriod,BL$1112,GD_Item_Name,$B1117,GD_Update_Date,BL$1110)=0,"NR",SUMIFS(GD_Guidance_High,GD_Item_Name,$B1117,GD_Item_FiscalPeriod,BL$1112,GD_Update_Date,BL$1110)))</f>
        <v>NR</v>
      </c>
      <c r="BM1117" s="594" t="str">
        <f>IF(ISBLANK(BM$1112),"N/A",IF(COUNTIFS(GD_Item_FiscalPeriod,BM$1112,GD_Item_Name,$B1117,GD_Update_Date,BM$1110)=0,"NR",SUMIFS(GD_Guidance_High,GD_Item_Name,$B1117,GD_Item_FiscalPeriod,BM$1112,GD_Update_Date,BM$1110)))</f>
        <v>NR</v>
      </c>
      <c r="BN1117" s="594" t="str">
        <f>IF(ISBLANK(BN$1112),"N/A",IF(COUNTIFS(GD_Item_FiscalPeriod,BN$1112,GD_Item_Name,$B1117,GD_Update_Date,BN$1110)=0,"NR",SUMIFS(GD_Guidance_High,GD_Item_Name,$B1117,GD_Item_FiscalPeriod,BN$1112,GD_Update_Date,BN$1110)))</f>
        <v>NR</v>
      </c>
      <c r="BO1117" s="594">
        <f>IF(ISBLANK(BO$1112),"N/A",IF(COUNTIFS(GD_Item_FiscalPeriod,BO$1112,GD_Item_Name,$B1117,GD_Update_Date,BO$1110)=0,"NR",SUMIFS(GD_Guidance_High,GD_Item_Name,$B1117,GD_Item_FiscalPeriod,BO$1112,GD_Update_Date,BO$1110)))</f>
        <v>0.76</v>
      </c>
      <c r="BP1117" s="594">
        <f>IF(ISBLANK(BP$1112),"N/A",IF(COUNTIFS(GD_Item_FiscalPeriod,BP$1112,GD_Item_Name,$B1117,GD_Update_Date,BP$1110)=0,"NR",SUMIFS(GD_Guidance_High,GD_Item_Name,$B1117,GD_Item_FiscalPeriod,BP$1112,GD_Update_Date,BP$1110)))</f>
        <v>0.76</v>
      </c>
      <c r="BQ1117" s="594" t="str">
        <f>IF(ISBLANK(BQ$1112),"N/A",IF(COUNTIFS(GD_Item_FiscalPeriod,BQ$1112,GD_Item_Name,$B1117,GD_Update_Date,BQ$1110)=0,"NR",SUMIFS(GD_Guidance_High,GD_Item_Name,$B1117,GD_Item_FiscalPeriod,BQ$1112,GD_Update_Date,BQ$1110)))</f>
        <v>NR</v>
      </c>
      <c r="BR1117" s="594" t="str">
        <f>IF(ISBLANK(BR$1112),"N/A",IF(COUNTIFS(GD_Item_FiscalPeriod,BR$1112,GD_Item_Name,$B1117,GD_Update_Date,BR$1110)=0,"NR",SUMIFS(GD_Guidance_High,GD_Item_Name,$B1117,GD_Item_FiscalPeriod,BR$1112,GD_Update_Date,BR$1110)))</f>
        <v>NR</v>
      </c>
      <c r="BS1117" s="594" t="str">
        <f>IF(ISBLANK(BS$1112),"N/A",IF(COUNTIFS(GD_Item_FiscalPeriod,BS$1112,GD_Item_Name,$B1117,GD_Update_Date,BS$1110)=0,"NR",SUMIFS(GD_Guidance_High,GD_Item_Name,$B1117,GD_Item_FiscalPeriod,BS$1112,GD_Update_Date,BS$1110)))</f>
        <v>NR</v>
      </c>
      <c r="BT1117" s="594" t="str">
        <f>IF(ISBLANK(BT$1112),"N/A",IF(COUNTIFS(GD_Item_FiscalPeriod,BT$1112,GD_Item_Name,$B1117,GD_Update_Date,BT$1110)=0,"NR",SUMIFS(GD_Guidance_High,GD_Item_Name,$B1117,GD_Item_FiscalPeriod,BT$1112,GD_Update_Date,BT$1110)))</f>
        <v>NR</v>
      </c>
      <c r="BU1117" s="594" t="str">
        <f>IF(ISBLANK(BU$1112),"N/A",IF(COUNTIFS(GD_Item_FiscalPeriod,BU$1112,GD_Item_Name,$B1117,GD_Update_Date,BU$1110)=0,"NR",SUMIFS(GD_Guidance_High,GD_Item_Name,$B1117,GD_Item_FiscalPeriod,BU$1112,GD_Update_Date,BU$1110)))</f>
        <v>NR</v>
      </c>
      <c r="BV1117" s="594" t="str">
        <f>IF(ISBLANK(BV$1112),"N/A",IF(COUNTIFS(GD_Item_FiscalPeriod,BV$1112,GD_Item_Name,$B1117,GD_Update_Date,BV$1110)=0,"NR",SUMIFS(GD_Guidance_High,GD_Item_Name,$B1117,GD_Item_FiscalPeriod,BV$1112,GD_Update_Date,BV$1110)))</f>
        <v>NR</v>
      </c>
      <c r="BW1117" s="594" t="str">
        <f>IF(ISBLANK(BW$1112),"N/A",IF(COUNTIFS(GD_Item_FiscalPeriod,BW$1112,GD_Item_Name,$B1117,GD_Update_Date,BW$1110)=0,"NR",SUMIFS(GD_Guidance_High,GD_Item_Name,$B1117,GD_Item_FiscalPeriod,BW$1112,GD_Update_Date,BW$1110)))</f>
        <v>NR</v>
      </c>
      <c r="BX1117" s="594" t="str">
        <f>IF(ISBLANK(BX$1112),"N/A",IF(COUNTIFS(GD_Item_FiscalPeriod,BX$1112,GD_Item_Name,$B1117,GD_Update_Date,BX$1110)=0,"NR",SUMIFS(GD_Guidance_High,GD_Item_Name,$B1117,GD_Item_FiscalPeriod,BX$1112,GD_Update_Date,BX$1110)))</f>
        <v>NR</v>
      </c>
      <c r="BY1117" s="732" t="str">
        <f>IF(ISBLANK(BY$1112),"N/A",IF(COUNTIFS(GD_Item_FiscalPeriod,BY$1112,GD_Item_Name,$B1117,GD_Update_Date,BY$1110)=0,"NR",SUMIFS(GD_Guidance_High,GD_Item_Name,$B1117,GD_Item_FiscalPeriod,BY$1112,GD_Update_Date,BY$1110)))</f>
        <v>NR</v>
      </c>
      <c r="BZ1117" s="594" t="str">
        <f>IF(ISBLANK(BZ$1112),"N/A",IF(COUNTIFS(GD_Item_FiscalPeriod,BZ$1112,GD_Item_Name,$B1117,GD_Update_Date,BZ$1110)=0,"NR",SUMIFS(GD_Guidance_High,GD_Item_Name,$B1117,GD_Item_FiscalPeriod,BZ$1112,GD_Update_Date,BZ$1110)))</f>
        <v>N/A</v>
      </c>
      <c r="CA1117" s="594" t="str">
        <f>IF(ISBLANK(CA$1112),"N/A",IF(COUNTIFS(GD_Item_FiscalPeriod,CA$1112,GD_Item_Name,$B1117,GD_Update_Date,CA$1110)=0,"NR",SUMIFS(GD_Guidance_High,GD_Item_Name,$B1117,GD_Item_FiscalPeriod,CA$1112,GD_Update_Date,CA$1110)))</f>
        <v>N/A</v>
      </c>
      <c r="CB1117" s="594" t="str">
        <f>IF(ISBLANK(CB$1112),"N/A",IF(COUNTIFS(GD_Item_FiscalPeriod,CB$1112,GD_Item_Name,$B1117,GD_Update_Date,CB$1110)=0,"NR",SUMIFS(GD_Guidance_High,GD_Item_Name,$B1117,GD_Item_FiscalPeriod,CB$1112,GD_Update_Date,CB$1110)))</f>
        <v>N/A</v>
      </c>
      <c r="CC1117" s="594" t="str">
        <f>IF(ISBLANK(CC$1112),"N/A",IF(COUNTIFS(GD_Item_FiscalPeriod,CC$1112,GD_Item_Name,$B1117,GD_Update_Date,CC$1110)=0,"NR",SUMIFS(GD_Guidance_High,GD_Item_Name,$B1117,GD_Item_FiscalPeriod,CC$1112,GD_Update_Date,CC$1110)))</f>
        <v>N/A</v>
      </c>
      <c r="CD1117" s="594" t="str">
        <f>IF(ISBLANK(CD$1112),"N/A",IF(COUNTIFS(GD_Item_FiscalPeriod,CD$1112,GD_Item_Name,$B1117,GD_Update_Date,CD$1110)=0,"NR",SUMIFS(GD_Guidance_High,GD_Item_Name,$B1117,GD_Item_FiscalPeriod,CD$1112,GD_Update_Date,CD$1110)))</f>
        <v>N/A</v>
      </c>
      <c r="CE1117" s="594" t="str">
        <f>IF(ISBLANK(CE$1112),"N/A",IF(COUNTIFS(GD_Item_FiscalPeriod,CE$1112,GD_Item_Name,$B1117,GD_Update_Date,CE$1110)=0,"NR",SUMIFS(GD_Guidance_High,GD_Item_Name,$B1117,GD_Item_FiscalPeriod,CE$1112,GD_Update_Date,CE$1110)))</f>
        <v>N/A</v>
      </c>
      <c r="CF1117" s="594" t="str">
        <f>IF(ISBLANK(CF$1112),"N/A",IF(COUNTIFS(GD_Item_FiscalPeriod,CF$1112,GD_Item_Name,$B1117,GD_Update_Date,CF$1110)=0,"NR",SUMIFS(GD_Guidance_High,GD_Item_Name,$B1117,GD_Item_FiscalPeriod,CF$1112,GD_Update_Date,CF$1110)))</f>
        <v>N/A</v>
      </c>
      <c r="CG1117" s="594" t="str">
        <f>IF(ISBLANK(CG$1112),"N/A",IF(COUNTIFS(GD_Item_FiscalPeriod,CG$1112,GD_Item_Name,$B1117,GD_Update_Date,CG$1110)=0,"NR",SUMIFS(GD_Guidance_High,GD_Item_Name,$B1117,GD_Item_FiscalPeriod,CG$1112,GD_Update_Date,CG$1110)))</f>
        <v>N/A</v>
      </c>
      <c r="CH1117" s="594" t="str">
        <f>IF(ISBLANK(CH$1112),"N/A",IF(COUNTIFS(GD_Item_FiscalPeriod,CH$1112,GD_Item_Name,$B1117,GD_Update_Date,CH$1110)=0,"NR",SUMIFS(GD_Guidance_High,GD_Item_Name,$B1117,GD_Item_FiscalPeriod,CH$1112,GD_Update_Date,CH$1110)))</f>
        <v>N/A</v>
      </c>
      <c r="CI1117" s="594" t="str">
        <f>IF(ISBLANK(CI$1112),"N/A",IF(COUNTIFS(GD_Item_FiscalPeriod,CI$1112,GD_Item_Name,$B1117,GD_Update_Date,CI$1110)=0,"NR",SUMIFS(GD_Guidance_High,GD_Item_Name,$B1117,GD_Item_FiscalPeriod,CI$1112,GD_Update_Date,CI$1110)))</f>
        <v>N/A</v>
      </c>
      <c r="CJ1117" s="594" t="str">
        <f>IF(ISBLANK(CJ$1112),"N/A",IF(COUNTIFS(GD_Item_FiscalPeriod,CJ$1112,GD_Item_Name,$B1117,GD_Update_Date,CJ$1110)=0,"NR",SUMIFS(GD_Guidance_High,GD_Item_Name,$B1117,GD_Item_FiscalPeriod,CJ$1112,GD_Update_Date,CJ$1110)))</f>
        <v>N/A</v>
      </c>
      <c r="CK1117" s="796" t="str">
        <f>IF(ISBLANK(CK$1112),"N/A",IF(COUNTIFS(GD_Item_FiscalPeriod,CK$1112,GD_Item_Name,$B1117,GD_Update_Date,CK$1110)=0,"NR",SUMIFS(GD_Guidance_High,GD_Item_Name,$B1117,GD_Item_FiscalPeriod,CK$1112,GD_Update_Date,CK$1110)))</f>
        <v>N/A</v>
      </c>
      <c r="CL1117" s="155"/>
    </row>
    <row r="1118" spans="1:90" x14ac:dyDescent="0.3">
      <c r="A1118" s="795" t="s">
        <v>945</v>
      </c>
      <c r="B1118" s="1069" t="s">
        <v>304</v>
      </c>
      <c r="C1118" s="1038"/>
      <c r="D1118" s="1038"/>
      <c r="E1118" s="594"/>
      <c r="F1118" s="594"/>
      <c r="G1118" s="594"/>
      <c r="H1118" s="594"/>
      <c r="I1118" s="594"/>
      <c r="J1118" s="594"/>
      <c r="K1118" s="594"/>
      <c r="L1118" s="594"/>
      <c r="M1118" s="594"/>
      <c r="N1118" s="594"/>
      <c r="O1118" s="594"/>
      <c r="P1118" s="594"/>
      <c r="Q1118" s="594"/>
      <c r="R1118" s="594"/>
      <c r="S1118" s="594"/>
      <c r="T1118" s="594"/>
      <c r="U1118" s="594"/>
      <c r="V1118" s="594"/>
      <c r="W1118" s="594"/>
      <c r="X1118" s="594"/>
      <c r="Y1118" s="594"/>
      <c r="Z1118" s="594"/>
      <c r="AA1118" s="594"/>
      <c r="AB1118" s="594"/>
      <c r="AC1118" s="594"/>
      <c r="AD1118" s="594"/>
      <c r="AE1118" s="594"/>
      <c r="AF1118" s="594"/>
      <c r="AG1118" s="594"/>
      <c r="AH1118" s="594" t="str">
        <f>IF(ISBLANK(AH$1112),"N/A",IF(COUNTIFS(GD_Item_FiscalPeriod,AH$1112,GD_Item_Name,$B1118,GD_Update_Date,AH$1110)=0,"NR",SUMIFS(GD_Guidance_Mid,GD_Item_Name,$B1118,GD_Item_FiscalPeriod,AH$1112,GD_Update_Date,AH$1110)))</f>
        <v>NR</v>
      </c>
      <c r="AI1118" s="594" t="str">
        <f>IF(ISBLANK(AI$1112),"N/A",IF(COUNTIFS(GD_Item_FiscalPeriod,AI$1112,GD_Item_Name,$B1118,GD_Update_Date,AI$1110)=0,"NR",SUMIFS(GD_Guidance_Mid,GD_Item_Name,$B1118,GD_Item_FiscalPeriod,AI$1112,GD_Update_Date,AI$1110)))</f>
        <v>NR</v>
      </c>
      <c r="AJ1118" s="594" t="str">
        <f>IF(ISBLANK(AJ$1112),"N/A",IF(COUNTIFS(GD_Item_FiscalPeriod,AJ$1112,GD_Item_Name,$B1118,GD_Update_Date,AJ$1110)=0,"NR",SUMIFS(GD_Guidance_Mid,GD_Item_Name,$B1118,GD_Item_FiscalPeriod,AJ$1112,GD_Update_Date,AJ$1110)))</f>
        <v>NR</v>
      </c>
      <c r="AK1118" s="594" t="str">
        <f>IF(ISBLANK(AK$1112),"N/A",IF(COUNTIFS(GD_Item_FiscalPeriod,AK$1112,GD_Item_Name,$B1118,GD_Update_Date,AK$1110)=0,"NR",SUMIFS(GD_Guidance_Mid,GD_Item_Name,$B1118,GD_Item_FiscalPeriod,AK$1112,GD_Update_Date,AK$1110)))</f>
        <v>NR</v>
      </c>
      <c r="AL1118" s="594" t="str">
        <f>IF(ISBLANK(AL$1112),"N/A",IF(COUNTIFS(GD_Item_FiscalPeriod,AL$1112,GD_Item_Name,$B1118,GD_Update_Date,AL$1110)=0,"NR",SUMIFS(GD_Guidance_Mid,GD_Item_Name,$B1118,GD_Item_FiscalPeriod,AL$1112,GD_Update_Date,AL$1110)))</f>
        <v>NR</v>
      </c>
      <c r="AM1118" s="594" t="str">
        <f>IF(ISBLANK(AM$1112),"N/A",IF(COUNTIFS(GD_Item_FiscalPeriod,AM$1112,GD_Item_Name,$B1118,GD_Update_Date,AM$1110)=0,"NR",SUMIFS(GD_Guidance_Mid,GD_Item_Name,$B1118,GD_Item_FiscalPeriod,AM$1112,GD_Update_Date,AM$1110)))</f>
        <v>NR</v>
      </c>
      <c r="AN1118" s="594" t="str">
        <f>IF(ISBLANK(AN$1112),"N/A",IF(COUNTIFS(GD_Item_FiscalPeriod,AN$1112,GD_Item_Name,$B1118,GD_Update_Date,AN$1110)=0,"NR",SUMIFS(GD_Guidance_Mid,GD_Item_Name,$B1118,GD_Item_FiscalPeriod,AN$1112,GD_Update_Date,AN$1110)))</f>
        <v>NR</v>
      </c>
      <c r="AO1118" s="594" t="str">
        <f>IF(ISBLANK(AO$1112),"N/A",IF(COUNTIFS(GD_Item_FiscalPeriod,AO$1112,GD_Item_Name,$B1118,GD_Update_Date,AO$1110)=0,"NR",SUMIFS(GD_Guidance_Mid,GD_Item_Name,$B1118,GD_Item_FiscalPeriod,AO$1112,GD_Update_Date,AO$1110)))</f>
        <v>NR</v>
      </c>
      <c r="AP1118" s="594" t="str">
        <f>IF(ISBLANK(AP$1112),"N/A",IF(COUNTIFS(GD_Item_FiscalPeriod,AP$1112,GD_Item_Name,$B1118,GD_Update_Date,AP$1110)=0,"NR",SUMIFS(GD_Guidance_Mid,GD_Item_Name,$B1118,GD_Item_FiscalPeriod,AP$1112,GD_Update_Date,AP$1110)))</f>
        <v>NR</v>
      </c>
      <c r="AQ1118" s="594" t="str">
        <f>IF(ISBLANK(AQ$1112),"N/A",IF(COUNTIFS(GD_Item_FiscalPeriod,AQ$1112,GD_Item_Name,$B1118,GD_Update_Date,AQ$1110)=0,"NR",SUMIFS(GD_Guidance_Mid,GD_Item_Name,$B1118,GD_Item_FiscalPeriod,AQ$1112,GD_Update_Date,AQ$1110)))</f>
        <v>NR</v>
      </c>
      <c r="AR1118" s="594" t="str">
        <f>IF(ISBLANK(AR$1112),"N/A",IF(COUNTIFS(GD_Item_FiscalPeriod,AR$1112,GD_Item_Name,$B1118,GD_Update_Date,AR$1110)=0,"NR",SUMIFS(GD_Guidance_Mid,GD_Item_Name,$B1118,GD_Item_FiscalPeriod,AR$1112,GD_Update_Date,AR$1110)))</f>
        <v>NR</v>
      </c>
      <c r="AS1118" s="594" t="str">
        <f>IF(ISBLANK(AS$1112),"N/A",IF(COUNTIFS(GD_Item_FiscalPeriod,AS$1112,GD_Item_Name,$B1118,GD_Update_Date,AS$1110)=0,"NR",SUMIFS(GD_Guidance_Mid,GD_Item_Name,$B1118,GD_Item_FiscalPeriod,AS$1112,GD_Update_Date,AS$1110)))</f>
        <v>NR</v>
      </c>
      <c r="AT1118" s="594" t="str">
        <f>IF(ISBLANK(AT$1112),"N/A",IF(COUNTIFS(GD_Item_FiscalPeriod,AT$1112,GD_Item_Name,$B1118,GD_Update_Date,AT$1110)=0,"NR",SUMIFS(GD_Guidance_Mid,GD_Item_Name,$B1118,GD_Item_FiscalPeriod,AT$1112,GD_Update_Date,AT$1110)))</f>
        <v>NR</v>
      </c>
      <c r="AU1118" s="594" t="str">
        <f>IF(ISBLANK(AU$1112),"N/A",IF(COUNTIFS(GD_Item_FiscalPeriod,AU$1112,GD_Item_Name,$B1118,GD_Update_Date,AU$1110)=0,"NR",SUMIFS(GD_Guidance_Mid,GD_Item_Name,$B1118,GD_Item_FiscalPeriod,AU$1112,GD_Update_Date,AU$1110)))</f>
        <v>NR</v>
      </c>
      <c r="AV1118" s="594" t="str">
        <f>IF(ISBLANK(AV$1112),"N/A",IF(COUNTIFS(GD_Item_FiscalPeriod,AV$1112,GD_Item_Name,$B1118,GD_Update_Date,AV$1110)=0,"NR",SUMIFS(GD_Guidance_Mid,GD_Item_Name,$B1118,GD_Item_FiscalPeriod,AV$1112,GD_Update_Date,AV$1110)))</f>
        <v>NR</v>
      </c>
      <c r="AW1118" s="594" t="str">
        <f>IF(ISBLANK(AW$1112),"N/A",IF(COUNTIFS(GD_Item_FiscalPeriod,AW$1112,GD_Item_Name,$B1118,GD_Update_Date,AW$1110)=0,"NR",SUMIFS(GD_Guidance_Mid,GD_Item_Name,$B1118,GD_Item_FiscalPeriod,AW$1112,GD_Update_Date,AW$1110)))</f>
        <v>NR</v>
      </c>
      <c r="AX1118" s="594" t="str">
        <f>IF(ISBLANK(AX$1112),"N/A",IF(COUNTIFS(GD_Item_FiscalPeriod,AX$1112,GD_Item_Name,$B1118,GD_Update_Date,AX$1110)=0,"NR",SUMIFS(GD_Guidance_Mid,GD_Item_Name,$B1118,GD_Item_FiscalPeriod,AX$1112,GD_Update_Date,AX$1110)))</f>
        <v>NR</v>
      </c>
      <c r="AY1118" s="594" t="str">
        <f>IF(ISBLANK(AY$1112),"N/A",IF(COUNTIFS(GD_Item_FiscalPeriod,AY$1112,GD_Item_Name,$B1118,GD_Update_Date,AY$1110)=0,"NR",SUMIFS(GD_Guidance_Mid,GD_Item_Name,$B1118,GD_Item_FiscalPeriod,AY$1112,GD_Update_Date,AY$1110)))</f>
        <v>NR</v>
      </c>
      <c r="AZ1118" s="594" t="str">
        <f>IF(ISBLANK(AZ$1112),"N/A",IF(COUNTIFS(GD_Item_FiscalPeriod,AZ$1112,GD_Item_Name,$B1118,GD_Update_Date,AZ$1110)=0,"NR",SUMIFS(GD_Guidance_Mid,GD_Item_Name,$B1118,GD_Item_FiscalPeriod,AZ$1112,GD_Update_Date,AZ$1110)))</f>
        <v>NR</v>
      </c>
      <c r="BA1118" s="594" t="str">
        <f>IF(ISBLANK(BA$1112),"N/A",IF(COUNTIFS(GD_Item_FiscalPeriod,BA$1112,GD_Item_Name,$B1118,GD_Update_Date,BA$1110)=0,"NR",SUMIFS(GD_Guidance_Mid,GD_Item_Name,$B1118,GD_Item_FiscalPeriod,BA$1112,GD_Update_Date,BA$1110)))</f>
        <v>NR</v>
      </c>
      <c r="BB1118" s="594" t="str">
        <f>IF(ISBLANK(BB$1112),"N/A",IF(COUNTIFS(GD_Item_FiscalPeriod,BB$1112,GD_Item_Name,$B1118,GD_Update_Date,BB$1110)=0,"NR",SUMIFS(GD_Guidance_Mid,GD_Item_Name,$B1118,GD_Item_FiscalPeriod,BB$1112,GD_Update_Date,BB$1110)))</f>
        <v>NR</v>
      </c>
      <c r="BC1118" s="594" t="str">
        <f>IF(ISBLANK(BC$1112),"N/A",IF(COUNTIFS(GD_Item_FiscalPeriod,BC$1112,GD_Item_Name,$B1118,GD_Update_Date,BC$1110)=0,"NR",SUMIFS(GD_Guidance_Mid,GD_Item_Name,$B1118,GD_Item_FiscalPeriod,BC$1112,GD_Update_Date,BC$1110)))</f>
        <v>NR</v>
      </c>
      <c r="BD1118" s="594" t="str">
        <f>IF(ISBLANK(BD$1112),"N/A",IF(COUNTIFS(GD_Item_FiscalPeriod,BD$1112,GD_Item_Name,$B1118,GD_Update_Date,BD$1110)=0,"NR",SUMIFS(GD_Guidance_Mid,GD_Item_Name,$B1118,GD_Item_FiscalPeriod,BD$1112,GD_Update_Date,BD$1110)))</f>
        <v>NR</v>
      </c>
      <c r="BE1118" s="594" t="str">
        <f>IF(ISBLANK(BE$1112),"N/A",IF(COUNTIFS(GD_Item_FiscalPeriod,BE$1112,GD_Item_Name,$B1118,GD_Update_Date,BE$1110)=0,"NR",SUMIFS(GD_Guidance_Mid,GD_Item_Name,$B1118,GD_Item_FiscalPeriod,BE$1112,GD_Update_Date,BE$1110)))</f>
        <v>NR</v>
      </c>
      <c r="BF1118" s="594" t="str">
        <f>IF(ISBLANK(BF$1112),"N/A",IF(COUNTIFS(GD_Item_FiscalPeriod,BF$1112,GD_Item_Name,$B1118,GD_Update_Date,BF$1110)=0,"NR",SUMIFS(GD_Guidance_Mid,GD_Item_Name,$B1118,GD_Item_FiscalPeriod,BF$1112,GD_Update_Date,BF$1110)))</f>
        <v>NR</v>
      </c>
      <c r="BG1118" s="594" t="str">
        <f>IF(ISBLANK(BG$1112),"N/A",IF(COUNTIFS(GD_Item_FiscalPeriod,BG$1112,GD_Item_Name,$B1118,GD_Update_Date,BG$1110)=0,"NR",SUMIFS(GD_Guidance_Mid,GD_Item_Name,$B1118,GD_Item_FiscalPeriod,BG$1112,GD_Update_Date,BG$1110)))</f>
        <v>NR</v>
      </c>
      <c r="BH1118" s="594" t="str">
        <f>IF(ISBLANK(BH$1112),"N/A",IF(COUNTIFS(GD_Item_FiscalPeriod,BH$1112,GD_Item_Name,$B1118,GD_Update_Date,BH$1110)=0,"NR",SUMIFS(GD_Guidance_Mid,GD_Item_Name,$B1118,GD_Item_FiscalPeriod,BH$1112,GD_Update_Date,BH$1110)))</f>
        <v>NR</v>
      </c>
      <c r="BI1118" s="594" t="str">
        <f>IF(ISBLANK(BI$1112),"N/A",IF(COUNTIFS(GD_Item_FiscalPeriod,BI$1112,GD_Item_Name,$B1118,GD_Update_Date,BI$1110)=0,"NR",SUMIFS(GD_Guidance_Mid,GD_Item_Name,$B1118,GD_Item_FiscalPeriod,BI$1112,GD_Update_Date,BI$1110)))</f>
        <v>NR</v>
      </c>
      <c r="BJ1118" s="594" t="str">
        <f>IF(ISBLANK(BJ$1112),"N/A",IF(COUNTIFS(GD_Item_FiscalPeriod,BJ$1112,GD_Item_Name,$B1118,GD_Update_Date,BJ$1110)=0,"NR",SUMIFS(GD_Guidance_Mid,GD_Item_Name,$B1118,GD_Item_FiscalPeriod,BJ$1112,GD_Update_Date,BJ$1110)))</f>
        <v>NR</v>
      </c>
      <c r="BK1118" s="594" t="str">
        <f>IF(ISBLANK(BK$1112),"N/A",IF(COUNTIFS(GD_Item_FiscalPeriod,BK$1112,GD_Item_Name,$B1118,GD_Update_Date,BK$1110)=0,"NR",SUMIFS(GD_Guidance_Mid,GD_Item_Name,$B1118,GD_Item_FiscalPeriod,BK$1112,GD_Update_Date,BK$1110)))</f>
        <v>NR</v>
      </c>
      <c r="BL1118" s="594" t="str">
        <f>IF(ISBLANK(BL$1112),"N/A",IF(COUNTIFS(GD_Item_FiscalPeriod,BL$1112,GD_Item_Name,$B1118,GD_Update_Date,BL$1110)=0,"NR",SUMIFS(GD_Guidance_Mid,GD_Item_Name,$B1118,GD_Item_FiscalPeriod,BL$1112,GD_Update_Date,BL$1110)))</f>
        <v>NR</v>
      </c>
      <c r="BM1118" s="594" t="str">
        <f>IF(ISBLANK(BM$1112),"N/A",IF(COUNTIFS(GD_Item_FiscalPeriod,BM$1112,GD_Item_Name,$B1118,GD_Update_Date,BM$1110)=0,"NR",SUMIFS(GD_Guidance_Mid,GD_Item_Name,$B1118,GD_Item_FiscalPeriod,BM$1112,GD_Update_Date,BM$1110)))</f>
        <v>NR</v>
      </c>
      <c r="BN1118" s="594" t="str">
        <f>IF(ISBLANK(BN$1112),"N/A",IF(COUNTIFS(GD_Item_FiscalPeriod,BN$1112,GD_Item_Name,$B1118,GD_Update_Date,BN$1110)=0,"NR",SUMIFS(GD_Guidance_Mid,GD_Item_Name,$B1118,GD_Item_FiscalPeriod,BN$1112,GD_Update_Date,BN$1110)))</f>
        <v>NR</v>
      </c>
      <c r="BO1118" s="594">
        <f>IF(ISBLANK(BO$1112),"N/A",IF(COUNTIFS(GD_Item_FiscalPeriod,BO$1112,GD_Item_Name,$B1118,GD_Update_Date,BO$1110)=0,"NR",SUMIFS(GD_Guidance_Mid,GD_Item_Name,$B1118,GD_Item_FiscalPeriod,BO$1112,GD_Update_Date,BO$1110)))</f>
        <v>0.75</v>
      </c>
      <c r="BP1118" s="594">
        <f>IF(ISBLANK(BP$1112),"N/A",IF(COUNTIFS(GD_Item_FiscalPeriod,BP$1112,GD_Item_Name,$B1118,GD_Update_Date,BP$1110)=0,"NR",SUMIFS(GD_Guidance_Mid,GD_Item_Name,$B1118,GD_Item_FiscalPeriod,BP$1112,GD_Update_Date,BP$1110)))</f>
        <v>0.75</v>
      </c>
      <c r="BQ1118" s="594" t="str">
        <f>IF(ISBLANK(BQ$1112),"N/A",IF(COUNTIFS(GD_Item_FiscalPeriod,BQ$1112,GD_Item_Name,$B1118,GD_Update_Date,BQ$1110)=0,"NR",SUMIFS(GD_Guidance_Mid,GD_Item_Name,$B1118,GD_Item_FiscalPeriod,BQ$1112,GD_Update_Date,BQ$1110)))</f>
        <v>NR</v>
      </c>
      <c r="BR1118" s="594" t="str">
        <f>IF(ISBLANK(BR$1112),"N/A",IF(COUNTIFS(GD_Item_FiscalPeriod,BR$1112,GD_Item_Name,$B1118,GD_Update_Date,BR$1110)=0,"NR",SUMIFS(GD_Guidance_Mid,GD_Item_Name,$B1118,GD_Item_FiscalPeriod,BR$1112,GD_Update_Date,BR$1110)))</f>
        <v>NR</v>
      </c>
      <c r="BS1118" s="594" t="str">
        <f>IF(ISBLANK(BS$1112),"N/A",IF(COUNTIFS(GD_Item_FiscalPeriod,BS$1112,GD_Item_Name,$B1118,GD_Update_Date,BS$1110)=0,"NR",SUMIFS(GD_Guidance_Mid,GD_Item_Name,$B1118,GD_Item_FiscalPeriod,BS$1112,GD_Update_Date,BS$1110)))</f>
        <v>NR</v>
      </c>
      <c r="BT1118" s="594" t="str">
        <f>IF(ISBLANK(BT$1112),"N/A",IF(COUNTIFS(GD_Item_FiscalPeriod,BT$1112,GD_Item_Name,$B1118,GD_Update_Date,BT$1110)=0,"NR",SUMIFS(GD_Guidance_Mid,GD_Item_Name,$B1118,GD_Item_FiscalPeriod,BT$1112,GD_Update_Date,BT$1110)))</f>
        <v>NR</v>
      </c>
      <c r="BU1118" s="594" t="str">
        <f>IF(ISBLANK(BU$1112),"N/A",IF(COUNTIFS(GD_Item_FiscalPeriod,BU$1112,GD_Item_Name,$B1118,GD_Update_Date,BU$1110)=0,"NR",SUMIFS(GD_Guidance_Mid,GD_Item_Name,$B1118,GD_Item_FiscalPeriod,BU$1112,GD_Update_Date,BU$1110)))</f>
        <v>NR</v>
      </c>
      <c r="BV1118" s="594" t="str">
        <f>IF(ISBLANK(BV$1112),"N/A",IF(COUNTIFS(GD_Item_FiscalPeriod,BV$1112,GD_Item_Name,$B1118,GD_Update_Date,BV$1110)=0,"NR",SUMIFS(GD_Guidance_Mid,GD_Item_Name,$B1118,GD_Item_FiscalPeriod,BV$1112,GD_Update_Date,BV$1110)))</f>
        <v>NR</v>
      </c>
      <c r="BW1118" s="594" t="str">
        <f>IF(ISBLANK(BW$1112),"N/A",IF(COUNTIFS(GD_Item_FiscalPeriod,BW$1112,GD_Item_Name,$B1118,GD_Update_Date,BW$1110)=0,"NR",SUMIFS(GD_Guidance_Mid,GD_Item_Name,$B1118,GD_Item_FiscalPeriod,BW$1112,GD_Update_Date,BW$1110)))</f>
        <v>NR</v>
      </c>
      <c r="BX1118" s="594" t="str">
        <f>IF(ISBLANK(BX$1112),"N/A",IF(COUNTIFS(GD_Item_FiscalPeriod,BX$1112,GD_Item_Name,$B1118,GD_Update_Date,BX$1110)=0,"NR",SUMIFS(GD_Guidance_Mid,GD_Item_Name,$B1118,GD_Item_FiscalPeriod,BX$1112,GD_Update_Date,BX$1110)))</f>
        <v>NR</v>
      </c>
      <c r="BY1118" s="732" t="str">
        <f>IF(ISBLANK(BY$1112),"N/A",IF(COUNTIFS(GD_Item_FiscalPeriod,BY$1112,GD_Item_Name,$B1118,GD_Update_Date,BY$1110)=0,"NR",SUMIFS(GD_Guidance_Mid,GD_Item_Name,$B1118,GD_Item_FiscalPeriod,BY$1112,GD_Update_Date,BY$1110)))</f>
        <v>NR</v>
      </c>
      <c r="BZ1118" s="594" t="str">
        <f>IF(ISBLANK(BZ$1112),"N/A",IF(COUNTIFS(GD_Item_FiscalPeriod,BZ$1112,GD_Item_Name,$B1118,GD_Update_Date,BZ$1110)=0,"NR",SUMIFS(GD_Guidance_Mid,GD_Item_Name,$B1118,GD_Item_FiscalPeriod,BZ$1112,GD_Update_Date,BZ$1110)))</f>
        <v>N/A</v>
      </c>
      <c r="CA1118" s="594" t="str">
        <f>IF(ISBLANK(CA$1112),"N/A",IF(COUNTIFS(GD_Item_FiscalPeriod,CA$1112,GD_Item_Name,$B1118,GD_Update_Date,CA$1110)=0,"NR",SUMIFS(GD_Guidance_Mid,GD_Item_Name,$B1118,GD_Item_FiscalPeriod,CA$1112,GD_Update_Date,CA$1110)))</f>
        <v>N/A</v>
      </c>
      <c r="CB1118" s="594" t="str">
        <f>IF(ISBLANK(CB$1112),"N/A",IF(COUNTIFS(GD_Item_FiscalPeriod,CB$1112,GD_Item_Name,$B1118,GD_Update_Date,CB$1110)=0,"NR",SUMIFS(GD_Guidance_Mid,GD_Item_Name,$B1118,GD_Item_FiscalPeriod,CB$1112,GD_Update_Date,CB$1110)))</f>
        <v>N/A</v>
      </c>
      <c r="CC1118" s="594" t="str">
        <f>IF(ISBLANK(CC$1112),"N/A",IF(COUNTIFS(GD_Item_FiscalPeriod,CC$1112,GD_Item_Name,$B1118,GD_Update_Date,CC$1110)=0,"NR",SUMIFS(GD_Guidance_Mid,GD_Item_Name,$B1118,GD_Item_FiscalPeriod,CC$1112,GD_Update_Date,CC$1110)))</f>
        <v>N/A</v>
      </c>
      <c r="CD1118" s="594" t="str">
        <f>IF(ISBLANK(CD$1112),"N/A",IF(COUNTIFS(GD_Item_FiscalPeriod,CD$1112,GD_Item_Name,$B1118,GD_Update_Date,CD$1110)=0,"NR",SUMIFS(GD_Guidance_Mid,GD_Item_Name,$B1118,GD_Item_FiscalPeriod,CD$1112,GD_Update_Date,CD$1110)))</f>
        <v>N/A</v>
      </c>
      <c r="CE1118" s="594" t="str">
        <f>IF(ISBLANK(CE$1112),"N/A",IF(COUNTIFS(GD_Item_FiscalPeriod,CE$1112,GD_Item_Name,$B1118,GD_Update_Date,CE$1110)=0,"NR",SUMIFS(GD_Guidance_Mid,GD_Item_Name,$B1118,GD_Item_FiscalPeriod,CE$1112,GD_Update_Date,CE$1110)))</f>
        <v>N/A</v>
      </c>
      <c r="CF1118" s="594" t="str">
        <f>IF(ISBLANK(CF$1112),"N/A",IF(COUNTIFS(GD_Item_FiscalPeriod,CF$1112,GD_Item_Name,$B1118,GD_Update_Date,CF$1110)=0,"NR",SUMIFS(GD_Guidance_Mid,GD_Item_Name,$B1118,GD_Item_FiscalPeriod,CF$1112,GD_Update_Date,CF$1110)))</f>
        <v>N/A</v>
      </c>
      <c r="CG1118" s="594" t="str">
        <f>IF(ISBLANK(CG$1112),"N/A",IF(COUNTIFS(GD_Item_FiscalPeriod,CG$1112,GD_Item_Name,$B1118,GD_Update_Date,CG$1110)=0,"NR",SUMIFS(GD_Guidance_Mid,GD_Item_Name,$B1118,GD_Item_FiscalPeriod,CG$1112,GD_Update_Date,CG$1110)))</f>
        <v>N/A</v>
      </c>
      <c r="CH1118" s="594" t="str">
        <f>IF(ISBLANK(CH$1112),"N/A",IF(COUNTIFS(GD_Item_FiscalPeriod,CH$1112,GD_Item_Name,$B1118,GD_Update_Date,CH$1110)=0,"NR",SUMIFS(GD_Guidance_Mid,GD_Item_Name,$B1118,GD_Item_FiscalPeriod,CH$1112,GD_Update_Date,CH$1110)))</f>
        <v>N/A</v>
      </c>
      <c r="CI1118" s="594" t="str">
        <f>IF(ISBLANK(CI$1112),"N/A",IF(COUNTIFS(GD_Item_FiscalPeriod,CI$1112,GD_Item_Name,$B1118,GD_Update_Date,CI$1110)=0,"NR",SUMIFS(GD_Guidance_Mid,GD_Item_Name,$B1118,GD_Item_FiscalPeriod,CI$1112,GD_Update_Date,CI$1110)))</f>
        <v>N/A</v>
      </c>
      <c r="CJ1118" s="594" t="str">
        <f>IF(ISBLANK(CJ$1112),"N/A",IF(COUNTIFS(GD_Item_FiscalPeriod,CJ$1112,GD_Item_Name,$B1118,GD_Update_Date,CJ$1110)=0,"NR",SUMIFS(GD_Guidance_Mid,GD_Item_Name,$B1118,GD_Item_FiscalPeriod,CJ$1112,GD_Update_Date,CJ$1110)))</f>
        <v>N/A</v>
      </c>
      <c r="CK1118" s="796" t="str">
        <f>IF(ISBLANK(CK$1112),"N/A",IF(COUNTIFS(GD_Item_FiscalPeriod,CK$1112,GD_Item_Name,$B1118,GD_Update_Date,CK$1110)=0,"NR",SUMIFS(GD_Guidance_Mid,GD_Item_Name,$B1118,GD_Item_FiscalPeriod,CK$1112,GD_Update_Date,CK$1110)))</f>
        <v>N/A</v>
      </c>
      <c r="CL1118" s="155"/>
    </row>
    <row r="1119" spans="1:90" x14ac:dyDescent="0.3">
      <c r="A1119" s="793" t="s">
        <v>946</v>
      </c>
      <c r="B1119" s="1055" t="s">
        <v>939</v>
      </c>
      <c r="C1119" s="1037"/>
      <c r="D1119" s="1037"/>
      <c r="E1119" s="563"/>
      <c r="F1119" s="563"/>
      <c r="G1119" s="563"/>
      <c r="H1119" s="563"/>
      <c r="I1119" s="563"/>
      <c r="J1119" s="563"/>
      <c r="K1119" s="563"/>
      <c r="L1119" s="563"/>
      <c r="M1119" s="563"/>
      <c r="N1119" s="563"/>
      <c r="O1119" s="563"/>
      <c r="P1119" s="563"/>
      <c r="Q1119" s="563"/>
      <c r="R1119" s="563"/>
      <c r="S1119" s="563"/>
      <c r="T1119" s="563"/>
      <c r="U1119" s="563"/>
      <c r="V1119" s="563"/>
      <c r="W1119" s="563"/>
      <c r="X1119" s="563"/>
      <c r="Y1119" s="563"/>
      <c r="Z1119" s="563"/>
      <c r="AA1119" s="563"/>
      <c r="AB1119" s="563"/>
      <c r="AC1119" s="563"/>
      <c r="AD1119" s="563"/>
      <c r="AE1119" s="563"/>
      <c r="AF1119" s="563"/>
      <c r="AG1119" s="563"/>
      <c r="AH1119" s="563" t="str">
        <f>IF(ISBLANK(AH$1112),"N/A",IF(COUNTIFS(GD_Item_FiscalPeriod,AH$1112,GD_Item_Name,$B1119,GD_Update_Date,AH$1110)=0,"NR",SUMIFS(GD_Guidance_Low,GD_Item_Name,$B1119,GD_Item_FiscalPeriod,AH$1112,GD_Update_Date,AH$1110)))</f>
        <v>NR</v>
      </c>
      <c r="AI1119" s="563" t="str">
        <f>IF(ISBLANK(AI$1112),"N/A",IF(COUNTIFS(GD_Item_FiscalPeriod,AI$1112,GD_Item_Name,$B1119,GD_Update_Date,AI$1110)=0,"NR",SUMIFS(GD_Guidance_Low,GD_Item_Name,$B1119,GD_Item_FiscalPeriod,AI$1112,GD_Update_Date,AI$1110)))</f>
        <v>NR</v>
      </c>
      <c r="AJ1119" s="563" t="str">
        <f>IF(ISBLANK(AJ$1112),"N/A",IF(COUNTIFS(GD_Item_FiscalPeriod,AJ$1112,GD_Item_Name,$B1119,GD_Update_Date,AJ$1110)=0,"NR",SUMIFS(GD_Guidance_Low,GD_Item_Name,$B1119,GD_Item_FiscalPeriod,AJ$1112,GD_Update_Date,AJ$1110)))</f>
        <v>NR</v>
      </c>
      <c r="AK1119" s="563" t="str">
        <f>IF(ISBLANK(AK$1112),"N/A",IF(COUNTIFS(GD_Item_FiscalPeriod,AK$1112,GD_Item_Name,$B1119,GD_Update_Date,AK$1110)=0,"NR",SUMIFS(GD_Guidance_Low,GD_Item_Name,$B1119,GD_Item_FiscalPeriod,AK$1112,GD_Update_Date,AK$1110)))</f>
        <v>NR</v>
      </c>
      <c r="AL1119" s="563" t="str">
        <f>IF(ISBLANK(AL$1112),"N/A",IF(COUNTIFS(GD_Item_FiscalPeriod,AL$1112,GD_Item_Name,$B1119,GD_Update_Date,AL$1110)=0,"NR",SUMIFS(GD_Guidance_Low,GD_Item_Name,$B1119,GD_Item_FiscalPeriod,AL$1112,GD_Update_Date,AL$1110)))</f>
        <v>NR</v>
      </c>
      <c r="AM1119" s="563" t="str">
        <f>IF(ISBLANK(AM$1112),"N/A",IF(COUNTIFS(GD_Item_FiscalPeriod,AM$1112,GD_Item_Name,$B1119,GD_Update_Date,AM$1110)=0,"NR",SUMIFS(GD_Guidance_Low,GD_Item_Name,$B1119,GD_Item_FiscalPeriod,AM$1112,GD_Update_Date,AM$1110)))</f>
        <v>NR</v>
      </c>
      <c r="AN1119" s="563" t="str">
        <f>IF(ISBLANK(AN$1112),"N/A",IF(COUNTIFS(GD_Item_FiscalPeriod,AN$1112,GD_Item_Name,$B1119,GD_Update_Date,AN$1110)=0,"NR",SUMIFS(GD_Guidance_Low,GD_Item_Name,$B1119,GD_Item_FiscalPeriod,AN$1112,GD_Update_Date,AN$1110)))</f>
        <v>NR</v>
      </c>
      <c r="AO1119" s="563" t="str">
        <f>IF(ISBLANK(AO$1112),"N/A",IF(COUNTIFS(GD_Item_FiscalPeriod,AO$1112,GD_Item_Name,$B1119,GD_Update_Date,AO$1110)=0,"NR",SUMIFS(GD_Guidance_Low,GD_Item_Name,$B1119,GD_Item_FiscalPeriod,AO$1112,GD_Update_Date,AO$1110)))</f>
        <v>NR</v>
      </c>
      <c r="AP1119" s="563" t="str">
        <f>IF(ISBLANK(AP$1112),"N/A",IF(COUNTIFS(GD_Item_FiscalPeriod,AP$1112,GD_Item_Name,$B1119,GD_Update_Date,AP$1110)=0,"NR",SUMIFS(GD_Guidance_Low,GD_Item_Name,$B1119,GD_Item_FiscalPeriod,AP$1112,GD_Update_Date,AP$1110)))</f>
        <v>NR</v>
      </c>
      <c r="AQ1119" s="563" t="str">
        <f>IF(ISBLANK(AQ$1112),"N/A",IF(COUNTIFS(GD_Item_FiscalPeriod,AQ$1112,GD_Item_Name,$B1119,GD_Update_Date,AQ$1110)=0,"NR",SUMIFS(GD_Guidance_Low,GD_Item_Name,$B1119,GD_Item_FiscalPeriod,AQ$1112,GD_Update_Date,AQ$1110)))</f>
        <v>NR</v>
      </c>
      <c r="AR1119" s="563" t="str">
        <f>IF(ISBLANK(AR$1112),"N/A",IF(COUNTIFS(GD_Item_FiscalPeriod,AR$1112,GD_Item_Name,$B1119,GD_Update_Date,AR$1110)=0,"NR",SUMIFS(GD_Guidance_Low,GD_Item_Name,$B1119,GD_Item_FiscalPeriod,AR$1112,GD_Update_Date,AR$1110)))</f>
        <v>NR</v>
      </c>
      <c r="AS1119" s="563" t="str">
        <f>IF(ISBLANK(AS$1112),"N/A",IF(COUNTIFS(GD_Item_FiscalPeriod,AS$1112,GD_Item_Name,$B1119,GD_Update_Date,AS$1110)=0,"NR",SUMIFS(GD_Guidance_Low,GD_Item_Name,$B1119,GD_Item_FiscalPeriod,AS$1112,GD_Update_Date,AS$1110)))</f>
        <v>NR</v>
      </c>
      <c r="AT1119" s="563" t="str">
        <f>IF(ISBLANK(AT$1112),"N/A",IF(COUNTIFS(GD_Item_FiscalPeriod,AT$1112,GD_Item_Name,$B1119,GD_Update_Date,AT$1110)=0,"NR",SUMIFS(GD_Guidance_Low,GD_Item_Name,$B1119,GD_Item_FiscalPeriod,AT$1112,GD_Update_Date,AT$1110)))</f>
        <v>NR</v>
      </c>
      <c r="AU1119" s="563">
        <f>IF(ISBLANK(AU$1112),"N/A",IF(COUNTIFS(GD_Item_FiscalPeriod,AU$1112,GD_Item_Name,$B1119,GD_Update_Date,AU$1110)=0,"NR",SUMIFS(GD_Guidance_Low,GD_Item_Name,$B1119,GD_Item_FiscalPeriod,AU$1112,GD_Update_Date,AU$1110)))</f>
        <v>4100</v>
      </c>
      <c r="AV1119" s="563" t="str">
        <f>IF(ISBLANK(AV$1112),"N/A",IF(COUNTIFS(GD_Item_FiscalPeriod,AV$1112,GD_Item_Name,$B1119,GD_Update_Date,AV$1110)=0,"NR",SUMIFS(GD_Guidance_Low,GD_Item_Name,$B1119,GD_Item_FiscalPeriod,AV$1112,GD_Update_Date,AV$1110)))</f>
        <v>NR</v>
      </c>
      <c r="AW1119" s="563" t="str">
        <f>IF(ISBLANK(AW$1112),"N/A",IF(COUNTIFS(GD_Item_FiscalPeriod,AW$1112,GD_Item_Name,$B1119,GD_Update_Date,AW$1110)=0,"NR",SUMIFS(GD_Guidance_Low,GD_Item_Name,$B1119,GD_Item_FiscalPeriod,AW$1112,GD_Update_Date,AW$1110)))</f>
        <v>NR</v>
      </c>
      <c r="AX1119" s="563" t="str">
        <f>IF(ISBLANK(AX$1112),"N/A",IF(COUNTIFS(GD_Item_FiscalPeriod,AX$1112,GD_Item_Name,$B1119,GD_Update_Date,AX$1110)=0,"NR",SUMIFS(GD_Guidance_Low,GD_Item_Name,$B1119,GD_Item_FiscalPeriod,AX$1112,GD_Update_Date,AX$1110)))</f>
        <v>NR</v>
      </c>
      <c r="AY1119" s="563" t="str">
        <f>IF(ISBLANK(AY$1112),"N/A",IF(COUNTIFS(GD_Item_FiscalPeriod,AY$1112,GD_Item_Name,$B1119,GD_Update_Date,AY$1110)=0,"NR",SUMIFS(GD_Guidance_Low,GD_Item_Name,$B1119,GD_Item_FiscalPeriod,AY$1112,GD_Update_Date,AY$1110)))</f>
        <v>NR</v>
      </c>
      <c r="AZ1119" s="563" t="str">
        <f>IF(ISBLANK(AZ$1112),"N/A",IF(COUNTIFS(GD_Item_FiscalPeriod,AZ$1112,GD_Item_Name,$B1119,GD_Update_Date,AZ$1110)=0,"NR",SUMIFS(GD_Guidance_Low,GD_Item_Name,$B1119,GD_Item_FiscalPeriod,AZ$1112,GD_Update_Date,AZ$1110)))</f>
        <v>NR</v>
      </c>
      <c r="BA1119" s="563" t="str">
        <f>IF(ISBLANK(BA$1112),"N/A",IF(COUNTIFS(GD_Item_FiscalPeriod,BA$1112,GD_Item_Name,$B1119,GD_Update_Date,BA$1110)=0,"NR",SUMIFS(GD_Guidance_Low,GD_Item_Name,$B1119,GD_Item_FiscalPeriod,BA$1112,GD_Update_Date,BA$1110)))</f>
        <v>NR</v>
      </c>
      <c r="BB1119" s="563" t="str">
        <f>IF(ISBLANK(BB$1112),"N/A",IF(COUNTIFS(GD_Item_FiscalPeriod,BB$1112,GD_Item_Name,$B1119,GD_Update_Date,BB$1110)=0,"NR",SUMIFS(GD_Guidance_Low,GD_Item_Name,$B1119,GD_Item_FiscalPeriod,BB$1112,GD_Update_Date,BB$1110)))</f>
        <v>NR</v>
      </c>
      <c r="BC1119" s="563" t="str">
        <f>IF(ISBLANK(BC$1112),"N/A",IF(COUNTIFS(GD_Item_FiscalPeriod,BC$1112,GD_Item_Name,$B1119,GD_Update_Date,BC$1110)=0,"NR",SUMIFS(GD_Guidance_Low,GD_Item_Name,$B1119,GD_Item_FiscalPeriod,BC$1112,GD_Update_Date,BC$1110)))</f>
        <v>NR</v>
      </c>
      <c r="BD1119" s="563" t="str">
        <f>IF(ISBLANK(BD$1112),"N/A",IF(COUNTIFS(GD_Item_FiscalPeriod,BD$1112,GD_Item_Name,$B1119,GD_Update_Date,BD$1110)=0,"NR",SUMIFS(GD_Guidance_Low,GD_Item_Name,$B1119,GD_Item_FiscalPeriod,BD$1112,GD_Update_Date,BD$1110)))</f>
        <v>NR</v>
      </c>
      <c r="BE1119" s="563" t="str">
        <f>IF(ISBLANK(BE$1112),"N/A",IF(COUNTIFS(GD_Item_FiscalPeriod,BE$1112,GD_Item_Name,$B1119,GD_Update_Date,BE$1110)=0,"NR",SUMIFS(GD_Guidance_Low,GD_Item_Name,$B1119,GD_Item_FiscalPeriod,BE$1112,GD_Update_Date,BE$1110)))</f>
        <v>NR</v>
      </c>
      <c r="BF1119" s="563" t="str">
        <f>IF(ISBLANK(BF$1112),"N/A",IF(COUNTIFS(GD_Item_FiscalPeriod,BF$1112,GD_Item_Name,$B1119,GD_Update_Date,BF$1110)=0,"NR",SUMIFS(GD_Guidance_Low,GD_Item_Name,$B1119,GD_Item_FiscalPeriod,BF$1112,GD_Update_Date,BF$1110)))</f>
        <v>NR</v>
      </c>
      <c r="BG1119" s="563" t="str">
        <f>IF(ISBLANK(BG$1112),"N/A",IF(COUNTIFS(GD_Item_FiscalPeriod,BG$1112,GD_Item_Name,$B1119,GD_Update_Date,BG$1110)=0,"NR",SUMIFS(GD_Guidance_Low,GD_Item_Name,$B1119,GD_Item_FiscalPeriod,BG$1112,GD_Update_Date,BG$1110)))</f>
        <v>NR</v>
      </c>
      <c r="BH1119" s="563" t="str">
        <f>IF(ISBLANK(BH$1112),"N/A",IF(COUNTIFS(GD_Item_FiscalPeriod,BH$1112,GD_Item_Name,$B1119,GD_Update_Date,BH$1110)=0,"NR",SUMIFS(GD_Guidance_Low,GD_Item_Name,$B1119,GD_Item_FiscalPeriod,BH$1112,GD_Update_Date,BH$1110)))</f>
        <v>NR</v>
      </c>
      <c r="BI1119" s="563" t="str">
        <f>IF(ISBLANK(BI$1112),"N/A",IF(COUNTIFS(GD_Item_FiscalPeriod,BI$1112,GD_Item_Name,$B1119,GD_Update_Date,BI$1110)=0,"NR",SUMIFS(GD_Guidance_Low,GD_Item_Name,$B1119,GD_Item_FiscalPeriod,BI$1112,GD_Update_Date,BI$1110)))</f>
        <v>NR</v>
      </c>
      <c r="BJ1119" s="563" t="str">
        <f>IF(ISBLANK(BJ$1112),"N/A",IF(COUNTIFS(GD_Item_FiscalPeriod,BJ$1112,GD_Item_Name,$B1119,GD_Update_Date,BJ$1110)=0,"NR",SUMIFS(GD_Guidance_Low,GD_Item_Name,$B1119,GD_Item_FiscalPeriod,BJ$1112,GD_Update_Date,BJ$1110)))</f>
        <v>NR</v>
      </c>
      <c r="BK1119" s="563" t="str">
        <f>IF(ISBLANK(BK$1112),"N/A",IF(COUNTIFS(GD_Item_FiscalPeriod,BK$1112,GD_Item_Name,$B1119,GD_Update_Date,BK$1110)=0,"NR",SUMIFS(GD_Guidance_Low,GD_Item_Name,$B1119,GD_Item_FiscalPeriod,BK$1112,GD_Update_Date,BK$1110)))</f>
        <v>NR</v>
      </c>
      <c r="BL1119" s="563" t="str">
        <f>IF(ISBLANK(BL$1112),"N/A",IF(COUNTIFS(GD_Item_FiscalPeriod,BL$1112,GD_Item_Name,$B1119,GD_Update_Date,BL$1110)=0,"NR",SUMIFS(GD_Guidance_Low,GD_Item_Name,$B1119,GD_Item_FiscalPeriod,BL$1112,GD_Update_Date,BL$1110)))</f>
        <v>NR</v>
      </c>
      <c r="BM1119" s="563" t="str">
        <f>IF(ISBLANK(BM$1112),"N/A",IF(COUNTIFS(GD_Item_FiscalPeriod,BM$1112,GD_Item_Name,$B1119,GD_Update_Date,BM$1110)=0,"NR",SUMIFS(GD_Guidance_Low,GD_Item_Name,$B1119,GD_Item_FiscalPeriod,BM$1112,GD_Update_Date,BM$1110)))</f>
        <v>NR</v>
      </c>
      <c r="BN1119" s="563" t="str">
        <f>IF(ISBLANK(BN$1112),"N/A",IF(COUNTIFS(GD_Item_FiscalPeriod,BN$1112,GD_Item_Name,$B1119,GD_Update_Date,BN$1110)=0,"NR",SUMIFS(GD_Guidance_Low,GD_Item_Name,$B1119,GD_Item_FiscalPeriod,BN$1112,GD_Update_Date,BN$1110)))</f>
        <v>NR</v>
      </c>
      <c r="BO1119" s="563">
        <f>IF(ISBLANK(BO$1112),"N/A",IF(COUNTIFS(GD_Item_FiscalPeriod,BO$1112,GD_Item_Name,$B1119,GD_Update_Date,BO$1110)=0,"NR",SUMIFS(GD_Guidance_Low,GD_Item_Name,$B1119,GD_Item_FiscalPeriod,BO$1112,GD_Update_Date,BO$1110)))</f>
        <v>0.41</v>
      </c>
      <c r="BP1119" s="563">
        <f>IF(ISBLANK(BP$1112),"N/A",IF(COUNTIFS(GD_Item_FiscalPeriod,BP$1112,GD_Item_Name,$B1119,GD_Update_Date,BP$1110)=0,"NR",SUMIFS(GD_Guidance_Low,GD_Item_Name,$B1119,GD_Item_FiscalPeriod,BP$1112,GD_Update_Date,BP$1110)))</f>
        <v>0.44</v>
      </c>
      <c r="BQ1119" s="563" t="str">
        <f>IF(ISBLANK(BQ$1112),"N/A",IF(COUNTIFS(GD_Item_FiscalPeriod,BQ$1112,GD_Item_Name,$B1119,GD_Update_Date,BQ$1110)=0,"NR",SUMIFS(GD_Guidance_Low,GD_Item_Name,$B1119,GD_Item_FiscalPeriod,BQ$1112,GD_Update_Date,BQ$1110)))</f>
        <v>NR</v>
      </c>
      <c r="BR1119" s="563" t="str">
        <f>IF(ISBLANK(BR$1112),"N/A",IF(COUNTIFS(GD_Item_FiscalPeriod,BR$1112,GD_Item_Name,$B1119,GD_Update_Date,BR$1110)=0,"NR",SUMIFS(GD_Guidance_Low,GD_Item_Name,$B1119,GD_Item_FiscalPeriod,BR$1112,GD_Update_Date,BR$1110)))</f>
        <v>NR</v>
      </c>
      <c r="BS1119" s="563" t="str">
        <f>IF(ISBLANK(BS$1112),"N/A",IF(COUNTIFS(GD_Item_FiscalPeriod,BS$1112,GD_Item_Name,$B1119,GD_Update_Date,BS$1110)=0,"NR",SUMIFS(GD_Guidance_Low,GD_Item_Name,$B1119,GD_Item_FiscalPeriod,BS$1112,GD_Update_Date,BS$1110)))</f>
        <v>NR</v>
      </c>
      <c r="BT1119" s="563" t="str">
        <f>IF(ISBLANK(BT$1112),"N/A",IF(COUNTIFS(GD_Item_FiscalPeriod,BT$1112,GD_Item_Name,$B1119,GD_Update_Date,BT$1110)=0,"NR",SUMIFS(GD_Guidance_Low,GD_Item_Name,$B1119,GD_Item_FiscalPeriod,BT$1112,GD_Update_Date,BT$1110)))</f>
        <v>NR</v>
      </c>
      <c r="BU1119" s="563" t="str">
        <f>IF(ISBLANK(BU$1112),"N/A",IF(COUNTIFS(GD_Item_FiscalPeriod,BU$1112,GD_Item_Name,$B1119,GD_Update_Date,BU$1110)=0,"NR",SUMIFS(GD_Guidance_Low,GD_Item_Name,$B1119,GD_Item_FiscalPeriod,BU$1112,GD_Update_Date,BU$1110)))</f>
        <v>NR</v>
      </c>
      <c r="BV1119" s="563" t="str">
        <f>IF(ISBLANK(BV$1112),"N/A",IF(COUNTIFS(GD_Item_FiscalPeriod,BV$1112,GD_Item_Name,$B1119,GD_Update_Date,BV$1110)=0,"NR",SUMIFS(GD_Guidance_Low,GD_Item_Name,$B1119,GD_Item_FiscalPeriod,BV$1112,GD_Update_Date,BV$1110)))</f>
        <v>NR</v>
      </c>
      <c r="BW1119" s="563" t="str">
        <f>IF(ISBLANK(BW$1112),"N/A",IF(COUNTIFS(GD_Item_FiscalPeriod,BW$1112,GD_Item_Name,$B1119,GD_Update_Date,BW$1110)=0,"NR",SUMIFS(GD_Guidance_Low,GD_Item_Name,$B1119,GD_Item_FiscalPeriod,BW$1112,GD_Update_Date,BW$1110)))</f>
        <v>NR</v>
      </c>
      <c r="BX1119" s="563" t="str">
        <f>IF(ISBLANK(BX$1112),"N/A",IF(COUNTIFS(GD_Item_FiscalPeriod,BX$1112,GD_Item_Name,$B1119,GD_Update_Date,BX$1110)=0,"NR",SUMIFS(GD_Guidance_Low,GD_Item_Name,$B1119,GD_Item_FiscalPeriod,BX$1112,GD_Update_Date,BX$1110)))</f>
        <v>NR</v>
      </c>
      <c r="BY1119" s="731" t="str">
        <f>IF(ISBLANK(BY$1112),"N/A",IF(COUNTIFS(GD_Item_FiscalPeriod,BY$1112,GD_Item_Name,$B1119,GD_Update_Date,BY$1110)=0,"NR",SUMIFS(GD_Guidance_Low,GD_Item_Name,$B1119,GD_Item_FiscalPeriod,BY$1112,GD_Update_Date,BY$1110)))</f>
        <v>NR</v>
      </c>
      <c r="BZ1119" s="563" t="str">
        <f>IF(ISBLANK(BZ$1112),"N/A",IF(COUNTIFS(GD_Item_FiscalPeriod,BZ$1112,GD_Item_Name,$B1119,GD_Update_Date,BZ$1110)=0,"NR",SUMIFS(GD_Guidance_Low,GD_Item_Name,$B1119,GD_Item_FiscalPeriod,BZ$1112,GD_Update_Date,BZ$1110)))</f>
        <v>N/A</v>
      </c>
      <c r="CA1119" s="563" t="str">
        <f>IF(ISBLANK(CA$1112),"N/A",IF(COUNTIFS(GD_Item_FiscalPeriod,CA$1112,GD_Item_Name,$B1119,GD_Update_Date,CA$1110)=0,"NR",SUMIFS(GD_Guidance_Low,GD_Item_Name,$B1119,GD_Item_FiscalPeriod,CA$1112,GD_Update_Date,CA$1110)))</f>
        <v>N/A</v>
      </c>
      <c r="CB1119" s="563" t="str">
        <f>IF(ISBLANK(CB$1112),"N/A",IF(COUNTIFS(GD_Item_FiscalPeriod,CB$1112,GD_Item_Name,$B1119,GD_Update_Date,CB$1110)=0,"NR",SUMIFS(GD_Guidance_Low,GD_Item_Name,$B1119,GD_Item_FiscalPeriod,CB$1112,GD_Update_Date,CB$1110)))</f>
        <v>N/A</v>
      </c>
      <c r="CC1119" s="563" t="str">
        <f>IF(ISBLANK(CC$1112),"N/A",IF(COUNTIFS(GD_Item_FiscalPeriod,CC$1112,GD_Item_Name,$B1119,GD_Update_Date,CC$1110)=0,"NR",SUMIFS(GD_Guidance_Low,GD_Item_Name,$B1119,GD_Item_FiscalPeriod,CC$1112,GD_Update_Date,CC$1110)))</f>
        <v>N/A</v>
      </c>
      <c r="CD1119" s="563" t="str">
        <f>IF(ISBLANK(CD$1112),"N/A",IF(COUNTIFS(GD_Item_FiscalPeriod,CD$1112,GD_Item_Name,$B1119,GD_Update_Date,CD$1110)=0,"NR",SUMIFS(GD_Guidance_Low,GD_Item_Name,$B1119,GD_Item_FiscalPeriod,CD$1112,GD_Update_Date,CD$1110)))</f>
        <v>N/A</v>
      </c>
      <c r="CE1119" s="563" t="str">
        <f>IF(ISBLANK(CE$1112),"N/A",IF(COUNTIFS(GD_Item_FiscalPeriod,CE$1112,GD_Item_Name,$B1119,GD_Update_Date,CE$1110)=0,"NR",SUMIFS(GD_Guidance_Low,GD_Item_Name,$B1119,GD_Item_FiscalPeriod,CE$1112,GD_Update_Date,CE$1110)))</f>
        <v>N/A</v>
      </c>
      <c r="CF1119" s="563" t="str">
        <f>IF(ISBLANK(CF$1112),"N/A",IF(COUNTIFS(GD_Item_FiscalPeriod,CF$1112,GD_Item_Name,$B1119,GD_Update_Date,CF$1110)=0,"NR",SUMIFS(GD_Guidance_Low,GD_Item_Name,$B1119,GD_Item_FiscalPeriod,CF$1112,GD_Update_Date,CF$1110)))</f>
        <v>N/A</v>
      </c>
      <c r="CG1119" s="563" t="str">
        <f>IF(ISBLANK(CG$1112),"N/A",IF(COUNTIFS(GD_Item_FiscalPeriod,CG$1112,GD_Item_Name,$B1119,GD_Update_Date,CG$1110)=0,"NR",SUMIFS(GD_Guidance_Low,GD_Item_Name,$B1119,GD_Item_FiscalPeriod,CG$1112,GD_Update_Date,CG$1110)))</f>
        <v>N/A</v>
      </c>
      <c r="CH1119" s="563" t="str">
        <f>IF(ISBLANK(CH$1112),"N/A",IF(COUNTIFS(GD_Item_FiscalPeriod,CH$1112,GD_Item_Name,$B1119,GD_Update_Date,CH$1110)=0,"NR",SUMIFS(GD_Guidance_Low,GD_Item_Name,$B1119,GD_Item_FiscalPeriod,CH$1112,GD_Update_Date,CH$1110)))</f>
        <v>N/A</v>
      </c>
      <c r="CI1119" s="563" t="str">
        <f>IF(ISBLANK(CI$1112),"N/A",IF(COUNTIFS(GD_Item_FiscalPeriod,CI$1112,GD_Item_Name,$B1119,GD_Update_Date,CI$1110)=0,"NR",SUMIFS(GD_Guidance_Low,GD_Item_Name,$B1119,GD_Item_FiscalPeriod,CI$1112,GD_Update_Date,CI$1110)))</f>
        <v>N/A</v>
      </c>
      <c r="CJ1119" s="563" t="str">
        <f>IF(ISBLANK(CJ$1112),"N/A",IF(COUNTIFS(GD_Item_FiscalPeriod,CJ$1112,GD_Item_Name,$B1119,GD_Update_Date,CJ$1110)=0,"NR",SUMIFS(GD_Guidance_Low,GD_Item_Name,$B1119,GD_Item_FiscalPeriod,CJ$1112,GD_Update_Date,CJ$1110)))</f>
        <v>N/A</v>
      </c>
      <c r="CK1119" s="794" t="str">
        <f>IF(ISBLANK(CK$1112),"N/A",IF(COUNTIFS(GD_Item_FiscalPeriod,CK$1112,GD_Item_Name,$B1119,GD_Update_Date,CK$1110)=0,"NR",SUMIFS(GD_Guidance_Low,GD_Item_Name,$B1119,GD_Item_FiscalPeriod,CK$1112,GD_Update_Date,CK$1110)))</f>
        <v>N/A</v>
      </c>
      <c r="CL1119" s="155"/>
    </row>
    <row r="1120" spans="1:90" x14ac:dyDescent="0.3">
      <c r="A1120" s="793" t="s">
        <v>947</v>
      </c>
      <c r="B1120" s="1055" t="s">
        <v>939</v>
      </c>
      <c r="C1120" s="1037"/>
      <c r="D1120" s="1037"/>
      <c r="E1120" s="563"/>
      <c r="F1120" s="563"/>
      <c r="G1120" s="563"/>
      <c r="H1120" s="563"/>
      <c r="I1120" s="563"/>
      <c r="J1120" s="563"/>
      <c r="K1120" s="563"/>
      <c r="L1120" s="563"/>
      <c r="M1120" s="563"/>
      <c r="N1120" s="563"/>
      <c r="O1120" s="563"/>
      <c r="P1120" s="563"/>
      <c r="Q1120" s="563"/>
      <c r="R1120" s="563"/>
      <c r="S1120" s="563"/>
      <c r="T1120" s="563"/>
      <c r="U1120" s="563"/>
      <c r="V1120" s="563"/>
      <c r="W1120" s="563"/>
      <c r="X1120" s="563"/>
      <c r="Y1120" s="563"/>
      <c r="Z1120" s="563"/>
      <c r="AA1120" s="563"/>
      <c r="AB1120" s="563"/>
      <c r="AC1120" s="563"/>
      <c r="AD1120" s="563"/>
      <c r="AE1120" s="563"/>
      <c r="AF1120" s="563"/>
      <c r="AG1120" s="563"/>
      <c r="AH1120" s="563" t="str">
        <f>IF(ISBLANK(AH$1112),"N/A",IF(COUNTIFS(GD_Item_FiscalPeriod,AH$1112,GD_Item_Name,$B1120,GD_Update_Date,AH$1110)=0,"NR",SUMIFS(GD_Guidance_High,GD_Item_Name,$B1120,GD_Item_FiscalPeriod,AH$1112,GD_Update_Date,AH$1110)))</f>
        <v>NR</v>
      </c>
      <c r="AI1120" s="563" t="str">
        <f>IF(ISBLANK(AI$1112),"N/A",IF(COUNTIFS(GD_Item_FiscalPeriod,AI$1112,GD_Item_Name,$B1120,GD_Update_Date,AI$1110)=0,"NR",SUMIFS(GD_Guidance_High,GD_Item_Name,$B1120,GD_Item_FiscalPeriod,AI$1112,GD_Update_Date,AI$1110)))</f>
        <v>NR</v>
      </c>
      <c r="AJ1120" s="563" t="str">
        <f>IF(ISBLANK(AJ$1112),"N/A",IF(COUNTIFS(GD_Item_FiscalPeriod,AJ$1112,GD_Item_Name,$B1120,GD_Update_Date,AJ$1110)=0,"NR",SUMIFS(GD_Guidance_High,GD_Item_Name,$B1120,GD_Item_FiscalPeriod,AJ$1112,GD_Update_Date,AJ$1110)))</f>
        <v>NR</v>
      </c>
      <c r="AK1120" s="563" t="str">
        <f>IF(ISBLANK(AK$1112),"N/A",IF(COUNTIFS(GD_Item_FiscalPeriod,AK$1112,GD_Item_Name,$B1120,GD_Update_Date,AK$1110)=0,"NR",SUMIFS(GD_Guidance_High,GD_Item_Name,$B1120,GD_Item_FiscalPeriod,AK$1112,GD_Update_Date,AK$1110)))</f>
        <v>NR</v>
      </c>
      <c r="AL1120" s="563" t="str">
        <f>IF(ISBLANK(AL$1112),"N/A",IF(COUNTIFS(GD_Item_FiscalPeriod,AL$1112,GD_Item_Name,$B1120,GD_Update_Date,AL$1110)=0,"NR",SUMIFS(GD_Guidance_High,GD_Item_Name,$B1120,GD_Item_FiscalPeriod,AL$1112,GD_Update_Date,AL$1110)))</f>
        <v>NR</v>
      </c>
      <c r="AM1120" s="563" t="str">
        <f>IF(ISBLANK(AM$1112),"N/A",IF(COUNTIFS(GD_Item_FiscalPeriod,AM$1112,GD_Item_Name,$B1120,GD_Update_Date,AM$1110)=0,"NR",SUMIFS(GD_Guidance_High,GD_Item_Name,$B1120,GD_Item_FiscalPeriod,AM$1112,GD_Update_Date,AM$1110)))</f>
        <v>NR</v>
      </c>
      <c r="AN1120" s="563" t="str">
        <f>IF(ISBLANK(AN$1112),"N/A",IF(COUNTIFS(GD_Item_FiscalPeriod,AN$1112,GD_Item_Name,$B1120,GD_Update_Date,AN$1110)=0,"NR",SUMIFS(GD_Guidance_High,GD_Item_Name,$B1120,GD_Item_FiscalPeriod,AN$1112,GD_Update_Date,AN$1110)))</f>
        <v>NR</v>
      </c>
      <c r="AO1120" s="563" t="str">
        <f>IF(ISBLANK(AO$1112),"N/A",IF(COUNTIFS(GD_Item_FiscalPeriod,AO$1112,GD_Item_Name,$B1120,GD_Update_Date,AO$1110)=0,"NR",SUMIFS(GD_Guidance_High,GD_Item_Name,$B1120,GD_Item_FiscalPeriod,AO$1112,GD_Update_Date,AO$1110)))</f>
        <v>NR</v>
      </c>
      <c r="AP1120" s="563" t="str">
        <f>IF(ISBLANK(AP$1112),"N/A",IF(COUNTIFS(GD_Item_FiscalPeriod,AP$1112,GD_Item_Name,$B1120,GD_Update_Date,AP$1110)=0,"NR",SUMIFS(GD_Guidance_High,GD_Item_Name,$B1120,GD_Item_FiscalPeriod,AP$1112,GD_Update_Date,AP$1110)))</f>
        <v>NR</v>
      </c>
      <c r="AQ1120" s="563" t="str">
        <f>IF(ISBLANK(AQ$1112),"N/A",IF(COUNTIFS(GD_Item_FiscalPeriod,AQ$1112,GD_Item_Name,$B1120,GD_Update_Date,AQ$1110)=0,"NR",SUMIFS(GD_Guidance_High,GD_Item_Name,$B1120,GD_Item_FiscalPeriod,AQ$1112,GD_Update_Date,AQ$1110)))</f>
        <v>NR</v>
      </c>
      <c r="AR1120" s="563" t="str">
        <f>IF(ISBLANK(AR$1112),"N/A",IF(COUNTIFS(GD_Item_FiscalPeriod,AR$1112,GD_Item_Name,$B1120,GD_Update_Date,AR$1110)=0,"NR",SUMIFS(GD_Guidance_High,GD_Item_Name,$B1120,GD_Item_FiscalPeriod,AR$1112,GD_Update_Date,AR$1110)))</f>
        <v>NR</v>
      </c>
      <c r="AS1120" s="563" t="str">
        <f>IF(ISBLANK(AS$1112),"N/A",IF(COUNTIFS(GD_Item_FiscalPeriod,AS$1112,GD_Item_Name,$B1120,GD_Update_Date,AS$1110)=0,"NR",SUMIFS(GD_Guidance_High,GD_Item_Name,$B1120,GD_Item_FiscalPeriod,AS$1112,GD_Update_Date,AS$1110)))</f>
        <v>NR</v>
      </c>
      <c r="AT1120" s="563" t="str">
        <f>IF(ISBLANK(AT$1112),"N/A",IF(COUNTIFS(GD_Item_FiscalPeriod,AT$1112,GD_Item_Name,$B1120,GD_Update_Date,AT$1110)=0,"NR",SUMIFS(GD_Guidance_High,GD_Item_Name,$B1120,GD_Item_FiscalPeriod,AT$1112,GD_Update_Date,AT$1110)))</f>
        <v>NR</v>
      </c>
      <c r="AU1120" s="563">
        <f>IF(ISBLANK(AU$1112),"N/A",IF(COUNTIFS(GD_Item_FiscalPeriod,AU$1112,GD_Item_Name,$B1120,GD_Update_Date,AU$1110)=0,"NR",SUMIFS(GD_Guidance_High,GD_Item_Name,$B1120,GD_Item_FiscalPeriod,AU$1112,GD_Update_Date,AU$1110)))</f>
        <v>4100</v>
      </c>
      <c r="AV1120" s="563" t="str">
        <f>IF(ISBLANK(AV$1112),"N/A",IF(COUNTIFS(GD_Item_FiscalPeriod,AV$1112,GD_Item_Name,$B1120,GD_Update_Date,AV$1110)=0,"NR",SUMIFS(GD_Guidance_High,GD_Item_Name,$B1120,GD_Item_FiscalPeriod,AV$1112,GD_Update_Date,AV$1110)))</f>
        <v>NR</v>
      </c>
      <c r="AW1120" s="563" t="str">
        <f>IF(ISBLANK(AW$1112),"N/A",IF(COUNTIFS(GD_Item_FiscalPeriod,AW$1112,GD_Item_Name,$B1120,GD_Update_Date,AW$1110)=0,"NR",SUMIFS(GD_Guidance_High,GD_Item_Name,$B1120,GD_Item_FiscalPeriod,AW$1112,GD_Update_Date,AW$1110)))</f>
        <v>NR</v>
      </c>
      <c r="AX1120" s="563" t="str">
        <f>IF(ISBLANK(AX$1112),"N/A",IF(COUNTIFS(GD_Item_FiscalPeriod,AX$1112,GD_Item_Name,$B1120,GD_Update_Date,AX$1110)=0,"NR",SUMIFS(GD_Guidance_High,GD_Item_Name,$B1120,GD_Item_FiscalPeriod,AX$1112,GD_Update_Date,AX$1110)))</f>
        <v>NR</v>
      </c>
      <c r="AY1120" s="563" t="str">
        <f>IF(ISBLANK(AY$1112),"N/A",IF(COUNTIFS(GD_Item_FiscalPeriod,AY$1112,GD_Item_Name,$B1120,GD_Update_Date,AY$1110)=0,"NR",SUMIFS(GD_Guidance_High,GD_Item_Name,$B1120,GD_Item_FiscalPeriod,AY$1112,GD_Update_Date,AY$1110)))</f>
        <v>NR</v>
      </c>
      <c r="AZ1120" s="563" t="str">
        <f>IF(ISBLANK(AZ$1112),"N/A",IF(COUNTIFS(GD_Item_FiscalPeriod,AZ$1112,GD_Item_Name,$B1120,GD_Update_Date,AZ$1110)=0,"NR",SUMIFS(GD_Guidance_High,GD_Item_Name,$B1120,GD_Item_FiscalPeriod,AZ$1112,GD_Update_Date,AZ$1110)))</f>
        <v>NR</v>
      </c>
      <c r="BA1120" s="563" t="str">
        <f>IF(ISBLANK(BA$1112),"N/A",IF(COUNTIFS(GD_Item_FiscalPeriod,BA$1112,GD_Item_Name,$B1120,GD_Update_Date,BA$1110)=0,"NR",SUMIFS(GD_Guidance_High,GD_Item_Name,$B1120,GD_Item_FiscalPeriod,BA$1112,GD_Update_Date,BA$1110)))</f>
        <v>NR</v>
      </c>
      <c r="BB1120" s="563" t="str">
        <f>IF(ISBLANK(BB$1112),"N/A",IF(COUNTIFS(GD_Item_FiscalPeriod,BB$1112,GD_Item_Name,$B1120,GD_Update_Date,BB$1110)=0,"NR",SUMIFS(GD_Guidance_High,GD_Item_Name,$B1120,GD_Item_FiscalPeriod,BB$1112,GD_Update_Date,BB$1110)))</f>
        <v>NR</v>
      </c>
      <c r="BC1120" s="563" t="str">
        <f>IF(ISBLANK(BC$1112),"N/A",IF(COUNTIFS(GD_Item_FiscalPeriod,BC$1112,GD_Item_Name,$B1120,GD_Update_Date,BC$1110)=0,"NR",SUMIFS(GD_Guidance_High,GD_Item_Name,$B1120,GD_Item_FiscalPeriod,BC$1112,GD_Update_Date,BC$1110)))</f>
        <v>NR</v>
      </c>
      <c r="BD1120" s="563" t="str">
        <f>IF(ISBLANK(BD$1112),"N/A",IF(COUNTIFS(GD_Item_FiscalPeriod,BD$1112,GD_Item_Name,$B1120,GD_Update_Date,BD$1110)=0,"NR",SUMIFS(GD_Guidance_High,GD_Item_Name,$B1120,GD_Item_FiscalPeriod,BD$1112,GD_Update_Date,BD$1110)))</f>
        <v>NR</v>
      </c>
      <c r="BE1120" s="563" t="str">
        <f>IF(ISBLANK(BE$1112),"N/A",IF(COUNTIFS(GD_Item_FiscalPeriod,BE$1112,GD_Item_Name,$B1120,GD_Update_Date,BE$1110)=0,"NR",SUMIFS(GD_Guidance_High,GD_Item_Name,$B1120,GD_Item_FiscalPeriod,BE$1112,GD_Update_Date,BE$1110)))</f>
        <v>NR</v>
      </c>
      <c r="BF1120" s="563" t="str">
        <f>IF(ISBLANK(BF$1112),"N/A",IF(COUNTIFS(GD_Item_FiscalPeriod,BF$1112,GD_Item_Name,$B1120,GD_Update_Date,BF$1110)=0,"NR",SUMIFS(GD_Guidance_High,GD_Item_Name,$B1120,GD_Item_FiscalPeriod,BF$1112,GD_Update_Date,BF$1110)))</f>
        <v>NR</v>
      </c>
      <c r="BG1120" s="563" t="str">
        <f>IF(ISBLANK(BG$1112),"N/A",IF(COUNTIFS(GD_Item_FiscalPeriod,BG$1112,GD_Item_Name,$B1120,GD_Update_Date,BG$1110)=0,"NR",SUMIFS(GD_Guidance_High,GD_Item_Name,$B1120,GD_Item_FiscalPeriod,BG$1112,GD_Update_Date,BG$1110)))</f>
        <v>NR</v>
      </c>
      <c r="BH1120" s="563" t="str">
        <f>IF(ISBLANK(BH$1112),"N/A",IF(COUNTIFS(GD_Item_FiscalPeriod,BH$1112,GD_Item_Name,$B1120,GD_Update_Date,BH$1110)=0,"NR",SUMIFS(GD_Guidance_High,GD_Item_Name,$B1120,GD_Item_FiscalPeriod,BH$1112,GD_Update_Date,BH$1110)))</f>
        <v>NR</v>
      </c>
      <c r="BI1120" s="563" t="str">
        <f>IF(ISBLANK(BI$1112),"N/A",IF(COUNTIFS(GD_Item_FiscalPeriod,BI$1112,GD_Item_Name,$B1120,GD_Update_Date,BI$1110)=0,"NR",SUMIFS(GD_Guidance_High,GD_Item_Name,$B1120,GD_Item_FiscalPeriod,BI$1112,GD_Update_Date,BI$1110)))</f>
        <v>NR</v>
      </c>
      <c r="BJ1120" s="563" t="str">
        <f>IF(ISBLANK(BJ$1112),"N/A",IF(COUNTIFS(GD_Item_FiscalPeriod,BJ$1112,GD_Item_Name,$B1120,GD_Update_Date,BJ$1110)=0,"NR",SUMIFS(GD_Guidance_High,GD_Item_Name,$B1120,GD_Item_FiscalPeriod,BJ$1112,GD_Update_Date,BJ$1110)))</f>
        <v>NR</v>
      </c>
      <c r="BK1120" s="563" t="str">
        <f>IF(ISBLANK(BK$1112),"N/A",IF(COUNTIFS(GD_Item_FiscalPeriod,BK$1112,GD_Item_Name,$B1120,GD_Update_Date,BK$1110)=0,"NR",SUMIFS(GD_Guidance_High,GD_Item_Name,$B1120,GD_Item_FiscalPeriod,BK$1112,GD_Update_Date,BK$1110)))</f>
        <v>NR</v>
      </c>
      <c r="BL1120" s="563" t="str">
        <f>IF(ISBLANK(BL$1112),"N/A",IF(COUNTIFS(GD_Item_FiscalPeriod,BL$1112,GD_Item_Name,$B1120,GD_Update_Date,BL$1110)=0,"NR",SUMIFS(GD_Guidance_High,GD_Item_Name,$B1120,GD_Item_FiscalPeriod,BL$1112,GD_Update_Date,BL$1110)))</f>
        <v>NR</v>
      </c>
      <c r="BM1120" s="563" t="str">
        <f>IF(ISBLANK(BM$1112),"N/A",IF(COUNTIFS(GD_Item_FiscalPeriod,BM$1112,GD_Item_Name,$B1120,GD_Update_Date,BM$1110)=0,"NR",SUMIFS(GD_Guidance_High,GD_Item_Name,$B1120,GD_Item_FiscalPeriod,BM$1112,GD_Update_Date,BM$1110)))</f>
        <v>NR</v>
      </c>
      <c r="BN1120" s="563" t="str">
        <f>IF(ISBLANK(BN$1112),"N/A",IF(COUNTIFS(GD_Item_FiscalPeriod,BN$1112,GD_Item_Name,$B1120,GD_Update_Date,BN$1110)=0,"NR",SUMIFS(GD_Guidance_High,GD_Item_Name,$B1120,GD_Item_FiscalPeriod,BN$1112,GD_Update_Date,BN$1110)))</f>
        <v>NR</v>
      </c>
      <c r="BO1120" s="563">
        <f>IF(ISBLANK(BO$1112),"N/A",IF(COUNTIFS(GD_Item_FiscalPeriod,BO$1112,GD_Item_Name,$B1120,GD_Update_Date,BO$1110)=0,"NR",SUMIFS(GD_Guidance_High,GD_Item_Name,$B1120,GD_Item_FiscalPeriod,BO$1112,GD_Update_Date,BO$1110)))</f>
        <v>0.43</v>
      </c>
      <c r="BP1120" s="563">
        <f>IF(ISBLANK(BP$1112),"N/A",IF(COUNTIFS(GD_Item_FiscalPeriod,BP$1112,GD_Item_Name,$B1120,GD_Update_Date,BP$1110)=0,"NR",SUMIFS(GD_Guidance_High,GD_Item_Name,$B1120,GD_Item_FiscalPeriod,BP$1112,GD_Update_Date,BP$1110)))</f>
        <v>0.49</v>
      </c>
      <c r="BQ1120" s="563" t="str">
        <f>IF(ISBLANK(BQ$1112),"N/A",IF(COUNTIFS(GD_Item_FiscalPeriod,BQ$1112,GD_Item_Name,$B1120,GD_Update_Date,BQ$1110)=0,"NR",SUMIFS(GD_Guidance_High,GD_Item_Name,$B1120,GD_Item_FiscalPeriod,BQ$1112,GD_Update_Date,BQ$1110)))</f>
        <v>NR</v>
      </c>
      <c r="BR1120" s="563" t="str">
        <f>IF(ISBLANK(BR$1112),"N/A",IF(COUNTIFS(GD_Item_FiscalPeriod,BR$1112,GD_Item_Name,$B1120,GD_Update_Date,BR$1110)=0,"NR",SUMIFS(GD_Guidance_High,GD_Item_Name,$B1120,GD_Item_FiscalPeriod,BR$1112,GD_Update_Date,BR$1110)))</f>
        <v>NR</v>
      </c>
      <c r="BS1120" s="563" t="str">
        <f>IF(ISBLANK(BS$1112),"N/A",IF(COUNTIFS(GD_Item_FiscalPeriod,BS$1112,GD_Item_Name,$B1120,GD_Update_Date,BS$1110)=0,"NR",SUMIFS(GD_Guidance_High,GD_Item_Name,$B1120,GD_Item_FiscalPeriod,BS$1112,GD_Update_Date,BS$1110)))</f>
        <v>NR</v>
      </c>
      <c r="BT1120" s="563" t="str">
        <f>IF(ISBLANK(BT$1112),"N/A",IF(COUNTIFS(GD_Item_FiscalPeriod,BT$1112,GD_Item_Name,$B1120,GD_Update_Date,BT$1110)=0,"NR",SUMIFS(GD_Guidance_High,GD_Item_Name,$B1120,GD_Item_FiscalPeriod,BT$1112,GD_Update_Date,BT$1110)))</f>
        <v>NR</v>
      </c>
      <c r="BU1120" s="563" t="str">
        <f>IF(ISBLANK(BU$1112),"N/A",IF(COUNTIFS(GD_Item_FiscalPeriod,BU$1112,GD_Item_Name,$B1120,GD_Update_Date,BU$1110)=0,"NR",SUMIFS(GD_Guidance_High,GD_Item_Name,$B1120,GD_Item_FiscalPeriod,BU$1112,GD_Update_Date,BU$1110)))</f>
        <v>NR</v>
      </c>
      <c r="BV1120" s="563" t="str">
        <f>IF(ISBLANK(BV$1112),"N/A",IF(COUNTIFS(GD_Item_FiscalPeriod,BV$1112,GD_Item_Name,$B1120,GD_Update_Date,BV$1110)=0,"NR",SUMIFS(GD_Guidance_High,GD_Item_Name,$B1120,GD_Item_FiscalPeriod,BV$1112,GD_Update_Date,BV$1110)))</f>
        <v>NR</v>
      </c>
      <c r="BW1120" s="563" t="str">
        <f>IF(ISBLANK(BW$1112),"N/A",IF(COUNTIFS(GD_Item_FiscalPeriod,BW$1112,GD_Item_Name,$B1120,GD_Update_Date,BW$1110)=0,"NR",SUMIFS(GD_Guidance_High,GD_Item_Name,$B1120,GD_Item_FiscalPeriod,BW$1112,GD_Update_Date,BW$1110)))</f>
        <v>NR</v>
      </c>
      <c r="BX1120" s="563" t="str">
        <f>IF(ISBLANK(BX$1112),"N/A",IF(COUNTIFS(GD_Item_FiscalPeriod,BX$1112,GD_Item_Name,$B1120,GD_Update_Date,BX$1110)=0,"NR",SUMIFS(GD_Guidance_High,GD_Item_Name,$B1120,GD_Item_FiscalPeriod,BX$1112,GD_Update_Date,BX$1110)))</f>
        <v>NR</v>
      </c>
      <c r="BY1120" s="731" t="str">
        <f>IF(ISBLANK(BY$1112),"N/A",IF(COUNTIFS(GD_Item_FiscalPeriod,BY$1112,GD_Item_Name,$B1120,GD_Update_Date,BY$1110)=0,"NR",SUMIFS(GD_Guidance_High,GD_Item_Name,$B1120,GD_Item_FiscalPeriod,BY$1112,GD_Update_Date,BY$1110)))</f>
        <v>NR</v>
      </c>
      <c r="BZ1120" s="563" t="str">
        <f>IF(ISBLANK(BZ$1112),"N/A",IF(COUNTIFS(GD_Item_FiscalPeriod,BZ$1112,GD_Item_Name,$B1120,GD_Update_Date,BZ$1110)=0,"NR",SUMIFS(GD_Guidance_High,GD_Item_Name,$B1120,GD_Item_FiscalPeriod,BZ$1112,GD_Update_Date,BZ$1110)))</f>
        <v>N/A</v>
      </c>
      <c r="CA1120" s="563" t="str">
        <f>IF(ISBLANK(CA$1112),"N/A",IF(COUNTIFS(GD_Item_FiscalPeriod,CA$1112,GD_Item_Name,$B1120,GD_Update_Date,CA$1110)=0,"NR",SUMIFS(GD_Guidance_High,GD_Item_Name,$B1120,GD_Item_FiscalPeriod,CA$1112,GD_Update_Date,CA$1110)))</f>
        <v>N/A</v>
      </c>
      <c r="CB1120" s="563" t="str">
        <f>IF(ISBLANK(CB$1112),"N/A",IF(COUNTIFS(GD_Item_FiscalPeriod,CB$1112,GD_Item_Name,$B1120,GD_Update_Date,CB$1110)=0,"NR",SUMIFS(GD_Guidance_High,GD_Item_Name,$B1120,GD_Item_FiscalPeriod,CB$1112,GD_Update_Date,CB$1110)))</f>
        <v>N/A</v>
      </c>
      <c r="CC1120" s="563" t="str">
        <f>IF(ISBLANK(CC$1112),"N/A",IF(COUNTIFS(GD_Item_FiscalPeriod,CC$1112,GD_Item_Name,$B1120,GD_Update_Date,CC$1110)=0,"NR",SUMIFS(GD_Guidance_High,GD_Item_Name,$B1120,GD_Item_FiscalPeriod,CC$1112,GD_Update_Date,CC$1110)))</f>
        <v>N/A</v>
      </c>
      <c r="CD1120" s="563" t="str">
        <f>IF(ISBLANK(CD$1112),"N/A",IF(COUNTIFS(GD_Item_FiscalPeriod,CD$1112,GD_Item_Name,$B1120,GD_Update_Date,CD$1110)=0,"NR",SUMIFS(GD_Guidance_High,GD_Item_Name,$B1120,GD_Item_FiscalPeriod,CD$1112,GD_Update_Date,CD$1110)))</f>
        <v>N/A</v>
      </c>
      <c r="CE1120" s="563" t="str">
        <f>IF(ISBLANK(CE$1112),"N/A",IF(COUNTIFS(GD_Item_FiscalPeriod,CE$1112,GD_Item_Name,$B1120,GD_Update_Date,CE$1110)=0,"NR",SUMIFS(GD_Guidance_High,GD_Item_Name,$B1120,GD_Item_FiscalPeriod,CE$1112,GD_Update_Date,CE$1110)))</f>
        <v>N/A</v>
      </c>
      <c r="CF1120" s="563" t="str">
        <f>IF(ISBLANK(CF$1112),"N/A",IF(COUNTIFS(GD_Item_FiscalPeriod,CF$1112,GD_Item_Name,$B1120,GD_Update_Date,CF$1110)=0,"NR",SUMIFS(GD_Guidance_High,GD_Item_Name,$B1120,GD_Item_FiscalPeriod,CF$1112,GD_Update_Date,CF$1110)))</f>
        <v>N/A</v>
      </c>
      <c r="CG1120" s="563" t="str">
        <f>IF(ISBLANK(CG$1112),"N/A",IF(COUNTIFS(GD_Item_FiscalPeriod,CG$1112,GD_Item_Name,$B1120,GD_Update_Date,CG$1110)=0,"NR",SUMIFS(GD_Guidance_High,GD_Item_Name,$B1120,GD_Item_FiscalPeriod,CG$1112,GD_Update_Date,CG$1110)))</f>
        <v>N/A</v>
      </c>
      <c r="CH1120" s="563" t="str">
        <f>IF(ISBLANK(CH$1112),"N/A",IF(COUNTIFS(GD_Item_FiscalPeriod,CH$1112,GD_Item_Name,$B1120,GD_Update_Date,CH$1110)=0,"NR",SUMIFS(GD_Guidance_High,GD_Item_Name,$B1120,GD_Item_FiscalPeriod,CH$1112,GD_Update_Date,CH$1110)))</f>
        <v>N/A</v>
      </c>
      <c r="CI1120" s="563" t="str">
        <f>IF(ISBLANK(CI$1112),"N/A",IF(COUNTIFS(GD_Item_FiscalPeriod,CI$1112,GD_Item_Name,$B1120,GD_Update_Date,CI$1110)=0,"NR",SUMIFS(GD_Guidance_High,GD_Item_Name,$B1120,GD_Item_FiscalPeriod,CI$1112,GD_Update_Date,CI$1110)))</f>
        <v>N/A</v>
      </c>
      <c r="CJ1120" s="563" t="str">
        <f>IF(ISBLANK(CJ$1112),"N/A",IF(COUNTIFS(GD_Item_FiscalPeriod,CJ$1112,GD_Item_Name,$B1120,GD_Update_Date,CJ$1110)=0,"NR",SUMIFS(GD_Guidance_High,GD_Item_Name,$B1120,GD_Item_FiscalPeriod,CJ$1112,GD_Update_Date,CJ$1110)))</f>
        <v>N/A</v>
      </c>
      <c r="CK1120" s="794" t="str">
        <f>IF(ISBLANK(CK$1112),"N/A",IF(COUNTIFS(GD_Item_FiscalPeriod,CK$1112,GD_Item_Name,$B1120,GD_Update_Date,CK$1110)=0,"NR",SUMIFS(GD_Guidance_High,GD_Item_Name,$B1120,GD_Item_FiscalPeriod,CK$1112,GD_Update_Date,CK$1110)))</f>
        <v>N/A</v>
      </c>
      <c r="CL1120" s="155"/>
    </row>
    <row r="1121" spans="1:90" x14ac:dyDescent="0.3">
      <c r="A1121" s="793" t="s">
        <v>948</v>
      </c>
      <c r="B1121" s="1055" t="s">
        <v>939</v>
      </c>
      <c r="C1121" s="1037"/>
      <c r="D1121" s="1037"/>
      <c r="E1121" s="563"/>
      <c r="F1121" s="563"/>
      <c r="G1121" s="563"/>
      <c r="H1121" s="563"/>
      <c r="I1121" s="563"/>
      <c r="J1121" s="563"/>
      <c r="K1121" s="563"/>
      <c r="L1121" s="563"/>
      <c r="M1121" s="563"/>
      <c r="N1121" s="563"/>
      <c r="O1121" s="563"/>
      <c r="P1121" s="563"/>
      <c r="Q1121" s="563"/>
      <c r="R1121" s="563"/>
      <c r="S1121" s="563"/>
      <c r="T1121" s="563"/>
      <c r="U1121" s="563"/>
      <c r="V1121" s="563"/>
      <c r="W1121" s="563"/>
      <c r="X1121" s="563"/>
      <c r="Y1121" s="563"/>
      <c r="Z1121" s="563"/>
      <c r="AA1121" s="563"/>
      <c r="AB1121" s="563"/>
      <c r="AC1121" s="563"/>
      <c r="AD1121" s="563"/>
      <c r="AE1121" s="563"/>
      <c r="AF1121" s="563"/>
      <c r="AG1121" s="563"/>
      <c r="AH1121" s="563" t="str">
        <f>IF(ISBLANK(AH$1112),"N/A",IF(COUNTIFS(GD_Item_FiscalPeriod,AH$1112,GD_Item_Name,$B1121,GD_Update_Date,AH$1110)=0,"NR",SUMIFS(GD_Guidance_Mid,GD_Item_Name,$B1121,GD_Item_FiscalPeriod,AH$1112,GD_Update_Date,AH$1110)))</f>
        <v>NR</v>
      </c>
      <c r="AI1121" s="563" t="str">
        <f>IF(ISBLANK(AI$1112),"N/A",IF(COUNTIFS(GD_Item_FiscalPeriod,AI$1112,GD_Item_Name,$B1121,GD_Update_Date,AI$1110)=0,"NR",SUMIFS(GD_Guidance_Mid,GD_Item_Name,$B1121,GD_Item_FiscalPeriod,AI$1112,GD_Update_Date,AI$1110)))</f>
        <v>NR</v>
      </c>
      <c r="AJ1121" s="563" t="str">
        <f>IF(ISBLANK(AJ$1112),"N/A",IF(COUNTIFS(GD_Item_FiscalPeriod,AJ$1112,GD_Item_Name,$B1121,GD_Update_Date,AJ$1110)=0,"NR",SUMIFS(GD_Guidance_Mid,GD_Item_Name,$B1121,GD_Item_FiscalPeriod,AJ$1112,GD_Update_Date,AJ$1110)))</f>
        <v>NR</v>
      </c>
      <c r="AK1121" s="563" t="str">
        <f>IF(ISBLANK(AK$1112),"N/A",IF(COUNTIFS(GD_Item_FiscalPeriod,AK$1112,GD_Item_Name,$B1121,GD_Update_Date,AK$1110)=0,"NR",SUMIFS(GD_Guidance_Mid,GD_Item_Name,$B1121,GD_Item_FiscalPeriod,AK$1112,GD_Update_Date,AK$1110)))</f>
        <v>NR</v>
      </c>
      <c r="AL1121" s="563" t="str">
        <f>IF(ISBLANK(AL$1112),"N/A",IF(COUNTIFS(GD_Item_FiscalPeriod,AL$1112,GD_Item_Name,$B1121,GD_Update_Date,AL$1110)=0,"NR",SUMIFS(GD_Guidance_Mid,GD_Item_Name,$B1121,GD_Item_FiscalPeriod,AL$1112,GD_Update_Date,AL$1110)))</f>
        <v>NR</v>
      </c>
      <c r="AM1121" s="563" t="str">
        <f>IF(ISBLANK(AM$1112),"N/A",IF(COUNTIFS(GD_Item_FiscalPeriod,AM$1112,GD_Item_Name,$B1121,GD_Update_Date,AM$1110)=0,"NR",SUMIFS(GD_Guidance_Mid,GD_Item_Name,$B1121,GD_Item_FiscalPeriod,AM$1112,GD_Update_Date,AM$1110)))</f>
        <v>NR</v>
      </c>
      <c r="AN1121" s="563" t="str">
        <f>IF(ISBLANK(AN$1112),"N/A",IF(COUNTIFS(GD_Item_FiscalPeriod,AN$1112,GD_Item_Name,$B1121,GD_Update_Date,AN$1110)=0,"NR",SUMIFS(GD_Guidance_Mid,GD_Item_Name,$B1121,GD_Item_FiscalPeriod,AN$1112,GD_Update_Date,AN$1110)))</f>
        <v>NR</v>
      </c>
      <c r="AO1121" s="563" t="str">
        <f>IF(ISBLANK(AO$1112),"N/A",IF(COUNTIFS(GD_Item_FiscalPeriod,AO$1112,GD_Item_Name,$B1121,GD_Update_Date,AO$1110)=0,"NR",SUMIFS(GD_Guidance_Mid,GD_Item_Name,$B1121,GD_Item_FiscalPeriod,AO$1112,GD_Update_Date,AO$1110)))</f>
        <v>NR</v>
      </c>
      <c r="AP1121" s="563" t="str">
        <f>IF(ISBLANK(AP$1112),"N/A",IF(COUNTIFS(GD_Item_FiscalPeriod,AP$1112,GD_Item_Name,$B1121,GD_Update_Date,AP$1110)=0,"NR",SUMIFS(GD_Guidance_Mid,GD_Item_Name,$B1121,GD_Item_FiscalPeriod,AP$1112,GD_Update_Date,AP$1110)))</f>
        <v>NR</v>
      </c>
      <c r="AQ1121" s="563" t="str">
        <f>IF(ISBLANK(AQ$1112),"N/A",IF(COUNTIFS(GD_Item_FiscalPeriod,AQ$1112,GD_Item_Name,$B1121,GD_Update_Date,AQ$1110)=0,"NR",SUMIFS(GD_Guidance_Mid,GD_Item_Name,$B1121,GD_Item_FiscalPeriod,AQ$1112,GD_Update_Date,AQ$1110)))</f>
        <v>NR</v>
      </c>
      <c r="AR1121" s="563" t="str">
        <f>IF(ISBLANK(AR$1112),"N/A",IF(COUNTIFS(GD_Item_FiscalPeriod,AR$1112,GD_Item_Name,$B1121,GD_Update_Date,AR$1110)=0,"NR",SUMIFS(GD_Guidance_Mid,GD_Item_Name,$B1121,GD_Item_FiscalPeriod,AR$1112,GD_Update_Date,AR$1110)))</f>
        <v>NR</v>
      </c>
      <c r="AS1121" s="563" t="str">
        <f>IF(ISBLANK(AS$1112),"N/A",IF(COUNTIFS(GD_Item_FiscalPeriod,AS$1112,GD_Item_Name,$B1121,GD_Update_Date,AS$1110)=0,"NR",SUMIFS(GD_Guidance_Mid,GD_Item_Name,$B1121,GD_Item_FiscalPeriod,AS$1112,GD_Update_Date,AS$1110)))</f>
        <v>NR</v>
      </c>
      <c r="AT1121" s="563" t="str">
        <f>IF(ISBLANK(AT$1112),"N/A",IF(COUNTIFS(GD_Item_FiscalPeriod,AT$1112,GD_Item_Name,$B1121,GD_Update_Date,AT$1110)=0,"NR",SUMIFS(GD_Guidance_Mid,GD_Item_Name,$B1121,GD_Item_FiscalPeriod,AT$1112,GD_Update_Date,AT$1110)))</f>
        <v>NR</v>
      </c>
      <c r="AU1121" s="563">
        <f>IF(ISBLANK(AU$1112),"N/A",IF(COUNTIFS(GD_Item_FiscalPeriod,AU$1112,GD_Item_Name,$B1121,GD_Update_Date,AU$1110)=0,"NR",SUMIFS(GD_Guidance_Mid,GD_Item_Name,$B1121,GD_Item_FiscalPeriod,AU$1112,GD_Update_Date,AU$1110)))</f>
        <v>4100</v>
      </c>
      <c r="AV1121" s="563" t="str">
        <f>IF(ISBLANK(AV$1112),"N/A",IF(COUNTIFS(GD_Item_FiscalPeriod,AV$1112,GD_Item_Name,$B1121,GD_Update_Date,AV$1110)=0,"NR",SUMIFS(GD_Guidance_Mid,GD_Item_Name,$B1121,GD_Item_FiscalPeriod,AV$1112,GD_Update_Date,AV$1110)))</f>
        <v>NR</v>
      </c>
      <c r="AW1121" s="563" t="str">
        <f>IF(ISBLANK(AW$1112),"N/A",IF(COUNTIFS(GD_Item_FiscalPeriod,AW$1112,GD_Item_Name,$B1121,GD_Update_Date,AW$1110)=0,"NR",SUMIFS(GD_Guidance_Mid,GD_Item_Name,$B1121,GD_Item_FiscalPeriod,AW$1112,GD_Update_Date,AW$1110)))</f>
        <v>NR</v>
      </c>
      <c r="AX1121" s="563" t="str">
        <f>IF(ISBLANK(AX$1112),"N/A",IF(COUNTIFS(GD_Item_FiscalPeriod,AX$1112,GD_Item_Name,$B1121,GD_Update_Date,AX$1110)=0,"NR",SUMIFS(GD_Guidance_Mid,GD_Item_Name,$B1121,GD_Item_FiscalPeriod,AX$1112,GD_Update_Date,AX$1110)))</f>
        <v>NR</v>
      </c>
      <c r="AY1121" s="563" t="str">
        <f>IF(ISBLANK(AY$1112),"N/A",IF(COUNTIFS(GD_Item_FiscalPeriod,AY$1112,GD_Item_Name,$B1121,GD_Update_Date,AY$1110)=0,"NR",SUMIFS(GD_Guidance_Mid,GD_Item_Name,$B1121,GD_Item_FiscalPeriod,AY$1112,GD_Update_Date,AY$1110)))</f>
        <v>NR</v>
      </c>
      <c r="AZ1121" s="563" t="str">
        <f>IF(ISBLANK(AZ$1112),"N/A",IF(COUNTIFS(GD_Item_FiscalPeriod,AZ$1112,GD_Item_Name,$B1121,GD_Update_Date,AZ$1110)=0,"NR",SUMIFS(GD_Guidance_Mid,GD_Item_Name,$B1121,GD_Item_FiscalPeriod,AZ$1112,GD_Update_Date,AZ$1110)))</f>
        <v>NR</v>
      </c>
      <c r="BA1121" s="563" t="str">
        <f>IF(ISBLANK(BA$1112),"N/A",IF(COUNTIFS(GD_Item_FiscalPeriod,BA$1112,GD_Item_Name,$B1121,GD_Update_Date,BA$1110)=0,"NR",SUMIFS(GD_Guidance_Mid,GD_Item_Name,$B1121,GD_Item_FiscalPeriod,BA$1112,GD_Update_Date,BA$1110)))</f>
        <v>NR</v>
      </c>
      <c r="BB1121" s="563" t="str">
        <f>IF(ISBLANK(BB$1112),"N/A",IF(COUNTIFS(GD_Item_FiscalPeriod,BB$1112,GD_Item_Name,$B1121,GD_Update_Date,BB$1110)=0,"NR",SUMIFS(GD_Guidance_Mid,GD_Item_Name,$B1121,GD_Item_FiscalPeriod,BB$1112,GD_Update_Date,BB$1110)))</f>
        <v>NR</v>
      </c>
      <c r="BC1121" s="563" t="str">
        <f>IF(ISBLANK(BC$1112),"N/A",IF(COUNTIFS(GD_Item_FiscalPeriod,BC$1112,GD_Item_Name,$B1121,GD_Update_Date,BC$1110)=0,"NR",SUMIFS(GD_Guidance_Mid,GD_Item_Name,$B1121,GD_Item_FiscalPeriod,BC$1112,GD_Update_Date,BC$1110)))</f>
        <v>NR</v>
      </c>
      <c r="BD1121" s="563" t="str">
        <f>IF(ISBLANK(BD$1112),"N/A",IF(COUNTIFS(GD_Item_FiscalPeriod,BD$1112,GD_Item_Name,$B1121,GD_Update_Date,BD$1110)=0,"NR",SUMIFS(GD_Guidance_Mid,GD_Item_Name,$B1121,GD_Item_FiscalPeriod,BD$1112,GD_Update_Date,BD$1110)))</f>
        <v>NR</v>
      </c>
      <c r="BE1121" s="563" t="str">
        <f>IF(ISBLANK(BE$1112),"N/A",IF(COUNTIFS(GD_Item_FiscalPeriod,BE$1112,GD_Item_Name,$B1121,GD_Update_Date,BE$1110)=0,"NR",SUMIFS(GD_Guidance_Mid,GD_Item_Name,$B1121,GD_Item_FiscalPeriod,BE$1112,GD_Update_Date,BE$1110)))</f>
        <v>NR</v>
      </c>
      <c r="BF1121" s="563" t="str">
        <f>IF(ISBLANK(BF$1112),"N/A",IF(COUNTIFS(GD_Item_FiscalPeriod,BF$1112,GD_Item_Name,$B1121,GD_Update_Date,BF$1110)=0,"NR",SUMIFS(GD_Guidance_Mid,GD_Item_Name,$B1121,GD_Item_FiscalPeriod,BF$1112,GD_Update_Date,BF$1110)))</f>
        <v>NR</v>
      </c>
      <c r="BG1121" s="563" t="str">
        <f>IF(ISBLANK(BG$1112),"N/A",IF(COUNTIFS(GD_Item_FiscalPeriod,BG$1112,GD_Item_Name,$B1121,GD_Update_Date,BG$1110)=0,"NR",SUMIFS(GD_Guidance_Mid,GD_Item_Name,$B1121,GD_Item_FiscalPeriod,BG$1112,GD_Update_Date,BG$1110)))</f>
        <v>NR</v>
      </c>
      <c r="BH1121" s="563" t="str">
        <f>IF(ISBLANK(BH$1112),"N/A",IF(COUNTIFS(GD_Item_FiscalPeriod,BH$1112,GD_Item_Name,$B1121,GD_Update_Date,BH$1110)=0,"NR",SUMIFS(GD_Guidance_Mid,GD_Item_Name,$B1121,GD_Item_FiscalPeriod,BH$1112,GD_Update_Date,BH$1110)))</f>
        <v>NR</v>
      </c>
      <c r="BI1121" s="563" t="str">
        <f>IF(ISBLANK(BI$1112),"N/A",IF(COUNTIFS(GD_Item_FiscalPeriod,BI$1112,GD_Item_Name,$B1121,GD_Update_Date,BI$1110)=0,"NR",SUMIFS(GD_Guidance_Mid,GD_Item_Name,$B1121,GD_Item_FiscalPeriod,BI$1112,GD_Update_Date,BI$1110)))</f>
        <v>NR</v>
      </c>
      <c r="BJ1121" s="563" t="str">
        <f>IF(ISBLANK(BJ$1112),"N/A",IF(COUNTIFS(GD_Item_FiscalPeriod,BJ$1112,GD_Item_Name,$B1121,GD_Update_Date,BJ$1110)=0,"NR",SUMIFS(GD_Guidance_Mid,GD_Item_Name,$B1121,GD_Item_FiscalPeriod,BJ$1112,GD_Update_Date,BJ$1110)))</f>
        <v>NR</v>
      </c>
      <c r="BK1121" s="563" t="str">
        <f>IF(ISBLANK(BK$1112),"N/A",IF(COUNTIFS(GD_Item_FiscalPeriod,BK$1112,GD_Item_Name,$B1121,GD_Update_Date,BK$1110)=0,"NR",SUMIFS(GD_Guidance_Mid,GD_Item_Name,$B1121,GD_Item_FiscalPeriod,BK$1112,GD_Update_Date,BK$1110)))</f>
        <v>NR</v>
      </c>
      <c r="BL1121" s="563" t="str">
        <f>IF(ISBLANK(BL$1112),"N/A",IF(COUNTIFS(GD_Item_FiscalPeriod,BL$1112,GD_Item_Name,$B1121,GD_Update_Date,BL$1110)=0,"NR",SUMIFS(GD_Guidance_Mid,GD_Item_Name,$B1121,GD_Item_FiscalPeriod,BL$1112,GD_Update_Date,BL$1110)))</f>
        <v>NR</v>
      </c>
      <c r="BM1121" s="563" t="str">
        <f>IF(ISBLANK(BM$1112),"N/A",IF(COUNTIFS(GD_Item_FiscalPeriod,BM$1112,GD_Item_Name,$B1121,GD_Update_Date,BM$1110)=0,"NR",SUMIFS(GD_Guidance_Mid,GD_Item_Name,$B1121,GD_Item_FiscalPeriod,BM$1112,GD_Update_Date,BM$1110)))</f>
        <v>NR</v>
      </c>
      <c r="BN1121" s="563" t="str">
        <f>IF(ISBLANK(BN$1112),"N/A",IF(COUNTIFS(GD_Item_FiscalPeriod,BN$1112,GD_Item_Name,$B1121,GD_Update_Date,BN$1110)=0,"NR",SUMIFS(GD_Guidance_Mid,GD_Item_Name,$B1121,GD_Item_FiscalPeriod,BN$1112,GD_Update_Date,BN$1110)))</f>
        <v>NR</v>
      </c>
      <c r="BO1121" s="563">
        <f>IF(ISBLANK(BO$1112),"N/A",IF(COUNTIFS(GD_Item_FiscalPeriod,BO$1112,GD_Item_Name,$B1121,GD_Update_Date,BO$1110)=0,"NR",SUMIFS(GD_Guidance_Mid,GD_Item_Name,$B1121,GD_Item_FiscalPeriod,BO$1112,GD_Update_Date,BO$1110)))</f>
        <v>0.42</v>
      </c>
      <c r="BP1121" s="563">
        <f>IF(ISBLANK(BP$1112),"N/A",IF(COUNTIFS(GD_Item_FiscalPeriod,BP$1112,GD_Item_Name,$B1121,GD_Update_Date,BP$1110)=0,"NR",SUMIFS(GD_Guidance_Mid,GD_Item_Name,$B1121,GD_Item_FiscalPeriod,BP$1112,GD_Update_Date,BP$1110)))</f>
        <v>0.46499999999999997</v>
      </c>
      <c r="BQ1121" s="563" t="str">
        <f>IF(ISBLANK(BQ$1112),"N/A",IF(COUNTIFS(GD_Item_FiscalPeriod,BQ$1112,GD_Item_Name,$B1121,GD_Update_Date,BQ$1110)=0,"NR",SUMIFS(GD_Guidance_Mid,GD_Item_Name,$B1121,GD_Item_FiscalPeriod,BQ$1112,GD_Update_Date,BQ$1110)))</f>
        <v>NR</v>
      </c>
      <c r="BR1121" s="563" t="str">
        <f>IF(ISBLANK(BR$1112),"N/A",IF(COUNTIFS(GD_Item_FiscalPeriod,BR$1112,GD_Item_Name,$B1121,GD_Update_Date,BR$1110)=0,"NR",SUMIFS(GD_Guidance_Mid,GD_Item_Name,$B1121,GD_Item_FiscalPeriod,BR$1112,GD_Update_Date,BR$1110)))</f>
        <v>NR</v>
      </c>
      <c r="BS1121" s="563" t="str">
        <f>IF(ISBLANK(BS$1112),"N/A",IF(COUNTIFS(GD_Item_FiscalPeriod,BS$1112,GD_Item_Name,$B1121,GD_Update_Date,BS$1110)=0,"NR",SUMIFS(GD_Guidance_Mid,GD_Item_Name,$B1121,GD_Item_FiscalPeriod,BS$1112,GD_Update_Date,BS$1110)))</f>
        <v>NR</v>
      </c>
      <c r="BT1121" s="563" t="str">
        <f>IF(ISBLANK(BT$1112),"N/A",IF(COUNTIFS(GD_Item_FiscalPeriod,BT$1112,GD_Item_Name,$B1121,GD_Update_Date,BT$1110)=0,"NR",SUMIFS(GD_Guidance_Mid,GD_Item_Name,$B1121,GD_Item_FiscalPeriod,BT$1112,GD_Update_Date,BT$1110)))</f>
        <v>NR</v>
      </c>
      <c r="BU1121" s="563" t="str">
        <f>IF(ISBLANK(BU$1112),"N/A",IF(COUNTIFS(GD_Item_FiscalPeriod,BU$1112,GD_Item_Name,$B1121,GD_Update_Date,BU$1110)=0,"NR",SUMIFS(GD_Guidance_Mid,GD_Item_Name,$B1121,GD_Item_FiscalPeriod,BU$1112,GD_Update_Date,BU$1110)))</f>
        <v>NR</v>
      </c>
      <c r="BV1121" s="563" t="str">
        <f>IF(ISBLANK(BV$1112),"N/A",IF(COUNTIFS(GD_Item_FiscalPeriod,BV$1112,GD_Item_Name,$B1121,GD_Update_Date,BV$1110)=0,"NR",SUMIFS(GD_Guidance_Mid,GD_Item_Name,$B1121,GD_Item_FiscalPeriod,BV$1112,GD_Update_Date,BV$1110)))</f>
        <v>NR</v>
      </c>
      <c r="BW1121" s="563" t="str">
        <f>IF(ISBLANK(BW$1112),"N/A",IF(COUNTIFS(GD_Item_FiscalPeriod,BW$1112,GD_Item_Name,$B1121,GD_Update_Date,BW$1110)=0,"NR",SUMIFS(GD_Guidance_Mid,GD_Item_Name,$B1121,GD_Item_FiscalPeriod,BW$1112,GD_Update_Date,BW$1110)))</f>
        <v>NR</v>
      </c>
      <c r="BX1121" s="563" t="str">
        <f>IF(ISBLANK(BX$1112),"N/A",IF(COUNTIFS(GD_Item_FiscalPeriod,BX$1112,GD_Item_Name,$B1121,GD_Update_Date,BX$1110)=0,"NR",SUMIFS(GD_Guidance_Mid,GD_Item_Name,$B1121,GD_Item_FiscalPeriod,BX$1112,GD_Update_Date,BX$1110)))</f>
        <v>NR</v>
      </c>
      <c r="BY1121" s="731" t="str">
        <f>IF(ISBLANK(BY$1112),"N/A",IF(COUNTIFS(GD_Item_FiscalPeriod,BY$1112,GD_Item_Name,$B1121,GD_Update_Date,BY$1110)=0,"NR",SUMIFS(GD_Guidance_Mid,GD_Item_Name,$B1121,GD_Item_FiscalPeriod,BY$1112,GD_Update_Date,BY$1110)))</f>
        <v>NR</v>
      </c>
      <c r="BZ1121" s="563" t="str">
        <f>IF(ISBLANK(BZ$1112),"N/A",IF(COUNTIFS(GD_Item_FiscalPeriod,BZ$1112,GD_Item_Name,$B1121,GD_Update_Date,BZ$1110)=0,"NR",SUMIFS(GD_Guidance_Mid,GD_Item_Name,$B1121,GD_Item_FiscalPeriod,BZ$1112,GD_Update_Date,BZ$1110)))</f>
        <v>N/A</v>
      </c>
      <c r="CA1121" s="563" t="str">
        <f>IF(ISBLANK(CA$1112),"N/A",IF(COUNTIFS(GD_Item_FiscalPeriod,CA$1112,GD_Item_Name,$B1121,GD_Update_Date,CA$1110)=0,"NR",SUMIFS(GD_Guidance_Mid,GD_Item_Name,$B1121,GD_Item_FiscalPeriod,CA$1112,GD_Update_Date,CA$1110)))</f>
        <v>N/A</v>
      </c>
      <c r="CB1121" s="563" t="str">
        <f>IF(ISBLANK(CB$1112),"N/A",IF(COUNTIFS(GD_Item_FiscalPeriod,CB$1112,GD_Item_Name,$B1121,GD_Update_Date,CB$1110)=0,"NR",SUMIFS(GD_Guidance_Mid,GD_Item_Name,$B1121,GD_Item_FiscalPeriod,CB$1112,GD_Update_Date,CB$1110)))</f>
        <v>N/A</v>
      </c>
      <c r="CC1121" s="563" t="str">
        <f>IF(ISBLANK(CC$1112),"N/A",IF(COUNTIFS(GD_Item_FiscalPeriod,CC$1112,GD_Item_Name,$B1121,GD_Update_Date,CC$1110)=0,"NR",SUMIFS(GD_Guidance_Mid,GD_Item_Name,$B1121,GD_Item_FiscalPeriod,CC$1112,GD_Update_Date,CC$1110)))</f>
        <v>N/A</v>
      </c>
      <c r="CD1121" s="563" t="str">
        <f>IF(ISBLANK(CD$1112),"N/A",IF(COUNTIFS(GD_Item_FiscalPeriod,CD$1112,GD_Item_Name,$B1121,GD_Update_Date,CD$1110)=0,"NR",SUMIFS(GD_Guidance_Mid,GD_Item_Name,$B1121,GD_Item_FiscalPeriod,CD$1112,GD_Update_Date,CD$1110)))</f>
        <v>N/A</v>
      </c>
      <c r="CE1121" s="563" t="str">
        <f>IF(ISBLANK(CE$1112),"N/A",IF(COUNTIFS(GD_Item_FiscalPeriod,CE$1112,GD_Item_Name,$B1121,GD_Update_Date,CE$1110)=0,"NR",SUMIFS(GD_Guidance_Mid,GD_Item_Name,$B1121,GD_Item_FiscalPeriod,CE$1112,GD_Update_Date,CE$1110)))</f>
        <v>N/A</v>
      </c>
      <c r="CF1121" s="563" t="str">
        <f>IF(ISBLANK(CF$1112),"N/A",IF(COUNTIFS(GD_Item_FiscalPeriod,CF$1112,GD_Item_Name,$B1121,GD_Update_Date,CF$1110)=0,"NR",SUMIFS(GD_Guidance_Mid,GD_Item_Name,$B1121,GD_Item_FiscalPeriod,CF$1112,GD_Update_Date,CF$1110)))</f>
        <v>N/A</v>
      </c>
      <c r="CG1121" s="563" t="str">
        <f>IF(ISBLANK(CG$1112),"N/A",IF(COUNTIFS(GD_Item_FiscalPeriod,CG$1112,GD_Item_Name,$B1121,GD_Update_Date,CG$1110)=0,"NR",SUMIFS(GD_Guidance_Mid,GD_Item_Name,$B1121,GD_Item_FiscalPeriod,CG$1112,GD_Update_Date,CG$1110)))</f>
        <v>N/A</v>
      </c>
      <c r="CH1121" s="563" t="str">
        <f>IF(ISBLANK(CH$1112),"N/A",IF(COUNTIFS(GD_Item_FiscalPeriod,CH$1112,GD_Item_Name,$B1121,GD_Update_Date,CH$1110)=0,"NR",SUMIFS(GD_Guidance_Mid,GD_Item_Name,$B1121,GD_Item_FiscalPeriod,CH$1112,GD_Update_Date,CH$1110)))</f>
        <v>N/A</v>
      </c>
      <c r="CI1121" s="563" t="str">
        <f>IF(ISBLANK(CI$1112),"N/A",IF(COUNTIFS(GD_Item_FiscalPeriod,CI$1112,GD_Item_Name,$B1121,GD_Update_Date,CI$1110)=0,"NR",SUMIFS(GD_Guidance_Mid,GD_Item_Name,$B1121,GD_Item_FiscalPeriod,CI$1112,GD_Update_Date,CI$1110)))</f>
        <v>N/A</v>
      </c>
      <c r="CJ1121" s="563" t="str">
        <f>IF(ISBLANK(CJ$1112),"N/A",IF(COUNTIFS(GD_Item_FiscalPeriod,CJ$1112,GD_Item_Name,$B1121,GD_Update_Date,CJ$1110)=0,"NR",SUMIFS(GD_Guidance_Mid,GD_Item_Name,$B1121,GD_Item_FiscalPeriod,CJ$1112,GD_Update_Date,CJ$1110)))</f>
        <v>N/A</v>
      </c>
      <c r="CK1121" s="794" t="str">
        <f>IF(ISBLANK(CK$1112),"N/A",IF(COUNTIFS(GD_Item_FiscalPeriod,CK$1112,GD_Item_Name,$B1121,GD_Update_Date,CK$1110)=0,"NR",SUMIFS(GD_Guidance_Mid,GD_Item_Name,$B1121,GD_Item_FiscalPeriod,CK$1112,GD_Update_Date,CK$1110)))</f>
        <v>N/A</v>
      </c>
      <c r="CL1121" s="155"/>
    </row>
    <row r="1122" spans="1:90" x14ac:dyDescent="0.3">
      <c r="A1122" s="793" t="s">
        <v>949</v>
      </c>
      <c r="B1122" s="1055" t="s">
        <v>560</v>
      </c>
      <c r="C1122" s="1037"/>
      <c r="D1122" s="1037"/>
      <c r="E1122" s="563"/>
      <c r="F1122" s="563"/>
      <c r="G1122" s="563"/>
      <c r="H1122" s="563"/>
      <c r="I1122" s="563"/>
      <c r="J1122" s="563"/>
      <c r="K1122" s="563"/>
      <c r="L1122" s="563"/>
      <c r="M1122" s="563"/>
      <c r="N1122" s="563"/>
      <c r="O1122" s="563"/>
      <c r="P1122" s="563"/>
      <c r="Q1122" s="563"/>
      <c r="R1122" s="563"/>
      <c r="S1122" s="563"/>
      <c r="T1122" s="563"/>
      <c r="U1122" s="563"/>
      <c r="V1122" s="563"/>
      <c r="W1122" s="563"/>
      <c r="X1122" s="563"/>
      <c r="Y1122" s="563"/>
      <c r="Z1122" s="563"/>
      <c r="AA1122" s="563"/>
      <c r="AB1122" s="563"/>
      <c r="AC1122" s="563"/>
      <c r="AD1122" s="563"/>
      <c r="AE1122" s="563"/>
      <c r="AF1122" s="563"/>
      <c r="AG1122" s="563"/>
      <c r="AH1122" s="563" t="str">
        <f>IF(ISBLANK(AH$1112),"N/A",IF(COUNTIFS(GD_Item_FiscalPeriod,AH$1112,GD_Item_Name,$B1122,GD_Update_Date,AH$1110)=0,"NR",SUMIFS(GD_Guidance_Low,GD_Item_Name,$B1122,GD_Item_FiscalPeriod,AH$1112,GD_Update_Date,AH$1110)))</f>
        <v>NR</v>
      </c>
      <c r="AI1122" s="563" t="str">
        <f>IF(ISBLANK(AI$1112),"N/A",IF(COUNTIFS(GD_Item_FiscalPeriod,AI$1112,GD_Item_Name,$B1122,GD_Update_Date,AI$1110)=0,"NR",SUMIFS(GD_Guidance_Low,GD_Item_Name,$B1122,GD_Item_FiscalPeriod,AI$1112,GD_Update_Date,AI$1110)))</f>
        <v>NR</v>
      </c>
      <c r="AJ1122" s="563" t="str">
        <f>IF(ISBLANK(AJ$1112),"N/A",IF(COUNTIFS(GD_Item_FiscalPeriod,AJ$1112,GD_Item_Name,$B1122,GD_Update_Date,AJ$1110)=0,"NR",SUMIFS(GD_Guidance_Low,GD_Item_Name,$B1122,GD_Item_FiscalPeriod,AJ$1112,GD_Update_Date,AJ$1110)))</f>
        <v>NR</v>
      </c>
      <c r="AK1122" s="563" t="str">
        <f>IF(ISBLANK(AK$1112),"N/A",IF(COUNTIFS(GD_Item_FiscalPeriod,AK$1112,GD_Item_Name,$B1122,GD_Update_Date,AK$1110)=0,"NR",SUMIFS(GD_Guidance_Low,GD_Item_Name,$B1122,GD_Item_FiscalPeriod,AK$1112,GD_Update_Date,AK$1110)))</f>
        <v>NR</v>
      </c>
      <c r="AL1122" s="563" t="str">
        <f>IF(ISBLANK(AL$1112),"N/A",IF(COUNTIFS(GD_Item_FiscalPeriod,AL$1112,GD_Item_Name,$B1122,GD_Update_Date,AL$1110)=0,"NR",SUMIFS(GD_Guidance_Low,GD_Item_Name,$B1122,GD_Item_FiscalPeriod,AL$1112,GD_Update_Date,AL$1110)))</f>
        <v>NR</v>
      </c>
      <c r="AM1122" s="563" t="str">
        <f>IF(ISBLANK(AM$1112),"N/A",IF(COUNTIFS(GD_Item_FiscalPeriod,AM$1112,GD_Item_Name,$B1122,GD_Update_Date,AM$1110)=0,"NR",SUMIFS(GD_Guidance_Low,GD_Item_Name,$B1122,GD_Item_FiscalPeriod,AM$1112,GD_Update_Date,AM$1110)))</f>
        <v>NR</v>
      </c>
      <c r="AN1122" s="563" t="str">
        <f>IF(ISBLANK(AN$1112),"N/A",IF(COUNTIFS(GD_Item_FiscalPeriod,AN$1112,GD_Item_Name,$B1122,GD_Update_Date,AN$1110)=0,"NR",SUMIFS(GD_Guidance_Low,GD_Item_Name,$B1122,GD_Item_FiscalPeriod,AN$1112,GD_Update_Date,AN$1110)))</f>
        <v>NR</v>
      </c>
      <c r="AO1122" s="563" t="str">
        <f>IF(ISBLANK(AO$1112),"N/A",IF(COUNTIFS(GD_Item_FiscalPeriod,AO$1112,GD_Item_Name,$B1122,GD_Update_Date,AO$1110)=0,"NR",SUMIFS(GD_Guidance_Low,GD_Item_Name,$B1122,GD_Item_FiscalPeriod,AO$1112,GD_Update_Date,AO$1110)))</f>
        <v>NR</v>
      </c>
      <c r="AP1122" s="563" t="str">
        <f>IF(ISBLANK(AP$1112),"N/A",IF(COUNTIFS(GD_Item_FiscalPeriod,AP$1112,GD_Item_Name,$B1122,GD_Update_Date,AP$1110)=0,"NR",SUMIFS(GD_Guidance_Low,GD_Item_Name,$B1122,GD_Item_FiscalPeriod,AP$1112,GD_Update_Date,AP$1110)))</f>
        <v>NR</v>
      </c>
      <c r="AQ1122" s="563" t="str">
        <f>IF(ISBLANK(AQ$1112),"N/A",IF(COUNTIFS(GD_Item_FiscalPeriod,AQ$1112,GD_Item_Name,$B1122,GD_Update_Date,AQ$1110)=0,"NR",SUMIFS(GD_Guidance_Low,GD_Item_Name,$B1122,GD_Item_FiscalPeriod,AQ$1112,GD_Update_Date,AQ$1110)))</f>
        <v>NR</v>
      </c>
      <c r="AR1122" s="563" t="str">
        <f>IF(ISBLANK(AR$1112),"N/A",IF(COUNTIFS(GD_Item_FiscalPeriod,AR$1112,GD_Item_Name,$B1122,GD_Update_Date,AR$1110)=0,"NR",SUMIFS(GD_Guidance_Low,GD_Item_Name,$B1122,GD_Item_FiscalPeriod,AR$1112,GD_Update_Date,AR$1110)))</f>
        <v>NR</v>
      </c>
      <c r="AS1122" s="563" t="str">
        <f>IF(ISBLANK(AS$1112),"N/A",IF(COUNTIFS(GD_Item_FiscalPeriod,AS$1112,GD_Item_Name,$B1122,GD_Update_Date,AS$1110)=0,"NR",SUMIFS(GD_Guidance_Low,GD_Item_Name,$B1122,GD_Item_FiscalPeriod,AS$1112,GD_Update_Date,AS$1110)))</f>
        <v>NR</v>
      </c>
      <c r="AT1122" s="563" t="str">
        <f>IF(ISBLANK(AT$1112),"N/A",IF(COUNTIFS(GD_Item_FiscalPeriod,AT$1112,GD_Item_Name,$B1122,GD_Update_Date,AT$1110)=0,"NR",SUMIFS(GD_Guidance_Low,GD_Item_Name,$B1122,GD_Item_FiscalPeriod,AT$1112,GD_Update_Date,AT$1110)))</f>
        <v>NR</v>
      </c>
      <c r="AU1122" s="563" t="str">
        <f>IF(ISBLANK(AU$1112),"N/A",IF(COUNTIFS(GD_Item_FiscalPeriod,AU$1112,GD_Item_Name,$B1122,GD_Update_Date,AU$1110)=0,"NR",SUMIFS(GD_Guidance_Low,GD_Item_Name,$B1122,GD_Item_FiscalPeriod,AU$1112,GD_Update_Date,AU$1110)))</f>
        <v>NR</v>
      </c>
      <c r="AV1122" s="563" t="str">
        <f>IF(ISBLANK(AV$1112),"N/A",IF(COUNTIFS(GD_Item_FiscalPeriod,AV$1112,GD_Item_Name,$B1122,GD_Update_Date,AV$1110)=0,"NR",SUMIFS(GD_Guidance_Low,GD_Item_Name,$B1122,GD_Item_FiscalPeriod,AV$1112,GD_Update_Date,AV$1110)))</f>
        <v>NR</v>
      </c>
      <c r="AW1122" s="563" t="str">
        <f>IF(ISBLANK(AW$1112),"N/A",IF(COUNTIFS(GD_Item_FiscalPeriod,AW$1112,GD_Item_Name,$B1122,GD_Update_Date,AW$1110)=0,"NR",SUMIFS(GD_Guidance_Low,GD_Item_Name,$B1122,GD_Item_FiscalPeriod,AW$1112,GD_Update_Date,AW$1110)))</f>
        <v>NR</v>
      </c>
      <c r="AX1122" s="563" t="str">
        <f>IF(ISBLANK(AX$1112),"N/A",IF(COUNTIFS(GD_Item_FiscalPeriod,AX$1112,GD_Item_Name,$B1122,GD_Update_Date,AX$1110)=0,"NR",SUMIFS(GD_Guidance_Low,GD_Item_Name,$B1122,GD_Item_FiscalPeriod,AX$1112,GD_Update_Date,AX$1110)))</f>
        <v>NR</v>
      </c>
      <c r="AY1122" s="563" t="str">
        <f>IF(ISBLANK(AY$1112),"N/A",IF(COUNTIFS(GD_Item_FiscalPeriod,AY$1112,GD_Item_Name,$B1122,GD_Update_Date,AY$1110)=0,"NR",SUMIFS(GD_Guidance_Low,GD_Item_Name,$B1122,GD_Item_FiscalPeriod,AY$1112,GD_Update_Date,AY$1110)))</f>
        <v>NR</v>
      </c>
      <c r="AZ1122" s="563" t="str">
        <f>IF(ISBLANK(AZ$1112),"N/A",IF(COUNTIFS(GD_Item_FiscalPeriod,AZ$1112,GD_Item_Name,$B1122,GD_Update_Date,AZ$1110)=0,"NR",SUMIFS(GD_Guidance_Low,GD_Item_Name,$B1122,GD_Item_FiscalPeriod,AZ$1112,GD_Update_Date,AZ$1110)))</f>
        <v>NR</v>
      </c>
      <c r="BA1122" s="563" t="str">
        <f>IF(ISBLANK(BA$1112),"N/A",IF(COUNTIFS(GD_Item_FiscalPeriod,BA$1112,GD_Item_Name,$B1122,GD_Update_Date,BA$1110)=0,"NR",SUMIFS(GD_Guidance_Low,GD_Item_Name,$B1122,GD_Item_FiscalPeriod,BA$1112,GD_Update_Date,BA$1110)))</f>
        <v>NR</v>
      </c>
      <c r="BB1122" s="563" t="str">
        <f>IF(ISBLANK(BB$1112),"N/A",IF(COUNTIFS(GD_Item_FiscalPeriod,BB$1112,GD_Item_Name,$B1122,GD_Update_Date,BB$1110)=0,"NR",SUMIFS(GD_Guidance_Low,GD_Item_Name,$B1122,GD_Item_FiscalPeriod,BB$1112,GD_Update_Date,BB$1110)))</f>
        <v>NR</v>
      </c>
      <c r="BC1122" s="563" t="str">
        <f>IF(ISBLANK(BC$1112),"N/A",IF(COUNTIFS(GD_Item_FiscalPeriod,BC$1112,GD_Item_Name,$B1122,GD_Update_Date,BC$1110)=0,"NR",SUMIFS(GD_Guidance_Low,GD_Item_Name,$B1122,GD_Item_FiscalPeriod,BC$1112,GD_Update_Date,BC$1110)))</f>
        <v>NR</v>
      </c>
      <c r="BD1122" s="563" t="str">
        <f>IF(ISBLANK(BD$1112),"N/A",IF(COUNTIFS(GD_Item_FiscalPeriod,BD$1112,GD_Item_Name,$B1122,GD_Update_Date,BD$1110)=0,"NR",SUMIFS(GD_Guidance_Low,GD_Item_Name,$B1122,GD_Item_FiscalPeriod,BD$1112,GD_Update_Date,BD$1110)))</f>
        <v>NR</v>
      </c>
      <c r="BE1122" s="563" t="str">
        <f>IF(ISBLANK(BE$1112),"N/A",IF(COUNTIFS(GD_Item_FiscalPeriod,BE$1112,GD_Item_Name,$B1122,GD_Update_Date,BE$1110)=0,"NR",SUMIFS(GD_Guidance_Low,GD_Item_Name,$B1122,GD_Item_FiscalPeriod,BE$1112,GD_Update_Date,BE$1110)))</f>
        <v>NR</v>
      </c>
      <c r="BF1122" s="563" t="str">
        <f>IF(ISBLANK(BF$1112),"N/A",IF(COUNTIFS(GD_Item_FiscalPeriod,BF$1112,GD_Item_Name,$B1122,GD_Update_Date,BF$1110)=0,"NR",SUMIFS(GD_Guidance_Low,GD_Item_Name,$B1122,GD_Item_FiscalPeriod,BF$1112,GD_Update_Date,BF$1110)))</f>
        <v>NR</v>
      </c>
      <c r="BG1122" s="563" t="str">
        <f>IF(ISBLANK(BG$1112),"N/A",IF(COUNTIFS(GD_Item_FiscalPeriod,BG$1112,GD_Item_Name,$B1122,GD_Update_Date,BG$1110)=0,"NR",SUMIFS(GD_Guidance_Low,GD_Item_Name,$B1122,GD_Item_FiscalPeriod,BG$1112,GD_Update_Date,BG$1110)))</f>
        <v>NR</v>
      </c>
      <c r="BH1122" s="563">
        <f>IF(ISBLANK(BH$1112),"N/A",IF(COUNTIFS(GD_Item_FiscalPeriod,BH$1112,GD_Item_Name,$B1122,GD_Update_Date,BH$1110)=0,"NR",SUMIFS(GD_Guidance_Low,GD_Item_Name,$B1122,GD_Item_FiscalPeriod,BH$1112,GD_Update_Date,BH$1110)))</f>
        <v>-1300</v>
      </c>
      <c r="BI1122" s="563">
        <f>IF(ISBLANK(BI$1112),"N/A",IF(COUNTIFS(GD_Item_FiscalPeriod,BI$1112,GD_Item_Name,$B1122,GD_Update_Date,BI$1110)=0,"NR",SUMIFS(GD_Guidance_Low,GD_Item_Name,$B1122,GD_Item_FiscalPeriod,BI$1112,GD_Update_Date,BI$1110)))</f>
        <v>-1300</v>
      </c>
      <c r="BJ1122" s="563">
        <f>IF(ISBLANK(BJ$1112),"N/A",IF(COUNTIFS(GD_Item_FiscalPeriod,BJ$1112,GD_Item_Name,$B1122,GD_Update_Date,BJ$1110)=0,"NR",SUMIFS(GD_Guidance_Low,GD_Item_Name,$B1122,GD_Item_FiscalPeriod,BJ$1112,GD_Update_Date,BJ$1110)))</f>
        <v>-1100</v>
      </c>
      <c r="BK1122" s="563" t="str">
        <f>IF(ISBLANK(BK$1112),"N/A",IF(COUNTIFS(GD_Item_FiscalPeriod,BK$1112,GD_Item_Name,$B1122,GD_Update_Date,BK$1110)=0,"NR",SUMIFS(GD_Guidance_Low,GD_Item_Name,$B1122,GD_Item_FiscalPeriod,BK$1112,GD_Update_Date,BK$1110)))</f>
        <v>NR</v>
      </c>
      <c r="BL1122" s="563" t="str">
        <f>IF(ISBLANK(BL$1112),"N/A",IF(COUNTIFS(GD_Item_FiscalPeriod,BL$1112,GD_Item_Name,$B1122,GD_Update_Date,BL$1110)=0,"NR",SUMIFS(GD_Guidance_Low,GD_Item_Name,$B1122,GD_Item_FiscalPeriod,BL$1112,GD_Update_Date,BL$1110)))</f>
        <v>NR</v>
      </c>
      <c r="BM1122" s="563" t="str">
        <f>IF(ISBLANK(BM$1112),"N/A",IF(COUNTIFS(GD_Item_FiscalPeriod,BM$1112,GD_Item_Name,$B1122,GD_Update_Date,BM$1110)=0,"NR",SUMIFS(GD_Guidance_Low,GD_Item_Name,$B1122,GD_Item_FiscalPeriod,BM$1112,GD_Update_Date,BM$1110)))</f>
        <v>NR</v>
      </c>
      <c r="BN1122" s="563" t="str">
        <f>IF(ISBLANK(BN$1112),"N/A",IF(COUNTIFS(GD_Item_FiscalPeriod,BN$1112,GD_Item_Name,$B1122,GD_Update_Date,BN$1110)=0,"NR",SUMIFS(GD_Guidance_Low,GD_Item_Name,$B1122,GD_Item_FiscalPeriod,BN$1112,GD_Update_Date,BN$1110)))</f>
        <v>NR</v>
      </c>
      <c r="BO1122" s="563" t="str">
        <f>IF(ISBLANK(BO$1112),"N/A",IF(COUNTIFS(GD_Item_FiscalPeriod,BO$1112,GD_Item_Name,$B1122,GD_Update_Date,BO$1110)=0,"NR",SUMIFS(GD_Guidance_Low,GD_Item_Name,$B1122,GD_Item_FiscalPeriod,BO$1112,GD_Update_Date,BO$1110)))</f>
        <v>NR</v>
      </c>
      <c r="BP1122" s="563" t="str">
        <f>IF(ISBLANK(BP$1112),"N/A",IF(COUNTIFS(GD_Item_FiscalPeriod,BP$1112,GD_Item_Name,$B1122,GD_Update_Date,BP$1110)=0,"NR",SUMIFS(GD_Guidance_Low,GD_Item_Name,$B1122,GD_Item_FiscalPeriod,BP$1112,GD_Update_Date,BP$1110)))</f>
        <v>NR</v>
      </c>
      <c r="BQ1122" s="563" t="str">
        <f>IF(ISBLANK(BQ$1112),"N/A",IF(COUNTIFS(GD_Item_FiscalPeriod,BQ$1112,GD_Item_Name,$B1122,GD_Update_Date,BQ$1110)=0,"NR",SUMIFS(GD_Guidance_Low,GD_Item_Name,$B1122,GD_Item_FiscalPeriod,BQ$1112,GD_Update_Date,BQ$1110)))</f>
        <v>NR</v>
      </c>
      <c r="BR1122" s="563" t="str">
        <f>IF(ISBLANK(BR$1112),"N/A",IF(COUNTIFS(GD_Item_FiscalPeriod,BR$1112,GD_Item_Name,$B1122,GD_Update_Date,BR$1110)=0,"NR",SUMIFS(GD_Guidance_Low,GD_Item_Name,$B1122,GD_Item_FiscalPeriod,BR$1112,GD_Update_Date,BR$1110)))</f>
        <v>NR</v>
      </c>
      <c r="BS1122" s="563" t="str">
        <f>IF(ISBLANK(BS$1112),"N/A",IF(COUNTIFS(GD_Item_FiscalPeriod,BS$1112,GD_Item_Name,$B1122,GD_Update_Date,BS$1110)=0,"NR",SUMIFS(GD_Guidance_Low,GD_Item_Name,$B1122,GD_Item_FiscalPeriod,BS$1112,GD_Update_Date,BS$1110)))</f>
        <v>NR</v>
      </c>
      <c r="BT1122" s="563" t="str">
        <f>IF(ISBLANK(BT$1112),"N/A",IF(COUNTIFS(GD_Item_FiscalPeriod,BT$1112,GD_Item_Name,$B1122,GD_Update_Date,BT$1110)=0,"NR",SUMIFS(GD_Guidance_Low,GD_Item_Name,$B1122,GD_Item_FiscalPeriod,BT$1112,GD_Update_Date,BT$1110)))</f>
        <v>NR</v>
      </c>
      <c r="BU1122" s="563" t="str">
        <f>IF(ISBLANK(BU$1112),"N/A",IF(COUNTIFS(GD_Item_FiscalPeriod,BU$1112,GD_Item_Name,$B1122,GD_Update_Date,BU$1110)=0,"NR",SUMIFS(GD_Guidance_Low,GD_Item_Name,$B1122,GD_Item_FiscalPeriod,BU$1112,GD_Update_Date,BU$1110)))</f>
        <v>NR</v>
      </c>
      <c r="BV1122" s="563" t="str">
        <f>IF(ISBLANK(BV$1112),"N/A",IF(COUNTIFS(GD_Item_FiscalPeriod,BV$1112,GD_Item_Name,$B1122,GD_Update_Date,BV$1110)=0,"NR",SUMIFS(GD_Guidance_Low,GD_Item_Name,$B1122,GD_Item_FiscalPeriod,BV$1112,GD_Update_Date,BV$1110)))</f>
        <v>NR</v>
      </c>
      <c r="BW1122" s="563" t="str">
        <f>IF(ISBLANK(BW$1112),"N/A",IF(COUNTIFS(GD_Item_FiscalPeriod,BW$1112,GD_Item_Name,$B1122,GD_Update_Date,BW$1110)=0,"NR",SUMIFS(GD_Guidance_Low,GD_Item_Name,$B1122,GD_Item_FiscalPeriod,BW$1112,GD_Update_Date,BW$1110)))</f>
        <v>NR</v>
      </c>
      <c r="BX1122" s="563" t="str">
        <f>IF(ISBLANK(BX$1112),"N/A",IF(COUNTIFS(GD_Item_FiscalPeriod,BX$1112,GD_Item_Name,$B1122,GD_Update_Date,BX$1110)=0,"NR",SUMIFS(GD_Guidance_Low,GD_Item_Name,$B1122,GD_Item_FiscalPeriod,BX$1112,GD_Update_Date,BX$1110)))</f>
        <v>NR</v>
      </c>
      <c r="BY1122" s="731" t="str">
        <f>IF(ISBLANK(BY$1112),"N/A",IF(COUNTIFS(GD_Item_FiscalPeriod,BY$1112,GD_Item_Name,$B1122,GD_Update_Date,BY$1110)=0,"NR",SUMIFS(GD_Guidance_Low,GD_Item_Name,$B1122,GD_Item_FiscalPeriod,BY$1112,GD_Update_Date,BY$1110)))</f>
        <v>NR</v>
      </c>
      <c r="BZ1122" s="563" t="str">
        <f>IF(ISBLANK(BZ$1112),"N/A",IF(COUNTIFS(GD_Item_FiscalPeriod,BZ$1112,GD_Item_Name,$B1122,GD_Update_Date,BZ$1110)=0,"NR",SUMIFS(GD_Guidance_Low,GD_Item_Name,$B1122,GD_Item_FiscalPeriod,BZ$1112,GD_Update_Date,BZ$1110)))</f>
        <v>N/A</v>
      </c>
      <c r="CA1122" s="563" t="str">
        <f>IF(ISBLANK(CA$1112),"N/A",IF(COUNTIFS(GD_Item_FiscalPeriod,CA$1112,GD_Item_Name,$B1122,GD_Update_Date,CA$1110)=0,"NR",SUMIFS(GD_Guidance_Low,GD_Item_Name,$B1122,GD_Item_FiscalPeriod,CA$1112,GD_Update_Date,CA$1110)))</f>
        <v>N/A</v>
      </c>
      <c r="CB1122" s="563" t="str">
        <f>IF(ISBLANK(CB$1112),"N/A",IF(COUNTIFS(GD_Item_FiscalPeriod,CB$1112,GD_Item_Name,$B1122,GD_Update_Date,CB$1110)=0,"NR",SUMIFS(GD_Guidance_Low,GD_Item_Name,$B1122,GD_Item_FiscalPeriod,CB$1112,GD_Update_Date,CB$1110)))</f>
        <v>N/A</v>
      </c>
      <c r="CC1122" s="563" t="str">
        <f>IF(ISBLANK(CC$1112),"N/A",IF(COUNTIFS(GD_Item_FiscalPeriod,CC$1112,GD_Item_Name,$B1122,GD_Update_Date,CC$1110)=0,"NR",SUMIFS(GD_Guidance_Low,GD_Item_Name,$B1122,GD_Item_FiscalPeriod,CC$1112,GD_Update_Date,CC$1110)))</f>
        <v>N/A</v>
      </c>
      <c r="CD1122" s="563" t="str">
        <f>IF(ISBLANK(CD$1112),"N/A",IF(COUNTIFS(GD_Item_FiscalPeriod,CD$1112,GD_Item_Name,$B1122,GD_Update_Date,CD$1110)=0,"NR",SUMIFS(GD_Guidance_Low,GD_Item_Name,$B1122,GD_Item_FiscalPeriod,CD$1112,GD_Update_Date,CD$1110)))</f>
        <v>N/A</v>
      </c>
      <c r="CE1122" s="563" t="str">
        <f>IF(ISBLANK(CE$1112),"N/A",IF(COUNTIFS(GD_Item_FiscalPeriod,CE$1112,GD_Item_Name,$B1122,GD_Update_Date,CE$1110)=0,"NR",SUMIFS(GD_Guidance_Low,GD_Item_Name,$B1122,GD_Item_FiscalPeriod,CE$1112,GD_Update_Date,CE$1110)))</f>
        <v>N/A</v>
      </c>
      <c r="CF1122" s="563" t="str">
        <f>IF(ISBLANK(CF$1112),"N/A",IF(COUNTIFS(GD_Item_FiscalPeriod,CF$1112,GD_Item_Name,$B1122,GD_Update_Date,CF$1110)=0,"NR",SUMIFS(GD_Guidance_Low,GD_Item_Name,$B1122,GD_Item_FiscalPeriod,CF$1112,GD_Update_Date,CF$1110)))</f>
        <v>N/A</v>
      </c>
      <c r="CG1122" s="563" t="str">
        <f>IF(ISBLANK(CG$1112),"N/A",IF(COUNTIFS(GD_Item_FiscalPeriod,CG$1112,GD_Item_Name,$B1122,GD_Update_Date,CG$1110)=0,"NR",SUMIFS(GD_Guidance_Low,GD_Item_Name,$B1122,GD_Item_FiscalPeriod,CG$1112,GD_Update_Date,CG$1110)))</f>
        <v>N/A</v>
      </c>
      <c r="CH1122" s="563" t="str">
        <f>IF(ISBLANK(CH$1112),"N/A",IF(COUNTIFS(GD_Item_FiscalPeriod,CH$1112,GD_Item_Name,$B1122,GD_Update_Date,CH$1110)=0,"NR",SUMIFS(GD_Guidance_Low,GD_Item_Name,$B1122,GD_Item_FiscalPeriod,CH$1112,GD_Update_Date,CH$1110)))</f>
        <v>N/A</v>
      </c>
      <c r="CI1122" s="563" t="str">
        <f>IF(ISBLANK(CI$1112),"N/A",IF(COUNTIFS(GD_Item_FiscalPeriod,CI$1112,GD_Item_Name,$B1122,GD_Update_Date,CI$1110)=0,"NR",SUMIFS(GD_Guidance_Low,GD_Item_Name,$B1122,GD_Item_FiscalPeriod,CI$1112,GD_Update_Date,CI$1110)))</f>
        <v>N/A</v>
      </c>
      <c r="CJ1122" s="563" t="str">
        <f>IF(ISBLANK(CJ$1112),"N/A",IF(COUNTIFS(GD_Item_FiscalPeriod,CJ$1112,GD_Item_Name,$B1122,GD_Update_Date,CJ$1110)=0,"NR",SUMIFS(GD_Guidance_Low,GD_Item_Name,$B1122,GD_Item_FiscalPeriod,CJ$1112,GD_Update_Date,CJ$1110)))</f>
        <v>N/A</v>
      </c>
      <c r="CK1122" s="794" t="str">
        <f>IF(ISBLANK(CK$1112),"N/A",IF(COUNTIFS(GD_Item_FiscalPeriod,CK$1112,GD_Item_Name,$B1122,GD_Update_Date,CK$1110)=0,"NR",SUMIFS(GD_Guidance_Low,GD_Item_Name,$B1122,GD_Item_FiscalPeriod,CK$1112,GD_Update_Date,CK$1110)))</f>
        <v>N/A</v>
      </c>
      <c r="CL1122" s="155"/>
    </row>
    <row r="1123" spans="1:90" x14ac:dyDescent="0.3">
      <c r="A1123" s="793" t="s">
        <v>950</v>
      </c>
      <c r="B1123" s="1055" t="s">
        <v>560</v>
      </c>
      <c r="C1123" s="1037"/>
      <c r="D1123" s="1037"/>
      <c r="E1123" s="563"/>
      <c r="F1123" s="563"/>
      <c r="G1123" s="563"/>
      <c r="H1123" s="563"/>
      <c r="I1123" s="563"/>
      <c r="J1123" s="563"/>
      <c r="K1123" s="563"/>
      <c r="L1123" s="563"/>
      <c r="M1123" s="563"/>
      <c r="N1123" s="563"/>
      <c r="O1123" s="563"/>
      <c r="P1123" s="563"/>
      <c r="Q1123" s="563"/>
      <c r="R1123" s="563"/>
      <c r="S1123" s="563"/>
      <c r="T1123" s="563"/>
      <c r="U1123" s="563"/>
      <c r="V1123" s="563"/>
      <c r="W1123" s="563"/>
      <c r="X1123" s="563"/>
      <c r="Y1123" s="563"/>
      <c r="Z1123" s="563"/>
      <c r="AA1123" s="563"/>
      <c r="AB1123" s="563"/>
      <c r="AC1123" s="563"/>
      <c r="AD1123" s="563"/>
      <c r="AE1123" s="563"/>
      <c r="AF1123" s="563"/>
      <c r="AG1123" s="563"/>
      <c r="AH1123" s="563" t="str">
        <f>IF(ISBLANK(AH$1112),"N/A",IF(COUNTIFS(GD_Item_FiscalPeriod,AH$1112,GD_Item_Name,$B1123,GD_Update_Date,AH$1110)=0,"NR",SUMIFS(GD_Guidance_High,GD_Item_Name,$B1123,GD_Item_FiscalPeriod,AH$1112,GD_Update_Date,AH$1110)))</f>
        <v>NR</v>
      </c>
      <c r="AI1123" s="563" t="str">
        <f>IF(ISBLANK(AI$1112),"N/A",IF(COUNTIFS(GD_Item_FiscalPeriod,AI$1112,GD_Item_Name,$B1123,GD_Update_Date,AI$1110)=0,"NR",SUMIFS(GD_Guidance_High,GD_Item_Name,$B1123,GD_Item_FiscalPeriod,AI$1112,GD_Update_Date,AI$1110)))</f>
        <v>NR</v>
      </c>
      <c r="AJ1123" s="563" t="str">
        <f>IF(ISBLANK(AJ$1112),"N/A",IF(COUNTIFS(GD_Item_FiscalPeriod,AJ$1112,GD_Item_Name,$B1123,GD_Update_Date,AJ$1110)=0,"NR",SUMIFS(GD_Guidance_High,GD_Item_Name,$B1123,GD_Item_FiscalPeriod,AJ$1112,GD_Update_Date,AJ$1110)))</f>
        <v>NR</v>
      </c>
      <c r="AK1123" s="563" t="str">
        <f>IF(ISBLANK(AK$1112),"N/A",IF(COUNTIFS(GD_Item_FiscalPeriod,AK$1112,GD_Item_Name,$B1123,GD_Update_Date,AK$1110)=0,"NR",SUMIFS(GD_Guidance_High,GD_Item_Name,$B1123,GD_Item_FiscalPeriod,AK$1112,GD_Update_Date,AK$1110)))</f>
        <v>NR</v>
      </c>
      <c r="AL1123" s="563" t="str">
        <f>IF(ISBLANK(AL$1112),"N/A",IF(COUNTIFS(GD_Item_FiscalPeriod,AL$1112,GD_Item_Name,$B1123,GD_Update_Date,AL$1110)=0,"NR",SUMIFS(GD_Guidance_High,GD_Item_Name,$B1123,GD_Item_FiscalPeriod,AL$1112,GD_Update_Date,AL$1110)))</f>
        <v>NR</v>
      </c>
      <c r="AM1123" s="563" t="str">
        <f>IF(ISBLANK(AM$1112),"N/A",IF(COUNTIFS(GD_Item_FiscalPeriod,AM$1112,GD_Item_Name,$B1123,GD_Update_Date,AM$1110)=0,"NR",SUMIFS(GD_Guidance_High,GD_Item_Name,$B1123,GD_Item_FiscalPeriod,AM$1112,GD_Update_Date,AM$1110)))</f>
        <v>NR</v>
      </c>
      <c r="AN1123" s="563" t="str">
        <f>IF(ISBLANK(AN$1112),"N/A",IF(COUNTIFS(GD_Item_FiscalPeriod,AN$1112,GD_Item_Name,$B1123,GD_Update_Date,AN$1110)=0,"NR",SUMIFS(GD_Guidance_High,GD_Item_Name,$B1123,GD_Item_FiscalPeriod,AN$1112,GD_Update_Date,AN$1110)))</f>
        <v>NR</v>
      </c>
      <c r="AO1123" s="563" t="str">
        <f>IF(ISBLANK(AO$1112),"N/A",IF(COUNTIFS(GD_Item_FiscalPeriod,AO$1112,GD_Item_Name,$B1123,GD_Update_Date,AO$1110)=0,"NR",SUMIFS(GD_Guidance_High,GD_Item_Name,$B1123,GD_Item_FiscalPeriod,AO$1112,GD_Update_Date,AO$1110)))</f>
        <v>NR</v>
      </c>
      <c r="AP1123" s="563" t="str">
        <f>IF(ISBLANK(AP$1112),"N/A",IF(COUNTIFS(GD_Item_FiscalPeriod,AP$1112,GD_Item_Name,$B1123,GD_Update_Date,AP$1110)=0,"NR",SUMIFS(GD_Guidance_High,GD_Item_Name,$B1123,GD_Item_FiscalPeriod,AP$1112,GD_Update_Date,AP$1110)))</f>
        <v>NR</v>
      </c>
      <c r="AQ1123" s="563" t="str">
        <f>IF(ISBLANK(AQ$1112),"N/A",IF(COUNTIFS(GD_Item_FiscalPeriod,AQ$1112,GD_Item_Name,$B1123,GD_Update_Date,AQ$1110)=0,"NR",SUMIFS(GD_Guidance_High,GD_Item_Name,$B1123,GD_Item_FiscalPeriod,AQ$1112,GD_Update_Date,AQ$1110)))</f>
        <v>NR</v>
      </c>
      <c r="AR1123" s="563" t="str">
        <f>IF(ISBLANK(AR$1112),"N/A",IF(COUNTIFS(GD_Item_FiscalPeriod,AR$1112,GD_Item_Name,$B1123,GD_Update_Date,AR$1110)=0,"NR",SUMIFS(GD_Guidance_High,GD_Item_Name,$B1123,GD_Item_FiscalPeriod,AR$1112,GD_Update_Date,AR$1110)))</f>
        <v>NR</v>
      </c>
      <c r="AS1123" s="563" t="str">
        <f>IF(ISBLANK(AS$1112),"N/A",IF(COUNTIFS(GD_Item_FiscalPeriod,AS$1112,GD_Item_Name,$B1123,GD_Update_Date,AS$1110)=0,"NR",SUMIFS(GD_Guidance_High,GD_Item_Name,$B1123,GD_Item_FiscalPeriod,AS$1112,GD_Update_Date,AS$1110)))</f>
        <v>NR</v>
      </c>
      <c r="AT1123" s="563" t="str">
        <f>IF(ISBLANK(AT$1112),"N/A",IF(COUNTIFS(GD_Item_FiscalPeriod,AT$1112,GD_Item_Name,$B1123,GD_Update_Date,AT$1110)=0,"NR",SUMIFS(GD_Guidance_High,GD_Item_Name,$B1123,GD_Item_FiscalPeriod,AT$1112,GD_Update_Date,AT$1110)))</f>
        <v>NR</v>
      </c>
      <c r="AU1123" s="563" t="str">
        <f>IF(ISBLANK(AU$1112),"N/A",IF(COUNTIFS(GD_Item_FiscalPeriod,AU$1112,GD_Item_Name,$B1123,GD_Update_Date,AU$1110)=0,"NR",SUMIFS(GD_Guidance_High,GD_Item_Name,$B1123,GD_Item_FiscalPeriod,AU$1112,GD_Update_Date,AU$1110)))</f>
        <v>NR</v>
      </c>
      <c r="AV1123" s="563" t="str">
        <f>IF(ISBLANK(AV$1112),"N/A",IF(COUNTIFS(GD_Item_FiscalPeriod,AV$1112,GD_Item_Name,$B1123,GD_Update_Date,AV$1110)=0,"NR",SUMIFS(GD_Guidance_High,GD_Item_Name,$B1123,GD_Item_FiscalPeriod,AV$1112,GD_Update_Date,AV$1110)))</f>
        <v>NR</v>
      </c>
      <c r="AW1123" s="563" t="str">
        <f>IF(ISBLANK(AW$1112),"N/A",IF(COUNTIFS(GD_Item_FiscalPeriod,AW$1112,GD_Item_Name,$B1123,GD_Update_Date,AW$1110)=0,"NR",SUMIFS(GD_Guidance_High,GD_Item_Name,$B1123,GD_Item_FiscalPeriod,AW$1112,GD_Update_Date,AW$1110)))</f>
        <v>NR</v>
      </c>
      <c r="AX1123" s="563" t="str">
        <f>IF(ISBLANK(AX$1112),"N/A",IF(COUNTIFS(GD_Item_FiscalPeriod,AX$1112,GD_Item_Name,$B1123,GD_Update_Date,AX$1110)=0,"NR",SUMIFS(GD_Guidance_High,GD_Item_Name,$B1123,GD_Item_FiscalPeriod,AX$1112,GD_Update_Date,AX$1110)))</f>
        <v>NR</v>
      </c>
      <c r="AY1123" s="563" t="str">
        <f>IF(ISBLANK(AY$1112),"N/A",IF(COUNTIFS(GD_Item_FiscalPeriod,AY$1112,GD_Item_Name,$B1123,GD_Update_Date,AY$1110)=0,"NR",SUMIFS(GD_Guidance_High,GD_Item_Name,$B1123,GD_Item_FiscalPeriod,AY$1112,GD_Update_Date,AY$1110)))</f>
        <v>NR</v>
      </c>
      <c r="AZ1123" s="563" t="str">
        <f>IF(ISBLANK(AZ$1112),"N/A",IF(COUNTIFS(GD_Item_FiscalPeriod,AZ$1112,GD_Item_Name,$B1123,GD_Update_Date,AZ$1110)=0,"NR",SUMIFS(GD_Guidance_High,GD_Item_Name,$B1123,GD_Item_FiscalPeriod,AZ$1112,GD_Update_Date,AZ$1110)))</f>
        <v>NR</v>
      </c>
      <c r="BA1123" s="563" t="str">
        <f>IF(ISBLANK(BA$1112),"N/A",IF(COUNTIFS(GD_Item_FiscalPeriod,BA$1112,GD_Item_Name,$B1123,GD_Update_Date,BA$1110)=0,"NR",SUMIFS(GD_Guidance_High,GD_Item_Name,$B1123,GD_Item_FiscalPeriod,BA$1112,GD_Update_Date,BA$1110)))</f>
        <v>NR</v>
      </c>
      <c r="BB1123" s="563" t="str">
        <f>IF(ISBLANK(BB$1112),"N/A",IF(COUNTIFS(GD_Item_FiscalPeriod,BB$1112,GD_Item_Name,$B1123,GD_Update_Date,BB$1110)=0,"NR",SUMIFS(GD_Guidance_High,GD_Item_Name,$B1123,GD_Item_FiscalPeriod,BB$1112,GD_Update_Date,BB$1110)))</f>
        <v>NR</v>
      </c>
      <c r="BC1123" s="563" t="str">
        <f>IF(ISBLANK(BC$1112),"N/A",IF(COUNTIFS(GD_Item_FiscalPeriod,BC$1112,GD_Item_Name,$B1123,GD_Update_Date,BC$1110)=0,"NR",SUMIFS(GD_Guidance_High,GD_Item_Name,$B1123,GD_Item_FiscalPeriod,BC$1112,GD_Update_Date,BC$1110)))</f>
        <v>NR</v>
      </c>
      <c r="BD1123" s="563" t="str">
        <f>IF(ISBLANK(BD$1112),"N/A",IF(COUNTIFS(GD_Item_FiscalPeriod,BD$1112,GD_Item_Name,$B1123,GD_Update_Date,BD$1110)=0,"NR",SUMIFS(GD_Guidance_High,GD_Item_Name,$B1123,GD_Item_FiscalPeriod,BD$1112,GD_Update_Date,BD$1110)))</f>
        <v>NR</v>
      </c>
      <c r="BE1123" s="563" t="str">
        <f>IF(ISBLANK(BE$1112),"N/A",IF(COUNTIFS(GD_Item_FiscalPeriod,BE$1112,GD_Item_Name,$B1123,GD_Update_Date,BE$1110)=0,"NR",SUMIFS(GD_Guidance_High,GD_Item_Name,$B1123,GD_Item_FiscalPeriod,BE$1112,GD_Update_Date,BE$1110)))</f>
        <v>NR</v>
      </c>
      <c r="BF1123" s="563" t="str">
        <f>IF(ISBLANK(BF$1112),"N/A",IF(COUNTIFS(GD_Item_FiscalPeriod,BF$1112,GD_Item_Name,$B1123,GD_Update_Date,BF$1110)=0,"NR",SUMIFS(GD_Guidance_High,GD_Item_Name,$B1123,GD_Item_FiscalPeriod,BF$1112,GD_Update_Date,BF$1110)))</f>
        <v>NR</v>
      </c>
      <c r="BG1123" s="563" t="str">
        <f>IF(ISBLANK(BG$1112),"N/A",IF(COUNTIFS(GD_Item_FiscalPeriod,BG$1112,GD_Item_Name,$B1123,GD_Update_Date,BG$1110)=0,"NR",SUMIFS(GD_Guidance_High,GD_Item_Name,$B1123,GD_Item_FiscalPeriod,BG$1112,GD_Update_Date,BG$1110)))</f>
        <v>NR</v>
      </c>
      <c r="BH1123" s="563">
        <f>IF(ISBLANK(BH$1112),"N/A",IF(COUNTIFS(GD_Item_FiscalPeriod,BH$1112,GD_Item_Name,$B1123,GD_Update_Date,BH$1110)=0,"NR",SUMIFS(GD_Guidance_High,GD_Item_Name,$B1123,GD_Item_FiscalPeriod,BH$1112,GD_Update_Date,BH$1110)))</f>
        <v>-1100</v>
      </c>
      <c r="BI1123" s="563">
        <f>IF(ISBLANK(BI$1112),"N/A",IF(COUNTIFS(GD_Item_FiscalPeriod,BI$1112,GD_Item_Name,$B1123,GD_Update_Date,BI$1110)=0,"NR",SUMIFS(GD_Guidance_High,GD_Item_Name,$B1123,GD_Item_FiscalPeriod,BI$1112,GD_Update_Date,BI$1110)))</f>
        <v>-1100</v>
      </c>
      <c r="BJ1123" s="563">
        <f>IF(ISBLANK(BJ$1112),"N/A",IF(COUNTIFS(GD_Item_FiscalPeriod,BJ$1112,GD_Item_Name,$B1123,GD_Update_Date,BJ$1110)=0,"NR",SUMIFS(GD_Guidance_High,GD_Item_Name,$B1123,GD_Item_FiscalPeriod,BJ$1112,GD_Update_Date,BJ$1110)))</f>
        <v>-1300</v>
      </c>
      <c r="BK1123" s="563" t="str">
        <f>IF(ISBLANK(BK$1112),"N/A",IF(COUNTIFS(GD_Item_FiscalPeriod,BK$1112,GD_Item_Name,$B1123,GD_Update_Date,BK$1110)=0,"NR",SUMIFS(GD_Guidance_High,GD_Item_Name,$B1123,GD_Item_FiscalPeriod,BK$1112,GD_Update_Date,BK$1110)))</f>
        <v>NR</v>
      </c>
      <c r="BL1123" s="563" t="str">
        <f>IF(ISBLANK(BL$1112),"N/A",IF(COUNTIFS(GD_Item_FiscalPeriod,BL$1112,GD_Item_Name,$B1123,GD_Update_Date,BL$1110)=0,"NR",SUMIFS(GD_Guidance_High,GD_Item_Name,$B1123,GD_Item_FiscalPeriod,BL$1112,GD_Update_Date,BL$1110)))</f>
        <v>NR</v>
      </c>
      <c r="BM1123" s="563" t="str">
        <f>IF(ISBLANK(BM$1112),"N/A",IF(COUNTIFS(GD_Item_FiscalPeriod,BM$1112,GD_Item_Name,$B1123,GD_Update_Date,BM$1110)=0,"NR",SUMIFS(GD_Guidance_High,GD_Item_Name,$B1123,GD_Item_FiscalPeriod,BM$1112,GD_Update_Date,BM$1110)))</f>
        <v>NR</v>
      </c>
      <c r="BN1123" s="563" t="str">
        <f>IF(ISBLANK(BN$1112),"N/A",IF(COUNTIFS(GD_Item_FiscalPeriod,BN$1112,GD_Item_Name,$B1123,GD_Update_Date,BN$1110)=0,"NR",SUMIFS(GD_Guidance_High,GD_Item_Name,$B1123,GD_Item_FiscalPeriod,BN$1112,GD_Update_Date,BN$1110)))</f>
        <v>NR</v>
      </c>
      <c r="BO1123" s="563" t="str">
        <f>IF(ISBLANK(BO$1112),"N/A",IF(COUNTIFS(GD_Item_FiscalPeriod,BO$1112,GD_Item_Name,$B1123,GD_Update_Date,BO$1110)=0,"NR",SUMIFS(GD_Guidance_High,GD_Item_Name,$B1123,GD_Item_FiscalPeriod,BO$1112,GD_Update_Date,BO$1110)))</f>
        <v>NR</v>
      </c>
      <c r="BP1123" s="563" t="str">
        <f>IF(ISBLANK(BP$1112),"N/A",IF(COUNTIFS(GD_Item_FiscalPeriod,BP$1112,GD_Item_Name,$B1123,GD_Update_Date,BP$1110)=0,"NR",SUMIFS(GD_Guidance_High,GD_Item_Name,$B1123,GD_Item_FiscalPeriod,BP$1112,GD_Update_Date,BP$1110)))</f>
        <v>NR</v>
      </c>
      <c r="BQ1123" s="563" t="str">
        <f>IF(ISBLANK(BQ$1112),"N/A",IF(COUNTIFS(GD_Item_FiscalPeriod,BQ$1112,GD_Item_Name,$B1123,GD_Update_Date,BQ$1110)=0,"NR",SUMIFS(GD_Guidance_High,GD_Item_Name,$B1123,GD_Item_FiscalPeriod,BQ$1112,GD_Update_Date,BQ$1110)))</f>
        <v>NR</v>
      </c>
      <c r="BR1123" s="563" t="str">
        <f>IF(ISBLANK(BR$1112),"N/A",IF(COUNTIFS(GD_Item_FiscalPeriod,BR$1112,GD_Item_Name,$B1123,GD_Update_Date,BR$1110)=0,"NR",SUMIFS(GD_Guidance_High,GD_Item_Name,$B1123,GD_Item_FiscalPeriod,BR$1112,GD_Update_Date,BR$1110)))</f>
        <v>NR</v>
      </c>
      <c r="BS1123" s="563" t="str">
        <f>IF(ISBLANK(BS$1112),"N/A",IF(COUNTIFS(GD_Item_FiscalPeriod,BS$1112,GD_Item_Name,$B1123,GD_Update_Date,BS$1110)=0,"NR",SUMIFS(GD_Guidance_High,GD_Item_Name,$B1123,GD_Item_FiscalPeriod,BS$1112,GD_Update_Date,BS$1110)))</f>
        <v>NR</v>
      </c>
      <c r="BT1123" s="563" t="str">
        <f>IF(ISBLANK(BT$1112),"N/A",IF(COUNTIFS(GD_Item_FiscalPeriod,BT$1112,GD_Item_Name,$B1123,GD_Update_Date,BT$1110)=0,"NR",SUMIFS(GD_Guidance_High,GD_Item_Name,$B1123,GD_Item_FiscalPeriod,BT$1112,GD_Update_Date,BT$1110)))</f>
        <v>NR</v>
      </c>
      <c r="BU1123" s="563" t="str">
        <f>IF(ISBLANK(BU$1112),"N/A",IF(COUNTIFS(GD_Item_FiscalPeriod,BU$1112,GD_Item_Name,$B1123,GD_Update_Date,BU$1110)=0,"NR",SUMIFS(GD_Guidance_High,GD_Item_Name,$B1123,GD_Item_FiscalPeriod,BU$1112,GD_Update_Date,BU$1110)))</f>
        <v>NR</v>
      </c>
      <c r="BV1123" s="563" t="str">
        <f>IF(ISBLANK(BV$1112),"N/A",IF(COUNTIFS(GD_Item_FiscalPeriod,BV$1112,GD_Item_Name,$B1123,GD_Update_Date,BV$1110)=0,"NR",SUMIFS(GD_Guidance_High,GD_Item_Name,$B1123,GD_Item_FiscalPeriod,BV$1112,GD_Update_Date,BV$1110)))</f>
        <v>NR</v>
      </c>
      <c r="BW1123" s="563" t="str">
        <f>IF(ISBLANK(BW$1112),"N/A",IF(COUNTIFS(GD_Item_FiscalPeriod,BW$1112,GD_Item_Name,$B1123,GD_Update_Date,BW$1110)=0,"NR",SUMIFS(GD_Guidance_High,GD_Item_Name,$B1123,GD_Item_FiscalPeriod,BW$1112,GD_Update_Date,BW$1110)))</f>
        <v>NR</v>
      </c>
      <c r="BX1123" s="563" t="str">
        <f>IF(ISBLANK(BX$1112),"N/A",IF(COUNTIFS(GD_Item_FiscalPeriod,BX$1112,GD_Item_Name,$B1123,GD_Update_Date,BX$1110)=0,"NR",SUMIFS(GD_Guidance_High,GD_Item_Name,$B1123,GD_Item_FiscalPeriod,BX$1112,GD_Update_Date,BX$1110)))</f>
        <v>NR</v>
      </c>
      <c r="BY1123" s="731" t="str">
        <f>IF(ISBLANK(BY$1112),"N/A",IF(COUNTIFS(GD_Item_FiscalPeriod,BY$1112,GD_Item_Name,$B1123,GD_Update_Date,BY$1110)=0,"NR",SUMIFS(GD_Guidance_High,GD_Item_Name,$B1123,GD_Item_FiscalPeriod,BY$1112,GD_Update_Date,BY$1110)))</f>
        <v>NR</v>
      </c>
      <c r="BZ1123" s="563" t="str">
        <f>IF(ISBLANK(BZ$1112),"N/A",IF(COUNTIFS(GD_Item_FiscalPeriod,BZ$1112,GD_Item_Name,$B1123,GD_Update_Date,BZ$1110)=0,"NR",SUMIFS(GD_Guidance_High,GD_Item_Name,$B1123,GD_Item_FiscalPeriod,BZ$1112,GD_Update_Date,BZ$1110)))</f>
        <v>N/A</v>
      </c>
      <c r="CA1123" s="563" t="str">
        <f>IF(ISBLANK(CA$1112),"N/A",IF(COUNTIFS(GD_Item_FiscalPeriod,CA$1112,GD_Item_Name,$B1123,GD_Update_Date,CA$1110)=0,"NR",SUMIFS(GD_Guidance_High,GD_Item_Name,$B1123,GD_Item_FiscalPeriod,CA$1112,GD_Update_Date,CA$1110)))</f>
        <v>N/A</v>
      </c>
      <c r="CB1123" s="563" t="str">
        <f>IF(ISBLANK(CB$1112),"N/A",IF(COUNTIFS(GD_Item_FiscalPeriod,CB$1112,GD_Item_Name,$B1123,GD_Update_Date,CB$1110)=0,"NR",SUMIFS(GD_Guidance_High,GD_Item_Name,$B1123,GD_Item_FiscalPeriod,CB$1112,GD_Update_Date,CB$1110)))</f>
        <v>N/A</v>
      </c>
      <c r="CC1123" s="563" t="str">
        <f>IF(ISBLANK(CC$1112),"N/A",IF(COUNTIFS(GD_Item_FiscalPeriod,CC$1112,GD_Item_Name,$B1123,GD_Update_Date,CC$1110)=0,"NR",SUMIFS(GD_Guidance_High,GD_Item_Name,$B1123,GD_Item_FiscalPeriod,CC$1112,GD_Update_Date,CC$1110)))</f>
        <v>N/A</v>
      </c>
      <c r="CD1123" s="563" t="str">
        <f>IF(ISBLANK(CD$1112),"N/A",IF(COUNTIFS(GD_Item_FiscalPeriod,CD$1112,GD_Item_Name,$B1123,GD_Update_Date,CD$1110)=0,"NR",SUMIFS(GD_Guidance_High,GD_Item_Name,$B1123,GD_Item_FiscalPeriod,CD$1112,GD_Update_Date,CD$1110)))</f>
        <v>N/A</v>
      </c>
      <c r="CE1123" s="563" t="str">
        <f>IF(ISBLANK(CE$1112),"N/A",IF(COUNTIFS(GD_Item_FiscalPeriod,CE$1112,GD_Item_Name,$B1123,GD_Update_Date,CE$1110)=0,"NR",SUMIFS(GD_Guidance_High,GD_Item_Name,$B1123,GD_Item_FiscalPeriod,CE$1112,GD_Update_Date,CE$1110)))</f>
        <v>N/A</v>
      </c>
      <c r="CF1123" s="563" t="str">
        <f>IF(ISBLANK(CF$1112),"N/A",IF(COUNTIFS(GD_Item_FiscalPeriod,CF$1112,GD_Item_Name,$B1123,GD_Update_Date,CF$1110)=0,"NR",SUMIFS(GD_Guidance_High,GD_Item_Name,$B1123,GD_Item_FiscalPeriod,CF$1112,GD_Update_Date,CF$1110)))</f>
        <v>N/A</v>
      </c>
      <c r="CG1123" s="563" t="str">
        <f>IF(ISBLANK(CG$1112),"N/A",IF(COUNTIFS(GD_Item_FiscalPeriod,CG$1112,GD_Item_Name,$B1123,GD_Update_Date,CG$1110)=0,"NR",SUMIFS(GD_Guidance_High,GD_Item_Name,$B1123,GD_Item_FiscalPeriod,CG$1112,GD_Update_Date,CG$1110)))</f>
        <v>N/A</v>
      </c>
      <c r="CH1123" s="563" t="str">
        <f>IF(ISBLANK(CH$1112),"N/A",IF(COUNTIFS(GD_Item_FiscalPeriod,CH$1112,GD_Item_Name,$B1123,GD_Update_Date,CH$1110)=0,"NR",SUMIFS(GD_Guidance_High,GD_Item_Name,$B1123,GD_Item_FiscalPeriod,CH$1112,GD_Update_Date,CH$1110)))</f>
        <v>N/A</v>
      </c>
      <c r="CI1123" s="563" t="str">
        <f>IF(ISBLANK(CI$1112),"N/A",IF(COUNTIFS(GD_Item_FiscalPeriod,CI$1112,GD_Item_Name,$B1123,GD_Update_Date,CI$1110)=0,"NR",SUMIFS(GD_Guidance_High,GD_Item_Name,$B1123,GD_Item_FiscalPeriod,CI$1112,GD_Update_Date,CI$1110)))</f>
        <v>N/A</v>
      </c>
      <c r="CJ1123" s="563" t="str">
        <f>IF(ISBLANK(CJ$1112),"N/A",IF(COUNTIFS(GD_Item_FiscalPeriod,CJ$1112,GD_Item_Name,$B1123,GD_Update_Date,CJ$1110)=0,"NR",SUMIFS(GD_Guidance_High,GD_Item_Name,$B1123,GD_Item_FiscalPeriod,CJ$1112,GD_Update_Date,CJ$1110)))</f>
        <v>N/A</v>
      </c>
      <c r="CK1123" s="794" t="str">
        <f>IF(ISBLANK(CK$1112),"N/A",IF(COUNTIFS(GD_Item_FiscalPeriod,CK$1112,GD_Item_Name,$B1123,GD_Update_Date,CK$1110)=0,"NR",SUMIFS(GD_Guidance_High,GD_Item_Name,$B1123,GD_Item_FiscalPeriod,CK$1112,GD_Update_Date,CK$1110)))</f>
        <v>N/A</v>
      </c>
      <c r="CL1123" s="155"/>
    </row>
    <row r="1124" spans="1:90" x14ac:dyDescent="0.3">
      <c r="A1124" s="793" t="s">
        <v>951</v>
      </c>
      <c r="B1124" s="1055" t="s">
        <v>560</v>
      </c>
      <c r="C1124" s="1037"/>
      <c r="D1124" s="1037"/>
      <c r="E1124" s="563"/>
      <c r="F1124" s="563"/>
      <c r="G1124" s="563"/>
      <c r="H1124" s="563"/>
      <c r="I1124" s="563"/>
      <c r="J1124" s="563"/>
      <c r="K1124" s="563"/>
      <c r="L1124" s="563"/>
      <c r="M1124" s="563"/>
      <c r="N1124" s="563"/>
      <c r="O1124" s="563"/>
      <c r="P1124" s="563"/>
      <c r="Q1124" s="563"/>
      <c r="R1124" s="563"/>
      <c r="S1124" s="563"/>
      <c r="T1124" s="563"/>
      <c r="U1124" s="563"/>
      <c r="V1124" s="563"/>
      <c r="W1124" s="563"/>
      <c r="X1124" s="563"/>
      <c r="Y1124" s="563"/>
      <c r="Z1124" s="563"/>
      <c r="AA1124" s="563"/>
      <c r="AB1124" s="563"/>
      <c r="AC1124" s="563"/>
      <c r="AD1124" s="563"/>
      <c r="AE1124" s="563"/>
      <c r="AF1124" s="563"/>
      <c r="AG1124" s="563"/>
      <c r="AH1124" s="563" t="str">
        <f>IF(ISBLANK(AH$1112),"N/A",IF(COUNTIFS(GD_Item_FiscalPeriod,AH$1112,GD_Item_Name,$B1124,GD_Update_Date,AH$1110)=0,"NR",SUMIFS(GD_Guidance_Mid,GD_Item_Name,$B1124,GD_Item_FiscalPeriod,AH$1112,GD_Update_Date,AH$1110)))</f>
        <v>NR</v>
      </c>
      <c r="AI1124" s="563" t="str">
        <f>IF(ISBLANK(AI$1112),"N/A",IF(COUNTIFS(GD_Item_FiscalPeriod,AI$1112,GD_Item_Name,$B1124,GD_Update_Date,AI$1110)=0,"NR",SUMIFS(GD_Guidance_Mid,GD_Item_Name,$B1124,GD_Item_FiscalPeriod,AI$1112,GD_Update_Date,AI$1110)))</f>
        <v>NR</v>
      </c>
      <c r="AJ1124" s="563" t="str">
        <f>IF(ISBLANK(AJ$1112),"N/A",IF(COUNTIFS(GD_Item_FiscalPeriod,AJ$1112,GD_Item_Name,$B1124,GD_Update_Date,AJ$1110)=0,"NR",SUMIFS(GD_Guidance_Mid,GD_Item_Name,$B1124,GD_Item_FiscalPeriod,AJ$1112,GD_Update_Date,AJ$1110)))</f>
        <v>NR</v>
      </c>
      <c r="AK1124" s="563" t="str">
        <f>IF(ISBLANK(AK$1112),"N/A",IF(COUNTIFS(GD_Item_FiscalPeriod,AK$1112,GD_Item_Name,$B1124,GD_Update_Date,AK$1110)=0,"NR",SUMIFS(GD_Guidance_Mid,GD_Item_Name,$B1124,GD_Item_FiscalPeriod,AK$1112,GD_Update_Date,AK$1110)))</f>
        <v>NR</v>
      </c>
      <c r="AL1124" s="563" t="str">
        <f>IF(ISBLANK(AL$1112),"N/A",IF(COUNTIFS(GD_Item_FiscalPeriod,AL$1112,GD_Item_Name,$B1124,GD_Update_Date,AL$1110)=0,"NR",SUMIFS(GD_Guidance_Mid,GD_Item_Name,$B1124,GD_Item_FiscalPeriod,AL$1112,GD_Update_Date,AL$1110)))</f>
        <v>NR</v>
      </c>
      <c r="AM1124" s="563" t="str">
        <f>IF(ISBLANK(AM$1112),"N/A",IF(COUNTIFS(GD_Item_FiscalPeriod,AM$1112,GD_Item_Name,$B1124,GD_Update_Date,AM$1110)=0,"NR",SUMIFS(GD_Guidance_Mid,GD_Item_Name,$B1124,GD_Item_FiscalPeriod,AM$1112,GD_Update_Date,AM$1110)))</f>
        <v>NR</v>
      </c>
      <c r="AN1124" s="563" t="str">
        <f>IF(ISBLANK(AN$1112),"N/A",IF(COUNTIFS(GD_Item_FiscalPeriod,AN$1112,GD_Item_Name,$B1124,GD_Update_Date,AN$1110)=0,"NR",SUMIFS(GD_Guidance_Mid,GD_Item_Name,$B1124,GD_Item_FiscalPeriod,AN$1112,GD_Update_Date,AN$1110)))</f>
        <v>NR</v>
      </c>
      <c r="AO1124" s="563" t="str">
        <f>IF(ISBLANK(AO$1112),"N/A",IF(COUNTIFS(GD_Item_FiscalPeriod,AO$1112,GD_Item_Name,$B1124,GD_Update_Date,AO$1110)=0,"NR",SUMIFS(GD_Guidance_Mid,GD_Item_Name,$B1124,GD_Item_FiscalPeriod,AO$1112,GD_Update_Date,AO$1110)))</f>
        <v>NR</v>
      </c>
      <c r="AP1124" s="563" t="str">
        <f>IF(ISBLANK(AP$1112),"N/A",IF(COUNTIFS(GD_Item_FiscalPeriod,AP$1112,GD_Item_Name,$B1124,GD_Update_Date,AP$1110)=0,"NR",SUMIFS(GD_Guidance_Mid,GD_Item_Name,$B1124,GD_Item_FiscalPeriod,AP$1112,GD_Update_Date,AP$1110)))</f>
        <v>NR</v>
      </c>
      <c r="AQ1124" s="563" t="str">
        <f>IF(ISBLANK(AQ$1112),"N/A",IF(COUNTIFS(GD_Item_FiscalPeriod,AQ$1112,GD_Item_Name,$B1124,GD_Update_Date,AQ$1110)=0,"NR",SUMIFS(GD_Guidance_Mid,GD_Item_Name,$B1124,GD_Item_FiscalPeriod,AQ$1112,GD_Update_Date,AQ$1110)))</f>
        <v>NR</v>
      </c>
      <c r="AR1124" s="563" t="str">
        <f>IF(ISBLANK(AR$1112),"N/A",IF(COUNTIFS(GD_Item_FiscalPeriod,AR$1112,GD_Item_Name,$B1124,GD_Update_Date,AR$1110)=0,"NR",SUMIFS(GD_Guidance_Mid,GD_Item_Name,$B1124,GD_Item_FiscalPeriod,AR$1112,GD_Update_Date,AR$1110)))</f>
        <v>NR</v>
      </c>
      <c r="AS1124" s="563" t="str">
        <f>IF(ISBLANK(AS$1112),"N/A",IF(COUNTIFS(GD_Item_FiscalPeriod,AS$1112,GD_Item_Name,$B1124,GD_Update_Date,AS$1110)=0,"NR",SUMIFS(GD_Guidance_Mid,GD_Item_Name,$B1124,GD_Item_FiscalPeriod,AS$1112,GD_Update_Date,AS$1110)))</f>
        <v>NR</v>
      </c>
      <c r="AT1124" s="563" t="str">
        <f>IF(ISBLANK(AT$1112),"N/A",IF(COUNTIFS(GD_Item_FiscalPeriod,AT$1112,GD_Item_Name,$B1124,GD_Update_Date,AT$1110)=0,"NR",SUMIFS(GD_Guidance_Mid,GD_Item_Name,$B1124,GD_Item_FiscalPeriod,AT$1112,GD_Update_Date,AT$1110)))</f>
        <v>NR</v>
      </c>
      <c r="AU1124" s="563" t="str">
        <f>IF(ISBLANK(AU$1112),"N/A",IF(COUNTIFS(GD_Item_FiscalPeriod,AU$1112,GD_Item_Name,$B1124,GD_Update_Date,AU$1110)=0,"NR",SUMIFS(GD_Guidance_Mid,GD_Item_Name,$B1124,GD_Item_FiscalPeriod,AU$1112,GD_Update_Date,AU$1110)))</f>
        <v>NR</v>
      </c>
      <c r="AV1124" s="563" t="str">
        <f>IF(ISBLANK(AV$1112),"N/A",IF(COUNTIFS(GD_Item_FiscalPeriod,AV$1112,GD_Item_Name,$B1124,GD_Update_Date,AV$1110)=0,"NR",SUMIFS(GD_Guidance_Mid,GD_Item_Name,$B1124,GD_Item_FiscalPeriod,AV$1112,GD_Update_Date,AV$1110)))</f>
        <v>NR</v>
      </c>
      <c r="AW1124" s="563" t="str">
        <f>IF(ISBLANK(AW$1112),"N/A",IF(COUNTIFS(GD_Item_FiscalPeriod,AW$1112,GD_Item_Name,$B1124,GD_Update_Date,AW$1110)=0,"NR",SUMIFS(GD_Guidance_Mid,GD_Item_Name,$B1124,GD_Item_FiscalPeriod,AW$1112,GD_Update_Date,AW$1110)))</f>
        <v>NR</v>
      </c>
      <c r="AX1124" s="563" t="str">
        <f>IF(ISBLANK(AX$1112),"N/A",IF(COUNTIFS(GD_Item_FiscalPeriod,AX$1112,GD_Item_Name,$B1124,GD_Update_Date,AX$1110)=0,"NR",SUMIFS(GD_Guidance_Mid,GD_Item_Name,$B1124,GD_Item_FiscalPeriod,AX$1112,GD_Update_Date,AX$1110)))</f>
        <v>NR</v>
      </c>
      <c r="AY1124" s="563" t="str">
        <f>IF(ISBLANK(AY$1112),"N/A",IF(COUNTIFS(GD_Item_FiscalPeriod,AY$1112,GD_Item_Name,$B1124,GD_Update_Date,AY$1110)=0,"NR",SUMIFS(GD_Guidance_Mid,GD_Item_Name,$B1124,GD_Item_FiscalPeriod,AY$1112,GD_Update_Date,AY$1110)))</f>
        <v>NR</v>
      </c>
      <c r="AZ1124" s="563" t="str">
        <f>IF(ISBLANK(AZ$1112),"N/A",IF(COUNTIFS(GD_Item_FiscalPeriod,AZ$1112,GD_Item_Name,$B1124,GD_Update_Date,AZ$1110)=0,"NR",SUMIFS(GD_Guidance_Mid,GD_Item_Name,$B1124,GD_Item_FiscalPeriod,AZ$1112,GD_Update_Date,AZ$1110)))</f>
        <v>NR</v>
      </c>
      <c r="BA1124" s="563" t="str">
        <f>IF(ISBLANK(BA$1112),"N/A",IF(COUNTIFS(GD_Item_FiscalPeriod,BA$1112,GD_Item_Name,$B1124,GD_Update_Date,BA$1110)=0,"NR",SUMIFS(GD_Guidance_Mid,GD_Item_Name,$B1124,GD_Item_FiscalPeriod,BA$1112,GD_Update_Date,BA$1110)))</f>
        <v>NR</v>
      </c>
      <c r="BB1124" s="563" t="str">
        <f>IF(ISBLANK(BB$1112),"N/A",IF(COUNTIFS(GD_Item_FiscalPeriod,BB$1112,GD_Item_Name,$B1124,GD_Update_Date,BB$1110)=0,"NR",SUMIFS(GD_Guidance_Mid,GD_Item_Name,$B1124,GD_Item_FiscalPeriod,BB$1112,GD_Update_Date,BB$1110)))</f>
        <v>NR</v>
      </c>
      <c r="BC1124" s="563" t="str">
        <f>IF(ISBLANK(BC$1112),"N/A",IF(COUNTIFS(GD_Item_FiscalPeriod,BC$1112,GD_Item_Name,$B1124,GD_Update_Date,BC$1110)=0,"NR",SUMIFS(GD_Guidance_Mid,GD_Item_Name,$B1124,GD_Item_FiscalPeriod,BC$1112,GD_Update_Date,BC$1110)))</f>
        <v>NR</v>
      </c>
      <c r="BD1124" s="563" t="str">
        <f>IF(ISBLANK(BD$1112),"N/A",IF(COUNTIFS(GD_Item_FiscalPeriod,BD$1112,GD_Item_Name,$B1124,GD_Update_Date,BD$1110)=0,"NR",SUMIFS(GD_Guidance_Mid,GD_Item_Name,$B1124,GD_Item_FiscalPeriod,BD$1112,GD_Update_Date,BD$1110)))</f>
        <v>NR</v>
      </c>
      <c r="BE1124" s="563" t="str">
        <f>IF(ISBLANK(BE$1112),"N/A",IF(COUNTIFS(GD_Item_FiscalPeriod,BE$1112,GD_Item_Name,$B1124,GD_Update_Date,BE$1110)=0,"NR",SUMIFS(GD_Guidance_Mid,GD_Item_Name,$B1124,GD_Item_FiscalPeriod,BE$1112,GD_Update_Date,BE$1110)))</f>
        <v>NR</v>
      </c>
      <c r="BF1124" s="563" t="str">
        <f>IF(ISBLANK(BF$1112),"N/A",IF(COUNTIFS(GD_Item_FiscalPeriod,BF$1112,GD_Item_Name,$B1124,GD_Update_Date,BF$1110)=0,"NR",SUMIFS(GD_Guidance_Mid,GD_Item_Name,$B1124,GD_Item_FiscalPeriod,BF$1112,GD_Update_Date,BF$1110)))</f>
        <v>NR</v>
      </c>
      <c r="BG1124" s="563" t="str">
        <f>IF(ISBLANK(BG$1112),"N/A",IF(COUNTIFS(GD_Item_FiscalPeriod,BG$1112,GD_Item_Name,$B1124,GD_Update_Date,BG$1110)=0,"NR",SUMIFS(GD_Guidance_Mid,GD_Item_Name,$B1124,GD_Item_FiscalPeriod,BG$1112,GD_Update_Date,BG$1110)))</f>
        <v>NR</v>
      </c>
      <c r="BH1124" s="563">
        <f>IF(ISBLANK(BH$1112),"N/A",IF(COUNTIFS(GD_Item_FiscalPeriod,BH$1112,GD_Item_Name,$B1124,GD_Update_Date,BH$1110)=0,"NR",SUMIFS(GD_Guidance_Mid,GD_Item_Name,$B1124,GD_Item_FiscalPeriod,BH$1112,GD_Update_Date,BH$1110)))</f>
        <v>-1200</v>
      </c>
      <c r="BI1124" s="563">
        <f>IF(ISBLANK(BI$1112),"N/A",IF(COUNTIFS(GD_Item_FiscalPeriod,BI$1112,GD_Item_Name,$B1124,GD_Update_Date,BI$1110)=0,"NR",SUMIFS(GD_Guidance_Mid,GD_Item_Name,$B1124,GD_Item_FiscalPeriod,BI$1112,GD_Update_Date,BI$1110)))</f>
        <v>-1200</v>
      </c>
      <c r="BJ1124" s="563">
        <f>IF(ISBLANK(BJ$1112),"N/A",IF(COUNTIFS(GD_Item_FiscalPeriod,BJ$1112,GD_Item_Name,$B1124,GD_Update_Date,BJ$1110)=0,"NR",SUMIFS(GD_Guidance_Mid,GD_Item_Name,$B1124,GD_Item_FiscalPeriod,BJ$1112,GD_Update_Date,BJ$1110)))</f>
        <v>-1200</v>
      </c>
      <c r="BK1124" s="563" t="str">
        <f>IF(ISBLANK(BK$1112),"N/A",IF(COUNTIFS(GD_Item_FiscalPeriod,BK$1112,GD_Item_Name,$B1124,GD_Update_Date,BK$1110)=0,"NR",SUMIFS(GD_Guidance_Mid,GD_Item_Name,$B1124,GD_Item_FiscalPeriod,BK$1112,GD_Update_Date,BK$1110)))</f>
        <v>NR</v>
      </c>
      <c r="BL1124" s="563" t="str">
        <f>IF(ISBLANK(BL$1112),"N/A",IF(COUNTIFS(GD_Item_FiscalPeriod,BL$1112,GD_Item_Name,$B1124,GD_Update_Date,BL$1110)=0,"NR",SUMIFS(GD_Guidance_Mid,GD_Item_Name,$B1124,GD_Item_FiscalPeriod,BL$1112,GD_Update_Date,BL$1110)))</f>
        <v>NR</v>
      </c>
      <c r="BM1124" s="563" t="str">
        <f>IF(ISBLANK(BM$1112),"N/A",IF(COUNTIFS(GD_Item_FiscalPeriod,BM$1112,GD_Item_Name,$B1124,GD_Update_Date,BM$1110)=0,"NR",SUMIFS(GD_Guidance_Mid,GD_Item_Name,$B1124,GD_Item_FiscalPeriod,BM$1112,GD_Update_Date,BM$1110)))</f>
        <v>NR</v>
      </c>
      <c r="BN1124" s="563" t="str">
        <f>IF(ISBLANK(BN$1112),"N/A",IF(COUNTIFS(GD_Item_FiscalPeriod,BN$1112,GD_Item_Name,$B1124,GD_Update_Date,BN$1110)=0,"NR",SUMIFS(GD_Guidance_Mid,GD_Item_Name,$B1124,GD_Item_FiscalPeriod,BN$1112,GD_Update_Date,BN$1110)))</f>
        <v>NR</v>
      </c>
      <c r="BO1124" s="563" t="str">
        <f>IF(ISBLANK(BO$1112),"N/A",IF(COUNTIFS(GD_Item_FiscalPeriod,BO$1112,GD_Item_Name,$B1124,GD_Update_Date,BO$1110)=0,"NR",SUMIFS(GD_Guidance_Mid,GD_Item_Name,$B1124,GD_Item_FiscalPeriod,BO$1112,GD_Update_Date,BO$1110)))</f>
        <v>NR</v>
      </c>
      <c r="BP1124" s="563" t="str">
        <f>IF(ISBLANK(BP$1112),"N/A",IF(COUNTIFS(GD_Item_FiscalPeriod,BP$1112,GD_Item_Name,$B1124,GD_Update_Date,BP$1110)=0,"NR",SUMIFS(GD_Guidance_Mid,GD_Item_Name,$B1124,GD_Item_FiscalPeriod,BP$1112,GD_Update_Date,BP$1110)))</f>
        <v>NR</v>
      </c>
      <c r="BQ1124" s="563" t="str">
        <f>IF(ISBLANK(BQ$1112),"N/A",IF(COUNTIFS(GD_Item_FiscalPeriod,BQ$1112,GD_Item_Name,$B1124,GD_Update_Date,BQ$1110)=0,"NR",SUMIFS(GD_Guidance_Mid,GD_Item_Name,$B1124,GD_Item_FiscalPeriod,BQ$1112,GD_Update_Date,BQ$1110)))</f>
        <v>NR</v>
      </c>
      <c r="BR1124" s="563" t="str">
        <f>IF(ISBLANK(BR$1112),"N/A",IF(COUNTIFS(GD_Item_FiscalPeriod,BR$1112,GD_Item_Name,$B1124,GD_Update_Date,BR$1110)=0,"NR",SUMIFS(GD_Guidance_Mid,GD_Item_Name,$B1124,GD_Item_FiscalPeriod,BR$1112,GD_Update_Date,BR$1110)))</f>
        <v>NR</v>
      </c>
      <c r="BS1124" s="563" t="str">
        <f>IF(ISBLANK(BS$1112),"N/A",IF(COUNTIFS(GD_Item_FiscalPeriod,BS$1112,GD_Item_Name,$B1124,GD_Update_Date,BS$1110)=0,"NR",SUMIFS(GD_Guidance_Mid,GD_Item_Name,$B1124,GD_Item_FiscalPeriod,BS$1112,GD_Update_Date,BS$1110)))</f>
        <v>NR</v>
      </c>
      <c r="BT1124" s="563" t="str">
        <f>IF(ISBLANK(BT$1112),"N/A",IF(COUNTIFS(GD_Item_FiscalPeriod,BT$1112,GD_Item_Name,$B1124,GD_Update_Date,BT$1110)=0,"NR",SUMIFS(GD_Guidance_Mid,GD_Item_Name,$B1124,GD_Item_FiscalPeriod,BT$1112,GD_Update_Date,BT$1110)))</f>
        <v>NR</v>
      </c>
      <c r="BU1124" s="563" t="str">
        <f>IF(ISBLANK(BU$1112),"N/A",IF(COUNTIFS(GD_Item_FiscalPeriod,BU$1112,GD_Item_Name,$B1124,GD_Update_Date,BU$1110)=0,"NR",SUMIFS(GD_Guidance_Mid,GD_Item_Name,$B1124,GD_Item_FiscalPeriod,BU$1112,GD_Update_Date,BU$1110)))</f>
        <v>NR</v>
      </c>
      <c r="BV1124" s="563" t="str">
        <f>IF(ISBLANK(BV$1112),"N/A",IF(COUNTIFS(GD_Item_FiscalPeriod,BV$1112,GD_Item_Name,$B1124,GD_Update_Date,BV$1110)=0,"NR",SUMIFS(GD_Guidance_Mid,GD_Item_Name,$B1124,GD_Item_FiscalPeriod,BV$1112,GD_Update_Date,BV$1110)))</f>
        <v>NR</v>
      </c>
      <c r="BW1124" s="563" t="str">
        <f>IF(ISBLANK(BW$1112),"N/A",IF(COUNTIFS(GD_Item_FiscalPeriod,BW$1112,GD_Item_Name,$B1124,GD_Update_Date,BW$1110)=0,"NR",SUMIFS(GD_Guidance_Mid,GD_Item_Name,$B1124,GD_Item_FiscalPeriod,BW$1112,GD_Update_Date,BW$1110)))</f>
        <v>NR</v>
      </c>
      <c r="BX1124" s="563" t="str">
        <f>IF(ISBLANK(BX$1112),"N/A",IF(COUNTIFS(GD_Item_FiscalPeriod,BX$1112,GD_Item_Name,$B1124,GD_Update_Date,BX$1110)=0,"NR",SUMIFS(GD_Guidance_Mid,GD_Item_Name,$B1124,GD_Item_FiscalPeriod,BX$1112,GD_Update_Date,BX$1110)))</f>
        <v>NR</v>
      </c>
      <c r="BY1124" s="731" t="str">
        <f>IF(ISBLANK(BY$1112),"N/A",IF(COUNTIFS(GD_Item_FiscalPeriod,BY$1112,GD_Item_Name,$B1124,GD_Update_Date,BY$1110)=0,"NR",SUMIFS(GD_Guidance_Mid,GD_Item_Name,$B1124,GD_Item_FiscalPeriod,BY$1112,GD_Update_Date,BY$1110)))</f>
        <v>NR</v>
      </c>
      <c r="BZ1124" s="563" t="str">
        <f>IF(ISBLANK(BZ$1112),"N/A",IF(COUNTIFS(GD_Item_FiscalPeriod,BZ$1112,GD_Item_Name,$B1124,GD_Update_Date,BZ$1110)=0,"NR",SUMIFS(GD_Guidance_Mid,GD_Item_Name,$B1124,GD_Item_FiscalPeriod,BZ$1112,GD_Update_Date,BZ$1110)))</f>
        <v>N/A</v>
      </c>
      <c r="CA1124" s="563" t="str">
        <f>IF(ISBLANK(CA$1112),"N/A",IF(COUNTIFS(GD_Item_FiscalPeriod,CA$1112,GD_Item_Name,$B1124,GD_Update_Date,CA$1110)=0,"NR",SUMIFS(GD_Guidance_Mid,GD_Item_Name,$B1124,GD_Item_FiscalPeriod,CA$1112,GD_Update_Date,CA$1110)))</f>
        <v>N/A</v>
      </c>
      <c r="CB1124" s="563" t="str">
        <f>IF(ISBLANK(CB$1112),"N/A",IF(COUNTIFS(GD_Item_FiscalPeriod,CB$1112,GD_Item_Name,$B1124,GD_Update_Date,CB$1110)=0,"NR",SUMIFS(GD_Guidance_Mid,GD_Item_Name,$B1124,GD_Item_FiscalPeriod,CB$1112,GD_Update_Date,CB$1110)))</f>
        <v>N/A</v>
      </c>
      <c r="CC1124" s="563" t="str">
        <f>IF(ISBLANK(CC$1112),"N/A",IF(COUNTIFS(GD_Item_FiscalPeriod,CC$1112,GD_Item_Name,$B1124,GD_Update_Date,CC$1110)=0,"NR",SUMIFS(GD_Guidance_Mid,GD_Item_Name,$B1124,GD_Item_FiscalPeriod,CC$1112,GD_Update_Date,CC$1110)))</f>
        <v>N/A</v>
      </c>
      <c r="CD1124" s="563" t="str">
        <f>IF(ISBLANK(CD$1112),"N/A",IF(COUNTIFS(GD_Item_FiscalPeriod,CD$1112,GD_Item_Name,$B1124,GD_Update_Date,CD$1110)=0,"NR",SUMIFS(GD_Guidance_Mid,GD_Item_Name,$B1124,GD_Item_FiscalPeriod,CD$1112,GD_Update_Date,CD$1110)))</f>
        <v>N/A</v>
      </c>
      <c r="CE1124" s="563" t="str">
        <f>IF(ISBLANK(CE$1112),"N/A",IF(COUNTIFS(GD_Item_FiscalPeriod,CE$1112,GD_Item_Name,$B1124,GD_Update_Date,CE$1110)=0,"NR",SUMIFS(GD_Guidance_Mid,GD_Item_Name,$B1124,GD_Item_FiscalPeriod,CE$1112,GD_Update_Date,CE$1110)))</f>
        <v>N/A</v>
      </c>
      <c r="CF1124" s="563" t="str">
        <f>IF(ISBLANK(CF$1112),"N/A",IF(COUNTIFS(GD_Item_FiscalPeriod,CF$1112,GD_Item_Name,$B1124,GD_Update_Date,CF$1110)=0,"NR",SUMIFS(GD_Guidance_Mid,GD_Item_Name,$B1124,GD_Item_FiscalPeriod,CF$1112,GD_Update_Date,CF$1110)))</f>
        <v>N/A</v>
      </c>
      <c r="CG1124" s="563" t="str">
        <f>IF(ISBLANK(CG$1112),"N/A",IF(COUNTIFS(GD_Item_FiscalPeriod,CG$1112,GD_Item_Name,$B1124,GD_Update_Date,CG$1110)=0,"NR",SUMIFS(GD_Guidance_Mid,GD_Item_Name,$B1124,GD_Item_FiscalPeriod,CG$1112,GD_Update_Date,CG$1110)))</f>
        <v>N/A</v>
      </c>
      <c r="CH1124" s="563" t="str">
        <f>IF(ISBLANK(CH$1112),"N/A",IF(COUNTIFS(GD_Item_FiscalPeriod,CH$1112,GD_Item_Name,$B1124,GD_Update_Date,CH$1110)=0,"NR",SUMIFS(GD_Guidance_Mid,GD_Item_Name,$B1124,GD_Item_FiscalPeriod,CH$1112,GD_Update_Date,CH$1110)))</f>
        <v>N/A</v>
      </c>
      <c r="CI1124" s="563" t="str">
        <f>IF(ISBLANK(CI$1112),"N/A",IF(COUNTIFS(GD_Item_FiscalPeriod,CI$1112,GD_Item_Name,$B1124,GD_Update_Date,CI$1110)=0,"NR",SUMIFS(GD_Guidance_Mid,GD_Item_Name,$B1124,GD_Item_FiscalPeriod,CI$1112,GD_Update_Date,CI$1110)))</f>
        <v>N/A</v>
      </c>
      <c r="CJ1124" s="563" t="str">
        <f>IF(ISBLANK(CJ$1112),"N/A",IF(COUNTIFS(GD_Item_FiscalPeriod,CJ$1112,GD_Item_Name,$B1124,GD_Update_Date,CJ$1110)=0,"NR",SUMIFS(GD_Guidance_Mid,GD_Item_Name,$B1124,GD_Item_FiscalPeriod,CJ$1112,GD_Update_Date,CJ$1110)))</f>
        <v>N/A</v>
      </c>
      <c r="CK1124" s="794" t="str">
        <f>IF(ISBLANK(CK$1112),"N/A",IF(COUNTIFS(GD_Item_FiscalPeriod,CK$1112,GD_Item_Name,$B1124,GD_Update_Date,CK$1110)=0,"NR",SUMIFS(GD_Guidance_Mid,GD_Item_Name,$B1124,GD_Item_FiscalPeriod,CK$1112,GD_Update_Date,CK$1110)))</f>
        <v>N/A</v>
      </c>
      <c r="CL1124" s="155"/>
    </row>
    <row r="1125" spans="1:90" x14ac:dyDescent="0.3">
      <c r="A1125" s="744"/>
      <c r="B1125" s="109"/>
      <c r="C1125" s="740"/>
      <c r="D1125" s="740"/>
      <c r="E1125" s="109"/>
      <c r="F1125" s="109"/>
      <c r="G1125" s="109"/>
      <c r="H1125" s="109"/>
      <c r="I1125" s="109"/>
      <c r="J1125" s="109"/>
      <c r="K1125" s="109"/>
      <c r="L1125" s="109"/>
      <c r="M1125" s="109"/>
      <c r="N1125" s="109"/>
      <c r="O1125" s="109"/>
      <c r="P1125" s="109"/>
      <c r="Q1125" s="109"/>
      <c r="R1125" s="109"/>
      <c r="S1125" s="109"/>
      <c r="T1125" s="109"/>
      <c r="U1125" s="109"/>
      <c r="V1125" s="109"/>
      <c r="W1125" s="109"/>
      <c r="X1125" s="109"/>
      <c r="Y1125" s="109"/>
      <c r="Z1125" s="109"/>
      <c r="AA1125" s="109"/>
      <c r="AB1125" s="109"/>
      <c r="AC1125" s="109"/>
      <c r="AD1125" s="109"/>
      <c r="AE1125" s="109"/>
      <c r="AF1125" s="109"/>
      <c r="AG1125" s="109"/>
      <c r="AH1125" s="109"/>
      <c r="AI1125" s="109"/>
      <c r="AJ1125" s="109"/>
      <c r="AK1125" s="109"/>
      <c r="AL1125" s="109"/>
      <c r="AM1125" s="109"/>
      <c r="AN1125" s="109"/>
      <c r="AO1125" s="109"/>
      <c r="AP1125" s="109"/>
      <c r="AQ1125" s="109"/>
      <c r="AR1125" s="109"/>
      <c r="AS1125" s="109"/>
      <c r="AT1125" s="109"/>
      <c r="AU1125" s="109"/>
      <c r="AV1125" s="109"/>
      <c r="AW1125" s="109"/>
      <c r="AX1125" s="109"/>
      <c r="AY1125" s="109"/>
      <c r="AZ1125" s="109"/>
      <c r="BA1125" s="109"/>
      <c r="BB1125" s="109"/>
      <c r="BC1125" s="109"/>
      <c r="BD1125" s="109"/>
      <c r="BE1125" s="109"/>
      <c r="BF1125" s="109"/>
      <c r="BG1125" s="109"/>
      <c r="BH1125" s="109"/>
      <c r="BI1125" s="109"/>
      <c r="BJ1125" s="109"/>
      <c r="BK1125" s="109"/>
      <c r="BL1125" s="109"/>
      <c r="BM1125" s="109"/>
      <c r="BN1125" s="109"/>
      <c r="BO1125" s="109"/>
      <c r="BP1125" s="109"/>
      <c r="BQ1125" s="109"/>
      <c r="BR1125" s="109"/>
      <c r="BS1125" s="109"/>
      <c r="BT1125" s="109"/>
      <c r="BU1125" s="109"/>
      <c r="BV1125" s="109"/>
      <c r="BW1125" s="109"/>
      <c r="BX1125" s="109"/>
      <c r="BY1125" s="730"/>
      <c r="BZ1125" s="109"/>
      <c r="CA1125" s="109"/>
      <c r="CB1125" s="109"/>
      <c r="CC1125" s="109"/>
      <c r="CD1125" s="109"/>
      <c r="CE1125" s="109"/>
      <c r="CF1125" s="109"/>
      <c r="CG1125" s="109"/>
      <c r="CH1125" s="109"/>
      <c r="CI1125" s="109"/>
      <c r="CJ1125" s="109"/>
      <c r="CK1125" s="741"/>
      <c r="CL1125" s="155"/>
    </row>
    <row r="1126" spans="1:90" x14ac:dyDescent="0.3">
      <c r="A1126" s="253"/>
      <c r="B1126" s="68"/>
      <c r="C1126" s="1034"/>
      <c r="D1126" s="1034"/>
      <c r="E1126" s="68"/>
      <c r="F1126" s="68"/>
      <c r="G1126" s="68"/>
      <c r="H1126" s="68"/>
      <c r="I1126" s="68"/>
      <c r="J1126" s="68"/>
      <c r="K1126" s="68"/>
      <c r="L1126" s="68"/>
      <c r="M1126" s="68"/>
      <c r="N1126" s="68"/>
      <c r="O1126" s="68"/>
      <c r="P1126" s="68"/>
      <c r="Q1126" s="68"/>
      <c r="R1126" s="68"/>
      <c r="S1126" s="68"/>
      <c r="T1126" s="68"/>
      <c r="U1126" s="68"/>
      <c r="V1126" s="68"/>
      <c r="W1126" s="68"/>
      <c r="X1126" s="68"/>
      <c r="Y1126" s="68"/>
      <c r="Z1126" s="68"/>
      <c r="AA1126" s="68"/>
      <c r="AB1126" s="68"/>
      <c r="AC1126" s="68"/>
      <c r="AD1126" s="68"/>
      <c r="AE1126" s="68"/>
      <c r="AF1126" s="68"/>
      <c r="AG1126" s="68"/>
      <c r="AH1126" s="68"/>
      <c r="AI1126" s="68"/>
      <c r="AJ1126" s="68"/>
      <c r="AK1126" s="68"/>
      <c r="AL1126" s="68"/>
      <c r="AM1126" s="68"/>
      <c r="AN1126" s="68"/>
      <c r="AO1126" s="68"/>
      <c r="AP1126" s="68"/>
      <c r="AQ1126" s="68"/>
      <c r="AR1126" s="68"/>
      <c r="AS1126" s="68"/>
      <c r="AT1126" s="68"/>
      <c r="AU1126" s="68"/>
      <c r="AV1126" s="68"/>
      <c r="AW1126" s="68"/>
      <c r="AX1126" s="68"/>
      <c r="AY1126" s="68"/>
      <c r="AZ1126" s="68"/>
      <c r="BA1126" s="68"/>
      <c r="BB1126" s="68"/>
      <c r="BC1126" s="68"/>
      <c r="BD1126" s="68"/>
      <c r="BE1126" s="68"/>
      <c r="BF1126" s="68"/>
      <c r="BG1126" s="68"/>
      <c r="BH1126" s="68"/>
      <c r="BI1126" s="68"/>
      <c r="BJ1126" s="68"/>
      <c r="BK1126" s="68"/>
      <c r="BL1126" s="68"/>
      <c r="BM1126" s="68"/>
      <c r="BN1126" s="68"/>
      <c r="BO1126" s="68"/>
      <c r="BP1126" s="68"/>
      <c r="BQ1126" s="68"/>
      <c r="BR1126" s="68"/>
      <c r="BS1126" s="68"/>
      <c r="BT1126" s="68"/>
      <c r="BU1126" s="68"/>
      <c r="BV1126" s="68"/>
      <c r="BW1126" s="68"/>
      <c r="BX1126" s="68"/>
      <c r="BY1126" s="588"/>
      <c r="BZ1126" s="68"/>
      <c r="CA1126" s="68"/>
      <c r="CB1126" s="68"/>
      <c r="CC1126" s="68"/>
      <c r="CD1126" s="68"/>
      <c r="CE1126" s="68"/>
      <c r="CF1126" s="68"/>
      <c r="CG1126" s="68"/>
      <c r="CH1126" s="68"/>
      <c r="CI1126" s="68"/>
      <c r="CJ1126" s="68"/>
      <c r="CK1126" s="68"/>
      <c r="CL1126" s="155"/>
    </row>
    <row r="1127" spans="1:90" x14ac:dyDescent="0.3">
      <c r="A1127" s="1012" t="s">
        <v>263</v>
      </c>
      <c r="B1127" s="351"/>
      <c r="C1127" s="351"/>
      <c r="D1127" s="351"/>
      <c r="E1127" s="351"/>
      <c r="F1127" s="351"/>
      <c r="G1127" s="351"/>
      <c r="H1127" s="351"/>
      <c r="I1127" s="351"/>
      <c r="J1127" s="351"/>
      <c r="K1127" s="351"/>
      <c r="L1127" s="351"/>
      <c r="M1127" s="351"/>
      <c r="N1127" s="351"/>
      <c r="O1127" s="351"/>
      <c r="P1127" s="351"/>
      <c r="Q1127" s="351"/>
      <c r="R1127" s="351"/>
      <c r="S1127" s="351"/>
      <c r="T1127" s="351"/>
      <c r="U1127" s="351"/>
      <c r="V1127" s="351"/>
      <c r="W1127" s="351"/>
      <c r="X1127" s="351"/>
      <c r="Y1127" s="351"/>
      <c r="Z1127" s="351"/>
      <c r="AA1127" s="351"/>
      <c r="AB1127" s="351"/>
      <c r="AC1127" s="351"/>
      <c r="AD1127" s="351"/>
      <c r="AE1127" s="351"/>
      <c r="AF1127" s="351"/>
      <c r="AG1127" s="351"/>
      <c r="AH1127" s="351"/>
      <c r="AI1127" s="351"/>
      <c r="AJ1127" s="351"/>
      <c r="AK1127" s="351"/>
      <c r="AL1127" s="351"/>
      <c r="AM1127" s="351"/>
      <c r="AN1127" s="351"/>
      <c r="AO1127" s="351"/>
      <c r="AP1127" s="351"/>
      <c r="AQ1127" s="351"/>
      <c r="AR1127" s="351"/>
      <c r="AS1127" s="351"/>
      <c r="AT1127" s="351"/>
      <c r="AU1127" s="351"/>
      <c r="AV1127" s="351"/>
      <c r="AW1127" s="351"/>
      <c r="AX1127" s="351"/>
      <c r="AY1127" s="351"/>
      <c r="AZ1127" s="351"/>
      <c r="BA1127" s="351"/>
      <c r="BB1127" s="351"/>
      <c r="BC1127" s="351"/>
      <c r="BD1127" s="351"/>
      <c r="BE1127" s="351"/>
      <c r="BF1127" s="351"/>
      <c r="BG1127" s="351"/>
      <c r="BH1127" s="351"/>
      <c r="BI1127" s="351"/>
      <c r="BJ1127" s="351"/>
      <c r="BK1127" s="351"/>
      <c r="BL1127" s="351"/>
      <c r="BM1127" s="351"/>
      <c r="BN1127" s="351"/>
      <c r="BO1127" s="351"/>
      <c r="BP1127" s="351"/>
      <c r="BQ1127" s="351"/>
      <c r="BR1127" s="351"/>
      <c r="BS1127" s="351"/>
      <c r="BT1127" s="351"/>
      <c r="BU1127" s="351"/>
      <c r="BV1127" s="351"/>
      <c r="BW1127" s="351"/>
      <c r="BX1127" s="351"/>
      <c r="BY1127" s="1008"/>
      <c r="BZ1127" s="351" t="str">
        <f>BZ5</f>
        <v>Q2-2027</v>
      </c>
      <c r="CA1127" s="351" t="str">
        <f>CA5</f>
        <v>Q3-2027</v>
      </c>
      <c r="CB1127" s="351" t="str">
        <f>CB5</f>
        <v>Q4-2027</v>
      </c>
      <c r="CC1127" s="351" t="str">
        <f>CC5</f>
        <v>FY2027</v>
      </c>
      <c r="CD1127" s="351" t="str">
        <f>CD5</f>
        <v>Q1-2028</v>
      </c>
      <c r="CE1127" s="351" t="str">
        <f>CE5</f>
        <v>Q2-2028</v>
      </c>
      <c r="CF1127" s="351" t="str">
        <f>CF5</f>
        <v>Q3-2028</v>
      </c>
      <c r="CG1127" s="351" t="str">
        <f>CG5</f>
        <v>Q4-2028</v>
      </c>
      <c r="CH1127" s="351" t="str">
        <f>CH5</f>
        <v>FY2028</v>
      </c>
      <c r="CI1127" s="351" t="str">
        <f>CI5</f>
        <v>FY2029</v>
      </c>
      <c r="CJ1127" s="351" t="str">
        <f>CJ5</f>
        <v>FY2030</v>
      </c>
      <c r="CK1127" s="1013" t="str">
        <f>CK5</f>
        <v>FY2031</v>
      </c>
      <c r="CL1127" s="155"/>
    </row>
    <row r="1128" spans="1:90" x14ac:dyDescent="0.3">
      <c r="A1128" s="1014" t="s">
        <v>264</v>
      </c>
      <c r="B1128" s="378"/>
      <c r="C1128" s="378"/>
      <c r="D1128" s="378"/>
      <c r="E1128" s="378"/>
      <c r="F1128" s="378"/>
      <c r="G1128" s="378"/>
      <c r="H1128" s="378"/>
      <c r="I1128" s="378"/>
      <c r="J1128" s="378"/>
      <c r="K1128" s="378"/>
      <c r="L1128" s="378"/>
      <c r="M1128" s="378"/>
      <c r="N1128" s="378"/>
      <c r="O1128" s="378"/>
      <c r="P1128" s="378"/>
      <c r="Q1128" s="378"/>
      <c r="R1128" s="378"/>
      <c r="S1128" s="378"/>
      <c r="T1128" s="378"/>
      <c r="U1128" s="378"/>
      <c r="V1128" s="378"/>
      <c r="W1128" s="378"/>
      <c r="X1128" s="378"/>
      <c r="Y1128" s="378"/>
      <c r="Z1128" s="378"/>
      <c r="AA1128" s="378"/>
      <c r="AB1128" s="378"/>
      <c r="AC1128" s="378"/>
      <c r="AD1128" s="378"/>
      <c r="AE1128" s="378"/>
      <c r="AF1128" s="378"/>
      <c r="AG1128" s="378"/>
      <c r="AH1128" s="378"/>
      <c r="AI1128" s="378"/>
      <c r="AJ1128" s="378"/>
      <c r="AK1128" s="378"/>
      <c r="AL1128" s="378"/>
      <c r="AM1128" s="378"/>
      <c r="AN1128" s="378"/>
      <c r="AO1128" s="378"/>
      <c r="AP1128" s="378"/>
      <c r="AQ1128" s="378"/>
      <c r="AR1128" s="378"/>
      <c r="AS1128" s="378"/>
      <c r="AT1128" s="378"/>
      <c r="AU1128" s="378"/>
      <c r="AV1128" s="378"/>
      <c r="AW1128" s="378"/>
      <c r="AX1128" s="378"/>
      <c r="AY1128" s="378"/>
      <c r="AZ1128" s="378"/>
      <c r="BA1128" s="378"/>
      <c r="BB1128" s="378"/>
      <c r="BC1128" s="378"/>
      <c r="BD1128" s="378"/>
      <c r="BE1128" s="378"/>
      <c r="BF1128" s="378"/>
      <c r="BG1128" s="378"/>
      <c r="BH1128" s="378"/>
      <c r="BI1128" s="378"/>
      <c r="BJ1128" s="378"/>
      <c r="BK1128" s="378"/>
      <c r="BL1128" s="378"/>
      <c r="BM1128" s="378"/>
      <c r="BN1128" s="378"/>
      <c r="BO1128" s="378"/>
      <c r="BP1128" s="378"/>
      <c r="BQ1128" s="378"/>
      <c r="BR1128" s="378"/>
      <c r="BS1128" s="378"/>
      <c r="BT1128" s="378"/>
      <c r="BU1128" s="378"/>
      <c r="BV1128" s="378"/>
      <c r="BW1128" s="378"/>
      <c r="BX1128" s="378"/>
      <c r="BY1128" s="1006"/>
      <c r="BZ1128" s="378" t="str">
        <f ca="1">IF(MO.DataSourceIndex=3,IF(LEFT(INDIRECT(ADDRESS(ROW()-1,COLUMN())),2)="FY","ANNUAL",IF(LEFT(INDIRECT(ADDRESS(ROW()-1,COLUMN())),1)="Q","QUARTERLY","")),IF(LEFT(INDIRECT(ADDRESS(ROW()-1,COLUMN())),2)="FY","FY",IF(LEFT(INDIRECT(ADDRESS(ROW()-1,COLUMN())),1)="Q","FQ","FS")))</f>
        <v>FQ</v>
      </c>
      <c r="CA1128" s="378" t="str">
        <f ca="1">IF(MO.DataSourceIndex=3,IF(LEFT(INDIRECT(ADDRESS(ROW()-1,COLUMN())),2)="FY","ANNUAL",IF(LEFT(INDIRECT(ADDRESS(ROW()-1,COLUMN())),1)="Q","QUARTERLY","")),IF(LEFT(INDIRECT(ADDRESS(ROW()-1,COLUMN())),2)="FY","FY",IF(LEFT(INDIRECT(ADDRESS(ROW()-1,COLUMN())),1)="Q","FQ","FS")))</f>
        <v>FQ</v>
      </c>
      <c r="CB1128" s="378" t="str">
        <f ca="1">IF(MO.DataSourceIndex=3,IF(LEFT(INDIRECT(ADDRESS(ROW()-1,COLUMN())),2)="FY","ANNUAL",IF(LEFT(INDIRECT(ADDRESS(ROW()-1,COLUMN())),1)="Q","QUARTERLY","")),IF(LEFT(INDIRECT(ADDRESS(ROW()-1,COLUMN())),2)="FY","FY",IF(LEFT(INDIRECT(ADDRESS(ROW()-1,COLUMN())),1)="Q","FQ","FS")))</f>
        <v>FQ</v>
      </c>
      <c r="CC1128" s="378" t="str">
        <f ca="1">IF(MO.DataSourceIndex=3,IF(LEFT(INDIRECT(ADDRESS(ROW()-1,COLUMN())),2)="FY","ANNUAL",IF(LEFT(INDIRECT(ADDRESS(ROW()-1,COLUMN())),1)="Q","QUARTERLY","")),IF(LEFT(INDIRECT(ADDRESS(ROW()-1,COLUMN())),2)="FY","FY",IF(LEFT(INDIRECT(ADDRESS(ROW()-1,COLUMN())),1)="Q","FQ","FS")))</f>
        <v>FY</v>
      </c>
      <c r="CD1128" s="378" t="str">
        <f ca="1">IF(MO.DataSourceIndex=3,IF(LEFT(INDIRECT(ADDRESS(ROW()-1,COLUMN())),2)="FY","ANNUAL",IF(LEFT(INDIRECT(ADDRESS(ROW()-1,COLUMN())),1)="Q","QUARTERLY","")),IF(LEFT(INDIRECT(ADDRESS(ROW()-1,COLUMN())),2)="FY","FY",IF(LEFT(INDIRECT(ADDRESS(ROW()-1,COLUMN())),1)="Q","FQ","FS")))</f>
        <v>FQ</v>
      </c>
      <c r="CE1128" s="378" t="str">
        <f ca="1">IF(MO.DataSourceIndex=3,IF(LEFT(INDIRECT(ADDRESS(ROW()-1,COLUMN())),2)="FY","ANNUAL",IF(LEFT(INDIRECT(ADDRESS(ROW()-1,COLUMN())),1)="Q","QUARTERLY","")),IF(LEFT(INDIRECT(ADDRESS(ROW()-1,COLUMN())),2)="FY","FY",IF(LEFT(INDIRECT(ADDRESS(ROW()-1,COLUMN())),1)="Q","FQ","FS")))</f>
        <v>FQ</v>
      </c>
      <c r="CF1128" s="378" t="str">
        <f ca="1">IF(MO.DataSourceIndex=3,IF(LEFT(INDIRECT(ADDRESS(ROW()-1,COLUMN())),2)="FY","ANNUAL",IF(LEFT(INDIRECT(ADDRESS(ROW()-1,COLUMN())),1)="Q","QUARTERLY","")),IF(LEFT(INDIRECT(ADDRESS(ROW()-1,COLUMN())),2)="FY","FY",IF(LEFT(INDIRECT(ADDRESS(ROW()-1,COLUMN())),1)="Q","FQ","FS")))</f>
        <v>FQ</v>
      </c>
      <c r="CG1128" s="378" t="str">
        <f ca="1">IF(MO.DataSourceIndex=3,IF(LEFT(INDIRECT(ADDRESS(ROW()-1,COLUMN())),2)="FY","ANNUAL",IF(LEFT(INDIRECT(ADDRESS(ROW()-1,COLUMN())),1)="Q","QUARTERLY","")),IF(LEFT(INDIRECT(ADDRESS(ROW()-1,COLUMN())),2)="FY","FY",IF(LEFT(INDIRECT(ADDRESS(ROW()-1,COLUMN())),1)="Q","FQ","FS")))</f>
        <v>FQ</v>
      </c>
      <c r="CH1128" s="378" t="str">
        <f ca="1">IF(MO.DataSourceIndex=3,IF(LEFT(INDIRECT(ADDRESS(ROW()-1,COLUMN())),2)="FY","ANNUAL",IF(LEFT(INDIRECT(ADDRESS(ROW()-1,COLUMN())),1)="Q","QUARTERLY","")),IF(LEFT(INDIRECT(ADDRESS(ROW()-1,COLUMN())),2)="FY","FY",IF(LEFT(INDIRECT(ADDRESS(ROW()-1,COLUMN())),1)="Q","FQ","FS")))</f>
        <v>FY</v>
      </c>
      <c r="CI1128" s="378" t="str">
        <f ca="1">IF(MO.DataSourceIndex=3,IF(LEFT(INDIRECT(ADDRESS(ROW()-1,COLUMN())),2)="FY","ANNUAL",IF(LEFT(INDIRECT(ADDRESS(ROW()-1,COLUMN())),1)="Q","QUARTERLY","")),IF(LEFT(INDIRECT(ADDRESS(ROW()-1,COLUMN())),2)="FY","FY",IF(LEFT(INDIRECT(ADDRESS(ROW()-1,COLUMN())),1)="Q","FQ","FS")))</f>
        <v>FY</v>
      </c>
      <c r="CJ1128" s="378" t="str">
        <f ca="1">IF(MO.DataSourceIndex=3,IF(LEFT(INDIRECT(ADDRESS(ROW()-1,COLUMN())),2)="FY","ANNUAL",IF(LEFT(INDIRECT(ADDRESS(ROW()-1,COLUMN())),1)="Q","QUARTERLY","")),IF(LEFT(INDIRECT(ADDRESS(ROW()-1,COLUMN())),2)="FY","FY",IF(LEFT(INDIRECT(ADDRESS(ROW()-1,COLUMN())),1)="Q","FQ","FS")))</f>
        <v>FY</v>
      </c>
      <c r="CK1128" s="1015" t="str">
        <f ca="1">IF(MO.DataSourceIndex=3,IF(LEFT(INDIRECT(ADDRESS(ROW()-1,COLUMN())),2)="FY","ANNUAL",IF(LEFT(INDIRECT(ADDRESS(ROW()-1,COLUMN())),1)="Q","QUARTERLY","")),IF(LEFT(INDIRECT(ADDRESS(ROW()-1,COLUMN())),2)="FY","FY",IF(LEFT(INDIRECT(ADDRESS(ROW()-1,COLUMN())),1)="Q","FQ","FS")))</f>
        <v>FY</v>
      </c>
      <c r="CL1128" s="155"/>
    </row>
    <row r="1129" spans="1:90" x14ac:dyDescent="0.3">
      <c r="A1129" s="1014" t="s">
        <v>265</v>
      </c>
      <c r="B1129" s="378"/>
      <c r="C1129" s="378"/>
      <c r="D1129" s="378"/>
      <c r="E1129" s="378"/>
      <c r="F1129" s="378"/>
      <c r="G1129" s="378"/>
      <c r="H1129" s="378"/>
      <c r="I1129" s="378"/>
      <c r="J1129" s="378"/>
      <c r="K1129" s="378"/>
      <c r="L1129" s="378"/>
      <c r="M1129" s="378"/>
      <c r="N1129" s="378"/>
      <c r="O1129" s="378"/>
      <c r="P1129" s="378"/>
      <c r="Q1129" s="378"/>
      <c r="R1129" s="378"/>
      <c r="S1129" s="378"/>
      <c r="T1129" s="378"/>
      <c r="U1129" s="378"/>
      <c r="V1129" s="378"/>
      <c r="W1129" s="378"/>
      <c r="X1129" s="378"/>
      <c r="Y1129" s="378"/>
      <c r="Z1129" s="378"/>
      <c r="AA1129" s="378"/>
      <c r="AB1129" s="378"/>
      <c r="AC1129" s="378"/>
      <c r="AD1129" s="378"/>
      <c r="AE1129" s="378"/>
      <c r="AF1129" s="378"/>
      <c r="AG1129" s="378"/>
      <c r="AH1129" s="378"/>
      <c r="AI1129" s="378"/>
      <c r="AJ1129" s="378"/>
      <c r="AK1129" s="378"/>
      <c r="AL1129" s="378"/>
      <c r="AM1129" s="378"/>
      <c r="AN1129" s="378"/>
      <c r="AO1129" s="378"/>
      <c r="AP1129" s="378"/>
      <c r="AQ1129" s="378"/>
      <c r="AR1129" s="378"/>
      <c r="AS1129" s="378"/>
      <c r="AT1129" s="378"/>
      <c r="AU1129" s="378"/>
      <c r="AV1129" s="378"/>
      <c r="AW1129" s="378"/>
      <c r="AX1129" s="378"/>
      <c r="AY1129" s="378"/>
      <c r="AZ1129" s="378"/>
      <c r="BA1129" s="378"/>
      <c r="BB1129" s="378"/>
      <c r="BC1129" s="378"/>
      <c r="BD1129" s="378"/>
      <c r="BE1129" s="378"/>
      <c r="BF1129" s="378"/>
      <c r="BG1129" s="378"/>
      <c r="BH1129" s="378"/>
      <c r="BI1129" s="378"/>
      <c r="BJ1129" s="378"/>
      <c r="BK1129" s="378"/>
      <c r="BL1129" s="378"/>
      <c r="BM1129" s="378"/>
      <c r="BN1129" s="378"/>
      <c r="BO1129" s="378"/>
      <c r="BP1129" s="378"/>
      <c r="BQ1129" s="378"/>
      <c r="BR1129" s="378"/>
      <c r="BS1129" s="378"/>
      <c r="BT1129" s="378"/>
      <c r="BU1129" s="378"/>
      <c r="BV1129" s="378"/>
      <c r="BW1129" s="378"/>
      <c r="BX1129" s="378"/>
      <c r="BY1129" s="1006"/>
      <c r="BZ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CA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2</v>
      </c>
      <c r="CB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3</v>
      </c>
      <c r="CC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1</v>
      </c>
      <c r="CD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4</v>
      </c>
      <c r="CE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5</v>
      </c>
      <c r="CF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6</v>
      </c>
      <c r="CG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7</v>
      </c>
      <c r="CH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2</v>
      </c>
      <c r="CI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3</v>
      </c>
      <c r="CJ1129" s="378">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4</v>
      </c>
      <c r="CK1129" s="1015">
        <f ca="1">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5</v>
      </c>
      <c r="CL1129" s="155"/>
    </row>
    <row r="1130" spans="1:90" x14ac:dyDescent="0.3">
      <c r="A1130" s="549" t="str">
        <f>$A$287</f>
        <v>Consensus Estimates - Gross Margin, %</v>
      </c>
      <c r="B1130" s="93"/>
      <c r="C1130" s="1016"/>
      <c r="D1130" s="1016"/>
      <c r="E1130" s="1016"/>
      <c r="F1130" s="1016"/>
      <c r="G1130" s="1016"/>
      <c r="H1130" s="315"/>
      <c r="I1130" s="315"/>
      <c r="J1130" s="315"/>
      <c r="K1130" s="315"/>
      <c r="L1130" s="315"/>
      <c r="M1130" s="315"/>
      <c r="N1130" s="315"/>
      <c r="O1130" s="315"/>
      <c r="P1130" s="93"/>
      <c r="Q1130" s="93"/>
      <c r="R1130" s="93"/>
      <c r="S1130" s="93"/>
      <c r="T1130" s="93"/>
      <c r="U1130" s="93"/>
      <c r="V1130" s="93"/>
      <c r="W1130" s="93"/>
      <c r="X1130" s="93"/>
      <c r="Y1130" s="93"/>
      <c r="Z1130" s="93"/>
      <c r="AA1130" s="93"/>
      <c r="AB1130" s="93"/>
      <c r="AC1130" s="93"/>
      <c r="AD1130" s="93"/>
      <c r="AE1130" s="93"/>
      <c r="AF1130" s="93"/>
      <c r="AG1130" s="93"/>
      <c r="AH1130" s="93"/>
      <c r="AI1130" s="93"/>
      <c r="AJ1130" s="93"/>
      <c r="AK1130" s="93"/>
      <c r="AL1130" s="93"/>
      <c r="AM1130" s="93"/>
      <c r="AN1130" s="93"/>
      <c r="AO1130" s="93"/>
      <c r="AP1130" s="93"/>
      <c r="AQ1130" s="93"/>
      <c r="AR1130" s="93"/>
      <c r="AS1130" s="93"/>
      <c r="AT1130" s="93"/>
      <c r="AU1130" s="93"/>
      <c r="AV1130" s="93"/>
      <c r="AW1130" s="93"/>
      <c r="AX1130" s="93"/>
      <c r="AY1130" s="93"/>
      <c r="AZ1130" s="93"/>
      <c r="BA1130" s="93"/>
      <c r="BB1130" s="93"/>
      <c r="BC1130" s="93"/>
      <c r="BD1130" s="93"/>
      <c r="BE1130" s="93"/>
      <c r="BF1130" s="93"/>
      <c r="BG1130" s="93"/>
      <c r="BH1130" s="93"/>
      <c r="BI1130" s="93"/>
      <c r="BJ1130" s="93"/>
      <c r="BK1130" s="93"/>
      <c r="BL1130" s="93"/>
      <c r="BM1130" s="93"/>
      <c r="BN1130" s="93"/>
      <c r="BO1130" s="93"/>
      <c r="BP1130" s="93"/>
      <c r="BQ1130" s="93"/>
      <c r="BR1130" s="93"/>
      <c r="BS1130" s="93"/>
      <c r="BT1130" s="93"/>
      <c r="BU1130" s="93"/>
      <c r="BV1130" s="93"/>
      <c r="BW1130" s="93"/>
      <c r="BX1130" s="93"/>
      <c r="BY1130" s="522"/>
      <c r="BZ1130" s="315" t="s">
        <v>1295</v>
      </c>
      <c r="CA1130" s="315" t="s">
        <v>1295</v>
      </c>
      <c r="CB1130" s="315" t="s">
        <v>1295</v>
      </c>
      <c r="CC1130" s="315" t="s">
        <v>1295</v>
      </c>
      <c r="CD1130" s="315" t="s">
        <v>1295</v>
      </c>
      <c r="CE1130" s="315" t="s">
        <v>1295</v>
      </c>
      <c r="CF1130" s="315" t="s">
        <v>1295</v>
      </c>
      <c r="CG1130" s="315" t="s">
        <v>1295</v>
      </c>
      <c r="CH1130" s="315" t="s">
        <v>1295</v>
      </c>
      <c r="CI1130" s="315" t="s">
        <v>1295</v>
      </c>
      <c r="CJ1130" s="315" t="s">
        <v>1295</v>
      </c>
      <c r="CK1130" s="546" t="s">
        <v>1295</v>
      </c>
      <c r="CL1130" s="155"/>
    </row>
    <row r="1131" spans="1:90" x14ac:dyDescent="0.3">
      <c r="A1131" s="549" t="str">
        <f>$A$371</f>
        <v>Consensus Estimates - Net Revenue</v>
      </c>
      <c r="B1131" s="93"/>
      <c r="C1131" s="1017"/>
      <c r="D1131" s="1017"/>
      <c r="E1131" s="1017"/>
      <c r="F1131" s="1017"/>
      <c r="G1131" s="1017"/>
      <c r="H1131" s="93"/>
      <c r="I1131" s="93"/>
      <c r="J1131" s="93"/>
      <c r="K1131" s="93"/>
      <c r="L1131" s="93"/>
      <c r="M1131" s="93"/>
      <c r="N1131" s="93"/>
      <c r="O1131" s="93"/>
      <c r="P1131" s="93"/>
      <c r="Q1131" s="93"/>
      <c r="R1131" s="93"/>
      <c r="S1131" s="93"/>
      <c r="T1131" s="93"/>
      <c r="U1131" s="93"/>
      <c r="V1131" s="93"/>
      <c r="W1131" s="93"/>
      <c r="X1131" s="93"/>
      <c r="Y1131" s="93"/>
      <c r="Z1131" s="93"/>
      <c r="AA1131" s="93"/>
      <c r="AB1131" s="93"/>
      <c r="AC1131" s="93"/>
      <c r="AD1131" s="93"/>
      <c r="AE1131" s="93"/>
      <c r="AF1131" s="93"/>
      <c r="AG1131" s="93"/>
      <c r="AH1131" s="93"/>
      <c r="AI1131" s="93"/>
      <c r="AJ1131" s="93"/>
      <c r="AK1131" s="93"/>
      <c r="AL1131" s="93"/>
      <c r="AM1131" s="93"/>
      <c r="AN1131" s="93"/>
      <c r="AO1131" s="93"/>
      <c r="AP1131" s="93"/>
      <c r="AQ1131" s="93"/>
      <c r="AR1131" s="93"/>
      <c r="AS1131" s="93"/>
      <c r="AT1131" s="93"/>
      <c r="AU1131" s="93"/>
      <c r="AV1131" s="93"/>
      <c r="AW1131" s="93"/>
      <c r="AX1131" s="93"/>
      <c r="AY1131" s="93"/>
      <c r="AZ1131" s="93"/>
      <c r="BA1131" s="93"/>
      <c r="BB1131" s="93"/>
      <c r="BC1131" s="93"/>
      <c r="BD1131" s="93"/>
      <c r="BE1131" s="93"/>
      <c r="BF1131" s="93"/>
      <c r="BG1131" s="93"/>
      <c r="BH1131" s="93"/>
      <c r="BI1131" s="93"/>
      <c r="BJ1131" s="93"/>
      <c r="BK1131" s="93"/>
      <c r="BL1131" s="93"/>
      <c r="BM1131" s="93"/>
      <c r="BN1131" s="93"/>
      <c r="BO1131" s="93"/>
      <c r="BP1131" s="93"/>
      <c r="BQ1131" s="93"/>
      <c r="BR1131" s="93"/>
      <c r="BS1131" s="93"/>
      <c r="BT1131" s="93"/>
      <c r="BU1131" s="93"/>
      <c r="BV1131" s="93"/>
      <c r="BW1131" s="93"/>
      <c r="BX1131" s="93"/>
      <c r="BY1131" s="522"/>
      <c r="BZ1131" s="93" t="s">
        <v>1295</v>
      </c>
      <c r="CA1131" s="93" t="s">
        <v>1295</v>
      </c>
      <c r="CB1131" s="93" t="s">
        <v>1295</v>
      </c>
      <c r="CC1131" s="93" t="s">
        <v>1295</v>
      </c>
      <c r="CD1131" s="93" t="s">
        <v>1295</v>
      </c>
      <c r="CE1131" s="93" t="s">
        <v>1295</v>
      </c>
      <c r="CF1131" s="93" t="s">
        <v>1295</v>
      </c>
      <c r="CG1131" s="93" t="s">
        <v>1295</v>
      </c>
      <c r="CH1131" s="93" t="s">
        <v>1295</v>
      </c>
      <c r="CI1131" s="93" t="s">
        <v>1295</v>
      </c>
      <c r="CJ1131" s="93" t="s">
        <v>1295</v>
      </c>
      <c r="CK1131" s="547" t="s">
        <v>1295</v>
      </c>
      <c r="CL1131" s="155"/>
    </row>
    <row r="1132" spans="1:90" x14ac:dyDescent="0.3">
      <c r="A1132" s="549" t="str">
        <f>A401</f>
        <v>Consensus Estimates - Non-GAAP EBITDA</v>
      </c>
      <c r="B1132" s="93"/>
      <c r="C1132" s="1017"/>
      <c r="D1132" s="1017"/>
      <c r="E1132" s="1017"/>
      <c r="F1132" s="1017"/>
      <c r="G1132" s="1017"/>
      <c r="H1132" s="93"/>
      <c r="I1132" s="93"/>
      <c r="J1132" s="93"/>
      <c r="K1132" s="93"/>
      <c r="L1132" s="93"/>
      <c r="M1132" s="93"/>
      <c r="N1132" s="93"/>
      <c r="O1132" s="93"/>
      <c r="P1132" s="93"/>
      <c r="Q1132" s="93"/>
      <c r="R1132" s="93"/>
      <c r="S1132" s="93"/>
      <c r="T1132" s="93"/>
      <c r="U1132" s="93"/>
      <c r="V1132" s="93"/>
      <c r="W1132" s="93"/>
      <c r="X1132" s="93"/>
      <c r="Y1132" s="93"/>
      <c r="Z1132" s="93"/>
      <c r="AA1132" s="93"/>
      <c r="AB1132" s="93"/>
      <c r="AC1132" s="93"/>
      <c r="AD1132" s="93"/>
      <c r="AE1132" s="93"/>
      <c r="AF1132" s="93"/>
      <c r="AG1132" s="93"/>
      <c r="AH1132" s="93"/>
      <c r="AI1132" s="93"/>
      <c r="AJ1132" s="93"/>
      <c r="AK1132" s="93"/>
      <c r="AL1132" s="93"/>
      <c r="AM1132" s="93"/>
      <c r="AN1132" s="93"/>
      <c r="AO1132" s="93"/>
      <c r="AP1132" s="93"/>
      <c r="AQ1132" s="93"/>
      <c r="AR1132" s="93"/>
      <c r="AS1132" s="93"/>
      <c r="AT1132" s="93"/>
      <c r="AU1132" s="93"/>
      <c r="AV1132" s="93"/>
      <c r="AW1132" s="93"/>
      <c r="AX1132" s="93"/>
      <c r="AY1132" s="93"/>
      <c r="AZ1132" s="93"/>
      <c r="BA1132" s="93"/>
      <c r="BB1132" s="93"/>
      <c r="BC1132" s="93"/>
      <c r="BD1132" s="93"/>
      <c r="BE1132" s="93"/>
      <c r="BF1132" s="93"/>
      <c r="BG1132" s="93"/>
      <c r="BH1132" s="93"/>
      <c r="BI1132" s="93"/>
      <c r="BJ1132" s="93"/>
      <c r="BK1132" s="93"/>
      <c r="BL1132" s="93"/>
      <c r="BM1132" s="93"/>
      <c r="BN1132" s="93"/>
      <c r="BO1132" s="93"/>
      <c r="BP1132" s="93"/>
      <c r="BQ1132" s="93"/>
      <c r="BR1132" s="93"/>
      <c r="BS1132" s="93"/>
      <c r="BT1132" s="93"/>
      <c r="BU1132" s="93"/>
      <c r="BV1132" s="93"/>
      <c r="BW1132" s="93"/>
      <c r="BX1132" s="93"/>
      <c r="BY1132" s="522"/>
      <c r="BZ1132" s="93" t="s">
        <v>1295</v>
      </c>
      <c r="CA1132" s="93" t="s">
        <v>1295</v>
      </c>
      <c r="CB1132" s="93" t="s">
        <v>1295</v>
      </c>
      <c r="CC1132" s="93" t="s">
        <v>1295</v>
      </c>
      <c r="CD1132" s="93" t="s">
        <v>1295</v>
      </c>
      <c r="CE1132" s="93" t="s">
        <v>1295</v>
      </c>
      <c r="CF1132" s="93" t="s">
        <v>1295</v>
      </c>
      <c r="CG1132" s="93" t="s">
        <v>1295</v>
      </c>
      <c r="CH1132" s="93" t="s">
        <v>1295</v>
      </c>
      <c r="CI1132" s="93" t="s">
        <v>1295</v>
      </c>
      <c r="CJ1132" s="93" t="s">
        <v>1295</v>
      </c>
      <c r="CK1132" s="547" t="s">
        <v>1295</v>
      </c>
      <c r="CL1132" s="155"/>
    </row>
    <row r="1133" spans="1:90" x14ac:dyDescent="0.3">
      <c r="A1133" s="549" t="str">
        <f>A397</f>
        <v>Consensus Estimates - Company Reported Non-GAAP Operating Income</v>
      </c>
      <c r="B1133" s="93"/>
      <c r="C1133" s="1017"/>
      <c r="D1133" s="1017"/>
      <c r="E1133" s="1017"/>
      <c r="F1133" s="1017"/>
      <c r="G1133" s="1017"/>
      <c r="H1133" s="93"/>
      <c r="I1133" s="93"/>
      <c r="J1133" s="93"/>
      <c r="K1133" s="93"/>
      <c r="L1133" s="93"/>
      <c r="M1133" s="93"/>
      <c r="N1133" s="93"/>
      <c r="O1133" s="93"/>
      <c r="P1133" s="93"/>
      <c r="Q1133" s="93"/>
      <c r="R1133" s="93"/>
      <c r="S1133" s="93"/>
      <c r="T1133" s="93"/>
      <c r="U1133" s="93"/>
      <c r="V1133" s="93"/>
      <c r="W1133" s="93"/>
      <c r="X1133" s="93"/>
      <c r="Y1133" s="93"/>
      <c r="Z1133" s="93"/>
      <c r="AA1133" s="93"/>
      <c r="AB1133" s="93"/>
      <c r="AC1133" s="93"/>
      <c r="AD1133" s="93"/>
      <c r="AE1133" s="93"/>
      <c r="AF1133" s="93"/>
      <c r="AG1133" s="93"/>
      <c r="AH1133" s="93"/>
      <c r="AI1133" s="93"/>
      <c r="AJ1133" s="93"/>
      <c r="AK1133" s="93"/>
      <c r="AL1133" s="93"/>
      <c r="AM1133" s="93"/>
      <c r="AN1133" s="93"/>
      <c r="AO1133" s="93"/>
      <c r="AP1133" s="93"/>
      <c r="AQ1133" s="93"/>
      <c r="AR1133" s="93"/>
      <c r="AS1133" s="93"/>
      <c r="AT1133" s="93"/>
      <c r="AU1133" s="93"/>
      <c r="AV1133" s="93"/>
      <c r="AW1133" s="93"/>
      <c r="AX1133" s="93"/>
      <c r="AY1133" s="93"/>
      <c r="AZ1133" s="93"/>
      <c r="BA1133" s="93"/>
      <c r="BB1133" s="93"/>
      <c r="BC1133" s="93"/>
      <c r="BD1133" s="93"/>
      <c r="BE1133" s="93"/>
      <c r="BF1133" s="93"/>
      <c r="BG1133" s="93"/>
      <c r="BH1133" s="93"/>
      <c r="BI1133" s="93"/>
      <c r="BJ1133" s="93"/>
      <c r="BK1133" s="93"/>
      <c r="BL1133" s="93"/>
      <c r="BM1133" s="93"/>
      <c r="BN1133" s="93"/>
      <c r="BO1133" s="93"/>
      <c r="BP1133" s="93"/>
      <c r="BQ1133" s="93"/>
      <c r="BR1133" s="93"/>
      <c r="BS1133" s="93"/>
      <c r="BT1133" s="93"/>
      <c r="BU1133" s="93"/>
      <c r="BV1133" s="93"/>
      <c r="BW1133" s="93"/>
      <c r="BX1133" s="93"/>
      <c r="BY1133" s="522"/>
      <c r="BZ1133" s="93" t="s">
        <v>1295</v>
      </c>
      <c r="CA1133" s="93" t="s">
        <v>1295</v>
      </c>
      <c r="CB1133" s="93" t="s">
        <v>1295</v>
      </c>
      <c r="CC1133" s="93" t="s">
        <v>1295</v>
      </c>
      <c r="CD1133" s="93" t="s">
        <v>1295</v>
      </c>
      <c r="CE1133" s="93" t="s">
        <v>1295</v>
      </c>
      <c r="CF1133" s="93" t="s">
        <v>1295</v>
      </c>
      <c r="CG1133" s="93" t="s">
        <v>1295</v>
      </c>
      <c r="CH1133" s="93" t="s">
        <v>1295</v>
      </c>
      <c r="CI1133" s="93" t="s">
        <v>1295</v>
      </c>
      <c r="CJ1133" s="93" t="s">
        <v>1295</v>
      </c>
      <c r="CK1133" s="547" t="s">
        <v>1295</v>
      </c>
      <c r="CL1133" s="155"/>
    </row>
    <row r="1134" spans="1:90" x14ac:dyDescent="0.3">
      <c r="A1134" s="549" t="str">
        <f>$A$434</f>
        <v>Consensus Estimates - Non-GAAP Adjusted Earnings Per Share - WAD</v>
      </c>
      <c r="B1134" s="93"/>
      <c r="C1134" s="316"/>
      <c r="D1134" s="316"/>
      <c r="E1134" s="316"/>
      <c r="F1134" s="316"/>
      <c r="G1134" s="316"/>
      <c r="H1134" s="93"/>
      <c r="I1134" s="93"/>
      <c r="J1134" s="93"/>
      <c r="K1134" s="93"/>
      <c r="L1134" s="93"/>
      <c r="M1134" s="93"/>
      <c r="N1134" s="93"/>
      <c r="O1134" s="93"/>
      <c r="P1134" s="93"/>
      <c r="Q1134" s="93"/>
      <c r="R1134" s="93"/>
      <c r="S1134" s="93"/>
      <c r="T1134" s="93"/>
      <c r="U1134" s="93"/>
      <c r="V1134" s="93"/>
      <c r="W1134" s="93"/>
      <c r="X1134" s="93"/>
      <c r="Y1134" s="93"/>
      <c r="Z1134" s="93"/>
      <c r="AA1134" s="93"/>
      <c r="AB1134" s="93"/>
      <c r="AC1134" s="93"/>
      <c r="AD1134" s="93"/>
      <c r="AE1134" s="93"/>
      <c r="AF1134" s="93"/>
      <c r="AG1134" s="93"/>
      <c r="AH1134" s="93"/>
      <c r="AI1134" s="93"/>
      <c r="AJ1134" s="93"/>
      <c r="AK1134" s="93"/>
      <c r="AL1134" s="93"/>
      <c r="AM1134" s="93"/>
      <c r="AN1134" s="93"/>
      <c r="AO1134" s="93"/>
      <c r="AP1134" s="93"/>
      <c r="AQ1134" s="93"/>
      <c r="AR1134" s="93"/>
      <c r="AS1134" s="93"/>
      <c r="AT1134" s="93"/>
      <c r="AU1134" s="93"/>
      <c r="AV1134" s="93"/>
      <c r="AW1134" s="93"/>
      <c r="AX1134" s="93"/>
      <c r="AY1134" s="93"/>
      <c r="AZ1134" s="93"/>
      <c r="BA1134" s="93"/>
      <c r="BB1134" s="93"/>
      <c r="BC1134" s="93"/>
      <c r="BD1134" s="93"/>
      <c r="BE1134" s="93"/>
      <c r="BF1134" s="93"/>
      <c r="BG1134" s="93"/>
      <c r="BH1134" s="93"/>
      <c r="BI1134" s="93"/>
      <c r="BJ1134" s="93"/>
      <c r="BK1134" s="93"/>
      <c r="BL1134" s="93"/>
      <c r="BM1134" s="93"/>
      <c r="BN1134" s="93"/>
      <c r="BO1134" s="93"/>
      <c r="BP1134" s="93"/>
      <c r="BQ1134" s="93"/>
      <c r="BR1134" s="93"/>
      <c r="BS1134" s="93"/>
      <c r="BT1134" s="93"/>
      <c r="BU1134" s="93"/>
      <c r="BV1134" s="93"/>
      <c r="BW1134" s="93"/>
      <c r="BX1134" s="93"/>
      <c r="BY1134" s="522"/>
      <c r="BZ1134" s="93" t="s">
        <v>1295</v>
      </c>
      <c r="CA1134" s="93" t="s">
        <v>1295</v>
      </c>
      <c r="CB1134" s="93" t="s">
        <v>1295</v>
      </c>
      <c r="CC1134" s="93" t="s">
        <v>1295</v>
      </c>
      <c r="CD1134" s="93" t="s">
        <v>1295</v>
      </c>
      <c r="CE1134" s="93" t="s">
        <v>1295</v>
      </c>
      <c r="CF1134" s="93" t="s">
        <v>1295</v>
      </c>
      <c r="CG1134" s="93" t="s">
        <v>1295</v>
      </c>
      <c r="CH1134" s="93" t="s">
        <v>1295</v>
      </c>
      <c r="CI1134" s="93" t="s">
        <v>1295</v>
      </c>
      <c r="CJ1134" s="93" t="s">
        <v>1295</v>
      </c>
      <c r="CK1134" s="547" t="s">
        <v>1295</v>
      </c>
      <c r="CL1134" s="155"/>
    </row>
    <row r="1135" spans="1:90" x14ac:dyDescent="0.3">
      <c r="A1135" s="549" t="str">
        <f>$A$708</f>
        <v>Consensus Estimates - Cash Flow Per Diluted Share</v>
      </c>
      <c r="B1135" s="93"/>
      <c r="C1135" s="316"/>
      <c r="D1135" s="316"/>
      <c r="E1135" s="316"/>
      <c r="F1135" s="316"/>
      <c r="G1135" s="316"/>
      <c r="H1135" s="93"/>
      <c r="I1135" s="93"/>
      <c r="J1135" s="93"/>
      <c r="K1135" s="93"/>
      <c r="L1135" s="93"/>
      <c r="M1135" s="93"/>
      <c r="N1135" s="93"/>
      <c r="O1135" s="93"/>
      <c r="P1135" s="93"/>
      <c r="Q1135" s="93"/>
      <c r="R1135" s="93"/>
      <c r="S1135" s="93"/>
      <c r="T1135" s="93"/>
      <c r="U1135" s="93"/>
      <c r="V1135" s="93"/>
      <c r="W1135" s="93"/>
      <c r="X1135" s="93"/>
      <c r="Y1135" s="93"/>
      <c r="Z1135" s="93"/>
      <c r="AA1135" s="93"/>
      <c r="AB1135" s="93"/>
      <c r="AC1135" s="93"/>
      <c r="AD1135" s="93"/>
      <c r="AE1135" s="93"/>
      <c r="AF1135" s="93"/>
      <c r="AG1135" s="93"/>
      <c r="AH1135" s="93"/>
      <c r="AI1135" s="93"/>
      <c r="AJ1135" s="93"/>
      <c r="AK1135" s="93"/>
      <c r="AL1135" s="93"/>
      <c r="AM1135" s="93"/>
      <c r="AN1135" s="93"/>
      <c r="AO1135" s="93"/>
      <c r="AP1135" s="93"/>
      <c r="AQ1135" s="93"/>
      <c r="AR1135" s="93"/>
      <c r="AS1135" s="93"/>
      <c r="AT1135" s="93"/>
      <c r="AU1135" s="93"/>
      <c r="AV1135" s="93"/>
      <c r="AW1135" s="93"/>
      <c r="AX1135" s="93"/>
      <c r="AY1135" s="93"/>
      <c r="AZ1135" s="93"/>
      <c r="BA1135" s="93"/>
      <c r="BB1135" s="93"/>
      <c r="BC1135" s="93"/>
      <c r="BD1135" s="93"/>
      <c r="BE1135" s="93"/>
      <c r="BF1135" s="93"/>
      <c r="BG1135" s="93"/>
      <c r="BH1135" s="93"/>
      <c r="BI1135" s="93"/>
      <c r="BJ1135" s="93"/>
      <c r="BK1135" s="93"/>
      <c r="BL1135" s="93"/>
      <c r="BM1135" s="93"/>
      <c r="BN1135" s="93"/>
      <c r="BO1135" s="93"/>
      <c r="BP1135" s="93"/>
      <c r="BQ1135" s="93"/>
      <c r="BR1135" s="93"/>
      <c r="BS1135" s="93"/>
      <c r="BT1135" s="93"/>
      <c r="BU1135" s="93"/>
      <c r="BV1135" s="93"/>
      <c r="BW1135" s="93"/>
      <c r="BX1135" s="93"/>
      <c r="BY1135" s="522"/>
      <c r="BZ1135" s="93" t="s">
        <v>1295</v>
      </c>
      <c r="CA1135" s="93" t="s">
        <v>1295</v>
      </c>
      <c r="CB1135" s="93" t="s">
        <v>1295</v>
      </c>
      <c r="CC1135" s="93" t="s">
        <v>1295</v>
      </c>
      <c r="CD1135" s="93" t="s">
        <v>1295</v>
      </c>
      <c r="CE1135" s="93" t="s">
        <v>1295</v>
      </c>
      <c r="CF1135" s="93" t="s">
        <v>1295</v>
      </c>
      <c r="CG1135" s="93" t="s">
        <v>1295</v>
      </c>
      <c r="CH1135" s="93" t="s">
        <v>1295</v>
      </c>
      <c r="CI1135" s="93" t="s">
        <v>1295</v>
      </c>
      <c r="CJ1135" s="93" t="s">
        <v>1295</v>
      </c>
      <c r="CK1135" s="547" t="s">
        <v>1295</v>
      </c>
      <c r="CL1135" s="155"/>
    </row>
    <row r="1136" spans="1:90" x14ac:dyDescent="0.3">
      <c r="A1136" s="549" t="str">
        <f>A710</f>
        <v>Consensus Estimates - Capex</v>
      </c>
      <c r="B1136" s="93"/>
      <c r="C1136" s="1017"/>
      <c r="D1136" s="1017"/>
      <c r="E1136" s="1017"/>
      <c r="F1136" s="1017"/>
      <c r="G1136" s="1017"/>
      <c r="H1136" s="93"/>
      <c r="I1136" s="93"/>
      <c r="J1136" s="93"/>
      <c r="K1136" s="93"/>
      <c r="L1136" s="93"/>
      <c r="M1136" s="93"/>
      <c r="N1136" s="93"/>
      <c r="O1136" s="93"/>
      <c r="P1136" s="93"/>
      <c r="Q1136" s="93"/>
      <c r="R1136" s="93"/>
      <c r="S1136" s="93"/>
      <c r="T1136" s="93"/>
      <c r="U1136" s="93"/>
      <c r="V1136" s="93"/>
      <c r="W1136" s="93"/>
      <c r="X1136" s="93"/>
      <c r="Y1136" s="93"/>
      <c r="Z1136" s="93"/>
      <c r="AA1136" s="93"/>
      <c r="AB1136" s="93"/>
      <c r="AC1136" s="93"/>
      <c r="AD1136" s="93"/>
      <c r="AE1136" s="93"/>
      <c r="AF1136" s="93"/>
      <c r="AG1136" s="93"/>
      <c r="AH1136" s="93"/>
      <c r="AI1136" s="93"/>
      <c r="AJ1136" s="93"/>
      <c r="AK1136" s="93"/>
      <c r="AL1136" s="93"/>
      <c r="AM1136" s="93"/>
      <c r="AN1136" s="93"/>
      <c r="AO1136" s="93"/>
      <c r="AP1136" s="93"/>
      <c r="AQ1136" s="93"/>
      <c r="AR1136" s="93"/>
      <c r="AS1136" s="93"/>
      <c r="AT1136" s="93"/>
      <c r="AU1136" s="93"/>
      <c r="AV1136" s="93"/>
      <c r="AW1136" s="93"/>
      <c r="AX1136" s="93"/>
      <c r="AY1136" s="93"/>
      <c r="AZ1136" s="93"/>
      <c r="BA1136" s="93"/>
      <c r="BB1136" s="93"/>
      <c r="BC1136" s="93"/>
      <c r="BD1136" s="93"/>
      <c r="BE1136" s="93"/>
      <c r="BF1136" s="93"/>
      <c r="BG1136" s="93"/>
      <c r="BH1136" s="93"/>
      <c r="BI1136" s="93"/>
      <c r="BJ1136" s="93"/>
      <c r="BK1136" s="93"/>
      <c r="BL1136" s="93"/>
      <c r="BM1136" s="93"/>
      <c r="BN1136" s="93"/>
      <c r="BO1136" s="93"/>
      <c r="BP1136" s="93"/>
      <c r="BQ1136" s="93"/>
      <c r="BR1136" s="93"/>
      <c r="BS1136" s="93"/>
      <c r="BT1136" s="93"/>
      <c r="BU1136" s="93"/>
      <c r="BV1136" s="93"/>
      <c r="BW1136" s="93"/>
      <c r="BX1136" s="93"/>
      <c r="BY1136" s="522"/>
      <c r="BZ1136" s="93" t="s">
        <v>1295</v>
      </c>
      <c r="CA1136" s="93" t="s">
        <v>1295</v>
      </c>
      <c r="CB1136" s="93" t="s">
        <v>1295</v>
      </c>
      <c r="CC1136" s="93" t="s">
        <v>1295</v>
      </c>
      <c r="CD1136" s="93" t="s">
        <v>1295</v>
      </c>
      <c r="CE1136" s="93" t="s">
        <v>1295</v>
      </c>
      <c r="CF1136" s="93" t="s">
        <v>1295</v>
      </c>
      <c r="CG1136" s="93" t="s">
        <v>1295</v>
      </c>
      <c r="CH1136" s="93" t="s">
        <v>1295</v>
      </c>
      <c r="CI1136" s="93" t="s">
        <v>1295</v>
      </c>
      <c r="CJ1136" s="93" t="s">
        <v>1295</v>
      </c>
      <c r="CK1136" s="547" t="s">
        <v>1295</v>
      </c>
      <c r="CL1136" s="155"/>
    </row>
    <row r="1137" spans="1:90" x14ac:dyDescent="0.3">
      <c r="A1137" s="550"/>
      <c r="B1137" s="882"/>
      <c r="C1137" s="545"/>
      <c r="D1137" s="545"/>
      <c r="E1137" s="545"/>
      <c r="F1137" s="545"/>
      <c r="G1137" s="545"/>
      <c r="H1137" s="882"/>
      <c r="I1137" s="882"/>
      <c r="J1137" s="882"/>
      <c r="K1137" s="882"/>
      <c r="L1137" s="882"/>
      <c r="M1137" s="882"/>
      <c r="N1137" s="882"/>
      <c r="O1137" s="882"/>
      <c r="P1137" s="882"/>
      <c r="Q1137" s="882"/>
      <c r="R1137" s="882"/>
      <c r="S1137" s="882"/>
      <c r="T1137" s="882"/>
      <c r="U1137" s="882"/>
      <c r="V1137" s="882"/>
      <c r="W1137" s="882"/>
      <c r="X1137" s="882"/>
      <c r="Y1137" s="882"/>
      <c r="Z1137" s="882"/>
      <c r="AA1137" s="882"/>
      <c r="AB1137" s="882"/>
      <c r="AC1137" s="882"/>
      <c r="AD1137" s="882"/>
      <c r="AE1137" s="882"/>
      <c r="AF1137" s="882"/>
      <c r="AG1137" s="882"/>
      <c r="AH1137" s="882"/>
      <c r="AI1137" s="882"/>
      <c r="AJ1137" s="882"/>
      <c r="AK1137" s="882"/>
      <c r="AL1137" s="882"/>
      <c r="AM1137" s="882"/>
      <c r="AN1137" s="882"/>
      <c r="AO1137" s="882"/>
      <c r="AP1137" s="882"/>
      <c r="AQ1137" s="882"/>
      <c r="AR1137" s="882"/>
      <c r="AS1137" s="882"/>
      <c r="AT1137" s="882"/>
      <c r="AU1137" s="882"/>
      <c r="AV1137" s="882"/>
      <c r="AW1137" s="882"/>
      <c r="AX1137" s="882"/>
      <c r="AY1137" s="882"/>
      <c r="AZ1137" s="882"/>
      <c r="BA1137" s="882"/>
      <c r="BB1137" s="882"/>
      <c r="BC1137" s="882"/>
      <c r="BD1137" s="882"/>
      <c r="BE1137" s="882"/>
      <c r="BF1137" s="882"/>
      <c r="BG1137" s="882"/>
      <c r="BH1137" s="882"/>
      <c r="BI1137" s="882"/>
      <c r="BJ1137" s="882"/>
      <c r="BK1137" s="882"/>
      <c r="BL1137" s="882"/>
      <c r="BM1137" s="882"/>
      <c r="BN1137" s="882"/>
      <c r="BO1137" s="882"/>
      <c r="BP1137" s="882"/>
      <c r="BQ1137" s="882"/>
      <c r="BR1137" s="882"/>
      <c r="BS1137" s="882"/>
      <c r="BT1137" s="882"/>
      <c r="BU1137" s="882"/>
      <c r="BV1137" s="882"/>
      <c r="BW1137" s="882"/>
      <c r="BX1137" s="882"/>
      <c r="BY1137" s="877"/>
      <c r="BZ1137" s="882"/>
      <c r="CA1137" s="882"/>
      <c r="CB1137" s="882"/>
      <c r="CC1137" s="882"/>
      <c r="CD1137" s="882"/>
      <c r="CE1137" s="882"/>
      <c r="CF1137" s="882"/>
      <c r="CG1137" s="882"/>
      <c r="CH1137" s="882"/>
      <c r="CI1137" s="882"/>
      <c r="CJ1137" s="882"/>
      <c r="CK1137" s="548"/>
      <c r="CL1137" s="155"/>
    </row>
    <row r="1138" spans="1:90" x14ac:dyDescent="0.3">
      <c r="A1138" s="253"/>
      <c r="B1138" s="93"/>
      <c r="C1138" s="1017"/>
      <c r="D1138" s="1017"/>
      <c r="E1138" s="1017"/>
      <c r="F1138" s="1017"/>
      <c r="G1138" s="1017"/>
      <c r="H1138" s="93"/>
      <c r="I1138" s="93"/>
      <c r="J1138" s="93"/>
      <c r="K1138" s="93"/>
      <c r="L1138" s="93"/>
      <c r="M1138" s="93"/>
      <c r="N1138" s="93"/>
      <c r="O1138" s="93"/>
      <c r="P1138" s="93"/>
      <c r="Q1138" s="93"/>
      <c r="R1138" s="93"/>
      <c r="S1138" s="93"/>
      <c r="T1138" s="93"/>
      <c r="U1138" s="93"/>
      <c r="V1138" s="93"/>
      <c r="W1138" s="93"/>
      <c r="X1138" s="93"/>
      <c r="Y1138" s="93"/>
      <c r="Z1138" s="93"/>
      <c r="AA1138" s="93"/>
      <c r="AB1138" s="93"/>
      <c r="AC1138" s="93"/>
      <c r="AD1138" s="93"/>
      <c r="AE1138" s="93"/>
      <c r="AF1138" s="93"/>
      <c r="AG1138" s="93"/>
      <c r="AH1138" s="93"/>
      <c r="AI1138" s="93"/>
      <c r="AJ1138" s="93"/>
      <c r="AK1138" s="93"/>
      <c r="AL1138" s="93"/>
      <c r="AM1138" s="93"/>
      <c r="AN1138" s="93"/>
      <c r="AO1138" s="93"/>
      <c r="AP1138" s="93"/>
      <c r="AQ1138" s="93"/>
      <c r="AR1138" s="93"/>
      <c r="AS1138" s="93"/>
      <c r="AT1138" s="93"/>
      <c r="AU1138" s="93"/>
      <c r="AV1138" s="93"/>
      <c r="AW1138" s="93"/>
      <c r="AX1138" s="93"/>
      <c r="AY1138" s="93"/>
      <c r="AZ1138" s="93"/>
      <c r="BA1138" s="93"/>
      <c r="BB1138" s="93"/>
      <c r="BC1138" s="93"/>
      <c r="BD1138" s="93"/>
      <c r="BE1138" s="93"/>
      <c r="BF1138" s="93"/>
      <c r="BG1138" s="93"/>
      <c r="BH1138" s="93"/>
      <c r="BI1138" s="93"/>
      <c r="BJ1138" s="93"/>
      <c r="BK1138" s="93"/>
      <c r="BL1138" s="93"/>
      <c r="BM1138" s="93"/>
      <c r="BN1138" s="93"/>
      <c r="BO1138" s="93"/>
      <c r="BP1138" s="93"/>
      <c r="BQ1138" s="93"/>
      <c r="BR1138" s="93"/>
      <c r="BS1138" s="93"/>
      <c r="BT1138" s="93"/>
      <c r="BU1138" s="93"/>
      <c r="BV1138" s="93"/>
      <c r="BW1138" s="93"/>
      <c r="BX1138" s="93"/>
      <c r="BY1138" s="522"/>
      <c r="BZ1138" s="93"/>
      <c r="CA1138" s="93"/>
      <c r="CB1138" s="93"/>
      <c r="CC1138" s="93"/>
      <c r="CD1138" s="93"/>
      <c r="CE1138" s="93"/>
      <c r="CF1138" s="93"/>
      <c r="CG1138" s="93"/>
      <c r="CH1138" s="93"/>
      <c r="CI1138" s="93"/>
      <c r="CJ1138" s="93"/>
      <c r="CK1138" s="93"/>
      <c r="CL1138" s="155"/>
    </row>
    <row r="1139" spans="1:90" x14ac:dyDescent="0.3">
      <c r="A1139" s="257" t="s">
        <v>266</v>
      </c>
      <c r="B1139" s="254"/>
      <c r="C1139" s="255"/>
      <c r="D1139" s="255"/>
      <c r="E1139" s="255"/>
      <c r="F1139" s="255"/>
      <c r="G1139" s="255"/>
      <c r="H1139" s="254"/>
      <c r="I1139" s="254"/>
      <c r="J1139" s="254"/>
      <c r="K1139" s="254"/>
      <c r="L1139" s="254"/>
      <c r="M1139" s="254"/>
      <c r="N1139" s="254"/>
      <c r="O1139" s="254"/>
      <c r="P1139" s="254"/>
      <c r="Q1139" s="254"/>
      <c r="R1139" s="254"/>
      <c r="S1139" s="254"/>
      <c r="T1139" s="254"/>
      <c r="U1139" s="254"/>
      <c r="V1139" s="254"/>
      <c r="W1139" s="254"/>
      <c r="X1139" s="254"/>
      <c r="Y1139" s="254"/>
      <c r="Z1139" s="254"/>
      <c r="AA1139" s="254"/>
      <c r="AB1139" s="254"/>
      <c r="AC1139" s="254"/>
      <c r="AD1139" s="254"/>
      <c r="AE1139" s="254"/>
      <c r="AF1139" s="254"/>
      <c r="AG1139" s="254"/>
      <c r="AH1139" s="254"/>
      <c r="AI1139" s="254"/>
      <c r="AJ1139" s="254"/>
      <c r="AK1139" s="254"/>
      <c r="AL1139" s="254"/>
      <c r="AM1139" s="254"/>
      <c r="AN1139" s="254"/>
      <c r="AO1139" s="254"/>
      <c r="AP1139" s="254"/>
      <c r="AQ1139" s="254"/>
      <c r="AR1139" s="254"/>
      <c r="AS1139" s="254"/>
      <c r="AT1139" s="254"/>
      <c r="AU1139" s="254"/>
      <c r="AV1139" s="254"/>
      <c r="AW1139" s="254"/>
      <c r="AX1139" s="254"/>
      <c r="AY1139" s="254"/>
      <c r="AZ1139" s="254"/>
      <c r="BA1139" s="254"/>
      <c r="BB1139" s="254"/>
      <c r="BC1139" s="254"/>
      <c r="BD1139" s="254"/>
      <c r="BE1139" s="254"/>
      <c r="BF1139" s="254"/>
      <c r="BG1139" s="254"/>
      <c r="BH1139" s="254"/>
      <c r="BI1139" s="254"/>
      <c r="BJ1139" s="254"/>
      <c r="BK1139" s="254"/>
      <c r="BL1139" s="254"/>
      <c r="BM1139" s="254"/>
      <c r="BN1139" s="254"/>
      <c r="BO1139" s="254"/>
      <c r="BP1139" s="254"/>
      <c r="BQ1139" s="254"/>
      <c r="BR1139" s="254"/>
      <c r="BS1139" s="254"/>
      <c r="BT1139" s="254"/>
      <c r="BU1139" s="254"/>
      <c r="BV1139" s="254"/>
      <c r="BW1139" s="254"/>
      <c r="BX1139" s="254"/>
      <c r="BY1139" s="525"/>
      <c r="BZ1139" s="254"/>
      <c r="CA1139" s="254"/>
      <c r="CB1139" s="254"/>
      <c r="CC1139" s="254"/>
      <c r="CD1139" s="254"/>
      <c r="CE1139" s="254"/>
      <c r="CF1139" s="254"/>
      <c r="CG1139" s="254"/>
      <c r="CH1139" s="254"/>
      <c r="CI1139" s="254"/>
      <c r="CJ1139" s="254"/>
      <c r="CK1139" s="256"/>
      <c r="CL1139" s="155"/>
    </row>
    <row r="1140" spans="1:90" x14ac:dyDescent="0.3">
      <c r="A1140" s="258" t="s">
        <v>267</v>
      </c>
      <c r="B1140" s="93"/>
      <c r="C1140" s="1039">
        <f>INDEX(MO_Common_QEndDate,0,COLUMN())-INDEX(MO_Common_FPDays,0,COLUMN())+1</f>
        <v>39479</v>
      </c>
      <c r="D1140" s="1039">
        <f>INDEX(MO_Common_QEndDate,0,COLUMN())-INDEX(MO_Common_FPDays,0,COLUMN())+1</f>
        <v>39839</v>
      </c>
      <c r="E1140" s="1039">
        <f>INDEX(MO_Common_QEndDate,0,COLUMN())-INDEX(MO_Common_FPDays,0,COLUMN())+1</f>
        <v>40210</v>
      </c>
      <c r="F1140" s="1039">
        <f>INDEX(MO_Common_QEndDate,0,COLUMN())-INDEX(MO_Common_FPDays,0,COLUMN())+1</f>
        <v>40574</v>
      </c>
      <c r="G1140" s="1039">
        <f>INDEX(MO_Common_QEndDate,0,COLUMN())-INDEX(MO_Common_FPDays,0,COLUMN())+1</f>
        <v>40938</v>
      </c>
      <c r="H1140" s="259">
        <f>INDEX(MO_Common_QEndDate,0,COLUMN())-INDEX(MO_Common_FPDays,0,COLUMN())+1</f>
        <v>41029</v>
      </c>
      <c r="I1140" s="259">
        <f>INDEX(MO_Common_QEndDate,0,COLUMN())-INDEX(MO_Common_FPDays,0,COLUMN())+1</f>
        <v>41120</v>
      </c>
      <c r="J1140" s="259">
        <f>INDEX(MO_Common_QEndDate,0,COLUMN())-INDEX(MO_Common_FPDays,0,COLUMN())+1</f>
        <v>41211</v>
      </c>
      <c r="K1140" s="259">
        <f>INDEX(MO_Common_QEndDate,0,COLUMN())-INDEX(MO_Common_FPDays,0,COLUMN())+1</f>
        <v>40938</v>
      </c>
      <c r="L1140" s="259">
        <f>INDEX(MO_Common_QEndDate,0,COLUMN())-INDEX(MO_Common_FPDays,0,COLUMN())+1</f>
        <v>41302</v>
      </c>
      <c r="M1140" s="259">
        <f>INDEX(MO_Common_QEndDate,0,COLUMN())-INDEX(MO_Common_FPDays,0,COLUMN())+1</f>
        <v>41393</v>
      </c>
      <c r="N1140" s="259">
        <f>INDEX(MO_Common_QEndDate,0,COLUMN())-INDEX(MO_Common_FPDays,0,COLUMN())+1</f>
        <v>41484</v>
      </c>
      <c r="O1140" s="259">
        <f>INDEX(MO_Common_QEndDate,0,COLUMN())-INDEX(MO_Common_FPDays,0,COLUMN())+1</f>
        <v>41575</v>
      </c>
      <c r="P1140" s="259">
        <f>INDEX(MO_Common_QEndDate,0,COLUMN())-INDEX(MO_Common_FPDays,0,COLUMN())+1</f>
        <v>41302</v>
      </c>
      <c r="Q1140" s="259">
        <f>INDEX(MO_Common_QEndDate,0,COLUMN())-INDEX(MO_Common_FPDays,0,COLUMN())+1</f>
        <v>41666</v>
      </c>
      <c r="R1140" s="259">
        <f>INDEX(MO_Common_QEndDate,0,COLUMN())-INDEX(MO_Common_FPDays,0,COLUMN())+1</f>
        <v>41757</v>
      </c>
      <c r="S1140" s="259">
        <f>INDEX(MO_Common_QEndDate,0,COLUMN())-INDEX(MO_Common_FPDays,0,COLUMN())+1</f>
        <v>41848</v>
      </c>
      <c r="T1140" s="259">
        <f>INDEX(MO_Common_QEndDate,0,COLUMN())-INDEX(MO_Common_FPDays,0,COLUMN())+1</f>
        <v>41939</v>
      </c>
      <c r="U1140" s="259">
        <f>INDEX(MO_Common_QEndDate,0,COLUMN())-INDEX(MO_Common_FPDays,0,COLUMN())+1</f>
        <v>41666</v>
      </c>
      <c r="V1140" s="259">
        <f>INDEX(MO_Common_QEndDate,0,COLUMN())-INDEX(MO_Common_FPDays,0,COLUMN())+1</f>
        <v>42030</v>
      </c>
      <c r="W1140" s="259">
        <f>INDEX(MO_Common_QEndDate,0,COLUMN())-INDEX(MO_Common_FPDays,0,COLUMN())+1</f>
        <v>42121</v>
      </c>
      <c r="X1140" s="259">
        <f>INDEX(MO_Common_QEndDate,0,COLUMN())-INDEX(MO_Common_FPDays,0,COLUMN())+1</f>
        <v>42212</v>
      </c>
      <c r="Y1140" s="259">
        <f>INDEX(MO_Common_QEndDate,0,COLUMN())-INDEX(MO_Common_FPDays,0,COLUMN())+1</f>
        <v>42303</v>
      </c>
      <c r="Z1140" s="259">
        <f>INDEX(MO_Common_QEndDate,0,COLUMN())-INDEX(MO_Common_FPDays,0,COLUMN())+1</f>
        <v>42030</v>
      </c>
      <c r="AA1140" s="259">
        <f>INDEX(MO_Common_QEndDate,0,COLUMN())-INDEX(MO_Common_FPDays,0,COLUMN())+1</f>
        <v>42401</v>
      </c>
      <c r="AB1140" s="259">
        <f>INDEX(MO_Common_QEndDate,0,COLUMN())-INDEX(MO_Common_FPDays,0,COLUMN())+1</f>
        <v>42492</v>
      </c>
      <c r="AC1140" s="259">
        <f>INDEX(MO_Common_QEndDate,0,COLUMN())-INDEX(MO_Common_FPDays,0,COLUMN())+1</f>
        <v>42583</v>
      </c>
      <c r="AD1140" s="259">
        <f>INDEX(MO_Common_QEndDate,0,COLUMN())-INDEX(MO_Common_FPDays,0,COLUMN())+1</f>
        <v>42674</v>
      </c>
      <c r="AE1140" s="259">
        <f>INDEX(MO_Common_QEndDate,0,COLUMN())-INDEX(MO_Common_FPDays,0,COLUMN())+1</f>
        <v>42401</v>
      </c>
      <c r="AF1140" s="259">
        <f>INDEX(MO_Common_QEndDate,0,COLUMN())-INDEX(MO_Common_FPDays,0,COLUMN())+1</f>
        <v>42765</v>
      </c>
      <c r="AG1140" s="259">
        <f>INDEX(MO_Common_QEndDate,0,COLUMN())-INDEX(MO_Common_FPDays,0,COLUMN())+1</f>
        <v>42856</v>
      </c>
      <c r="AH1140" s="259">
        <f>INDEX(MO_Common_QEndDate,0,COLUMN())-INDEX(MO_Common_FPDays,0,COLUMN())+1</f>
        <v>42947</v>
      </c>
      <c r="AI1140" s="259">
        <f>INDEX(MO_Common_QEndDate,0,COLUMN())-INDEX(MO_Common_FPDays,0,COLUMN())+1</f>
        <v>43038</v>
      </c>
      <c r="AJ1140" s="259">
        <f>INDEX(MO_Common_QEndDate,0,COLUMN())-INDEX(MO_Common_FPDays,0,COLUMN())+1</f>
        <v>42765</v>
      </c>
      <c r="AK1140" s="259">
        <f>INDEX(MO_Common_QEndDate,0,COLUMN())-INDEX(MO_Common_FPDays,0,COLUMN())+1</f>
        <v>43129</v>
      </c>
      <c r="AL1140" s="259">
        <f>INDEX(MO_Common_QEndDate,0,COLUMN())-INDEX(MO_Common_FPDays,0,COLUMN())+1</f>
        <v>43220</v>
      </c>
      <c r="AM1140" s="259">
        <f>INDEX(MO_Common_QEndDate,0,COLUMN())-INDEX(MO_Common_FPDays,0,COLUMN())+1</f>
        <v>43311</v>
      </c>
      <c r="AN1140" s="259">
        <f>INDEX(MO_Common_QEndDate,0,COLUMN())-INDEX(MO_Common_FPDays,0,COLUMN())+1</f>
        <v>43402</v>
      </c>
      <c r="AO1140" s="259">
        <f>INDEX(MO_Common_QEndDate,0,COLUMN())-INDEX(MO_Common_FPDays,0,COLUMN())+1</f>
        <v>43129</v>
      </c>
      <c r="AP1140" s="259">
        <f>INDEX(MO_Common_QEndDate,0,COLUMN())-INDEX(MO_Common_FPDays,0,COLUMN())+1</f>
        <v>43493</v>
      </c>
      <c r="AQ1140" s="259">
        <f>INDEX(MO_Common_QEndDate,0,COLUMN())-INDEX(MO_Common_FPDays,0,COLUMN())+1</f>
        <v>43584</v>
      </c>
      <c r="AR1140" s="259">
        <f>INDEX(MO_Common_QEndDate,0,COLUMN())-INDEX(MO_Common_FPDays,0,COLUMN())+1</f>
        <v>43675</v>
      </c>
      <c r="AS1140" s="259">
        <f>INDEX(MO_Common_QEndDate,0,COLUMN())-INDEX(MO_Common_FPDays,0,COLUMN())+1</f>
        <v>43766</v>
      </c>
      <c r="AT1140" s="259">
        <f>INDEX(MO_Common_QEndDate,0,COLUMN())-INDEX(MO_Common_FPDays,0,COLUMN())+1</f>
        <v>43493</v>
      </c>
      <c r="AU1140" s="259">
        <f>INDEX(MO_Common_QEndDate,0,COLUMN())-INDEX(MO_Common_FPDays,0,COLUMN())+1</f>
        <v>43857</v>
      </c>
      <c r="AV1140" s="259">
        <f>INDEX(MO_Common_QEndDate,0,COLUMN())-INDEX(MO_Common_FPDays,0,COLUMN())+1</f>
        <v>43948</v>
      </c>
      <c r="AW1140" s="259">
        <f>INDEX(MO_Common_QEndDate,0,COLUMN())-INDEX(MO_Common_FPDays,0,COLUMN())+1</f>
        <v>44039</v>
      </c>
      <c r="AX1140" s="259">
        <f>INDEX(MO_Common_QEndDate,0,COLUMN())-INDEX(MO_Common_FPDays,0,COLUMN())+1</f>
        <v>44130</v>
      </c>
      <c r="AY1140" s="259">
        <f>INDEX(MO_Common_QEndDate,0,COLUMN())-INDEX(MO_Common_FPDays,0,COLUMN())+1</f>
        <v>43857</v>
      </c>
      <c r="AZ1140" s="259">
        <f>INDEX(MO_Common_QEndDate,0,COLUMN())-INDEX(MO_Common_FPDays,0,COLUMN())+1</f>
        <v>44228</v>
      </c>
      <c r="BA1140" s="259">
        <f>INDEX(MO_Common_QEndDate,0,COLUMN())-INDEX(MO_Common_FPDays,0,COLUMN())+1</f>
        <v>44319</v>
      </c>
      <c r="BB1140" s="259">
        <f>INDEX(MO_Common_QEndDate,0,COLUMN())-INDEX(MO_Common_FPDays,0,COLUMN())+1</f>
        <v>44410</v>
      </c>
      <c r="BC1140" s="259">
        <f>INDEX(MO_Common_QEndDate,0,COLUMN())-INDEX(MO_Common_FPDays,0,COLUMN())+1</f>
        <v>44501</v>
      </c>
      <c r="BD1140" s="259">
        <f>INDEX(MO_Common_QEndDate,0,COLUMN())-INDEX(MO_Common_FPDays,0,COLUMN())+1</f>
        <v>44228</v>
      </c>
      <c r="BE1140" s="259">
        <f>INDEX(MO_Common_QEndDate,0,COLUMN())-INDEX(MO_Common_FPDays,0,COLUMN())+1</f>
        <v>44592</v>
      </c>
      <c r="BF1140" s="259">
        <f>INDEX(MO_Common_QEndDate,0,COLUMN())-INDEX(MO_Common_FPDays,0,COLUMN())+1</f>
        <v>44683</v>
      </c>
      <c r="BG1140" s="259">
        <f>INDEX(MO_Common_QEndDate,0,COLUMN())-INDEX(MO_Common_FPDays,0,COLUMN())+1</f>
        <v>44774</v>
      </c>
      <c r="BH1140" s="259">
        <f>INDEX(MO_Common_QEndDate,0,COLUMN())-INDEX(MO_Common_FPDays,0,COLUMN())+1</f>
        <v>44865</v>
      </c>
      <c r="BI1140" s="259">
        <f>INDEX(MO_Common_QEndDate,0,COLUMN())-INDEX(MO_Common_FPDays,0,COLUMN())+1</f>
        <v>44592</v>
      </c>
      <c r="BJ1140" s="259">
        <f>INDEX(MO_Common_QEndDate,0,COLUMN())-INDEX(MO_Common_FPDays,0,COLUMN())+1</f>
        <v>44956</v>
      </c>
      <c r="BK1140" s="259">
        <f>INDEX(MO_Common_QEndDate,0,COLUMN())-INDEX(MO_Common_FPDays,0,COLUMN())+1</f>
        <v>45047</v>
      </c>
      <c r="BL1140" s="259">
        <f>INDEX(MO_Common_QEndDate,0,COLUMN())-INDEX(MO_Common_FPDays,0,COLUMN())+1</f>
        <v>45138</v>
      </c>
      <c r="BM1140" s="259">
        <f>INDEX(MO_Common_QEndDate,0,COLUMN())-INDEX(MO_Common_FPDays,0,COLUMN())+1</f>
        <v>45229</v>
      </c>
      <c r="BN1140" s="259">
        <f>INDEX(MO_Common_QEndDate,0,COLUMN())-INDEX(MO_Common_FPDays,0,COLUMN())+1</f>
        <v>44956</v>
      </c>
      <c r="BO1140" s="259">
        <f>INDEX(MO_Common_QEndDate,0,COLUMN())-INDEX(MO_Common_FPDays,0,COLUMN())+1</f>
        <v>45320</v>
      </c>
      <c r="BP1140" s="259">
        <f>INDEX(MO_Common_QEndDate,0,COLUMN())-INDEX(MO_Common_FPDays,0,COLUMN())+1</f>
        <v>45411</v>
      </c>
      <c r="BQ1140" s="259">
        <f>INDEX(MO_Common_QEndDate,0,COLUMN())-INDEX(MO_Common_FPDays,0,COLUMN())+1</f>
        <v>45502</v>
      </c>
      <c r="BR1140" s="259">
        <f>INDEX(MO_Common_QEndDate,0,COLUMN())-INDEX(MO_Common_FPDays,0,COLUMN())+1</f>
        <v>45593</v>
      </c>
      <c r="BS1140" s="259">
        <f>INDEX(MO_Common_QEndDate,0,COLUMN())-INDEX(MO_Common_FPDays,0,COLUMN())+1</f>
        <v>45320</v>
      </c>
      <c r="BT1140" s="259">
        <f>INDEX(MO_Common_QEndDate,0,COLUMN())-INDEX(MO_Common_FPDays,0,COLUMN())+1</f>
        <v>45684</v>
      </c>
      <c r="BU1140" s="259">
        <f>INDEX(MO_Common_QEndDate,0,COLUMN())-INDEX(MO_Common_FPDays,0,COLUMN())+1</f>
        <v>45775</v>
      </c>
      <c r="BV1140" s="259">
        <f>INDEX(MO_Common_QEndDate,0,COLUMN())-INDEX(MO_Common_FPDays,0,COLUMN())+1</f>
        <v>45866</v>
      </c>
      <c r="BW1140" s="259">
        <f>INDEX(MO_Common_QEndDate,0,COLUMN())-INDEX(MO_Common_FPDays,0,COLUMN())+1</f>
        <v>45957</v>
      </c>
      <c r="BX1140" s="259">
        <f>INDEX(MO_Common_QEndDate,0,COLUMN())-INDEX(MO_Common_FPDays,0,COLUMN())+1</f>
        <v>45684</v>
      </c>
      <c r="BY1140" s="528">
        <f>INDEX(MO_Common_QEndDate,0,COLUMN())-INDEX(MO_Common_FPDays,0,COLUMN())+1</f>
        <v>46048</v>
      </c>
      <c r="BZ1140" s="259">
        <f>INDEX(MO_Common_QEndDate,0,COLUMN())-INDEX(MO_Common_FPDays,0,COLUMN())+1</f>
        <v>46139</v>
      </c>
      <c r="CA1140" s="259">
        <f>INDEX(MO_Common_QEndDate,0,COLUMN())-INDEX(MO_Common_FPDays,0,COLUMN())+1</f>
        <v>46230</v>
      </c>
      <c r="CB1140" s="259">
        <f>INDEX(MO_Common_QEndDate,0,COLUMN())-INDEX(MO_Common_FPDays,0,COLUMN())+1</f>
        <v>46322</v>
      </c>
      <c r="CC1140" s="259">
        <f>INDEX(MO_Common_QEndDate,0,COLUMN())-INDEX(MO_Common_FPDays,0,COLUMN())+1</f>
        <v>46048</v>
      </c>
      <c r="CD1140" s="259">
        <f>INDEX(MO_Common_QEndDate,0,COLUMN())-INDEX(MO_Common_FPDays,0,COLUMN())+1</f>
        <v>46419</v>
      </c>
      <c r="CE1140" s="259">
        <f>INDEX(MO_Common_QEndDate,0,COLUMN())-INDEX(MO_Common_FPDays,0,COLUMN())+1</f>
        <v>46508</v>
      </c>
      <c r="CF1140" s="259">
        <f>INDEX(MO_Common_QEndDate,0,COLUMN())-INDEX(MO_Common_FPDays,0,COLUMN())+1</f>
        <v>46599</v>
      </c>
      <c r="CG1140" s="259">
        <f>INDEX(MO_Common_QEndDate,0,COLUMN())-INDEX(MO_Common_FPDays,0,COLUMN())+1</f>
        <v>46691</v>
      </c>
      <c r="CH1140" s="259">
        <f>INDEX(MO_Common_QEndDate,0,COLUMN())-INDEX(MO_Common_FPDays,0,COLUMN())+1</f>
        <v>46419</v>
      </c>
      <c r="CI1140" s="259">
        <f>INDEX(MO_Common_QEndDate,0,COLUMN())-INDEX(MO_Common_FPDays,0,COLUMN())+1</f>
        <v>46784</v>
      </c>
      <c r="CJ1140" s="259">
        <f>INDEX(MO_Common_QEndDate,0,COLUMN())-INDEX(MO_Common_FPDays,0,COLUMN())+1</f>
        <v>47150</v>
      </c>
      <c r="CK1140" s="260">
        <f>INDEX(MO_Common_QEndDate,0,COLUMN())-INDEX(MO_Common_FPDays,0,COLUMN())+1</f>
        <v>47515</v>
      </c>
      <c r="CL1140" s="155"/>
    </row>
    <row r="1141" spans="1:90" x14ac:dyDescent="0.3">
      <c r="A1141" s="258" t="s">
        <v>403</v>
      </c>
      <c r="B1141" s="93"/>
      <c r="C1141" s="1039" t="b">
        <f>TRUE</f>
        <v>1</v>
      </c>
      <c r="D1141" s="1039" t="b">
        <f>TRUE</f>
        <v>1</v>
      </c>
      <c r="E1141" s="1039" t="b">
        <f>TRUE</f>
        <v>1</v>
      </c>
      <c r="F1141" s="1039" t="b">
        <f>TRUE</f>
        <v>1</v>
      </c>
      <c r="G1141" s="1039" t="b">
        <f>TRUE</f>
        <v>1</v>
      </c>
      <c r="H1141" s="259" t="b">
        <f>TRUE</f>
        <v>1</v>
      </c>
      <c r="I1141" s="259" t="b">
        <f>TRUE</f>
        <v>1</v>
      </c>
      <c r="J1141" s="259" t="b">
        <f>TRUE</f>
        <v>1</v>
      </c>
      <c r="K1141" s="259" t="b">
        <f>TRUE</f>
        <v>1</v>
      </c>
      <c r="L1141" s="259" t="b">
        <f>TRUE</f>
        <v>1</v>
      </c>
      <c r="M1141" s="259" t="b">
        <f>TRUE</f>
        <v>1</v>
      </c>
      <c r="N1141" s="259" t="b">
        <f>TRUE</f>
        <v>1</v>
      </c>
      <c r="O1141" s="259" t="b">
        <f>TRUE</f>
        <v>1</v>
      </c>
      <c r="P1141" s="259" t="b">
        <f>TRUE</f>
        <v>1</v>
      </c>
      <c r="Q1141" s="259" t="b">
        <f>TRUE</f>
        <v>1</v>
      </c>
      <c r="R1141" s="259" t="b">
        <f>TRUE</f>
        <v>1</v>
      </c>
      <c r="S1141" s="259" t="b">
        <f>TRUE</f>
        <v>1</v>
      </c>
      <c r="T1141" s="259" t="b">
        <f>TRUE</f>
        <v>1</v>
      </c>
      <c r="U1141" s="259" t="b">
        <f>TRUE</f>
        <v>1</v>
      </c>
      <c r="V1141" s="259" t="b">
        <f>TRUE</f>
        <v>1</v>
      </c>
      <c r="W1141" s="259" t="b">
        <f>TRUE</f>
        <v>1</v>
      </c>
      <c r="X1141" s="259" t="b">
        <f>TRUE</f>
        <v>1</v>
      </c>
      <c r="Y1141" s="259" t="b">
        <f>TRUE</f>
        <v>1</v>
      </c>
      <c r="Z1141" s="259" t="b">
        <f>TRUE</f>
        <v>1</v>
      </c>
      <c r="AA1141" s="259" t="b">
        <f>TRUE</f>
        <v>1</v>
      </c>
      <c r="AB1141" s="259" t="b">
        <f>TRUE</f>
        <v>1</v>
      </c>
      <c r="AC1141" s="259" t="b">
        <f>TRUE</f>
        <v>1</v>
      </c>
      <c r="AD1141" s="259" t="b">
        <f>TRUE</f>
        <v>1</v>
      </c>
      <c r="AE1141" s="259" t="b">
        <f>TRUE</f>
        <v>1</v>
      </c>
      <c r="AF1141" s="259" t="b">
        <f>TRUE</f>
        <v>1</v>
      </c>
      <c r="AG1141" s="259" t="b">
        <f>TRUE</f>
        <v>1</v>
      </c>
      <c r="AH1141" s="259" t="b">
        <f>TRUE</f>
        <v>1</v>
      </c>
      <c r="AI1141" s="259" t="b">
        <f>TRUE</f>
        <v>1</v>
      </c>
      <c r="AJ1141" s="259" t="b">
        <f>TRUE</f>
        <v>1</v>
      </c>
      <c r="AK1141" s="259" t="b">
        <f>TRUE</f>
        <v>1</v>
      </c>
      <c r="AL1141" s="259" t="b">
        <f>TRUE</f>
        <v>1</v>
      </c>
      <c r="AM1141" s="259" t="b">
        <f>TRUE</f>
        <v>1</v>
      </c>
      <c r="AN1141" s="259" t="b">
        <f>TRUE</f>
        <v>1</v>
      </c>
      <c r="AO1141" s="259" t="b">
        <f>TRUE</f>
        <v>1</v>
      </c>
      <c r="AP1141" s="259" t="b">
        <f>TRUE</f>
        <v>1</v>
      </c>
      <c r="AQ1141" s="259" t="b">
        <f>TRUE</f>
        <v>1</v>
      </c>
      <c r="AR1141" s="259" t="b">
        <f>TRUE</f>
        <v>1</v>
      </c>
      <c r="AS1141" s="259" t="b">
        <f>TRUE</f>
        <v>1</v>
      </c>
      <c r="AT1141" s="259" t="b">
        <f>TRUE</f>
        <v>1</v>
      </c>
      <c r="AU1141" s="259" t="b">
        <f>TRUE</f>
        <v>1</v>
      </c>
      <c r="AV1141" s="259" t="b">
        <f>TRUE</f>
        <v>1</v>
      </c>
      <c r="AW1141" s="259" t="b">
        <f>TRUE</f>
        <v>1</v>
      </c>
      <c r="AX1141" s="259" t="b">
        <f>TRUE</f>
        <v>1</v>
      </c>
      <c r="AY1141" s="259" t="b">
        <f>TRUE</f>
        <v>1</v>
      </c>
      <c r="AZ1141" s="259" t="b">
        <f>TRUE</f>
        <v>1</v>
      </c>
      <c r="BA1141" s="259" t="b">
        <f>TRUE</f>
        <v>1</v>
      </c>
      <c r="BB1141" s="259" t="b">
        <f>TRUE</f>
        <v>1</v>
      </c>
      <c r="BC1141" s="259" t="b">
        <f>TRUE</f>
        <v>1</v>
      </c>
      <c r="BD1141" s="259" t="b">
        <f>TRUE</f>
        <v>1</v>
      </c>
      <c r="BE1141" s="259" t="b">
        <f>TRUE</f>
        <v>1</v>
      </c>
      <c r="BF1141" s="259" t="b">
        <f>TRUE</f>
        <v>1</v>
      </c>
      <c r="BG1141" s="259" t="b">
        <f>TRUE</f>
        <v>1</v>
      </c>
      <c r="BH1141" s="259" t="b">
        <f>TRUE</f>
        <v>1</v>
      </c>
      <c r="BI1141" s="259" t="b">
        <f>TRUE</f>
        <v>1</v>
      </c>
      <c r="BJ1141" s="259" t="b">
        <f>TRUE</f>
        <v>1</v>
      </c>
      <c r="BK1141" s="259" t="b">
        <f>TRUE</f>
        <v>1</v>
      </c>
      <c r="BL1141" s="259" t="b">
        <f>TRUE</f>
        <v>1</v>
      </c>
      <c r="BM1141" s="259" t="b">
        <f>TRUE</f>
        <v>1</v>
      </c>
      <c r="BN1141" s="259" t="b">
        <f>TRUE</f>
        <v>1</v>
      </c>
      <c r="BO1141" s="259" t="b">
        <f>TRUE</f>
        <v>1</v>
      </c>
      <c r="BP1141" s="259" t="b">
        <f>TRUE</f>
        <v>1</v>
      </c>
      <c r="BQ1141" s="259" t="b">
        <f>TRUE</f>
        <v>1</v>
      </c>
      <c r="BR1141" s="259" t="b">
        <f>TRUE</f>
        <v>1</v>
      </c>
      <c r="BS1141" s="259" t="b">
        <f>TRUE</f>
        <v>1</v>
      </c>
      <c r="BT1141" s="259" t="b">
        <f>TRUE</f>
        <v>1</v>
      </c>
      <c r="BU1141" s="259" t="b">
        <f>TRUE</f>
        <v>1</v>
      </c>
      <c r="BV1141" s="259" t="b">
        <f>TRUE</f>
        <v>1</v>
      </c>
      <c r="BW1141" s="259" t="b">
        <f>TRUE</f>
        <v>1</v>
      </c>
      <c r="BX1141" s="259" t="b">
        <f>TRUE</f>
        <v>1</v>
      </c>
      <c r="BY1141" s="528" t="b">
        <f>TRUE</f>
        <v>1</v>
      </c>
      <c r="BZ1141" s="259" t="b">
        <f>FALSE</f>
        <v>0</v>
      </c>
      <c r="CA1141" s="259" t="b">
        <f>FALSE</f>
        <v>0</v>
      </c>
      <c r="CB1141" s="259" t="b">
        <f>FALSE</f>
        <v>0</v>
      </c>
      <c r="CC1141" s="259" t="b">
        <f>FALSE</f>
        <v>0</v>
      </c>
      <c r="CD1141" s="259" t="b">
        <f>FALSE</f>
        <v>0</v>
      </c>
      <c r="CE1141" s="259" t="b">
        <f>FALSE</f>
        <v>0</v>
      </c>
      <c r="CF1141" s="259" t="b">
        <f>FALSE</f>
        <v>0</v>
      </c>
      <c r="CG1141" s="259" t="b">
        <f>FALSE</f>
        <v>0</v>
      </c>
      <c r="CH1141" s="259" t="b">
        <f>FALSE</f>
        <v>0</v>
      </c>
      <c r="CI1141" s="259" t="b">
        <f>FALSE</f>
        <v>0</v>
      </c>
      <c r="CJ1141" s="259" t="b">
        <f>FALSE</f>
        <v>0</v>
      </c>
      <c r="CK1141" s="260" t="b">
        <f>FALSE</f>
        <v>0</v>
      </c>
      <c r="CL1141" s="155"/>
    </row>
    <row r="1142" spans="1:90" x14ac:dyDescent="0.3">
      <c r="A1142" s="261" t="str">
        <f>"Stock High: "&amp;IF(OR(MO.RealTimeStockPriceToggle=FALSE,VLOOKUP(MO.DataSourceName,MO_SPT_StockHigh_Sources,COLUMN()+2,FALSE)="N/A"),"Real-Time Off Source",MO.DataSourceName)</f>
        <v>Stock High: Real-Time Off Source</v>
      </c>
      <c r="B1142" s="262"/>
      <c r="C1142" s="1040">
        <f>IF(OR(MO.RealTimeStockPriceToggle=FALSE,VLOOKUP(MO.DataSourceName,MO_SPT_StockHigh_Sources,COLUMN(),FALSE)="N/A"),VLOOKUP("Real-Time Off Source",MO_SPT_StockHigh_Sources,COLUMN(),FALSE),VLOOKUP(MO.DataSourceName,MO_SPT_StockHigh_Sources,COLUMN(),FALSE))</f>
        <v>0.68974999999999997</v>
      </c>
      <c r="D1142" s="1040">
        <f>IF(OR(MO.RealTimeStockPriceToggle=FALSE,VLOOKUP(MO.DataSourceName,MO_SPT_StockHigh_Sources,COLUMN(),FALSE)="N/A"),VLOOKUP("Real-Time Off Source",MO_SPT_StockHigh_Sources,COLUMN(),FALSE),VLOOKUP(MO.DataSourceName,MO_SPT_StockHigh_Sources,COLUMN(),FALSE))</f>
        <v>0.47400000000000003</v>
      </c>
      <c r="E1142" s="1040">
        <f>IF(OR(MO.RealTimeStockPriceToggle=FALSE,VLOOKUP(MO.DataSourceName,MO_SPT_StockHigh_Sources,COLUMN(),FALSE)="N/A"),VLOOKUP("Real-Time Off Source",MO_SPT_StockHigh_Sources,COLUMN(),FALSE),VLOOKUP(MO.DataSourceName,MO_SPT_StockHigh_Sources,COLUMN(),FALSE))</f>
        <v>0.62624999999999997</v>
      </c>
      <c r="F1142" s="1040">
        <f>IF(OR(MO.RealTimeStockPriceToggle=FALSE,VLOOKUP(MO.DataSourceName,MO_SPT_StockHigh_Sources,COLUMN(),FALSE)="N/A"),VLOOKUP("Real-Time Off Source",MO_SPT_StockHigh_Sources,COLUMN(),FALSE),VLOOKUP(MO.DataSourceName,MO_SPT_StockHigh_Sources,COLUMN(),FALSE))</f>
        <v>0.65425</v>
      </c>
      <c r="G1142" s="1040">
        <f>IF(OR(MO.RealTimeStockPriceToggle=FALSE,VLOOKUP(MO.DataSourceName,MO_SPT_StockHigh_Sources,COLUMN(),FALSE)="N/A"),VLOOKUP("Real-Time Off Source",MO_SPT_StockHigh_Sources,COLUMN(),FALSE),VLOOKUP(MO.DataSourceName,MO_SPT_StockHigh_Sources,COLUMN(),FALSE))</f>
        <v>0.42249999999999999</v>
      </c>
      <c r="H1142" s="262">
        <f>IF(OR(MO.RealTimeStockPriceToggle=FALSE,VLOOKUP(MO.DataSourceName,MO_SPT_StockHigh_Sources,COLUMN(),FALSE)="N/A"),VLOOKUP("Real-Time Off Source",MO_SPT_StockHigh_Sources,COLUMN(),FALSE),VLOOKUP(MO.DataSourceName,MO_SPT_StockHigh_Sources,COLUMN(),FALSE))</f>
        <v>0.34750000000000003</v>
      </c>
      <c r="I1142" s="262">
        <f>IF(OR(MO.RealTimeStockPriceToggle=FALSE,VLOOKUP(MO.DataSourceName,MO_SPT_StockHigh_Sources,COLUMN(),FALSE)="N/A"),VLOOKUP("Real-Time Off Source",MO_SPT_StockHigh_Sources,COLUMN(),FALSE),VLOOKUP(MO.DataSourceName,MO_SPT_StockHigh_Sources,COLUMN(),FALSE))</f>
        <v>0.3805</v>
      </c>
      <c r="J1142" s="262">
        <f>IF(OR(MO.RealTimeStockPriceToggle=FALSE,VLOOKUP(MO.DataSourceName,MO_SPT_StockHigh_Sources,COLUMN(),FALSE)="N/A"),VLOOKUP("Real-Time Off Source",MO_SPT_StockHigh_Sources,COLUMN(),FALSE),VLOOKUP(MO.DataSourceName,MO_SPT_StockHigh_Sources,COLUMN(),FALSE))</f>
        <v>0.32974999999999999</v>
      </c>
      <c r="K1142" s="262">
        <f>IF(OR(MO.RealTimeStockPriceToggle=FALSE,VLOOKUP(MO.DataSourceName,MO_SPT_StockHigh_Sources,COLUMN(),FALSE)="N/A"),VLOOKUP("Real-Time Off Source",MO_SPT_StockHigh_Sources,COLUMN(),FALSE),VLOOKUP(MO.DataSourceName,MO_SPT_StockHigh_Sources,COLUMN(),FALSE))</f>
        <v>0.42249999999999999</v>
      </c>
      <c r="L1142" s="262">
        <f>IF(OR(MO.RealTimeStockPriceToggle=FALSE,VLOOKUP(MO.DataSourceName,MO_SPT_StockHigh_Sources,COLUMN(),FALSE)="N/A"),VLOOKUP("Real-Time Off Source",MO_SPT_StockHigh_Sources,COLUMN(),FALSE),VLOOKUP(MO.DataSourceName,MO_SPT_StockHigh_Sources,COLUMN(),FALSE))</f>
        <v>0.33750000000000002</v>
      </c>
      <c r="M1142" s="262">
        <f>IF(OR(MO.RealTimeStockPriceToggle=FALSE,VLOOKUP(MO.DataSourceName,MO_SPT_StockHigh_Sources,COLUMN(),FALSE)="N/A"),VLOOKUP("Real-Time Off Source",MO_SPT_StockHigh_Sources,COLUMN(),FALSE),VLOOKUP(MO.DataSourceName,MO_SPT_StockHigh_Sources,COLUMN(),FALSE))</f>
        <v>0.38700000000000001</v>
      </c>
      <c r="N1142" s="262">
        <f>IF(OR(MO.RealTimeStockPriceToggle=FALSE,VLOOKUP(MO.DataSourceName,MO_SPT_StockHigh_Sources,COLUMN(),FALSE)="N/A"),VLOOKUP("Real-Time Off Source",MO_SPT_StockHigh_Sources,COLUMN(),FALSE),VLOOKUP(MO.DataSourceName,MO_SPT_StockHigh_Sources,COLUMN(),FALSE))</f>
        <v>0.40250000000000002</v>
      </c>
      <c r="O1142" s="262">
        <f>IF(OR(MO.RealTimeStockPriceToggle=FALSE,VLOOKUP(MO.DataSourceName,MO_SPT_StockHigh_Sources,COLUMN(),FALSE)="N/A"),VLOOKUP("Real-Time Off Source",MO_SPT_StockHigh_Sources,COLUMN(),FALSE),VLOOKUP(MO.DataSourceName,MO_SPT_StockHigh_Sources,COLUMN(),FALSE))</f>
        <v>0.41100000000000003</v>
      </c>
      <c r="P1142" s="262">
        <f>IF(OR(MO.RealTimeStockPriceToggle=FALSE,VLOOKUP(MO.DataSourceName,MO_SPT_StockHigh_Sources,COLUMN(),FALSE)="N/A"),VLOOKUP("Real-Time Off Source",MO_SPT_StockHigh_Sources,COLUMN(),FALSE),VLOOKUP(MO.DataSourceName,MO_SPT_StockHigh_Sources,COLUMN(),FALSE))</f>
        <v>0.41100000000000003</v>
      </c>
      <c r="Q1142" s="262">
        <f>IF(OR(MO.RealTimeStockPriceToggle=FALSE,VLOOKUP(MO.DataSourceName,MO_SPT_StockHigh_Sources,COLUMN(),FALSE)="N/A"),VLOOKUP("Real-Time Off Source",MO_SPT_StockHigh_Sources,COLUMN(),FALSE),VLOOKUP(MO.DataSourceName,MO_SPT_StockHigh_Sources,COLUMN(),FALSE))</f>
        <v>0.48650000000000004</v>
      </c>
      <c r="R1142" s="262">
        <f>IF(OR(MO.RealTimeStockPriceToggle=FALSE,VLOOKUP(MO.DataSourceName,MO_SPT_StockHigh_Sources,COLUMN(),FALSE)="N/A"),VLOOKUP("Real-Time Off Source",MO_SPT_StockHigh_Sources,COLUMN(),FALSE),VLOOKUP(MO.DataSourceName,MO_SPT_StockHigh_Sources,COLUMN(),FALSE))</f>
        <v>0.49325000000000002</v>
      </c>
      <c r="S1142" s="262">
        <f>IF(OR(MO.RealTimeStockPriceToggle=FALSE,VLOOKUP(MO.DataSourceName,MO_SPT_StockHigh_Sources,COLUMN(),FALSE)="N/A"),VLOOKUP("Real-Time Off Source",MO_SPT_StockHigh_Sources,COLUMN(),FALSE),VLOOKUP(MO.DataSourceName,MO_SPT_StockHigh_Sources,COLUMN(),FALSE))</f>
        <v>0.50374999999999992</v>
      </c>
      <c r="T1142" s="262">
        <f>IF(OR(MO.RealTimeStockPriceToggle=FALSE,VLOOKUP(MO.DataSourceName,MO_SPT_StockHigh_Sources,COLUMN(),FALSE)="N/A"),VLOOKUP("Real-Time Off Source",MO_SPT_StockHigh_Sources,COLUMN(),FALSE),VLOOKUP(MO.DataSourceName,MO_SPT_StockHigh_Sources,COLUMN(),FALSE))</f>
        <v>0.53125</v>
      </c>
      <c r="U1142" s="262">
        <f>IF(OR(MO.RealTimeStockPriceToggle=FALSE,VLOOKUP(MO.DataSourceName,MO_SPT_StockHigh_Sources,COLUMN(),FALSE)="N/A"),VLOOKUP("Real-Time Off Source",MO_SPT_StockHigh_Sources,COLUMN(),FALSE),VLOOKUP(MO.DataSourceName,MO_SPT_StockHigh_Sources,COLUMN(),FALSE))</f>
        <v>0.53125</v>
      </c>
      <c r="V1142" s="262">
        <f>IF(OR(MO.RealTimeStockPriceToggle=FALSE,VLOOKUP(MO.DataSourceName,MO_SPT_StockHigh_Sources,COLUMN(),FALSE)="N/A"),VLOOKUP("Real-Time Off Source",MO_SPT_StockHigh_Sources,COLUMN(),FALSE),VLOOKUP(MO.DataSourceName,MO_SPT_StockHigh_Sources,COLUMN(),FALSE))</f>
        <v>0.59024999999999994</v>
      </c>
      <c r="W1142" s="262">
        <f>IF(OR(MO.RealTimeStockPriceToggle=FALSE,VLOOKUP(MO.DataSourceName,MO_SPT_StockHigh_Sources,COLUMN(),FALSE)="N/A"),VLOOKUP("Real-Time Off Source",MO_SPT_StockHigh_Sources,COLUMN(),FALSE),VLOOKUP(MO.DataSourceName,MO_SPT_StockHigh_Sources,COLUMN(),FALSE))</f>
        <v>0.57199999999999995</v>
      </c>
      <c r="X1142" s="262">
        <f>IF(OR(MO.RealTimeStockPriceToggle=FALSE,VLOOKUP(MO.DataSourceName,MO_SPT_StockHigh_Sources,COLUMN(),FALSE)="N/A"),VLOOKUP("Real-Time Off Source",MO_SPT_StockHigh_Sources,COLUMN(),FALSE),VLOOKUP(MO.DataSourceName,MO_SPT_StockHigh_Sources,COLUMN(),FALSE))</f>
        <v>0.71950000000000003</v>
      </c>
      <c r="Y1142" s="262">
        <f>IF(OR(MO.RealTimeStockPriceToggle=FALSE,VLOOKUP(MO.DataSourceName,MO_SPT_StockHigh_Sources,COLUMN(),FALSE)="N/A"),VLOOKUP("Real-Time Off Source",MO_SPT_StockHigh_Sources,COLUMN(),FALSE),VLOOKUP(MO.DataSourceName,MO_SPT_StockHigh_Sources,COLUMN(),FALSE))</f>
        <v>0.84849999999999992</v>
      </c>
      <c r="Z1142" s="262">
        <f>IF(OR(MO.RealTimeStockPriceToggle=FALSE,VLOOKUP(MO.DataSourceName,MO_SPT_StockHigh_Sources,COLUMN(),FALSE)="N/A"),VLOOKUP("Real-Time Off Source",MO_SPT_StockHigh_Sources,COLUMN(),FALSE),VLOOKUP(MO.DataSourceName,MO_SPT_StockHigh_Sources,COLUMN(),FALSE))</f>
        <v>0.84849999999999992</v>
      </c>
      <c r="AA1142" s="262">
        <f>IF(OR(MO.RealTimeStockPriceToggle=FALSE,VLOOKUP(MO.DataSourceName,MO_SPT_StockHigh_Sources,COLUMN(),FALSE)="N/A"),VLOOKUP("Real-Time Off Source",MO_SPT_StockHigh_Sources,COLUMN(),FALSE),VLOOKUP(MO.DataSourceName,MO_SPT_StockHigh_Sources,COLUMN(),FALSE))</f>
        <v>0.9365</v>
      </c>
      <c r="AB1142" s="262">
        <f>IF(OR(MO.RealTimeStockPriceToggle=FALSE,VLOOKUP(MO.DataSourceName,MO_SPT_StockHigh_Sources,COLUMN(),FALSE)="N/A"),VLOOKUP("Real-Time Off Source",MO_SPT_StockHigh_Sources,COLUMN(),FALSE),VLOOKUP(MO.DataSourceName,MO_SPT_StockHigh_Sources,COLUMN(),FALSE))</f>
        <v>1.4312499999999999</v>
      </c>
      <c r="AC1142" s="262">
        <f>IF(OR(MO.RealTimeStockPriceToggle=FALSE,VLOOKUP(MO.DataSourceName,MO_SPT_StockHigh_Sources,COLUMN(),FALSE)="N/A"),VLOOKUP("Real-Time Off Source",MO_SPT_StockHigh_Sources,COLUMN(),FALSE),VLOOKUP(MO.DataSourceName,MO_SPT_StockHigh_Sources,COLUMN(),FALSE))</f>
        <v>1.82375</v>
      </c>
      <c r="AD1142" s="262">
        <f>IF(OR(MO.RealTimeStockPriceToggle=FALSE,VLOOKUP(MO.DataSourceName,MO_SPT_StockHigh_Sources,COLUMN(),FALSE)="N/A"),VLOOKUP("Real-Time Off Source",MO_SPT_StockHigh_Sources,COLUMN(),FALSE),VLOOKUP(MO.DataSourceName,MO_SPT_StockHigh_Sources,COLUMN(),FALSE))</f>
        <v>2.9982500000000001</v>
      </c>
      <c r="AE1142" s="262">
        <f>IF(OR(MO.RealTimeStockPriceToggle=FALSE,VLOOKUP(MO.DataSourceName,MO_SPT_StockHigh_Sources,COLUMN(),FALSE)="N/A"),VLOOKUP("Real-Time Off Source",MO_SPT_StockHigh_Sources,COLUMN(),FALSE),VLOOKUP(MO.DataSourceName,MO_SPT_StockHigh_Sources,COLUMN(),FALSE))</f>
        <v>2.9982500000000001</v>
      </c>
      <c r="AF1142" s="262">
        <f>IF(OR(MO.RealTimeStockPriceToggle=FALSE,VLOOKUP(MO.DataSourceName,MO_SPT_StockHigh_Sources,COLUMN(),FALSE)="N/A"),VLOOKUP("Real-Time Off Source",MO_SPT_StockHigh_Sources,COLUMN(),FALSE),VLOOKUP(MO.DataSourceName,MO_SPT_StockHigh_Sources,COLUMN(),FALSE))</f>
        <v>3.0230000000000001</v>
      </c>
      <c r="AG1142" s="262">
        <f>IF(OR(MO.RealTimeStockPriceToggle=FALSE,VLOOKUP(MO.DataSourceName,MO_SPT_StockHigh_Sources,COLUMN(),FALSE)="N/A"),VLOOKUP("Real-Time Off Source",MO_SPT_StockHigh_Sources,COLUMN(),FALSE),VLOOKUP(MO.DataSourceName,MO_SPT_StockHigh_Sources,COLUMN(),FALSE))</f>
        <v>4.2482500000000005</v>
      </c>
      <c r="AH1142" s="262">
        <f>IF(OR(MO.RealTimeStockPriceToggle=FALSE,VLOOKUP(MO.DataSourceName,MO_SPT_StockHigh_Sources,COLUMN(),FALSE)="N/A"),VLOOKUP("Real-Time Off Source",MO_SPT_StockHigh_Sources,COLUMN(),FALSE),VLOOKUP(MO.DataSourceName,MO_SPT_StockHigh_Sources,COLUMN(),FALSE))</f>
        <v>5.0467500000000003</v>
      </c>
      <c r="AI1142" s="262">
        <f>IF(OR(MO.RealTimeStockPriceToggle=FALSE,VLOOKUP(MO.DataSourceName,MO_SPT_StockHigh_Sources,COLUMN(),FALSE)="N/A"),VLOOKUP("Real-Time Off Source",MO_SPT_StockHigh_Sources,COLUMN(),FALSE),VLOOKUP(MO.DataSourceName,MO_SPT_StockHigh_Sources,COLUMN(),FALSE))</f>
        <v>6.0834999999999999</v>
      </c>
      <c r="AJ1142" s="262">
        <f>IF(OR(MO.RealTimeStockPriceToggle=FALSE,VLOOKUP(MO.DataSourceName,MO_SPT_StockHigh_Sources,COLUMN(),FALSE)="N/A"),VLOOKUP("Real-Time Off Source",MO_SPT_StockHigh_Sources,COLUMN(),FALSE),VLOOKUP(MO.DataSourceName,MO_SPT_StockHigh_Sources,COLUMN(),FALSE))</f>
        <v>6.0834999999999999</v>
      </c>
      <c r="AK1142" s="262">
        <f>IF(OR(MO.RealTimeStockPriceToggle=FALSE,VLOOKUP(MO.DataSourceName,MO_SPT_StockHigh_Sources,COLUMN(),FALSE)="N/A"),VLOOKUP("Real-Time Off Source",MO_SPT_StockHigh_Sources,COLUMN(),FALSE),VLOOKUP(MO.DataSourceName,MO_SPT_StockHigh_Sources,COLUMN(),FALSE))</f>
        <v>6.2484525</v>
      </c>
      <c r="AL1142" s="262">
        <f>IF(OR(MO.RealTimeStockPriceToggle=FALSE,VLOOKUP(MO.DataSourceName,MO_SPT_StockHigh_Sources,COLUMN(),FALSE)="N/A"),VLOOKUP("Real-Time Off Source",MO_SPT_StockHigh_Sources,COLUMN(),FALSE),VLOOKUP(MO.DataSourceName,MO_SPT_StockHigh_Sources,COLUMN(),FALSE))</f>
        <v>6.6624300000000005</v>
      </c>
      <c r="AM1142" s="262">
        <f>IF(OR(MO.RealTimeStockPriceToggle=FALSE,VLOOKUP(MO.DataSourceName,MO_SPT_StockHigh_Sources,COLUMN(),FALSE)="N/A"),VLOOKUP("Real-Time Off Source",MO_SPT_StockHigh_Sources,COLUMN(),FALSE),VLOOKUP(MO.DataSourceName,MO_SPT_StockHigh_Sources,COLUMN(),FALSE))</f>
        <v>7.2267650000000003</v>
      </c>
      <c r="AN1142" s="262">
        <f>IF(OR(MO.RealTimeStockPriceToggle=FALSE,VLOOKUP(MO.DataSourceName,MO_SPT_StockHigh_Sources,COLUMN(),FALSE)="N/A"),VLOOKUP("Real-Time Off Source",MO_SPT_StockHigh_Sources,COLUMN(),FALSE),VLOOKUP(MO.DataSourceName,MO_SPT_StockHigh_Sources,COLUMN(),FALSE))</f>
        <v>5.4472974999999995</v>
      </c>
      <c r="AO1142" s="262">
        <f>IF(OR(MO.RealTimeStockPriceToggle=FALSE,VLOOKUP(MO.DataSourceName,MO_SPT_StockHigh_Sources,COLUMN(),FALSE)="N/A"),VLOOKUP("Real-Time Off Source",MO_SPT_StockHigh_Sources,COLUMN(),FALSE),VLOOKUP(MO.DataSourceName,MO_SPT_StockHigh_Sources,COLUMN(),FALSE))</f>
        <v>7.2267650000000003</v>
      </c>
      <c r="AP1142" s="262">
        <f>IF(OR(MO.RealTimeStockPriceToggle=FALSE,VLOOKUP(MO.DataSourceName,MO_SPT_StockHigh_Sources,COLUMN(),FALSE)="N/A"),VLOOKUP("Real-Time Off Source",MO_SPT_StockHigh_Sources,COLUMN(),FALSE),VLOOKUP(MO.DataSourceName,MO_SPT_StockHigh_Sources,COLUMN(),FALSE))</f>
        <v>4.8025000000000002</v>
      </c>
      <c r="AQ1142" s="262">
        <f>IF(OR(MO.RealTimeStockPriceToggle=FALSE,VLOOKUP(MO.DataSourceName,MO_SPT_StockHigh_Sources,COLUMN(),FALSE)="N/A"),VLOOKUP("Real-Time Off Source",MO_SPT_StockHigh_Sources,COLUMN(),FALSE),VLOOKUP(MO.DataSourceName,MO_SPT_StockHigh_Sources,COLUMN(),FALSE))</f>
        <v>4.5797499999999998</v>
      </c>
      <c r="AR1142" s="262">
        <f>IF(OR(MO.RealTimeStockPriceToggle=FALSE,VLOOKUP(MO.DataSourceName,MO_SPT_StockHigh_Sources,COLUMN(),FALSE)="N/A"),VLOOKUP("Real-Time Off Source",MO_SPT_StockHigh_Sources,COLUMN(),FALSE),VLOOKUP(MO.DataSourceName,MO_SPT_StockHigh_Sources,COLUMN(),FALSE))</f>
        <v>5.1697499999999996</v>
      </c>
      <c r="AS1142" s="262">
        <f>IF(OR(MO.RealTimeStockPriceToggle=FALSE,VLOOKUP(MO.DataSourceName,MO_SPT_StockHigh_Sources,COLUMN(),FALSE)="N/A"),VLOOKUP("Real-Time Off Source",MO_SPT_StockHigh_Sources,COLUMN(),FALSE),VLOOKUP(MO.DataSourceName,MO_SPT_StockHigh_Sources,COLUMN(),FALSE))</f>
        <v>6.3215000000000003</v>
      </c>
      <c r="AT1142" s="262">
        <f>IF(OR(MO.RealTimeStockPriceToggle=FALSE,VLOOKUP(MO.DataSourceName,MO_SPT_StockHigh_Sources,COLUMN(),FALSE)="N/A"),VLOOKUP("Real-Time Off Source",MO_SPT_StockHigh_Sources,COLUMN(),FALSE),VLOOKUP(MO.DataSourceName,MO_SPT_StockHigh_Sources,COLUMN(),FALSE))</f>
        <v>6.3215000000000003</v>
      </c>
      <c r="AU1142" s="262">
        <f>IF(OR(MO.RealTimeStockPriceToggle=FALSE,VLOOKUP(MO.DataSourceName,MO_SPT_StockHigh_Sources,COLUMN(),FALSE)="N/A"),VLOOKUP("Real-Time Off Source",MO_SPT_StockHigh_Sources,COLUMN(),FALSE),VLOOKUP(MO.DataSourceName,MO_SPT_StockHigh_Sources,COLUMN(),FALSE))</f>
        <v>7.8674999999999997</v>
      </c>
      <c r="AV1142" s="262">
        <f>IF(OR(MO.RealTimeStockPriceToggle=FALSE,VLOOKUP(MO.DataSourceName,MO_SPT_StockHigh_Sources,COLUMN(),FALSE)="N/A"),VLOOKUP("Real-Time Off Source",MO_SPT_StockHigh_Sources,COLUMN(),FALSE),VLOOKUP(MO.DataSourceName,MO_SPT_StockHigh_Sources,COLUMN(),FALSE))</f>
        <v>10.614749999999999</v>
      </c>
      <c r="AW1142" s="262">
        <f>IF(OR(MO.RealTimeStockPriceToggle=FALSE,VLOOKUP(MO.DataSourceName,MO_SPT_StockHigh_Sources,COLUMN(),FALSE)="N/A"),VLOOKUP("Real-Time Off Source",MO_SPT_StockHigh_Sources,COLUMN(),FALSE),VLOOKUP(MO.DataSourceName,MO_SPT_StockHigh_Sources,COLUMN(),FALSE))</f>
        <v>14.346500000000001</v>
      </c>
      <c r="AX1142" s="262">
        <f>IF(OR(MO.RealTimeStockPriceToggle=FALSE,VLOOKUP(MO.DataSourceName,MO_SPT_StockHigh_Sources,COLUMN(),FALSE)="N/A"),VLOOKUP("Real-Time Off Source",MO_SPT_StockHigh_Sources,COLUMN(),FALSE),VLOOKUP(MO.DataSourceName,MO_SPT_StockHigh_Sources,COLUMN(),FALSE))</f>
        <v>14.562000000000001</v>
      </c>
      <c r="AY1142" s="262">
        <f>IF(OR(MO.RealTimeStockPriceToggle=FALSE,VLOOKUP(MO.DataSourceName,MO_SPT_StockHigh_Sources,COLUMN(),FALSE)="N/A"),VLOOKUP("Real-Time Off Source",MO_SPT_StockHigh_Sources,COLUMN(),FALSE),VLOOKUP(MO.DataSourceName,MO_SPT_StockHigh_Sources,COLUMN(),FALSE))</f>
        <v>14.562000000000001</v>
      </c>
      <c r="AZ1142" s="262">
        <f>IF(OR(MO.RealTimeStockPriceToggle=FALSE,VLOOKUP(MO.DataSourceName,MO_SPT_StockHigh_Sources,COLUMN(),FALSE)="N/A"),VLOOKUP("Real-Time Off Source",MO_SPT_StockHigh_Sources,COLUMN(),FALSE),VLOOKUP(MO.DataSourceName,MO_SPT_StockHigh_Sources,COLUMN(),FALSE))</f>
        <v>16.137250000000002</v>
      </c>
      <c r="BA1142" s="262">
        <f>IF(OR(MO.RealTimeStockPriceToggle=FALSE,VLOOKUP(MO.DataSourceName,MO_SPT_StockHigh_Sources,COLUMN(),FALSE)="N/A"),VLOOKUP("Real-Time Off Source",MO_SPT_StockHigh_Sources,COLUMN(),FALSE),VLOOKUP(MO.DataSourceName,MO_SPT_StockHigh_Sources,COLUMN(),FALSE))</f>
        <v>20.698500000000003</v>
      </c>
      <c r="BB1142" s="262">
        <f>IF(OR(MO.RealTimeStockPriceToggle=FALSE,VLOOKUP(MO.DataSourceName,MO_SPT_StockHigh_Sources,COLUMN(),FALSE)="N/A"),VLOOKUP("Real-Time Off Source",MO_SPT_StockHigh_Sources,COLUMN(),FALSE),VLOOKUP(MO.DataSourceName,MO_SPT_StockHigh_Sources,COLUMN(),FALSE))</f>
        <v>25.567</v>
      </c>
      <c r="BC1142" s="262">
        <f>IF(OR(MO.RealTimeStockPriceToggle=FALSE,VLOOKUP(MO.DataSourceName,MO_SPT_StockHigh_Sources,COLUMN(),FALSE)="N/A"),VLOOKUP("Real-Time Off Source",MO_SPT_StockHigh_Sources,COLUMN(),FALSE),VLOOKUP(MO.DataSourceName,MO_SPT_StockHigh_Sources,COLUMN(),FALSE))</f>
        <v>33.375999999999998</v>
      </c>
      <c r="BD1142" s="262">
        <f>IF(OR(MO.RealTimeStockPriceToggle=FALSE,VLOOKUP(MO.DataSourceName,MO_SPT_StockHigh_Sources,COLUMN(),FALSE)="N/A"),VLOOKUP("Real-Time Off Source",MO_SPT_StockHigh_Sources,COLUMN(),FALSE),VLOOKUP(MO.DataSourceName,MO_SPT_StockHigh_Sources,COLUMN(),FALSE))</f>
        <v>33.375999999999998</v>
      </c>
      <c r="BE1142" s="262">
        <f>IF(OR(MO.RealTimeStockPriceToggle=FALSE,VLOOKUP(MO.DataSourceName,MO_SPT_StockHigh_Sources,COLUMN(),FALSE)="N/A"),VLOOKUP("Real-Time Off Source",MO_SPT_StockHigh_Sources,COLUMN(),FALSE),VLOOKUP(MO.DataSourceName,MO_SPT_StockHigh_Sources,COLUMN(),FALSE))</f>
        <v>28.655999999999999</v>
      </c>
      <c r="BF1142" s="262">
        <f>IF(OR(MO.RealTimeStockPriceToggle=FALSE,VLOOKUP(MO.DataSourceName,MO_SPT_StockHigh_Sources,COLUMN(),FALSE)="N/A"),VLOOKUP("Real-Time Off Source",MO_SPT_StockHigh_Sources,COLUMN(),FALSE),VLOOKUP(MO.DataSourceName,MO_SPT_StockHigh_Sources,COLUMN(),FALSE))</f>
        <v>20.334</v>
      </c>
      <c r="BG1142" s="262">
        <f>IF(OR(MO.RealTimeStockPriceToggle=FALSE,VLOOKUP(MO.DataSourceName,MO_SPT_StockHigh_Sources,COLUMN(),FALSE)="N/A"),VLOOKUP("Real-Time Off Source",MO_SPT_StockHigh_Sources,COLUMN(),FALSE),VLOOKUP(MO.DataSourceName,MO_SPT_StockHigh_Sources,COLUMN(),FALSE))</f>
        <v>19.215</v>
      </c>
      <c r="BH1142" s="262">
        <f>IF(OR(MO.RealTimeStockPriceToggle=FALSE,VLOOKUP(MO.DataSourceName,MO_SPT_StockHigh_Sources,COLUMN(),FALSE)="N/A"),VLOOKUP("Real-Time Off Source",MO_SPT_StockHigh_Sources,COLUMN(),FALSE),VLOOKUP(MO.DataSourceName,MO_SPT_StockHigh_Sources,COLUMN(),FALSE))</f>
        <v>20.365000000000002</v>
      </c>
      <c r="BI1142" s="262">
        <f>IF(OR(MO.RealTimeStockPriceToggle=FALSE,VLOOKUP(MO.DataSourceName,MO_SPT_StockHigh_Sources,COLUMN(),FALSE)="N/A"),VLOOKUP("Real-Time Off Source",MO_SPT_StockHigh_Sources,COLUMN(),FALSE),VLOOKUP(MO.DataSourceName,MO_SPT_StockHigh_Sources,COLUMN(),FALSE))</f>
        <v>28.655999999999999</v>
      </c>
      <c r="BJ1142" s="262">
        <f>IF(OR(MO.RealTimeStockPriceToggle=FALSE,VLOOKUP(MO.DataSourceName,MO_SPT_StockHigh_Sources,COLUMN(),FALSE)="N/A"),VLOOKUP("Real-Time Off Source",MO_SPT_StockHigh_Sources,COLUMN(),FALSE),VLOOKUP(MO.DataSourceName,MO_SPT_StockHigh_Sources,COLUMN(),FALSE))</f>
        <v>27.964999999999996</v>
      </c>
      <c r="BK1142" s="262">
        <f>IF(OR(MO.RealTimeStockPriceToggle=FALSE,VLOOKUP(MO.DataSourceName,MO_SPT_StockHigh_Sources,COLUMN(),FALSE)="N/A"),VLOOKUP("Real-Time Off Source",MO_SPT_StockHigh_Sources,COLUMN(),FALSE),VLOOKUP(MO.DataSourceName,MO_SPT_StockHigh_Sources,COLUMN(),FALSE))</f>
        <v>47.494</v>
      </c>
      <c r="BL1142" s="262">
        <f>IF(OR(MO.RealTimeStockPriceToggle=FALSE,VLOOKUP(MO.DataSourceName,MO_SPT_StockHigh_Sources,COLUMN(),FALSE)="N/A"),VLOOKUP("Real-Time Off Source",MO_SPT_StockHigh_Sources,COLUMN(),FALSE),VLOOKUP(MO.DataSourceName,MO_SPT_StockHigh_Sources,COLUMN(),FALSE))</f>
        <v>49.355000000000004</v>
      </c>
      <c r="BM1142" s="262">
        <f>IF(OR(MO.RealTimeStockPriceToggle=FALSE,VLOOKUP(MO.DataSourceName,MO_SPT_StockHigh_Sources,COLUMN(),FALSE)="N/A"),VLOOKUP("Real-Time Off Source",MO_SPT_StockHigh_Sources,COLUMN(),FALSE),VLOOKUP(MO.DataSourceName,MO_SPT_StockHigh_Sources,COLUMN(),FALSE))</f>
        <v>61.616999999999997</v>
      </c>
      <c r="BN1142" s="262">
        <f>IF(OR(MO.RealTimeStockPriceToggle=FALSE,VLOOKUP(MO.DataSourceName,MO_SPT_StockHigh_Sources,COLUMN(),FALSE)="N/A"),VLOOKUP("Real-Time Off Source",MO_SPT_StockHigh_Sources,COLUMN(),FALSE),VLOOKUP(MO.DataSourceName,MO_SPT_StockHigh_Sources,COLUMN(),FALSE))</f>
        <v>61.616999999999997</v>
      </c>
      <c r="BO1142" s="262">
        <f>IF(OR(MO.RealTimeStockPriceToggle=FALSE,VLOOKUP(MO.DataSourceName,MO_SPT_StockHigh_Sources,COLUMN(),FALSE)="N/A"),VLOOKUP("Real-Time Off Source",MO_SPT_StockHigh_Sources,COLUMN(),FALSE),VLOOKUP(MO.DataSourceName,MO_SPT_StockHigh_Sources,COLUMN(),FALSE))</f>
        <v>95.001999999999995</v>
      </c>
      <c r="BP1142" s="262">
        <f>IF(OR(MO.RealTimeStockPriceToggle=FALSE,VLOOKUP(MO.DataSourceName,MO_SPT_StockHigh_Sources,COLUMN(),FALSE)="N/A"),VLOOKUP("Real-Time Off Source",MO_SPT_StockHigh_Sources,COLUMN(),FALSE),VLOOKUP(MO.DataSourceName,MO_SPT_StockHigh_Sources,COLUMN(),FALSE))</f>
        <v>135.58000000000001</v>
      </c>
      <c r="BQ1142" s="262">
        <f>IF(OR(MO.RealTimeStockPriceToggle=FALSE,VLOOKUP(MO.DataSourceName,MO_SPT_StockHigh_Sources,COLUMN(),FALSE)="N/A"),VLOOKUP("Real-Time Off Source",MO_SPT_StockHigh_Sources,COLUMN(),FALSE),VLOOKUP(MO.DataSourceName,MO_SPT_StockHigh_Sources,COLUMN(),FALSE))</f>
        <v>143.71</v>
      </c>
      <c r="BR1142" s="262">
        <f>IF(OR(MO.RealTimeStockPriceToggle=FALSE,VLOOKUP(MO.DataSourceName,MO_SPT_StockHigh_Sources,COLUMN(),FALSE)="N/A"),VLOOKUP("Real-Time Off Source",MO_SPT_StockHigh_Sources,COLUMN(),FALSE),VLOOKUP(MO.DataSourceName,MO_SPT_StockHigh_Sources,COLUMN(),FALSE))</f>
        <v>149.43</v>
      </c>
      <c r="BS1142" s="262">
        <f>IF(OR(MO.RealTimeStockPriceToggle=FALSE,VLOOKUP(MO.DataSourceName,MO_SPT_StockHigh_Sources,COLUMN(),FALSE)="N/A"),VLOOKUP("Real-Time Off Source",MO_SPT_StockHigh_Sources,COLUMN(),FALSE),VLOOKUP(MO.DataSourceName,MO_SPT_StockHigh_Sources,COLUMN(),FALSE))</f>
        <v>149.43</v>
      </c>
      <c r="BT1142" s="262">
        <f>IF(OR(MO.RealTimeStockPriceToggle=FALSE,VLOOKUP(MO.DataSourceName,MO_SPT_StockHigh_Sources,COLUMN(),FALSE)="N/A"),VLOOKUP("Real-Time Off Source",MO_SPT_StockHigh_Sources,COLUMN(),FALSE),VLOOKUP(MO.DataSourceName,MO_SPT_StockHigh_Sources,COLUMN(),FALSE))</f>
        <v>95.001999999999995</v>
      </c>
      <c r="BU1142" s="262">
        <f>IF(OR(MO.RealTimeStockPriceToggle=FALSE,VLOOKUP(MO.DataSourceName,MO_SPT_StockHigh_Sources,COLUMN(),FALSE)="N/A"),VLOOKUP("Real-Time Off Source",MO_SPT_StockHigh_Sources,COLUMN(),FALSE),VLOOKUP(MO.DataSourceName,MO_SPT_StockHigh_Sources,COLUMN(),FALSE))</f>
        <v>173.74</v>
      </c>
      <c r="BV1142" s="262">
        <f>IF(OR(MO.RealTimeStockPriceToggle=FALSE,VLOOKUP(MO.DataSourceName,MO_SPT_StockHigh_Sources,COLUMN(),FALSE)="N/A"),VLOOKUP("Real-Time Off Source",MO_SPT_StockHigh_Sources,COLUMN(),FALSE),VLOOKUP(MO.DataSourceName,MO_SPT_StockHigh_Sources,COLUMN(),FALSE))</f>
        <v>192.57</v>
      </c>
      <c r="BW1142" s="262">
        <f>IF(OR(MO.RealTimeStockPriceToggle=FALSE,VLOOKUP(MO.DataSourceName,MO_SPT_StockHigh_Sources,COLUMN(),FALSE)="N/A"),VLOOKUP("Real-Time Off Source",MO_SPT_StockHigh_Sources,COLUMN(),FALSE),VLOOKUP(MO.DataSourceName,MO_SPT_StockHigh_Sources,COLUMN(),FALSE))</f>
        <v>207.04</v>
      </c>
      <c r="BX1142" s="262">
        <f>IF(OR(MO.RealTimeStockPriceToggle=FALSE,VLOOKUP(MO.DataSourceName,MO_SPT_StockHigh_Sources,COLUMN(),FALSE)="N/A"),VLOOKUP("Real-Time Off Source",MO_SPT_StockHigh_Sources,COLUMN(),FALSE),VLOOKUP(MO.DataSourceName,MO_SPT_StockHigh_Sources,COLUMN(),FALSE))</f>
        <v>207.04</v>
      </c>
      <c r="BY1142" s="531">
        <f>IF(OR(MO.RealTimeStockPriceToggle=FALSE,VLOOKUP(MO.DataSourceName,MO_SPT_StockHigh_Sources,COLUMN(),FALSE)="N/A"),VLOOKUP("Real-Time Off Source",MO_SPT_StockHigh_Sources,COLUMN(),FALSE),VLOOKUP(MO.DataSourceName,MO_SPT_StockHigh_Sources,COLUMN(),FALSE))</f>
        <v>208.27</v>
      </c>
      <c r="BZ1142" s="262">
        <f>IF(OR(MO.RealTimeStockPriceToggle=FALSE,VLOOKUP(MO.DataSourceName,MO_SPT_StockHigh_Sources,COLUMN(),FALSE)="N/A"),VLOOKUP("Real-Time Off Source",MO_SPT_StockHigh_Sources,COLUMN(),FALSE),VLOOKUP(MO.DataSourceName,MO_SPT_StockHigh_Sources,COLUMN(),FALSE))</f>
        <v>0</v>
      </c>
      <c r="CA1142" s="262">
        <f>IF(OR(MO.RealTimeStockPriceToggle=FALSE,VLOOKUP(MO.DataSourceName,MO_SPT_StockHigh_Sources,COLUMN(),FALSE)="N/A"),VLOOKUP("Real-Time Off Source",MO_SPT_StockHigh_Sources,COLUMN(),FALSE),VLOOKUP(MO.DataSourceName,MO_SPT_StockHigh_Sources,COLUMN(),FALSE))</f>
        <v>0</v>
      </c>
      <c r="CB1142" s="262">
        <f>IF(OR(MO.RealTimeStockPriceToggle=FALSE,VLOOKUP(MO.DataSourceName,MO_SPT_StockHigh_Sources,COLUMN(),FALSE)="N/A"),VLOOKUP("Real-Time Off Source",MO_SPT_StockHigh_Sources,COLUMN(),FALSE),VLOOKUP(MO.DataSourceName,MO_SPT_StockHigh_Sources,COLUMN(),FALSE))</f>
        <v>0</v>
      </c>
      <c r="CC1142" s="262">
        <f>IF(OR(MO.RealTimeStockPriceToggle=FALSE,VLOOKUP(MO.DataSourceName,MO_SPT_StockHigh_Sources,COLUMN(),FALSE)="N/A"),VLOOKUP("Real-Time Off Source",MO_SPT_StockHigh_Sources,COLUMN(),FALSE),VLOOKUP(MO.DataSourceName,MO_SPT_StockHigh_Sources,COLUMN(),FALSE))</f>
        <v>0</v>
      </c>
      <c r="CD1142" s="262">
        <f>IF(OR(MO.RealTimeStockPriceToggle=FALSE,VLOOKUP(MO.DataSourceName,MO_SPT_StockHigh_Sources,COLUMN(),FALSE)="N/A"),VLOOKUP("Real-Time Off Source",MO_SPT_StockHigh_Sources,COLUMN(),FALSE),VLOOKUP(MO.DataSourceName,MO_SPT_StockHigh_Sources,COLUMN(),FALSE))</f>
        <v>0</v>
      </c>
      <c r="CE1142" s="262">
        <f>IF(OR(MO.RealTimeStockPriceToggle=FALSE,VLOOKUP(MO.DataSourceName,MO_SPT_StockHigh_Sources,COLUMN(),FALSE)="N/A"),VLOOKUP("Real-Time Off Source",MO_SPT_StockHigh_Sources,COLUMN(),FALSE),VLOOKUP(MO.DataSourceName,MO_SPT_StockHigh_Sources,COLUMN(),FALSE))</f>
        <v>0</v>
      </c>
      <c r="CF1142" s="262">
        <f>IF(OR(MO.RealTimeStockPriceToggle=FALSE,VLOOKUP(MO.DataSourceName,MO_SPT_StockHigh_Sources,COLUMN(),FALSE)="N/A"),VLOOKUP("Real-Time Off Source",MO_SPT_StockHigh_Sources,COLUMN(),FALSE),VLOOKUP(MO.DataSourceName,MO_SPT_StockHigh_Sources,COLUMN(),FALSE))</f>
        <v>0</v>
      </c>
      <c r="CG1142" s="262">
        <f>IF(OR(MO.RealTimeStockPriceToggle=FALSE,VLOOKUP(MO.DataSourceName,MO_SPT_StockHigh_Sources,COLUMN(),FALSE)="N/A"),VLOOKUP("Real-Time Off Source",MO_SPT_StockHigh_Sources,COLUMN(),FALSE),VLOOKUP(MO.DataSourceName,MO_SPT_StockHigh_Sources,COLUMN(),FALSE))</f>
        <v>0</v>
      </c>
      <c r="CH1142" s="262">
        <f>IF(OR(MO.RealTimeStockPriceToggle=FALSE,VLOOKUP(MO.DataSourceName,MO_SPT_StockHigh_Sources,COLUMN(),FALSE)="N/A"),VLOOKUP("Real-Time Off Source",MO_SPT_StockHigh_Sources,COLUMN(),FALSE),VLOOKUP(MO.DataSourceName,MO_SPT_StockHigh_Sources,COLUMN(),FALSE))</f>
        <v>0</v>
      </c>
      <c r="CI1142" s="262">
        <f>IF(OR(MO.RealTimeStockPriceToggle=FALSE,VLOOKUP(MO.DataSourceName,MO_SPT_StockHigh_Sources,COLUMN(),FALSE)="N/A"),VLOOKUP("Real-Time Off Source",MO_SPT_StockHigh_Sources,COLUMN(),FALSE),VLOOKUP(MO.DataSourceName,MO_SPT_StockHigh_Sources,COLUMN(),FALSE))</f>
        <v>0</v>
      </c>
      <c r="CJ1142" s="262">
        <f>IF(OR(MO.RealTimeStockPriceToggle=FALSE,VLOOKUP(MO.DataSourceName,MO_SPT_StockHigh_Sources,COLUMN(),FALSE)="N/A"),VLOOKUP("Real-Time Off Source",MO_SPT_StockHigh_Sources,COLUMN(),FALSE),VLOOKUP(MO.DataSourceName,MO_SPT_StockHigh_Sources,COLUMN(),FALSE))</f>
        <v>0</v>
      </c>
      <c r="CK1142" s="263">
        <f>IF(OR(MO.RealTimeStockPriceToggle=FALSE,VLOOKUP(MO.DataSourceName,MO_SPT_StockHigh_Sources,COLUMN(),FALSE)="N/A"),VLOOKUP("Real-Time Off Source",MO_SPT_StockHigh_Sources,COLUMN(),FALSE),VLOOKUP(MO.DataSourceName,MO_SPT_StockHigh_Sources,COLUMN(),FALSE))</f>
        <v>0</v>
      </c>
      <c r="CL1142" s="155"/>
    </row>
    <row r="1143" spans="1:90" hidden="1" outlineLevel="1" x14ac:dyDescent="0.3">
      <c r="A1143" s="264" t="s">
        <v>268</v>
      </c>
      <c r="B1143" s="262"/>
      <c r="C1143" s="1095">
        <f>(27.59/(4))/(10)</f>
        <v>0.68974999999999997</v>
      </c>
      <c r="D1143" s="1095">
        <f>(18.96/(4))/(10)</f>
        <v>0.47400000000000003</v>
      </c>
      <c r="E1143" s="1095">
        <f>(25.05/(4))/(10)</f>
        <v>0.62624999999999997</v>
      </c>
      <c r="F1143" s="1095">
        <f>(26.17/(4))/(10)</f>
        <v>0.65425</v>
      </c>
      <c r="G1143" s="1095">
        <f>(16.9/(4))/(10)</f>
        <v>0.42249999999999999</v>
      </c>
      <c r="H1143" s="1096">
        <f>(13.9/(4))/(10)</f>
        <v>0.34750000000000003</v>
      </c>
      <c r="I1143" s="1096">
        <f>(15.22/(4))/(10)</f>
        <v>0.3805</v>
      </c>
      <c r="J1143" s="1096">
        <f>(13.19/(4))/(10)</f>
        <v>0.32974999999999999</v>
      </c>
      <c r="K1143" s="1096">
        <f>(16.9/(4))/(10)</f>
        <v>0.42249999999999999</v>
      </c>
      <c r="L1143" s="1096">
        <f>(13.5/(4))/(10)</f>
        <v>0.33750000000000002</v>
      </c>
      <c r="M1143" s="1096">
        <f>(15.48/(4))/(10)</f>
        <v>0.38700000000000001</v>
      </c>
      <c r="N1143" s="1096">
        <f>(16.1/(4))/(10)</f>
        <v>0.40250000000000002</v>
      </c>
      <c r="O1143" s="1096">
        <f>(16.44/(4))/(10)</f>
        <v>0.41100000000000003</v>
      </c>
      <c r="P1143" s="1096">
        <f>(16.44/(4))/(10)</f>
        <v>0.41100000000000003</v>
      </c>
      <c r="Q1143" s="1096">
        <f>(19.46/(4))/(10)</f>
        <v>0.48650000000000004</v>
      </c>
      <c r="R1143" s="1096">
        <f>(19.73/(4))/(10)</f>
        <v>0.49325000000000002</v>
      </c>
      <c r="S1143" s="1096">
        <f>(20.15/(4))/(10)</f>
        <v>0.50374999999999992</v>
      </c>
      <c r="T1143" s="1096">
        <f>(21.25/(4))/(10)</f>
        <v>0.53125</v>
      </c>
      <c r="U1143" s="1096">
        <f>(21.25/(4))/(10)</f>
        <v>0.53125</v>
      </c>
      <c r="V1143" s="1096">
        <f>(23.61/(4))/(10)</f>
        <v>0.59024999999999994</v>
      </c>
      <c r="W1143" s="1096">
        <f>(22.88/(4))/(10)</f>
        <v>0.57199999999999995</v>
      </c>
      <c r="X1143" s="1096">
        <f>(28.78/(4))/(10)</f>
        <v>0.71950000000000003</v>
      </c>
      <c r="Y1143" s="1096">
        <f>(33.94/(4))/(10)</f>
        <v>0.84849999999999992</v>
      </c>
      <c r="Z1143" s="1096">
        <f>(33.94/(4))/(10)</f>
        <v>0.84849999999999992</v>
      </c>
      <c r="AA1143" s="1096">
        <f>(37.46/(4))/(10)</f>
        <v>0.9365</v>
      </c>
      <c r="AB1143" s="1096">
        <f>(57.25/(4))/(10)</f>
        <v>1.4312499999999999</v>
      </c>
      <c r="AC1143" s="1096">
        <f>(72.95/(4))/(10)</f>
        <v>1.82375</v>
      </c>
      <c r="AD1143" s="1096">
        <f>(119.93/(4))/(10)</f>
        <v>2.9982500000000001</v>
      </c>
      <c r="AE1143" s="1096">
        <f>(119.93/(4))/(10)</f>
        <v>2.9982500000000001</v>
      </c>
      <c r="AF1143" s="1096">
        <f>(120.92/(4))/(10)</f>
        <v>3.0230000000000001</v>
      </c>
      <c r="AG1143" s="1096">
        <f>(169.93/(4))/(10)</f>
        <v>4.2482500000000005</v>
      </c>
      <c r="AH1143" s="1096">
        <f>(201.87/(4))/(10)</f>
        <v>5.0467500000000003</v>
      </c>
      <c r="AI1143" s="1096">
        <f>(243.34/(4))/(10)</f>
        <v>6.0834999999999999</v>
      </c>
      <c r="AJ1143" s="1096">
        <f>(243.34/(4))/(10)</f>
        <v>6.0834999999999999</v>
      </c>
      <c r="AK1143" s="1096">
        <f>(249.9381/(4))/(10)</f>
        <v>6.2484525</v>
      </c>
      <c r="AL1143" s="1096">
        <f>(266.4972/(4))/(10)</f>
        <v>6.6624300000000005</v>
      </c>
      <c r="AM1143" s="1096">
        <f>(289.0706/(4))/(10)</f>
        <v>7.2267650000000003</v>
      </c>
      <c r="AN1143" s="1096">
        <f>(217.8919/(4))/(10)</f>
        <v>5.4472974999999995</v>
      </c>
      <c r="AO1143" s="1096">
        <f>(289.0706/(4))/(10)</f>
        <v>7.2267650000000003</v>
      </c>
      <c r="AP1143" s="1096">
        <f>(192.1/(4))/(10)</f>
        <v>4.8025000000000002</v>
      </c>
      <c r="AQ1143" s="1096">
        <f>(183.19/(4))/(10)</f>
        <v>4.5797499999999998</v>
      </c>
      <c r="AR1143" s="1096">
        <f>(206.79/(4))/(10)</f>
        <v>5.1697499999999996</v>
      </c>
      <c r="AS1143" s="1096">
        <f>(252.86/(4))/(10)</f>
        <v>6.3215000000000003</v>
      </c>
      <c r="AT1143" s="1096">
        <f>(252.86/(4))/(10)</f>
        <v>6.3215000000000003</v>
      </c>
      <c r="AU1143" s="1096">
        <f>(314.7/(4))/(10)</f>
        <v>7.8674999999999997</v>
      </c>
      <c r="AV1143" s="1096">
        <f>(424.59/(4))/(10)</f>
        <v>10.614749999999999</v>
      </c>
      <c r="AW1143" s="1096">
        <f>(573.86/(4))/(10)</f>
        <v>14.346500000000001</v>
      </c>
      <c r="AX1143" s="1096">
        <f>(582.48/(4))/(10)</f>
        <v>14.562000000000001</v>
      </c>
      <c r="AY1143" s="1096">
        <f>(582.48/(4))/(10)</f>
        <v>14.562000000000001</v>
      </c>
      <c r="AZ1143" s="1096">
        <f>(645.49/(4))/(10)</f>
        <v>16.137250000000002</v>
      </c>
      <c r="BA1143" s="1096">
        <f>206.985/(10)</f>
        <v>20.698500000000003</v>
      </c>
      <c r="BB1143" s="1096">
        <f>255.67/(10)</f>
        <v>25.567</v>
      </c>
      <c r="BC1143" s="1096">
        <f>333.76/(10)</f>
        <v>33.375999999999998</v>
      </c>
      <c r="BD1143" s="1096">
        <f>333.76/(10)</f>
        <v>33.375999999999998</v>
      </c>
      <c r="BE1143" s="1096">
        <f>286.56/(10)</f>
        <v>28.655999999999999</v>
      </c>
      <c r="BF1143" s="1096">
        <f>203.34/(10)</f>
        <v>20.334</v>
      </c>
      <c r="BG1143" s="1096">
        <f>192.15/(10)</f>
        <v>19.215</v>
      </c>
      <c r="BH1143" s="1096">
        <f>203.65/(10)</f>
        <v>20.365000000000002</v>
      </c>
      <c r="BI1143" s="1096">
        <f>286.56/(10)</f>
        <v>28.655999999999999</v>
      </c>
      <c r="BJ1143" s="1096">
        <f>279.65/(10)</f>
        <v>27.964999999999996</v>
      </c>
      <c r="BK1143" s="1096">
        <f>474.94/(10)</f>
        <v>47.494</v>
      </c>
      <c r="BL1143" s="1096">
        <f>493.55/(10)</f>
        <v>49.355000000000004</v>
      </c>
      <c r="BM1143" s="1096">
        <f>616.17/(10)</f>
        <v>61.616999999999997</v>
      </c>
      <c r="BN1143" s="1096">
        <f>616.17/(10)</f>
        <v>61.616999999999997</v>
      </c>
      <c r="BO1143" s="1096">
        <f>950.02/(10)</f>
        <v>95.001999999999995</v>
      </c>
      <c r="BP1143" s="1096">
        <v>135.58000000000001</v>
      </c>
      <c r="BQ1143" s="1096">
        <v>143.71</v>
      </c>
      <c r="BR1143" s="1096">
        <v>149.43</v>
      </c>
      <c r="BS1143" s="1096">
        <v>149.43</v>
      </c>
      <c r="BT1143" s="1096">
        <f>950.02/(10)</f>
        <v>95.001999999999995</v>
      </c>
      <c r="BU1143" s="1096">
        <v>173.74</v>
      </c>
      <c r="BV1143" s="1096">
        <v>192.57</v>
      </c>
      <c r="BW1143" s="1096">
        <v>207.04</v>
      </c>
      <c r="BX1143" s="1096">
        <v>207.04</v>
      </c>
      <c r="BY1143" s="1097">
        <v>208.27</v>
      </c>
      <c r="BZ1143" s="262"/>
      <c r="CA1143" s="262"/>
      <c r="CB1143" s="262"/>
      <c r="CC1143" s="262"/>
      <c r="CD1143" s="262"/>
      <c r="CE1143" s="262"/>
      <c r="CF1143" s="262"/>
      <c r="CG1143" s="262"/>
      <c r="CH1143" s="262"/>
      <c r="CI1143" s="262"/>
      <c r="CJ1143" s="262"/>
      <c r="CK1143" s="263"/>
      <c r="CL1143" s="155"/>
    </row>
    <row r="1144" spans="1:90" hidden="1" outlineLevel="1" x14ac:dyDescent="0.3">
      <c r="A1144" s="264" t="s">
        <v>7</v>
      </c>
      <c r="B1144" s="262"/>
      <c r="C1144" s="1040" t="s">
        <v>1295</v>
      </c>
      <c r="D1144" s="1040" t="s">
        <v>1295</v>
      </c>
      <c r="E1144" s="1040" t="s">
        <v>1295</v>
      </c>
      <c r="F1144" s="1040" t="s">
        <v>1295</v>
      </c>
      <c r="G1144" s="1040" t="s">
        <v>1295</v>
      </c>
      <c r="H1144" s="262" t="s">
        <v>1295</v>
      </c>
      <c r="I1144" s="262" t="s">
        <v>1295</v>
      </c>
      <c r="J1144" s="262" t="s">
        <v>1295</v>
      </c>
      <c r="K1144" s="262" t="s">
        <v>1295</v>
      </c>
      <c r="L1144" s="262" t="s">
        <v>1295</v>
      </c>
      <c r="M1144" s="262" t="s">
        <v>1295</v>
      </c>
      <c r="N1144" s="262" t="s">
        <v>1295</v>
      </c>
      <c r="O1144" s="262" t="s">
        <v>1295</v>
      </c>
      <c r="P1144" s="262" t="s">
        <v>1295</v>
      </c>
      <c r="Q1144" s="262" t="s">
        <v>1295</v>
      </c>
      <c r="R1144" s="262" t="s">
        <v>1295</v>
      </c>
      <c r="S1144" s="262" t="s">
        <v>1295</v>
      </c>
      <c r="T1144" s="262" t="s">
        <v>1295</v>
      </c>
      <c r="U1144" s="262" t="s">
        <v>1295</v>
      </c>
      <c r="V1144" s="262" t="s">
        <v>1295</v>
      </c>
      <c r="W1144" s="262" t="s">
        <v>1295</v>
      </c>
      <c r="X1144" s="262" t="s">
        <v>1295</v>
      </c>
      <c r="Y1144" s="262" t="s">
        <v>1295</v>
      </c>
      <c r="Z1144" s="262" t="s">
        <v>1295</v>
      </c>
      <c r="AA1144" s="262" t="s">
        <v>1295</v>
      </c>
      <c r="AB1144" s="262" t="s">
        <v>1295</v>
      </c>
      <c r="AC1144" s="262" t="s">
        <v>1295</v>
      </c>
      <c r="AD1144" s="262" t="s">
        <v>1295</v>
      </c>
      <c r="AE1144" s="262" t="s">
        <v>1295</v>
      </c>
      <c r="AF1144" s="262" t="s">
        <v>1295</v>
      </c>
      <c r="AG1144" s="262" t="s">
        <v>1295</v>
      </c>
      <c r="AH1144" s="262" t="s">
        <v>1295</v>
      </c>
      <c r="AI1144" s="262" t="s">
        <v>1295</v>
      </c>
      <c r="AJ1144" s="262" t="s">
        <v>1295</v>
      </c>
      <c r="AK1144" s="262" t="s">
        <v>1295</v>
      </c>
      <c r="AL1144" s="262" t="s">
        <v>1295</v>
      </c>
      <c r="AM1144" s="262" t="s">
        <v>1295</v>
      </c>
      <c r="AN1144" s="262" t="s">
        <v>1295</v>
      </c>
      <c r="AO1144" s="262" t="s">
        <v>1295</v>
      </c>
      <c r="AP1144" s="262" t="s">
        <v>1295</v>
      </c>
      <c r="AQ1144" s="262" t="s">
        <v>1295</v>
      </c>
      <c r="AR1144" s="262" t="s">
        <v>1295</v>
      </c>
      <c r="AS1144" s="262" t="s">
        <v>1295</v>
      </c>
      <c r="AT1144" s="262" t="s">
        <v>1295</v>
      </c>
      <c r="AU1144" s="262" t="s">
        <v>1295</v>
      </c>
      <c r="AV1144" s="262" t="s">
        <v>1295</v>
      </c>
      <c r="AW1144" s="262" t="s">
        <v>1295</v>
      </c>
      <c r="AX1144" s="262" t="s">
        <v>1295</v>
      </c>
      <c r="AY1144" s="262" t="s">
        <v>1295</v>
      </c>
      <c r="AZ1144" s="262" t="s">
        <v>1295</v>
      </c>
      <c r="BA1144" s="262" t="s">
        <v>1295</v>
      </c>
      <c r="BB1144" s="262" t="s">
        <v>1295</v>
      </c>
      <c r="BC1144" s="262" t="s">
        <v>1295</v>
      </c>
      <c r="BD1144" s="262" t="s">
        <v>1295</v>
      </c>
      <c r="BE1144" s="262" t="s">
        <v>1295</v>
      </c>
      <c r="BF1144" s="262" t="s">
        <v>1295</v>
      </c>
      <c r="BG1144" s="262" t="s">
        <v>1295</v>
      </c>
      <c r="BH1144" s="262" t="s">
        <v>1295</v>
      </c>
      <c r="BI1144" s="262" t="s">
        <v>1295</v>
      </c>
      <c r="BJ1144" s="262" t="s">
        <v>1295</v>
      </c>
      <c r="BK1144" s="262" t="s">
        <v>1295</v>
      </c>
      <c r="BL1144" s="262" t="s">
        <v>1295</v>
      </c>
      <c r="BM1144" s="262" t="s">
        <v>1295</v>
      </c>
      <c r="BN1144" s="262" t="s">
        <v>1295</v>
      </c>
      <c r="BO1144" s="262" t="s">
        <v>1295</v>
      </c>
      <c r="BP1144" s="262" t="s">
        <v>1295</v>
      </c>
      <c r="BQ1144" s="262" t="s">
        <v>1295</v>
      </c>
      <c r="BR1144" s="262" t="s">
        <v>1295</v>
      </c>
      <c r="BS1144" s="262" t="s">
        <v>1295</v>
      </c>
      <c r="BT1144" s="262" t="s">
        <v>1295</v>
      </c>
      <c r="BU1144" s="262" t="s">
        <v>1295</v>
      </c>
      <c r="BV1144" s="262" t="s">
        <v>1295</v>
      </c>
      <c r="BW1144" s="262" t="s">
        <v>1295</v>
      </c>
      <c r="BX1144" s="262" t="s">
        <v>1295</v>
      </c>
      <c r="BY1144" s="531" t="s">
        <v>1295</v>
      </c>
      <c r="BZ1144" s="262" t="s">
        <v>1295</v>
      </c>
      <c r="CA1144" s="262" t="s">
        <v>1295</v>
      </c>
      <c r="CB1144" s="262" t="s">
        <v>1295</v>
      </c>
      <c r="CC1144" s="262" t="s">
        <v>1295</v>
      </c>
      <c r="CD1144" s="262" t="s">
        <v>1295</v>
      </c>
      <c r="CE1144" s="262" t="s">
        <v>1295</v>
      </c>
      <c r="CF1144" s="262" t="s">
        <v>1295</v>
      </c>
      <c r="CG1144" s="262" t="s">
        <v>1295</v>
      </c>
      <c r="CH1144" s="262" t="s">
        <v>1295</v>
      </c>
      <c r="CI1144" s="262" t="s">
        <v>1295</v>
      </c>
      <c r="CJ1144" s="262" t="s">
        <v>1295</v>
      </c>
      <c r="CK1144" s="263" t="s">
        <v>1295</v>
      </c>
      <c r="CL1144" s="155"/>
    </row>
    <row r="1145" spans="1:90" hidden="1" outlineLevel="1" x14ac:dyDescent="0.3">
      <c r="A1145" s="264" t="s">
        <v>269</v>
      </c>
      <c r="B1145" s="262"/>
      <c r="C1145" s="1040">
        <v>0.68</v>
      </c>
      <c r="D1145" s="1040">
        <v>0.47</v>
      </c>
      <c r="E1145" s="1040">
        <v>0.62</v>
      </c>
      <c r="F1145" s="1040">
        <v>0.64</v>
      </c>
      <c r="G1145" s="1040">
        <v>0.41</v>
      </c>
      <c r="H1145" s="262">
        <v>0.35</v>
      </c>
      <c r="I1145" s="262">
        <v>0.37</v>
      </c>
      <c r="J1145" s="262">
        <v>0.33</v>
      </c>
      <c r="K1145" s="262">
        <v>0.41</v>
      </c>
      <c r="L1145" s="262">
        <v>0.34</v>
      </c>
      <c r="M1145" s="262">
        <v>0.37</v>
      </c>
      <c r="N1145" s="262">
        <v>0.4</v>
      </c>
      <c r="O1145" s="262">
        <v>0.41</v>
      </c>
      <c r="P1145" s="262">
        <v>0.41</v>
      </c>
      <c r="Q1145" s="262">
        <v>0.48</v>
      </c>
      <c r="R1145" s="262">
        <v>0.49</v>
      </c>
      <c r="S1145" s="262">
        <v>0.5</v>
      </c>
      <c r="T1145" s="262">
        <v>0.53</v>
      </c>
      <c r="U1145" s="262">
        <v>0.53</v>
      </c>
      <c r="V1145" s="262">
        <v>0.59</v>
      </c>
      <c r="W1145" s="262">
        <v>0.56999999999999995</v>
      </c>
      <c r="X1145" s="262">
        <v>0.71</v>
      </c>
      <c r="Y1145" s="262">
        <v>0.84</v>
      </c>
      <c r="Z1145" s="262">
        <v>0.84</v>
      </c>
      <c r="AA1145" s="262">
        <v>0.93</v>
      </c>
      <c r="AB1145" s="262">
        <v>1.43</v>
      </c>
      <c r="AC1145" s="262">
        <v>1.8</v>
      </c>
      <c r="AD1145" s="262">
        <v>2.93</v>
      </c>
      <c r="AE1145" s="262">
        <v>2.93</v>
      </c>
      <c r="AF1145" s="262">
        <v>2.98</v>
      </c>
      <c r="AG1145" s="262">
        <v>4.2</v>
      </c>
      <c r="AH1145" s="262">
        <v>5.05</v>
      </c>
      <c r="AI1145" s="262">
        <v>6.08</v>
      </c>
      <c r="AJ1145" s="262">
        <v>6.08</v>
      </c>
      <c r="AK1145" s="262">
        <v>6.26</v>
      </c>
      <c r="AL1145" s="262">
        <v>6.67</v>
      </c>
      <c r="AM1145" s="262">
        <v>7.23</v>
      </c>
      <c r="AN1145" s="262">
        <v>5.45</v>
      </c>
      <c r="AO1145" s="262">
        <v>7.23</v>
      </c>
      <c r="AP1145" s="262">
        <v>4.8</v>
      </c>
      <c r="AQ1145" s="262">
        <v>4.58</v>
      </c>
      <c r="AR1145" s="262">
        <v>5.1100000000000003</v>
      </c>
      <c r="AS1145" s="262">
        <v>6.32</v>
      </c>
      <c r="AT1145" s="262">
        <v>6.32</v>
      </c>
      <c r="AU1145" s="262">
        <v>7.87</v>
      </c>
      <c r="AV1145" s="262">
        <v>10.51</v>
      </c>
      <c r="AW1145" s="262">
        <v>14.35</v>
      </c>
      <c r="AX1145" s="262">
        <v>14.56</v>
      </c>
      <c r="AY1145" s="262">
        <v>14.56</v>
      </c>
      <c r="AZ1145" s="262">
        <v>16.14</v>
      </c>
      <c r="BA1145" s="262">
        <v>20.7</v>
      </c>
      <c r="BB1145" s="262">
        <v>25.57</v>
      </c>
      <c r="BC1145" s="262">
        <v>33.380000000000003</v>
      </c>
      <c r="BD1145" s="262">
        <v>33.380000000000003</v>
      </c>
      <c r="BE1145" s="262">
        <v>28.66</v>
      </c>
      <c r="BF1145" s="262">
        <v>20.329999999999998</v>
      </c>
      <c r="BG1145" s="262">
        <v>19.22</v>
      </c>
      <c r="BH1145" s="262">
        <v>20.37</v>
      </c>
      <c r="BI1145" s="262">
        <v>28.66</v>
      </c>
      <c r="BJ1145" s="262">
        <v>27.97</v>
      </c>
      <c r="BK1145" s="262">
        <v>47.49</v>
      </c>
      <c r="BL1145" s="262">
        <v>49.36</v>
      </c>
      <c r="BM1145" s="262">
        <v>61.62</v>
      </c>
      <c r="BN1145" s="262">
        <v>61.62</v>
      </c>
      <c r="BO1145" s="262">
        <v>95</v>
      </c>
      <c r="BP1145" s="262">
        <v>135.58000000000001</v>
      </c>
      <c r="BQ1145" s="262">
        <v>143.71</v>
      </c>
      <c r="BR1145" s="262">
        <v>149.43</v>
      </c>
      <c r="BS1145" s="262">
        <v>149.43</v>
      </c>
      <c r="BT1145" s="262">
        <v>140.11000000000001</v>
      </c>
      <c r="BU1145" s="262">
        <v>173.74</v>
      </c>
      <c r="BV1145" s="262">
        <v>192.57</v>
      </c>
      <c r="BW1145" s="262">
        <v>207.04</v>
      </c>
      <c r="BX1145" s="262">
        <v>207.04</v>
      </c>
      <c r="BY1145" s="531">
        <v>208.27</v>
      </c>
      <c r="BZ1145" s="262">
        <v>235.74</v>
      </c>
      <c r="CA1145" s="262">
        <v>0</v>
      </c>
      <c r="CB1145" s="262">
        <v>0</v>
      </c>
      <c r="CC1145" s="262">
        <v>235.74</v>
      </c>
      <c r="CD1145" s="262">
        <v>0</v>
      </c>
      <c r="CE1145" s="262">
        <v>0</v>
      </c>
      <c r="CF1145" s="262">
        <v>0</v>
      </c>
      <c r="CG1145" s="262">
        <v>0</v>
      </c>
      <c r="CH1145" s="262">
        <v>0</v>
      </c>
      <c r="CI1145" s="262">
        <v>0</v>
      </c>
      <c r="CJ1145" s="262">
        <v>0</v>
      </c>
      <c r="CK1145" s="263">
        <v>0</v>
      </c>
      <c r="CL1145" s="155"/>
    </row>
    <row r="1146" spans="1:90" hidden="1" outlineLevel="1" x14ac:dyDescent="0.3">
      <c r="A1146" s="264" t="s">
        <v>270</v>
      </c>
      <c r="B1146" s="262"/>
      <c r="C1146" s="1040" t="s">
        <v>1295</v>
      </c>
      <c r="D1146" s="1040" t="s">
        <v>1295</v>
      </c>
      <c r="E1146" s="1040" t="s">
        <v>1295</v>
      </c>
      <c r="F1146" s="1040" t="s">
        <v>1295</v>
      </c>
      <c r="G1146" s="1040" t="s">
        <v>1295</v>
      </c>
      <c r="H1146" s="262" t="s">
        <v>1295</v>
      </c>
      <c r="I1146" s="262" t="s">
        <v>1295</v>
      </c>
      <c r="J1146" s="262" t="s">
        <v>1295</v>
      </c>
      <c r="K1146" s="262" t="s">
        <v>1295</v>
      </c>
      <c r="L1146" s="262" t="s">
        <v>1295</v>
      </c>
      <c r="M1146" s="262" t="s">
        <v>1295</v>
      </c>
      <c r="N1146" s="262" t="s">
        <v>1295</v>
      </c>
      <c r="O1146" s="262" t="s">
        <v>1295</v>
      </c>
      <c r="P1146" s="262" t="s">
        <v>1295</v>
      </c>
      <c r="Q1146" s="262" t="s">
        <v>1295</v>
      </c>
      <c r="R1146" s="262" t="s">
        <v>1295</v>
      </c>
      <c r="S1146" s="262" t="s">
        <v>1295</v>
      </c>
      <c r="T1146" s="262" t="s">
        <v>1295</v>
      </c>
      <c r="U1146" s="262" t="s">
        <v>1295</v>
      </c>
      <c r="V1146" s="262" t="s">
        <v>1295</v>
      </c>
      <c r="W1146" s="262" t="s">
        <v>1295</v>
      </c>
      <c r="X1146" s="262" t="s">
        <v>1295</v>
      </c>
      <c r="Y1146" s="262" t="s">
        <v>1295</v>
      </c>
      <c r="Z1146" s="262" t="s">
        <v>1295</v>
      </c>
      <c r="AA1146" s="262" t="s">
        <v>1295</v>
      </c>
      <c r="AB1146" s="262" t="s">
        <v>1295</v>
      </c>
      <c r="AC1146" s="262" t="s">
        <v>1295</v>
      </c>
      <c r="AD1146" s="262" t="s">
        <v>1295</v>
      </c>
      <c r="AE1146" s="262" t="s">
        <v>1295</v>
      </c>
      <c r="AF1146" s="262" t="s">
        <v>1295</v>
      </c>
      <c r="AG1146" s="262" t="s">
        <v>1295</v>
      </c>
      <c r="AH1146" s="262" t="s">
        <v>1295</v>
      </c>
      <c r="AI1146" s="262" t="s">
        <v>1295</v>
      </c>
      <c r="AJ1146" s="262" t="s">
        <v>1295</v>
      </c>
      <c r="AK1146" s="262" t="s">
        <v>1295</v>
      </c>
      <c r="AL1146" s="262" t="s">
        <v>1295</v>
      </c>
      <c r="AM1146" s="262" t="s">
        <v>1295</v>
      </c>
      <c r="AN1146" s="262" t="s">
        <v>1295</v>
      </c>
      <c r="AO1146" s="262" t="s">
        <v>1295</v>
      </c>
      <c r="AP1146" s="262" t="s">
        <v>1295</v>
      </c>
      <c r="AQ1146" s="262" t="s">
        <v>1295</v>
      </c>
      <c r="AR1146" s="262" t="s">
        <v>1295</v>
      </c>
      <c r="AS1146" s="262" t="s">
        <v>1295</v>
      </c>
      <c r="AT1146" s="262" t="s">
        <v>1295</v>
      </c>
      <c r="AU1146" s="262" t="s">
        <v>1295</v>
      </c>
      <c r="AV1146" s="262" t="s">
        <v>1295</v>
      </c>
      <c r="AW1146" s="262" t="s">
        <v>1295</v>
      </c>
      <c r="AX1146" s="262" t="s">
        <v>1295</v>
      </c>
      <c r="AY1146" s="262" t="s">
        <v>1295</v>
      </c>
      <c r="AZ1146" s="262" t="s">
        <v>1295</v>
      </c>
      <c r="BA1146" s="262" t="s">
        <v>1295</v>
      </c>
      <c r="BB1146" s="262" t="s">
        <v>1295</v>
      </c>
      <c r="BC1146" s="262" t="s">
        <v>1295</v>
      </c>
      <c r="BD1146" s="262" t="s">
        <v>1295</v>
      </c>
      <c r="BE1146" s="262" t="s">
        <v>1295</v>
      </c>
      <c r="BF1146" s="262" t="s">
        <v>1295</v>
      </c>
      <c r="BG1146" s="262" t="s">
        <v>1295</v>
      </c>
      <c r="BH1146" s="262" t="s">
        <v>1295</v>
      </c>
      <c r="BI1146" s="262" t="s">
        <v>1295</v>
      </c>
      <c r="BJ1146" s="262" t="s">
        <v>1295</v>
      </c>
      <c r="BK1146" s="262" t="s">
        <v>1295</v>
      </c>
      <c r="BL1146" s="262" t="s">
        <v>1295</v>
      </c>
      <c r="BM1146" s="262" t="s">
        <v>1295</v>
      </c>
      <c r="BN1146" s="262" t="s">
        <v>1295</v>
      </c>
      <c r="BO1146" s="262" t="s">
        <v>1295</v>
      </c>
      <c r="BP1146" s="262" t="s">
        <v>1295</v>
      </c>
      <c r="BQ1146" s="262" t="s">
        <v>1295</v>
      </c>
      <c r="BR1146" s="262" t="s">
        <v>1295</v>
      </c>
      <c r="BS1146" s="262" t="s">
        <v>1295</v>
      </c>
      <c r="BT1146" s="262" t="s">
        <v>1295</v>
      </c>
      <c r="BU1146" s="262" t="s">
        <v>1295</v>
      </c>
      <c r="BV1146" s="262" t="s">
        <v>1295</v>
      </c>
      <c r="BW1146" s="262" t="s">
        <v>1295</v>
      </c>
      <c r="BX1146" s="262" t="s">
        <v>1295</v>
      </c>
      <c r="BY1146" s="531" t="s">
        <v>1295</v>
      </c>
      <c r="BZ1146" s="262" t="s">
        <v>1295</v>
      </c>
      <c r="CA1146" s="262" t="s">
        <v>1295</v>
      </c>
      <c r="CB1146" s="262" t="s">
        <v>1295</v>
      </c>
      <c r="CC1146" s="262" t="s">
        <v>1295</v>
      </c>
      <c r="CD1146" s="262" t="s">
        <v>1295</v>
      </c>
      <c r="CE1146" s="262" t="s">
        <v>1295</v>
      </c>
      <c r="CF1146" s="262" t="s">
        <v>1295</v>
      </c>
      <c r="CG1146" s="262" t="s">
        <v>1295</v>
      </c>
      <c r="CH1146" s="262" t="s">
        <v>1295</v>
      </c>
      <c r="CI1146" s="262" t="s">
        <v>1295</v>
      </c>
      <c r="CJ1146" s="262" t="s">
        <v>1295</v>
      </c>
      <c r="CK1146" s="263" t="s">
        <v>1295</v>
      </c>
      <c r="CL1146" s="155"/>
    </row>
    <row r="1147" spans="1:90" hidden="1" outlineLevel="1" x14ac:dyDescent="0.3">
      <c r="A1147" s="264" t="s">
        <v>618</v>
      </c>
      <c r="B1147" s="262"/>
      <c r="C1147" s="1040" t="s">
        <v>1295</v>
      </c>
      <c r="D1147" s="1040" t="s">
        <v>1295</v>
      </c>
      <c r="E1147" s="1040" t="s">
        <v>1295</v>
      </c>
      <c r="F1147" s="1040" t="s">
        <v>1295</v>
      </c>
      <c r="G1147" s="1040" t="s">
        <v>1295</v>
      </c>
      <c r="H1147" s="262" t="s">
        <v>1295</v>
      </c>
      <c r="I1147" s="262" t="s">
        <v>1295</v>
      </c>
      <c r="J1147" s="262" t="s">
        <v>1295</v>
      </c>
      <c r="K1147" s="262" t="s">
        <v>1295</v>
      </c>
      <c r="L1147" s="262" t="s">
        <v>1295</v>
      </c>
      <c r="M1147" s="262" t="s">
        <v>1295</v>
      </c>
      <c r="N1147" s="262" t="s">
        <v>1295</v>
      </c>
      <c r="O1147" s="262" t="s">
        <v>1295</v>
      </c>
      <c r="P1147" s="262" t="s">
        <v>1295</v>
      </c>
      <c r="Q1147" s="262" t="s">
        <v>1295</v>
      </c>
      <c r="R1147" s="262" t="s">
        <v>1295</v>
      </c>
      <c r="S1147" s="262" t="s">
        <v>1295</v>
      </c>
      <c r="T1147" s="262" t="s">
        <v>1295</v>
      </c>
      <c r="U1147" s="262" t="s">
        <v>1295</v>
      </c>
      <c r="V1147" s="262" t="s">
        <v>1295</v>
      </c>
      <c r="W1147" s="262" t="s">
        <v>1295</v>
      </c>
      <c r="X1147" s="262" t="s">
        <v>1295</v>
      </c>
      <c r="Y1147" s="262" t="s">
        <v>1295</v>
      </c>
      <c r="Z1147" s="262" t="s">
        <v>1295</v>
      </c>
      <c r="AA1147" s="262" t="s">
        <v>1295</v>
      </c>
      <c r="AB1147" s="262" t="s">
        <v>1295</v>
      </c>
      <c r="AC1147" s="262" t="s">
        <v>1295</v>
      </c>
      <c r="AD1147" s="262" t="s">
        <v>1295</v>
      </c>
      <c r="AE1147" s="262" t="s">
        <v>1295</v>
      </c>
      <c r="AF1147" s="262" t="s">
        <v>1295</v>
      </c>
      <c r="AG1147" s="262" t="s">
        <v>1295</v>
      </c>
      <c r="AH1147" s="262" t="s">
        <v>1295</v>
      </c>
      <c r="AI1147" s="262" t="s">
        <v>1295</v>
      </c>
      <c r="AJ1147" s="262" t="s">
        <v>1295</v>
      </c>
      <c r="AK1147" s="262" t="s">
        <v>1295</v>
      </c>
      <c r="AL1147" s="262" t="s">
        <v>1295</v>
      </c>
      <c r="AM1147" s="262" t="s">
        <v>1295</v>
      </c>
      <c r="AN1147" s="262" t="s">
        <v>1295</v>
      </c>
      <c r="AO1147" s="262" t="s">
        <v>1295</v>
      </c>
      <c r="AP1147" s="262" t="s">
        <v>1295</v>
      </c>
      <c r="AQ1147" s="262" t="s">
        <v>1295</v>
      </c>
      <c r="AR1147" s="262" t="s">
        <v>1295</v>
      </c>
      <c r="AS1147" s="262" t="s">
        <v>1295</v>
      </c>
      <c r="AT1147" s="262" t="s">
        <v>1295</v>
      </c>
      <c r="AU1147" s="262" t="s">
        <v>1295</v>
      </c>
      <c r="AV1147" s="262" t="s">
        <v>1295</v>
      </c>
      <c r="AW1147" s="262" t="s">
        <v>1295</v>
      </c>
      <c r="AX1147" s="262" t="s">
        <v>1295</v>
      </c>
      <c r="AY1147" s="262" t="s">
        <v>1295</v>
      </c>
      <c r="AZ1147" s="262" t="s">
        <v>1295</v>
      </c>
      <c r="BA1147" s="262" t="s">
        <v>1295</v>
      </c>
      <c r="BB1147" s="262" t="s">
        <v>1295</v>
      </c>
      <c r="BC1147" s="262" t="s">
        <v>1295</v>
      </c>
      <c r="BD1147" s="262" t="s">
        <v>1295</v>
      </c>
      <c r="BE1147" s="262" t="s">
        <v>1295</v>
      </c>
      <c r="BF1147" s="262" t="s">
        <v>1295</v>
      </c>
      <c r="BG1147" s="262" t="s">
        <v>1295</v>
      </c>
      <c r="BH1147" s="262" t="s">
        <v>1295</v>
      </c>
      <c r="BI1147" s="262" t="s">
        <v>1295</v>
      </c>
      <c r="BJ1147" s="262" t="s">
        <v>1295</v>
      </c>
      <c r="BK1147" s="262" t="s">
        <v>1295</v>
      </c>
      <c r="BL1147" s="262" t="s">
        <v>1295</v>
      </c>
      <c r="BM1147" s="262" t="s">
        <v>1295</v>
      </c>
      <c r="BN1147" s="262" t="s">
        <v>1295</v>
      </c>
      <c r="BO1147" s="262" t="s">
        <v>1295</v>
      </c>
      <c r="BP1147" s="262" t="s">
        <v>1295</v>
      </c>
      <c r="BQ1147" s="262" t="s">
        <v>1295</v>
      </c>
      <c r="BR1147" s="262" t="s">
        <v>1295</v>
      </c>
      <c r="BS1147" s="262" t="s">
        <v>1295</v>
      </c>
      <c r="BT1147" s="262" t="s">
        <v>1295</v>
      </c>
      <c r="BU1147" s="262" t="s">
        <v>1295</v>
      </c>
      <c r="BV1147" s="262" t="s">
        <v>1295</v>
      </c>
      <c r="BW1147" s="262" t="s">
        <v>1295</v>
      </c>
      <c r="BX1147" s="262" t="s">
        <v>1295</v>
      </c>
      <c r="BY1147" s="531" t="s">
        <v>1295</v>
      </c>
      <c r="BZ1147" s="262" t="s">
        <v>1295</v>
      </c>
      <c r="CA1147" s="262" t="s">
        <v>1295</v>
      </c>
      <c r="CB1147" s="262" t="s">
        <v>1295</v>
      </c>
      <c r="CC1147" s="262" t="s">
        <v>1295</v>
      </c>
      <c r="CD1147" s="262" t="s">
        <v>1295</v>
      </c>
      <c r="CE1147" s="262" t="s">
        <v>1295</v>
      </c>
      <c r="CF1147" s="262" t="s">
        <v>1295</v>
      </c>
      <c r="CG1147" s="262" t="s">
        <v>1295</v>
      </c>
      <c r="CH1147" s="262" t="s">
        <v>1295</v>
      </c>
      <c r="CI1147" s="262" t="s">
        <v>1295</v>
      </c>
      <c r="CJ1147" s="262" t="s">
        <v>1295</v>
      </c>
      <c r="CK1147" s="263" t="s">
        <v>1295</v>
      </c>
      <c r="CL1147" s="155"/>
    </row>
    <row r="1148" spans="1:90" hidden="1" outlineLevel="1" x14ac:dyDescent="0.3">
      <c r="A1148" s="166"/>
      <c r="B1148" s="93"/>
      <c r="C1148" s="1017"/>
      <c r="D1148" s="1017"/>
      <c r="E1148" s="1017"/>
      <c r="F1148" s="1017"/>
      <c r="G1148" s="1017"/>
      <c r="H1148" s="93"/>
      <c r="I1148" s="93"/>
      <c r="J1148" s="93"/>
      <c r="K1148" s="93"/>
      <c r="L1148" s="93"/>
      <c r="M1148" s="93"/>
      <c r="N1148" s="93"/>
      <c r="O1148" s="93"/>
      <c r="P1148" s="93"/>
      <c r="Q1148" s="93"/>
      <c r="R1148" s="93"/>
      <c r="S1148" s="93"/>
      <c r="T1148" s="93"/>
      <c r="U1148" s="93"/>
      <c r="V1148" s="93"/>
      <c r="W1148" s="93"/>
      <c r="X1148" s="93"/>
      <c r="Y1148" s="93"/>
      <c r="Z1148" s="93"/>
      <c r="AA1148" s="93"/>
      <c r="AB1148" s="93"/>
      <c r="AC1148" s="93"/>
      <c r="AD1148" s="93"/>
      <c r="AE1148" s="93"/>
      <c r="AF1148" s="93"/>
      <c r="AG1148" s="93"/>
      <c r="AH1148" s="93"/>
      <c r="AI1148" s="93"/>
      <c r="AJ1148" s="93"/>
      <c r="AK1148" s="93"/>
      <c r="AL1148" s="93"/>
      <c r="AM1148" s="93"/>
      <c r="AN1148" s="93"/>
      <c r="AO1148" s="93"/>
      <c r="AP1148" s="93"/>
      <c r="AQ1148" s="93"/>
      <c r="AR1148" s="93"/>
      <c r="AS1148" s="93"/>
      <c r="AT1148" s="93"/>
      <c r="AU1148" s="93"/>
      <c r="AV1148" s="93"/>
      <c r="AW1148" s="93"/>
      <c r="AX1148" s="93"/>
      <c r="AY1148" s="93"/>
      <c r="AZ1148" s="93"/>
      <c r="BA1148" s="93"/>
      <c r="BB1148" s="93"/>
      <c r="BC1148" s="93"/>
      <c r="BD1148" s="93"/>
      <c r="BE1148" s="93"/>
      <c r="BF1148" s="93"/>
      <c r="BG1148" s="93"/>
      <c r="BH1148" s="93"/>
      <c r="BI1148" s="93"/>
      <c r="BJ1148" s="93"/>
      <c r="BK1148" s="93"/>
      <c r="BL1148" s="93"/>
      <c r="BM1148" s="93"/>
      <c r="BN1148" s="93"/>
      <c r="BO1148" s="93"/>
      <c r="BP1148" s="93"/>
      <c r="BQ1148" s="93"/>
      <c r="BR1148" s="93"/>
      <c r="BS1148" s="93"/>
      <c r="BT1148" s="93"/>
      <c r="BU1148" s="93"/>
      <c r="BV1148" s="93"/>
      <c r="BW1148" s="93"/>
      <c r="BX1148" s="93"/>
      <c r="BY1148" s="522"/>
      <c r="BZ1148" s="93"/>
      <c r="CA1148" s="93"/>
      <c r="CB1148" s="93"/>
      <c r="CC1148" s="93"/>
      <c r="CD1148" s="93"/>
      <c r="CE1148" s="93"/>
      <c r="CF1148" s="93"/>
      <c r="CG1148" s="93"/>
      <c r="CH1148" s="93"/>
      <c r="CI1148" s="93"/>
      <c r="CJ1148" s="93"/>
      <c r="CK1148" s="162"/>
      <c r="CL1148" s="155"/>
    </row>
    <row r="1149" spans="1:90" collapsed="1" x14ac:dyDescent="0.3">
      <c r="A1149" s="261" t="str">
        <f>"Stock Low: "&amp;IF(OR(MO.RealTimeStockPriceToggle=FALSE,VLOOKUP(MO.DataSourceName,MO_SPT_StockLow_Sources,COLUMN()+2,FALSE)="N/A"),"Real-Time Off Source",MO.DataSourceName)</f>
        <v>Stock Low: Real-Time Off Source</v>
      </c>
      <c r="B1149" s="262"/>
      <c r="C1149" s="1040">
        <f>IF(OR(MO.RealTimeStockPriceToggle=FALSE,VLOOKUP(MO.DataSourceName,MO_SPT_StockLow_Sources,COLUMN(),FALSE)="N/A"),VLOOKUP("Real-Time Off Source",MO_SPT_StockLow_Sources,COLUMN(),FALSE),VLOOKUP(MO.DataSourceName,MO_SPT_StockLow_Sources,COLUMN(),FALSE))</f>
        <v>0.14374999999999999</v>
      </c>
      <c r="D1149" s="1040">
        <f>IF(OR(MO.RealTimeStockPriceToggle=FALSE,VLOOKUP(MO.DataSourceName,MO_SPT_StockLow_Sources,COLUMN(),FALSE)="N/A"),VLOOKUP("Real-Time Off Source",MO_SPT_StockLow_Sources,COLUMN(),FALSE),VLOOKUP(MO.DataSourceName,MO_SPT_StockLow_Sources,COLUMN(),FALSE))</f>
        <v>0.18024999999999999</v>
      </c>
      <c r="E1149" s="1040">
        <f>IF(OR(MO.RealTimeStockPriceToggle=FALSE,VLOOKUP(MO.DataSourceName,MO_SPT_StockLow_Sources,COLUMN(),FALSE)="N/A"),VLOOKUP("Real-Time Off Source",MO_SPT_StockLow_Sources,COLUMN(),FALSE),VLOOKUP(MO.DataSourceName,MO_SPT_StockLow_Sources,COLUMN(),FALSE))</f>
        <v>0.21625</v>
      </c>
      <c r="F1149" s="1040">
        <f>IF(OR(MO.RealTimeStockPriceToggle=FALSE,VLOOKUP(MO.DataSourceName,MO_SPT_StockLow_Sources,COLUMN(),FALSE)="N/A"),VLOOKUP("Real-Time Off Source",MO_SPT_StockLow_Sources,COLUMN(),FALSE),VLOOKUP(MO.DataSourceName,MO_SPT_StockLow_Sources,COLUMN(),FALSE))</f>
        <v>0.28675</v>
      </c>
      <c r="G1149" s="1040">
        <f>IF(OR(MO.RealTimeStockPriceToggle=FALSE,VLOOKUP(MO.DataSourceName,MO_SPT_StockLow_Sources,COLUMN(),FALSE)="N/A"),VLOOKUP("Real-Time Off Source",MO_SPT_StockLow_Sources,COLUMN(),FALSE),VLOOKUP(MO.DataSourceName,MO_SPT_StockLow_Sources,COLUMN(),FALSE))</f>
        <v>0.31874999999999998</v>
      </c>
      <c r="H1149" s="262">
        <f>IF(OR(MO.RealTimeStockPriceToggle=FALSE,VLOOKUP(MO.DataSourceName,MO_SPT_StockLow_Sources,COLUMN(),FALSE)="N/A"),VLOOKUP("Real-Time Off Source",MO_SPT_StockLow_Sources,COLUMN(),FALSE),VLOOKUP(MO.DataSourceName,MO_SPT_StockLow_Sources,COLUMN(),FALSE))</f>
        <v>0.29075000000000001</v>
      </c>
      <c r="I1149" s="262">
        <f>IF(OR(MO.RealTimeStockPriceToggle=FALSE,VLOOKUP(MO.DataSourceName,MO_SPT_StockLow_Sources,COLUMN(),FALSE)="N/A"),VLOOKUP("Real-Time Off Source",MO_SPT_StockLow_Sources,COLUMN(),FALSE),VLOOKUP(MO.DataSourceName,MO_SPT_StockLow_Sources,COLUMN(),FALSE))</f>
        <v>0.29575000000000001</v>
      </c>
      <c r="J1149" s="262">
        <f>IF(OR(MO.RealTimeStockPriceToggle=FALSE,VLOOKUP(MO.DataSourceName,MO_SPT_StockLow_Sources,COLUMN(),FALSE)="N/A"),VLOOKUP("Real-Time Off Source",MO_SPT_StockLow_Sources,COLUMN(),FALSE),VLOOKUP(MO.DataSourceName,MO_SPT_StockLow_Sources,COLUMN(),FALSE))</f>
        <v>0.27875</v>
      </c>
      <c r="K1149" s="262">
        <f>IF(OR(MO.RealTimeStockPriceToggle=FALSE,VLOOKUP(MO.DataSourceName,MO_SPT_StockLow_Sources,COLUMN(),FALSE)="N/A"),VLOOKUP("Real-Time Off Source",MO_SPT_StockLow_Sources,COLUMN(),FALSE),VLOOKUP(MO.DataSourceName,MO_SPT_StockLow_Sources,COLUMN(),FALSE))</f>
        <v>0.27875</v>
      </c>
      <c r="L1149" s="262">
        <f>IF(OR(MO.RealTimeStockPriceToggle=FALSE,VLOOKUP(MO.DataSourceName,MO_SPT_StockLow_Sources,COLUMN(),FALSE)="N/A"),VLOOKUP("Real-Time Off Source",MO_SPT_StockLow_Sources,COLUMN(),FALSE),VLOOKUP(MO.DataSourceName,MO_SPT_StockLow_Sources,COLUMN(),FALSE))</f>
        <v>0.30099999999999999</v>
      </c>
      <c r="M1149" s="262">
        <f>IF(OR(MO.RealTimeStockPriceToggle=FALSE,VLOOKUP(MO.DataSourceName,MO_SPT_StockLow_Sources,COLUMN(),FALSE)="N/A"),VLOOKUP("Real-Time Off Source",MO_SPT_StockLow_Sources,COLUMN(),FALSE),VLOOKUP(MO.DataSourceName,MO_SPT_StockLow_Sources,COLUMN(),FALSE))</f>
        <v>0.33424999999999999</v>
      </c>
      <c r="N1149" s="262">
        <f>IF(OR(MO.RealTimeStockPriceToggle=FALSE,VLOOKUP(MO.DataSourceName,MO_SPT_StockLow_Sources,COLUMN(),FALSE)="N/A"),VLOOKUP("Real-Time Off Source",MO_SPT_StockLow_Sources,COLUMN(),FALSE),VLOOKUP(MO.DataSourceName,MO_SPT_StockLow_Sources,COLUMN(),FALSE))</f>
        <v>0.32774999999999999</v>
      </c>
      <c r="O1149" s="262">
        <f>IF(OR(MO.RealTimeStockPriceToggle=FALSE,VLOOKUP(MO.DataSourceName,MO_SPT_StockLow_Sources,COLUMN(),FALSE)="N/A"),VLOOKUP("Real-Time Off Source",MO_SPT_StockLow_Sources,COLUMN(),FALSE),VLOOKUP(MO.DataSourceName,MO_SPT_StockLow_Sources,COLUMN(),FALSE))</f>
        <v>0.36299999999999999</v>
      </c>
      <c r="P1149" s="262">
        <f>IF(OR(MO.RealTimeStockPriceToggle=FALSE,VLOOKUP(MO.DataSourceName,MO_SPT_StockLow_Sources,COLUMN(),FALSE)="N/A"),VLOOKUP("Real-Time Off Source",MO_SPT_StockLow_Sources,COLUMN(),FALSE),VLOOKUP(MO.DataSourceName,MO_SPT_StockLow_Sources,COLUMN(),FALSE))</f>
        <v>0.30099999999999999</v>
      </c>
      <c r="Q1149" s="262">
        <f>IF(OR(MO.RealTimeStockPriceToggle=FALSE,VLOOKUP(MO.DataSourceName,MO_SPT_StockLow_Sources,COLUMN(),FALSE)="N/A"),VLOOKUP("Real-Time Off Source",MO_SPT_StockLow_Sources,COLUMN(),FALSE),VLOOKUP(MO.DataSourceName,MO_SPT_StockLow_Sources,COLUMN(),FALSE))</f>
        <v>0.38300000000000001</v>
      </c>
      <c r="R1149" s="262">
        <f>IF(OR(MO.RealTimeStockPriceToggle=FALSE,VLOOKUP(MO.DataSourceName,MO_SPT_StockLow_Sources,COLUMN(),FALSE)="N/A"),VLOOKUP("Real-Time Off Source",MO_SPT_StockLow_Sources,COLUMN(),FALSE),VLOOKUP(MO.DataSourceName,MO_SPT_StockLow_Sources,COLUMN(),FALSE))</f>
        <v>0.44275000000000003</v>
      </c>
      <c r="S1149" s="262">
        <f>IF(OR(MO.RealTimeStockPriceToggle=FALSE,VLOOKUP(MO.DataSourceName,MO_SPT_StockLow_Sources,COLUMN(),FALSE)="N/A"),VLOOKUP("Real-Time Off Source",MO_SPT_StockLow_Sources,COLUMN(),FALSE),VLOOKUP(MO.DataSourceName,MO_SPT_StockLow_Sources,COLUMN(),FALSE))</f>
        <v>0.41925000000000001</v>
      </c>
      <c r="T1149" s="262">
        <f>IF(OR(MO.RealTimeStockPriceToggle=FALSE,VLOOKUP(MO.DataSourceName,MO_SPT_StockLow_Sources,COLUMN(),FALSE)="N/A"),VLOOKUP("Real-Time Off Source",MO_SPT_StockLow_Sources,COLUMN(),FALSE),VLOOKUP(MO.DataSourceName,MO_SPT_StockLow_Sources,COLUMN(),FALSE))</f>
        <v>0.45674999999999999</v>
      </c>
      <c r="U1149" s="262">
        <f>IF(OR(MO.RealTimeStockPriceToggle=FALSE,VLOOKUP(MO.DataSourceName,MO_SPT_StockLow_Sources,COLUMN(),FALSE)="N/A"),VLOOKUP("Real-Time Off Source",MO_SPT_StockLow_Sources,COLUMN(),FALSE),VLOOKUP(MO.DataSourceName,MO_SPT_StockLow_Sources,COLUMN(),FALSE))</f>
        <v>0.38300000000000001</v>
      </c>
      <c r="V1149" s="262">
        <f>IF(OR(MO.RealTimeStockPriceToggle=FALSE,VLOOKUP(MO.DataSourceName,MO_SPT_StockLow_Sources,COLUMN(),FALSE)="N/A"),VLOOKUP("Real-Time Off Source",MO_SPT_StockLow_Sources,COLUMN(),FALSE),VLOOKUP(MO.DataSourceName,MO_SPT_StockLow_Sources,COLUMN(),FALSE))</f>
        <v>0.47350000000000003</v>
      </c>
      <c r="W1149" s="262">
        <f>IF(OR(MO.RealTimeStockPriceToggle=FALSE,VLOOKUP(MO.DataSourceName,MO_SPT_StockLow_Sources,COLUMN(),FALSE)="N/A"),VLOOKUP("Real-Time Off Source",MO_SPT_StockLow_Sources,COLUMN(),FALSE),VLOOKUP(MO.DataSourceName,MO_SPT_StockLow_Sources,COLUMN(),FALSE))</f>
        <v>0.47899999999999998</v>
      </c>
      <c r="X1149" s="262">
        <f>IF(OR(MO.RealTimeStockPriceToggle=FALSE,VLOOKUP(MO.DataSourceName,MO_SPT_StockLow_Sources,COLUMN(),FALSE)="N/A"),VLOOKUP("Real-Time Off Source",MO_SPT_StockLow_Sources,COLUMN(),FALSE),VLOOKUP(MO.DataSourceName,MO_SPT_StockLow_Sources,COLUMN(),FALSE))</f>
        <v>0.47725000000000001</v>
      </c>
      <c r="Y1149" s="262">
        <f>IF(OR(MO.RealTimeStockPriceToggle=FALSE,VLOOKUP(MO.DataSourceName,MO_SPT_StockLow_Sources,COLUMN(),FALSE)="N/A"),VLOOKUP("Real-Time Off Source",MO_SPT_StockLow_Sources,COLUMN(),FALSE),VLOOKUP(MO.DataSourceName,MO_SPT_StockLow_Sources,COLUMN(),FALSE))</f>
        <v>0.66125</v>
      </c>
      <c r="Z1149" s="262">
        <f>IF(OR(MO.RealTimeStockPriceToggle=FALSE,VLOOKUP(MO.DataSourceName,MO_SPT_StockLow_Sources,COLUMN(),FALSE)="N/A"),VLOOKUP("Real-Time Off Source",MO_SPT_StockLow_Sources,COLUMN(),FALSE),VLOOKUP(MO.DataSourceName,MO_SPT_StockLow_Sources,COLUMN(),FALSE))</f>
        <v>0.47350000000000003</v>
      </c>
      <c r="AA1149" s="262">
        <f>IF(OR(MO.RealTimeStockPriceToggle=FALSE,VLOOKUP(MO.DataSourceName,MO_SPT_StockLow_Sources,COLUMN(),FALSE)="N/A"),VLOOKUP("Real-Time Off Source",MO_SPT_StockLow_Sources,COLUMN(),FALSE),VLOOKUP(MO.DataSourceName,MO_SPT_StockLow_Sources,COLUMN(),FALSE))</f>
        <v>0.61875000000000002</v>
      </c>
      <c r="AB1149" s="262">
        <f>IF(OR(MO.RealTimeStockPriceToggle=FALSE,VLOOKUP(MO.DataSourceName,MO_SPT_StockLow_Sources,COLUMN(),FALSE)="N/A"),VLOOKUP("Real-Time Off Source",MO_SPT_StockLow_Sources,COLUMN(),FALSE),VLOOKUP(MO.DataSourceName,MO_SPT_StockLow_Sources,COLUMN(),FALSE))</f>
        <v>0.86</v>
      </c>
      <c r="AC1149" s="262">
        <f>IF(OR(MO.RealTimeStockPriceToggle=FALSE,VLOOKUP(MO.DataSourceName,MO_SPT_StockLow_Sources,COLUMN(),FALSE)="N/A"),VLOOKUP("Real-Time Off Source",MO_SPT_StockLow_Sources,COLUMN(),FALSE),VLOOKUP(MO.DataSourceName,MO_SPT_StockLow_Sources,COLUMN(),FALSE))</f>
        <v>1.3875</v>
      </c>
      <c r="AD1149" s="262">
        <f>IF(OR(MO.RealTimeStockPriceToggle=FALSE,VLOOKUP(MO.DataSourceName,MO_SPT_StockLow_Sources,COLUMN(),FALSE)="N/A"),VLOOKUP("Real-Time Off Source",MO_SPT_StockLow_Sources,COLUMN(),FALSE),VLOOKUP(MO.DataSourceName,MO_SPT_StockLow_Sources,COLUMN(),FALSE))</f>
        <v>1.6644999999999999</v>
      </c>
      <c r="AE1149" s="262">
        <f>IF(OR(MO.RealTimeStockPriceToggle=FALSE,VLOOKUP(MO.DataSourceName,MO_SPT_StockLow_Sources,COLUMN(),FALSE)="N/A"),VLOOKUP("Real-Time Off Source",MO_SPT_StockLow_Sources,COLUMN(),FALSE),VLOOKUP(MO.DataSourceName,MO_SPT_StockLow_Sources,COLUMN(),FALSE))</f>
        <v>0.61875000000000002</v>
      </c>
      <c r="AF1149" s="262">
        <f>IF(OR(MO.RealTimeStockPriceToggle=FALSE,VLOOKUP(MO.DataSourceName,MO_SPT_StockLow_Sources,COLUMN(),FALSE)="N/A"),VLOOKUP("Real-Time Off Source",MO_SPT_StockLow_Sources,COLUMN(),FALSE),VLOOKUP(MO.DataSourceName,MO_SPT_StockLow_Sources,COLUMN(),FALSE))</f>
        <v>2.3792499999999999</v>
      </c>
      <c r="AG1149" s="262">
        <f>IF(OR(MO.RealTimeStockPriceToggle=FALSE,VLOOKUP(MO.DataSourceName,MO_SPT_StockLow_Sources,COLUMN(),FALSE)="N/A"),VLOOKUP("Real-Time Off Source",MO_SPT_StockLow_Sources,COLUMN(),FALSE),VLOOKUP(MO.DataSourceName,MO_SPT_StockLow_Sources,COLUMN(),FALSE))</f>
        <v>2.55775</v>
      </c>
      <c r="AH1149" s="262">
        <f>IF(OR(MO.RealTimeStockPriceToggle=FALSE,VLOOKUP(MO.DataSourceName,MO_SPT_StockLow_Sources,COLUMN(),FALSE)="N/A"),VLOOKUP("Real-Time Off Source",MO_SPT_StockLow_Sources,COLUMN(),FALSE),VLOOKUP(MO.DataSourceName,MO_SPT_StockLow_Sources,COLUMN(),FALSE))</f>
        <v>3.84775</v>
      </c>
      <c r="AI1149" s="262">
        <f>IF(OR(MO.RealTimeStockPriceToggle=FALSE,VLOOKUP(MO.DataSourceName,MO_SPT_StockLow_Sources,COLUMN(),FALSE)="N/A"),VLOOKUP("Real-Time Off Source",MO_SPT_StockLow_Sources,COLUMN(),FALSE),VLOOKUP(MO.DataSourceName,MO_SPT_StockLow_Sources,COLUMN(),FALSE))</f>
        <v>4.5145</v>
      </c>
      <c r="AJ1149" s="262">
        <f>IF(OR(MO.RealTimeStockPriceToggle=FALSE,VLOOKUP(MO.DataSourceName,MO_SPT_StockLow_Sources,COLUMN(),FALSE)="N/A"),VLOOKUP("Real-Time Off Source",MO_SPT_StockLow_Sources,COLUMN(),FALSE),VLOOKUP(MO.DataSourceName,MO_SPT_StockLow_Sources,COLUMN(),FALSE))</f>
        <v>2.3792499999999999</v>
      </c>
      <c r="AK1149" s="262">
        <f>IF(OR(MO.RealTimeStockPriceToggle=FALSE,VLOOKUP(MO.DataSourceName,MO_SPT_StockLow_Sources,COLUMN(),FALSE)="N/A"),VLOOKUP("Real-Time Off Source",MO_SPT_StockLow_Sources,COLUMN(),FALSE),VLOOKUP(MO.DataSourceName,MO_SPT_StockLow_Sources,COLUMN(),FALSE))</f>
        <v>5.3276300000000001</v>
      </c>
      <c r="AL1149" s="262">
        <f>IF(OR(MO.RealTimeStockPriceToggle=FALSE,VLOOKUP(MO.DataSourceName,MO_SPT_StockLow_Sources,COLUMN(),FALSE)="N/A"),VLOOKUP("Real-Time Off Source",MO_SPT_StockLow_Sources,COLUMN(),FALSE),VLOOKUP(MO.DataSourceName,MO_SPT_StockLow_Sources,COLUMN(),FALSE))</f>
        <v>5.6455099999999998</v>
      </c>
      <c r="AM1149" s="262">
        <f>IF(OR(MO.RealTimeStockPriceToggle=FALSE,VLOOKUP(MO.DataSourceName,MO_SPT_StockLow_Sources,COLUMN(),FALSE)="N/A"),VLOOKUP("Real-Time Off Source",MO_SPT_StockLow_Sources,COLUMN(),FALSE),VLOOKUP(MO.DataSourceName,MO_SPT_StockLow_Sources,COLUMN(),FALSE))</f>
        <v>4.6358600000000001</v>
      </c>
      <c r="AN1149" s="262">
        <f>IF(OR(MO.RealTimeStockPriceToggle=FALSE,VLOOKUP(MO.DataSourceName,MO_SPT_StockLow_Sources,COLUMN(),FALSE)="N/A"),VLOOKUP("Real-Time Off Source",MO_SPT_StockLow_Sources,COLUMN(),FALSE),VLOOKUP(MO.DataSourceName,MO_SPT_StockLow_Sources,COLUMN(),FALSE))</f>
        <v>3.177</v>
      </c>
      <c r="AO1149" s="262">
        <f>IF(OR(MO.RealTimeStockPriceToggle=FALSE,VLOOKUP(MO.DataSourceName,MO_SPT_StockLow_Sources,COLUMN(),FALSE)="N/A"),VLOOKUP("Real-Time Off Source",MO_SPT_StockLow_Sources,COLUMN(),FALSE),VLOOKUP(MO.DataSourceName,MO_SPT_StockLow_Sources,COLUMN(),FALSE))</f>
        <v>3.177</v>
      </c>
      <c r="AP1149" s="262">
        <f>IF(OR(MO.RealTimeStockPriceToggle=FALSE,VLOOKUP(MO.DataSourceName,MO_SPT_StockLow_Sources,COLUMN(),FALSE)="N/A"),VLOOKUP("Real-Time Off Source",MO_SPT_StockLow_Sources,COLUMN(),FALSE),VLOOKUP(MO.DataSourceName,MO_SPT_StockLow_Sources,COLUMN(),FALSE))</f>
        <v>3.6182499999999997</v>
      </c>
      <c r="AQ1149" s="262">
        <f>IF(OR(MO.RealTimeStockPriceToggle=FALSE,VLOOKUP(MO.DataSourceName,MO_SPT_StockLow_Sources,COLUMN(),FALSE)="N/A"),VLOOKUP("Real-Time Off Source",MO_SPT_StockLow_Sources,COLUMN(),FALSE),VLOOKUP(MO.DataSourceName,MO_SPT_StockLow_Sources,COLUMN(),FALSE))</f>
        <v>3.3445</v>
      </c>
      <c r="AR1149" s="262">
        <f>IF(OR(MO.RealTimeStockPriceToggle=FALSE,VLOOKUP(MO.DataSourceName,MO_SPT_StockLow_Sources,COLUMN(),FALSE)="N/A"),VLOOKUP("Real-Time Off Source",MO_SPT_StockLow_Sources,COLUMN(),FALSE),VLOOKUP(MO.DataSourceName,MO_SPT_StockLow_Sources,COLUMN(),FALSE))</f>
        <v>3.7192500000000002</v>
      </c>
      <c r="AS1149" s="262">
        <f>IF(OR(MO.RealTimeStockPriceToggle=FALSE,VLOOKUP(MO.DataSourceName,MO_SPT_StockLow_Sources,COLUMN(),FALSE)="N/A"),VLOOKUP("Real-Time Off Source",MO_SPT_StockLow_Sources,COLUMN(),FALSE),VLOOKUP(MO.DataSourceName,MO_SPT_StockLow_Sources,COLUMN(),FALSE))</f>
        <v>5.0647500000000001</v>
      </c>
      <c r="AT1149" s="262">
        <f>IF(OR(MO.RealTimeStockPriceToggle=FALSE,VLOOKUP(MO.DataSourceName,MO_SPT_StockLow_Sources,COLUMN(),FALSE)="N/A"),VLOOKUP("Real-Time Off Source",MO_SPT_StockLow_Sources,COLUMN(),FALSE),VLOOKUP(MO.DataSourceName,MO_SPT_StockLow_Sources,COLUMN(),FALSE))</f>
        <v>3.3445</v>
      </c>
      <c r="AU1149" s="262">
        <f>IF(OR(MO.RealTimeStockPriceToggle=FALSE,VLOOKUP(MO.DataSourceName,MO_SPT_StockLow_Sources,COLUMN(),FALSE)="N/A"),VLOOKUP("Real-Time Off Source",MO_SPT_StockLow_Sources,COLUMN(),FALSE),VLOOKUP(MO.DataSourceName,MO_SPT_StockLow_Sources,COLUMN(),FALSE))</f>
        <v>4.91</v>
      </c>
      <c r="AV1149" s="262">
        <f>IF(OR(MO.RealTimeStockPriceToggle=FALSE,VLOOKUP(MO.DataSourceName,MO_SPT_StockLow_Sources,COLUMN(),FALSE)="N/A"),VLOOKUP("Real-Time Off Source",MO_SPT_StockLow_Sources,COLUMN(),FALSE),VLOOKUP(MO.DataSourceName,MO_SPT_StockLow_Sources,COLUMN(),FALSE))</f>
        <v>7.0694999999999997</v>
      </c>
      <c r="AW1149" s="262">
        <f>IF(OR(MO.RealTimeStockPriceToggle=FALSE,VLOOKUP(MO.DataSourceName,MO_SPT_StockLow_Sources,COLUMN(),FALSE)="N/A"),VLOOKUP("Real-Time Off Source",MO_SPT_StockLow_Sources,COLUMN(),FALSE),VLOOKUP(MO.DataSourceName,MO_SPT_StockLow_Sources,COLUMN(),FALSE))</f>
        <v>10.85</v>
      </c>
      <c r="AX1149" s="262">
        <f>IF(OR(MO.RealTimeStockPriceToggle=FALSE,VLOOKUP(MO.DataSourceName,MO_SPT_StockLow_Sources,COLUMN(),FALSE)="N/A"),VLOOKUP("Real-Time Off Source",MO_SPT_StockLow_Sources,COLUMN(),FALSE),VLOOKUP(MO.DataSourceName,MO_SPT_StockLow_Sources,COLUMN(),FALSE))</f>
        <v>12.58075</v>
      </c>
      <c r="AY1149" s="262">
        <f>IF(OR(MO.RealTimeStockPriceToggle=FALSE,VLOOKUP(MO.DataSourceName,MO_SPT_StockLow_Sources,COLUMN(),FALSE)="N/A"),VLOOKUP("Real-Time Off Source",MO_SPT_StockLow_Sources,COLUMN(),FALSE),VLOOKUP(MO.DataSourceName,MO_SPT_StockLow_Sources,COLUMN(),FALSE))</f>
        <v>4.91</v>
      </c>
      <c r="AZ1149" s="262">
        <f>IF(OR(MO.RealTimeStockPriceToggle=FALSE,VLOOKUP(MO.DataSourceName,MO_SPT_StockLow_Sources,COLUMN(),FALSE)="N/A"),VLOOKUP("Real-Time Off Source",MO_SPT_StockLow_Sources,COLUMN(),FALSE),VLOOKUP(MO.DataSourceName,MO_SPT_StockLow_Sources,COLUMN(),FALSE))</f>
        <v>11.593250000000001</v>
      </c>
      <c r="BA1149" s="262">
        <f>IF(OR(MO.RealTimeStockPriceToggle=FALSE,VLOOKUP(MO.DataSourceName,MO_SPT_StockLow_Sources,COLUMN(),FALSE)="N/A"),VLOOKUP("Real-Time Off Source",MO_SPT_StockLow_Sources,COLUMN(),FALSE),VLOOKUP(MO.DataSourceName,MO_SPT_StockLow_Sources,COLUMN(),FALSE))</f>
        <v>13.66525</v>
      </c>
      <c r="BB1149" s="262">
        <f>IF(OR(MO.RealTimeStockPriceToggle=FALSE,VLOOKUP(MO.DataSourceName,MO_SPT_StockLow_Sources,COLUMN(),FALSE)="N/A"),VLOOKUP("Real-Time Off Source",MO_SPT_StockLow_Sources,COLUMN(),FALSE),VLOOKUP(MO.DataSourceName,MO_SPT_StockLow_Sources,COLUMN(),FALSE))</f>
        <v>19.04</v>
      </c>
      <c r="BC1149" s="262">
        <f>IF(OR(MO.RealTimeStockPriceToggle=FALSE,VLOOKUP(MO.DataSourceName,MO_SPT_StockLow_Sources,COLUMN(),FALSE)="N/A"),VLOOKUP("Real-Time Off Source",MO_SPT_StockLow_Sources,COLUMN(),FALSE),VLOOKUP(MO.DataSourceName,MO_SPT_StockLow_Sources,COLUMN(),FALSE))</f>
        <v>21.943999999999999</v>
      </c>
      <c r="BD1149" s="262">
        <f>IF(OR(MO.RealTimeStockPriceToggle=FALSE,VLOOKUP(MO.DataSourceName,MO_SPT_StockLow_Sources,COLUMN(),FALSE)="N/A"),VLOOKUP("Real-Time Off Source",MO_SPT_StockLow_Sources,COLUMN(),FALSE),VLOOKUP(MO.DataSourceName,MO_SPT_StockLow_Sources,COLUMN(),FALSE))</f>
        <v>11.593250000000001</v>
      </c>
      <c r="BE1149" s="262">
        <f>IF(OR(MO.RealTimeStockPriceToggle=FALSE,VLOOKUP(MO.DataSourceName,MO_SPT_StockLow_Sources,COLUMN(),FALSE)="N/A"),VLOOKUP("Real-Time Off Source",MO_SPT_StockLow_Sources,COLUMN(),FALSE),VLOOKUP(MO.DataSourceName,MO_SPT_StockLow_Sources,COLUMN(),FALSE))</f>
        <v>18.414999999999999</v>
      </c>
      <c r="BF1149" s="262">
        <f>IF(OR(MO.RealTimeStockPriceToggle=FALSE,VLOOKUP(MO.DataSourceName,MO_SPT_StockLow_Sources,COLUMN(),FALSE)="N/A"),VLOOKUP("Real-Time Off Source",MO_SPT_StockLow_Sources,COLUMN(),FALSE),VLOOKUP(MO.DataSourceName,MO_SPT_StockLow_Sources,COLUMN(),FALSE))</f>
        <v>14.523</v>
      </c>
      <c r="BG1149" s="262">
        <f>IF(OR(MO.RealTimeStockPriceToggle=FALSE,VLOOKUP(MO.DataSourceName,MO_SPT_StockLow_Sources,COLUMN(),FALSE)="N/A"),VLOOKUP("Real-Time Off Source",MO_SPT_StockLow_Sources,COLUMN(),FALSE),VLOOKUP(MO.DataSourceName,MO_SPT_StockLow_Sources,COLUMN(),FALSE))</f>
        <v>11.227</v>
      </c>
      <c r="BH1149" s="262">
        <f>IF(OR(MO.RealTimeStockPriceToggle=FALSE,VLOOKUP(MO.DataSourceName,MO_SPT_StockLow_Sources,COLUMN(),FALSE)="N/A"),VLOOKUP("Real-Time Off Source",MO_SPT_StockLow_Sources,COLUMN(),FALSE),VLOOKUP(MO.DataSourceName,MO_SPT_StockLow_Sources,COLUMN(),FALSE))</f>
        <v>13.218999999999999</v>
      </c>
      <c r="BI1149" s="262">
        <f>IF(OR(MO.RealTimeStockPriceToggle=FALSE,VLOOKUP(MO.DataSourceName,MO_SPT_StockLow_Sources,COLUMN(),FALSE)="N/A"),VLOOKUP("Real-Time Off Source",MO_SPT_StockLow_Sources,COLUMN(),FALSE),VLOOKUP(MO.DataSourceName,MO_SPT_StockLow_Sources,COLUMN(),FALSE))</f>
        <v>11.227</v>
      </c>
      <c r="BJ1149" s="262">
        <f>IF(OR(MO.RealTimeStockPriceToggle=FALSE,VLOOKUP(MO.DataSourceName,MO_SPT_StockLow_Sources,COLUMN(),FALSE)="N/A"),VLOOKUP("Real-Time Off Source",MO_SPT_StockLow_Sources,COLUMN(),FALSE),VLOOKUP(MO.DataSourceName,MO_SPT_StockLow_Sources,COLUMN(),FALSE))</f>
        <v>20.655000000000001</v>
      </c>
      <c r="BK1149" s="262">
        <f>IF(OR(MO.RealTimeStockPriceToggle=FALSE,VLOOKUP(MO.DataSourceName,MO_SPT_StockLow_Sources,COLUMN(),FALSE)="N/A"),VLOOKUP("Real-Time Off Source",MO_SPT_StockLow_Sources,COLUMN(),FALSE),VLOOKUP(MO.DataSourceName,MO_SPT_StockLow_Sources,COLUMN(),FALSE))</f>
        <v>27.562000000000001</v>
      </c>
      <c r="BL1149" s="262">
        <f>IF(OR(MO.RealTimeStockPriceToggle=FALSE,VLOOKUP(MO.DataSourceName,MO_SPT_StockLow_Sources,COLUMN(),FALSE)="N/A"),VLOOKUP("Real-Time Off Source",MO_SPT_StockLow_Sources,COLUMN(),FALSE),VLOOKUP(MO.DataSourceName,MO_SPT_StockLow_Sources,COLUMN(),FALSE))</f>
        <v>40.326000000000001</v>
      </c>
      <c r="BM1149" s="262">
        <f>IF(OR(MO.RealTimeStockPriceToggle=FALSE,VLOOKUP(MO.DataSourceName,MO_SPT_StockLow_Sources,COLUMN(),FALSE)="N/A"),VLOOKUP("Real-Time Off Source",MO_SPT_StockLow_Sources,COLUMN(),FALSE),VLOOKUP(MO.DataSourceName,MO_SPT_StockLow_Sources,COLUMN(),FALSE))</f>
        <v>40.78</v>
      </c>
      <c r="BN1149" s="262">
        <f>IF(OR(MO.RealTimeStockPriceToggle=FALSE,VLOOKUP(MO.DataSourceName,MO_SPT_StockLow_Sources,COLUMN(),FALSE)="N/A"),VLOOKUP("Real-Time Off Source",MO_SPT_StockLow_Sources,COLUMN(),FALSE),VLOOKUP(MO.DataSourceName,MO_SPT_StockLow_Sources,COLUMN(),FALSE))</f>
        <v>19.161999999999999</v>
      </c>
      <c r="BO1149" s="262">
        <f>IF(OR(MO.RealTimeStockPriceToggle=FALSE,VLOOKUP(MO.DataSourceName,MO_SPT_StockLow_Sources,COLUMN(),FALSE)="N/A"),VLOOKUP("Real-Time Off Source",MO_SPT_StockLow_Sources,COLUMN(),FALSE),VLOOKUP(MO.DataSourceName,MO_SPT_StockLow_Sources,COLUMN(),FALSE))</f>
        <v>61.527000000000001</v>
      </c>
      <c r="BP1149" s="262">
        <f>IF(OR(MO.RealTimeStockPriceToggle=FALSE,VLOOKUP(MO.DataSourceName,MO_SPT_StockLow_Sources,COLUMN(),FALSE)="N/A"),VLOOKUP("Real-Time Off Source",MO_SPT_StockLow_Sources,COLUMN(),FALSE),VLOOKUP(MO.DataSourceName,MO_SPT_StockLow_Sources,COLUMN(),FALSE))</f>
        <v>83.040999999999997</v>
      </c>
      <c r="BQ1149" s="262">
        <f>IF(OR(MO.RealTimeStockPriceToggle=FALSE,VLOOKUP(MO.DataSourceName,MO_SPT_StockLow_Sources,COLUMN(),FALSE)="N/A"),VLOOKUP("Real-Time Off Source",MO_SPT_StockLow_Sources,COLUMN(),FALSE),VLOOKUP(MO.DataSourceName,MO_SPT_StockLow_Sources,COLUMN(),FALSE))</f>
        <v>98.91</v>
      </c>
      <c r="BR1149" s="262">
        <f>IF(OR(MO.RealTimeStockPriceToggle=FALSE,VLOOKUP(MO.DataSourceName,MO_SPT_StockLow_Sources,COLUMN(),FALSE)="N/A"),VLOOKUP("Real-Time Off Source",MO_SPT_StockLow_Sources,COLUMN(),FALSE),VLOOKUP(MO.DataSourceName,MO_SPT_StockLow_Sources,COLUMN(),FALSE))</f>
        <v>128.91</v>
      </c>
      <c r="BS1149" s="262">
        <f>IF(OR(MO.RealTimeStockPriceToggle=FALSE,VLOOKUP(MO.DataSourceName,MO_SPT_StockLow_Sources,COLUMN(),FALSE)="N/A"),VLOOKUP("Real-Time Off Source",MO_SPT_StockLow_Sources,COLUMN(),FALSE),VLOOKUP(MO.DataSourceName,MO_SPT_StockLow_Sources,COLUMN(),FALSE))</f>
        <v>61.527000000000001</v>
      </c>
      <c r="BT1149" s="262">
        <f>IF(OR(MO.RealTimeStockPriceToggle=FALSE,VLOOKUP(MO.DataSourceName,MO_SPT_StockLow_Sources,COLUMN(),FALSE)="N/A"),VLOOKUP("Real-Time Off Source",MO_SPT_StockLow_Sources,COLUMN(),FALSE),VLOOKUP(MO.DataSourceName,MO_SPT_StockLow_Sources,COLUMN(),FALSE))</f>
        <v>61.527000000000001</v>
      </c>
      <c r="BU1149" s="262">
        <f>IF(OR(MO.RealTimeStockPriceToggle=FALSE,VLOOKUP(MO.DataSourceName,MO_SPT_StockLow_Sources,COLUMN(),FALSE)="N/A"),VLOOKUP("Real-Time Off Source",MO_SPT_StockLow_Sources,COLUMN(),FALSE),VLOOKUP(MO.DataSourceName,MO_SPT_StockLow_Sources,COLUMN(),FALSE))</f>
        <v>108.73</v>
      </c>
      <c r="BV1149" s="262">
        <f>IF(OR(MO.RealTimeStockPriceToggle=FALSE,VLOOKUP(MO.DataSourceName,MO_SPT_StockLow_Sources,COLUMN(),FALSE)="N/A"),VLOOKUP("Real-Time Off Source",MO_SPT_StockLow_Sources,COLUMN(),FALSE),VLOOKUP(MO.DataSourceName,MO_SPT_StockLow_Sources,COLUMN(),FALSE))</f>
        <v>167.02</v>
      </c>
      <c r="BW1149" s="262">
        <f>IF(OR(MO.RealTimeStockPriceToggle=FALSE,VLOOKUP(MO.DataSourceName,MO_SPT_StockLow_Sources,COLUMN(),FALSE)="N/A"),VLOOKUP("Real-Time Off Source",MO_SPT_StockLow_Sources,COLUMN(),FALSE),VLOOKUP(MO.DataSourceName,MO_SPT_StockLow_Sources,COLUMN(),FALSE))</f>
        <v>170.94</v>
      </c>
      <c r="BX1149" s="262">
        <f>IF(OR(MO.RealTimeStockPriceToggle=FALSE,VLOOKUP(MO.DataSourceName,MO_SPT_StockLow_Sources,COLUMN(),FALSE)="N/A"),VLOOKUP("Real-Time Off Source",MO_SPT_StockLow_Sources,COLUMN(),FALSE),VLOOKUP(MO.DataSourceName,MO_SPT_StockLow_Sources,COLUMN(),FALSE))</f>
        <v>94.31</v>
      </c>
      <c r="BY1149" s="531">
        <f>IF(OR(MO.RealTimeStockPriceToggle=FALSE,VLOOKUP(MO.DataSourceName,MO_SPT_StockLow_Sources,COLUMN(),FALSE)="N/A"),VLOOKUP("Real-Time Off Source",MO_SPT_StockLow_Sources,COLUMN(),FALSE),VLOOKUP(MO.DataSourceName,MO_SPT_StockLow_Sources,COLUMN(),FALSE))</f>
        <v>165.17</v>
      </c>
      <c r="BZ1149" s="262">
        <f>IF(OR(MO.RealTimeStockPriceToggle=FALSE,VLOOKUP(MO.DataSourceName,MO_SPT_StockLow_Sources,COLUMN(),FALSE)="N/A"),VLOOKUP("Real-Time Off Source",MO_SPT_StockLow_Sources,COLUMN(),FALSE),VLOOKUP(MO.DataSourceName,MO_SPT_StockLow_Sources,COLUMN(),FALSE))</f>
        <v>0</v>
      </c>
      <c r="CA1149" s="262">
        <f>IF(OR(MO.RealTimeStockPriceToggle=FALSE,VLOOKUP(MO.DataSourceName,MO_SPT_StockLow_Sources,COLUMN(),FALSE)="N/A"),VLOOKUP("Real-Time Off Source",MO_SPT_StockLow_Sources,COLUMN(),FALSE),VLOOKUP(MO.DataSourceName,MO_SPT_StockLow_Sources,COLUMN(),FALSE))</f>
        <v>0</v>
      </c>
      <c r="CB1149" s="262">
        <f>IF(OR(MO.RealTimeStockPriceToggle=FALSE,VLOOKUP(MO.DataSourceName,MO_SPT_StockLow_Sources,COLUMN(),FALSE)="N/A"),VLOOKUP("Real-Time Off Source",MO_SPT_StockLow_Sources,COLUMN(),FALSE),VLOOKUP(MO.DataSourceName,MO_SPT_StockLow_Sources,COLUMN(),FALSE))</f>
        <v>0</v>
      </c>
      <c r="CC1149" s="262">
        <f>IF(OR(MO.RealTimeStockPriceToggle=FALSE,VLOOKUP(MO.DataSourceName,MO_SPT_StockLow_Sources,COLUMN(),FALSE)="N/A"),VLOOKUP("Real-Time Off Source",MO_SPT_StockLow_Sources,COLUMN(),FALSE),VLOOKUP(MO.DataSourceName,MO_SPT_StockLow_Sources,COLUMN(),FALSE))</f>
        <v>0</v>
      </c>
      <c r="CD1149" s="262">
        <f>IF(OR(MO.RealTimeStockPriceToggle=FALSE,VLOOKUP(MO.DataSourceName,MO_SPT_StockLow_Sources,COLUMN(),FALSE)="N/A"),VLOOKUP("Real-Time Off Source",MO_SPT_StockLow_Sources,COLUMN(),FALSE),VLOOKUP(MO.DataSourceName,MO_SPT_StockLow_Sources,COLUMN(),FALSE))</f>
        <v>0</v>
      </c>
      <c r="CE1149" s="262">
        <f>IF(OR(MO.RealTimeStockPriceToggle=FALSE,VLOOKUP(MO.DataSourceName,MO_SPT_StockLow_Sources,COLUMN(),FALSE)="N/A"),VLOOKUP("Real-Time Off Source",MO_SPT_StockLow_Sources,COLUMN(),FALSE),VLOOKUP(MO.DataSourceName,MO_SPT_StockLow_Sources,COLUMN(),FALSE))</f>
        <v>0</v>
      </c>
      <c r="CF1149" s="262">
        <f>IF(OR(MO.RealTimeStockPriceToggle=FALSE,VLOOKUP(MO.DataSourceName,MO_SPT_StockLow_Sources,COLUMN(),FALSE)="N/A"),VLOOKUP("Real-Time Off Source",MO_SPT_StockLow_Sources,COLUMN(),FALSE),VLOOKUP(MO.DataSourceName,MO_SPT_StockLow_Sources,COLUMN(),FALSE))</f>
        <v>0</v>
      </c>
      <c r="CG1149" s="262">
        <f>IF(OR(MO.RealTimeStockPriceToggle=FALSE,VLOOKUP(MO.DataSourceName,MO_SPT_StockLow_Sources,COLUMN(),FALSE)="N/A"),VLOOKUP("Real-Time Off Source",MO_SPT_StockLow_Sources,COLUMN(),FALSE),VLOOKUP(MO.DataSourceName,MO_SPT_StockLow_Sources,COLUMN(),FALSE))</f>
        <v>0</v>
      </c>
      <c r="CH1149" s="262">
        <f>IF(OR(MO.RealTimeStockPriceToggle=FALSE,VLOOKUP(MO.DataSourceName,MO_SPT_StockLow_Sources,COLUMN(),FALSE)="N/A"),VLOOKUP("Real-Time Off Source",MO_SPT_StockLow_Sources,COLUMN(),FALSE),VLOOKUP(MO.DataSourceName,MO_SPT_StockLow_Sources,COLUMN(),FALSE))</f>
        <v>0</v>
      </c>
      <c r="CI1149" s="262">
        <f>IF(OR(MO.RealTimeStockPriceToggle=FALSE,VLOOKUP(MO.DataSourceName,MO_SPT_StockLow_Sources,COLUMN(),FALSE)="N/A"),VLOOKUP("Real-Time Off Source",MO_SPT_StockLow_Sources,COLUMN(),FALSE),VLOOKUP(MO.DataSourceName,MO_SPT_StockLow_Sources,COLUMN(),FALSE))</f>
        <v>0</v>
      </c>
      <c r="CJ1149" s="262">
        <f>IF(OR(MO.RealTimeStockPriceToggle=FALSE,VLOOKUP(MO.DataSourceName,MO_SPT_StockLow_Sources,COLUMN(),FALSE)="N/A"),VLOOKUP("Real-Time Off Source",MO_SPT_StockLow_Sources,COLUMN(),FALSE),VLOOKUP(MO.DataSourceName,MO_SPT_StockLow_Sources,COLUMN(),FALSE))</f>
        <v>0</v>
      </c>
      <c r="CK1149" s="263">
        <f>IF(OR(MO.RealTimeStockPriceToggle=FALSE,VLOOKUP(MO.DataSourceName,MO_SPT_StockLow_Sources,COLUMN(),FALSE)="N/A"),VLOOKUP("Real-Time Off Source",MO_SPT_StockLow_Sources,COLUMN(),FALSE),VLOOKUP(MO.DataSourceName,MO_SPT_StockLow_Sources,COLUMN(),FALSE))</f>
        <v>0</v>
      </c>
      <c r="CL1149" s="155"/>
    </row>
    <row r="1150" spans="1:90" hidden="1" outlineLevel="1" x14ac:dyDescent="0.3">
      <c r="A1150" s="264" t="s">
        <v>268</v>
      </c>
      <c r="B1150" s="262"/>
      <c r="C1150" s="1095">
        <f>(5.75/(4))/(10)</f>
        <v>0.14374999999999999</v>
      </c>
      <c r="D1150" s="1095">
        <f>(7.21/(4))/(10)</f>
        <v>0.18024999999999999</v>
      </c>
      <c r="E1150" s="1095">
        <f>(8.65/(4))/(10)</f>
        <v>0.21625</v>
      </c>
      <c r="F1150" s="1095">
        <f>(11.47/(4))/(10)</f>
        <v>0.28675</v>
      </c>
      <c r="G1150" s="1095">
        <f>(12.75/(4))/(10)</f>
        <v>0.31874999999999998</v>
      </c>
      <c r="H1150" s="1096">
        <f>(11.63/(4))/(10)</f>
        <v>0.29075000000000001</v>
      </c>
      <c r="I1150" s="1096">
        <f>(11.83/(4))/(10)</f>
        <v>0.29575000000000001</v>
      </c>
      <c r="J1150" s="1096">
        <f>(11.15/(4))/(10)</f>
        <v>0.27875</v>
      </c>
      <c r="K1150" s="1096">
        <f>(11.15/(4))/(10)</f>
        <v>0.27875</v>
      </c>
      <c r="L1150" s="1096">
        <f>(12.04/(4))/(10)</f>
        <v>0.30099999999999999</v>
      </c>
      <c r="M1150" s="1096">
        <f>(13.37/(4))/(10)</f>
        <v>0.33424999999999999</v>
      </c>
      <c r="N1150" s="1096">
        <f>(13.11/(4))/(10)</f>
        <v>0.32774999999999999</v>
      </c>
      <c r="O1150" s="1096">
        <f>(14.52/(4))/(10)</f>
        <v>0.36299999999999999</v>
      </c>
      <c r="P1150" s="1096">
        <f>(12.04/(4))/(10)</f>
        <v>0.30099999999999999</v>
      </c>
      <c r="Q1150" s="1096">
        <f>(15.32/(4))/(10)</f>
        <v>0.38300000000000001</v>
      </c>
      <c r="R1150" s="1096">
        <f>(17.71/(4))/(10)</f>
        <v>0.44275000000000003</v>
      </c>
      <c r="S1150" s="1096">
        <f>(16.77/(4))/(10)</f>
        <v>0.41925000000000001</v>
      </c>
      <c r="T1150" s="1096">
        <f>(18.27/(4))/(10)</f>
        <v>0.45674999999999999</v>
      </c>
      <c r="U1150" s="1096">
        <f>(15.32/(4))/(10)</f>
        <v>0.38300000000000001</v>
      </c>
      <c r="V1150" s="1096">
        <f>(18.94/(4))/(10)</f>
        <v>0.47350000000000003</v>
      </c>
      <c r="W1150" s="1096">
        <f>(19.16/(4))/(10)</f>
        <v>0.47899999999999998</v>
      </c>
      <c r="X1150" s="1096">
        <f>(19.09/(4))/(10)</f>
        <v>0.47725000000000001</v>
      </c>
      <c r="Y1150" s="1096">
        <f>(26.45/(4))/(10)</f>
        <v>0.66125</v>
      </c>
      <c r="Z1150" s="1096">
        <f>(18.94/(4))/(10)</f>
        <v>0.47350000000000003</v>
      </c>
      <c r="AA1150" s="1096">
        <f>(24.75/(4))/(10)</f>
        <v>0.61875000000000002</v>
      </c>
      <c r="AB1150" s="1096">
        <f>(34.4/(4))/(10)</f>
        <v>0.86</v>
      </c>
      <c r="AC1150" s="1096">
        <f>(55.5/(4))/(10)</f>
        <v>1.3875</v>
      </c>
      <c r="AD1150" s="1096">
        <f>(66.58/(4))/(10)</f>
        <v>1.6644999999999999</v>
      </c>
      <c r="AE1150" s="1096">
        <f>(24.75/(4))/(10)</f>
        <v>0.61875000000000002</v>
      </c>
      <c r="AF1150" s="1096">
        <f>(95.17/(4))/(10)</f>
        <v>2.3792499999999999</v>
      </c>
      <c r="AG1150" s="1096">
        <f>(102.31/(4))/(10)</f>
        <v>2.55775</v>
      </c>
      <c r="AH1150" s="1096">
        <f>(153.91/(4))/(10)</f>
        <v>3.84775</v>
      </c>
      <c r="AI1150" s="1096">
        <f>(180.58/(4))/(10)</f>
        <v>4.5145</v>
      </c>
      <c r="AJ1150" s="1096">
        <f>(95.17/(4))/(10)</f>
        <v>2.3792499999999999</v>
      </c>
      <c r="AK1150" s="1096">
        <f>(213.1052/(4))/(10)</f>
        <v>5.3276300000000001</v>
      </c>
      <c r="AL1150" s="1096">
        <f>(225.8204/(4))/(10)</f>
        <v>5.6455099999999998</v>
      </c>
      <c r="AM1150" s="1096">
        <f>(185.4344/(4))/(10)</f>
        <v>4.6358600000000001</v>
      </c>
      <c r="AN1150" s="1096">
        <f>(127.08/(4))/(10)</f>
        <v>3.177</v>
      </c>
      <c r="AO1150" s="1096">
        <f>(127.08/(4))/(10)</f>
        <v>3.177</v>
      </c>
      <c r="AP1150" s="1096">
        <f>(144.73/(4))/(10)</f>
        <v>3.6182499999999997</v>
      </c>
      <c r="AQ1150" s="1096">
        <f>(133.78/(4))/(10)</f>
        <v>3.3445</v>
      </c>
      <c r="AR1150" s="1096">
        <f>(148.77/(4))/(10)</f>
        <v>3.7192500000000002</v>
      </c>
      <c r="AS1150" s="1096">
        <f>(202.59/(4))/(10)</f>
        <v>5.0647500000000001</v>
      </c>
      <c r="AT1150" s="1096">
        <f>(133.78/(4))/(10)</f>
        <v>3.3445</v>
      </c>
      <c r="AU1150" s="1096">
        <f>(196.4/(4))/(10)</f>
        <v>4.91</v>
      </c>
      <c r="AV1150" s="1096">
        <f>(282.78/(4))/(10)</f>
        <v>7.0694999999999997</v>
      </c>
      <c r="AW1150" s="1096">
        <f>(434/(4))/(10)</f>
        <v>10.85</v>
      </c>
      <c r="AX1150" s="1096">
        <f>(503.23/(4))/(10)</f>
        <v>12.58075</v>
      </c>
      <c r="AY1150" s="1096">
        <f>(196.4/(4))/(10)</f>
        <v>4.91</v>
      </c>
      <c r="AZ1150" s="1096">
        <f>(463.73/(4))/(10)</f>
        <v>11.593250000000001</v>
      </c>
      <c r="BA1150" s="1096">
        <f>136.6525/(10)</f>
        <v>13.66525</v>
      </c>
      <c r="BB1150" s="1096">
        <f>190.4/(10)</f>
        <v>19.04</v>
      </c>
      <c r="BC1150" s="1096">
        <f>219.44/(10)</f>
        <v>21.943999999999999</v>
      </c>
      <c r="BD1150" s="1096">
        <f>115.9325/(10)</f>
        <v>11.593250000000001</v>
      </c>
      <c r="BE1150" s="1096">
        <f>184.15/(10)</f>
        <v>18.414999999999999</v>
      </c>
      <c r="BF1150" s="1096">
        <f>145.23/(10)</f>
        <v>14.523</v>
      </c>
      <c r="BG1150" s="1096">
        <f>112.27/(10)</f>
        <v>11.227</v>
      </c>
      <c r="BH1150" s="1096">
        <f>132.19/(10)</f>
        <v>13.218999999999999</v>
      </c>
      <c r="BI1150" s="1096">
        <f>112.27/(10)</f>
        <v>11.227</v>
      </c>
      <c r="BJ1150" s="1096">
        <f>206.55/(10)</f>
        <v>20.655000000000001</v>
      </c>
      <c r="BK1150" s="1096">
        <f>275.62/(10)</f>
        <v>27.562000000000001</v>
      </c>
      <c r="BL1150" s="1096">
        <f>403.26/(10)</f>
        <v>40.326000000000001</v>
      </c>
      <c r="BM1150" s="1096">
        <f>407.8/(10)</f>
        <v>40.78</v>
      </c>
      <c r="BN1150" s="1096">
        <f>191.62/(10)</f>
        <v>19.161999999999999</v>
      </c>
      <c r="BO1150" s="1096">
        <f>615.27/(10)</f>
        <v>61.527000000000001</v>
      </c>
      <c r="BP1150" s="1096">
        <v>83.040999999999997</v>
      </c>
      <c r="BQ1150" s="1096">
        <v>98.91</v>
      </c>
      <c r="BR1150" s="1096">
        <v>128.91</v>
      </c>
      <c r="BS1150" s="1096">
        <v>61.527000000000001</v>
      </c>
      <c r="BT1150" s="1096">
        <f>615.27/(10)</f>
        <v>61.527000000000001</v>
      </c>
      <c r="BU1150" s="1096">
        <v>108.73</v>
      </c>
      <c r="BV1150" s="1096">
        <v>167.02</v>
      </c>
      <c r="BW1150" s="1096">
        <v>170.94</v>
      </c>
      <c r="BX1150" s="1096">
        <v>94.31</v>
      </c>
      <c r="BY1150" s="1097">
        <v>165.17</v>
      </c>
      <c r="BZ1150" s="262"/>
      <c r="CA1150" s="262"/>
      <c r="CB1150" s="262"/>
      <c r="CC1150" s="262"/>
      <c r="CD1150" s="262"/>
      <c r="CE1150" s="262"/>
      <c r="CF1150" s="262"/>
      <c r="CG1150" s="262"/>
      <c r="CH1150" s="262"/>
      <c r="CI1150" s="262"/>
      <c r="CJ1150" s="262"/>
      <c r="CK1150" s="263"/>
      <c r="CL1150" s="155"/>
    </row>
    <row r="1151" spans="1:90" hidden="1" outlineLevel="1" x14ac:dyDescent="0.3">
      <c r="A1151" s="264" t="s">
        <v>7</v>
      </c>
      <c r="B1151" s="262"/>
      <c r="C1151" s="1040" t="s">
        <v>1295</v>
      </c>
      <c r="D1151" s="1040" t="s">
        <v>1295</v>
      </c>
      <c r="E1151" s="1040" t="s">
        <v>1295</v>
      </c>
      <c r="F1151" s="1040" t="s">
        <v>1295</v>
      </c>
      <c r="G1151" s="1040" t="s">
        <v>1295</v>
      </c>
      <c r="H1151" s="262" t="s">
        <v>1295</v>
      </c>
      <c r="I1151" s="262" t="s">
        <v>1295</v>
      </c>
      <c r="J1151" s="262" t="s">
        <v>1295</v>
      </c>
      <c r="K1151" s="262" t="s">
        <v>1295</v>
      </c>
      <c r="L1151" s="262" t="s">
        <v>1295</v>
      </c>
      <c r="M1151" s="262" t="s">
        <v>1295</v>
      </c>
      <c r="N1151" s="262" t="s">
        <v>1295</v>
      </c>
      <c r="O1151" s="262" t="s">
        <v>1295</v>
      </c>
      <c r="P1151" s="262" t="s">
        <v>1295</v>
      </c>
      <c r="Q1151" s="262" t="s">
        <v>1295</v>
      </c>
      <c r="R1151" s="262" t="s">
        <v>1295</v>
      </c>
      <c r="S1151" s="262" t="s">
        <v>1295</v>
      </c>
      <c r="T1151" s="262" t="s">
        <v>1295</v>
      </c>
      <c r="U1151" s="262" t="s">
        <v>1295</v>
      </c>
      <c r="V1151" s="262" t="s">
        <v>1295</v>
      </c>
      <c r="W1151" s="262" t="s">
        <v>1295</v>
      </c>
      <c r="X1151" s="262" t="s">
        <v>1295</v>
      </c>
      <c r="Y1151" s="262" t="s">
        <v>1295</v>
      </c>
      <c r="Z1151" s="262" t="s">
        <v>1295</v>
      </c>
      <c r="AA1151" s="262" t="s">
        <v>1295</v>
      </c>
      <c r="AB1151" s="262" t="s">
        <v>1295</v>
      </c>
      <c r="AC1151" s="262" t="s">
        <v>1295</v>
      </c>
      <c r="AD1151" s="262" t="s">
        <v>1295</v>
      </c>
      <c r="AE1151" s="262" t="s">
        <v>1295</v>
      </c>
      <c r="AF1151" s="262" t="s">
        <v>1295</v>
      </c>
      <c r="AG1151" s="262" t="s">
        <v>1295</v>
      </c>
      <c r="AH1151" s="262" t="s">
        <v>1295</v>
      </c>
      <c r="AI1151" s="262" t="s">
        <v>1295</v>
      </c>
      <c r="AJ1151" s="262" t="s">
        <v>1295</v>
      </c>
      <c r="AK1151" s="262" t="s">
        <v>1295</v>
      </c>
      <c r="AL1151" s="262" t="s">
        <v>1295</v>
      </c>
      <c r="AM1151" s="262" t="s">
        <v>1295</v>
      </c>
      <c r="AN1151" s="262" t="s">
        <v>1295</v>
      </c>
      <c r="AO1151" s="262" t="s">
        <v>1295</v>
      </c>
      <c r="AP1151" s="262" t="s">
        <v>1295</v>
      </c>
      <c r="AQ1151" s="262" t="s">
        <v>1295</v>
      </c>
      <c r="AR1151" s="262" t="s">
        <v>1295</v>
      </c>
      <c r="AS1151" s="262" t="s">
        <v>1295</v>
      </c>
      <c r="AT1151" s="262" t="s">
        <v>1295</v>
      </c>
      <c r="AU1151" s="262" t="s">
        <v>1295</v>
      </c>
      <c r="AV1151" s="262" t="s">
        <v>1295</v>
      </c>
      <c r="AW1151" s="262" t="s">
        <v>1295</v>
      </c>
      <c r="AX1151" s="262" t="s">
        <v>1295</v>
      </c>
      <c r="AY1151" s="262" t="s">
        <v>1295</v>
      </c>
      <c r="AZ1151" s="262" t="s">
        <v>1295</v>
      </c>
      <c r="BA1151" s="262" t="s">
        <v>1295</v>
      </c>
      <c r="BB1151" s="262" t="s">
        <v>1295</v>
      </c>
      <c r="BC1151" s="262" t="s">
        <v>1295</v>
      </c>
      <c r="BD1151" s="262" t="s">
        <v>1295</v>
      </c>
      <c r="BE1151" s="262" t="s">
        <v>1295</v>
      </c>
      <c r="BF1151" s="262" t="s">
        <v>1295</v>
      </c>
      <c r="BG1151" s="262" t="s">
        <v>1295</v>
      </c>
      <c r="BH1151" s="262" t="s">
        <v>1295</v>
      </c>
      <c r="BI1151" s="262" t="s">
        <v>1295</v>
      </c>
      <c r="BJ1151" s="262" t="s">
        <v>1295</v>
      </c>
      <c r="BK1151" s="262" t="s">
        <v>1295</v>
      </c>
      <c r="BL1151" s="262" t="s">
        <v>1295</v>
      </c>
      <c r="BM1151" s="262" t="s">
        <v>1295</v>
      </c>
      <c r="BN1151" s="262" t="s">
        <v>1295</v>
      </c>
      <c r="BO1151" s="262" t="s">
        <v>1295</v>
      </c>
      <c r="BP1151" s="262" t="s">
        <v>1295</v>
      </c>
      <c r="BQ1151" s="262" t="s">
        <v>1295</v>
      </c>
      <c r="BR1151" s="262" t="s">
        <v>1295</v>
      </c>
      <c r="BS1151" s="262" t="s">
        <v>1295</v>
      </c>
      <c r="BT1151" s="262" t="s">
        <v>1295</v>
      </c>
      <c r="BU1151" s="262" t="s">
        <v>1295</v>
      </c>
      <c r="BV1151" s="262" t="s">
        <v>1295</v>
      </c>
      <c r="BW1151" s="262" t="s">
        <v>1295</v>
      </c>
      <c r="BX1151" s="262" t="s">
        <v>1295</v>
      </c>
      <c r="BY1151" s="531" t="s">
        <v>1295</v>
      </c>
      <c r="BZ1151" s="262" t="s">
        <v>1295</v>
      </c>
      <c r="CA1151" s="262" t="s">
        <v>1295</v>
      </c>
      <c r="CB1151" s="262" t="s">
        <v>1295</v>
      </c>
      <c r="CC1151" s="262" t="s">
        <v>1295</v>
      </c>
      <c r="CD1151" s="262" t="s">
        <v>1295</v>
      </c>
      <c r="CE1151" s="262" t="s">
        <v>1295</v>
      </c>
      <c r="CF1151" s="262" t="s">
        <v>1295</v>
      </c>
      <c r="CG1151" s="262" t="s">
        <v>1295</v>
      </c>
      <c r="CH1151" s="262" t="s">
        <v>1295</v>
      </c>
      <c r="CI1151" s="262" t="s">
        <v>1295</v>
      </c>
      <c r="CJ1151" s="262" t="s">
        <v>1295</v>
      </c>
      <c r="CK1151" s="263" t="s">
        <v>1295</v>
      </c>
      <c r="CL1151" s="155"/>
    </row>
    <row r="1152" spans="1:90" hidden="1" outlineLevel="1" x14ac:dyDescent="0.3">
      <c r="A1152" s="264" t="s">
        <v>269</v>
      </c>
      <c r="B1152" s="262"/>
      <c r="C1152" s="1040">
        <v>0.15</v>
      </c>
      <c r="D1152" s="1040">
        <v>0.18</v>
      </c>
      <c r="E1152" s="1040">
        <v>0.22</v>
      </c>
      <c r="F1152" s="1040">
        <v>0.28999999999999998</v>
      </c>
      <c r="G1152" s="1040">
        <v>0.32</v>
      </c>
      <c r="H1152" s="262">
        <v>0.28999999999999998</v>
      </c>
      <c r="I1152" s="262">
        <v>0.3</v>
      </c>
      <c r="J1152" s="262">
        <v>0.28000000000000003</v>
      </c>
      <c r="K1152" s="262">
        <v>0.28000000000000003</v>
      </c>
      <c r="L1152" s="262">
        <v>0.3</v>
      </c>
      <c r="M1152" s="262">
        <v>0.34</v>
      </c>
      <c r="N1152" s="262">
        <v>0.35</v>
      </c>
      <c r="O1152" s="262">
        <v>0.36</v>
      </c>
      <c r="P1152" s="262">
        <v>0.3</v>
      </c>
      <c r="Q1152" s="262">
        <v>0.39</v>
      </c>
      <c r="R1152" s="262">
        <v>0.44</v>
      </c>
      <c r="S1152" s="262">
        <v>0.42</v>
      </c>
      <c r="T1152" s="262">
        <v>0.46</v>
      </c>
      <c r="U1152" s="262">
        <v>0.39</v>
      </c>
      <c r="V1152" s="262">
        <v>0.48</v>
      </c>
      <c r="W1152" s="262">
        <v>0.49</v>
      </c>
      <c r="X1152" s="262">
        <v>0.48</v>
      </c>
      <c r="Y1152" s="262">
        <v>0.68</v>
      </c>
      <c r="Z1152" s="262">
        <v>0.48</v>
      </c>
      <c r="AA1152" s="262">
        <v>0.63</v>
      </c>
      <c r="AB1152" s="262">
        <v>0.87</v>
      </c>
      <c r="AC1152" s="262">
        <v>1.4</v>
      </c>
      <c r="AD1152" s="262">
        <v>1.69</v>
      </c>
      <c r="AE1152" s="262">
        <v>0.63</v>
      </c>
      <c r="AF1152" s="262">
        <v>2.39</v>
      </c>
      <c r="AG1152" s="262">
        <v>2.57</v>
      </c>
      <c r="AH1152" s="262">
        <v>3.9</v>
      </c>
      <c r="AI1152" s="262">
        <v>4.6500000000000004</v>
      </c>
      <c r="AJ1152" s="262">
        <v>2.39</v>
      </c>
      <c r="AK1152" s="262">
        <v>5.34</v>
      </c>
      <c r="AL1152" s="262">
        <v>5.62</v>
      </c>
      <c r="AM1152" s="262">
        <v>4.96</v>
      </c>
      <c r="AN1152" s="262">
        <v>3.18</v>
      </c>
      <c r="AO1152" s="262">
        <v>3.18</v>
      </c>
      <c r="AP1152" s="262">
        <v>3.29</v>
      </c>
      <c r="AQ1152" s="262">
        <v>3.34</v>
      </c>
      <c r="AR1152" s="262">
        <v>3.72</v>
      </c>
      <c r="AS1152" s="262">
        <v>5.03</v>
      </c>
      <c r="AT1152" s="262">
        <v>3.29</v>
      </c>
      <c r="AU1152" s="262">
        <v>4.91</v>
      </c>
      <c r="AV1152" s="262">
        <v>7.07</v>
      </c>
      <c r="AW1152" s="262">
        <v>10.220000000000001</v>
      </c>
      <c r="AX1152" s="262">
        <v>12.53</v>
      </c>
      <c r="AY1152" s="262">
        <v>4.91</v>
      </c>
      <c r="AZ1152" s="262">
        <v>11.59</v>
      </c>
      <c r="BA1152" s="262">
        <v>13.67</v>
      </c>
      <c r="BB1152" s="262">
        <v>19.04</v>
      </c>
      <c r="BC1152" s="262">
        <v>21.94</v>
      </c>
      <c r="BD1152" s="262">
        <v>11.59</v>
      </c>
      <c r="BE1152" s="262">
        <v>18.420000000000002</v>
      </c>
      <c r="BF1152" s="262">
        <v>14.52</v>
      </c>
      <c r="BG1152" s="262">
        <v>11.23</v>
      </c>
      <c r="BH1152" s="262">
        <v>13.22</v>
      </c>
      <c r="BI1152" s="262">
        <v>11.23</v>
      </c>
      <c r="BJ1152" s="262">
        <v>19.16</v>
      </c>
      <c r="BK1152" s="262">
        <v>27.56</v>
      </c>
      <c r="BL1152" s="262">
        <v>40.33</v>
      </c>
      <c r="BM1152" s="262">
        <v>40.78</v>
      </c>
      <c r="BN1152" s="262">
        <v>19.16</v>
      </c>
      <c r="BO1152" s="262">
        <v>61.53</v>
      </c>
      <c r="BP1152" s="262">
        <v>83.04</v>
      </c>
      <c r="BQ1152" s="262">
        <v>98.91</v>
      </c>
      <c r="BR1152" s="262">
        <v>128.91</v>
      </c>
      <c r="BS1152" s="262">
        <v>61.53</v>
      </c>
      <c r="BT1152" s="262">
        <v>94.31</v>
      </c>
      <c r="BU1152" s="262">
        <v>108.73</v>
      </c>
      <c r="BV1152" s="262">
        <v>167.02</v>
      </c>
      <c r="BW1152" s="262">
        <v>170.94</v>
      </c>
      <c r="BX1152" s="262">
        <v>94.31</v>
      </c>
      <c r="BY1152" s="531">
        <v>165.17</v>
      </c>
      <c r="BZ1152" s="262">
        <v>196.5</v>
      </c>
      <c r="CA1152" s="262">
        <v>0</v>
      </c>
      <c r="CB1152" s="262">
        <v>0</v>
      </c>
      <c r="CC1152" s="262">
        <v>165.17</v>
      </c>
      <c r="CD1152" s="262">
        <v>0</v>
      </c>
      <c r="CE1152" s="262">
        <v>0</v>
      </c>
      <c r="CF1152" s="262">
        <v>0</v>
      </c>
      <c r="CG1152" s="262">
        <v>0</v>
      </c>
      <c r="CH1152" s="262">
        <v>0</v>
      </c>
      <c r="CI1152" s="262">
        <v>0</v>
      </c>
      <c r="CJ1152" s="262">
        <v>0</v>
      </c>
      <c r="CK1152" s="263">
        <v>0</v>
      </c>
      <c r="CL1152" s="155"/>
    </row>
    <row r="1153" spans="1:90" hidden="1" outlineLevel="1" x14ac:dyDescent="0.3">
      <c r="A1153" s="264" t="s">
        <v>270</v>
      </c>
      <c r="B1153" s="262"/>
      <c r="C1153" s="1040" t="s">
        <v>1295</v>
      </c>
      <c r="D1153" s="1040" t="s">
        <v>1295</v>
      </c>
      <c r="E1153" s="1040" t="s">
        <v>1295</v>
      </c>
      <c r="F1153" s="1040" t="s">
        <v>1295</v>
      </c>
      <c r="G1153" s="1040" t="s">
        <v>1295</v>
      </c>
      <c r="H1153" s="262" t="s">
        <v>1295</v>
      </c>
      <c r="I1153" s="262" t="s">
        <v>1295</v>
      </c>
      <c r="J1153" s="262" t="s">
        <v>1295</v>
      </c>
      <c r="K1153" s="262" t="s">
        <v>1295</v>
      </c>
      <c r="L1153" s="262" t="s">
        <v>1295</v>
      </c>
      <c r="M1153" s="262" t="s">
        <v>1295</v>
      </c>
      <c r="N1153" s="262" t="s">
        <v>1295</v>
      </c>
      <c r="O1153" s="262" t="s">
        <v>1295</v>
      </c>
      <c r="P1153" s="262" t="s">
        <v>1295</v>
      </c>
      <c r="Q1153" s="262" t="s">
        <v>1295</v>
      </c>
      <c r="R1153" s="262" t="s">
        <v>1295</v>
      </c>
      <c r="S1153" s="262" t="s">
        <v>1295</v>
      </c>
      <c r="T1153" s="262" t="s">
        <v>1295</v>
      </c>
      <c r="U1153" s="262" t="s">
        <v>1295</v>
      </c>
      <c r="V1153" s="262" t="s">
        <v>1295</v>
      </c>
      <c r="W1153" s="262" t="s">
        <v>1295</v>
      </c>
      <c r="X1153" s="262" t="s">
        <v>1295</v>
      </c>
      <c r="Y1153" s="262" t="s">
        <v>1295</v>
      </c>
      <c r="Z1153" s="262" t="s">
        <v>1295</v>
      </c>
      <c r="AA1153" s="262" t="s">
        <v>1295</v>
      </c>
      <c r="AB1153" s="262" t="s">
        <v>1295</v>
      </c>
      <c r="AC1153" s="262" t="s">
        <v>1295</v>
      </c>
      <c r="AD1153" s="262" t="s">
        <v>1295</v>
      </c>
      <c r="AE1153" s="262" t="s">
        <v>1295</v>
      </c>
      <c r="AF1153" s="262" t="s">
        <v>1295</v>
      </c>
      <c r="AG1153" s="262" t="s">
        <v>1295</v>
      </c>
      <c r="AH1153" s="262" t="s">
        <v>1295</v>
      </c>
      <c r="AI1153" s="262" t="s">
        <v>1295</v>
      </c>
      <c r="AJ1153" s="262" t="s">
        <v>1295</v>
      </c>
      <c r="AK1153" s="262" t="s">
        <v>1295</v>
      </c>
      <c r="AL1153" s="262" t="s">
        <v>1295</v>
      </c>
      <c r="AM1153" s="262" t="s">
        <v>1295</v>
      </c>
      <c r="AN1153" s="262" t="s">
        <v>1295</v>
      </c>
      <c r="AO1153" s="262" t="s">
        <v>1295</v>
      </c>
      <c r="AP1153" s="262" t="s">
        <v>1295</v>
      </c>
      <c r="AQ1153" s="262" t="s">
        <v>1295</v>
      </c>
      <c r="AR1153" s="262" t="s">
        <v>1295</v>
      </c>
      <c r="AS1153" s="262" t="s">
        <v>1295</v>
      </c>
      <c r="AT1153" s="262" t="s">
        <v>1295</v>
      </c>
      <c r="AU1153" s="262" t="s">
        <v>1295</v>
      </c>
      <c r="AV1153" s="262" t="s">
        <v>1295</v>
      </c>
      <c r="AW1153" s="262" t="s">
        <v>1295</v>
      </c>
      <c r="AX1153" s="262" t="s">
        <v>1295</v>
      </c>
      <c r="AY1153" s="262" t="s">
        <v>1295</v>
      </c>
      <c r="AZ1153" s="262" t="s">
        <v>1295</v>
      </c>
      <c r="BA1153" s="262" t="s">
        <v>1295</v>
      </c>
      <c r="BB1153" s="262" t="s">
        <v>1295</v>
      </c>
      <c r="BC1153" s="262" t="s">
        <v>1295</v>
      </c>
      <c r="BD1153" s="262" t="s">
        <v>1295</v>
      </c>
      <c r="BE1153" s="262" t="s">
        <v>1295</v>
      </c>
      <c r="BF1153" s="262" t="s">
        <v>1295</v>
      </c>
      <c r="BG1153" s="262" t="s">
        <v>1295</v>
      </c>
      <c r="BH1153" s="262" t="s">
        <v>1295</v>
      </c>
      <c r="BI1153" s="262" t="s">
        <v>1295</v>
      </c>
      <c r="BJ1153" s="262" t="s">
        <v>1295</v>
      </c>
      <c r="BK1153" s="262" t="s">
        <v>1295</v>
      </c>
      <c r="BL1153" s="262" t="s">
        <v>1295</v>
      </c>
      <c r="BM1153" s="262" t="s">
        <v>1295</v>
      </c>
      <c r="BN1153" s="262" t="s">
        <v>1295</v>
      </c>
      <c r="BO1153" s="262" t="s">
        <v>1295</v>
      </c>
      <c r="BP1153" s="262" t="s">
        <v>1295</v>
      </c>
      <c r="BQ1153" s="262" t="s">
        <v>1295</v>
      </c>
      <c r="BR1153" s="262" t="s">
        <v>1295</v>
      </c>
      <c r="BS1153" s="262" t="s">
        <v>1295</v>
      </c>
      <c r="BT1153" s="262" t="s">
        <v>1295</v>
      </c>
      <c r="BU1153" s="262" t="s">
        <v>1295</v>
      </c>
      <c r="BV1153" s="262" t="s">
        <v>1295</v>
      </c>
      <c r="BW1153" s="262" t="s">
        <v>1295</v>
      </c>
      <c r="BX1153" s="262" t="s">
        <v>1295</v>
      </c>
      <c r="BY1153" s="531" t="s">
        <v>1295</v>
      </c>
      <c r="BZ1153" s="262" t="s">
        <v>1295</v>
      </c>
      <c r="CA1153" s="262" t="s">
        <v>1295</v>
      </c>
      <c r="CB1153" s="262" t="s">
        <v>1295</v>
      </c>
      <c r="CC1153" s="262" t="s">
        <v>1295</v>
      </c>
      <c r="CD1153" s="262" t="s">
        <v>1295</v>
      </c>
      <c r="CE1153" s="262" t="s">
        <v>1295</v>
      </c>
      <c r="CF1153" s="262" t="s">
        <v>1295</v>
      </c>
      <c r="CG1153" s="262" t="s">
        <v>1295</v>
      </c>
      <c r="CH1153" s="262" t="s">
        <v>1295</v>
      </c>
      <c r="CI1153" s="262" t="s">
        <v>1295</v>
      </c>
      <c r="CJ1153" s="262" t="s">
        <v>1295</v>
      </c>
      <c r="CK1153" s="263" t="s">
        <v>1295</v>
      </c>
      <c r="CL1153" s="155"/>
    </row>
    <row r="1154" spans="1:90" hidden="1" outlineLevel="1" x14ac:dyDescent="0.3">
      <c r="A1154" s="264" t="s">
        <v>618</v>
      </c>
      <c r="B1154" s="262"/>
      <c r="C1154" s="1040" t="s">
        <v>1295</v>
      </c>
      <c r="D1154" s="1040" t="s">
        <v>1295</v>
      </c>
      <c r="E1154" s="1040" t="s">
        <v>1295</v>
      </c>
      <c r="F1154" s="1040" t="s">
        <v>1295</v>
      </c>
      <c r="G1154" s="1040" t="s">
        <v>1295</v>
      </c>
      <c r="H1154" s="262" t="s">
        <v>1295</v>
      </c>
      <c r="I1154" s="262" t="s">
        <v>1295</v>
      </c>
      <c r="J1154" s="262" t="s">
        <v>1295</v>
      </c>
      <c r="K1154" s="262" t="s">
        <v>1295</v>
      </c>
      <c r="L1154" s="262" t="s">
        <v>1295</v>
      </c>
      <c r="M1154" s="262" t="s">
        <v>1295</v>
      </c>
      <c r="N1154" s="262" t="s">
        <v>1295</v>
      </c>
      <c r="O1154" s="262" t="s">
        <v>1295</v>
      </c>
      <c r="P1154" s="262" t="s">
        <v>1295</v>
      </c>
      <c r="Q1154" s="262" t="s">
        <v>1295</v>
      </c>
      <c r="R1154" s="262" t="s">
        <v>1295</v>
      </c>
      <c r="S1154" s="262" t="s">
        <v>1295</v>
      </c>
      <c r="T1154" s="262" t="s">
        <v>1295</v>
      </c>
      <c r="U1154" s="262" t="s">
        <v>1295</v>
      </c>
      <c r="V1154" s="262" t="s">
        <v>1295</v>
      </c>
      <c r="W1154" s="262" t="s">
        <v>1295</v>
      </c>
      <c r="X1154" s="262" t="s">
        <v>1295</v>
      </c>
      <c r="Y1154" s="262" t="s">
        <v>1295</v>
      </c>
      <c r="Z1154" s="262" t="s">
        <v>1295</v>
      </c>
      <c r="AA1154" s="262" t="s">
        <v>1295</v>
      </c>
      <c r="AB1154" s="262" t="s">
        <v>1295</v>
      </c>
      <c r="AC1154" s="262" t="s">
        <v>1295</v>
      </c>
      <c r="AD1154" s="262" t="s">
        <v>1295</v>
      </c>
      <c r="AE1154" s="262" t="s">
        <v>1295</v>
      </c>
      <c r="AF1154" s="262" t="s">
        <v>1295</v>
      </c>
      <c r="AG1154" s="262" t="s">
        <v>1295</v>
      </c>
      <c r="AH1154" s="262" t="s">
        <v>1295</v>
      </c>
      <c r="AI1154" s="262" t="s">
        <v>1295</v>
      </c>
      <c r="AJ1154" s="262" t="s">
        <v>1295</v>
      </c>
      <c r="AK1154" s="262" t="s">
        <v>1295</v>
      </c>
      <c r="AL1154" s="262" t="s">
        <v>1295</v>
      </c>
      <c r="AM1154" s="262" t="s">
        <v>1295</v>
      </c>
      <c r="AN1154" s="262" t="s">
        <v>1295</v>
      </c>
      <c r="AO1154" s="262" t="s">
        <v>1295</v>
      </c>
      <c r="AP1154" s="262" t="s">
        <v>1295</v>
      </c>
      <c r="AQ1154" s="262" t="s">
        <v>1295</v>
      </c>
      <c r="AR1154" s="262" t="s">
        <v>1295</v>
      </c>
      <c r="AS1154" s="262" t="s">
        <v>1295</v>
      </c>
      <c r="AT1154" s="262" t="s">
        <v>1295</v>
      </c>
      <c r="AU1154" s="262" t="s">
        <v>1295</v>
      </c>
      <c r="AV1154" s="262" t="s">
        <v>1295</v>
      </c>
      <c r="AW1154" s="262" t="s">
        <v>1295</v>
      </c>
      <c r="AX1154" s="262" t="s">
        <v>1295</v>
      </c>
      <c r="AY1154" s="262" t="s">
        <v>1295</v>
      </c>
      <c r="AZ1154" s="262" t="s">
        <v>1295</v>
      </c>
      <c r="BA1154" s="262" t="s">
        <v>1295</v>
      </c>
      <c r="BB1154" s="262" t="s">
        <v>1295</v>
      </c>
      <c r="BC1154" s="262" t="s">
        <v>1295</v>
      </c>
      <c r="BD1154" s="262" t="s">
        <v>1295</v>
      </c>
      <c r="BE1154" s="262" t="s">
        <v>1295</v>
      </c>
      <c r="BF1154" s="262" t="s">
        <v>1295</v>
      </c>
      <c r="BG1154" s="262" t="s">
        <v>1295</v>
      </c>
      <c r="BH1154" s="262" t="s">
        <v>1295</v>
      </c>
      <c r="BI1154" s="262" t="s">
        <v>1295</v>
      </c>
      <c r="BJ1154" s="262" t="s">
        <v>1295</v>
      </c>
      <c r="BK1154" s="262" t="s">
        <v>1295</v>
      </c>
      <c r="BL1154" s="262" t="s">
        <v>1295</v>
      </c>
      <c r="BM1154" s="262" t="s">
        <v>1295</v>
      </c>
      <c r="BN1154" s="262" t="s">
        <v>1295</v>
      </c>
      <c r="BO1154" s="262" t="s">
        <v>1295</v>
      </c>
      <c r="BP1154" s="262" t="s">
        <v>1295</v>
      </c>
      <c r="BQ1154" s="262" t="s">
        <v>1295</v>
      </c>
      <c r="BR1154" s="262" t="s">
        <v>1295</v>
      </c>
      <c r="BS1154" s="262" t="s">
        <v>1295</v>
      </c>
      <c r="BT1154" s="262" t="s">
        <v>1295</v>
      </c>
      <c r="BU1154" s="262" t="s">
        <v>1295</v>
      </c>
      <c r="BV1154" s="262" t="s">
        <v>1295</v>
      </c>
      <c r="BW1154" s="262" t="s">
        <v>1295</v>
      </c>
      <c r="BX1154" s="262" t="s">
        <v>1295</v>
      </c>
      <c r="BY1154" s="531" t="s">
        <v>1295</v>
      </c>
      <c r="BZ1154" s="262" t="s">
        <v>1295</v>
      </c>
      <c r="CA1154" s="262" t="s">
        <v>1295</v>
      </c>
      <c r="CB1154" s="262" t="s">
        <v>1295</v>
      </c>
      <c r="CC1154" s="262" t="s">
        <v>1295</v>
      </c>
      <c r="CD1154" s="262" t="s">
        <v>1295</v>
      </c>
      <c r="CE1154" s="262" t="s">
        <v>1295</v>
      </c>
      <c r="CF1154" s="262" t="s">
        <v>1295</v>
      </c>
      <c r="CG1154" s="262" t="s">
        <v>1295</v>
      </c>
      <c r="CH1154" s="262" t="s">
        <v>1295</v>
      </c>
      <c r="CI1154" s="262" t="s">
        <v>1295</v>
      </c>
      <c r="CJ1154" s="262" t="s">
        <v>1295</v>
      </c>
      <c r="CK1154" s="263" t="s">
        <v>1295</v>
      </c>
      <c r="CL1154" s="155"/>
    </row>
    <row r="1155" spans="1:90" hidden="1" outlineLevel="1" x14ac:dyDescent="0.3">
      <c r="A1155" s="166"/>
      <c r="B1155" s="93"/>
      <c r="C1155" s="1017"/>
      <c r="D1155" s="1017"/>
      <c r="E1155" s="1017"/>
      <c r="F1155" s="1017"/>
      <c r="G1155" s="1017"/>
      <c r="H1155" s="93"/>
      <c r="I1155" s="93"/>
      <c r="J1155" s="93"/>
      <c r="K1155" s="93"/>
      <c r="L1155" s="93"/>
      <c r="M1155" s="93"/>
      <c r="N1155" s="93"/>
      <c r="O1155" s="93"/>
      <c r="P1155" s="93"/>
      <c r="Q1155" s="93"/>
      <c r="R1155" s="93"/>
      <c r="S1155" s="93"/>
      <c r="T1155" s="93"/>
      <c r="U1155" s="93"/>
      <c r="V1155" s="93"/>
      <c r="W1155" s="93"/>
      <c r="X1155" s="93"/>
      <c r="Y1155" s="93"/>
      <c r="Z1155" s="93"/>
      <c r="AA1155" s="93"/>
      <c r="AB1155" s="93"/>
      <c r="AC1155" s="93"/>
      <c r="AD1155" s="93"/>
      <c r="AE1155" s="93"/>
      <c r="AF1155" s="93"/>
      <c r="AG1155" s="93"/>
      <c r="AH1155" s="93"/>
      <c r="AI1155" s="93"/>
      <c r="AJ1155" s="93"/>
      <c r="AK1155" s="93"/>
      <c r="AL1155" s="93"/>
      <c r="AM1155" s="93"/>
      <c r="AN1155" s="93"/>
      <c r="AO1155" s="93"/>
      <c r="AP1155" s="93"/>
      <c r="AQ1155" s="93"/>
      <c r="AR1155" s="93"/>
      <c r="AS1155" s="93"/>
      <c r="AT1155" s="93"/>
      <c r="AU1155" s="93"/>
      <c r="AV1155" s="93"/>
      <c r="AW1155" s="93"/>
      <c r="AX1155" s="93"/>
      <c r="AY1155" s="93"/>
      <c r="AZ1155" s="93"/>
      <c r="BA1155" s="93"/>
      <c r="BB1155" s="93"/>
      <c r="BC1155" s="93"/>
      <c r="BD1155" s="93"/>
      <c r="BE1155" s="93"/>
      <c r="BF1155" s="93"/>
      <c r="BG1155" s="93"/>
      <c r="BH1155" s="93"/>
      <c r="BI1155" s="93"/>
      <c r="BJ1155" s="93"/>
      <c r="BK1155" s="93"/>
      <c r="BL1155" s="93"/>
      <c r="BM1155" s="93"/>
      <c r="BN1155" s="93"/>
      <c r="BO1155" s="93"/>
      <c r="BP1155" s="93"/>
      <c r="BQ1155" s="93"/>
      <c r="BR1155" s="93"/>
      <c r="BS1155" s="93"/>
      <c r="BT1155" s="93"/>
      <c r="BU1155" s="93"/>
      <c r="BV1155" s="93"/>
      <c r="BW1155" s="93"/>
      <c r="BX1155" s="93"/>
      <c r="BY1155" s="522"/>
      <c r="BZ1155" s="93"/>
      <c r="CA1155" s="93"/>
      <c r="CB1155" s="93"/>
      <c r="CC1155" s="93"/>
      <c r="CD1155" s="93"/>
      <c r="CE1155" s="93"/>
      <c r="CF1155" s="93"/>
      <c r="CG1155" s="93"/>
      <c r="CH1155" s="93"/>
      <c r="CI1155" s="93"/>
      <c r="CJ1155" s="93"/>
      <c r="CK1155" s="162"/>
      <c r="CL1155" s="155"/>
    </row>
    <row r="1156" spans="1:90" collapsed="1" x14ac:dyDescent="0.3">
      <c r="A1156" s="261" t="str">
        <f>"Stock Average: "&amp;IF(OR(MO.RealTimeStockPriceToggle=FALSE,VLOOKUP(MO.DataSourceName,MO_SPT_StockAverage_Sources,COLUMN()+2,FALSE)="N/A"),"Real-Time Off Source",MO.DataSourceName)</f>
        <v>Stock Average: Real-Time Off Source</v>
      </c>
      <c r="B1156" s="262"/>
      <c r="C1156" s="1040">
        <f>IF(OR(MO.RealTimeStockPriceToggle=FALSE,VLOOKUP(MO.DataSourceName,MO_SPT_StockAverage_Sources,COLUMN(),FALSE)="N/A"),VLOOKUP("Real-Time Off Source",MO_SPT_StockAverage_Sources,COLUMN(),FALSE),VLOOKUP(MO.DataSourceName,MO_SPT_StockAverage_Sources,COLUMN(),FALSE))</f>
        <v>0.36324999999999996</v>
      </c>
      <c r="D1156" s="1040">
        <f>IF(OR(MO.RealTimeStockPriceToggle=FALSE,VLOOKUP(MO.DataSourceName,MO_SPT_StockAverage_Sources,COLUMN(),FALSE)="N/A"),VLOOKUP("Real-Time Off Source",MO_SPT_StockAverage_Sources,COLUMN(),FALSE),VLOOKUP(MO.DataSourceName,MO_SPT_StockAverage_Sources,COLUMN(),FALSE))</f>
        <v>0.31356250000000002</v>
      </c>
      <c r="E1156" s="1040">
        <f>IF(OR(MO.RealTimeStockPriceToggle=FALSE,VLOOKUP(MO.DataSourceName,MO_SPT_StockAverage_Sources,COLUMN(),FALSE)="N/A"),VLOOKUP("Real-Time Off Source",MO_SPT_StockAverage_Sources,COLUMN(),FALSE),VLOOKUP(MO.DataSourceName,MO_SPT_StockAverage_Sources,COLUMN(),FALSE))</f>
        <v>0.36393749999999997</v>
      </c>
      <c r="F1156" s="1040">
        <f>IF(OR(MO.RealTimeStockPriceToggle=FALSE,VLOOKUP(MO.DataSourceName,MO_SPT_StockAverage_Sources,COLUMN(),FALSE)="N/A"),VLOOKUP("Real-Time Off Source",MO_SPT_StockAverage_Sources,COLUMN(),FALSE),VLOOKUP(MO.DataSourceName,MO_SPT_StockAverage_Sources,COLUMN(),FALSE))</f>
        <v>0.41825000000000001</v>
      </c>
      <c r="G1156" s="1040">
        <f>IF(OR(MO.RealTimeStockPriceToggle=FALSE,VLOOKUP(MO.DataSourceName,MO_SPT_StockAverage_Sources,COLUMN(),FALSE)="N/A"),VLOOKUP("Real-Time Off Source",MO_SPT_StockAverage_Sources,COLUMN(),FALSE),VLOOKUP(MO.DataSourceName,MO_SPT_StockAverage_Sources,COLUMN(),FALSE))</f>
        <v>0.37062499999999998</v>
      </c>
      <c r="H1156" s="262">
        <f>IF(OR(MO.RealTimeStockPriceToggle=FALSE,VLOOKUP(MO.DataSourceName,MO_SPT_StockAverage_Sources,COLUMN(),FALSE)="N/A"),VLOOKUP("Real-Time Off Source",MO_SPT_StockAverage_Sources,COLUMN(),FALSE),VLOOKUP(MO.DataSourceName,MO_SPT_StockAverage_Sources,COLUMN(),FALSE))</f>
        <v>0.31912499999999999</v>
      </c>
      <c r="I1156" s="262">
        <f>IF(OR(MO.RealTimeStockPriceToggle=FALSE,VLOOKUP(MO.DataSourceName,MO_SPT_StockAverage_Sources,COLUMN(),FALSE)="N/A"),VLOOKUP("Real-Time Off Source",MO_SPT_StockAverage_Sources,COLUMN(),FALSE),VLOOKUP(MO.DataSourceName,MO_SPT_StockAverage_Sources,COLUMN(),FALSE))</f>
        <v>0.33812500000000001</v>
      </c>
      <c r="J1156" s="262">
        <f>IF(OR(MO.RealTimeStockPriceToggle=FALSE,VLOOKUP(MO.DataSourceName,MO_SPT_StockAverage_Sources,COLUMN(),FALSE)="N/A"),VLOOKUP("Real-Time Off Source",MO_SPT_StockAverage_Sources,COLUMN(),FALSE),VLOOKUP(MO.DataSourceName,MO_SPT_StockAverage_Sources,COLUMN(),FALSE))</f>
        <v>0.30425000000000002</v>
      </c>
      <c r="K1156" s="262">
        <f>IF(OR(MO.RealTimeStockPriceToggle=FALSE,VLOOKUP(MO.DataSourceName,MO_SPT_StockAverage_Sources,COLUMN(),FALSE)="N/A"),VLOOKUP("Real-Time Off Source",MO_SPT_StockAverage_Sources,COLUMN(),FALSE),VLOOKUP(MO.DataSourceName,MO_SPT_StockAverage_Sources,COLUMN(),FALSE))</f>
        <v>0.33303125</v>
      </c>
      <c r="L1156" s="262">
        <f>IF(OR(MO.RealTimeStockPriceToggle=FALSE,VLOOKUP(MO.DataSourceName,MO_SPT_StockAverage_Sources,COLUMN(),FALSE)="N/A"),VLOOKUP("Real-Time Off Source",MO_SPT_StockAverage_Sources,COLUMN(),FALSE),VLOOKUP(MO.DataSourceName,MO_SPT_StockAverage_Sources,COLUMN(),FALSE))</f>
        <v>0.31924999999999998</v>
      </c>
      <c r="M1156" s="262">
        <f>IF(OR(MO.RealTimeStockPriceToggle=FALSE,VLOOKUP(MO.DataSourceName,MO_SPT_StockAverage_Sources,COLUMN(),FALSE)="N/A"),VLOOKUP("Real-Time Off Source",MO_SPT_StockAverage_Sources,COLUMN(),FALSE),VLOOKUP(MO.DataSourceName,MO_SPT_StockAverage_Sources,COLUMN(),FALSE))</f>
        <v>0.36062500000000003</v>
      </c>
      <c r="N1156" s="262">
        <f>IF(OR(MO.RealTimeStockPriceToggle=FALSE,VLOOKUP(MO.DataSourceName,MO_SPT_StockAverage_Sources,COLUMN(),FALSE)="N/A"),VLOOKUP("Real-Time Off Source",MO_SPT_StockAverage_Sources,COLUMN(),FALSE),VLOOKUP(MO.DataSourceName,MO_SPT_StockAverage_Sources,COLUMN(),FALSE))</f>
        <v>0.36512500000000003</v>
      </c>
      <c r="O1156" s="262">
        <f>IF(OR(MO.RealTimeStockPriceToggle=FALSE,VLOOKUP(MO.DataSourceName,MO_SPT_StockAverage_Sources,COLUMN(),FALSE)="N/A"),VLOOKUP("Real-Time Off Source",MO_SPT_StockAverage_Sources,COLUMN(),FALSE),VLOOKUP(MO.DataSourceName,MO_SPT_StockAverage_Sources,COLUMN(),FALSE))</f>
        <v>0.38700000000000001</v>
      </c>
      <c r="P1156" s="262">
        <f>IF(OR(MO.RealTimeStockPriceToggle=FALSE,VLOOKUP(MO.DataSourceName,MO_SPT_StockAverage_Sources,COLUMN(),FALSE)="N/A"),VLOOKUP("Real-Time Off Source",MO_SPT_StockAverage_Sources,COLUMN(),FALSE),VLOOKUP(MO.DataSourceName,MO_SPT_StockAverage_Sources,COLUMN(),FALSE))</f>
        <v>0.35799999999999998</v>
      </c>
      <c r="Q1156" s="262">
        <f>IF(OR(MO.RealTimeStockPriceToggle=FALSE,VLOOKUP(MO.DataSourceName,MO_SPT_StockAverage_Sources,COLUMN(),FALSE)="N/A"),VLOOKUP("Real-Time Off Source",MO_SPT_StockAverage_Sources,COLUMN(),FALSE),VLOOKUP(MO.DataSourceName,MO_SPT_StockAverage_Sources,COLUMN(),FALSE))</f>
        <v>0.43475000000000003</v>
      </c>
      <c r="R1156" s="262">
        <f>IF(OR(MO.RealTimeStockPriceToggle=FALSE,VLOOKUP(MO.DataSourceName,MO_SPT_StockAverage_Sources,COLUMN(),FALSE)="N/A"),VLOOKUP("Real-Time Off Source",MO_SPT_StockAverage_Sources,COLUMN(),FALSE),VLOOKUP(MO.DataSourceName,MO_SPT_StockAverage_Sources,COLUMN(),FALSE))</f>
        <v>0.46799999999999997</v>
      </c>
      <c r="S1156" s="262">
        <f>IF(OR(MO.RealTimeStockPriceToggle=FALSE,VLOOKUP(MO.DataSourceName,MO_SPT_StockAverage_Sources,COLUMN(),FALSE)="N/A"),VLOOKUP("Real-Time Off Source",MO_SPT_StockAverage_Sources,COLUMN(),FALSE),VLOOKUP(MO.DataSourceName,MO_SPT_StockAverage_Sources,COLUMN(),FALSE))</f>
        <v>0.46150000000000002</v>
      </c>
      <c r="T1156" s="262">
        <f>IF(OR(MO.RealTimeStockPriceToggle=FALSE,VLOOKUP(MO.DataSourceName,MO_SPT_StockAverage_Sources,COLUMN(),FALSE)="N/A"),VLOOKUP("Real-Time Off Source",MO_SPT_StockAverage_Sources,COLUMN(),FALSE),VLOOKUP(MO.DataSourceName,MO_SPT_StockAverage_Sources,COLUMN(),FALSE))</f>
        <v>0.49400000000000005</v>
      </c>
      <c r="U1156" s="262">
        <f>IF(OR(MO.RealTimeStockPriceToggle=FALSE,VLOOKUP(MO.DataSourceName,MO_SPT_StockAverage_Sources,COLUMN(),FALSE)="N/A"),VLOOKUP("Real-Time Off Source",MO_SPT_StockAverage_Sources,COLUMN(),FALSE),VLOOKUP(MO.DataSourceName,MO_SPT_StockAverage_Sources,COLUMN(),FALSE))</f>
        <v>0.46456249999999999</v>
      </c>
      <c r="V1156" s="262">
        <f>IF(OR(MO.RealTimeStockPriceToggle=FALSE,VLOOKUP(MO.DataSourceName,MO_SPT_StockAverage_Sources,COLUMN(),FALSE)="N/A"),VLOOKUP("Real-Time Off Source",MO_SPT_StockAverage_Sources,COLUMN(),FALSE),VLOOKUP(MO.DataSourceName,MO_SPT_StockAverage_Sources,COLUMN(),FALSE))</f>
        <v>0.53187499999999999</v>
      </c>
      <c r="W1156" s="262">
        <f>IF(OR(MO.RealTimeStockPriceToggle=FALSE,VLOOKUP(MO.DataSourceName,MO_SPT_StockAverage_Sources,COLUMN(),FALSE)="N/A"),VLOOKUP("Real-Time Off Source",MO_SPT_StockAverage_Sources,COLUMN(),FALSE),VLOOKUP(MO.DataSourceName,MO_SPT_StockAverage_Sources,COLUMN(),FALSE))</f>
        <v>0.52549999999999997</v>
      </c>
      <c r="X1156" s="262">
        <f>IF(OR(MO.RealTimeStockPriceToggle=FALSE,VLOOKUP(MO.DataSourceName,MO_SPT_StockAverage_Sources,COLUMN(),FALSE)="N/A"),VLOOKUP("Real-Time Off Source",MO_SPT_StockAverage_Sources,COLUMN(),FALSE),VLOOKUP(MO.DataSourceName,MO_SPT_StockAverage_Sources,COLUMN(),FALSE))</f>
        <v>0.59837499999999999</v>
      </c>
      <c r="Y1156" s="262">
        <f>IF(OR(MO.RealTimeStockPriceToggle=FALSE,VLOOKUP(MO.DataSourceName,MO_SPT_StockAverage_Sources,COLUMN(),FALSE)="N/A"),VLOOKUP("Real-Time Off Source",MO_SPT_StockAverage_Sources,COLUMN(),FALSE),VLOOKUP(MO.DataSourceName,MO_SPT_StockAverage_Sources,COLUMN(),FALSE))</f>
        <v>0.75487499999999996</v>
      </c>
      <c r="Z1156" s="262">
        <f>IF(OR(MO.RealTimeStockPriceToggle=FALSE,VLOOKUP(MO.DataSourceName,MO_SPT_StockAverage_Sources,COLUMN(),FALSE)="N/A"),VLOOKUP("Real-Time Off Source",MO_SPT_StockAverage_Sources,COLUMN(),FALSE),VLOOKUP(MO.DataSourceName,MO_SPT_StockAverage_Sources,COLUMN(),FALSE))</f>
        <v>0.60265625</v>
      </c>
      <c r="AA1156" s="262">
        <f>IF(OR(MO.RealTimeStockPriceToggle=FALSE,VLOOKUP(MO.DataSourceName,MO_SPT_StockAverage_Sources,COLUMN(),FALSE)="N/A"),VLOOKUP("Real-Time Off Source",MO_SPT_StockAverage_Sources,COLUMN(),FALSE),VLOOKUP(MO.DataSourceName,MO_SPT_StockAverage_Sources,COLUMN(),FALSE))</f>
        <v>0.77762500000000001</v>
      </c>
      <c r="AB1156" s="262">
        <f>IF(OR(MO.RealTimeStockPriceToggle=FALSE,VLOOKUP(MO.DataSourceName,MO_SPT_StockAverage_Sources,COLUMN(),FALSE)="N/A"),VLOOKUP("Real-Time Off Source",MO_SPT_StockAverage_Sources,COLUMN(),FALSE),VLOOKUP(MO.DataSourceName,MO_SPT_StockAverage_Sources,COLUMN(),FALSE))</f>
        <v>1.1456250000000001</v>
      </c>
      <c r="AC1156" s="262">
        <f>IF(OR(MO.RealTimeStockPriceToggle=FALSE,VLOOKUP(MO.DataSourceName,MO_SPT_StockAverage_Sources,COLUMN(),FALSE)="N/A"),VLOOKUP("Real-Time Off Source",MO_SPT_StockAverage_Sources,COLUMN(),FALSE),VLOOKUP(MO.DataSourceName,MO_SPT_StockAverage_Sources,COLUMN(),FALSE))</f>
        <v>1.6056249999999999</v>
      </c>
      <c r="AD1156" s="262">
        <f>IF(OR(MO.RealTimeStockPriceToggle=FALSE,VLOOKUP(MO.DataSourceName,MO_SPT_StockAverage_Sources,COLUMN(),FALSE)="N/A"),VLOOKUP("Real-Time Off Source",MO_SPT_StockAverage_Sources,COLUMN(),FALSE),VLOOKUP(MO.DataSourceName,MO_SPT_StockAverage_Sources,COLUMN(),FALSE))</f>
        <v>2.331375</v>
      </c>
      <c r="AE1156" s="262">
        <f>IF(OR(MO.RealTimeStockPriceToggle=FALSE,VLOOKUP(MO.DataSourceName,MO_SPT_StockAverage_Sources,COLUMN(),FALSE)="N/A"),VLOOKUP("Real-Time Off Source",MO_SPT_StockAverage_Sources,COLUMN(),FALSE),VLOOKUP(MO.DataSourceName,MO_SPT_StockAverage_Sources,COLUMN(),FALSE))</f>
        <v>1.4650624999999999</v>
      </c>
      <c r="AF1156" s="262">
        <f>IF(OR(MO.RealTimeStockPriceToggle=FALSE,VLOOKUP(MO.DataSourceName,MO_SPT_StockAverage_Sources,COLUMN(),FALSE)="N/A"),VLOOKUP("Real-Time Off Source",MO_SPT_StockAverage_Sources,COLUMN(),FALSE),VLOOKUP(MO.DataSourceName,MO_SPT_StockAverage_Sources,COLUMN(),FALSE))</f>
        <v>2.7011250000000002</v>
      </c>
      <c r="AG1156" s="262">
        <f>IF(OR(MO.RealTimeStockPriceToggle=FALSE,VLOOKUP(MO.DataSourceName,MO_SPT_StockAverage_Sources,COLUMN(),FALSE)="N/A"),VLOOKUP("Real-Time Off Source",MO_SPT_StockAverage_Sources,COLUMN(),FALSE),VLOOKUP(MO.DataSourceName,MO_SPT_StockAverage_Sources,COLUMN(),FALSE))</f>
        <v>3.403</v>
      </c>
      <c r="AH1156" s="262">
        <f>IF(OR(MO.RealTimeStockPriceToggle=FALSE,VLOOKUP(MO.DataSourceName,MO_SPT_StockAverage_Sources,COLUMN(),FALSE)="N/A"),VLOOKUP("Real-Time Off Source",MO_SPT_StockAverage_Sources,COLUMN(),FALSE),VLOOKUP(MO.DataSourceName,MO_SPT_StockAverage_Sources,COLUMN(),FALSE))</f>
        <v>4.4472499999999995</v>
      </c>
      <c r="AI1156" s="262">
        <f>IF(OR(MO.RealTimeStockPriceToggle=FALSE,VLOOKUP(MO.DataSourceName,MO_SPT_StockAverage_Sources,COLUMN(),FALSE)="N/A"),VLOOKUP("Real-Time Off Source",MO_SPT_StockAverage_Sources,COLUMN(),FALSE),VLOOKUP(MO.DataSourceName,MO_SPT_StockAverage_Sources,COLUMN(),FALSE))</f>
        <v>5.2990000000000004</v>
      </c>
      <c r="AJ1156" s="262">
        <f>IF(OR(MO.RealTimeStockPriceToggle=FALSE,VLOOKUP(MO.DataSourceName,MO_SPT_StockAverage_Sources,COLUMN(),FALSE)="N/A"),VLOOKUP("Real-Time Off Source",MO_SPT_StockAverage_Sources,COLUMN(),FALSE),VLOOKUP(MO.DataSourceName,MO_SPT_StockAverage_Sources,COLUMN(),FALSE))</f>
        <v>3.9625937499999999</v>
      </c>
      <c r="AK1156" s="262">
        <f>IF(OR(MO.RealTimeStockPriceToggle=FALSE,VLOOKUP(MO.DataSourceName,MO_SPT_StockAverage_Sources,COLUMN(),FALSE)="N/A"),VLOOKUP("Real-Time Off Source",MO_SPT_StockAverage_Sources,COLUMN(),FALSE),VLOOKUP(MO.DataSourceName,MO_SPT_StockAverage_Sources,COLUMN(),FALSE))</f>
        <v>5.8473654918032754</v>
      </c>
      <c r="AL1156" s="262">
        <f>IF(OR(MO.RealTimeStockPriceToggle=FALSE,VLOOKUP(MO.DataSourceName,MO_SPT_StockAverage_Sources,COLUMN(),FALSE)="N/A"),VLOOKUP("Real-Time Off Source",MO_SPT_StockAverage_Sources,COLUMN(),FALSE),VLOOKUP(MO.DataSourceName,MO_SPT_StockAverage_Sources,COLUMN(),FALSE))</f>
        <v>6.2506023437499998</v>
      </c>
      <c r="AM1156" s="262">
        <f>IF(OR(MO.RealTimeStockPriceToggle=FALSE,VLOOKUP(MO.DataSourceName,MO_SPT_StockAverage_Sources,COLUMN(),FALSE)="N/A"),VLOOKUP("Real-Time Off Source",MO_SPT_StockAverage_Sources,COLUMN(),FALSE),VLOOKUP(MO.DataSourceName,MO_SPT_StockAverage_Sources,COLUMN(),FALSE))</f>
        <v>6.4101781923076997</v>
      </c>
      <c r="AN1156" s="262">
        <f>IF(OR(MO.RealTimeStockPriceToggle=FALSE,VLOOKUP(MO.DataSourceName,MO_SPT_StockAverage_Sources,COLUMN(),FALSE)="N/A"),VLOOKUP("Real-Time Off Source",MO_SPT_StockAverage_Sources,COLUMN(),FALSE),VLOOKUP(MO.DataSourceName,MO_SPT_StockAverage_Sources,COLUMN(),FALSE))</f>
        <v>3.9246825819672253</v>
      </c>
      <c r="AO1156" s="262">
        <f>IF(OR(MO.RealTimeStockPriceToggle=FALSE,VLOOKUP(MO.DataSourceName,MO_SPT_StockAverage_Sources,COLUMN(),FALSE)="N/A"),VLOOKUP("Real-Time Off Source",MO_SPT_StockAverage_Sources,COLUMN(),FALSE),VLOOKUP(MO.DataSourceName,MO_SPT_StockAverage_Sources,COLUMN(),FALSE))</f>
        <v>5.628665597609575</v>
      </c>
      <c r="AP1156" s="262">
        <f>IF(OR(MO.RealTimeStockPriceToggle=FALSE,VLOOKUP(MO.DataSourceName,MO_SPT_StockAverage_Sources,COLUMN(),FALSE)="N/A"),VLOOKUP("Real-Time Off Source",MO_SPT_StockAverage_Sources,COLUMN(),FALSE),VLOOKUP(MO.DataSourceName,MO_SPT_StockAverage_Sources,COLUMN(),FALSE))</f>
        <v>4.2435204918032756</v>
      </c>
      <c r="AQ1156" s="262">
        <f>IF(OR(MO.RealTimeStockPriceToggle=FALSE,VLOOKUP(MO.DataSourceName,MO_SPT_StockAverage_Sources,COLUMN(),FALSE)="N/A"),VLOOKUP("Real-Time Off Source",MO_SPT_StockAverage_Sources,COLUMN(),FALSE),VLOOKUP(MO.DataSourceName,MO_SPT_StockAverage_Sources,COLUMN(),FALSE))</f>
        <v>3.9875195312499998</v>
      </c>
      <c r="AR1156" s="262">
        <f>IF(OR(MO.RealTimeStockPriceToggle=FALSE,VLOOKUP(MO.DataSourceName,MO_SPT_StockAverage_Sources,COLUMN(),FALSE)="N/A"),VLOOKUP("Real-Time Off Source",MO_SPT_StockAverage_Sources,COLUMN(),FALSE),VLOOKUP(MO.DataSourceName,MO_SPT_StockAverage_Sources,COLUMN(),FALSE))</f>
        <v>4.4072307692307753</v>
      </c>
      <c r="AS1156" s="262">
        <f>IF(OR(MO.RealTimeStockPriceToggle=FALSE,VLOOKUP(MO.DataSourceName,MO_SPT_StockAverage_Sources,COLUMN(),FALSE)="N/A"),VLOOKUP("Real-Time Off Source",MO_SPT_StockAverage_Sources,COLUMN(),FALSE),VLOOKUP(MO.DataSourceName,MO_SPT_StockAverage_Sources,COLUMN(),FALSE))</f>
        <v>5.6738709677419248</v>
      </c>
      <c r="AT1156" s="262">
        <f>IF(OR(MO.RealTimeStockPriceToggle=FALSE,VLOOKUP(MO.DataSourceName,MO_SPT_StockAverage_Sources,COLUMN(),FALSE)="N/A"),VLOOKUP("Real-Time Off Source",MO_SPT_StockAverage_Sources,COLUMN(),FALSE),VLOOKUP(MO.DataSourceName,MO_SPT_StockAverage_Sources,COLUMN(),FALSE))</f>
        <v>4.5726428571428501</v>
      </c>
      <c r="AU1156" s="262">
        <f>IF(OR(MO.RealTimeStockPriceToggle=FALSE,VLOOKUP(MO.DataSourceName,MO_SPT_StockAverage_Sources,COLUMN(),FALSE)="N/A"),VLOOKUP("Real-Time Off Source",MO_SPT_StockAverage_Sources,COLUMN(),FALSE),VLOOKUP(MO.DataSourceName,MO_SPT_StockAverage_Sources,COLUMN(),FALSE))</f>
        <v>6.5817762096774244</v>
      </c>
      <c r="AV1156" s="262">
        <f>IF(OR(MO.RealTimeStockPriceToggle=FALSE,VLOOKUP(MO.DataSourceName,MO_SPT_StockAverage_Sources,COLUMN(),FALSE)="N/A"),VLOOKUP("Real-Time Off Source",MO_SPT_StockAverage_Sources,COLUMN(),FALSE),VLOOKUP(MO.DataSourceName,MO_SPT_StockAverage_Sources,COLUMN(),FALSE))</f>
        <v>9.2063496093749997</v>
      </c>
      <c r="AW1156" s="262">
        <f>IF(OR(MO.RealTimeStockPriceToggle=FALSE,VLOOKUP(MO.DataSourceName,MO_SPT_StockAverage_Sources,COLUMN(),FALSE)="N/A"),VLOOKUP("Real-Time Off Source",MO_SPT_StockAverage_Sources,COLUMN(),FALSE),VLOOKUP(MO.DataSourceName,MO_SPT_StockAverage_Sources,COLUMN(),FALSE))</f>
        <v>12.781609374999999</v>
      </c>
      <c r="AX1156" s="262">
        <f>IF(OR(MO.RealTimeStockPriceToggle=FALSE,VLOOKUP(MO.DataSourceName,MO_SPT_StockAverage_Sources,COLUMN(),FALSE)="N/A"),VLOOKUP("Real-Time Off Source",MO_SPT_StockAverage_Sources,COLUMN(),FALSE),VLOOKUP(MO.DataSourceName,MO_SPT_StockAverage_Sources,COLUMN(),FALSE))</f>
        <v>13.294950819672124</v>
      </c>
      <c r="AY1156" s="262">
        <f>IF(OR(MO.RealTimeStockPriceToggle=FALSE,VLOOKUP(MO.DataSourceName,MO_SPT_StockAverage_Sources,COLUMN(),FALSE)="N/A"),VLOOKUP("Real-Time Off Source",MO_SPT_StockAverage_Sources,COLUMN(),FALSE),VLOOKUP(MO.DataSourceName,MO_SPT_StockAverage_Sources,COLUMN(),FALSE))</f>
        <v>10.463312749003975</v>
      </c>
      <c r="AZ1156" s="262">
        <f>IF(OR(MO.RealTimeStockPriceToggle=FALSE,VLOOKUP(MO.DataSourceName,MO_SPT_StockAverage_Sources,COLUMN(),FALSE)="N/A"),VLOOKUP("Real-Time Off Source",MO_SPT_StockAverage_Sources,COLUMN(),FALSE),VLOOKUP(MO.DataSourceName,MO_SPT_StockAverage_Sources,COLUMN(),FALSE))</f>
        <v>14.010079365079374</v>
      </c>
      <c r="BA1156" s="262">
        <f>IF(OR(MO.RealTimeStockPriceToggle=FALSE,VLOOKUP(MO.DataSourceName,MO_SPT_StockAverage_Sources,COLUMN(),FALSE)="N/A"),VLOOKUP("Real-Time Off Source",MO_SPT_StockAverage_Sources,COLUMN(),FALSE),VLOOKUP(MO.DataSourceName,MO_SPT_StockAverage_Sources,COLUMN(),FALSE))</f>
        <v>17.573777777777799</v>
      </c>
      <c r="BB1156" s="262">
        <f>IF(OR(MO.RealTimeStockPriceToggle=FALSE,VLOOKUP(MO.DataSourceName,MO_SPT_StockAverage_Sources,COLUMN(),FALSE)="N/A"),VLOOKUP("Real-Time Off Source",MO_SPT_StockAverage_Sources,COLUMN(),FALSE),VLOOKUP(MO.DataSourceName,MO_SPT_StockAverage_Sources,COLUMN(),FALSE))</f>
        <v>21.572734375</v>
      </c>
      <c r="BC1156" s="262">
        <f>IF(OR(MO.RealTimeStockPriceToggle=FALSE,VLOOKUP(MO.DataSourceName,MO_SPT_StockAverage_Sources,COLUMN(),FALSE)="N/A"),VLOOKUP("Real-Time Off Source",MO_SPT_StockAverage_Sources,COLUMN(),FALSE),VLOOKUP(MO.DataSourceName,MO_SPT_StockAverage_Sources,COLUMN(),FALSE))</f>
        <v>28.7625396825397</v>
      </c>
      <c r="BD1156" s="262">
        <f>IF(OR(MO.RealTimeStockPriceToggle=FALSE,VLOOKUP(MO.DataSourceName,MO_SPT_StockAverage_Sources,COLUMN(),FALSE)="N/A"),VLOOKUP("Real-Time Off Source",MO_SPT_StockAverage_Sources,COLUMN(),FALSE),VLOOKUP(MO.DataSourceName,MO_SPT_StockAverage_Sources,COLUMN(),FALSE))</f>
        <v>20.484102766798401</v>
      </c>
      <c r="BE1156" s="262">
        <f>IF(OR(MO.RealTimeStockPriceToggle=FALSE,VLOOKUP(MO.DataSourceName,MO_SPT_StockAverage_Sources,COLUMN(),FALSE)="N/A"),VLOOKUP("Real-Time Off Source",MO_SPT_StockAverage_Sources,COLUMN(),FALSE),VLOOKUP(MO.DataSourceName,MO_SPT_StockAverage_Sources,COLUMN(),FALSE))</f>
        <v>23.850838709677397</v>
      </c>
      <c r="BF1156" s="262">
        <f>IF(OR(MO.RealTimeStockPriceToggle=FALSE,VLOOKUP(MO.DataSourceName,MO_SPT_StockAverage_Sources,COLUMN(),FALSE)="N/A"),VLOOKUP("Real-Time Off Source",MO_SPT_StockAverage_Sources,COLUMN(),FALSE),VLOOKUP(MO.DataSourceName,MO_SPT_StockAverage_Sources,COLUMN(),FALSE))</f>
        <v>17.0571612903226</v>
      </c>
      <c r="BG1156" s="262">
        <f>IF(OR(MO.RealTimeStockPriceToggle=FALSE,VLOOKUP(MO.DataSourceName,MO_SPT_StockAverage_Sources,COLUMN(),FALSE)="N/A"),VLOOKUP("Real-Time Off Source",MO_SPT_StockAverage_Sources,COLUMN(),FALSE),VLOOKUP(MO.DataSourceName,MO_SPT_StockAverage_Sources,COLUMN(),FALSE))</f>
        <v>14.570169230769201</v>
      </c>
      <c r="BH1156" s="262">
        <f>IF(OR(MO.RealTimeStockPriceToggle=FALSE,VLOOKUP(MO.DataSourceName,MO_SPT_StockAverage_Sources,COLUMN(),FALSE)="N/A"),VLOOKUP("Real-Time Off Source",MO_SPT_StockAverage_Sources,COLUMN(),FALSE),VLOOKUP(MO.DataSourceName,MO_SPT_StockAverage_Sources,COLUMN(),FALSE))</f>
        <v>16.250193548387099</v>
      </c>
      <c r="BI1156" s="262">
        <f>IF(OR(MO.RealTimeStockPriceToggle=FALSE,VLOOKUP(MO.DataSourceName,MO_SPT_StockAverage_Sources,COLUMN(),FALSE)="N/A"),VLOOKUP("Real-Time Off Source",MO_SPT_StockAverage_Sources,COLUMN(),FALSE),VLOOKUP(MO.DataSourceName,MO_SPT_StockAverage_Sources,COLUMN(),FALSE))</f>
        <v>17.891908366533901</v>
      </c>
      <c r="BJ1156" s="262">
        <f>IF(OR(MO.RealTimeStockPriceToggle=FALSE,VLOOKUP(MO.DataSourceName,MO_SPT_StockAverage_Sources,COLUMN(),FALSE)="N/A"),VLOOKUP("Real-Time Off Source",MO_SPT_StockAverage_Sources,COLUMN(),FALSE),VLOOKUP(MO.DataSourceName,MO_SPT_StockAverage_Sources,COLUMN(),FALSE))</f>
        <v>24.788819672131101</v>
      </c>
      <c r="BK1156" s="262">
        <f>IF(OR(MO.RealTimeStockPriceToggle=FALSE,VLOOKUP(MO.DataSourceName,MO_SPT_StockAverage_Sources,COLUMN(),FALSE)="N/A"),VLOOKUP("Real-Time Off Source",MO_SPT_StockAverage_Sources,COLUMN(),FALSE),VLOOKUP(MO.DataSourceName,MO_SPT_StockAverage_Sources,COLUMN(),FALSE))</f>
        <v>38.696174603174597</v>
      </c>
      <c r="BL1156" s="262">
        <f>IF(OR(MO.RealTimeStockPriceToggle=FALSE,VLOOKUP(MO.DataSourceName,MO_SPT_StockAverage_Sources,COLUMN(),FALSE)="N/A"),VLOOKUP("Real-Time Off Source",MO_SPT_StockAverage_Sources,COLUMN(),FALSE),VLOOKUP(MO.DataSourceName,MO_SPT_StockAverage_Sources,COLUMN(),FALSE))</f>
        <v>44.563875000000003</v>
      </c>
      <c r="BM1156" s="262">
        <f>IF(OR(MO.RealTimeStockPriceToggle=FALSE,VLOOKUP(MO.DataSourceName,MO_SPT_StockAverage_Sources,COLUMN(),FALSE)="N/A"),VLOOKUP("Real-Time Off Source",MO_SPT_StockAverage_Sources,COLUMN(),FALSE),VLOOKUP(MO.DataSourceName,MO_SPT_StockAverage_Sources,COLUMN(),FALSE))</f>
        <v>49.773590163934401</v>
      </c>
      <c r="BN1156" s="262">
        <f>IF(OR(MO.RealTimeStockPriceToggle=FALSE,VLOOKUP(MO.DataSourceName,MO_SPT_StockAverage_Sources,COLUMN(),FALSE)="N/A"),VLOOKUP("Real-Time Off Source",MO_SPT_StockAverage_Sources,COLUMN(),FALSE),VLOOKUP(MO.DataSourceName,MO_SPT_StockAverage_Sources,COLUMN(),FALSE))</f>
        <v>39.320895999999998</v>
      </c>
      <c r="BO1156" s="262">
        <f>IF(OR(MO.RealTimeStockPriceToggle=FALSE,VLOOKUP(MO.DataSourceName,MO_SPT_StockAverage_Sources,COLUMN(),FALSE)="N/A"),VLOOKUP("Real-Time Off Source",MO_SPT_StockAverage_Sources,COLUMN(),FALSE),VLOOKUP(MO.DataSourceName,MO_SPT_StockAverage_Sources,COLUMN(),FALSE))</f>
        <v>81.554801587301597</v>
      </c>
      <c r="BP1156" s="262">
        <f>IF(OR(MO.RealTimeStockPriceToggle=FALSE,VLOOKUP(MO.DataSourceName,MO_SPT_StockAverage_Sources,COLUMN(),FALSE)="N/A"),VLOOKUP("Real-Time Off Source",MO_SPT_StockAverage_Sources,COLUMN(),FALSE),VLOOKUP(MO.DataSourceName,MO_SPT_StockAverage_Sources,COLUMN(),FALSE))</f>
        <v>113.031225806452</v>
      </c>
      <c r="BQ1156" s="262">
        <f>IF(OR(MO.RealTimeStockPriceToggle=FALSE,VLOOKUP(MO.DataSourceName,MO_SPT_StockAverage_Sources,COLUMN(),FALSE)="N/A"),VLOOKUP("Real-Time Off Source",MO_SPT_StockAverage_Sources,COLUMN(),FALSE),VLOOKUP(MO.DataSourceName,MO_SPT_StockAverage_Sources,COLUMN(),FALSE))</f>
        <v>121.0271875</v>
      </c>
      <c r="BR1156" s="262">
        <f>IF(OR(MO.RealTimeStockPriceToggle=FALSE,VLOOKUP(MO.DataSourceName,MO_SPT_StockAverage_Sources,COLUMN(),FALSE)="N/A"),VLOOKUP("Real-Time Off Source",MO_SPT_StockAverage_Sources,COLUMN(),FALSE),VLOOKUP(MO.DataSourceName,MO_SPT_StockAverage_Sources,COLUMN(),FALSE))</f>
        <v>139.73875000000001</v>
      </c>
      <c r="BS1156" s="262">
        <f>IF(OR(MO.RealTimeStockPriceToggle=FALSE,VLOOKUP(MO.DataSourceName,MO_SPT_StockAverage_Sources,COLUMN(),FALSE)="N/A"),VLOOKUP("Real-Time Off Source",MO_SPT_StockAverage_Sources,COLUMN(),FALSE),VLOOKUP(MO.DataSourceName,MO_SPT_StockAverage_Sources,COLUMN(),FALSE))</f>
        <v>113.558046184739</v>
      </c>
      <c r="BT1156" s="262">
        <f>IF(OR(MO.RealTimeStockPriceToggle=FALSE,VLOOKUP(MO.DataSourceName,MO_SPT_StockAverage_Sources,COLUMN(),FALSE)="N/A"),VLOOKUP("Real-Time Off Source",MO_SPT_StockAverage_Sources,COLUMN(),FALSE),VLOOKUP(MO.DataSourceName,MO_SPT_StockAverage_Sources,COLUMN(),FALSE))</f>
        <v>81.554801587301597</v>
      </c>
      <c r="BU1156" s="262">
        <f>IF(OR(MO.RealTimeStockPriceToggle=FALSE,VLOOKUP(MO.DataSourceName,MO_SPT_StockAverage_Sources,COLUMN(),FALSE)="N/A"),VLOOKUP("Real-Time Off Source",MO_SPT_StockAverage_Sources,COLUMN(),FALSE),VLOOKUP(MO.DataSourceName,MO_SPT_StockAverage_Sources,COLUMN(),FALSE))</f>
        <v>143.58274193548399</v>
      </c>
      <c r="BV1156" s="262">
        <f>IF(OR(MO.RealTimeStockPriceToggle=FALSE,VLOOKUP(MO.DataSourceName,MO_SPT_StockAverage_Sources,COLUMN(),FALSE)="N/A"),VLOOKUP("Real-Time Off Source",MO_SPT_StockAverage_Sources,COLUMN(),FALSE),VLOOKUP(MO.DataSourceName,MO_SPT_StockAverage_Sources,COLUMN(),FALSE))</f>
        <v>179.57187500000001</v>
      </c>
      <c r="BW1156" s="262">
        <f>IF(OR(MO.RealTimeStockPriceToggle=FALSE,VLOOKUP(MO.DataSourceName,MO_SPT_StockAverage_Sources,COLUMN(),FALSE)="N/A"),VLOOKUP("Real-Time Off Source",MO_SPT_StockAverage_Sources,COLUMN(),FALSE),VLOOKUP(MO.DataSourceName,MO_SPT_StockAverage_Sources,COLUMN(),FALSE))</f>
        <v>186.431147540984</v>
      </c>
      <c r="BX1156" s="262">
        <f>IF(OR(MO.RealTimeStockPriceToggle=FALSE,VLOOKUP(MO.DataSourceName,MO_SPT_StockAverage_Sources,COLUMN(),FALSE)="N/A"),VLOOKUP("Real-Time Off Source",MO_SPT_StockAverage_Sources,COLUMN(),FALSE),VLOOKUP(MO.DataSourceName,MO_SPT_StockAverage_Sources,COLUMN(),FALSE))</f>
        <v>156.64511999999999</v>
      </c>
      <c r="BY1156" s="531">
        <f>IF(OR(MO.RealTimeStockPriceToggle=FALSE,VLOOKUP(MO.DataSourceName,MO_SPT_StockAverage_Sources,COLUMN(),FALSE)="N/A"),VLOOKUP("Real-Time Off Source",MO_SPT_StockAverage_Sources,COLUMN(),FALSE),VLOOKUP(MO.DataSourceName,MO_SPT_StockAverage_Sources,COLUMN(),FALSE))</f>
        <v>185.19793650793699</v>
      </c>
      <c r="BZ1156" s="262">
        <f>IF(OR(MO.RealTimeStockPriceToggle=FALSE,VLOOKUP(MO.DataSourceName,MO_SPT_StockAverage_Sources,COLUMN(),FALSE)="N/A"),VLOOKUP("Real-Time Off Source",MO_SPT_StockAverage_Sources,COLUMN(),FALSE),VLOOKUP(MO.DataSourceName,MO_SPT_StockAverage_Sources,COLUMN(),FALSE))</f>
        <v>0</v>
      </c>
      <c r="CA1156" s="262">
        <f>IF(OR(MO.RealTimeStockPriceToggle=FALSE,VLOOKUP(MO.DataSourceName,MO_SPT_StockAverage_Sources,COLUMN(),FALSE)="N/A"),VLOOKUP("Real-Time Off Source",MO_SPT_StockAverage_Sources,COLUMN(),FALSE),VLOOKUP(MO.DataSourceName,MO_SPT_StockAverage_Sources,COLUMN(),FALSE))</f>
        <v>0</v>
      </c>
      <c r="CB1156" s="262">
        <f>IF(OR(MO.RealTimeStockPriceToggle=FALSE,VLOOKUP(MO.DataSourceName,MO_SPT_StockAverage_Sources,COLUMN(),FALSE)="N/A"),VLOOKUP("Real-Time Off Source",MO_SPT_StockAverage_Sources,COLUMN(),FALSE),VLOOKUP(MO.DataSourceName,MO_SPT_StockAverage_Sources,COLUMN(),FALSE))</f>
        <v>0</v>
      </c>
      <c r="CC1156" s="262">
        <f>IF(OR(MO.RealTimeStockPriceToggle=FALSE,VLOOKUP(MO.DataSourceName,MO_SPT_StockAverage_Sources,COLUMN(),FALSE)="N/A"),VLOOKUP("Real-Time Off Source",MO_SPT_StockAverage_Sources,COLUMN(),FALSE),VLOOKUP(MO.DataSourceName,MO_SPT_StockAverage_Sources,COLUMN(),FALSE))</f>
        <v>0</v>
      </c>
      <c r="CD1156" s="262">
        <f>IF(OR(MO.RealTimeStockPriceToggle=FALSE,VLOOKUP(MO.DataSourceName,MO_SPT_StockAverage_Sources,COLUMN(),FALSE)="N/A"),VLOOKUP("Real-Time Off Source",MO_SPT_StockAverage_Sources,COLUMN(),FALSE),VLOOKUP(MO.DataSourceName,MO_SPT_StockAverage_Sources,COLUMN(),FALSE))</f>
        <v>0</v>
      </c>
      <c r="CE1156" s="262">
        <f>IF(OR(MO.RealTimeStockPriceToggle=FALSE,VLOOKUP(MO.DataSourceName,MO_SPT_StockAverage_Sources,COLUMN(),FALSE)="N/A"),VLOOKUP("Real-Time Off Source",MO_SPT_StockAverage_Sources,COLUMN(),FALSE),VLOOKUP(MO.DataSourceName,MO_SPT_StockAverage_Sources,COLUMN(),FALSE))</f>
        <v>0</v>
      </c>
      <c r="CF1156" s="262">
        <f>IF(OR(MO.RealTimeStockPriceToggle=FALSE,VLOOKUP(MO.DataSourceName,MO_SPT_StockAverage_Sources,COLUMN(),FALSE)="N/A"),VLOOKUP("Real-Time Off Source",MO_SPT_StockAverage_Sources,COLUMN(),FALSE),VLOOKUP(MO.DataSourceName,MO_SPT_StockAverage_Sources,COLUMN(),FALSE))</f>
        <v>0</v>
      </c>
      <c r="CG1156" s="262">
        <f>IF(OR(MO.RealTimeStockPriceToggle=FALSE,VLOOKUP(MO.DataSourceName,MO_SPT_StockAverage_Sources,COLUMN(),FALSE)="N/A"),VLOOKUP("Real-Time Off Source",MO_SPT_StockAverage_Sources,COLUMN(),FALSE),VLOOKUP(MO.DataSourceName,MO_SPT_StockAverage_Sources,COLUMN(),FALSE))</f>
        <v>0</v>
      </c>
      <c r="CH1156" s="262">
        <f>IF(OR(MO.RealTimeStockPriceToggle=FALSE,VLOOKUP(MO.DataSourceName,MO_SPT_StockAverage_Sources,COLUMN(),FALSE)="N/A"),VLOOKUP("Real-Time Off Source",MO_SPT_StockAverage_Sources,COLUMN(),FALSE),VLOOKUP(MO.DataSourceName,MO_SPT_StockAverage_Sources,COLUMN(),FALSE))</f>
        <v>0</v>
      </c>
      <c r="CI1156" s="262">
        <f>IF(OR(MO.RealTimeStockPriceToggle=FALSE,VLOOKUP(MO.DataSourceName,MO_SPT_StockAverage_Sources,COLUMN(),FALSE)="N/A"),VLOOKUP("Real-Time Off Source",MO_SPT_StockAverage_Sources,COLUMN(),FALSE),VLOOKUP(MO.DataSourceName,MO_SPT_StockAverage_Sources,COLUMN(),FALSE))</f>
        <v>0</v>
      </c>
      <c r="CJ1156" s="262">
        <f>IF(OR(MO.RealTimeStockPriceToggle=FALSE,VLOOKUP(MO.DataSourceName,MO_SPT_StockAverage_Sources,COLUMN(),FALSE)="N/A"),VLOOKUP("Real-Time Off Source",MO_SPT_StockAverage_Sources,COLUMN(),FALSE),VLOOKUP(MO.DataSourceName,MO_SPT_StockAverage_Sources,COLUMN(),FALSE))</f>
        <v>0</v>
      </c>
      <c r="CK1156" s="263">
        <f>IF(OR(MO.RealTimeStockPriceToggle=FALSE,VLOOKUP(MO.DataSourceName,MO_SPT_StockAverage_Sources,COLUMN(),FALSE)="N/A"),VLOOKUP("Real-Time Off Source",MO_SPT_StockAverage_Sources,COLUMN(),FALSE),VLOOKUP(MO.DataSourceName,MO_SPT_StockAverage_Sources,COLUMN(),FALSE))</f>
        <v>0</v>
      </c>
      <c r="CL1156" s="155"/>
    </row>
    <row r="1157" spans="1:90" hidden="1" outlineLevel="1" x14ac:dyDescent="0.3">
      <c r="A1157" s="264" t="s">
        <v>268</v>
      </c>
      <c r="B1157" s="262"/>
      <c r="C1157" s="1095">
        <f>(14.53/(4))/(10)</f>
        <v>0.36324999999999996</v>
      </c>
      <c r="D1157" s="1095">
        <f>(12.5425/(4))/(10)</f>
        <v>0.31356250000000002</v>
      </c>
      <c r="E1157" s="1095">
        <f>(14.5575/(4))/(10)</f>
        <v>0.36393749999999997</v>
      </c>
      <c r="F1157" s="1095">
        <f>(16.73/(4))/(10)</f>
        <v>0.41825000000000001</v>
      </c>
      <c r="G1157" s="1095">
        <f>(14.825/(4))/(10)</f>
        <v>0.37062499999999998</v>
      </c>
      <c r="H1157" s="1096">
        <f>(12.765/(4))/(10)</f>
        <v>0.31912499999999999</v>
      </c>
      <c r="I1157" s="1096">
        <f>(13.525/(4))/(10)</f>
        <v>0.33812500000000001</v>
      </c>
      <c r="J1157" s="1096">
        <f>(12.17/(4))/(10)</f>
        <v>0.30425000000000002</v>
      </c>
      <c r="K1157" s="1096">
        <f>(13.32125/(4))/(10)</f>
        <v>0.33303125</v>
      </c>
      <c r="L1157" s="1096">
        <f>(12.77/(4))/(10)</f>
        <v>0.31924999999999998</v>
      </c>
      <c r="M1157" s="1096">
        <f>(14.425/(4))/(10)</f>
        <v>0.36062500000000003</v>
      </c>
      <c r="N1157" s="1096">
        <f>(14.605/(4))/(10)</f>
        <v>0.36512500000000003</v>
      </c>
      <c r="O1157" s="1096">
        <f>(15.48/(4))/(10)</f>
        <v>0.38700000000000001</v>
      </c>
      <c r="P1157" s="1096">
        <f>(14.32/(4))/(10)</f>
        <v>0.35799999999999998</v>
      </c>
      <c r="Q1157" s="1096">
        <f>(17.39/(4))/(10)</f>
        <v>0.43475000000000003</v>
      </c>
      <c r="R1157" s="1096">
        <f>(18.72/(4))/(10)</f>
        <v>0.46799999999999997</v>
      </c>
      <c r="S1157" s="1096">
        <f>(18.46/(4))/(10)</f>
        <v>0.46150000000000002</v>
      </c>
      <c r="T1157" s="1096">
        <f>(19.76/(4))/(10)</f>
        <v>0.49400000000000005</v>
      </c>
      <c r="U1157" s="1096">
        <f>(18.5825/(4))/(10)</f>
        <v>0.46456249999999999</v>
      </c>
      <c r="V1157" s="1096">
        <f>(21.275/(4))/(10)</f>
        <v>0.53187499999999999</v>
      </c>
      <c r="W1157" s="1096">
        <f>(21.02/(4))/(10)</f>
        <v>0.52549999999999997</v>
      </c>
      <c r="X1157" s="1096">
        <f>(23.935/(4))/(10)</f>
        <v>0.59837499999999999</v>
      </c>
      <c r="Y1157" s="1096">
        <f>(30.195/(4))/(10)</f>
        <v>0.75487499999999996</v>
      </c>
      <c r="Z1157" s="1096">
        <f>(24.10625/(4))/(10)</f>
        <v>0.60265625</v>
      </c>
      <c r="AA1157" s="1096">
        <f>(31.105/(4))/(10)</f>
        <v>0.77762500000000001</v>
      </c>
      <c r="AB1157" s="1096">
        <f>(45.825/(4))/(10)</f>
        <v>1.1456250000000001</v>
      </c>
      <c r="AC1157" s="1096">
        <f>(64.225/(4))/(10)</f>
        <v>1.6056249999999999</v>
      </c>
      <c r="AD1157" s="1096">
        <f>(93.255/(4))/(10)</f>
        <v>2.331375</v>
      </c>
      <c r="AE1157" s="1096">
        <f>(58.6025/(4))/(10)</f>
        <v>1.4650624999999999</v>
      </c>
      <c r="AF1157" s="1096">
        <f>(108.045/(4))/(10)</f>
        <v>2.7011250000000002</v>
      </c>
      <c r="AG1157" s="1096">
        <f>(136.12/(4))/(10)</f>
        <v>3.403</v>
      </c>
      <c r="AH1157" s="1096">
        <f>(177.89/(4))/(10)</f>
        <v>4.4472499999999995</v>
      </c>
      <c r="AI1157" s="1096">
        <f>(211.96/(4))/(10)</f>
        <v>5.2990000000000004</v>
      </c>
      <c r="AJ1157" s="1096">
        <f>(158.50375/(4))/(10)</f>
        <v>3.9625937499999999</v>
      </c>
      <c r="AK1157" s="1096">
        <f>(233.894619672131/(4))/(10)</f>
        <v>5.8473654918032754</v>
      </c>
      <c r="AL1157" s="1096">
        <f>(250.02409375/(4))/(10)</f>
        <v>6.2506023437499998</v>
      </c>
      <c r="AM1157" s="1096">
        <f>(256.407127692308/(4))/(10)</f>
        <v>6.4101781923076997</v>
      </c>
      <c r="AN1157" s="1096">
        <f>(156.987303278689/(4))/(10)</f>
        <v>3.9246825819672253</v>
      </c>
      <c r="AO1157" s="1096">
        <f>(225.146623904383/(4))/(10)</f>
        <v>5.628665597609575</v>
      </c>
      <c r="AP1157" s="1096">
        <f>(169.740819672131/(4))/(10)</f>
        <v>4.2435204918032756</v>
      </c>
      <c r="AQ1157" s="1096">
        <f>(159.50078125/(4))/(10)</f>
        <v>3.9875195312499998</v>
      </c>
      <c r="AR1157" s="1096">
        <f>(176.289230769231/(4))/(10)</f>
        <v>4.4072307692307753</v>
      </c>
      <c r="AS1157" s="1096">
        <f>(226.954838709677/(4))/(10)</f>
        <v>5.6738709677419248</v>
      </c>
      <c r="AT1157" s="1096">
        <f>(182.905714285714/(4))/(10)</f>
        <v>4.5726428571428501</v>
      </c>
      <c r="AU1157" s="1096">
        <f>(263.271048387097/(4))/(10)</f>
        <v>6.5817762096774244</v>
      </c>
      <c r="AV1157" s="1096">
        <f>(368.253984375/(4))/(10)</f>
        <v>9.2063496093749997</v>
      </c>
      <c r="AW1157" s="1096">
        <f>(511.264375/(4))/(10)</f>
        <v>12.781609374999999</v>
      </c>
      <c r="AX1157" s="1096">
        <f>(531.798032786885/(4))/(10)</f>
        <v>13.294950819672124</v>
      </c>
      <c r="AY1157" s="1096">
        <f>(418.532509960159/(4))/(10)</f>
        <v>10.463312749003975</v>
      </c>
      <c r="AZ1157" s="1096">
        <f>(560.403174603175/(4))/(10)</f>
        <v>14.010079365079374</v>
      </c>
      <c r="BA1157" s="1096">
        <f>175.737777777778/(10)</f>
        <v>17.573777777777799</v>
      </c>
      <c r="BB1157" s="1096">
        <f>215.72734375/(10)</f>
        <v>21.572734375</v>
      </c>
      <c r="BC1157" s="1096">
        <f>287.625396825397/(10)</f>
        <v>28.7625396825397</v>
      </c>
      <c r="BD1157" s="1096">
        <f>204.841027667984/(10)</f>
        <v>20.484102766798401</v>
      </c>
      <c r="BE1157" s="1096">
        <f>238.508387096774/(10)</f>
        <v>23.850838709677397</v>
      </c>
      <c r="BF1157" s="1096">
        <f>170.571612903226/(10)</f>
        <v>17.0571612903226</v>
      </c>
      <c r="BG1157" s="1096">
        <f>145.701692307692/(10)</f>
        <v>14.570169230769201</v>
      </c>
      <c r="BH1157" s="1096">
        <f>162.501935483871/(10)</f>
        <v>16.250193548387099</v>
      </c>
      <c r="BI1157" s="1096">
        <f>178.919083665339/(10)</f>
        <v>17.891908366533901</v>
      </c>
      <c r="BJ1157" s="1096">
        <f>247.888196721311/(10)</f>
        <v>24.788819672131101</v>
      </c>
      <c r="BK1157" s="1096">
        <f>386.961746031746/(10)</f>
        <v>38.696174603174597</v>
      </c>
      <c r="BL1157" s="1096">
        <f>445.63875/(10)</f>
        <v>44.563875000000003</v>
      </c>
      <c r="BM1157" s="1096">
        <f>497.735901639344/(10)</f>
        <v>49.773590163934401</v>
      </c>
      <c r="BN1157" s="1096">
        <f>393.20896/(10)</f>
        <v>39.320895999999998</v>
      </c>
      <c r="BO1157" s="1096">
        <f>815.548015873016/(10)</f>
        <v>81.554801587301597</v>
      </c>
      <c r="BP1157" s="1096">
        <v>113.031225806452</v>
      </c>
      <c r="BQ1157" s="1096">
        <v>121.0271875</v>
      </c>
      <c r="BR1157" s="1096">
        <v>139.73875000000001</v>
      </c>
      <c r="BS1157" s="1096">
        <v>113.558046184739</v>
      </c>
      <c r="BT1157" s="1096">
        <f>815.548015873016/(10)</f>
        <v>81.554801587301597</v>
      </c>
      <c r="BU1157" s="1096">
        <v>143.58274193548399</v>
      </c>
      <c r="BV1157" s="1096">
        <v>179.57187500000001</v>
      </c>
      <c r="BW1157" s="1096">
        <v>186.431147540984</v>
      </c>
      <c r="BX1157" s="1096">
        <v>156.64511999999999</v>
      </c>
      <c r="BY1157" s="1097">
        <v>185.19793650793699</v>
      </c>
      <c r="BZ1157" s="262"/>
      <c r="CA1157" s="262"/>
      <c r="CB1157" s="262"/>
      <c r="CC1157" s="262"/>
      <c r="CD1157" s="262"/>
      <c r="CE1157" s="262"/>
      <c r="CF1157" s="262"/>
      <c r="CG1157" s="262"/>
      <c r="CH1157" s="262"/>
      <c r="CI1157" s="262"/>
      <c r="CJ1157" s="262"/>
      <c r="CK1157" s="263"/>
      <c r="CL1157" s="155"/>
    </row>
    <row r="1158" spans="1:90" hidden="1" outlineLevel="1" x14ac:dyDescent="0.3">
      <c r="A1158" s="264" t="s">
        <v>7</v>
      </c>
      <c r="B1158" s="262"/>
      <c r="C1158" s="1040" t="s">
        <v>1295</v>
      </c>
      <c r="D1158" s="1040" t="s">
        <v>1295</v>
      </c>
      <c r="E1158" s="1040" t="s">
        <v>1295</v>
      </c>
      <c r="F1158" s="1040" t="s">
        <v>1295</v>
      </c>
      <c r="G1158" s="1040" t="s">
        <v>1295</v>
      </c>
      <c r="H1158" s="262" t="s">
        <v>1295</v>
      </c>
      <c r="I1158" s="262" t="s">
        <v>1295</v>
      </c>
      <c r="J1158" s="262" t="s">
        <v>1295</v>
      </c>
      <c r="K1158" s="262" t="s">
        <v>1295</v>
      </c>
      <c r="L1158" s="262" t="s">
        <v>1295</v>
      </c>
      <c r="M1158" s="262" t="s">
        <v>1295</v>
      </c>
      <c r="N1158" s="262" t="s">
        <v>1295</v>
      </c>
      <c r="O1158" s="262" t="s">
        <v>1295</v>
      </c>
      <c r="P1158" s="262" t="s">
        <v>1295</v>
      </c>
      <c r="Q1158" s="262" t="s">
        <v>1295</v>
      </c>
      <c r="R1158" s="262" t="s">
        <v>1295</v>
      </c>
      <c r="S1158" s="262" t="s">
        <v>1295</v>
      </c>
      <c r="T1158" s="262" t="s">
        <v>1295</v>
      </c>
      <c r="U1158" s="262" t="s">
        <v>1295</v>
      </c>
      <c r="V1158" s="262" t="s">
        <v>1295</v>
      </c>
      <c r="W1158" s="262" t="s">
        <v>1295</v>
      </c>
      <c r="X1158" s="262" t="s">
        <v>1295</v>
      </c>
      <c r="Y1158" s="262" t="s">
        <v>1295</v>
      </c>
      <c r="Z1158" s="262" t="s">
        <v>1295</v>
      </c>
      <c r="AA1158" s="262" t="s">
        <v>1295</v>
      </c>
      <c r="AB1158" s="262" t="s">
        <v>1295</v>
      </c>
      <c r="AC1158" s="262" t="s">
        <v>1295</v>
      </c>
      <c r="AD1158" s="262" t="s">
        <v>1295</v>
      </c>
      <c r="AE1158" s="262" t="s">
        <v>1295</v>
      </c>
      <c r="AF1158" s="262" t="s">
        <v>1295</v>
      </c>
      <c r="AG1158" s="262" t="s">
        <v>1295</v>
      </c>
      <c r="AH1158" s="262" t="s">
        <v>1295</v>
      </c>
      <c r="AI1158" s="262" t="s">
        <v>1295</v>
      </c>
      <c r="AJ1158" s="262" t="s">
        <v>1295</v>
      </c>
      <c r="AK1158" s="262" t="s">
        <v>1295</v>
      </c>
      <c r="AL1158" s="262" t="s">
        <v>1295</v>
      </c>
      <c r="AM1158" s="262" t="s">
        <v>1295</v>
      </c>
      <c r="AN1158" s="262" t="s">
        <v>1295</v>
      </c>
      <c r="AO1158" s="262" t="s">
        <v>1295</v>
      </c>
      <c r="AP1158" s="262" t="s">
        <v>1295</v>
      </c>
      <c r="AQ1158" s="262" t="s">
        <v>1295</v>
      </c>
      <c r="AR1158" s="262" t="s">
        <v>1295</v>
      </c>
      <c r="AS1158" s="262" t="s">
        <v>1295</v>
      </c>
      <c r="AT1158" s="262" t="s">
        <v>1295</v>
      </c>
      <c r="AU1158" s="262" t="s">
        <v>1295</v>
      </c>
      <c r="AV1158" s="262" t="s">
        <v>1295</v>
      </c>
      <c r="AW1158" s="262" t="s">
        <v>1295</v>
      </c>
      <c r="AX1158" s="262" t="s">
        <v>1295</v>
      </c>
      <c r="AY1158" s="262" t="s">
        <v>1295</v>
      </c>
      <c r="AZ1158" s="262" t="s">
        <v>1295</v>
      </c>
      <c r="BA1158" s="262" t="s">
        <v>1295</v>
      </c>
      <c r="BB1158" s="262" t="s">
        <v>1295</v>
      </c>
      <c r="BC1158" s="262" t="s">
        <v>1295</v>
      </c>
      <c r="BD1158" s="262" t="s">
        <v>1295</v>
      </c>
      <c r="BE1158" s="262" t="s">
        <v>1295</v>
      </c>
      <c r="BF1158" s="262" t="s">
        <v>1295</v>
      </c>
      <c r="BG1158" s="262" t="s">
        <v>1295</v>
      </c>
      <c r="BH1158" s="262" t="s">
        <v>1295</v>
      </c>
      <c r="BI1158" s="262" t="s">
        <v>1295</v>
      </c>
      <c r="BJ1158" s="262" t="s">
        <v>1295</v>
      </c>
      <c r="BK1158" s="262" t="s">
        <v>1295</v>
      </c>
      <c r="BL1158" s="262" t="s">
        <v>1295</v>
      </c>
      <c r="BM1158" s="262" t="s">
        <v>1295</v>
      </c>
      <c r="BN1158" s="262" t="s">
        <v>1295</v>
      </c>
      <c r="BO1158" s="262" t="s">
        <v>1295</v>
      </c>
      <c r="BP1158" s="262" t="s">
        <v>1295</v>
      </c>
      <c r="BQ1158" s="262" t="s">
        <v>1295</v>
      </c>
      <c r="BR1158" s="262" t="s">
        <v>1295</v>
      </c>
      <c r="BS1158" s="262" t="s">
        <v>1295</v>
      </c>
      <c r="BT1158" s="262" t="s">
        <v>1295</v>
      </c>
      <c r="BU1158" s="262" t="s">
        <v>1295</v>
      </c>
      <c r="BV1158" s="262" t="s">
        <v>1295</v>
      </c>
      <c r="BW1158" s="262" t="s">
        <v>1295</v>
      </c>
      <c r="BX1158" s="262" t="s">
        <v>1295</v>
      </c>
      <c r="BY1158" s="531" t="s">
        <v>1295</v>
      </c>
      <c r="BZ1158" s="262" t="s">
        <v>1295</v>
      </c>
      <c r="CA1158" s="262" t="s">
        <v>1295</v>
      </c>
      <c r="CB1158" s="262" t="s">
        <v>1295</v>
      </c>
      <c r="CC1158" s="262" t="s">
        <v>1295</v>
      </c>
      <c r="CD1158" s="262" t="s">
        <v>1295</v>
      </c>
      <c r="CE1158" s="262" t="s">
        <v>1295</v>
      </c>
      <c r="CF1158" s="262" t="s">
        <v>1295</v>
      </c>
      <c r="CG1158" s="262" t="s">
        <v>1295</v>
      </c>
      <c r="CH1158" s="262" t="s">
        <v>1295</v>
      </c>
      <c r="CI1158" s="262" t="s">
        <v>1295</v>
      </c>
      <c r="CJ1158" s="262" t="s">
        <v>1295</v>
      </c>
      <c r="CK1158" s="263" t="s">
        <v>1295</v>
      </c>
      <c r="CL1158" s="155"/>
    </row>
    <row r="1159" spans="1:90" hidden="1" outlineLevel="1" x14ac:dyDescent="0.3">
      <c r="A1159" s="264" t="s">
        <v>269</v>
      </c>
      <c r="B1159" s="262"/>
      <c r="C1159" s="1040">
        <v>0.36</v>
      </c>
      <c r="D1159" s="1040">
        <v>0.31</v>
      </c>
      <c r="E1159" s="1040">
        <v>0.35</v>
      </c>
      <c r="F1159" s="1040">
        <v>0.41</v>
      </c>
      <c r="G1159" s="1040">
        <v>0.37</v>
      </c>
      <c r="H1159" s="262">
        <v>0.32</v>
      </c>
      <c r="I1159" s="262">
        <v>0.34</v>
      </c>
      <c r="J1159" s="262">
        <v>0.31</v>
      </c>
      <c r="K1159" s="262">
        <v>0.33</v>
      </c>
      <c r="L1159" s="262">
        <v>0.32</v>
      </c>
      <c r="M1159" s="262">
        <v>0.36</v>
      </c>
      <c r="N1159" s="262">
        <v>0.38</v>
      </c>
      <c r="O1159" s="262">
        <v>0.39</v>
      </c>
      <c r="P1159" s="262">
        <v>0.36</v>
      </c>
      <c r="Q1159" s="262">
        <v>0.45</v>
      </c>
      <c r="R1159" s="262">
        <v>0.47</v>
      </c>
      <c r="S1159" s="262">
        <v>0.46</v>
      </c>
      <c r="T1159" s="262">
        <v>0.5</v>
      </c>
      <c r="U1159" s="262">
        <v>0.47</v>
      </c>
      <c r="V1159" s="262">
        <v>0.55000000000000004</v>
      </c>
      <c r="W1159" s="262">
        <v>0.53</v>
      </c>
      <c r="X1159" s="262">
        <v>0.59</v>
      </c>
      <c r="Y1159" s="262">
        <v>0.77</v>
      </c>
      <c r="Z1159" s="262">
        <v>0.61</v>
      </c>
      <c r="AA1159" s="262">
        <v>0.82</v>
      </c>
      <c r="AB1159" s="262">
        <v>1.1599999999999999</v>
      </c>
      <c r="AC1159" s="262">
        <v>1.6</v>
      </c>
      <c r="AD1159" s="262">
        <v>2.38</v>
      </c>
      <c r="AE1159" s="262">
        <v>1.48</v>
      </c>
      <c r="AF1159" s="262">
        <v>2.63</v>
      </c>
      <c r="AG1159" s="262">
        <v>3.61</v>
      </c>
      <c r="AH1159" s="262">
        <v>4.4000000000000004</v>
      </c>
      <c r="AI1159" s="262">
        <v>5.22</v>
      </c>
      <c r="AJ1159" s="262">
        <v>3.96</v>
      </c>
      <c r="AK1159" s="262">
        <v>5.88</v>
      </c>
      <c r="AL1159" s="262">
        <v>6.26</v>
      </c>
      <c r="AM1159" s="262">
        <v>6.47</v>
      </c>
      <c r="AN1159" s="262">
        <v>4.01</v>
      </c>
      <c r="AO1159" s="262">
        <v>5.68</v>
      </c>
      <c r="AP1159" s="262">
        <v>4.18</v>
      </c>
      <c r="AQ1159" s="262">
        <v>3.99</v>
      </c>
      <c r="AR1159" s="262">
        <v>4.3600000000000003</v>
      </c>
      <c r="AS1159" s="262">
        <v>5.6</v>
      </c>
      <c r="AT1159" s="262">
        <v>4.5199999999999996</v>
      </c>
      <c r="AU1159" s="262">
        <v>6.49</v>
      </c>
      <c r="AV1159" s="262">
        <v>8.99</v>
      </c>
      <c r="AW1159" s="262">
        <v>12.59</v>
      </c>
      <c r="AX1159" s="262">
        <v>13.27</v>
      </c>
      <c r="AY1159" s="262">
        <v>10.38</v>
      </c>
      <c r="AZ1159" s="262">
        <v>14.01</v>
      </c>
      <c r="BA1159" s="262">
        <v>17.57</v>
      </c>
      <c r="BB1159" s="262">
        <v>21.57</v>
      </c>
      <c r="BC1159" s="262">
        <v>28.83</v>
      </c>
      <c r="BD1159" s="262">
        <v>20.47</v>
      </c>
      <c r="BE1159" s="262">
        <v>23.86</v>
      </c>
      <c r="BF1159" s="262">
        <v>17.059999999999999</v>
      </c>
      <c r="BG1159" s="262">
        <v>14.59</v>
      </c>
      <c r="BH1159" s="262">
        <v>16.100000000000001</v>
      </c>
      <c r="BI1159" s="262">
        <v>17.91</v>
      </c>
      <c r="BJ1159" s="262">
        <v>24.62</v>
      </c>
      <c r="BK1159" s="262">
        <v>38.57</v>
      </c>
      <c r="BL1159" s="262">
        <v>44.56</v>
      </c>
      <c r="BM1159" s="262">
        <v>49.77</v>
      </c>
      <c r="BN1159" s="262">
        <v>39.32</v>
      </c>
      <c r="BO1159" s="262">
        <v>81.55</v>
      </c>
      <c r="BP1159" s="262">
        <v>113.03</v>
      </c>
      <c r="BQ1159" s="262">
        <v>121.03</v>
      </c>
      <c r="BR1159" s="262">
        <v>139.74</v>
      </c>
      <c r="BS1159" s="262">
        <v>113.56</v>
      </c>
      <c r="BT1159" s="262">
        <v>117.37</v>
      </c>
      <c r="BU1159" s="262">
        <v>143.58000000000001</v>
      </c>
      <c r="BV1159" s="262">
        <v>179.57</v>
      </c>
      <c r="BW1159" s="262">
        <v>186.43</v>
      </c>
      <c r="BX1159" s="262">
        <v>156.65</v>
      </c>
      <c r="BY1159" s="531">
        <v>185.2</v>
      </c>
      <c r="BZ1159" s="262">
        <v>214.95</v>
      </c>
      <c r="CA1159" s="262">
        <v>0</v>
      </c>
      <c r="CB1159" s="262">
        <v>0</v>
      </c>
      <c r="CC1159" s="262">
        <v>194.58</v>
      </c>
      <c r="CD1159" s="262">
        <v>0</v>
      </c>
      <c r="CE1159" s="262">
        <v>0</v>
      </c>
      <c r="CF1159" s="262">
        <v>0</v>
      </c>
      <c r="CG1159" s="262">
        <v>0</v>
      </c>
      <c r="CH1159" s="262">
        <v>0</v>
      </c>
      <c r="CI1159" s="262">
        <v>0</v>
      </c>
      <c r="CJ1159" s="262">
        <v>0</v>
      </c>
      <c r="CK1159" s="263">
        <v>0</v>
      </c>
      <c r="CL1159" s="155"/>
    </row>
    <row r="1160" spans="1:90" hidden="1" outlineLevel="1" x14ac:dyDescent="0.3">
      <c r="A1160" s="264" t="s">
        <v>270</v>
      </c>
      <c r="B1160" s="262"/>
      <c r="C1160" s="1040" t="s">
        <v>1295</v>
      </c>
      <c r="D1160" s="1040" t="s">
        <v>1295</v>
      </c>
      <c r="E1160" s="1040" t="s">
        <v>1295</v>
      </c>
      <c r="F1160" s="1040" t="s">
        <v>1295</v>
      </c>
      <c r="G1160" s="1040" t="s">
        <v>1295</v>
      </c>
      <c r="H1160" s="262" t="s">
        <v>1295</v>
      </c>
      <c r="I1160" s="262" t="s">
        <v>1295</v>
      </c>
      <c r="J1160" s="262" t="s">
        <v>1295</v>
      </c>
      <c r="K1160" s="262" t="s">
        <v>1295</v>
      </c>
      <c r="L1160" s="262" t="s">
        <v>1295</v>
      </c>
      <c r="M1160" s="262" t="s">
        <v>1295</v>
      </c>
      <c r="N1160" s="262" t="s">
        <v>1295</v>
      </c>
      <c r="O1160" s="262" t="s">
        <v>1295</v>
      </c>
      <c r="P1160" s="262" t="s">
        <v>1295</v>
      </c>
      <c r="Q1160" s="262" t="s">
        <v>1295</v>
      </c>
      <c r="R1160" s="262" t="s">
        <v>1295</v>
      </c>
      <c r="S1160" s="262" t="s">
        <v>1295</v>
      </c>
      <c r="T1160" s="262" t="s">
        <v>1295</v>
      </c>
      <c r="U1160" s="262" t="s">
        <v>1295</v>
      </c>
      <c r="V1160" s="262" t="s">
        <v>1295</v>
      </c>
      <c r="W1160" s="262" t="s">
        <v>1295</v>
      </c>
      <c r="X1160" s="262" t="s">
        <v>1295</v>
      </c>
      <c r="Y1160" s="262" t="s">
        <v>1295</v>
      </c>
      <c r="Z1160" s="262" t="s">
        <v>1295</v>
      </c>
      <c r="AA1160" s="262" t="s">
        <v>1295</v>
      </c>
      <c r="AB1160" s="262" t="s">
        <v>1295</v>
      </c>
      <c r="AC1160" s="262" t="s">
        <v>1295</v>
      </c>
      <c r="AD1160" s="262" t="s">
        <v>1295</v>
      </c>
      <c r="AE1160" s="262" t="s">
        <v>1295</v>
      </c>
      <c r="AF1160" s="262" t="s">
        <v>1295</v>
      </c>
      <c r="AG1160" s="262" t="s">
        <v>1295</v>
      </c>
      <c r="AH1160" s="262" t="s">
        <v>1295</v>
      </c>
      <c r="AI1160" s="262" t="s">
        <v>1295</v>
      </c>
      <c r="AJ1160" s="262" t="s">
        <v>1295</v>
      </c>
      <c r="AK1160" s="262" t="s">
        <v>1295</v>
      </c>
      <c r="AL1160" s="262" t="s">
        <v>1295</v>
      </c>
      <c r="AM1160" s="262" t="s">
        <v>1295</v>
      </c>
      <c r="AN1160" s="262" t="s">
        <v>1295</v>
      </c>
      <c r="AO1160" s="262" t="s">
        <v>1295</v>
      </c>
      <c r="AP1160" s="262" t="s">
        <v>1295</v>
      </c>
      <c r="AQ1160" s="262" t="s">
        <v>1295</v>
      </c>
      <c r="AR1160" s="262" t="s">
        <v>1295</v>
      </c>
      <c r="AS1160" s="262" t="s">
        <v>1295</v>
      </c>
      <c r="AT1160" s="262" t="s">
        <v>1295</v>
      </c>
      <c r="AU1160" s="262" t="s">
        <v>1295</v>
      </c>
      <c r="AV1160" s="262" t="s">
        <v>1295</v>
      </c>
      <c r="AW1160" s="262" t="s">
        <v>1295</v>
      </c>
      <c r="AX1160" s="262" t="s">
        <v>1295</v>
      </c>
      <c r="AY1160" s="262" t="s">
        <v>1295</v>
      </c>
      <c r="AZ1160" s="262" t="s">
        <v>1295</v>
      </c>
      <c r="BA1160" s="262" t="s">
        <v>1295</v>
      </c>
      <c r="BB1160" s="262" t="s">
        <v>1295</v>
      </c>
      <c r="BC1160" s="262" t="s">
        <v>1295</v>
      </c>
      <c r="BD1160" s="262" t="s">
        <v>1295</v>
      </c>
      <c r="BE1160" s="262" t="s">
        <v>1295</v>
      </c>
      <c r="BF1160" s="262" t="s">
        <v>1295</v>
      </c>
      <c r="BG1160" s="262" t="s">
        <v>1295</v>
      </c>
      <c r="BH1160" s="262" t="s">
        <v>1295</v>
      </c>
      <c r="BI1160" s="262" t="s">
        <v>1295</v>
      </c>
      <c r="BJ1160" s="262" t="s">
        <v>1295</v>
      </c>
      <c r="BK1160" s="262" t="s">
        <v>1295</v>
      </c>
      <c r="BL1160" s="262" t="s">
        <v>1295</v>
      </c>
      <c r="BM1160" s="262" t="s">
        <v>1295</v>
      </c>
      <c r="BN1160" s="262" t="s">
        <v>1295</v>
      </c>
      <c r="BO1160" s="262" t="s">
        <v>1295</v>
      </c>
      <c r="BP1160" s="262" t="s">
        <v>1295</v>
      </c>
      <c r="BQ1160" s="262" t="s">
        <v>1295</v>
      </c>
      <c r="BR1160" s="262" t="s">
        <v>1295</v>
      </c>
      <c r="BS1160" s="262" t="s">
        <v>1295</v>
      </c>
      <c r="BT1160" s="262" t="s">
        <v>1295</v>
      </c>
      <c r="BU1160" s="262" t="s">
        <v>1295</v>
      </c>
      <c r="BV1160" s="262" t="s">
        <v>1295</v>
      </c>
      <c r="BW1160" s="262" t="s">
        <v>1295</v>
      </c>
      <c r="BX1160" s="262" t="s">
        <v>1295</v>
      </c>
      <c r="BY1160" s="531" t="s">
        <v>1295</v>
      </c>
      <c r="BZ1160" s="262" t="s">
        <v>1295</v>
      </c>
      <c r="CA1160" s="262" t="s">
        <v>1295</v>
      </c>
      <c r="CB1160" s="262" t="s">
        <v>1295</v>
      </c>
      <c r="CC1160" s="262" t="s">
        <v>1295</v>
      </c>
      <c r="CD1160" s="262" t="s">
        <v>1295</v>
      </c>
      <c r="CE1160" s="262" t="s">
        <v>1295</v>
      </c>
      <c r="CF1160" s="262" t="s">
        <v>1295</v>
      </c>
      <c r="CG1160" s="262" t="s">
        <v>1295</v>
      </c>
      <c r="CH1160" s="262" t="s">
        <v>1295</v>
      </c>
      <c r="CI1160" s="262" t="s">
        <v>1295</v>
      </c>
      <c r="CJ1160" s="262" t="s">
        <v>1295</v>
      </c>
      <c r="CK1160" s="263" t="s">
        <v>1295</v>
      </c>
      <c r="CL1160" s="155"/>
    </row>
    <row r="1161" spans="1:90" hidden="1" outlineLevel="1" x14ac:dyDescent="0.3">
      <c r="A1161" s="264" t="s">
        <v>618</v>
      </c>
      <c r="B1161" s="262"/>
      <c r="C1161" s="1040" t="s">
        <v>1295</v>
      </c>
      <c r="D1161" s="1040" t="s">
        <v>1295</v>
      </c>
      <c r="E1161" s="1040" t="s">
        <v>1295</v>
      </c>
      <c r="F1161" s="1040" t="s">
        <v>1295</v>
      </c>
      <c r="G1161" s="1040" t="s">
        <v>1295</v>
      </c>
      <c r="H1161" s="262" t="s">
        <v>1295</v>
      </c>
      <c r="I1161" s="262" t="s">
        <v>1295</v>
      </c>
      <c r="J1161" s="262" t="s">
        <v>1295</v>
      </c>
      <c r="K1161" s="262" t="s">
        <v>1295</v>
      </c>
      <c r="L1161" s="262" t="s">
        <v>1295</v>
      </c>
      <c r="M1161" s="262" t="s">
        <v>1295</v>
      </c>
      <c r="N1161" s="262" t="s">
        <v>1295</v>
      </c>
      <c r="O1161" s="262" t="s">
        <v>1295</v>
      </c>
      <c r="P1161" s="262" t="s">
        <v>1295</v>
      </c>
      <c r="Q1161" s="262" t="s">
        <v>1295</v>
      </c>
      <c r="R1161" s="262" t="s">
        <v>1295</v>
      </c>
      <c r="S1161" s="262" t="s">
        <v>1295</v>
      </c>
      <c r="T1161" s="262" t="s">
        <v>1295</v>
      </c>
      <c r="U1161" s="262" t="s">
        <v>1295</v>
      </c>
      <c r="V1161" s="262" t="s">
        <v>1295</v>
      </c>
      <c r="W1161" s="262" t="s">
        <v>1295</v>
      </c>
      <c r="X1161" s="262" t="s">
        <v>1295</v>
      </c>
      <c r="Y1161" s="262" t="s">
        <v>1295</v>
      </c>
      <c r="Z1161" s="262" t="s">
        <v>1295</v>
      </c>
      <c r="AA1161" s="262" t="s">
        <v>1295</v>
      </c>
      <c r="AB1161" s="262" t="s">
        <v>1295</v>
      </c>
      <c r="AC1161" s="262" t="s">
        <v>1295</v>
      </c>
      <c r="AD1161" s="262" t="s">
        <v>1295</v>
      </c>
      <c r="AE1161" s="262" t="s">
        <v>1295</v>
      </c>
      <c r="AF1161" s="262" t="s">
        <v>1295</v>
      </c>
      <c r="AG1161" s="262" t="s">
        <v>1295</v>
      </c>
      <c r="AH1161" s="262" t="s">
        <v>1295</v>
      </c>
      <c r="AI1161" s="262" t="s">
        <v>1295</v>
      </c>
      <c r="AJ1161" s="262" t="s">
        <v>1295</v>
      </c>
      <c r="AK1161" s="262" t="s">
        <v>1295</v>
      </c>
      <c r="AL1161" s="262" t="s">
        <v>1295</v>
      </c>
      <c r="AM1161" s="262" t="s">
        <v>1295</v>
      </c>
      <c r="AN1161" s="262" t="s">
        <v>1295</v>
      </c>
      <c r="AO1161" s="262" t="s">
        <v>1295</v>
      </c>
      <c r="AP1161" s="262" t="s">
        <v>1295</v>
      </c>
      <c r="AQ1161" s="262" t="s">
        <v>1295</v>
      </c>
      <c r="AR1161" s="262" t="s">
        <v>1295</v>
      </c>
      <c r="AS1161" s="262" t="s">
        <v>1295</v>
      </c>
      <c r="AT1161" s="262" t="s">
        <v>1295</v>
      </c>
      <c r="AU1161" s="262" t="s">
        <v>1295</v>
      </c>
      <c r="AV1161" s="262" t="s">
        <v>1295</v>
      </c>
      <c r="AW1161" s="262" t="s">
        <v>1295</v>
      </c>
      <c r="AX1161" s="262" t="s">
        <v>1295</v>
      </c>
      <c r="AY1161" s="262" t="s">
        <v>1295</v>
      </c>
      <c r="AZ1161" s="262" t="s">
        <v>1295</v>
      </c>
      <c r="BA1161" s="262" t="s">
        <v>1295</v>
      </c>
      <c r="BB1161" s="262" t="s">
        <v>1295</v>
      </c>
      <c r="BC1161" s="262" t="s">
        <v>1295</v>
      </c>
      <c r="BD1161" s="262" t="s">
        <v>1295</v>
      </c>
      <c r="BE1161" s="262" t="s">
        <v>1295</v>
      </c>
      <c r="BF1161" s="262" t="s">
        <v>1295</v>
      </c>
      <c r="BG1161" s="262" t="s">
        <v>1295</v>
      </c>
      <c r="BH1161" s="262" t="s">
        <v>1295</v>
      </c>
      <c r="BI1161" s="262" t="s">
        <v>1295</v>
      </c>
      <c r="BJ1161" s="262" t="s">
        <v>1295</v>
      </c>
      <c r="BK1161" s="262" t="s">
        <v>1295</v>
      </c>
      <c r="BL1161" s="262" t="s">
        <v>1295</v>
      </c>
      <c r="BM1161" s="262" t="s">
        <v>1295</v>
      </c>
      <c r="BN1161" s="262" t="s">
        <v>1295</v>
      </c>
      <c r="BO1161" s="262" t="s">
        <v>1295</v>
      </c>
      <c r="BP1161" s="262" t="s">
        <v>1295</v>
      </c>
      <c r="BQ1161" s="262" t="s">
        <v>1295</v>
      </c>
      <c r="BR1161" s="262" t="s">
        <v>1295</v>
      </c>
      <c r="BS1161" s="262" t="s">
        <v>1295</v>
      </c>
      <c r="BT1161" s="262" t="s">
        <v>1295</v>
      </c>
      <c r="BU1161" s="262" t="s">
        <v>1295</v>
      </c>
      <c r="BV1161" s="262" t="s">
        <v>1295</v>
      </c>
      <c r="BW1161" s="262" t="s">
        <v>1295</v>
      </c>
      <c r="BX1161" s="262" t="s">
        <v>1295</v>
      </c>
      <c r="BY1161" s="531" t="s">
        <v>1295</v>
      </c>
      <c r="BZ1161" s="262" t="s">
        <v>1295</v>
      </c>
      <c r="CA1161" s="262" t="s">
        <v>1295</v>
      </c>
      <c r="CB1161" s="262" t="s">
        <v>1295</v>
      </c>
      <c r="CC1161" s="262" t="s">
        <v>1295</v>
      </c>
      <c r="CD1161" s="262" t="s">
        <v>1295</v>
      </c>
      <c r="CE1161" s="262" t="s">
        <v>1295</v>
      </c>
      <c r="CF1161" s="262" t="s">
        <v>1295</v>
      </c>
      <c r="CG1161" s="262" t="s">
        <v>1295</v>
      </c>
      <c r="CH1161" s="262" t="s">
        <v>1295</v>
      </c>
      <c r="CI1161" s="262" t="s">
        <v>1295</v>
      </c>
      <c r="CJ1161" s="262" t="s">
        <v>1295</v>
      </c>
      <c r="CK1161" s="263" t="s">
        <v>1295</v>
      </c>
      <c r="CL1161" s="155"/>
    </row>
    <row r="1162" spans="1:90" hidden="1" outlineLevel="1" x14ac:dyDescent="0.3">
      <c r="A1162" s="166"/>
      <c r="B1162" s="93"/>
      <c r="C1162" s="1017"/>
      <c r="D1162" s="1017"/>
      <c r="E1162" s="1017"/>
      <c r="F1162" s="1017"/>
      <c r="G1162" s="1017"/>
      <c r="H1162" s="93"/>
      <c r="I1162" s="93"/>
      <c r="J1162" s="93"/>
      <c r="K1162" s="93"/>
      <c r="L1162" s="93"/>
      <c r="M1162" s="93"/>
      <c r="N1162" s="93"/>
      <c r="O1162" s="93"/>
      <c r="P1162" s="93"/>
      <c r="Q1162" s="93"/>
      <c r="R1162" s="93"/>
      <c r="S1162" s="93"/>
      <c r="T1162" s="93"/>
      <c r="U1162" s="93"/>
      <c r="V1162" s="93"/>
      <c r="W1162" s="93"/>
      <c r="X1162" s="93"/>
      <c r="Y1162" s="93"/>
      <c r="Z1162" s="93"/>
      <c r="AA1162" s="93"/>
      <c r="AB1162" s="93"/>
      <c r="AC1162" s="93"/>
      <c r="AD1162" s="93"/>
      <c r="AE1162" s="93"/>
      <c r="AF1162" s="93"/>
      <c r="AG1162" s="93"/>
      <c r="AH1162" s="93"/>
      <c r="AI1162" s="93"/>
      <c r="AJ1162" s="93"/>
      <c r="AK1162" s="93"/>
      <c r="AL1162" s="93"/>
      <c r="AM1162" s="93"/>
      <c r="AN1162" s="93"/>
      <c r="AO1162" s="93"/>
      <c r="AP1162" s="93"/>
      <c r="AQ1162" s="93"/>
      <c r="AR1162" s="93"/>
      <c r="AS1162" s="93"/>
      <c r="AT1162" s="93"/>
      <c r="AU1162" s="93"/>
      <c r="AV1162" s="93"/>
      <c r="AW1162" s="93"/>
      <c r="AX1162" s="93"/>
      <c r="AY1162" s="93"/>
      <c r="AZ1162" s="93"/>
      <c r="BA1162" s="93"/>
      <c r="BB1162" s="93"/>
      <c r="BC1162" s="93"/>
      <c r="BD1162" s="93"/>
      <c r="BE1162" s="93"/>
      <c r="BF1162" s="93"/>
      <c r="BG1162" s="93"/>
      <c r="BH1162" s="93"/>
      <c r="BI1162" s="93"/>
      <c r="BJ1162" s="93"/>
      <c r="BK1162" s="93"/>
      <c r="BL1162" s="93"/>
      <c r="BM1162" s="93"/>
      <c r="BN1162" s="93"/>
      <c r="BO1162" s="93"/>
      <c r="BP1162" s="93"/>
      <c r="BQ1162" s="93"/>
      <c r="BR1162" s="93"/>
      <c r="BS1162" s="93"/>
      <c r="BT1162" s="93"/>
      <c r="BU1162" s="93"/>
      <c r="BV1162" s="93"/>
      <c r="BW1162" s="93"/>
      <c r="BX1162" s="93"/>
      <c r="BY1162" s="522"/>
      <c r="BZ1162" s="93"/>
      <c r="CA1162" s="93"/>
      <c r="CB1162" s="93"/>
      <c r="CC1162" s="93"/>
      <c r="CD1162" s="93"/>
      <c r="CE1162" s="93"/>
      <c r="CF1162" s="93"/>
      <c r="CG1162" s="93"/>
      <c r="CH1162" s="93"/>
      <c r="CI1162" s="93"/>
      <c r="CJ1162" s="93"/>
      <c r="CK1162" s="162"/>
      <c r="CL1162" s="155"/>
    </row>
    <row r="1163" spans="1:90" collapsed="1" x14ac:dyDescent="0.3">
      <c r="A1163" s="265" t="str">
        <f>"FX Average: "&amp;IF(OR(MO.RealTimeStockPriceToggle=FALSE,VLOOKUP(MO.DataSourceName,MO_SPT_FXAverage_Sources,COLUMN()+2,FALSE)="N/A"),"Real-Time Off Source",MO.DataSourceName)</f>
        <v>FX Average: Real-Time Off Source</v>
      </c>
      <c r="B1163" s="266"/>
      <c r="C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D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E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F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G1163" s="104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H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I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J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K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L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M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N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O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P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Q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R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S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T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U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V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W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X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Y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Z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A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B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C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D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E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F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G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H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I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J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K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L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M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N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O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P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Q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R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S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T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U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V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W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X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Y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AZ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A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B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C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D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E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F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G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H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I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J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K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L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M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N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O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P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Q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R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S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T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U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V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W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X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Y1163" s="535">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BZ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A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B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C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D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E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F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G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H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I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J1163" s="266">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K1163" s="267">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1</v>
      </c>
      <c r="CL1163" s="155"/>
    </row>
    <row r="1164" spans="1:90" hidden="1" outlineLevel="1" x14ac:dyDescent="0.3">
      <c r="A1164" s="268" t="s">
        <v>268</v>
      </c>
      <c r="B1164" s="266"/>
      <c r="C1164" s="1098">
        <v>1</v>
      </c>
      <c r="D1164" s="1098">
        <v>1</v>
      </c>
      <c r="E1164" s="1098">
        <v>1</v>
      </c>
      <c r="F1164" s="1098">
        <v>1</v>
      </c>
      <c r="G1164" s="1098">
        <v>1</v>
      </c>
      <c r="H1164" s="1099">
        <v>1</v>
      </c>
      <c r="I1164" s="1099">
        <v>1</v>
      </c>
      <c r="J1164" s="1099">
        <v>1</v>
      </c>
      <c r="K1164" s="1099">
        <v>1</v>
      </c>
      <c r="L1164" s="1099">
        <v>1</v>
      </c>
      <c r="M1164" s="1099">
        <v>1</v>
      </c>
      <c r="N1164" s="1099">
        <v>1</v>
      </c>
      <c r="O1164" s="1099">
        <v>1</v>
      </c>
      <c r="P1164" s="1099">
        <v>1</v>
      </c>
      <c r="Q1164" s="1099">
        <v>1</v>
      </c>
      <c r="R1164" s="1099">
        <v>1</v>
      </c>
      <c r="S1164" s="1099">
        <v>1</v>
      </c>
      <c r="T1164" s="1099">
        <v>1</v>
      </c>
      <c r="U1164" s="1099">
        <v>1</v>
      </c>
      <c r="V1164" s="1099">
        <v>1</v>
      </c>
      <c r="W1164" s="1099">
        <v>1</v>
      </c>
      <c r="X1164" s="1099">
        <v>1</v>
      </c>
      <c r="Y1164" s="1099">
        <v>1</v>
      </c>
      <c r="Z1164" s="1099">
        <v>1</v>
      </c>
      <c r="AA1164" s="1099">
        <v>1</v>
      </c>
      <c r="AB1164" s="1099">
        <v>1</v>
      </c>
      <c r="AC1164" s="1099">
        <v>1</v>
      </c>
      <c r="AD1164" s="1099">
        <v>1</v>
      </c>
      <c r="AE1164" s="1099">
        <v>1</v>
      </c>
      <c r="AF1164" s="1099">
        <v>1</v>
      </c>
      <c r="AG1164" s="1099">
        <v>1</v>
      </c>
      <c r="AH1164" s="1099">
        <v>1</v>
      </c>
      <c r="AI1164" s="1099">
        <v>1</v>
      </c>
      <c r="AJ1164" s="1099">
        <v>1</v>
      </c>
      <c r="AK1164" s="1099">
        <v>1</v>
      </c>
      <c r="AL1164" s="1099">
        <v>1</v>
      </c>
      <c r="AM1164" s="1099">
        <v>1</v>
      </c>
      <c r="AN1164" s="1099">
        <v>1</v>
      </c>
      <c r="AO1164" s="1099">
        <v>1</v>
      </c>
      <c r="AP1164" s="1099">
        <v>1</v>
      </c>
      <c r="AQ1164" s="1099">
        <v>1</v>
      </c>
      <c r="AR1164" s="1099">
        <v>1</v>
      </c>
      <c r="AS1164" s="1099">
        <v>1</v>
      </c>
      <c r="AT1164" s="1099">
        <v>1</v>
      </c>
      <c r="AU1164" s="1099">
        <v>1</v>
      </c>
      <c r="AV1164" s="1099">
        <v>1</v>
      </c>
      <c r="AW1164" s="1099">
        <v>1</v>
      </c>
      <c r="AX1164" s="1099">
        <v>1</v>
      </c>
      <c r="AY1164" s="1099">
        <v>1</v>
      </c>
      <c r="AZ1164" s="1099">
        <v>1</v>
      </c>
      <c r="BA1164" s="1099">
        <v>1</v>
      </c>
      <c r="BB1164" s="1099">
        <v>1</v>
      </c>
      <c r="BC1164" s="1099">
        <v>1</v>
      </c>
      <c r="BD1164" s="1099">
        <v>1</v>
      </c>
      <c r="BE1164" s="1099">
        <v>1</v>
      </c>
      <c r="BF1164" s="1099">
        <v>1</v>
      </c>
      <c r="BG1164" s="1099">
        <v>1</v>
      </c>
      <c r="BH1164" s="1099">
        <v>1</v>
      </c>
      <c r="BI1164" s="1099">
        <v>1</v>
      </c>
      <c r="BJ1164" s="1099">
        <v>1</v>
      </c>
      <c r="BK1164" s="1099">
        <v>1</v>
      </c>
      <c r="BL1164" s="1099">
        <v>1</v>
      </c>
      <c r="BM1164" s="1099">
        <v>1</v>
      </c>
      <c r="BN1164" s="1099">
        <v>1</v>
      </c>
      <c r="BO1164" s="1099">
        <v>1</v>
      </c>
      <c r="BP1164" s="1099">
        <v>1</v>
      </c>
      <c r="BQ1164" s="1099">
        <v>1</v>
      </c>
      <c r="BR1164" s="1099">
        <v>1</v>
      </c>
      <c r="BS1164" s="1099">
        <v>1</v>
      </c>
      <c r="BT1164" s="1099">
        <v>1</v>
      </c>
      <c r="BU1164" s="1099">
        <v>1</v>
      </c>
      <c r="BV1164" s="1099">
        <v>1</v>
      </c>
      <c r="BW1164" s="1099">
        <v>1</v>
      </c>
      <c r="BX1164" s="1099">
        <v>1</v>
      </c>
      <c r="BY1164" s="1100">
        <v>1</v>
      </c>
      <c r="BZ1164" s="266">
        <f>MO.MRFX.Hardcoded</f>
        <v>1</v>
      </c>
      <c r="CA1164" s="266">
        <f>MO.MRFX.Hardcoded</f>
        <v>1</v>
      </c>
      <c r="CB1164" s="266">
        <f>MO.MRFX.Hardcoded</f>
        <v>1</v>
      </c>
      <c r="CC1164" s="266">
        <f>MO.MRFX.Hardcoded</f>
        <v>1</v>
      </c>
      <c r="CD1164" s="266">
        <f>MO.MRFX.Hardcoded</f>
        <v>1</v>
      </c>
      <c r="CE1164" s="266">
        <f>MO.MRFX.Hardcoded</f>
        <v>1</v>
      </c>
      <c r="CF1164" s="266">
        <f>MO.MRFX.Hardcoded</f>
        <v>1</v>
      </c>
      <c r="CG1164" s="266">
        <f>MO.MRFX.Hardcoded</f>
        <v>1</v>
      </c>
      <c r="CH1164" s="266">
        <f>MO.MRFX.Hardcoded</f>
        <v>1</v>
      </c>
      <c r="CI1164" s="266">
        <f>MO.MRFX.Hardcoded</f>
        <v>1</v>
      </c>
      <c r="CJ1164" s="266">
        <f>MO.MRFX.Hardcoded</f>
        <v>1</v>
      </c>
      <c r="CK1164" s="267">
        <f>MO.MRFX.Hardcoded</f>
        <v>1</v>
      </c>
      <c r="CL1164" s="155"/>
    </row>
    <row r="1165" spans="1:90" hidden="1" outlineLevel="1" x14ac:dyDescent="0.3">
      <c r="A1165" s="268" t="s">
        <v>7</v>
      </c>
      <c r="B1165" s="266"/>
      <c r="C1165" s="1041" t="s">
        <v>1295</v>
      </c>
      <c r="D1165" s="1041" t="s">
        <v>1295</v>
      </c>
      <c r="E1165" s="1041" t="s">
        <v>1295</v>
      </c>
      <c r="F1165" s="1041" t="s">
        <v>1295</v>
      </c>
      <c r="G1165" s="1041" t="s">
        <v>1295</v>
      </c>
      <c r="H1165" s="266" t="s">
        <v>1295</v>
      </c>
      <c r="I1165" s="266" t="s">
        <v>1295</v>
      </c>
      <c r="J1165" s="266" t="s">
        <v>1295</v>
      </c>
      <c r="K1165" s="266" t="s">
        <v>1295</v>
      </c>
      <c r="L1165" s="266" t="s">
        <v>1295</v>
      </c>
      <c r="M1165" s="266" t="s">
        <v>1295</v>
      </c>
      <c r="N1165" s="266" t="s">
        <v>1295</v>
      </c>
      <c r="O1165" s="266" t="s">
        <v>1295</v>
      </c>
      <c r="P1165" s="266" t="s">
        <v>1295</v>
      </c>
      <c r="Q1165" s="266" t="s">
        <v>1295</v>
      </c>
      <c r="R1165" s="266" t="s">
        <v>1295</v>
      </c>
      <c r="S1165" s="266" t="s">
        <v>1295</v>
      </c>
      <c r="T1165" s="266" t="s">
        <v>1295</v>
      </c>
      <c r="U1165" s="266" t="s">
        <v>1295</v>
      </c>
      <c r="V1165" s="266" t="s">
        <v>1295</v>
      </c>
      <c r="W1165" s="266" t="s">
        <v>1295</v>
      </c>
      <c r="X1165" s="266" t="s">
        <v>1295</v>
      </c>
      <c r="Y1165" s="266" t="s">
        <v>1295</v>
      </c>
      <c r="Z1165" s="266" t="s">
        <v>1295</v>
      </c>
      <c r="AA1165" s="266" t="s">
        <v>1295</v>
      </c>
      <c r="AB1165" s="266" t="s">
        <v>1295</v>
      </c>
      <c r="AC1165" s="266" t="s">
        <v>1295</v>
      </c>
      <c r="AD1165" s="266" t="s">
        <v>1295</v>
      </c>
      <c r="AE1165" s="266" t="s">
        <v>1295</v>
      </c>
      <c r="AF1165" s="266" t="s">
        <v>1295</v>
      </c>
      <c r="AG1165" s="266" t="s">
        <v>1295</v>
      </c>
      <c r="AH1165" s="266" t="s">
        <v>1295</v>
      </c>
      <c r="AI1165" s="266" t="s">
        <v>1295</v>
      </c>
      <c r="AJ1165" s="266" t="s">
        <v>1295</v>
      </c>
      <c r="AK1165" s="266" t="s">
        <v>1295</v>
      </c>
      <c r="AL1165" s="266" t="s">
        <v>1295</v>
      </c>
      <c r="AM1165" s="266" t="s">
        <v>1295</v>
      </c>
      <c r="AN1165" s="266" t="s">
        <v>1295</v>
      </c>
      <c r="AO1165" s="266" t="s">
        <v>1295</v>
      </c>
      <c r="AP1165" s="266" t="s">
        <v>1295</v>
      </c>
      <c r="AQ1165" s="266" t="s">
        <v>1295</v>
      </c>
      <c r="AR1165" s="266" t="s">
        <v>1295</v>
      </c>
      <c r="AS1165" s="266" t="s">
        <v>1295</v>
      </c>
      <c r="AT1165" s="266" t="s">
        <v>1295</v>
      </c>
      <c r="AU1165" s="266" t="s">
        <v>1295</v>
      </c>
      <c r="AV1165" s="266" t="s">
        <v>1295</v>
      </c>
      <c r="AW1165" s="266" t="s">
        <v>1295</v>
      </c>
      <c r="AX1165" s="266" t="s">
        <v>1295</v>
      </c>
      <c r="AY1165" s="266" t="s">
        <v>1295</v>
      </c>
      <c r="AZ1165" s="266" t="s">
        <v>1295</v>
      </c>
      <c r="BA1165" s="266" t="s">
        <v>1295</v>
      </c>
      <c r="BB1165" s="266" t="s">
        <v>1295</v>
      </c>
      <c r="BC1165" s="266" t="s">
        <v>1295</v>
      </c>
      <c r="BD1165" s="266" t="s">
        <v>1295</v>
      </c>
      <c r="BE1165" s="266" t="s">
        <v>1295</v>
      </c>
      <c r="BF1165" s="266" t="s">
        <v>1295</v>
      </c>
      <c r="BG1165" s="266" t="s">
        <v>1295</v>
      </c>
      <c r="BH1165" s="266" t="s">
        <v>1295</v>
      </c>
      <c r="BI1165" s="266" t="s">
        <v>1295</v>
      </c>
      <c r="BJ1165" s="266" t="s">
        <v>1295</v>
      </c>
      <c r="BK1165" s="266" t="s">
        <v>1295</v>
      </c>
      <c r="BL1165" s="266" t="s">
        <v>1295</v>
      </c>
      <c r="BM1165" s="266" t="s">
        <v>1295</v>
      </c>
      <c r="BN1165" s="266" t="s">
        <v>1295</v>
      </c>
      <c r="BO1165" s="266" t="s">
        <v>1295</v>
      </c>
      <c r="BP1165" s="266" t="s">
        <v>1295</v>
      </c>
      <c r="BQ1165" s="266" t="s">
        <v>1295</v>
      </c>
      <c r="BR1165" s="266" t="s">
        <v>1295</v>
      </c>
      <c r="BS1165" s="266" t="s">
        <v>1295</v>
      </c>
      <c r="BT1165" s="266" t="s">
        <v>1295</v>
      </c>
      <c r="BU1165" s="266" t="s">
        <v>1295</v>
      </c>
      <c r="BV1165" s="266" t="s">
        <v>1295</v>
      </c>
      <c r="BW1165" s="266" t="s">
        <v>1295</v>
      </c>
      <c r="BX1165" s="266" t="s">
        <v>1295</v>
      </c>
      <c r="BY1165" s="535" t="s">
        <v>1295</v>
      </c>
      <c r="BZ1165" s="266" t="s">
        <v>1295</v>
      </c>
      <c r="CA1165" s="266" t="s">
        <v>1295</v>
      </c>
      <c r="CB1165" s="266" t="s">
        <v>1295</v>
      </c>
      <c r="CC1165" s="266" t="s">
        <v>1295</v>
      </c>
      <c r="CD1165" s="266" t="s">
        <v>1295</v>
      </c>
      <c r="CE1165" s="266" t="s">
        <v>1295</v>
      </c>
      <c r="CF1165" s="266" t="s">
        <v>1295</v>
      </c>
      <c r="CG1165" s="266" t="s">
        <v>1295</v>
      </c>
      <c r="CH1165" s="266" t="s">
        <v>1295</v>
      </c>
      <c r="CI1165" s="266" t="s">
        <v>1295</v>
      </c>
      <c r="CJ1165" s="266" t="s">
        <v>1295</v>
      </c>
      <c r="CK1165" s="267" t="s">
        <v>1295</v>
      </c>
      <c r="CL1165" s="155"/>
    </row>
    <row r="1166" spans="1:90" hidden="1" outlineLevel="1" x14ac:dyDescent="0.3">
      <c r="A1166" s="268" t="s">
        <v>269</v>
      </c>
      <c r="B1166" s="266"/>
      <c r="C1166" s="1041">
        <v>1</v>
      </c>
      <c r="D1166" s="1041">
        <v>1</v>
      </c>
      <c r="E1166" s="1041">
        <v>1</v>
      </c>
      <c r="F1166" s="1041">
        <v>1</v>
      </c>
      <c r="G1166" s="1041">
        <v>1</v>
      </c>
      <c r="H1166" s="266">
        <v>1</v>
      </c>
      <c r="I1166" s="266">
        <v>1</v>
      </c>
      <c r="J1166" s="266">
        <v>1</v>
      </c>
      <c r="K1166" s="266">
        <v>1</v>
      </c>
      <c r="L1166" s="266">
        <v>1</v>
      </c>
      <c r="M1166" s="266">
        <v>1</v>
      </c>
      <c r="N1166" s="266">
        <v>1</v>
      </c>
      <c r="O1166" s="266">
        <v>1</v>
      </c>
      <c r="P1166" s="266">
        <v>1</v>
      </c>
      <c r="Q1166" s="266">
        <v>1</v>
      </c>
      <c r="R1166" s="266">
        <v>1</v>
      </c>
      <c r="S1166" s="266">
        <v>1</v>
      </c>
      <c r="T1166" s="266">
        <v>1</v>
      </c>
      <c r="U1166" s="266">
        <v>1</v>
      </c>
      <c r="V1166" s="266">
        <v>1</v>
      </c>
      <c r="W1166" s="266">
        <v>1</v>
      </c>
      <c r="X1166" s="266">
        <v>1</v>
      </c>
      <c r="Y1166" s="266">
        <v>1</v>
      </c>
      <c r="Z1166" s="266">
        <v>1</v>
      </c>
      <c r="AA1166" s="266">
        <v>1</v>
      </c>
      <c r="AB1166" s="266">
        <v>1</v>
      </c>
      <c r="AC1166" s="266">
        <v>1</v>
      </c>
      <c r="AD1166" s="266">
        <v>1</v>
      </c>
      <c r="AE1166" s="266">
        <v>1</v>
      </c>
      <c r="AF1166" s="266">
        <v>1</v>
      </c>
      <c r="AG1166" s="266">
        <v>1</v>
      </c>
      <c r="AH1166" s="266">
        <v>1</v>
      </c>
      <c r="AI1166" s="266">
        <v>1</v>
      </c>
      <c r="AJ1166" s="266">
        <v>1</v>
      </c>
      <c r="AK1166" s="266">
        <v>1</v>
      </c>
      <c r="AL1166" s="266">
        <v>1</v>
      </c>
      <c r="AM1166" s="266">
        <v>1</v>
      </c>
      <c r="AN1166" s="266">
        <v>1</v>
      </c>
      <c r="AO1166" s="266">
        <v>1</v>
      </c>
      <c r="AP1166" s="266">
        <v>1</v>
      </c>
      <c r="AQ1166" s="266">
        <v>1</v>
      </c>
      <c r="AR1166" s="266">
        <v>1</v>
      </c>
      <c r="AS1166" s="266">
        <v>1</v>
      </c>
      <c r="AT1166" s="266">
        <v>1</v>
      </c>
      <c r="AU1166" s="266">
        <v>1</v>
      </c>
      <c r="AV1166" s="266">
        <v>1</v>
      </c>
      <c r="AW1166" s="266">
        <v>1</v>
      </c>
      <c r="AX1166" s="266">
        <v>1</v>
      </c>
      <c r="AY1166" s="266">
        <v>1</v>
      </c>
      <c r="AZ1166" s="266">
        <v>1</v>
      </c>
      <c r="BA1166" s="266">
        <v>1</v>
      </c>
      <c r="BB1166" s="266">
        <v>1</v>
      </c>
      <c r="BC1166" s="266">
        <v>1</v>
      </c>
      <c r="BD1166" s="266">
        <v>1</v>
      </c>
      <c r="BE1166" s="266">
        <v>1</v>
      </c>
      <c r="BF1166" s="266">
        <v>1</v>
      </c>
      <c r="BG1166" s="266">
        <v>1</v>
      </c>
      <c r="BH1166" s="266">
        <v>1</v>
      </c>
      <c r="BI1166" s="266">
        <v>1</v>
      </c>
      <c r="BJ1166" s="266">
        <v>1</v>
      </c>
      <c r="BK1166" s="266">
        <v>1</v>
      </c>
      <c r="BL1166" s="266">
        <v>1</v>
      </c>
      <c r="BM1166" s="266">
        <v>1</v>
      </c>
      <c r="BN1166" s="266">
        <v>1</v>
      </c>
      <c r="BO1166" s="266">
        <v>1</v>
      </c>
      <c r="BP1166" s="266">
        <v>1</v>
      </c>
      <c r="BQ1166" s="266">
        <v>1</v>
      </c>
      <c r="BR1166" s="266">
        <v>1</v>
      </c>
      <c r="BS1166" s="266">
        <v>1</v>
      </c>
      <c r="BT1166" s="266">
        <v>1</v>
      </c>
      <c r="BU1166" s="266">
        <v>1</v>
      </c>
      <c r="BV1166" s="266">
        <v>1</v>
      </c>
      <c r="BW1166" s="266">
        <v>1</v>
      </c>
      <c r="BX1166" s="266">
        <v>1</v>
      </c>
      <c r="BY1166" s="535">
        <v>1</v>
      </c>
      <c r="BZ1166" s="266">
        <v>1</v>
      </c>
      <c r="CA1166" s="266">
        <v>1</v>
      </c>
      <c r="CB1166" s="266">
        <v>1</v>
      </c>
      <c r="CC1166" s="266">
        <v>1</v>
      </c>
      <c r="CD1166" s="266">
        <v>1</v>
      </c>
      <c r="CE1166" s="266">
        <v>1</v>
      </c>
      <c r="CF1166" s="266">
        <v>1</v>
      </c>
      <c r="CG1166" s="266">
        <v>1</v>
      </c>
      <c r="CH1166" s="266">
        <v>1</v>
      </c>
      <c r="CI1166" s="266">
        <v>1</v>
      </c>
      <c r="CJ1166" s="266">
        <v>1</v>
      </c>
      <c r="CK1166" s="267">
        <v>1</v>
      </c>
      <c r="CL1166" s="155"/>
    </row>
    <row r="1167" spans="1:90" hidden="1" outlineLevel="1" x14ac:dyDescent="0.3">
      <c r="A1167" s="268" t="s">
        <v>270</v>
      </c>
      <c r="B1167" s="266"/>
      <c r="C1167" s="1041" t="s">
        <v>1295</v>
      </c>
      <c r="D1167" s="1041" t="s">
        <v>1295</v>
      </c>
      <c r="E1167" s="1041" t="s">
        <v>1295</v>
      </c>
      <c r="F1167" s="1041" t="s">
        <v>1295</v>
      </c>
      <c r="G1167" s="1041" t="s">
        <v>1295</v>
      </c>
      <c r="H1167" s="266" t="s">
        <v>1295</v>
      </c>
      <c r="I1167" s="266" t="s">
        <v>1295</v>
      </c>
      <c r="J1167" s="266" t="s">
        <v>1295</v>
      </c>
      <c r="K1167" s="266" t="s">
        <v>1295</v>
      </c>
      <c r="L1167" s="266" t="s">
        <v>1295</v>
      </c>
      <c r="M1167" s="266" t="s">
        <v>1295</v>
      </c>
      <c r="N1167" s="266" t="s">
        <v>1295</v>
      </c>
      <c r="O1167" s="266" t="s">
        <v>1295</v>
      </c>
      <c r="P1167" s="266" t="s">
        <v>1295</v>
      </c>
      <c r="Q1167" s="266" t="s">
        <v>1295</v>
      </c>
      <c r="R1167" s="266" t="s">
        <v>1295</v>
      </c>
      <c r="S1167" s="266" t="s">
        <v>1295</v>
      </c>
      <c r="T1167" s="266" t="s">
        <v>1295</v>
      </c>
      <c r="U1167" s="266" t="s">
        <v>1295</v>
      </c>
      <c r="V1167" s="266" t="s">
        <v>1295</v>
      </c>
      <c r="W1167" s="266" t="s">
        <v>1295</v>
      </c>
      <c r="X1167" s="266" t="s">
        <v>1295</v>
      </c>
      <c r="Y1167" s="266" t="s">
        <v>1295</v>
      </c>
      <c r="Z1167" s="266" t="s">
        <v>1295</v>
      </c>
      <c r="AA1167" s="266" t="s">
        <v>1295</v>
      </c>
      <c r="AB1167" s="266" t="s">
        <v>1295</v>
      </c>
      <c r="AC1167" s="266" t="s">
        <v>1295</v>
      </c>
      <c r="AD1167" s="266" t="s">
        <v>1295</v>
      </c>
      <c r="AE1167" s="266" t="s">
        <v>1295</v>
      </c>
      <c r="AF1167" s="266" t="s">
        <v>1295</v>
      </c>
      <c r="AG1167" s="266" t="s">
        <v>1295</v>
      </c>
      <c r="AH1167" s="266" t="s">
        <v>1295</v>
      </c>
      <c r="AI1167" s="266" t="s">
        <v>1295</v>
      </c>
      <c r="AJ1167" s="266" t="s">
        <v>1295</v>
      </c>
      <c r="AK1167" s="266" t="s">
        <v>1295</v>
      </c>
      <c r="AL1167" s="266" t="s">
        <v>1295</v>
      </c>
      <c r="AM1167" s="266" t="s">
        <v>1295</v>
      </c>
      <c r="AN1167" s="266" t="s">
        <v>1295</v>
      </c>
      <c r="AO1167" s="266" t="s">
        <v>1295</v>
      </c>
      <c r="AP1167" s="266" t="s">
        <v>1295</v>
      </c>
      <c r="AQ1167" s="266" t="s">
        <v>1295</v>
      </c>
      <c r="AR1167" s="266" t="s">
        <v>1295</v>
      </c>
      <c r="AS1167" s="266" t="s">
        <v>1295</v>
      </c>
      <c r="AT1167" s="266" t="s">
        <v>1295</v>
      </c>
      <c r="AU1167" s="266" t="s">
        <v>1295</v>
      </c>
      <c r="AV1167" s="266" t="s">
        <v>1295</v>
      </c>
      <c r="AW1167" s="266" t="s">
        <v>1295</v>
      </c>
      <c r="AX1167" s="266" t="s">
        <v>1295</v>
      </c>
      <c r="AY1167" s="266" t="s">
        <v>1295</v>
      </c>
      <c r="AZ1167" s="266" t="s">
        <v>1295</v>
      </c>
      <c r="BA1167" s="266" t="s">
        <v>1295</v>
      </c>
      <c r="BB1167" s="266" t="s">
        <v>1295</v>
      </c>
      <c r="BC1167" s="266" t="s">
        <v>1295</v>
      </c>
      <c r="BD1167" s="266" t="s">
        <v>1295</v>
      </c>
      <c r="BE1167" s="266" t="s">
        <v>1295</v>
      </c>
      <c r="BF1167" s="266" t="s">
        <v>1295</v>
      </c>
      <c r="BG1167" s="266" t="s">
        <v>1295</v>
      </c>
      <c r="BH1167" s="266" t="s">
        <v>1295</v>
      </c>
      <c r="BI1167" s="266" t="s">
        <v>1295</v>
      </c>
      <c r="BJ1167" s="266" t="s">
        <v>1295</v>
      </c>
      <c r="BK1167" s="266" t="s">
        <v>1295</v>
      </c>
      <c r="BL1167" s="266" t="s">
        <v>1295</v>
      </c>
      <c r="BM1167" s="266" t="s">
        <v>1295</v>
      </c>
      <c r="BN1167" s="266" t="s">
        <v>1295</v>
      </c>
      <c r="BO1167" s="266" t="s">
        <v>1295</v>
      </c>
      <c r="BP1167" s="266" t="s">
        <v>1295</v>
      </c>
      <c r="BQ1167" s="266" t="s">
        <v>1295</v>
      </c>
      <c r="BR1167" s="266" t="s">
        <v>1295</v>
      </c>
      <c r="BS1167" s="266" t="s">
        <v>1295</v>
      </c>
      <c r="BT1167" s="266" t="s">
        <v>1295</v>
      </c>
      <c r="BU1167" s="266" t="s">
        <v>1295</v>
      </c>
      <c r="BV1167" s="266" t="s">
        <v>1295</v>
      </c>
      <c r="BW1167" s="266" t="s">
        <v>1295</v>
      </c>
      <c r="BX1167" s="266" t="s">
        <v>1295</v>
      </c>
      <c r="BY1167" s="535" t="s">
        <v>1295</v>
      </c>
      <c r="BZ1167" s="266" t="s">
        <v>1295</v>
      </c>
      <c r="CA1167" s="266" t="s">
        <v>1295</v>
      </c>
      <c r="CB1167" s="266" t="s">
        <v>1295</v>
      </c>
      <c r="CC1167" s="266" t="s">
        <v>1295</v>
      </c>
      <c r="CD1167" s="266" t="s">
        <v>1295</v>
      </c>
      <c r="CE1167" s="266" t="s">
        <v>1295</v>
      </c>
      <c r="CF1167" s="266" t="s">
        <v>1295</v>
      </c>
      <c r="CG1167" s="266" t="s">
        <v>1295</v>
      </c>
      <c r="CH1167" s="266" t="s">
        <v>1295</v>
      </c>
      <c r="CI1167" s="266" t="s">
        <v>1295</v>
      </c>
      <c r="CJ1167" s="266" t="s">
        <v>1295</v>
      </c>
      <c r="CK1167" s="267" t="s">
        <v>1295</v>
      </c>
      <c r="CL1167" s="155"/>
    </row>
    <row r="1168" spans="1:90" hidden="1" outlineLevel="1" x14ac:dyDescent="0.3">
      <c r="A1168" s="268" t="s">
        <v>618</v>
      </c>
      <c r="B1168" s="266"/>
      <c r="C1168" s="1041" t="str">
        <f>"N/A"</f>
        <v>N/A</v>
      </c>
      <c r="D1168" s="1041" t="str">
        <f>"N/A"</f>
        <v>N/A</v>
      </c>
      <c r="E1168" s="1041" t="str">
        <f>"N/A"</f>
        <v>N/A</v>
      </c>
      <c r="F1168" s="1041" t="str">
        <f>"N/A"</f>
        <v>N/A</v>
      </c>
      <c r="G1168" s="1041" t="str">
        <f>"N/A"</f>
        <v>N/A</v>
      </c>
      <c r="H1168" s="266" t="str">
        <f>"N/A"</f>
        <v>N/A</v>
      </c>
      <c r="I1168" s="266" t="str">
        <f>"N/A"</f>
        <v>N/A</v>
      </c>
      <c r="J1168" s="266" t="str">
        <f>"N/A"</f>
        <v>N/A</v>
      </c>
      <c r="K1168" s="266" t="str">
        <f>"N/A"</f>
        <v>N/A</v>
      </c>
      <c r="L1168" s="266" t="str">
        <f>"N/A"</f>
        <v>N/A</v>
      </c>
      <c r="M1168" s="266" t="str">
        <f>"N/A"</f>
        <v>N/A</v>
      </c>
      <c r="N1168" s="266" t="str">
        <f>"N/A"</f>
        <v>N/A</v>
      </c>
      <c r="O1168" s="266" t="str">
        <f>"N/A"</f>
        <v>N/A</v>
      </c>
      <c r="P1168" s="266" t="str">
        <f>"N/A"</f>
        <v>N/A</v>
      </c>
      <c r="Q1168" s="266" t="str">
        <f>"N/A"</f>
        <v>N/A</v>
      </c>
      <c r="R1168" s="266" t="str">
        <f>"N/A"</f>
        <v>N/A</v>
      </c>
      <c r="S1168" s="266" t="str">
        <f>"N/A"</f>
        <v>N/A</v>
      </c>
      <c r="T1168" s="266" t="str">
        <f>"N/A"</f>
        <v>N/A</v>
      </c>
      <c r="U1168" s="266" t="str">
        <f>"N/A"</f>
        <v>N/A</v>
      </c>
      <c r="V1168" s="266" t="str">
        <f>"N/A"</f>
        <v>N/A</v>
      </c>
      <c r="W1168" s="266" t="str">
        <f>"N/A"</f>
        <v>N/A</v>
      </c>
      <c r="X1168" s="266" t="str">
        <f>"N/A"</f>
        <v>N/A</v>
      </c>
      <c r="Y1168" s="266" t="str">
        <f>"N/A"</f>
        <v>N/A</v>
      </c>
      <c r="Z1168" s="266" t="str">
        <f>"N/A"</f>
        <v>N/A</v>
      </c>
      <c r="AA1168" s="266" t="str">
        <f>"N/A"</f>
        <v>N/A</v>
      </c>
      <c r="AB1168" s="266" t="str">
        <f>"N/A"</f>
        <v>N/A</v>
      </c>
      <c r="AC1168" s="266" t="str">
        <f>"N/A"</f>
        <v>N/A</v>
      </c>
      <c r="AD1168" s="266" t="str">
        <f>"N/A"</f>
        <v>N/A</v>
      </c>
      <c r="AE1168" s="266" t="str">
        <f>"N/A"</f>
        <v>N/A</v>
      </c>
      <c r="AF1168" s="266" t="str">
        <f>"N/A"</f>
        <v>N/A</v>
      </c>
      <c r="AG1168" s="266" t="str">
        <f>"N/A"</f>
        <v>N/A</v>
      </c>
      <c r="AH1168" s="266" t="str">
        <f>"N/A"</f>
        <v>N/A</v>
      </c>
      <c r="AI1168" s="266" t="str">
        <f>"N/A"</f>
        <v>N/A</v>
      </c>
      <c r="AJ1168" s="266" t="str">
        <f>"N/A"</f>
        <v>N/A</v>
      </c>
      <c r="AK1168" s="266" t="str">
        <f>"N/A"</f>
        <v>N/A</v>
      </c>
      <c r="AL1168" s="266" t="str">
        <f>"N/A"</f>
        <v>N/A</v>
      </c>
      <c r="AM1168" s="266" t="str">
        <f>"N/A"</f>
        <v>N/A</v>
      </c>
      <c r="AN1168" s="266" t="str">
        <f>"N/A"</f>
        <v>N/A</v>
      </c>
      <c r="AO1168" s="266" t="str">
        <f>"N/A"</f>
        <v>N/A</v>
      </c>
      <c r="AP1168" s="266" t="str">
        <f>"N/A"</f>
        <v>N/A</v>
      </c>
      <c r="AQ1168" s="266" t="str">
        <f>"N/A"</f>
        <v>N/A</v>
      </c>
      <c r="AR1168" s="266" t="str">
        <f>"N/A"</f>
        <v>N/A</v>
      </c>
      <c r="AS1168" s="266" t="str">
        <f>"N/A"</f>
        <v>N/A</v>
      </c>
      <c r="AT1168" s="266" t="str">
        <f>"N/A"</f>
        <v>N/A</v>
      </c>
      <c r="AU1168" s="266" t="str">
        <f>"N/A"</f>
        <v>N/A</v>
      </c>
      <c r="AV1168" s="266" t="str">
        <f>"N/A"</f>
        <v>N/A</v>
      </c>
      <c r="AW1168" s="266" t="str">
        <f>"N/A"</f>
        <v>N/A</v>
      </c>
      <c r="AX1168" s="266" t="str">
        <f>"N/A"</f>
        <v>N/A</v>
      </c>
      <c r="AY1168" s="266" t="str">
        <f>"N/A"</f>
        <v>N/A</v>
      </c>
      <c r="AZ1168" s="266" t="str">
        <f>"N/A"</f>
        <v>N/A</v>
      </c>
      <c r="BA1168" s="266" t="str">
        <f>"N/A"</f>
        <v>N/A</v>
      </c>
      <c r="BB1168" s="266" t="str">
        <f>"N/A"</f>
        <v>N/A</v>
      </c>
      <c r="BC1168" s="266" t="str">
        <f>"N/A"</f>
        <v>N/A</v>
      </c>
      <c r="BD1168" s="266" t="str">
        <f>"N/A"</f>
        <v>N/A</v>
      </c>
      <c r="BE1168" s="266" t="str">
        <f>"N/A"</f>
        <v>N/A</v>
      </c>
      <c r="BF1168" s="266" t="str">
        <f>"N/A"</f>
        <v>N/A</v>
      </c>
      <c r="BG1168" s="266" t="str">
        <f>"N/A"</f>
        <v>N/A</v>
      </c>
      <c r="BH1168" s="266" t="str">
        <f>"N/A"</f>
        <v>N/A</v>
      </c>
      <c r="BI1168" s="266" t="str">
        <f>"N/A"</f>
        <v>N/A</v>
      </c>
      <c r="BJ1168" s="266" t="str">
        <f>"N/A"</f>
        <v>N/A</v>
      </c>
      <c r="BK1168" s="266" t="str">
        <f>"N/A"</f>
        <v>N/A</v>
      </c>
      <c r="BL1168" s="266" t="str">
        <f>"N/A"</f>
        <v>N/A</v>
      </c>
      <c r="BM1168" s="266" t="str">
        <f>"N/A"</f>
        <v>N/A</v>
      </c>
      <c r="BN1168" s="266" t="str">
        <f>"N/A"</f>
        <v>N/A</v>
      </c>
      <c r="BO1168" s="266" t="str">
        <f>"N/A"</f>
        <v>N/A</v>
      </c>
      <c r="BP1168" s="266" t="str">
        <f>"N/A"</f>
        <v>N/A</v>
      </c>
      <c r="BQ1168" s="266" t="str">
        <f>"N/A"</f>
        <v>N/A</v>
      </c>
      <c r="BR1168" s="266" t="str">
        <f>"N/A"</f>
        <v>N/A</v>
      </c>
      <c r="BS1168" s="266" t="str">
        <f>"N/A"</f>
        <v>N/A</v>
      </c>
      <c r="BT1168" s="266" t="str">
        <f>"N/A"</f>
        <v>N/A</v>
      </c>
      <c r="BU1168" s="266" t="str">
        <f>"N/A"</f>
        <v>N/A</v>
      </c>
      <c r="BV1168" s="266" t="str">
        <f>"N/A"</f>
        <v>N/A</v>
      </c>
      <c r="BW1168" s="266" t="str">
        <f>"N/A"</f>
        <v>N/A</v>
      </c>
      <c r="BX1168" s="266" t="str">
        <f>"N/A"</f>
        <v>N/A</v>
      </c>
      <c r="BY1168" s="535" t="str">
        <f>"N/A"</f>
        <v>N/A</v>
      </c>
      <c r="BZ1168" s="266" t="str">
        <f>"N/A"</f>
        <v>N/A</v>
      </c>
      <c r="CA1168" s="266" t="str">
        <f>"N/A"</f>
        <v>N/A</v>
      </c>
      <c r="CB1168" s="266" t="str">
        <f>"N/A"</f>
        <v>N/A</v>
      </c>
      <c r="CC1168" s="266" t="str">
        <f>"N/A"</f>
        <v>N/A</v>
      </c>
      <c r="CD1168" s="266" t="str">
        <f>"N/A"</f>
        <v>N/A</v>
      </c>
      <c r="CE1168" s="266" t="str">
        <f>"N/A"</f>
        <v>N/A</v>
      </c>
      <c r="CF1168" s="266" t="str">
        <f>"N/A"</f>
        <v>N/A</v>
      </c>
      <c r="CG1168" s="266" t="str">
        <f>"N/A"</f>
        <v>N/A</v>
      </c>
      <c r="CH1168" s="266" t="str">
        <f>"N/A"</f>
        <v>N/A</v>
      </c>
      <c r="CI1168" s="266" t="str">
        <f>"N/A"</f>
        <v>N/A</v>
      </c>
      <c r="CJ1168" s="266" t="str">
        <f>"N/A"</f>
        <v>N/A</v>
      </c>
      <c r="CK1168" s="267" t="str">
        <f>"N/A"</f>
        <v>N/A</v>
      </c>
      <c r="CL1168" s="155"/>
    </row>
    <row r="1169" spans="1:90" hidden="1" outlineLevel="1" x14ac:dyDescent="0.3">
      <c r="A1169" s="166"/>
      <c r="B1169" s="93"/>
      <c r="C1169" s="1017"/>
      <c r="D1169" s="1017"/>
      <c r="E1169" s="1017"/>
      <c r="F1169" s="1017"/>
      <c r="G1169" s="1017"/>
      <c r="H1169" s="93"/>
      <c r="I1169" s="93"/>
      <c r="J1169" s="93"/>
      <c r="K1169" s="93"/>
      <c r="L1169" s="93"/>
      <c r="M1169" s="93"/>
      <c r="N1169" s="93"/>
      <c r="O1169" s="93"/>
      <c r="P1169" s="93"/>
      <c r="Q1169" s="93"/>
      <c r="R1169" s="93"/>
      <c r="S1169" s="93"/>
      <c r="T1169" s="93"/>
      <c r="U1169" s="93"/>
      <c r="V1169" s="93"/>
      <c r="W1169" s="93"/>
      <c r="X1169" s="93"/>
      <c r="Y1169" s="93"/>
      <c r="Z1169" s="93"/>
      <c r="AA1169" s="93"/>
      <c r="AB1169" s="93"/>
      <c r="AC1169" s="93"/>
      <c r="AD1169" s="93"/>
      <c r="AE1169" s="93"/>
      <c r="AF1169" s="93"/>
      <c r="AG1169" s="93"/>
      <c r="AH1169" s="93"/>
      <c r="AI1169" s="93"/>
      <c r="AJ1169" s="93"/>
      <c r="AK1169" s="93"/>
      <c r="AL1169" s="93"/>
      <c r="AM1169" s="93"/>
      <c r="AN1169" s="93"/>
      <c r="AO1169" s="93"/>
      <c r="AP1169" s="93"/>
      <c r="AQ1169" s="93"/>
      <c r="AR1169" s="93"/>
      <c r="AS1169" s="93"/>
      <c r="AT1169" s="93"/>
      <c r="AU1169" s="93"/>
      <c r="AV1169" s="93"/>
      <c r="AW1169" s="93"/>
      <c r="AX1169" s="93"/>
      <c r="AY1169" s="93"/>
      <c r="AZ1169" s="93"/>
      <c r="BA1169" s="93"/>
      <c r="BB1169" s="93"/>
      <c r="BC1169" s="93"/>
      <c r="BD1169" s="93"/>
      <c r="BE1169" s="93"/>
      <c r="BF1169" s="93"/>
      <c r="BG1169" s="93"/>
      <c r="BH1169" s="93"/>
      <c r="BI1169" s="93"/>
      <c r="BJ1169" s="93"/>
      <c r="BK1169" s="93"/>
      <c r="BL1169" s="93"/>
      <c r="BM1169" s="93"/>
      <c r="BN1169" s="93"/>
      <c r="BO1169" s="93"/>
      <c r="BP1169" s="93"/>
      <c r="BQ1169" s="93"/>
      <c r="BR1169" s="93"/>
      <c r="BS1169" s="93"/>
      <c r="BT1169" s="93"/>
      <c r="BU1169" s="93"/>
      <c r="BV1169" s="93"/>
      <c r="BW1169" s="93"/>
      <c r="BX1169" s="93"/>
      <c r="BY1169" s="522"/>
      <c r="BZ1169" s="93"/>
      <c r="CA1169" s="93"/>
      <c r="CB1169" s="93"/>
      <c r="CC1169" s="93"/>
      <c r="CD1169" s="93"/>
      <c r="CE1169" s="93"/>
      <c r="CF1169" s="93"/>
      <c r="CG1169" s="93"/>
      <c r="CH1169" s="93"/>
      <c r="CI1169" s="93"/>
      <c r="CJ1169" s="93"/>
      <c r="CK1169" s="162"/>
      <c r="CL1169" s="155"/>
    </row>
    <row r="1170" spans="1:90" collapsed="1" x14ac:dyDescent="0.3">
      <c r="A1170" s="166" t="s">
        <v>835</v>
      </c>
      <c r="B1170" s="93"/>
      <c r="C1170" s="1039">
        <f>WORKDAY(INDEX(MO_Common_QEndDate,0,COLUMN()),-1)</f>
        <v>39836</v>
      </c>
      <c r="D1170" s="1039">
        <f>WORKDAY(INDEX(MO_Common_QEndDate,0,COLUMN()),-1)</f>
        <v>40207</v>
      </c>
      <c r="E1170" s="1039">
        <f>WORKDAY(INDEX(MO_Common_QEndDate,0,COLUMN()),-1)</f>
        <v>40571</v>
      </c>
      <c r="F1170" s="1039">
        <f>WORKDAY(INDEX(MO_Common_QEndDate,0,COLUMN()),-1)</f>
        <v>40935</v>
      </c>
      <c r="G1170" s="1039">
        <f>WORKDAY(INDEX(MO_Common_QEndDate,0,COLUMN()),-1)</f>
        <v>41026</v>
      </c>
      <c r="H1170" s="259">
        <f>WORKDAY(INDEX(MO_Common_QEndDate,0,COLUMN()),-1)</f>
        <v>41117</v>
      </c>
      <c r="I1170" s="259">
        <f>WORKDAY(INDEX(MO_Common_QEndDate,0,COLUMN()),-1)</f>
        <v>41208</v>
      </c>
      <c r="J1170" s="259">
        <f>WORKDAY(INDEX(MO_Common_QEndDate,0,COLUMN()),-1)</f>
        <v>41299</v>
      </c>
      <c r="K1170" s="259">
        <f>WORKDAY(INDEX(MO_Common_QEndDate,0,COLUMN()),-1)</f>
        <v>41299</v>
      </c>
      <c r="L1170" s="259">
        <f>WORKDAY(INDEX(MO_Common_QEndDate,0,COLUMN()),-1)</f>
        <v>41390</v>
      </c>
      <c r="M1170" s="259">
        <f>WORKDAY(INDEX(MO_Common_QEndDate,0,COLUMN()),-1)</f>
        <v>41481</v>
      </c>
      <c r="N1170" s="259">
        <f>WORKDAY(INDEX(MO_Common_QEndDate,0,COLUMN()),-1)</f>
        <v>41572</v>
      </c>
      <c r="O1170" s="259">
        <f>WORKDAY(INDEX(MO_Common_QEndDate,0,COLUMN()),-1)</f>
        <v>41663</v>
      </c>
      <c r="P1170" s="259">
        <f>WORKDAY(INDEX(MO_Common_QEndDate,0,COLUMN()),-1)</f>
        <v>41663</v>
      </c>
      <c r="Q1170" s="259">
        <f>WORKDAY(INDEX(MO_Common_QEndDate,0,COLUMN()),-1)</f>
        <v>41754</v>
      </c>
      <c r="R1170" s="259">
        <f>WORKDAY(INDEX(MO_Common_QEndDate,0,COLUMN()),-1)</f>
        <v>41845</v>
      </c>
      <c r="S1170" s="259">
        <f>WORKDAY(INDEX(MO_Common_QEndDate,0,COLUMN()),-1)</f>
        <v>41936</v>
      </c>
      <c r="T1170" s="259">
        <f>WORKDAY(INDEX(MO_Common_QEndDate,0,COLUMN()),-1)</f>
        <v>42027</v>
      </c>
      <c r="U1170" s="259">
        <f>WORKDAY(INDEX(MO_Common_QEndDate,0,COLUMN()),-1)</f>
        <v>42027</v>
      </c>
      <c r="V1170" s="259">
        <f>WORKDAY(INDEX(MO_Common_QEndDate,0,COLUMN()),-1)</f>
        <v>42118</v>
      </c>
      <c r="W1170" s="259">
        <f>WORKDAY(INDEX(MO_Common_QEndDate,0,COLUMN()),-1)</f>
        <v>42209</v>
      </c>
      <c r="X1170" s="259">
        <f>WORKDAY(INDEX(MO_Common_QEndDate,0,COLUMN()),-1)</f>
        <v>42300</v>
      </c>
      <c r="Y1170" s="259">
        <f>WORKDAY(INDEX(MO_Common_QEndDate,0,COLUMN()),-1)</f>
        <v>42398</v>
      </c>
      <c r="Z1170" s="259">
        <f>WORKDAY(INDEX(MO_Common_QEndDate,0,COLUMN()),-1)</f>
        <v>42398</v>
      </c>
      <c r="AA1170" s="259">
        <f>WORKDAY(INDEX(MO_Common_QEndDate,0,COLUMN()),-1)</f>
        <v>42489</v>
      </c>
      <c r="AB1170" s="259">
        <f>WORKDAY(INDEX(MO_Common_QEndDate,0,COLUMN()),-1)</f>
        <v>42580</v>
      </c>
      <c r="AC1170" s="259">
        <f>WORKDAY(INDEX(MO_Common_QEndDate,0,COLUMN()),-1)</f>
        <v>42671</v>
      </c>
      <c r="AD1170" s="259">
        <f>WORKDAY(INDEX(MO_Common_QEndDate,0,COLUMN()),-1)</f>
        <v>42762</v>
      </c>
      <c r="AE1170" s="259">
        <f>WORKDAY(INDEX(MO_Common_QEndDate,0,COLUMN()),-1)</f>
        <v>42762</v>
      </c>
      <c r="AF1170" s="259">
        <f>WORKDAY(INDEX(MO_Common_QEndDate,0,COLUMN()),-1)</f>
        <v>42853</v>
      </c>
      <c r="AG1170" s="259">
        <f>WORKDAY(INDEX(MO_Common_QEndDate,0,COLUMN()),-1)</f>
        <v>42944</v>
      </c>
      <c r="AH1170" s="259">
        <f>WORKDAY(INDEX(MO_Common_QEndDate,0,COLUMN()),-1)</f>
        <v>43035</v>
      </c>
      <c r="AI1170" s="259">
        <f>WORKDAY(INDEX(MO_Common_QEndDate,0,COLUMN()),-1)</f>
        <v>43126</v>
      </c>
      <c r="AJ1170" s="259">
        <f>WORKDAY(INDEX(MO_Common_QEndDate,0,COLUMN()),-1)</f>
        <v>43126</v>
      </c>
      <c r="AK1170" s="259">
        <f>WORKDAY(INDEX(MO_Common_QEndDate,0,COLUMN()),-1)</f>
        <v>43217</v>
      </c>
      <c r="AL1170" s="259">
        <f>WORKDAY(INDEX(MO_Common_QEndDate,0,COLUMN()),-1)</f>
        <v>43308</v>
      </c>
      <c r="AM1170" s="259">
        <f>WORKDAY(INDEX(MO_Common_QEndDate,0,COLUMN()),-1)</f>
        <v>43399</v>
      </c>
      <c r="AN1170" s="259">
        <f>WORKDAY(INDEX(MO_Common_QEndDate,0,COLUMN()),-1)</f>
        <v>43490</v>
      </c>
      <c r="AO1170" s="259">
        <f>WORKDAY(INDEX(MO_Common_QEndDate,0,COLUMN()),-1)</f>
        <v>43490</v>
      </c>
      <c r="AP1170" s="259">
        <f>WORKDAY(INDEX(MO_Common_QEndDate,0,COLUMN()),-1)</f>
        <v>43581</v>
      </c>
      <c r="AQ1170" s="259">
        <f>WORKDAY(INDEX(MO_Common_QEndDate,0,COLUMN()),-1)</f>
        <v>43672</v>
      </c>
      <c r="AR1170" s="259">
        <f>WORKDAY(INDEX(MO_Common_QEndDate,0,COLUMN()),-1)</f>
        <v>43763</v>
      </c>
      <c r="AS1170" s="259">
        <f>WORKDAY(INDEX(MO_Common_QEndDate,0,COLUMN()),-1)</f>
        <v>43854</v>
      </c>
      <c r="AT1170" s="259">
        <f>WORKDAY(INDEX(MO_Common_QEndDate,0,COLUMN()),-1)</f>
        <v>43854</v>
      </c>
      <c r="AU1170" s="259">
        <f>WORKDAY(INDEX(MO_Common_QEndDate,0,COLUMN()),-1)</f>
        <v>43945</v>
      </c>
      <c r="AV1170" s="259">
        <f>WORKDAY(INDEX(MO_Common_QEndDate,0,COLUMN()),-1)</f>
        <v>44036</v>
      </c>
      <c r="AW1170" s="259">
        <f>WORKDAY(INDEX(MO_Common_QEndDate,0,COLUMN()),-1)</f>
        <v>44127</v>
      </c>
      <c r="AX1170" s="259">
        <f>WORKDAY(INDEX(MO_Common_QEndDate,0,COLUMN()),-1)</f>
        <v>44225</v>
      </c>
      <c r="AY1170" s="259">
        <f>WORKDAY(INDEX(MO_Common_QEndDate,0,COLUMN()),-1)</f>
        <v>44225</v>
      </c>
      <c r="AZ1170" s="259">
        <f>WORKDAY(INDEX(MO_Common_QEndDate,0,COLUMN()),-1)</f>
        <v>44316</v>
      </c>
      <c r="BA1170" s="259">
        <f>WORKDAY(INDEX(MO_Common_QEndDate,0,COLUMN()),-1)</f>
        <v>44407</v>
      </c>
      <c r="BB1170" s="259">
        <f>WORKDAY(INDEX(MO_Common_QEndDate,0,COLUMN()),-1)</f>
        <v>44498</v>
      </c>
      <c r="BC1170" s="259">
        <f>WORKDAY(INDEX(MO_Common_QEndDate,0,COLUMN()),-1)</f>
        <v>44589</v>
      </c>
      <c r="BD1170" s="259">
        <f>WORKDAY(INDEX(MO_Common_QEndDate,0,COLUMN()),-1)</f>
        <v>44589</v>
      </c>
      <c r="BE1170" s="259">
        <f>WORKDAY(INDEX(MO_Common_QEndDate,0,COLUMN()),-1)</f>
        <v>44680</v>
      </c>
      <c r="BF1170" s="259">
        <f>WORKDAY(INDEX(MO_Common_QEndDate,0,COLUMN()),-1)</f>
        <v>44771</v>
      </c>
      <c r="BG1170" s="259">
        <f>WORKDAY(INDEX(MO_Common_QEndDate,0,COLUMN()),-1)</f>
        <v>44862</v>
      </c>
      <c r="BH1170" s="259">
        <f>WORKDAY(INDEX(MO_Common_QEndDate,0,COLUMN()),-1)</f>
        <v>44953</v>
      </c>
      <c r="BI1170" s="259">
        <f>WORKDAY(INDEX(MO_Common_QEndDate,0,COLUMN()),-1)</f>
        <v>44953</v>
      </c>
      <c r="BJ1170" s="259">
        <f>WORKDAY(INDEX(MO_Common_QEndDate,0,COLUMN()),-1)</f>
        <v>45044</v>
      </c>
      <c r="BK1170" s="259">
        <f>WORKDAY(INDEX(MO_Common_QEndDate,0,COLUMN()),-1)</f>
        <v>45135</v>
      </c>
      <c r="BL1170" s="259">
        <f>WORKDAY(INDEX(MO_Common_QEndDate,0,COLUMN()),-1)</f>
        <v>45226</v>
      </c>
      <c r="BM1170" s="259">
        <f>WORKDAY(INDEX(MO_Common_QEndDate,0,COLUMN()),-1)</f>
        <v>45317</v>
      </c>
      <c r="BN1170" s="259">
        <f>WORKDAY(INDEX(MO_Common_QEndDate,0,COLUMN()),-1)</f>
        <v>45317</v>
      </c>
      <c r="BO1170" s="259">
        <f>WORKDAY(INDEX(MO_Common_QEndDate,0,COLUMN()),-1)</f>
        <v>45408</v>
      </c>
      <c r="BP1170" s="259">
        <f>WORKDAY(INDEX(MO_Common_QEndDate,0,COLUMN()),-1)</f>
        <v>45499</v>
      </c>
      <c r="BQ1170" s="259">
        <f>WORKDAY(INDEX(MO_Common_QEndDate,0,COLUMN()),-1)</f>
        <v>45590</v>
      </c>
      <c r="BR1170" s="259">
        <f>WORKDAY(INDEX(MO_Common_QEndDate,0,COLUMN()),-1)</f>
        <v>45681</v>
      </c>
      <c r="BS1170" s="259">
        <f>WORKDAY(INDEX(MO_Common_QEndDate,0,COLUMN()),-1)</f>
        <v>45681</v>
      </c>
      <c r="BT1170" s="259">
        <f>WORKDAY(INDEX(MO_Common_QEndDate,0,COLUMN()),-1)</f>
        <v>45772</v>
      </c>
      <c r="BU1170" s="259">
        <f>WORKDAY(INDEX(MO_Common_QEndDate,0,COLUMN()),-1)</f>
        <v>45863</v>
      </c>
      <c r="BV1170" s="259">
        <f>WORKDAY(INDEX(MO_Common_QEndDate,0,COLUMN()),-1)</f>
        <v>45954</v>
      </c>
      <c r="BW1170" s="259">
        <f>WORKDAY(INDEX(MO_Common_QEndDate,0,COLUMN()),-1)</f>
        <v>46045</v>
      </c>
      <c r="BX1170" s="259">
        <f>WORKDAY(INDEX(MO_Common_QEndDate,0,COLUMN()),-1)</f>
        <v>46045</v>
      </c>
      <c r="BY1170" s="528">
        <f>WORKDAY(INDEX(MO_Common_QEndDate,0,COLUMN()),-1)</f>
        <v>46136</v>
      </c>
      <c r="BZ1170" s="259">
        <f>WORKDAY(INDEX(MO_Common_QEndDate,0,COLUMN()),-1)</f>
        <v>46227</v>
      </c>
      <c r="CA1170" s="259">
        <f>WORKDAY(INDEX(MO_Common_QEndDate,0,COLUMN()),-1)</f>
        <v>46318</v>
      </c>
      <c r="CB1170" s="259">
        <f>WORKDAY(INDEX(MO_Common_QEndDate,0,COLUMN()),-1)</f>
        <v>46416</v>
      </c>
      <c r="CC1170" s="259">
        <f>WORKDAY(INDEX(MO_Common_QEndDate,0,COLUMN()),-1)</f>
        <v>46416</v>
      </c>
      <c r="CD1170" s="259">
        <f>WORKDAY(INDEX(MO_Common_QEndDate,0,COLUMN()),-1)</f>
        <v>46506</v>
      </c>
      <c r="CE1170" s="259">
        <f>WORKDAY(INDEX(MO_Common_QEndDate,0,COLUMN()),-1)</f>
        <v>46597</v>
      </c>
      <c r="CF1170" s="259">
        <f>WORKDAY(INDEX(MO_Common_QEndDate,0,COLUMN()),-1)</f>
        <v>46689</v>
      </c>
      <c r="CG1170" s="259">
        <f>WORKDAY(INDEX(MO_Common_QEndDate,0,COLUMN()),-1)</f>
        <v>46780</v>
      </c>
      <c r="CH1170" s="259">
        <f>WORKDAY(INDEX(MO_Common_QEndDate,0,COLUMN()),-1)</f>
        <v>46780</v>
      </c>
      <c r="CI1170" s="259">
        <f>WORKDAY(INDEX(MO_Common_QEndDate,0,COLUMN()),-1)</f>
        <v>47148</v>
      </c>
      <c r="CJ1170" s="259">
        <f>WORKDAY(INDEX(MO_Common_QEndDate,0,COLUMN()),-1)</f>
        <v>47513</v>
      </c>
      <c r="CK1170" s="260">
        <f>WORKDAY(INDEX(MO_Common_QEndDate,0,COLUMN()),-1)</f>
        <v>47878</v>
      </c>
      <c r="CL1170" s="155"/>
    </row>
    <row r="1171" spans="1:90" x14ac:dyDescent="0.3">
      <c r="A1171" s="166" t="s">
        <v>836</v>
      </c>
      <c r="B1171" s="93"/>
      <c r="C1171" s="1101">
        <f>1.9875/(10)</f>
        <v>0.19875000000000001</v>
      </c>
      <c r="D1171" s="1101">
        <f>3.8475/(10)</f>
        <v>0.38475000000000004</v>
      </c>
      <c r="E1171" s="1101">
        <f>5.94/(10)</f>
        <v>0.59400000000000008</v>
      </c>
      <c r="F1171" s="1101">
        <f>3.7/(10)</f>
        <v>0.37</v>
      </c>
      <c r="G1171" s="1101">
        <f>3.245/(10)</f>
        <v>0.32450000000000001</v>
      </c>
      <c r="H1171" s="1102">
        <f>3.3325/(10)</f>
        <v>0.33324999999999999</v>
      </c>
      <c r="I1171" s="1102">
        <f>3.0125/(10)</f>
        <v>0.30125000000000002</v>
      </c>
      <c r="J1171" s="1102">
        <f>3.08/(10)</f>
        <v>0.308</v>
      </c>
      <c r="K1171" s="1102">
        <f>3.08/(10)</f>
        <v>0.308</v>
      </c>
      <c r="L1171" s="1102">
        <f>3.3925/(10)</f>
        <v>0.33925</v>
      </c>
      <c r="M1171" s="1102">
        <f>3.6025/(10)</f>
        <v>0.36025000000000001</v>
      </c>
      <c r="N1171" s="1102">
        <f>3.805/(10)</f>
        <v>0.3805</v>
      </c>
      <c r="O1171" s="1102">
        <f>3.93/(10)</f>
        <v>0.39300000000000002</v>
      </c>
      <c r="P1171" s="1102">
        <f>3.93/(10)</f>
        <v>0.39300000000000002</v>
      </c>
      <c r="Q1171" s="1102">
        <f>4.6725/(10)</f>
        <v>0.46725000000000005</v>
      </c>
      <c r="R1171" s="1102">
        <f>4.52/(10)</f>
        <v>0.45199999999999996</v>
      </c>
      <c r="S1171" s="1102">
        <f>4.6725/(10)</f>
        <v>0.46725000000000005</v>
      </c>
      <c r="T1171" s="1102">
        <f>4.8012/(10)</f>
        <v>0.48011999999999999</v>
      </c>
      <c r="U1171" s="1102">
        <f>4.8012/(10)</f>
        <v>0.48011999999999999</v>
      </c>
      <c r="V1171" s="1102">
        <f>5.535/(10)</f>
        <v>0.55349999999999999</v>
      </c>
      <c r="W1171" s="1102">
        <f>5.005/(10)</f>
        <v>0.50049999999999994</v>
      </c>
      <c r="X1171" s="1102">
        <f>7.0925/(10)</f>
        <v>0.70925000000000005</v>
      </c>
      <c r="Y1171" s="1102">
        <f>7.3225/(10)</f>
        <v>0.73224999999999996</v>
      </c>
      <c r="Z1171" s="1102">
        <f>7.3225/(10)</f>
        <v>0.73224999999999996</v>
      </c>
      <c r="AA1171" s="1102">
        <f>8.8825/(10)</f>
        <v>0.88824999999999998</v>
      </c>
      <c r="AB1171" s="1102">
        <f>14.275/(10)</f>
        <v>1.4275</v>
      </c>
      <c r="AC1171" s="1102">
        <f>17.64/(10)</f>
        <v>1.764</v>
      </c>
      <c r="AD1171" s="1102">
        <f>27.505/(10)</f>
        <v>2.7504999999999997</v>
      </c>
      <c r="AE1171" s="1102">
        <f>27.505/(10)</f>
        <v>2.7504999999999997</v>
      </c>
      <c r="AF1171" s="1102">
        <f>26.075/(10)</f>
        <v>2.6074999999999999</v>
      </c>
      <c r="AG1171" s="1102">
        <f>41.0975/(10)</f>
        <v>4.10975</v>
      </c>
      <c r="AH1171" s="1102">
        <f>50.96/(10)</f>
        <v>5.0960000000000001</v>
      </c>
      <c r="AI1171" s="1102">
        <f>60.68/(10)</f>
        <v>6.0679999999999996</v>
      </c>
      <c r="AJ1171" s="1102">
        <f>60.68/(10)</f>
        <v>6.0679999999999996</v>
      </c>
      <c r="AK1171" s="1102">
        <f>56.5825/(10)</f>
        <v>5.6582500000000007</v>
      </c>
      <c r="AL1171" s="1102">
        <f>61.0325/(10)</f>
        <v>6.1032500000000001</v>
      </c>
      <c r="AM1171" s="1102">
        <f>50.75/(10)</f>
        <v>5.0750000000000002</v>
      </c>
      <c r="AN1171" s="1102">
        <f>34.3475/(10)</f>
        <v>3.4347499999999997</v>
      </c>
      <c r="AO1171" s="1102">
        <f>34.3475/(10)</f>
        <v>3.4347499999999997</v>
      </c>
      <c r="AP1171" s="1102">
        <f>44.8325/(10)</f>
        <v>4.48325</v>
      </c>
      <c r="AQ1171" s="1102">
        <f>43.8625/(10)</f>
        <v>4.3862499999999995</v>
      </c>
      <c r="AR1171" s="1102">
        <f>50.75/(10)</f>
        <v>5.0750000000000002</v>
      </c>
      <c r="AS1171" s="1102">
        <f>61.4525/(10)</f>
        <v>6.1452499999999999</v>
      </c>
      <c r="AT1171" s="1102">
        <f>61.4525/(10)</f>
        <v>6.1452499999999999</v>
      </c>
      <c r="AU1171" s="1102">
        <f>74.615/(10)</f>
        <v>7.4614999999999991</v>
      </c>
      <c r="AV1171" s="1102">
        <f>106.14/(10)</f>
        <v>10.614000000000001</v>
      </c>
      <c r="AW1171" s="1102">
        <f>125.34/(10)</f>
        <v>12.534000000000001</v>
      </c>
      <c r="AX1171" s="1102">
        <f>129.8975/(10)</f>
        <v>12.989750000000001</v>
      </c>
      <c r="AY1171" s="1102">
        <f>129.8975/(10)</f>
        <v>12.989750000000001</v>
      </c>
      <c r="AZ1171" s="1102">
        <f>153.2475/(10)</f>
        <v>15.32475</v>
      </c>
      <c r="BA1171" s="1102">
        <f>194.99/(10)</f>
        <v>19.499000000000002</v>
      </c>
      <c r="BB1171" s="1102">
        <f>255.67/(10)</f>
        <v>25.567</v>
      </c>
      <c r="BC1171" s="1102">
        <f>228.4/(10)</f>
        <v>22.84</v>
      </c>
      <c r="BD1171" s="1102">
        <f>228.4/(10)</f>
        <v>22.84</v>
      </c>
      <c r="BE1171" s="1102">
        <f>185.47/(10)</f>
        <v>18.547000000000001</v>
      </c>
      <c r="BF1171" s="1102">
        <f>181.63/(10)</f>
        <v>18.163</v>
      </c>
      <c r="BG1171" s="1102">
        <f>138.34/(10)</f>
        <v>13.834</v>
      </c>
      <c r="BH1171" s="1102">
        <f>191.62/(10)</f>
        <v>19.161999999999999</v>
      </c>
      <c r="BI1171" s="1102">
        <f>191.62/(10)</f>
        <v>19.161999999999999</v>
      </c>
      <c r="BJ1171" s="1102">
        <f>277.49/(10)</f>
        <v>27.749000000000002</v>
      </c>
      <c r="BK1171" s="1102">
        <f>467.5/(10)</f>
        <v>46.75</v>
      </c>
      <c r="BL1171" s="1102">
        <f>405/(10)</f>
        <v>40.5</v>
      </c>
      <c r="BM1171" s="1102">
        <f>610.31/(10)</f>
        <v>61.030999999999992</v>
      </c>
      <c r="BN1171" s="1102">
        <f>610.31/(10)</f>
        <v>61.030999999999992</v>
      </c>
      <c r="BO1171" s="1102">
        <f>877.35/(10)</f>
        <v>87.734999999999999</v>
      </c>
      <c r="BP1171" s="1102">
        <v>113.06</v>
      </c>
      <c r="BQ1171" s="1102">
        <v>141.54</v>
      </c>
      <c r="BR1171" s="1102">
        <v>142.62</v>
      </c>
      <c r="BS1171" s="1102">
        <v>142.62</v>
      </c>
      <c r="BT1171" s="1102">
        <f>877.35/(10)</f>
        <v>87.734999999999999</v>
      </c>
      <c r="BU1171" s="1102">
        <v>173.5</v>
      </c>
      <c r="BV1171" s="1102">
        <v>186.26</v>
      </c>
      <c r="BW1171" s="1102">
        <v>187.67</v>
      </c>
      <c r="BX1171" s="1102">
        <v>187.67</v>
      </c>
      <c r="BY1171" s="1103">
        <v>208.27</v>
      </c>
      <c r="BZ1171" s="689"/>
      <c r="CA1171" s="689"/>
      <c r="CB1171" s="689"/>
      <c r="CC1171" s="689"/>
      <c r="CD1171" s="689"/>
      <c r="CE1171" s="689"/>
      <c r="CF1171" s="689"/>
      <c r="CG1171" s="689"/>
      <c r="CH1171" s="689"/>
      <c r="CI1171" s="689"/>
      <c r="CJ1171" s="689"/>
      <c r="CK1171" s="690"/>
      <c r="CL1171" s="155"/>
    </row>
    <row r="1172" spans="1:90" x14ac:dyDescent="0.3">
      <c r="A1172" s="166" t="s">
        <v>837</v>
      </c>
      <c r="B1172" s="93"/>
      <c r="C1172" s="1098">
        <v>1</v>
      </c>
      <c r="D1172" s="1098">
        <v>1</v>
      </c>
      <c r="E1172" s="1098">
        <v>1</v>
      </c>
      <c r="F1172" s="1098">
        <v>1</v>
      </c>
      <c r="G1172" s="1098">
        <v>1</v>
      </c>
      <c r="H1172" s="1099">
        <v>1</v>
      </c>
      <c r="I1172" s="1099">
        <v>1</v>
      </c>
      <c r="J1172" s="1099">
        <v>1</v>
      </c>
      <c r="K1172" s="1099">
        <v>1</v>
      </c>
      <c r="L1172" s="1099">
        <v>1</v>
      </c>
      <c r="M1172" s="1099">
        <v>1</v>
      </c>
      <c r="N1172" s="1099">
        <v>1</v>
      </c>
      <c r="O1172" s="1099">
        <v>1</v>
      </c>
      <c r="P1172" s="1099">
        <v>1</v>
      </c>
      <c r="Q1172" s="1099">
        <v>1</v>
      </c>
      <c r="R1172" s="1099">
        <v>1</v>
      </c>
      <c r="S1172" s="1099">
        <v>1</v>
      </c>
      <c r="T1172" s="1099">
        <v>1</v>
      </c>
      <c r="U1172" s="1099">
        <v>1</v>
      </c>
      <c r="V1172" s="1099">
        <v>1</v>
      </c>
      <c r="W1172" s="1099">
        <v>1</v>
      </c>
      <c r="X1172" s="1099">
        <v>1</v>
      </c>
      <c r="Y1172" s="1099">
        <v>1</v>
      </c>
      <c r="Z1172" s="1099">
        <v>1</v>
      </c>
      <c r="AA1172" s="1099">
        <v>1</v>
      </c>
      <c r="AB1172" s="1099">
        <v>1</v>
      </c>
      <c r="AC1172" s="1099">
        <v>1</v>
      </c>
      <c r="AD1172" s="1099">
        <v>1</v>
      </c>
      <c r="AE1172" s="1099">
        <v>1</v>
      </c>
      <c r="AF1172" s="1099">
        <v>1</v>
      </c>
      <c r="AG1172" s="1099">
        <v>1</v>
      </c>
      <c r="AH1172" s="1099">
        <v>1</v>
      </c>
      <c r="AI1172" s="1099">
        <v>1</v>
      </c>
      <c r="AJ1172" s="1099">
        <v>1</v>
      </c>
      <c r="AK1172" s="1099">
        <v>1</v>
      </c>
      <c r="AL1172" s="1099">
        <v>1</v>
      </c>
      <c r="AM1172" s="1099">
        <v>1</v>
      </c>
      <c r="AN1172" s="1099">
        <v>1</v>
      </c>
      <c r="AO1172" s="1099">
        <v>1</v>
      </c>
      <c r="AP1172" s="1099">
        <v>1</v>
      </c>
      <c r="AQ1172" s="1099">
        <v>1</v>
      </c>
      <c r="AR1172" s="1099">
        <v>1</v>
      </c>
      <c r="AS1172" s="1099">
        <v>1</v>
      </c>
      <c r="AT1172" s="1099">
        <v>1</v>
      </c>
      <c r="AU1172" s="1099">
        <v>1</v>
      </c>
      <c r="AV1172" s="1099">
        <v>1</v>
      </c>
      <c r="AW1172" s="1099">
        <v>1</v>
      </c>
      <c r="AX1172" s="1099">
        <v>1</v>
      </c>
      <c r="AY1172" s="1099">
        <v>1</v>
      </c>
      <c r="AZ1172" s="1099">
        <v>1</v>
      </c>
      <c r="BA1172" s="1099">
        <v>1</v>
      </c>
      <c r="BB1172" s="1099">
        <v>1</v>
      </c>
      <c r="BC1172" s="1099">
        <v>1</v>
      </c>
      <c r="BD1172" s="1099">
        <v>1</v>
      </c>
      <c r="BE1172" s="1099">
        <v>1</v>
      </c>
      <c r="BF1172" s="1099">
        <v>1</v>
      </c>
      <c r="BG1172" s="1099">
        <v>1</v>
      </c>
      <c r="BH1172" s="1099">
        <v>1</v>
      </c>
      <c r="BI1172" s="1099">
        <v>1</v>
      </c>
      <c r="BJ1172" s="1099">
        <v>1</v>
      </c>
      <c r="BK1172" s="1099">
        <v>1</v>
      </c>
      <c r="BL1172" s="1099">
        <v>1</v>
      </c>
      <c r="BM1172" s="1099">
        <v>1</v>
      </c>
      <c r="BN1172" s="1099">
        <v>1</v>
      </c>
      <c r="BO1172" s="1099">
        <v>1</v>
      </c>
      <c r="BP1172" s="1099">
        <v>1</v>
      </c>
      <c r="BQ1172" s="1099">
        <v>1</v>
      </c>
      <c r="BR1172" s="1099">
        <v>1</v>
      </c>
      <c r="BS1172" s="1099">
        <v>1</v>
      </c>
      <c r="BT1172" s="1099">
        <v>1</v>
      </c>
      <c r="BU1172" s="1099">
        <v>1</v>
      </c>
      <c r="BV1172" s="1099">
        <v>1</v>
      </c>
      <c r="BW1172" s="1099">
        <v>1</v>
      </c>
      <c r="BX1172" s="1099">
        <v>1</v>
      </c>
      <c r="BY1172" s="1100">
        <v>1</v>
      </c>
      <c r="BZ1172" s="266"/>
      <c r="CA1172" s="266"/>
      <c r="CB1172" s="266"/>
      <c r="CC1172" s="266"/>
      <c r="CD1172" s="266"/>
      <c r="CE1172" s="266"/>
      <c r="CF1172" s="266"/>
      <c r="CG1172" s="266"/>
      <c r="CH1172" s="266"/>
      <c r="CI1172" s="266"/>
      <c r="CJ1172" s="266"/>
      <c r="CK1172" s="267"/>
      <c r="CL1172" s="155"/>
    </row>
    <row r="1173" spans="1:90" x14ac:dyDescent="0.3">
      <c r="A1173" s="691"/>
      <c r="B1173" s="882"/>
      <c r="C1173" s="692"/>
      <c r="D1173" s="692"/>
      <c r="E1173" s="692"/>
      <c r="F1173" s="692"/>
      <c r="G1173" s="692"/>
      <c r="H1173" s="693"/>
      <c r="I1173" s="693"/>
      <c r="J1173" s="693"/>
      <c r="K1173" s="693"/>
      <c r="L1173" s="693"/>
      <c r="M1173" s="693"/>
      <c r="N1173" s="693"/>
      <c r="O1173" s="693"/>
      <c r="P1173" s="693"/>
      <c r="Q1173" s="693"/>
      <c r="R1173" s="693"/>
      <c r="S1173" s="693"/>
      <c r="T1173" s="693"/>
      <c r="U1173" s="693"/>
      <c r="V1173" s="693"/>
      <c r="W1173" s="693"/>
      <c r="X1173" s="693"/>
      <c r="Y1173" s="693"/>
      <c r="Z1173" s="693"/>
      <c r="AA1173" s="693"/>
      <c r="AB1173" s="693"/>
      <c r="AC1173" s="693"/>
      <c r="AD1173" s="693"/>
      <c r="AE1173" s="693"/>
      <c r="AF1173" s="693"/>
      <c r="AG1173" s="693"/>
      <c r="AH1173" s="693"/>
      <c r="AI1173" s="693"/>
      <c r="AJ1173" s="693"/>
      <c r="AK1173" s="693"/>
      <c r="AL1173" s="693"/>
      <c r="AM1173" s="693"/>
      <c r="AN1173" s="693"/>
      <c r="AO1173" s="693"/>
      <c r="AP1173" s="693"/>
      <c r="AQ1173" s="693"/>
      <c r="AR1173" s="693"/>
      <c r="AS1173" s="693"/>
      <c r="AT1173" s="693"/>
      <c r="AU1173" s="693"/>
      <c r="AV1173" s="693"/>
      <c r="AW1173" s="693"/>
      <c r="AX1173" s="693"/>
      <c r="AY1173" s="693"/>
      <c r="AZ1173" s="693"/>
      <c r="BA1173" s="693"/>
      <c r="BB1173" s="693"/>
      <c r="BC1173" s="693"/>
      <c r="BD1173" s="693"/>
      <c r="BE1173" s="693"/>
      <c r="BF1173" s="693"/>
      <c r="BG1173" s="693"/>
      <c r="BH1173" s="693"/>
      <c r="BI1173" s="693"/>
      <c r="BJ1173" s="693"/>
      <c r="BK1173" s="693"/>
      <c r="BL1173" s="693"/>
      <c r="BM1173" s="693"/>
      <c r="BN1173" s="693"/>
      <c r="BO1173" s="693"/>
      <c r="BP1173" s="693"/>
      <c r="BQ1173" s="693"/>
      <c r="BR1173" s="693"/>
      <c r="BS1173" s="693"/>
      <c r="BT1173" s="693"/>
      <c r="BU1173" s="693"/>
      <c r="BV1173" s="693"/>
      <c r="BW1173" s="693"/>
      <c r="BX1173" s="693"/>
      <c r="BY1173" s="694"/>
      <c r="BZ1173" s="693"/>
      <c r="CA1173" s="693"/>
      <c r="CB1173" s="693"/>
      <c r="CC1173" s="693"/>
      <c r="CD1173" s="693"/>
      <c r="CE1173" s="693"/>
      <c r="CF1173" s="693"/>
      <c r="CG1173" s="693"/>
      <c r="CH1173" s="693"/>
      <c r="CI1173" s="693"/>
      <c r="CJ1173" s="693"/>
      <c r="CK1173" s="695"/>
      <c r="CL1173" s="155"/>
    </row>
    <row r="1174" spans="1:90" x14ac:dyDescent="0.3">
      <c r="A1174" s="253"/>
      <c r="B1174" s="93"/>
      <c r="C1174" s="1017"/>
      <c r="D1174" s="1017"/>
      <c r="E1174" s="93"/>
      <c r="F1174" s="93"/>
      <c r="G1174" s="93"/>
      <c r="H1174" s="93"/>
      <c r="I1174" s="93"/>
      <c r="J1174" s="93"/>
      <c r="K1174" s="93"/>
      <c r="L1174" s="93"/>
      <c r="M1174" s="93"/>
      <c r="N1174" s="93"/>
      <c r="O1174" s="93"/>
      <c r="P1174" s="93"/>
      <c r="Q1174" s="93"/>
      <c r="R1174" s="93"/>
      <c r="S1174" s="93"/>
      <c r="T1174" s="93"/>
      <c r="U1174" s="93"/>
      <c r="V1174" s="93"/>
      <c r="W1174" s="93"/>
      <c r="X1174" s="93"/>
      <c r="Y1174" s="93"/>
      <c r="Z1174" s="93"/>
      <c r="AA1174" s="93"/>
      <c r="AB1174" s="93"/>
      <c r="AC1174" s="93"/>
      <c r="AD1174" s="93"/>
      <c r="AE1174" s="93"/>
      <c r="AF1174" s="93"/>
      <c r="AG1174" s="93"/>
      <c r="AH1174" s="93"/>
      <c r="AI1174" s="93"/>
      <c r="AJ1174" s="93"/>
      <c r="AK1174" s="93"/>
      <c r="AL1174" s="93"/>
      <c r="AM1174" s="93"/>
      <c r="AN1174" s="93"/>
      <c r="AO1174" s="93"/>
      <c r="AP1174" s="93"/>
      <c r="AQ1174" s="93"/>
      <c r="AR1174" s="93"/>
      <c r="AS1174" s="93"/>
      <c r="AT1174" s="93"/>
      <c r="AU1174" s="93"/>
      <c r="AV1174" s="93"/>
      <c r="AW1174" s="93"/>
      <c r="AX1174" s="93"/>
      <c r="AY1174" s="93"/>
      <c r="AZ1174" s="93"/>
      <c r="BA1174" s="93"/>
      <c r="BB1174" s="93"/>
      <c r="BC1174" s="93"/>
      <c r="BD1174" s="93"/>
      <c r="BE1174" s="93"/>
      <c r="BF1174" s="93"/>
      <c r="BG1174" s="93"/>
      <c r="BH1174" s="93"/>
      <c r="BI1174" s="93"/>
      <c r="BJ1174" s="93"/>
      <c r="BK1174" s="93"/>
      <c r="BL1174" s="93"/>
      <c r="BM1174" s="93"/>
      <c r="BN1174" s="93"/>
      <c r="BO1174" s="93"/>
      <c r="BP1174" s="93"/>
      <c r="BQ1174" s="93"/>
      <c r="BR1174" s="93"/>
      <c r="BS1174" s="93"/>
      <c r="BT1174" s="93"/>
      <c r="BU1174" s="93"/>
      <c r="BV1174" s="93"/>
      <c r="BW1174" s="93"/>
      <c r="BX1174" s="93"/>
      <c r="BY1174" s="522"/>
      <c r="BZ1174" s="93"/>
      <c r="CA1174" s="93"/>
      <c r="CB1174" s="93"/>
      <c r="CC1174" s="93"/>
      <c r="CD1174" s="93"/>
      <c r="CE1174" s="93"/>
      <c r="CF1174" s="93"/>
      <c r="CG1174" s="93"/>
      <c r="CH1174" s="93"/>
      <c r="CI1174" s="93"/>
      <c r="CJ1174" s="93"/>
      <c r="CK1174" s="93"/>
      <c r="CL1174" s="155"/>
    </row>
    <row r="1175" spans="1:90" x14ac:dyDescent="0.3">
      <c r="A1175" s="225" t="s">
        <v>272</v>
      </c>
      <c r="B1175" s="254"/>
      <c r="C1175" s="93"/>
      <c r="D1175" s="93"/>
      <c r="E1175" s="93"/>
      <c r="F1175" s="93"/>
      <c r="G1175" s="93"/>
      <c r="H1175" s="93"/>
      <c r="I1175" s="93"/>
      <c r="J1175" s="93"/>
      <c r="K1175" s="93"/>
      <c r="L1175" s="93"/>
      <c r="M1175" s="93"/>
      <c r="N1175" s="93"/>
      <c r="O1175" s="93"/>
      <c r="P1175" s="93"/>
      <c r="Q1175" s="93"/>
      <c r="R1175" s="93"/>
      <c r="S1175" s="93"/>
      <c r="T1175" s="93"/>
      <c r="U1175" s="93"/>
      <c r="V1175" s="93"/>
      <c r="W1175" s="93"/>
      <c r="X1175" s="93"/>
      <c r="Y1175" s="93"/>
      <c r="Z1175" s="93"/>
      <c r="AA1175" s="93"/>
      <c r="AB1175" s="93"/>
      <c r="AC1175" s="93"/>
      <c r="AD1175" s="93"/>
      <c r="AE1175" s="93"/>
      <c r="AF1175" s="93"/>
      <c r="AG1175" s="93"/>
      <c r="AH1175" s="93"/>
      <c r="AI1175" s="93"/>
      <c r="AJ1175" s="93"/>
      <c r="AK1175" s="93"/>
      <c r="AL1175" s="93"/>
      <c r="AM1175" s="93"/>
      <c r="AN1175" s="93"/>
      <c r="AO1175" s="93"/>
      <c r="AP1175" s="93"/>
      <c r="AQ1175" s="93"/>
      <c r="AR1175" s="93"/>
      <c r="AS1175" s="93"/>
      <c r="AT1175" s="93"/>
      <c r="AU1175" s="93"/>
      <c r="AV1175" s="93"/>
      <c r="AW1175" s="93"/>
      <c r="AX1175" s="93"/>
      <c r="AY1175" s="93"/>
      <c r="AZ1175" s="93"/>
      <c r="BA1175" s="93"/>
      <c r="BB1175" s="93"/>
      <c r="BC1175" s="93"/>
      <c r="BD1175" s="93"/>
      <c r="BE1175" s="93"/>
      <c r="BF1175" s="93"/>
      <c r="BG1175" s="93"/>
      <c r="BH1175" s="93"/>
      <c r="BI1175" s="93"/>
      <c r="BJ1175" s="93"/>
      <c r="BK1175" s="93"/>
      <c r="BL1175" s="93"/>
      <c r="BM1175" s="93"/>
      <c r="BN1175" s="93"/>
      <c r="BO1175" s="93"/>
      <c r="BP1175" s="93"/>
      <c r="BQ1175" s="93"/>
      <c r="BR1175" s="93"/>
      <c r="BS1175" s="93"/>
      <c r="BT1175" s="93"/>
      <c r="BU1175" s="93"/>
      <c r="BV1175" s="93"/>
      <c r="BW1175" s="93"/>
      <c r="BX1175" s="93"/>
      <c r="BY1175" s="522"/>
      <c r="BZ1175" s="93"/>
      <c r="CA1175" s="93"/>
      <c r="CB1175" s="93"/>
      <c r="CC1175" s="93"/>
      <c r="CD1175" s="93"/>
      <c r="CE1175" s="93"/>
      <c r="CF1175" s="93"/>
      <c r="CG1175" s="93"/>
      <c r="CH1175" s="93"/>
      <c r="CI1175" s="93"/>
      <c r="CJ1175" s="93"/>
      <c r="CK1175" s="93"/>
      <c r="CL1175" s="155"/>
    </row>
    <row r="1176" spans="1:90" x14ac:dyDescent="0.3">
      <c r="A1176" s="230" t="s">
        <v>273</v>
      </c>
      <c r="B1176" s="262">
        <f>FP.LastPrice</f>
        <v>222.82</v>
      </c>
      <c r="C1176" s="262"/>
      <c r="D1176" s="262"/>
      <c r="E1176" s="262"/>
      <c r="F1176" s="262"/>
      <c r="G1176" s="262"/>
      <c r="H1176" s="262"/>
      <c r="I1176" s="262"/>
      <c r="J1176" s="262"/>
      <c r="K1176" s="262"/>
      <c r="L1176" s="262"/>
      <c r="M1176" s="262"/>
      <c r="N1176" s="262"/>
      <c r="O1176" s="262"/>
      <c r="P1176" s="262"/>
      <c r="Q1176" s="262"/>
      <c r="R1176" s="262"/>
      <c r="S1176" s="262"/>
      <c r="T1176" s="262"/>
      <c r="U1176" s="262"/>
      <c r="V1176" s="262"/>
      <c r="W1176" s="262"/>
      <c r="X1176" s="262"/>
      <c r="Y1176" s="262"/>
      <c r="Z1176" s="262"/>
      <c r="AA1176" s="262"/>
      <c r="AB1176" s="262"/>
      <c r="AC1176" s="262"/>
      <c r="AD1176" s="262"/>
      <c r="AE1176" s="262"/>
      <c r="AF1176" s="262"/>
      <c r="AG1176" s="262"/>
      <c r="AH1176" s="262"/>
      <c r="AI1176" s="262"/>
      <c r="AJ1176" s="262"/>
      <c r="AK1176" s="262"/>
      <c r="AL1176" s="262"/>
      <c r="AM1176" s="262"/>
      <c r="AN1176" s="262"/>
      <c r="AO1176" s="262"/>
      <c r="AP1176" s="262"/>
      <c r="AQ1176" s="262"/>
      <c r="AR1176" s="262"/>
      <c r="AS1176" s="262"/>
      <c r="AT1176" s="262"/>
      <c r="AU1176" s="262"/>
      <c r="AV1176" s="262"/>
      <c r="AW1176" s="262"/>
      <c r="AX1176" s="262"/>
      <c r="AY1176" s="262"/>
      <c r="AZ1176" s="262"/>
      <c r="BA1176" s="262"/>
      <c r="BB1176" s="262"/>
      <c r="BC1176" s="262"/>
      <c r="BD1176" s="262"/>
      <c r="BE1176" s="262"/>
      <c r="BF1176" s="262"/>
      <c r="BG1176" s="262"/>
      <c r="BH1176" s="262"/>
      <c r="BI1176" s="262"/>
      <c r="BJ1176" s="262"/>
      <c r="BK1176" s="262"/>
      <c r="BL1176" s="262"/>
      <c r="BM1176" s="262"/>
      <c r="BN1176" s="262"/>
      <c r="BO1176" s="262"/>
      <c r="BP1176" s="262"/>
      <c r="BQ1176" s="262"/>
      <c r="BR1176" s="262"/>
      <c r="BS1176" s="262"/>
      <c r="BT1176" s="262"/>
      <c r="BU1176" s="262"/>
      <c r="BV1176" s="262"/>
      <c r="BW1176" s="262"/>
      <c r="BX1176" s="262"/>
      <c r="BY1176" s="531"/>
      <c r="BZ1176" s="262"/>
      <c r="CA1176" s="262"/>
      <c r="CB1176" s="262"/>
      <c r="CC1176" s="262"/>
      <c r="CD1176" s="262"/>
      <c r="CE1176" s="262"/>
      <c r="CF1176" s="262"/>
      <c r="CG1176" s="262"/>
      <c r="CH1176" s="262"/>
      <c r="CI1176" s="262"/>
      <c r="CJ1176" s="262"/>
      <c r="CK1176" s="262"/>
      <c r="CL1176" s="155"/>
    </row>
    <row r="1177" spans="1:90" x14ac:dyDescent="0.3">
      <c r="A1177" s="36" t="s">
        <v>274</v>
      </c>
      <c r="B1177" s="634">
        <f>FP.LastPriceDate</f>
        <v>46175</v>
      </c>
      <c r="C1177" s="596"/>
      <c r="D1177" s="596"/>
      <c r="E1177" s="596"/>
      <c r="F1177" s="596"/>
      <c r="G1177" s="596"/>
      <c r="H1177" s="596"/>
      <c r="I1177" s="596"/>
      <c r="J1177" s="596"/>
      <c r="K1177" s="596"/>
      <c r="L1177" s="596"/>
      <c r="M1177" s="596"/>
      <c r="N1177" s="596"/>
      <c r="O1177" s="596"/>
      <c r="P1177" s="596"/>
      <c r="Q1177" s="596"/>
      <c r="R1177" s="596"/>
      <c r="S1177" s="596"/>
      <c r="T1177" s="596"/>
      <c r="U1177" s="596"/>
      <c r="V1177" s="596"/>
      <c r="W1177" s="596"/>
      <c r="X1177" s="596"/>
      <c r="Y1177" s="596"/>
      <c r="Z1177" s="596"/>
      <c r="AA1177" s="596"/>
      <c r="AB1177" s="596"/>
      <c r="AC1177" s="596"/>
      <c r="AD1177" s="596"/>
      <c r="AE1177" s="596"/>
      <c r="AF1177" s="596"/>
      <c r="AG1177" s="596"/>
      <c r="AH1177" s="596"/>
      <c r="AI1177" s="596"/>
      <c r="AJ1177" s="596"/>
      <c r="AK1177" s="596"/>
      <c r="AL1177" s="596"/>
      <c r="AM1177" s="596"/>
      <c r="AN1177" s="596"/>
      <c r="AO1177" s="596"/>
      <c r="AP1177" s="596"/>
      <c r="AQ1177" s="596"/>
      <c r="AR1177" s="596"/>
      <c r="AS1177" s="596"/>
      <c r="AT1177" s="596"/>
      <c r="AU1177" s="596"/>
      <c r="AV1177" s="596"/>
      <c r="AW1177" s="596"/>
      <c r="AX1177" s="596"/>
      <c r="AY1177" s="596"/>
      <c r="AZ1177" s="596"/>
      <c r="BA1177" s="596"/>
      <c r="BB1177" s="596"/>
      <c r="BC1177" s="596"/>
      <c r="BD1177" s="596"/>
      <c r="BE1177" s="596"/>
      <c r="BF1177" s="596"/>
      <c r="BG1177" s="596"/>
      <c r="BH1177" s="596"/>
      <c r="BI1177" s="596"/>
      <c r="BJ1177" s="596"/>
      <c r="BK1177" s="596"/>
      <c r="BL1177" s="596"/>
      <c r="BM1177" s="596"/>
      <c r="BN1177" s="596"/>
      <c r="BO1177" s="596"/>
      <c r="BP1177" s="596"/>
      <c r="BQ1177" s="596"/>
      <c r="BR1177" s="596"/>
      <c r="BS1177" s="596"/>
      <c r="BT1177" s="596"/>
      <c r="BU1177" s="596"/>
      <c r="BV1177" s="596"/>
      <c r="BW1177" s="596"/>
      <c r="BX1177" s="596"/>
      <c r="BY1177" s="630"/>
      <c r="BZ1177" s="596"/>
      <c r="CA1177" s="596"/>
      <c r="CB1177" s="596"/>
      <c r="CC1177" s="596"/>
      <c r="CD1177" s="596"/>
      <c r="CE1177" s="596"/>
      <c r="CF1177" s="596"/>
      <c r="CG1177" s="596"/>
      <c r="CH1177" s="596"/>
      <c r="CI1177" s="596"/>
      <c r="CJ1177" s="596"/>
      <c r="CK1177" s="596"/>
      <c r="CL1177" s="155"/>
    </row>
    <row r="1178" spans="1:90" x14ac:dyDescent="0.3">
      <c r="A1178" s="36" t="s">
        <v>275</v>
      </c>
      <c r="B1178" s="155" t="b">
        <f>IF(FP.RealTimeToggle="ON",TRUE,FALSE)</f>
        <v>0</v>
      </c>
      <c r="C1178" s="596"/>
      <c r="D1178" s="596"/>
      <c r="E1178" s="596"/>
      <c r="F1178" s="596"/>
      <c r="G1178" s="596"/>
      <c r="H1178" s="596"/>
      <c r="I1178" s="596"/>
      <c r="J1178" s="596"/>
      <c r="K1178" s="596"/>
      <c r="L1178" s="596"/>
      <c r="M1178" s="596"/>
      <c r="N1178" s="596"/>
      <c r="O1178" s="596"/>
      <c r="P1178" s="596"/>
      <c r="Q1178" s="596"/>
      <c r="R1178" s="596"/>
      <c r="S1178" s="596"/>
      <c r="T1178" s="596"/>
      <c r="U1178" s="596"/>
      <c r="V1178" s="596"/>
      <c r="W1178" s="596"/>
      <c r="X1178" s="596"/>
      <c r="Y1178" s="596"/>
      <c r="Z1178" s="596"/>
      <c r="AA1178" s="596"/>
      <c r="AB1178" s="596"/>
      <c r="AC1178" s="596"/>
      <c r="AD1178" s="596"/>
      <c r="AE1178" s="596"/>
      <c r="AF1178" s="596"/>
      <c r="AG1178" s="596"/>
      <c r="AH1178" s="596"/>
      <c r="AI1178" s="596"/>
      <c r="AJ1178" s="596"/>
      <c r="AK1178" s="596"/>
      <c r="AL1178" s="596"/>
      <c r="AM1178" s="596"/>
      <c r="AN1178" s="596"/>
      <c r="AO1178" s="596"/>
      <c r="AP1178" s="596"/>
      <c r="AQ1178" s="596"/>
      <c r="AR1178" s="596"/>
      <c r="AS1178" s="596"/>
      <c r="AT1178" s="596"/>
      <c r="AU1178" s="596"/>
      <c r="AV1178" s="596"/>
      <c r="AW1178" s="596"/>
      <c r="AX1178" s="596"/>
      <c r="AY1178" s="596"/>
      <c r="AZ1178" s="596"/>
      <c r="BA1178" s="596"/>
      <c r="BB1178" s="596"/>
      <c r="BC1178" s="596"/>
      <c r="BD1178" s="596"/>
      <c r="BE1178" s="596"/>
      <c r="BF1178" s="596"/>
      <c r="BG1178" s="596"/>
      <c r="BH1178" s="596"/>
      <c r="BI1178" s="596"/>
      <c r="BJ1178" s="596"/>
      <c r="BK1178" s="596"/>
      <c r="BL1178" s="596"/>
      <c r="BM1178" s="596"/>
      <c r="BN1178" s="596"/>
      <c r="BO1178" s="596"/>
      <c r="BP1178" s="596"/>
      <c r="BQ1178" s="596"/>
      <c r="BR1178" s="596"/>
      <c r="BS1178" s="596"/>
      <c r="BT1178" s="596"/>
      <c r="BU1178" s="596"/>
      <c r="BV1178" s="596"/>
      <c r="BW1178" s="596"/>
      <c r="BX1178" s="596"/>
      <c r="BY1178" s="630"/>
      <c r="BZ1178" s="596"/>
      <c r="CA1178" s="596"/>
      <c r="CB1178" s="596"/>
      <c r="CC1178" s="596"/>
      <c r="CD1178" s="596"/>
      <c r="CE1178" s="596"/>
      <c r="CF1178" s="596"/>
      <c r="CG1178" s="596"/>
      <c r="CH1178" s="596"/>
      <c r="CI1178" s="596"/>
      <c r="CJ1178" s="596"/>
      <c r="CK1178" s="596"/>
      <c r="CL1178" s="155"/>
    </row>
    <row r="1179" spans="1:90" x14ac:dyDescent="0.3">
      <c r="A1179" s="230" t="s">
        <v>276</v>
      </c>
      <c r="B1179" s="232" t="s">
        <v>1295</v>
      </c>
      <c r="C1179" s="262"/>
      <c r="D1179" s="262"/>
      <c r="E1179" s="262"/>
      <c r="F1179" s="262"/>
      <c r="G1179" s="262"/>
      <c r="H1179" s="262"/>
      <c r="I1179" s="262"/>
      <c r="J1179" s="262"/>
      <c r="K1179" s="262"/>
      <c r="L1179" s="262"/>
      <c r="M1179" s="262"/>
      <c r="N1179" s="262"/>
      <c r="O1179" s="262"/>
      <c r="P1179" s="262"/>
      <c r="Q1179" s="262"/>
      <c r="R1179" s="262"/>
      <c r="S1179" s="262"/>
      <c r="T1179" s="262"/>
      <c r="U1179" s="262"/>
      <c r="V1179" s="262"/>
      <c r="W1179" s="262"/>
      <c r="X1179" s="262"/>
      <c r="Y1179" s="262"/>
      <c r="Z1179" s="262"/>
      <c r="AA1179" s="262"/>
      <c r="AB1179" s="262"/>
      <c r="AC1179" s="262"/>
      <c r="AD1179" s="262"/>
      <c r="AE1179" s="262"/>
      <c r="AF1179" s="262"/>
      <c r="AG1179" s="262"/>
      <c r="AH1179" s="262"/>
      <c r="AI1179" s="262"/>
      <c r="AJ1179" s="262"/>
      <c r="AK1179" s="262"/>
      <c r="AL1179" s="262"/>
      <c r="AM1179" s="262"/>
      <c r="AN1179" s="262"/>
      <c r="AO1179" s="262"/>
      <c r="AP1179" s="262"/>
      <c r="AQ1179" s="262"/>
      <c r="AR1179" s="262"/>
      <c r="AS1179" s="262"/>
      <c r="AT1179" s="262"/>
      <c r="AU1179" s="262"/>
      <c r="AV1179" s="262"/>
      <c r="AW1179" s="262"/>
      <c r="AX1179" s="262"/>
      <c r="AY1179" s="262"/>
      <c r="AZ1179" s="262"/>
      <c r="BA1179" s="262"/>
      <c r="BB1179" s="262"/>
      <c r="BC1179" s="262"/>
      <c r="BD1179" s="262"/>
      <c r="BE1179" s="262"/>
      <c r="BF1179" s="262"/>
      <c r="BG1179" s="262"/>
      <c r="BH1179" s="262"/>
      <c r="BI1179" s="262"/>
      <c r="BJ1179" s="262"/>
      <c r="BK1179" s="262"/>
      <c r="BL1179" s="262"/>
      <c r="BM1179" s="262"/>
      <c r="BN1179" s="262"/>
      <c r="BO1179" s="262"/>
      <c r="BP1179" s="262"/>
      <c r="BQ1179" s="262"/>
      <c r="BR1179" s="262"/>
      <c r="BS1179" s="262"/>
      <c r="BT1179" s="262"/>
      <c r="BU1179" s="262"/>
      <c r="BV1179" s="262"/>
      <c r="BW1179" s="262"/>
      <c r="BX1179" s="262"/>
      <c r="BY1179" s="531"/>
      <c r="BZ1179" s="262"/>
      <c r="CA1179" s="262"/>
      <c r="CB1179" s="262"/>
      <c r="CC1179" s="262"/>
      <c r="CD1179" s="262"/>
      <c r="CE1179" s="262"/>
      <c r="CF1179" s="262"/>
      <c r="CG1179" s="262"/>
      <c r="CH1179" s="262"/>
      <c r="CI1179" s="262"/>
      <c r="CJ1179" s="262"/>
      <c r="CK1179" s="262"/>
      <c r="CL1179" s="155"/>
    </row>
    <row r="1180" spans="1:90" x14ac:dyDescent="0.3">
      <c r="A1180" s="230" t="s">
        <v>913</v>
      </c>
      <c r="B1180" s="232" t="b">
        <f>OR(AND(OR(EXACT(HP.TradeCurrency.HardCoded,"GBp"),EXACT(HP.TradeCurrency.HardCoded,"GBX")),EXACT(HP.ReportCurrency,"GBP")),AND(OR(EXACT(HP.TradeCurrency.HardCoded,"ZAc"),EXACT(HP.TradeCurrency.HardCoded,"ZAC")),EXACT(HP.ReportCurrency,"ZAR")))</f>
        <v>0</v>
      </c>
      <c r="C1180" s="262"/>
      <c r="D1180" s="262"/>
      <c r="E1180" s="262"/>
      <c r="F1180" s="262"/>
      <c r="G1180" s="262"/>
      <c r="H1180" s="262"/>
      <c r="I1180" s="262"/>
      <c r="J1180" s="262"/>
      <c r="K1180" s="262"/>
      <c r="L1180" s="262"/>
      <c r="M1180" s="262"/>
      <c r="N1180" s="262"/>
      <c r="O1180" s="262"/>
      <c r="P1180" s="262"/>
      <c r="Q1180" s="262"/>
      <c r="R1180" s="262"/>
      <c r="S1180" s="262"/>
      <c r="T1180" s="262"/>
      <c r="U1180" s="262"/>
      <c r="V1180" s="262"/>
      <c r="W1180" s="262"/>
      <c r="X1180" s="262"/>
      <c r="Y1180" s="262"/>
      <c r="Z1180" s="262"/>
      <c r="AA1180" s="262"/>
      <c r="AB1180" s="262"/>
      <c r="AC1180" s="262"/>
      <c r="AD1180" s="262"/>
      <c r="AE1180" s="262"/>
      <c r="AF1180" s="262"/>
      <c r="AG1180" s="262"/>
      <c r="AH1180" s="262"/>
      <c r="AI1180" s="262"/>
      <c r="AJ1180" s="262"/>
      <c r="AK1180" s="262"/>
      <c r="AL1180" s="262"/>
      <c r="AM1180" s="262"/>
      <c r="AN1180" s="262"/>
      <c r="AO1180" s="262"/>
      <c r="AP1180" s="262"/>
      <c r="AQ1180" s="262"/>
      <c r="AR1180" s="262"/>
      <c r="AS1180" s="262"/>
      <c r="AT1180" s="262"/>
      <c r="AU1180" s="262"/>
      <c r="AV1180" s="262"/>
      <c r="AW1180" s="262"/>
      <c r="AX1180" s="262"/>
      <c r="AY1180" s="262"/>
      <c r="AZ1180" s="262"/>
      <c r="BA1180" s="262"/>
      <c r="BB1180" s="262"/>
      <c r="BC1180" s="262"/>
      <c r="BD1180" s="262"/>
      <c r="BE1180" s="262"/>
      <c r="BF1180" s="262"/>
      <c r="BG1180" s="262"/>
      <c r="BH1180" s="262"/>
      <c r="BI1180" s="262"/>
      <c r="BJ1180" s="262"/>
      <c r="BK1180" s="262"/>
      <c r="BL1180" s="262"/>
      <c r="BM1180" s="262"/>
      <c r="BN1180" s="262"/>
      <c r="BO1180" s="262"/>
      <c r="BP1180" s="262"/>
      <c r="BQ1180" s="262"/>
      <c r="BR1180" s="262"/>
      <c r="BS1180" s="262"/>
      <c r="BT1180" s="262"/>
      <c r="BU1180" s="262"/>
      <c r="BV1180" s="262"/>
      <c r="BW1180" s="262"/>
      <c r="BX1180" s="262"/>
      <c r="BY1180" s="531"/>
      <c r="BZ1180" s="262"/>
      <c r="CA1180" s="262"/>
      <c r="CB1180" s="262"/>
      <c r="CC1180" s="262"/>
      <c r="CD1180" s="262"/>
      <c r="CE1180" s="262"/>
      <c r="CF1180" s="262"/>
      <c r="CG1180" s="262"/>
      <c r="CH1180" s="262"/>
      <c r="CI1180" s="262"/>
      <c r="CJ1180" s="262"/>
      <c r="CK1180" s="262"/>
      <c r="CL1180" s="155"/>
    </row>
    <row r="1181" spans="1:90" x14ac:dyDescent="0.3">
      <c r="A1181" s="230" t="s">
        <v>277</v>
      </c>
      <c r="B1181" s="232" t="s">
        <v>12</v>
      </c>
      <c r="C1181" s="262"/>
      <c r="D1181" s="262"/>
      <c r="E1181" s="262"/>
      <c r="F1181" s="262"/>
      <c r="G1181" s="262"/>
      <c r="H1181" s="262"/>
      <c r="I1181" s="262"/>
      <c r="J1181" s="262"/>
      <c r="K1181" s="262"/>
      <c r="L1181" s="262"/>
      <c r="M1181" s="262"/>
      <c r="N1181" s="262"/>
      <c r="O1181" s="262"/>
      <c r="P1181" s="262"/>
      <c r="Q1181" s="262"/>
      <c r="R1181" s="262"/>
      <c r="S1181" s="262"/>
      <c r="T1181" s="262"/>
      <c r="U1181" s="262"/>
      <c r="V1181" s="262"/>
      <c r="W1181" s="262"/>
      <c r="X1181" s="262"/>
      <c r="Y1181" s="262"/>
      <c r="Z1181" s="262"/>
      <c r="AA1181" s="262"/>
      <c r="AB1181" s="262"/>
      <c r="AC1181" s="262"/>
      <c r="AD1181" s="262"/>
      <c r="AE1181" s="262"/>
      <c r="AF1181" s="262"/>
      <c r="AG1181" s="262"/>
      <c r="AH1181" s="262"/>
      <c r="AI1181" s="262"/>
      <c r="AJ1181" s="262"/>
      <c r="AK1181" s="262"/>
      <c r="AL1181" s="262"/>
      <c r="AM1181" s="262"/>
      <c r="AN1181" s="262"/>
      <c r="AO1181" s="262"/>
      <c r="AP1181" s="262"/>
      <c r="AQ1181" s="262"/>
      <c r="AR1181" s="262"/>
      <c r="AS1181" s="262"/>
      <c r="AT1181" s="262"/>
      <c r="AU1181" s="262"/>
      <c r="AV1181" s="262"/>
      <c r="AW1181" s="262"/>
      <c r="AX1181" s="262"/>
      <c r="AY1181" s="262"/>
      <c r="AZ1181" s="262"/>
      <c r="BA1181" s="262"/>
      <c r="BB1181" s="262"/>
      <c r="BC1181" s="262"/>
      <c r="BD1181" s="262"/>
      <c r="BE1181" s="262"/>
      <c r="BF1181" s="262"/>
      <c r="BG1181" s="262"/>
      <c r="BH1181" s="262"/>
      <c r="BI1181" s="262"/>
      <c r="BJ1181" s="262"/>
      <c r="BK1181" s="262"/>
      <c r="BL1181" s="262"/>
      <c r="BM1181" s="262"/>
      <c r="BN1181" s="262"/>
      <c r="BO1181" s="262"/>
      <c r="BP1181" s="262"/>
      <c r="BQ1181" s="262"/>
      <c r="BR1181" s="262"/>
      <c r="BS1181" s="262"/>
      <c r="BT1181" s="262"/>
      <c r="BU1181" s="262"/>
      <c r="BV1181" s="262"/>
      <c r="BW1181" s="262"/>
      <c r="BX1181" s="262"/>
      <c r="BY1181" s="531"/>
      <c r="BZ1181" s="262"/>
      <c r="CA1181" s="262"/>
      <c r="CB1181" s="262"/>
      <c r="CC1181" s="262"/>
      <c r="CD1181" s="262"/>
      <c r="CE1181" s="262"/>
      <c r="CF1181" s="262"/>
      <c r="CG1181" s="262"/>
      <c r="CH1181" s="262"/>
      <c r="CI1181" s="262"/>
      <c r="CJ1181" s="262"/>
      <c r="CK1181" s="262"/>
      <c r="CL1181" s="155"/>
    </row>
    <row r="1182" spans="1:90" x14ac:dyDescent="0.3">
      <c r="A1182" s="230" t="s">
        <v>278</v>
      </c>
      <c r="B1182" s="1096" t="s">
        <v>12</v>
      </c>
      <c r="C1182" s="262"/>
      <c r="D1182" s="262"/>
      <c r="E1182" s="262"/>
      <c r="F1182" s="262"/>
      <c r="G1182" s="262"/>
      <c r="H1182" s="262"/>
      <c r="I1182" s="262"/>
      <c r="J1182" s="262"/>
      <c r="K1182" s="262"/>
      <c r="L1182" s="262"/>
      <c r="M1182" s="262"/>
      <c r="N1182" s="262"/>
      <c r="O1182" s="262"/>
      <c r="P1182" s="262"/>
      <c r="Q1182" s="262"/>
      <c r="R1182" s="262"/>
      <c r="S1182" s="262"/>
      <c r="T1182" s="262"/>
      <c r="U1182" s="262"/>
      <c r="V1182" s="262"/>
      <c r="W1182" s="262"/>
      <c r="X1182" s="262"/>
      <c r="Y1182" s="262"/>
      <c r="Z1182" s="262"/>
      <c r="AA1182" s="262"/>
      <c r="AB1182" s="262"/>
      <c r="AC1182" s="262"/>
      <c r="AD1182" s="262"/>
      <c r="AE1182" s="262"/>
      <c r="AF1182" s="262"/>
      <c r="AG1182" s="262"/>
      <c r="AH1182" s="262"/>
      <c r="AI1182" s="262"/>
      <c r="AJ1182" s="262"/>
      <c r="AK1182" s="262"/>
      <c r="AL1182" s="262"/>
      <c r="AM1182" s="262"/>
      <c r="AN1182" s="262"/>
      <c r="AO1182" s="262"/>
      <c r="AP1182" s="262"/>
      <c r="AQ1182" s="262"/>
      <c r="AR1182" s="262"/>
      <c r="AS1182" s="262"/>
      <c r="AT1182" s="262"/>
      <c r="AU1182" s="262"/>
      <c r="AV1182" s="262"/>
      <c r="AW1182" s="262"/>
      <c r="AX1182" s="262"/>
      <c r="AY1182" s="262"/>
      <c r="AZ1182" s="262"/>
      <c r="BA1182" s="262"/>
      <c r="BB1182" s="262"/>
      <c r="BC1182" s="262"/>
      <c r="BD1182" s="262"/>
      <c r="BE1182" s="262"/>
      <c r="BF1182" s="262"/>
      <c r="BG1182" s="262"/>
      <c r="BH1182" s="262"/>
      <c r="BI1182" s="262"/>
      <c r="BJ1182" s="262"/>
      <c r="BK1182" s="262"/>
      <c r="BL1182" s="262"/>
      <c r="BM1182" s="262"/>
      <c r="BN1182" s="262"/>
      <c r="BO1182" s="262"/>
      <c r="BP1182" s="262"/>
      <c r="BQ1182" s="262"/>
      <c r="BR1182" s="262"/>
      <c r="BS1182" s="262"/>
      <c r="BT1182" s="262"/>
      <c r="BU1182" s="262"/>
      <c r="BV1182" s="262"/>
      <c r="BW1182" s="262"/>
      <c r="BX1182" s="262"/>
      <c r="BY1182" s="531"/>
      <c r="BZ1182" s="262"/>
      <c r="CA1182" s="262"/>
      <c r="CB1182" s="262"/>
      <c r="CC1182" s="262"/>
      <c r="CD1182" s="262"/>
      <c r="CE1182" s="262"/>
      <c r="CF1182" s="262"/>
      <c r="CG1182" s="262"/>
      <c r="CH1182" s="262"/>
      <c r="CI1182" s="262"/>
      <c r="CJ1182" s="262"/>
      <c r="CK1182" s="262"/>
      <c r="CL1182" s="155"/>
    </row>
    <row r="1183" spans="1:90" x14ac:dyDescent="0.3">
      <c r="A1183" s="230" t="s">
        <v>279</v>
      </c>
      <c r="B1183" s="1096" t="s">
        <v>12</v>
      </c>
      <c r="C1183" s="262"/>
      <c r="D1183" s="262"/>
      <c r="E1183" s="262"/>
      <c r="F1183" s="262"/>
      <c r="G1183" s="262"/>
      <c r="H1183" s="262"/>
      <c r="I1183" s="262"/>
      <c r="J1183" s="262"/>
      <c r="K1183" s="262"/>
      <c r="L1183" s="262"/>
      <c r="M1183" s="262"/>
      <c r="N1183" s="262"/>
      <c r="O1183" s="262"/>
      <c r="P1183" s="262"/>
      <c r="Q1183" s="262"/>
      <c r="R1183" s="262"/>
      <c r="S1183" s="262"/>
      <c r="T1183" s="262"/>
      <c r="U1183" s="262"/>
      <c r="V1183" s="262"/>
      <c r="W1183" s="262"/>
      <c r="X1183" s="262"/>
      <c r="Y1183" s="262"/>
      <c r="Z1183" s="262"/>
      <c r="AA1183" s="262"/>
      <c r="AB1183" s="262"/>
      <c r="AC1183" s="262"/>
      <c r="AD1183" s="262"/>
      <c r="AE1183" s="262"/>
      <c r="AF1183" s="262"/>
      <c r="AG1183" s="262"/>
      <c r="AH1183" s="262"/>
      <c r="AI1183" s="262"/>
      <c r="AJ1183" s="262"/>
      <c r="AK1183" s="262"/>
      <c r="AL1183" s="262"/>
      <c r="AM1183" s="262"/>
      <c r="AN1183" s="262"/>
      <c r="AO1183" s="262"/>
      <c r="AP1183" s="262"/>
      <c r="AQ1183" s="262"/>
      <c r="AR1183" s="262"/>
      <c r="AS1183" s="262"/>
      <c r="AT1183" s="262"/>
      <c r="AU1183" s="262"/>
      <c r="AV1183" s="262"/>
      <c r="AW1183" s="262"/>
      <c r="AX1183" s="262"/>
      <c r="AY1183" s="262"/>
      <c r="AZ1183" s="262"/>
      <c r="BA1183" s="262"/>
      <c r="BB1183" s="262"/>
      <c r="BC1183" s="262"/>
      <c r="BD1183" s="262"/>
      <c r="BE1183" s="262"/>
      <c r="BF1183" s="262"/>
      <c r="BG1183" s="262"/>
      <c r="BH1183" s="262"/>
      <c r="BI1183" s="262"/>
      <c r="BJ1183" s="262"/>
      <c r="BK1183" s="262"/>
      <c r="BL1183" s="262"/>
      <c r="BM1183" s="262"/>
      <c r="BN1183" s="262"/>
      <c r="BO1183" s="262"/>
      <c r="BP1183" s="262"/>
      <c r="BQ1183" s="262"/>
      <c r="BR1183" s="262"/>
      <c r="BS1183" s="262"/>
      <c r="BT1183" s="262"/>
      <c r="BU1183" s="262"/>
      <c r="BV1183" s="262"/>
      <c r="BW1183" s="262"/>
      <c r="BX1183" s="262"/>
      <c r="BY1183" s="531"/>
      <c r="BZ1183" s="262"/>
      <c r="CA1183" s="262"/>
      <c r="CB1183" s="262"/>
      <c r="CC1183" s="262"/>
      <c r="CD1183" s="262"/>
      <c r="CE1183" s="262"/>
      <c r="CF1183" s="262"/>
      <c r="CG1183" s="262"/>
      <c r="CH1183" s="262"/>
      <c r="CI1183" s="262"/>
      <c r="CJ1183" s="262"/>
      <c r="CK1183" s="262"/>
      <c r="CL1183" s="155"/>
    </row>
    <row r="1184" spans="1:90" x14ac:dyDescent="0.3">
      <c r="A1184" s="230" t="s">
        <v>280</v>
      </c>
      <c r="B1184" s="251">
        <f>IF(EXACT(MO.ReportFX,HP.TradeCurrency),1,IF(OR(INDEX(MO_SPT_FXAverage,1,MO.MRFPColumnNumber+1)="N/A",ISERROR(INDEX(MO_SPT_FXAverage,1,MO.MRFPColumnNumber+1))),MO.MRFX.Hardcoded,INDEX(MO_SPT_FXAverage,1,MO.MRFPColumnNumber+1)))</f>
        <v>1</v>
      </c>
      <c r="C1184" s="262"/>
      <c r="D1184" s="262"/>
      <c r="E1184" s="262"/>
      <c r="F1184" s="262"/>
      <c r="G1184" s="262"/>
      <c r="H1184" s="262"/>
      <c r="I1184" s="262"/>
      <c r="J1184" s="262"/>
      <c r="K1184" s="262"/>
      <c r="L1184" s="262"/>
      <c r="M1184" s="262"/>
      <c r="N1184" s="262"/>
      <c r="O1184" s="262"/>
      <c r="P1184" s="262"/>
      <c r="Q1184" s="262"/>
      <c r="R1184" s="262"/>
      <c r="S1184" s="262"/>
      <c r="T1184" s="262"/>
      <c r="U1184" s="262"/>
      <c r="V1184" s="262"/>
      <c r="W1184" s="262"/>
      <c r="X1184" s="262"/>
      <c r="Y1184" s="262"/>
      <c r="Z1184" s="262"/>
      <c r="AA1184" s="262"/>
      <c r="AB1184" s="262"/>
      <c r="AC1184" s="262"/>
      <c r="AD1184" s="262"/>
      <c r="AE1184" s="262"/>
      <c r="AF1184" s="262"/>
      <c r="AG1184" s="262"/>
      <c r="AH1184" s="262"/>
      <c r="AI1184" s="262"/>
      <c r="AJ1184" s="262"/>
      <c r="AK1184" s="262"/>
      <c r="AL1184" s="262"/>
      <c r="AM1184" s="262"/>
      <c r="AN1184" s="262"/>
      <c r="AO1184" s="262"/>
      <c r="AP1184" s="262"/>
      <c r="AQ1184" s="262"/>
      <c r="AR1184" s="262"/>
      <c r="AS1184" s="262"/>
      <c r="AT1184" s="262"/>
      <c r="AU1184" s="262"/>
      <c r="AV1184" s="262"/>
      <c r="AW1184" s="262"/>
      <c r="AX1184" s="262"/>
      <c r="AY1184" s="262"/>
      <c r="AZ1184" s="262"/>
      <c r="BA1184" s="262"/>
      <c r="BB1184" s="262"/>
      <c r="BC1184" s="262"/>
      <c r="BD1184" s="262"/>
      <c r="BE1184" s="262"/>
      <c r="BF1184" s="262"/>
      <c r="BG1184" s="262"/>
      <c r="BH1184" s="262"/>
      <c r="BI1184" s="262"/>
      <c r="BJ1184" s="262"/>
      <c r="BK1184" s="262"/>
      <c r="BL1184" s="262"/>
      <c r="BM1184" s="262"/>
      <c r="BN1184" s="262"/>
      <c r="BO1184" s="262"/>
      <c r="BP1184" s="262"/>
      <c r="BQ1184" s="262"/>
      <c r="BR1184" s="262"/>
      <c r="BS1184" s="262"/>
      <c r="BT1184" s="262"/>
      <c r="BU1184" s="262"/>
      <c r="BV1184" s="262"/>
      <c r="BW1184" s="262"/>
      <c r="BX1184" s="262"/>
      <c r="BY1184" s="531"/>
      <c r="BZ1184" s="262"/>
      <c r="CA1184" s="262"/>
      <c r="CB1184" s="262"/>
      <c r="CC1184" s="262"/>
      <c r="CD1184" s="262"/>
      <c r="CE1184" s="262"/>
      <c r="CF1184" s="262"/>
      <c r="CG1184" s="262"/>
      <c r="CH1184" s="262"/>
      <c r="CI1184" s="262"/>
      <c r="CJ1184" s="262"/>
      <c r="CK1184" s="262"/>
      <c r="CL1184" s="155"/>
    </row>
    <row r="1185" spans="1:90" x14ac:dyDescent="0.3">
      <c r="A1185" s="230" t="s">
        <v>281</v>
      </c>
      <c r="B1185" s="1099">
        <v>1</v>
      </c>
      <c r="C1185" s="262"/>
      <c r="D1185" s="262"/>
      <c r="E1185" s="262"/>
      <c r="F1185" s="262"/>
      <c r="G1185" s="262"/>
      <c r="H1185" s="262"/>
      <c r="I1185" s="262"/>
      <c r="J1185" s="262"/>
      <c r="K1185" s="262"/>
      <c r="L1185" s="262"/>
      <c r="M1185" s="262"/>
      <c r="N1185" s="262"/>
      <c r="O1185" s="262"/>
      <c r="P1185" s="262"/>
      <c r="Q1185" s="262"/>
      <c r="R1185" s="262"/>
      <c r="S1185" s="262"/>
      <c r="T1185" s="262"/>
      <c r="U1185" s="262"/>
      <c r="V1185" s="262"/>
      <c r="W1185" s="262"/>
      <c r="X1185" s="262"/>
      <c r="Y1185" s="262"/>
      <c r="Z1185" s="262"/>
      <c r="AA1185" s="262"/>
      <c r="AB1185" s="262"/>
      <c r="AC1185" s="262"/>
      <c r="AD1185" s="262"/>
      <c r="AE1185" s="262"/>
      <c r="AF1185" s="262"/>
      <c r="AG1185" s="262"/>
      <c r="AH1185" s="262"/>
      <c r="AI1185" s="262"/>
      <c r="AJ1185" s="262"/>
      <c r="AK1185" s="262"/>
      <c r="AL1185" s="262"/>
      <c r="AM1185" s="262"/>
      <c r="AN1185" s="262"/>
      <c r="AO1185" s="262"/>
      <c r="AP1185" s="262"/>
      <c r="AQ1185" s="262"/>
      <c r="AR1185" s="262"/>
      <c r="AS1185" s="262"/>
      <c r="AT1185" s="262"/>
      <c r="AU1185" s="262"/>
      <c r="AV1185" s="262"/>
      <c r="AW1185" s="262"/>
      <c r="AX1185" s="262"/>
      <c r="AY1185" s="262"/>
      <c r="AZ1185" s="262"/>
      <c r="BA1185" s="262"/>
      <c r="BB1185" s="262"/>
      <c r="BC1185" s="262"/>
      <c r="BD1185" s="262"/>
      <c r="BE1185" s="262"/>
      <c r="BF1185" s="262"/>
      <c r="BG1185" s="262"/>
      <c r="BH1185" s="262"/>
      <c r="BI1185" s="262"/>
      <c r="BJ1185" s="262"/>
      <c r="BK1185" s="262"/>
      <c r="BL1185" s="262"/>
      <c r="BM1185" s="262"/>
      <c r="BN1185" s="262"/>
      <c r="BO1185" s="262"/>
      <c r="BP1185" s="262"/>
      <c r="BQ1185" s="262"/>
      <c r="BR1185" s="262"/>
      <c r="BS1185" s="262"/>
      <c r="BT1185" s="262"/>
      <c r="BU1185" s="262"/>
      <c r="BV1185" s="262"/>
      <c r="BW1185" s="262"/>
      <c r="BX1185" s="262"/>
      <c r="BY1185" s="531"/>
      <c r="BZ1185" s="262"/>
      <c r="CA1185" s="262"/>
      <c r="CB1185" s="262"/>
      <c r="CC1185" s="262"/>
      <c r="CD1185" s="262"/>
      <c r="CE1185" s="262"/>
      <c r="CF1185" s="262"/>
      <c r="CG1185" s="262"/>
      <c r="CH1185" s="262"/>
      <c r="CI1185" s="262"/>
      <c r="CJ1185" s="262"/>
      <c r="CK1185" s="262"/>
      <c r="CL1185" s="155"/>
    </row>
    <row r="1186" spans="1:90" x14ac:dyDescent="0.3">
      <c r="A1186" s="67" t="s">
        <v>282</v>
      </c>
      <c r="B1186" s="27">
        <f>MATCH(MO.MRFP,MO_Common_ColumnHeader,0)</f>
        <v>77</v>
      </c>
      <c r="C1186" s="68"/>
      <c r="D1186" s="68"/>
      <c r="E1186" s="68"/>
      <c r="F1186" s="68"/>
      <c r="G1186" s="68"/>
      <c r="H1186" s="68"/>
      <c r="I1186" s="68"/>
      <c r="J1186" s="68"/>
      <c r="K1186" s="68"/>
      <c r="L1186" s="68"/>
      <c r="M1186" s="68"/>
      <c r="N1186" s="68"/>
      <c r="O1186" s="68"/>
      <c r="P1186" s="68"/>
      <c r="Q1186" s="68"/>
      <c r="R1186" s="68"/>
      <c r="S1186" s="68"/>
      <c r="T1186" s="68"/>
      <c r="U1186" s="68"/>
      <c r="V1186" s="68"/>
      <c r="W1186" s="68"/>
      <c r="X1186" s="68"/>
      <c r="Y1186" s="68"/>
      <c r="Z1186" s="68"/>
      <c r="AA1186" s="68"/>
      <c r="AB1186" s="68"/>
      <c r="AC1186" s="68"/>
      <c r="AD1186" s="68"/>
      <c r="AE1186" s="68"/>
      <c r="AF1186" s="68"/>
      <c r="AG1186" s="68"/>
      <c r="AH1186" s="68"/>
      <c r="AI1186" s="68"/>
      <c r="AJ1186" s="68"/>
      <c r="AK1186" s="68"/>
      <c r="AL1186" s="68"/>
      <c r="AM1186" s="68"/>
      <c r="AN1186" s="68"/>
      <c r="AO1186" s="68"/>
      <c r="AP1186" s="68"/>
      <c r="AQ1186" s="68"/>
      <c r="AR1186" s="68"/>
      <c r="AS1186" s="68"/>
      <c r="AT1186" s="68"/>
      <c r="AU1186" s="68"/>
      <c r="AV1186" s="68"/>
      <c r="AW1186" s="68"/>
      <c r="AX1186" s="68"/>
      <c r="AY1186" s="68"/>
      <c r="AZ1186" s="68"/>
      <c r="BA1186" s="68"/>
      <c r="BB1186" s="68"/>
      <c r="BC1186" s="68"/>
      <c r="BD1186" s="68"/>
      <c r="BE1186" s="68"/>
      <c r="BF1186" s="68"/>
      <c r="BG1186" s="68"/>
      <c r="BH1186" s="68"/>
      <c r="BI1186" s="68"/>
      <c r="BJ1186" s="68"/>
      <c r="BK1186" s="68"/>
      <c r="BL1186" s="68"/>
      <c r="BM1186" s="68"/>
      <c r="BN1186" s="68"/>
      <c r="BO1186" s="68"/>
      <c r="BP1186" s="68"/>
      <c r="BQ1186" s="68"/>
      <c r="BR1186" s="68"/>
      <c r="BS1186" s="68"/>
      <c r="BT1186" s="68"/>
      <c r="BU1186" s="68"/>
      <c r="BV1186" s="68"/>
      <c r="BW1186" s="68"/>
      <c r="BX1186" s="68"/>
      <c r="BY1186" s="588"/>
      <c r="BZ1186" s="68"/>
      <c r="CA1186" s="68"/>
      <c r="CB1186" s="68"/>
      <c r="CC1186" s="68"/>
      <c r="CD1186" s="68"/>
      <c r="CE1186" s="68"/>
      <c r="CF1186" s="68"/>
      <c r="CG1186" s="68"/>
      <c r="CH1186" s="68"/>
      <c r="CI1186" s="68"/>
      <c r="CJ1186" s="68"/>
      <c r="CK1186" s="68"/>
      <c r="CL1186" s="155"/>
    </row>
    <row r="1187" spans="1:90" x14ac:dyDescent="0.3">
      <c r="A1187" s="67" t="s">
        <v>283</v>
      </c>
      <c r="B1187" s="1055" t="s">
        <v>1280</v>
      </c>
      <c r="C1187" s="68"/>
      <c r="D1187" s="68"/>
      <c r="E1187" s="68"/>
      <c r="F1187" s="68"/>
      <c r="G1187" s="68"/>
      <c r="H1187" s="68"/>
      <c r="I1187" s="68"/>
      <c r="J1187" s="68"/>
      <c r="K1187" s="68"/>
      <c r="L1187" s="68"/>
      <c r="M1187" s="68"/>
      <c r="N1187" s="68"/>
      <c r="O1187" s="68"/>
      <c r="P1187" s="68"/>
      <c r="Q1187" s="68"/>
      <c r="R1187" s="68"/>
      <c r="S1187" s="68"/>
      <c r="T1187" s="68"/>
      <c r="U1187" s="68"/>
      <c r="V1187" s="68"/>
      <c r="W1187" s="68"/>
      <c r="X1187" s="68"/>
      <c r="Y1187" s="68"/>
      <c r="Z1187" s="68"/>
      <c r="AA1187" s="68"/>
      <c r="AB1187" s="68"/>
      <c r="AC1187" s="68"/>
      <c r="AD1187" s="68"/>
      <c r="AE1187" s="68"/>
      <c r="AF1187" s="68"/>
      <c r="AG1187" s="68"/>
      <c r="AH1187" s="68"/>
      <c r="AI1187" s="68"/>
      <c r="AJ1187" s="68"/>
      <c r="AK1187" s="68"/>
      <c r="AL1187" s="68"/>
      <c r="AM1187" s="68"/>
      <c r="AN1187" s="68"/>
      <c r="AO1187" s="68"/>
      <c r="AP1187" s="68"/>
      <c r="AQ1187" s="68"/>
      <c r="AR1187" s="68"/>
      <c r="AS1187" s="68"/>
      <c r="AT1187" s="68"/>
      <c r="AU1187" s="68"/>
      <c r="AV1187" s="68"/>
      <c r="AW1187" s="68"/>
      <c r="AX1187" s="68"/>
      <c r="AY1187" s="68"/>
      <c r="AZ1187" s="68"/>
      <c r="BA1187" s="68"/>
      <c r="BB1187" s="68"/>
      <c r="BC1187" s="68"/>
      <c r="BD1187" s="68"/>
      <c r="BE1187" s="68"/>
      <c r="BF1187" s="68"/>
      <c r="BG1187" s="68"/>
      <c r="BH1187" s="68"/>
      <c r="BI1187" s="68"/>
      <c r="BJ1187" s="68"/>
      <c r="BK1187" s="68"/>
      <c r="BL1187" s="68"/>
      <c r="BM1187" s="68"/>
      <c r="BN1187" s="68"/>
      <c r="BO1187" s="68"/>
      <c r="BP1187" s="68"/>
      <c r="BQ1187" s="68"/>
      <c r="BR1187" s="68"/>
      <c r="BS1187" s="68"/>
      <c r="BT1187" s="68"/>
      <c r="BU1187" s="68"/>
      <c r="BV1187" s="68"/>
      <c r="BW1187" s="68"/>
      <c r="BX1187" s="68"/>
      <c r="BY1187" s="588"/>
      <c r="BZ1187" s="68"/>
      <c r="CA1187" s="68"/>
      <c r="CB1187" s="68"/>
      <c r="CC1187" s="68"/>
      <c r="CD1187" s="68"/>
      <c r="CE1187" s="68"/>
      <c r="CF1187" s="68"/>
      <c r="CG1187" s="68"/>
      <c r="CH1187" s="68"/>
      <c r="CI1187" s="68"/>
      <c r="CJ1187" s="68"/>
      <c r="CK1187" s="68"/>
      <c r="CL1187" s="155"/>
    </row>
    <row r="1188" spans="1:90" x14ac:dyDescent="0.3">
      <c r="A1188" s="67" t="s">
        <v>284</v>
      </c>
      <c r="B1188" s="27" t="str">
        <f>"FY"&amp;RIGHT(MO.MRFP,4)</f>
        <v>FY2027</v>
      </c>
      <c r="C1188" s="68"/>
      <c r="D1188" s="68"/>
      <c r="E1188" s="68"/>
      <c r="F1188" s="68"/>
      <c r="G1188" s="68"/>
      <c r="H1188" s="68"/>
      <c r="I1188" s="68"/>
      <c r="J1188" s="68"/>
      <c r="K1188" s="68"/>
      <c r="L1188" s="68"/>
      <c r="M1188" s="68"/>
      <c r="N1188" s="68"/>
      <c r="O1188" s="68"/>
      <c r="P1188" s="68"/>
      <c r="Q1188" s="68"/>
      <c r="R1188" s="68"/>
      <c r="S1188" s="68"/>
      <c r="T1188" s="68"/>
      <c r="U1188" s="68"/>
      <c r="V1188" s="68"/>
      <c r="W1188" s="68"/>
      <c r="X1188" s="68"/>
      <c r="Y1188" s="68"/>
      <c r="Z1188" s="68"/>
      <c r="AA1188" s="68"/>
      <c r="AB1188" s="68"/>
      <c r="AC1188" s="68"/>
      <c r="AD1188" s="68"/>
      <c r="AE1188" s="68"/>
      <c r="AF1188" s="68"/>
      <c r="AG1188" s="68"/>
      <c r="AH1188" s="68"/>
      <c r="AI1188" s="68"/>
      <c r="AJ1188" s="68"/>
      <c r="AK1188" s="68"/>
      <c r="AL1188" s="68"/>
      <c r="AM1188" s="68"/>
      <c r="AN1188" s="68"/>
      <c r="AO1188" s="68"/>
      <c r="AP1188" s="68"/>
      <c r="AQ1188" s="68"/>
      <c r="AR1188" s="68"/>
      <c r="AS1188" s="68"/>
      <c r="AT1188" s="68"/>
      <c r="AU1188" s="68"/>
      <c r="AV1188" s="68"/>
      <c r="AW1188" s="68"/>
      <c r="AX1188" s="68"/>
      <c r="AY1188" s="68"/>
      <c r="AZ1188" s="68"/>
      <c r="BA1188" s="68"/>
      <c r="BB1188" s="68"/>
      <c r="BC1188" s="68"/>
      <c r="BD1188" s="68"/>
      <c r="BE1188" s="68"/>
      <c r="BF1188" s="68"/>
      <c r="BG1188" s="68"/>
      <c r="BH1188" s="68"/>
      <c r="BI1188" s="68"/>
      <c r="BJ1188" s="68"/>
      <c r="BK1188" s="68"/>
      <c r="BL1188" s="68"/>
      <c r="BM1188" s="68"/>
      <c r="BN1188" s="68"/>
      <c r="BO1188" s="68"/>
      <c r="BP1188" s="68"/>
      <c r="BQ1188" s="68"/>
      <c r="BR1188" s="68"/>
      <c r="BS1188" s="68"/>
      <c r="BT1188" s="68"/>
      <c r="BU1188" s="68"/>
      <c r="BV1188" s="68"/>
      <c r="BW1188" s="68"/>
      <c r="BX1188" s="68"/>
      <c r="BY1188" s="588"/>
      <c r="BZ1188" s="68"/>
      <c r="CA1188" s="68"/>
      <c r="CB1188" s="68"/>
      <c r="CC1188" s="68"/>
      <c r="CD1188" s="68"/>
      <c r="CE1188" s="68"/>
      <c r="CF1188" s="68"/>
      <c r="CG1188" s="68"/>
      <c r="CH1188" s="68"/>
      <c r="CI1188" s="68"/>
      <c r="CJ1188" s="68"/>
      <c r="CK1188" s="68"/>
      <c r="CL1188" s="155"/>
    </row>
    <row r="1189" spans="1:90" x14ac:dyDescent="0.3">
      <c r="A1189" s="67" t="s">
        <v>557</v>
      </c>
      <c r="B1189" s="27" t="str">
        <f>"FY"&amp;RIGHT(MO.MRFP,4)+IF(LEFT(MO.MRFP,2)="FY",1,0)</f>
        <v>FY2027</v>
      </c>
      <c r="C1189" s="68"/>
      <c r="D1189" s="68"/>
      <c r="E1189" s="68"/>
      <c r="F1189" s="68"/>
      <c r="G1189" s="68"/>
      <c r="H1189" s="68"/>
      <c r="I1189" s="68"/>
      <c r="J1189" s="68"/>
      <c r="K1189" s="68"/>
      <c r="L1189" s="68"/>
      <c r="M1189" s="68"/>
      <c r="N1189" s="68"/>
      <c r="O1189" s="68"/>
      <c r="P1189" s="68"/>
      <c r="Q1189" s="68"/>
      <c r="R1189" s="68"/>
      <c r="S1189" s="68"/>
      <c r="T1189" s="68"/>
      <c r="U1189" s="68"/>
      <c r="V1189" s="68"/>
      <c r="W1189" s="68"/>
      <c r="X1189" s="68"/>
      <c r="Y1189" s="68"/>
      <c r="Z1189" s="68"/>
      <c r="AA1189" s="68"/>
      <c r="AB1189" s="68"/>
      <c r="AC1189" s="68"/>
      <c r="AD1189" s="68"/>
      <c r="AE1189" s="68"/>
      <c r="AF1189" s="68"/>
      <c r="AG1189" s="68"/>
      <c r="AH1189" s="68"/>
      <c r="AI1189" s="68"/>
      <c r="AJ1189" s="68"/>
      <c r="AK1189" s="68"/>
      <c r="AL1189" s="68"/>
      <c r="AM1189" s="68"/>
      <c r="AN1189" s="68"/>
      <c r="AO1189" s="68"/>
      <c r="AP1189" s="68"/>
      <c r="AQ1189" s="68"/>
      <c r="AR1189" s="68"/>
      <c r="AS1189" s="68"/>
      <c r="AT1189" s="68"/>
      <c r="AU1189" s="68"/>
      <c r="AV1189" s="68"/>
      <c r="AW1189" s="68"/>
      <c r="AX1189" s="68"/>
      <c r="AY1189" s="68"/>
      <c r="AZ1189" s="68"/>
      <c r="BA1189" s="68"/>
      <c r="BB1189" s="68"/>
      <c r="BC1189" s="68"/>
      <c r="BD1189" s="68"/>
      <c r="BE1189" s="68"/>
      <c r="BF1189" s="68"/>
      <c r="BG1189" s="68"/>
      <c r="BH1189" s="68"/>
      <c r="BI1189" s="68"/>
      <c r="BJ1189" s="68"/>
      <c r="BK1189" s="68"/>
      <c r="BL1189" s="68"/>
      <c r="BM1189" s="68"/>
      <c r="BN1189" s="68"/>
      <c r="BO1189" s="68"/>
      <c r="BP1189" s="68"/>
      <c r="BQ1189" s="68"/>
      <c r="BR1189" s="68"/>
      <c r="BS1189" s="68"/>
      <c r="BT1189" s="68"/>
      <c r="BU1189" s="68"/>
      <c r="BV1189" s="68"/>
      <c r="BW1189" s="68"/>
      <c r="BX1189" s="68"/>
      <c r="BY1189" s="588"/>
      <c r="BZ1189" s="68"/>
      <c r="CA1189" s="68"/>
      <c r="CB1189" s="68"/>
      <c r="CC1189" s="68"/>
      <c r="CD1189" s="68"/>
      <c r="CE1189" s="68"/>
      <c r="CF1189" s="68"/>
      <c r="CG1189" s="68"/>
      <c r="CH1189" s="68"/>
      <c r="CI1189" s="68"/>
      <c r="CJ1189" s="68"/>
      <c r="CK1189" s="68"/>
      <c r="CL1189" s="155"/>
    </row>
    <row r="1190" spans="1:90" x14ac:dyDescent="0.3">
      <c r="A1190" s="67" t="s">
        <v>912</v>
      </c>
      <c r="B1190" s="27">
        <f>COUNTA(tb_KPIs)-1</f>
        <v>21</v>
      </c>
      <c r="C1190" s="68"/>
      <c r="D1190" s="68"/>
      <c r="E1190" s="68"/>
      <c r="F1190" s="68"/>
      <c r="G1190" s="68"/>
      <c r="H1190" s="68"/>
      <c r="I1190" s="68"/>
      <c r="J1190" s="68"/>
      <c r="K1190" s="68"/>
      <c r="L1190" s="68"/>
      <c r="M1190" s="68"/>
      <c r="N1190" s="68"/>
      <c r="O1190" s="68"/>
      <c r="P1190" s="68"/>
      <c r="Q1190" s="68"/>
      <c r="R1190" s="68"/>
      <c r="S1190" s="68"/>
      <c r="T1190" s="68"/>
      <c r="U1190" s="68"/>
      <c r="V1190" s="68"/>
      <c r="W1190" s="68"/>
      <c r="X1190" s="68"/>
      <c r="Y1190" s="68"/>
      <c r="Z1190" s="68"/>
      <c r="AA1190" s="68"/>
      <c r="AB1190" s="68"/>
      <c r="AC1190" s="68"/>
      <c r="AD1190" s="68"/>
      <c r="AE1190" s="68"/>
      <c r="AF1190" s="68"/>
      <c r="AG1190" s="68"/>
      <c r="AH1190" s="68"/>
      <c r="AI1190" s="68"/>
      <c r="AJ1190" s="68"/>
      <c r="AK1190" s="68"/>
      <c r="AL1190" s="68"/>
      <c r="AM1190" s="68"/>
      <c r="AN1190" s="68"/>
      <c r="AO1190" s="68"/>
      <c r="AP1190" s="68"/>
      <c r="AQ1190" s="68"/>
      <c r="AR1190" s="68"/>
      <c r="AS1190" s="68"/>
      <c r="AT1190" s="68"/>
      <c r="AU1190" s="68"/>
      <c r="AV1190" s="68"/>
      <c r="AW1190" s="68"/>
      <c r="AX1190" s="68"/>
      <c r="AY1190" s="68"/>
      <c r="AZ1190" s="68"/>
      <c r="BA1190" s="68"/>
      <c r="BB1190" s="68"/>
      <c r="BC1190" s="68"/>
      <c r="BD1190" s="68"/>
      <c r="BE1190" s="68"/>
      <c r="BF1190" s="68"/>
      <c r="BG1190" s="68"/>
      <c r="BH1190" s="68"/>
      <c r="BI1190" s="68"/>
      <c r="BJ1190" s="68"/>
      <c r="BK1190" s="68"/>
      <c r="BL1190" s="68"/>
      <c r="BM1190" s="68"/>
      <c r="BN1190" s="68"/>
      <c r="BO1190" s="68"/>
      <c r="BP1190" s="68"/>
      <c r="BQ1190" s="68"/>
      <c r="BR1190" s="68"/>
      <c r="BS1190" s="68"/>
      <c r="BT1190" s="68"/>
      <c r="BU1190" s="68"/>
      <c r="BV1190" s="68"/>
      <c r="BW1190" s="68"/>
      <c r="BX1190" s="68"/>
      <c r="BY1190" s="588"/>
      <c r="BZ1190" s="68"/>
      <c r="CA1190" s="68"/>
      <c r="CB1190" s="68"/>
      <c r="CC1190" s="68"/>
      <c r="CD1190" s="68"/>
      <c r="CE1190" s="68"/>
      <c r="CF1190" s="68"/>
      <c r="CG1190" s="68"/>
      <c r="CH1190" s="68"/>
      <c r="CI1190" s="68"/>
      <c r="CJ1190" s="68"/>
      <c r="CK1190" s="68"/>
      <c r="CL1190" s="155"/>
    </row>
    <row r="1191" spans="1:90" x14ac:dyDescent="0.3">
      <c r="A1191" s="234" t="s">
        <v>285</v>
      </c>
      <c r="B1191" s="235">
        <f>IF(MO.DataSourceName="Bloomberg",1,IF(MO.DataSourceName="Capital IQ",2,IF(MO.DataSourceName="FactSet",3,IF(MO.DataSourceName="Refinitiv",4,1))))</f>
        <v>1</v>
      </c>
      <c r="C1191" s="68"/>
      <c r="D1191" s="68"/>
      <c r="E1191" s="68"/>
      <c r="F1191" s="68"/>
      <c r="G1191" s="68"/>
      <c r="H1191" s="68"/>
      <c r="I1191" s="68"/>
      <c r="J1191" s="68"/>
      <c r="K1191" s="68"/>
      <c r="L1191" s="68"/>
      <c r="M1191" s="68"/>
      <c r="N1191" s="68"/>
      <c r="O1191" s="68"/>
      <c r="P1191" s="68"/>
      <c r="Q1191" s="68"/>
      <c r="R1191" s="68"/>
      <c r="S1191" s="68"/>
      <c r="T1191" s="68"/>
      <c r="U1191" s="68"/>
      <c r="V1191" s="68"/>
      <c r="W1191" s="68"/>
      <c r="X1191" s="68"/>
      <c r="Y1191" s="68"/>
      <c r="Z1191" s="68"/>
      <c r="AA1191" s="68"/>
      <c r="AB1191" s="68"/>
      <c r="AC1191" s="68"/>
      <c r="AD1191" s="68"/>
      <c r="AE1191" s="68"/>
      <c r="AF1191" s="68"/>
      <c r="AG1191" s="68"/>
      <c r="AH1191" s="68"/>
      <c r="AI1191" s="68"/>
      <c r="AJ1191" s="68"/>
      <c r="AK1191" s="68"/>
      <c r="AL1191" s="68"/>
      <c r="AM1191" s="68"/>
      <c r="AN1191" s="68"/>
      <c r="AO1191" s="68"/>
      <c r="AP1191" s="68"/>
      <c r="AQ1191" s="68"/>
      <c r="AR1191" s="68"/>
      <c r="AS1191" s="68"/>
      <c r="AT1191" s="68"/>
      <c r="AU1191" s="68"/>
      <c r="AV1191" s="68"/>
      <c r="AW1191" s="68"/>
      <c r="AX1191" s="68"/>
      <c r="AY1191" s="68"/>
      <c r="AZ1191" s="68"/>
      <c r="BA1191" s="68"/>
      <c r="BB1191" s="68"/>
      <c r="BC1191" s="68"/>
      <c r="BD1191" s="68"/>
      <c r="BE1191" s="68"/>
      <c r="BF1191" s="68"/>
      <c r="BG1191" s="68"/>
      <c r="BH1191" s="68"/>
      <c r="BI1191" s="68"/>
      <c r="BJ1191" s="68"/>
      <c r="BK1191" s="68"/>
      <c r="BL1191" s="68"/>
      <c r="BM1191" s="68"/>
      <c r="BN1191" s="68"/>
      <c r="BO1191" s="68"/>
      <c r="BP1191" s="68"/>
      <c r="BQ1191" s="68"/>
      <c r="BR1191" s="68"/>
      <c r="BS1191" s="68"/>
      <c r="BT1191" s="68"/>
      <c r="BU1191" s="68"/>
      <c r="BV1191" s="68"/>
      <c r="BW1191" s="68"/>
      <c r="BX1191" s="68"/>
      <c r="BY1191" s="588"/>
      <c r="BZ1191" s="68"/>
      <c r="CA1191" s="68"/>
      <c r="CB1191" s="68"/>
      <c r="CC1191" s="68"/>
      <c r="CD1191" s="68"/>
      <c r="CE1191" s="68"/>
      <c r="CF1191" s="68"/>
      <c r="CG1191" s="68"/>
      <c r="CH1191" s="68"/>
      <c r="CI1191" s="68"/>
      <c r="CJ1191" s="68"/>
      <c r="CK1191" s="68"/>
      <c r="CL1191" s="155"/>
    </row>
    <row r="1192" spans="1:90" x14ac:dyDescent="0.3">
      <c r="A1192" s="596"/>
      <c r="B1192" s="596"/>
      <c r="C1192" s="596"/>
      <c r="D1192" s="596"/>
      <c r="E1192" s="596"/>
      <c r="F1192" s="596"/>
      <c r="G1192" s="596"/>
      <c r="H1192" s="596"/>
      <c r="I1192" s="596"/>
      <c r="J1192" s="596"/>
      <c r="K1192" s="596"/>
      <c r="L1192" s="596"/>
      <c r="M1192" s="596"/>
      <c r="N1192" s="596"/>
      <c r="O1192" s="596"/>
      <c r="P1192" s="596"/>
      <c r="Q1192" s="596"/>
      <c r="R1192" s="596"/>
      <c r="S1192" s="596"/>
      <c r="T1192" s="596"/>
      <c r="U1192" s="596"/>
      <c r="V1192" s="596"/>
      <c r="W1192" s="596"/>
      <c r="X1192" s="596"/>
      <c r="Y1192" s="596"/>
      <c r="Z1192" s="596"/>
      <c r="AA1192" s="596"/>
      <c r="AB1192" s="596"/>
      <c r="AC1192" s="596"/>
      <c r="AD1192" s="596"/>
      <c r="AE1192" s="596"/>
      <c r="AF1192" s="596"/>
      <c r="AG1192" s="596"/>
      <c r="AH1192" s="596"/>
      <c r="AI1192" s="596"/>
      <c r="AJ1192" s="596"/>
      <c r="AK1192" s="596"/>
      <c r="AL1192" s="596"/>
      <c r="AM1192" s="596"/>
      <c r="AN1192" s="596"/>
      <c r="AO1192" s="596"/>
      <c r="AP1192" s="596"/>
      <c r="AQ1192" s="596"/>
      <c r="AR1192" s="596"/>
      <c r="AS1192" s="596"/>
      <c r="AT1192" s="596"/>
      <c r="AU1192" s="596"/>
      <c r="AV1192" s="596"/>
      <c r="AW1192" s="596"/>
      <c r="AX1192" s="596"/>
      <c r="AY1192" s="596"/>
      <c r="AZ1192" s="596"/>
      <c r="BA1192" s="596"/>
      <c r="BB1192" s="596"/>
      <c r="BC1192" s="596"/>
      <c r="BD1192" s="596"/>
      <c r="BE1192" s="596"/>
      <c r="BF1192" s="596"/>
      <c r="BG1192" s="596"/>
      <c r="BH1192" s="596"/>
      <c r="BI1192" s="596"/>
      <c r="BJ1192" s="596"/>
      <c r="BK1192" s="596"/>
      <c r="BL1192" s="596"/>
      <c r="BM1192" s="596"/>
      <c r="BN1192" s="596"/>
      <c r="BO1192" s="596"/>
      <c r="BP1192" s="596"/>
      <c r="BQ1192" s="596"/>
      <c r="BR1192" s="596"/>
      <c r="BS1192" s="596"/>
      <c r="BT1192" s="596"/>
      <c r="BU1192" s="596"/>
      <c r="BV1192" s="596"/>
      <c r="BW1192" s="596"/>
      <c r="BX1192" s="596"/>
      <c r="BY1192" s="630"/>
      <c r="BZ1192" s="596"/>
      <c r="CA1192" s="596"/>
      <c r="CB1192" s="596"/>
      <c r="CC1192" s="596"/>
      <c r="CD1192" s="596"/>
      <c r="CE1192" s="596"/>
      <c r="CF1192" s="596"/>
      <c r="CG1192" s="596"/>
      <c r="CH1192" s="596"/>
      <c r="CI1192" s="596"/>
      <c r="CJ1192" s="596"/>
      <c r="CK1192" s="596"/>
      <c r="CL1192" s="155"/>
    </row>
    <row r="1193" spans="1:90" x14ac:dyDescent="0.3">
      <c r="A1193" s="286" t="s">
        <v>1247</v>
      </c>
      <c r="B1193" s="236"/>
      <c r="C1193" s="236"/>
      <c r="D1193" s="236"/>
      <c r="E1193" s="236"/>
      <c r="F1193" s="236"/>
      <c r="G1193" s="236"/>
      <c r="H1193" s="236"/>
      <c r="I1193" s="236"/>
      <c r="J1193" s="236"/>
      <c r="K1193" s="236"/>
      <c r="L1193" s="236"/>
      <c r="M1193" s="236"/>
      <c r="N1193" s="236"/>
      <c r="O1193" s="236"/>
      <c r="P1193" s="236"/>
      <c r="Q1193" s="236"/>
      <c r="R1193" s="236"/>
      <c r="S1193" s="236"/>
      <c r="T1193" s="236"/>
      <c r="U1193" s="236"/>
      <c r="V1193" s="236"/>
      <c r="W1193" s="236"/>
      <c r="X1193" s="236"/>
      <c r="Y1193" s="236"/>
      <c r="Z1193" s="236"/>
      <c r="AA1193" s="236"/>
      <c r="AB1193" s="236"/>
      <c r="AC1193" s="236"/>
      <c r="AD1193" s="236"/>
      <c r="AE1193" s="236"/>
      <c r="AF1193" s="236"/>
      <c r="AG1193" s="236"/>
      <c r="AH1193" s="236"/>
      <c r="AI1193" s="236"/>
      <c r="AJ1193" s="236"/>
      <c r="AK1193" s="236"/>
      <c r="AL1193" s="236"/>
      <c r="AM1193" s="236"/>
      <c r="AN1193" s="236"/>
      <c r="AO1193" s="236"/>
      <c r="AP1193" s="236"/>
      <c r="AQ1193" s="236"/>
      <c r="AR1193" s="236"/>
      <c r="AS1193" s="236"/>
      <c r="AT1193" s="236"/>
      <c r="AU1193" s="236"/>
      <c r="AV1193" s="236"/>
      <c r="AW1193" s="236"/>
      <c r="AX1193" s="236"/>
      <c r="AY1193" s="236"/>
      <c r="AZ1193" s="236"/>
      <c r="BA1193" s="236"/>
      <c r="BB1193" s="236"/>
      <c r="BC1193" s="236"/>
      <c r="BD1193" s="236"/>
      <c r="BE1193" s="236"/>
      <c r="BF1193" s="236"/>
      <c r="BG1193" s="236"/>
      <c r="BH1193" s="236"/>
      <c r="BI1193" s="236"/>
      <c r="BJ1193" s="236"/>
      <c r="BK1193" s="236"/>
      <c r="BL1193" s="236"/>
      <c r="BM1193" s="236"/>
      <c r="BN1193" s="236"/>
      <c r="BO1193" s="236"/>
      <c r="BP1193" s="236"/>
      <c r="BQ1193" s="236"/>
      <c r="BR1193" s="236"/>
      <c r="BS1193" s="236"/>
      <c r="BT1193" s="236"/>
      <c r="BU1193" s="236"/>
      <c r="BV1193" s="236"/>
      <c r="BW1193" s="236"/>
      <c r="BX1193" s="236"/>
      <c r="BY1193" s="236"/>
      <c r="BZ1193" s="236"/>
      <c r="CA1193" s="236"/>
      <c r="CB1193" s="236"/>
      <c r="CC1193" s="236"/>
      <c r="CD1193" s="236"/>
      <c r="CE1193" s="236"/>
      <c r="CF1193" s="236"/>
      <c r="CG1193" s="236"/>
      <c r="CH1193" s="236"/>
      <c r="CI1193" s="236"/>
      <c r="CJ1193" s="236"/>
      <c r="CK1193" s="236"/>
      <c r="CL1193" s="155"/>
    </row>
    <row r="1194" spans="1:90" x14ac:dyDescent="0.3">
      <c r="A1194" s="155"/>
      <c r="B1194" s="155"/>
      <c r="C1194" s="155"/>
      <c r="D1194" s="155"/>
      <c r="E1194" s="155"/>
      <c r="F1194" s="155"/>
      <c r="G1194" s="155"/>
      <c r="H1194" s="155"/>
      <c r="I1194" s="155"/>
      <c r="J1194" s="155"/>
      <c r="K1194" s="155"/>
      <c r="L1194" s="155"/>
      <c r="M1194" s="155"/>
      <c r="N1194" s="155"/>
      <c r="O1194" s="155"/>
      <c r="P1194" s="155"/>
      <c r="Q1194" s="155"/>
      <c r="R1194" s="155"/>
      <c r="S1194" s="155"/>
      <c r="T1194" s="155"/>
      <c r="U1194" s="155"/>
      <c r="V1194" s="155"/>
      <c r="W1194" s="155"/>
      <c r="X1194" s="155"/>
      <c r="Y1194" s="155"/>
      <c r="Z1194" s="155"/>
      <c r="AA1194" s="155"/>
      <c r="AB1194" s="155"/>
      <c r="AC1194" s="155"/>
      <c r="AD1194" s="155"/>
      <c r="AE1194" s="155"/>
      <c r="AF1194" s="155"/>
      <c r="AG1194" s="155"/>
      <c r="AH1194" s="155"/>
      <c r="AI1194" s="155"/>
      <c r="AJ1194" s="155"/>
      <c r="AK1194" s="155"/>
      <c r="AL1194" s="155"/>
      <c r="AM1194" s="155"/>
      <c r="AN1194" s="155"/>
      <c r="AO1194" s="155"/>
      <c r="AP1194" s="155"/>
      <c r="AQ1194" s="155"/>
      <c r="AR1194" s="155"/>
      <c r="AS1194" s="155"/>
      <c r="AT1194" s="155"/>
      <c r="AU1194" s="155"/>
      <c r="AV1194" s="155"/>
      <c r="AW1194" s="155"/>
      <c r="AX1194" s="155"/>
      <c r="AY1194" s="155"/>
      <c r="AZ1194" s="155"/>
      <c r="BA1194" s="155"/>
      <c r="BB1194" s="155"/>
      <c r="BC1194" s="155"/>
      <c r="BD1194" s="155"/>
      <c r="BE1194" s="155"/>
      <c r="BF1194" s="155"/>
      <c r="BG1194" s="155"/>
      <c r="BH1194" s="155"/>
      <c r="BI1194" s="155"/>
      <c r="BJ1194" s="155"/>
      <c r="BK1194" s="155"/>
      <c r="BL1194" s="155"/>
      <c r="BM1194" s="155"/>
      <c r="BN1194" s="155"/>
      <c r="BO1194" s="155"/>
      <c r="BP1194" s="155"/>
      <c r="BQ1194" s="155"/>
      <c r="BR1194" s="155"/>
      <c r="BS1194" s="155"/>
      <c r="BT1194" s="155"/>
      <c r="BU1194" s="155"/>
      <c r="BV1194" s="155"/>
      <c r="BW1194" s="155"/>
      <c r="BX1194" s="155"/>
      <c r="BY1194" s="155"/>
      <c r="BZ1194" s="155"/>
      <c r="CA1194" s="155"/>
      <c r="CB1194" s="155"/>
      <c r="CC1194" s="155"/>
      <c r="CD1194" s="155"/>
      <c r="CE1194" s="155"/>
      <c r="CF1194" s="155"/>
      <c r="CG1194" s="155"/>
      <c r="CH1194" s="155"/>
      <c r="CI1194" s="155"/>
      <c r="CJ1194" s="155"/>
      <c r="CK1194" s="155"/>
      <c r="CL1194" s="155"/>
    </row>
  </sheetData>
  <conditionalFormatting sqref="C921:P921 U921:BJ921 BL921:CK921">
    <cfRule type="cellIs" dxfId="29" priority="1626" operator="notEqual">
      <formula>0</formula>
    </cfRule>
    <cfRule type="cellIs" dxfId="28" priority="1627" operator="equal">
      <formula>0</formula>
    </cfRule>
  </conditionalFormatting>
  <conditionalFormatting sqref="C317:R317 U317:X317 Z317:AB317 AE317:AF317 AJ317:AM317 AO317:AP317 AT317:AZ317 BB317:BJ317 BL317:CK317">
    <cfRule type="cellIs" dxfId="27" priority="1628" operator="notEqual">
      <formula>0</formula>
    </cfRule>
    <cfRule type="cellIs" dxfId="26" priority="1629" operator="equal">
      <formula>0</formula>
    </cfRule>
  </conditionalFormatting>
  <conditionalFormatting sqref="C1019:CK1019">
    <cfRule type="cellIs" dxfId="25" priority="1624" operator="notEqual">
      <formula>0</formula>
    </cfRule>
    <cfRule type="cellIs" dxfId="24" priority="1625" operator="equal">
      <formula>0</formula>
    </cfRule>
  </conditionalFormatting>
  <conditionalFormatting sqref="V1022:X1022 AA1022:AB1022 AE1022:AF1022 AJ1022:AM1022 AO1022:AP1022 AT1022:AZ1022 BB1022:BJ1022 BL1022:CK1022 C1022:P1023 R1022:R1023 T1023 V1023:Y1023 AA1023:CK1023 C1024:CK1025 C1026:O1027 Q1026:CK1027 C1028:CK1033 C1034:T1034 V1034:AD1034 AF1034:AN1034 AP1034:BH1034 BJ1034:BR1034 BT1034:BW1034 BY1034:CK1034 C1035:CK1036 V1037:Y1037 AA1037:AI1037 AK1037:AN1037 AP1037:AS1037 AU1037:BC1037 BE1037:BM1037 BO1037:CK1037 C1037:T1038 V1038:AD1038 AF1038:AN1038 AP1038:BH1038 BJ1038:BR1038 BT1038:BW1038 BY1038:CK1038 C1039:CK1043">
    <cfRule type="cellIs" dxfId="23" priority="1622" operator="notEqual">
      <formula>0</formula>
    </cfRule>
    <cfRule type="cellIs" dxfId="22" priority="1623" operator="equal">
      <formula>0</formula>
    </cfRule>
  </conditionalFormatting>
  <dataValidations count="1">
    <dataValidation type="list" allowBlank="1" showInputMessage="1" showErrorMessage="1" sqref="B753" xr:uid="{00000000-0002-0000-0100-000000000000}">
      <formula1>OFFSET(tb_ValuationToggle,1,0,4,1)</formula1>
    </dataValidation>
  </dataValidations>
  <hyperlinks>
    <hyperlink ref="A1" r:id="rId1" xr:uid="{00000000-0004-0000-0100-000000000000}"/>
  </hyperlinks>
  <pageMargins left="0" right="0" top="0.39370078740157499" bottom="0" header="0.196850393700787" footer="0"/>
  <pageSetup fitToHeight="0" orientation="landscape" r:id="rId2"/>
  <headerFooter>
    <oddHeader>&amp;CNVIDIA Company0697&amp;RPage &amp;P</oddHead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7A0DE-5836-451C-88D4-3313A56EC000}">
  <dimension ref="A1:CL133"/>
  <sheetViews>
    <sheetView zoomScale="85" zoomScaleNormal="85" workbookViewId="0">
      <pane xSplit="2" ySplit="5" topLeftCell="C6" activePane="bottomRight" state="frozenSplit"/>
      <selection pane="topRight" activeCell="C1" sqref="C1"/>
      <selection pane="bottomLeft" activeCell="A6" sqref="A6"/>
      <selection pane="bottomRight"/>
    </sheetView>
  </sheetViews>
  <sheetFormatPr defaultColWidth="8.88671875" defaultRowHeight="14.4" customHeight="1" outlineLevelRow="1" outlineLevelCol="1" x14ac:dyDescent="0.3"/>
  <cols>
    <col min="1" max="1" width="59" style="982" customWidth="1"/>
    <col min="2" max="2" width="9.6640625" style="982" customWidth="1"/>
    <col min="3" max="3" width="10.33203125" style="982" hidden="1" customWidth="1" outlineLevel="1"/>
    <col min="4" max="6" width="8.88671875" style="982" hidden="1" customWidth="1" outlineLevel="1"/>
    <col min="7" max="10" width="8.88671875" hidden="1" customWidth="1" outlineLevel="1"/>
    <col min="11" max="11" width="8.88671875" style="982" hidden="1" customWidth="1" outlineLevel="1"/>
    <col min="12" max="15" width="8.88671875" hidden="1" customWidth="1" outlineLevel="1"/>
    <col min="16" max="16" width="8.88671875" style="982" hidden="1" customWidth="1" outlineLevel="1"/>
    <col min="17" max="20" width="8.88671875" hidden="1" customWidth="1" outlineLevel="1"/>
    <col min="21" max="21" width="8.88671875" style="982" hidden="1" customWidth="1" outlineLevel="1"/>
    <col min="22" max="25" width="8.88671875" hidden="1" customWidth="1" outlineLevel="1"/>
    <col min="26" max="26" width="8.88671875" style="982" hidden="1" customWidth="1" outlineLevel="1"/>
    <col min="27" max="30" width="8.88671875" hidden="1" customWidth="1" outlineLevel="1"/>
    <col min="31" max="31" width="8.88671875" style="982" hidden="1" customWidth="1" outlineLevel="1"/>
    <col min="32" max="35" width="8.88671875" hidden="1" customWidth="1" outlineLevel="1"/>
    <col min="36" max="36" width="8.88671875" style="982" hidden="1" customWidth="1" outlineLevel="1"/>
    <col min="37" max="40" width="8.88671875" hidden="1" customWidth="1" outlineLevel="1"/>
    <col min="41" max="41" width="8.88671875" style="982" hidden="1" customWidth="1" outlineLevel="1"/>
    <col min="42" max="45" width="8.88671875" hidden="1" customWidth="1" outlineLevel="1"/>
    <col min="46" max="46" width="10.33203125" style="982" customWidth="1" collapsed="1"/>
    <col min="47" max="50" width="10.33203125" hidden="1" customWidth="1" outlineLevel="1"/>
    <col min="51" max="51" width="10.33203125" style="982" customWidth="1" collapsed="1"/>
    <col min="52" max="55" width="10.33203125" hidden="1" customWidth="1" outlineLevel="1"/>
    <col min="56" max="56" width="10.33203125" style="982" customWidth="1" collapsed="1"/>
    <col min="57" max="60" width="10.33203125" hidden="1" customWidth="1" outlineLevel="1"/>
    <col min="61" max="61" width="10.33203125" style="982" customWidth="1" collapsed="1"/>
    <col min="62" max="65" width="10.33203125" hidden="1" customWidth="1" outlineLevel="1"/>
    <col min="66" max="66" width="10.33203125" style="982" customWidth="1" collapsed="1"/>
    <col min="67" max="70" width="10.33203125" hidden="1" customWidth="1" outlineLevel="1"/>
    <col min="71" max="71" width="10.33203125" style="982" customWidth="1" collapsed="1"/>
    <col min="72" max="75" width="10.33203125" customWidth="1" outlineLevel="1"/>
    <col min="76" max="76" width="10.33203125" style="982" customWidth="1"/>
    <col min="77" max="80" width="10.33203125" style="982" customWidth="1" outlineLevel="1"/>
    <col min="81" max="81" width="10.33203125" style="982" customWidth="1"/>
    <col min="82" max="85" width="10.33203125" style="982" customWidth="1" outlineLevel="1"/>
    <col min="86" max="89" width="10.33203125" style="982" customWidth="1"/>
    <col min="90" max="16384" width="8.88671875" style="982"/>
  </cols>
  <sheetData>
    <row r="1" spans="1:90" s="993" customFormat="1" ht="28.5" customHeight="1" x14ac:dyDescent="0.55000000000000004">
      <c r="A1" s="838" t="str">
        <f>MO.CompanyName</f>
        <v>Company1915 Company0697</v>
      </c>
      <c r="B1" s="194"/>
      <c r="C1" s="885"/>
      <c r="D1" s="885"/>
      <c r="E1" s="885"/>
      <c r="F1" s="885"/>
      <c r="G1" s="885"/>
      <c r="H1" s="885"/>
      <c r="I1" s="885"/>
      <c r="J1" s="885"/>
      <c r="K1" s="885"/>
      <c r="L1" s="885"/>
      <c r="M1" s="885"/>
      <c r="N1" s="885"/>
      <c r="O1" s="885"/>
      <c r="P1" s="885"/>
      <c r="Q1" s="885"/>
      <c r="R1" s="885"/>
      <c r="S1" s="885"/>
      <c r="T1" s="885"/>
      <c r="U1" s="885"/>
      <c r="V1" s="885"/>
      <c r="W1" s="885"/>
      <c r="X1" s="885"/>
      <c r="Y1" s="885"/>
      <c r="Z1" s="885"/>
      <c r="AA1" s="885"/>
      <c r="AB1" s="885"/>
      <c r="AC1" s="885"/>
      <c r="AD1" s="885"/>
      <c r="AE1" s="885"/>
      <c r="AF1" s="885"/>
      <c r="AG1" s="885"/>
      <c r="AH1" s="885"/>
      <c r="AI1" s="885"/>
      <c r="AJ1" s="885"/>
      <c r="AK1" s="885"/>
      <c r="AL1" s="885"/>
      <c r="AM1" s="885"/>
      <c r="AN1" s="885"/>
      <c r="AO1" s="885"/>
      <c r="AP1" s="885"/>
      <c r="AQ1" s="885"/>
      <c r="AR1" s="885"/>
      <c r="AS1" s="885"/>
      <c r="AT1" s="885"/>
      <c r="AU1" s="885"/>
      <c r="AV1" s="885"/>
      <c r="AW1" s="885"/>
      <c r="AX1" s="885"/>
      <c r="AY1" s="885"/>
      <c r="AZ1" s="885"/>
      <c r="BA1" s="885"/>
      <c r="BB1" s="885"/>
      <c r="BC1" s="885"/>
      <c r="BD1" s="885"/>
      <c r="BE1" s="885"/>
      <c r="BF1" s="885"/>
      <c r="BG1" s="885"/>
      <c r="BH1" s="885"/>
      <c r="BI1" s="885"/>
      <c r="BJ1" s="885"/>
      <c r="BK1" s="885"/>
      <c r="BL1" s="885"/>
      <c r="BM1" s="885"/>
      <c r="BN1" s="885"/>
      <c r="BO1" s="885"/>
      <c r="BP1" s="885"/>
      <c r="BQ1" s="885"/>
      <c r="BR1" s="885"/>
      <c r="BS1" s="885"/>
      <c r="BT1" s="885"/>
      <c r="BU1" s="885"/>
      <c r="BV1" s="885"/>
      <c r="BW1" s="885"/>
      <c r="BX1" s="885"/>
      <c r="BY1" s="878"/>
      <c r="BZ1" s="885"/>
      <c r="CA1" s="885"/>
      <c r="CB1" s="885"/>
      <c r="CC1" s="885"/>
      <c r="CD1" s="885"/>
      <c r="CE1" s="885"/>
      <c r="CF1" s="885"/>
      <c r="CG1" s="885"/>
      <c r="CH1" s="885"/>
      <c r="CI1" s="885"/>
      <c r="CJ1" s="885"/>
      <c r="CK1" s="885"/>
      <c r="CL1" s="827"/>
    </row>
    <row r="2" spans="1:90" s="993" customFormat="1" ht="15" customHeight="1" x14ac:dyDescent="0.3">
      <c r="A2" s="839" t="str">
        <f>MO.Ticker</f>
        <v>Ticker0027 US</v>
      </c>
      <c r="B2" s="840"/>
      <c r="C2" s="1050">
        <f>Model!C2</f>
        <v>39478</v>
      </c>
      <c r="D2" s="1050">
        <f>Model!D2</f>
        <v>0</v>
      </c>
      <c r="E2" s="1050">
        <f>Model!E2</f>
        <v>0</v>
      </c>
      <c r="F2" s="1050">
        <f>Model!F2</f>
        <v>0</v>
      </c>
      <c r="G2" s="1050">
        <f>Model!G2</f>
        <v>0</v>
      </c>
      <c r="H2" s="1050">
        <f>Model!H2</f>
        <v>0</v>
      </c>
      <c r="I2" s="1050">
        <f>Model!I2</f>
        <v>0</v>
      </c>
      <c r="J2" s="1050">
        <f>Model!J2</f>
        <v>0</v>
      </c>
      <c r="K2" s="1050">
        <f>Model!K2</f>
        <v>0</v>
      </c>
      <c r="L2" s="1050">
        <f>Model!L2</f>
        <v>0</v>
      </c>
      <c r="M2" s="1050">
        <f>Model!M2</f>
        <v>0</v>
      </c>
      <c r="N2" s="1050">
        <f>Model!N2</f>
        <v>0</v>
      </c>
      <c r="O2" s="1050">
        <f>Model!O2</f>
        <v>0</v>
      </c>
      <c r="P2" s="1050">
        <f>Model!P2</f>
        <v>0</v>
      </c>
      <c r="Q2" s="1050">
        <f>Model!Q2</f>
        <v>0</v>
      </c>
      <c r="R2" s="1050">
        <f>Model!R2</f>
        <v>0</v>
      </c>
      <c r="S2" s="1050">
        <f>Model!S2</f>
        <v>0</v>
      </c>
      <c r="T2" s="1050">
        <f>Model!T2</f>
        <v>0</v>
      </c>
      <c r="U2" s="1050">
        <f>Model!U2</f>
        <v>0</v>
      </c>
      <c r="V2" s="1050">
        <f>Model!V2</f>
        <v>0</v>
      </c>
      <c r="W2" s="1050">
        <f>Model!W2</f>
        <v>0</v>
      </c>
      <c r="X2" s="1050">
        <f>Model!X2</f>
        <v>0</v>
      </c>
      <c r="Y2" s="1050">
        <f>Model!Y2</f>
        <v>0</v>
      </c>
      <c r="Z2" s="1050">
        <f>Model!Z2</f>
        <v>0</v>
      </c>
      <c r="AA2" s="1050" t="str">
        <f>Model!AA2</f>
        <v>Restated</v>
      </c>
      <c r="AB2" s="1050" t="str">
        <f>Model!AB2</f>
        <v>Restated</v>
      </c>
      <c r="AC2" s="1050" t="str">
        <f>Model!AC2</f>
        <v>Restated</v>
      </c>
      <c r="AD2" s="1050" t="str">
        <f>Model!AD2</f>
        <v>Restated</v>
      </c>
      <c r="AE2" s="1050" t="str">
        <f>Model!AE2</f>
        <v>Restated</v>
      </c>
      <c r="AF2" s="1050">
        <f>Model!AF2</f>
        <v>0</v>
      </c>
      <c r="AG2" s="1050">
        <f>Model!AG2</f>
        <v>0</v>
      </c>
      <c r="AH2" s="1050">
        <f>Model!AH2</f>
        <v>0</v>
      </c>
      <c r="AI2" s="1050">
        <f>Model!AI2</f>
        <v>0</v>
      </c>
      <c r="AJ2" s="1050">
        <f>Model!AJ2</f>
        <v>0</v>
      </c>
      <c r="AK2" s="1050">
        <f>Model!AK2</f>
        <v>0</v>
      </c>
      <c r="AL2" s="1050">
        <f>Model!AL2</f>
        <v>0</v>
      </c>
      <c r="AM2" s="1050">
        <f>Model!AM2</f>
        <v>0</v>
      </c>
      <c r="AN2" s="1050">
        <f>Model!AN2</f>
        <v>0</v>
      </c>
      <c r="AO2" s="1050">
        <f>Model!AO2</f>
        <v>0</v>
      </c>
      <c r="AP2" s="1050">
        <f>Model!AP2</f>
        <v>0</v>
      </c>
      <c r="AQ2" s="1050">
        <f>Model!AQ2</f>
        <v>0</v>
      </c>
      <c r="AR2" s="1050">
        <f>Model!AR2</f>
        <v>0</v>
      </c>
      <c r="AS2" s="1050">
        <f>Model!AS2</f>
        <v>0</v>
      </c>
      <c r="AT2" s="1050">
        <f>Model!AT2</f>
        <v>0</v>
      </c>
      <c r="AU2" s="1050">
        <f>Model!AU2</f>
        <v>0</v>
      </c>
      <c r="AV2" s="1050">
        <f>Model!AV2</f>
        <v>0</v>
      </c>
      <c r="AW2" s="1050">
        <f>Model!AW2</f>
        <v>0</v>
      </c>
      <c r="AX2" s="1050">
        <f>Model!AX2</f>
        <v>0</v>
      </c>
      <c r="AY2" s="1050">
        <f>Model!AY2</f>
        <v>0</v>
      </c>
      <c r="AZ2" s="1050">
        <f>Model!AZ2</f>
        <v>0</v>
      </c>
      <c r="BA2" s="1050">
        <f>Model!BA2</f>
        <v>0</v>
      </c>
      <c r="BB2" s="1050">
        <f>Model!BB2</f>
        <v>0</v>
      </c>
      <c r="BC2" s="1050">
        <f>Model!BC2</f>
        <v>0</v>
      </c>
      <c r="BD2" s="1050">
        <f>Model!BD2</f>
        <v>0</v>
      </c>
      <c r="BE2" s="1050">
        <f>Model!BE2</f>
        <v>0</v>
      </c>
      <c r="BF2" s="1050">
        <f>Model!BF2</f>
        <v>0</v>
      </c>
      <c r="BG2" s="1050">
        <f>Model!BG2</f>
        <v>0</v>
      </c>
      <c r="BH2" s="1050">
        <f>Model!BH2</f>
        <v>0</v>
      </c>
      <c r="BI2" s="1050">
        <f>Model!BI2</f>
        <v>0</v>
      </c>
      <c r="BJ2" s="1050">
        <f>Model!BJ2</f>
        <v>0</v>
      </c>
      <c r="BK2" s="1050">
        <f>Model!BK2</f>
        <v>0</v>
      </c>
      <c r="BL2" s="1050">
        <f>Model!BL2</f>
        <v>0</v>
      </c>
      <c r="BM2" s="1050">
        <f>Model!BM2</f>
        <v>0</v>
      </c>
      <c r="BN2" s="1050">
        <f>Model!BN2</f>
        <v>0</v>
      </c>
      <c r="BO2" s="1050">
        <f>Model!BO2</f>
        <v>0</v>
      </c>
      <c r="BP2" s="1050">
        <f>Model!BP2</f>
        <v>0</v>
      </c>
      <c r="BQ2" s="1050">
        <f>Model!BQ2</f>
        <v>0</v>
      </c>
      <c r="BR2" s="1050">
        <f>Model!BR2</f>
        <v>0</v>
      </c>
      <c r="BS2" s="1050">
        <f>Model!BS2</f>
        <v>0</v>
      </c>
      <c r="BT2" s="1050">
        <f>Model!BT2</f>
        <v>0</v>
      </c>
      <c r="BU2" s="1050">
        <f>Model!BU2</f>
        <v>0</v>
      </c>
      <c r="BV2" s="1050">
        <f>Model!BV2</f>
        <v>0</v>
      </c>
      <c r="BW2" s="1050">
        <f>Model!BW2</f>
        <v>0</v>
      </c>
      <c r="BX2" s="1050">
        <f>Model!BX2</f>
        <v>0</v>
      </c>
      <c r="BY2" s="844">
        <f>Model!BY2</f>
        <v>0</v>
      </c>
      <c r="BZ2" s="872">
        <f>Model!BZ2</f>
        <v>0</v>
      </c>
      <c r="CA2" s="872">
        <f>Model!CA2</f>
        <v>0</v>
      </c>
      <c r="CB2" s="872">
        <f>Model!CB2</f>
        <v>0</v>
      </c>
      <c r="CC2" s="872">
        <f>Model!CC2</f>
        <v>0</v>
      </c>
      <c r="CD2" s="872">
        <f>Model!CD2</f>
        <v>0</v>
      </c>
      <c r="CE2" s="872">
        <f>Model!CE2</f>
        <v>0</v>
      </c>
      <c r="CF2" s="872">
        <f>Model!CF2</f>
        <v>0</v>
      </c>
      <c r="CG2" s="872">
        <f>Model!CG2</f>
        <v>0</v>
      </c>
      <c r="CH2" s="872">
        <f>Model!CH2</f>
        <v>0</v>
      </c>
      <c r="CI2" s="872">
        <f>Model!CI2</f>
        <v>0</v>
      </c>
      <c r="CJ2" s="872">
        <f>Model!CJ2</f>
        <v>0</v>
      </c>
      <c r="CK2" s="872">
        <f>Model!CK2</f>
        <v>0</v>
      </c>
      <c r="CL2" s="827"/>
    </row>
    <row r="3" spans="1:90" s="993" customFormat="1" ht="15" customHeight="1" x14ac:dyDescent="0.3">
      <c r="A3" s="841" t="str">
        <f>MO.TradingCurrency</f>
        <v>USD</v>
      </c>
      <c r="B3" s="842">
        <f>MO.LastPrice</f>
        <v>222.82</v>
      </c>
      <c r="C3" s="1261">
        <f t="shared" ref="C3:AH3" si="0">INDEX(MO_Common_FPDays,0,MATCH(C$5,MO_Common_ColumnHeader,0))</f>
        <v>360</v>
      </c>
      <c r="D3" s="1261">
        <f t="shared" si="0"/>
        <v>371</v>
      </c>
      <c r="E3" s="1261">
        <f t="shared" si="0"/>
        <v>364</v>
      </c>
      <c r="F3" s="1261">
        <f t="shared" si="0"/>
        <v>364</v>
      </c>
      <c r="G3" s="835">
        <f t="shared" si="0"/>
        <v>91</v>
      </c>
      <c r="H3" s="835">
        <f t="shared" si="0"/>
        <v>91</v>
      </c>
      <c r="I3" s="835">
        <f t="shared" si="0"/>
        <v>91</v>
      </c>
      <c r="J3" s="835">
        <f t="shared" si="0"/>
        <v>91</v>
      </c>
      <c r="K3" s="1261">
        <f t="shared" si="0"/>
        <v>364</v>
      </c>
      <c r="L3" s="835">
        <f t="shared" si="0"/>
        <v>91</v>
      </c>
      <c r="M3" s="835">
        <f t="shared" si="0"/>
        <v>91</v>
      </c>
      <c r="N3" s="835">
        <f t="shared" si="0"/>
        <v>91</v>
      </c>
      <c r="O3" s="835">
        <f t="shared" si="0"/>
        <v>91</v>
      </c>
      <c r="P3" s="1261">
        <f t="shared" si="0"/>
        <v>364</v>
      </c>
      <c r="Q3" s="835">
        <f t="shared" si="0"/>
        <v>91</v>
      </c>
      <c r="R3" s="835">
        <f t="shared" si="0"/>
        <v>91</v>
      </c>
      <c r="S3" s="835">
        <f t="shared" si="0"/>
        <v>91</v>
      </c>
      <c r="T3" s="835">
        <f t="shared" si="0"/>
        <v>91</v>
      </c>
      <c r="U3" s="1261">
        <f t="shared" si="0"/>
        <v>364</v>
      </c>
      <c r="V3" s="835">
        <f t="shared" si="0"/>
        <v>91</v>
      </c>
      <c r="W3" s="835">
        <f t="shared" si="0"/>
        <v>91</v>
      </c>
      <c r="X3" s="835">
        <f t="shared" si="0"/>
        <v>91</v>
      </c>
      <c r="Y3" s="835">
        <f t="shared" si="0"/>
        <v>98</v>
      </c>
      <c r="Z3" s="1261">
        <f t="shared" si="0"/>
        <v>371</v>
      </c>
      <c r="AA3" s="835">
        <f t="shared" si="0"/>
        <v>91</v>
      </c>
      <c r="AB3" s="835">
        <f t="shared" si="0"/>
        <v>91</v>
      </c>
      <c r="AC3" s="835">
        <f t="shared" si="0"/>
        <v>91</v>
      </c>
      <c r="AD3" s="835">
        <f t="shared" si="0"/>
        <v>91</v>
      </c>
      <c r="AE3" s="1261">
        <f t="shared" si="0"/>
        <v>364</v>
      </c>
      <c r="AF3" s="835">
        <f t="shared" si="0"/>
        <v>91</v>
      </c>
      <c r="AG3" s="835">
        <f t="shared" si="0"/>
        <v>91</v>
      </c>
      <c r="AH3" s="835">
        <f t="shared" si="0"/>
        <v>91</v>
      </c>
      <c r="AI3" s="835">
        <f t="shared" ref="AI3:BN3" si="1">INDEX(MO_Common_FPDays,0,MATCH(AI$5,MO_Common_ColumnHeader,0))</f>
        <v>91</v>
      </c>
      <c r="AJ3" s="1261">
        <f t="shared" si="1"/>
        <v>364</v>
      </c>
      <c r="AK3" s="835">
        <f t="shared" si="1"/>
        <v>91</v>
      </c>
      <c r="AL3" s="835">
        <f t="shared" si="1"/>
        <v>91</v>
      </c>
      <c r="AM3" s="835">
        <f t="shared" si="1"/>
        <v>91</v>
      </c>
      <c r="AN3" s="835">
        <f t="shared" si="1"/>
        <v>91</v>
      </c>
      <c r="AO3" s="1261">
        <f t="shared" si="1"/>
        <v>364</v>
      </c>
      <c r="AP3" s="835">
        <f t="shared" si="1"/>
        <v>91</v>
      </c>
      <c r="AQ3" s="835">
        <f t="shared" si="1"/>
        <v>91</v>
      </c>
      <c r="AR3" s="835">
        <f t="shared" si="1"/>
        <v>91</v>
      </c>
      <c r="AS3" s="835">
        <f t="shared" si="1"/>
        <v>91</v>
      </c>
      <c r="AT3" s="1261">
        <f t="shared" si="1"/>
        <v>364</v>
      </c>
      <c r="AU3" s="835">
        <f t="shared" si="1"/>
        <v>91</v>
      </c>
      <c r="AV3" s="835">
        <f t="shared" si="1"/>
        <v>91</v>
      </c>
      <c r="AW3" s="835">
        <f t="shared" si="1"/>
        <v>91</v>
      </c>
      <c r="AX3" s="835">
        <f t="shared" si="1"/>
        <v>98</v>
      </c>
      <c r="AY3" s="1261">
        <f t="shared" si="1"/>
        <v>371</v>
      </c>
      <c r="AZ3" s="835">
        <f t="shared" si="1"/>
        <v>91</v>
      </c>
      <c r="BA3" s="835">
        <f t="shared" si="1"/>
        <v>91</v>
      </c>
      <c r="BB3" s="835">
        <f t="shared" si="1"/>
        <v>91</v>
      </c>
      <c r="BC3" s="835">
        <f t="shared" si="1"/>
        <v>91</v>
      </c>
      <c r="BD3" s="1261">
        <f t="shared" si="1"/>
        <v>364</v>
      </c>
      <c r="BE3" s="835">
        <f t="shared" si="1"/>
        <v>91</v>
      </c>
      <c r="BF3" s="835">
        <f t="shared" si="1"/>
        <v>91</v>
      </c>
      <c r="BG3" s="835">
        <f t="shared" si="1"/>
        <v>91</v>
      </c>
      <c r="BH3" s="835">
        <f t="shared" si="1"/>
        <v>91</v>
      </c>
      <c r="BI3" s="1261">
        <f t="shared" si="1"/>
        <v>364</v>
      </c>
      <c r="BJ3" s="835">
        <f t="shared" si="1"/>
        <v>91</v>
      </c>
      <c r="BK3" s="835">
        <f t="shared" si="1"/>
        <v>91</v>
      </c>
      <c r="BL3" s="835">
        <f t="shared" si="1"/>
        <v>91</v>
      </c>
      <c r="BM3" s="835">
        <f t="shared" si="1"/>
        <v>91</v>
      </c>
      <c r="BN3" s="1261">
        <f t="shared" si="1"/>
        <v>364</v>
      </c>
      <c r="BO3" s="835">
        <f t="shared" ref="BO3:BS3" si="2">INDEX(MO_Common_FPDays,0,MATCH(BO$5,MO_Common_ColumnHeader,0))</f>
        <v>91</v>
      </c>
      <c r="BP3" s="835">
        <f t="shared" si="2"/>
        <v>91</v>
      </c>
      <c r="BQ3" s="835">
        <f t="shared" si="2"/>
        <v>91</v>
      </c>
      <c r="BR3" s="835">
        <f t="shared" si="2"/>
        <v>91</v>
      </c>
      <c r="BS3" s="1261">
        <f t="shared" si="2"/>
        <v>364</v>
      </c>
      <c r="BT3" s="835">
        <f t="shared" ref="BT3:CK3" si="3">INDEX(MO_Common_FPDays,0,MATCH(BT$5,MO_Common_ColumnHeader,0))</f>
        <v>91</v>
      </c>
      <c r="BU3" s="835">
        <f t="shared" si="3"/>
        <v>91</v>
      </c>
      <c r="BV3" s="835">
        <f t="shared" si="3"/>
        <v>91</v>
      </c>
      <c r="BW3" s="835">
        <f t="shared" si="3"/>
        <v>91</v>
      </c>
      <c r="BX3" s="1261">
        <f t="shared" si="3"/>
        <v>364</v>
      </c>
      <c r="BY3" s="951">
        <f>INDEX(MO_Common_FPDays,0,MATCH(BY$5,MO_Common_ColumnHeader,0))</f>
        <v>91</v>
      </c>
      <c r="BZ3" s="873">
        <f t="shared" si="3"/>
        <v>91</v>
      </c>
      <c r="CA3" s="873">
        <f t="shared" si="3"/>
        <v>92</v>
      </c>
      <c r="CB3" s="873">
        <f t="shared" si="3"/>
        <v>97</v>
      </c>
      <c r="CC3" s="1262">
        <f t="shared" si="3"/>
        <v>371</v>
      </c>
      <c r="CD3" s="873">
        <f t="shared" si="3"/>
        <v>89</v>
      </c>
      <c r="CE3" s="873">
        <f t="shared" si="3"/>
        <v>91</v>
      </c>
      <c r="CF3" s="873">
        <f t="shared" si="3"/>
        <v>92</v>
      </c>
      <c r="CG3" s="873">
        <f t="shared" si="3"/>
        <v>93</v>
      </c>
      <c r="CH3" s="1262">
        <f t="shared" si="3"/>
        <v>365</v>
      </c>
      <c r="CI3" s="1262">
        <f t="shared" si="3"/>
        <v>366</v>
      </c>
      <c r="CJ3" s="1262">
        <f t="shared" si="3"/>
        <v>365</v>
      </c>
      <c r="CK3" s="1262">
        <f t="shared" si="3"/>
        <v>365</v>
      </c>
      <c r="CL3" s="827"/>
    </row>
    <row r="4" spans="1:90" s="993" customFormat="1" ht="15" customHeight="1" x14ac:dyDescent="0.3">
      <c r="A4" s="843" t="str">
        <f>MO.DataSourceName</f>
        <v>Bloomberg</v>
      </c>
      <c r="B4" s="835" t="str">
        <f>MO.RealTime</f>
        <v>OFF</v>
      </c>
      <c r="C4" s="1263">
        <f t="shared" ref="C4:AH4" si="4">INDEX(MO_Common_QEndDate,0,MATCH(C$5,MO_Common_ColumnHeader,0))</f>
        <v>39838</v>
      </c>
      <c r="D4" s="1263">
        <f t="shared" si="4"/>
        <v>40209</v>
      </c>
      <c r="E4" s="1263">
        <f t="shared" si="4"/>
        <v>40573</v>
      </c>
      <c r="F4" s="1263">
        <f t="shared" si="4"/>
        <v>40937</v>
      </c>
      <c r="G4" s="1051">
        <f t="shared" si="4"/>
        <v>41028</v>
      </c>
      <c r="H4" s="1051">
        <f t="shared" si="4"/>
        <v>41119</v>
      </c>
      <c r="I4" s="1051">
        <f t="shared" si="4"/>
        <v>41210</v>
      </c>
      <c r="J4" s="1051">
        <f t="shared" si="4"/>
        <v>41301</v>
      </c>
      <c r="K4" s="1263">
        <f t="shared" si="4"/>
        <v>41301</v>
      </c>
      <c r="L4" s="1051">
        <f t="shared" si="4"/>
        <v>41392</v>
      </c>
      <c r="M4" s="1051">
        <f t="shared" si="4"/>
        <v>41483</v>
      </c>
      <c r="N4" s="1051">
        <f t="shared" si="4"/>
        <v>41574</v>
      </c>
      <c r="O4" s="1051">
        <f t="shared" si="4"/>
        <v>41665</v>
      </c>
      <c r="P4" s="1263">
        <f t="shared" si="4"/>
        <v>41665</v>
      </c>
      <c r="Q4" s="1051">
        <f t="shared" si="4"/>
        <v>41756</v>
      </c>
      <c r="R4" s="1051">
        <f t="shared" si="4"/>
        <v>41847</v>
      </c>
      <c r="S4" s="1051">
        <f t="shared" si="4"/>
        <v>41938</v>
      </c>
      <c r="T4" s="1051">
        <f t="shared" si="4"/>
        <v>42029</v>
      </c>
      <c r="U4" s="1263">
        <f t="shared" si="4"/>
        <v>42029</v>
      </c>
      <c r="V4" s="1051">
        <f t="shared" si="4"/>
        <v>42120</v>
      </c>
      <c r="W4" s="1051">
        <f t="shared" si="4"/>
        <v>42211</v>
      </c>
      <c r="X4" s="1051">
        <f t="shared" si="4"/>
        <v>42302</v>
      </c>
      <c r="Y4" s="1051">
        <f t="shared" si="4"/>
        <v>42400</v>
      </c>
      <c r="Z4" s="1263">
        <f t="shared" si="4"/>
        <v>42400</v>
      </c>
      <c r="AA4" s="1051">
        <f t="shared" si="4"/>
        <v>42491</v>
      </c>
      <c r="AB4" s="1051">
        <f t="shared" si="4"/>
        <v>42582</v>
      </c>
      <c r="AC4" s="1051">
        <f t="shared" si="4"/>
        <v>42673</v>
      </c>
      <c r="AD4" s="1051">
        <f t="shared" si="4"/>
        <v>42764</v>
      </c>
      <c r="AE4" s="1263">
        <f t="shared" si="4"/>
        <v>42764</v>
      </c>
      <c r="AF4" s="1051">
        <f t="shared" si="4"/>
        <v>42855</v>
      </c>
      <c r="AG4" s="1051">
        <f t="shared" si="4"/>
        <v>42946</v>
      </c>
      <c r="AH4" s="1051">
        <f t="shared" si="4"/>
        <v>43037</v>
      </c>
      <c r="AI4" s="1051">
        <f t="shared" ref="AI4:BN4" si="5">INDEX(MO_Common_QEndDate,0,MATCH(AI$5,MO_Common_ColumnHeader,0))</f>
        <v>43128</v>
      </c>
      <c r="AJ4" s="1263">
        <f t="shared" si="5"/>
        <v>43128</v>
      </c>
      <c r="AK4" s="1051">
        <f t="shared" si="5"/>
        <v>43219</v>
      </c>
      <c r="AL4" s="1051">
        <f t="shared" si="5"/>
        <v>43310</v>
      </c>
      <c r="AM4" s="1051">
        <f t="shared" si="5"/>
        <v>43401</v>
      </c>
      <c r="AN4" s="1051">
        <f t="shared" si="5"/>
        <v>43492</v>
      </c>
      <c r="AO4" s="1263">
        <f t="shared" si="5"/>
        <v>43492</v>
      </c>
      <c r="AP4" s="1051">
        <f t="shared" si="5"/>
        <v>43583</v>
      </c>
      <c r="AQ4" s="1051">
        <f t="shared" si="5"/>
        <v>43674</v>
      </c>
      <c r="AR4" s="1051">
        <f t="shared" si="5"/>
        <v>43765</v>
      </c>
      <c r="AS4" s="1051">
        <f t="shared" si="5"/>
        <v>43856</v>
      </c>
      <c r="AT4" s="1263">
        <f t="shared" si="5"/>
        <v>43856</v>
      </c>
      <c r="AU4" s="1051">
        <f t="shared" si="5"/>
        <v>43947</v>
      </c>
      <c r="AV4" s="1051">
        <f t="shared" si="5"/>
        <v>44038</v>
      </c>
      <c r="AW4" s="1051">
        <f t="shared" si="5"/>
        <v>44129</v>
      </c>
      <c r="AX4" s="1051">
        <f t="shared" si="5"/>
        <v>44227</v>
      </c>
      <c r="AY4" s="1263">
        <f t="shared" si="5"/>
        <v>44227</v>
      </c>
      <c r="AZ4" s="1051">
        <f t="shared" si="5"/>
        <v>44318</v>
      </c>
      <c r="BA4" s="1051">
        <f t="shared" si="5"/>
        <v>44409</v>
      </c>
      <c r="BB4" s="1051">
        <f t="shared" si="5"/>
        <v>44500</v>
      </c>
      <c r="BC4" s="1051">
        <f t="shared" si="5"/>
        <v>44591</v>
      </c>
      <c r="BD4" s="1263">
        <f t="shared" si="5"/>
        <v>44591</v>
      </c>
      <c r="BE4" s="1051">
        <f t="shared" si="5"/>
        <v>44682</v>
      </c>
      <c r="BF4" s="1051">
        <f t="shared" si="5"/>
        <v>44773</v>
      </c>
      <c r="BG4" s="1051">
        <f t="shared" si="5"/>
        <v>44864</v>
      </c>
      <c r="BH4" s="1051">
        <f t="shared" si="5"/>
        <v>44955</v>
      </c>
      <c r="BI4" s="1263">
        <f t="shared" si="5"/>
        <v>44955</v>
      </c>
      <c r="BJ4" s="1051">
        <f t="shared" si="5"/>
        <v>45046</v>
      </c>
      <c r="BK4" s="1051">
        <f t="shared" si="5"/>
        <v>45137</v>
      </c>
      <c r="BL4" s="1051">
        <f t="shared" si="5"/>
        <v>45228</v>
      </c>
      <c r="BM4" s="1051">
        <f t="shared" si="5"/>
        <v>45319</v>
      </c>
      <c r="BN4" s="1263">
        <f t="shared" si="5"/>
        <v>45319</v>
      </c>
      <c r="BO4" s="1051">
        <f t="shared" ref="BO4:BS4" si="6">INDEX(MO_Common_QEndDate,0,MATCH(BO$5,MO_Common_ColumnHeader,0))</f>
        <v>45410</v>
      </c>
      <c r="BP4" s="1051">
        <f t="shared" si="6"/>
        <v>45501</v>
      </c>
      <c r="BQ4" s="1051">
        <f t="shared" si="6"/>
        <v>45592</v>
      </c>
      <c r="BR4" s="1051">
        <f t="shared" si="6"/>
        <v>45683</v>
      </c>
      <c r="BS4" s="1263">
        <f t="shared" si="6"/>
        <v>45683</v>
      </c>
      <c r="BT4" s="1051">
        <f t="shared" ref="BT4:CK4" si="7">INDEX(MO_Common_QEndDate,0,MATCH(BT$5,MO_Common_ColumnHeader,0))</f>
        <v>45774</v>
      </c>
      <c r="BU4" s="1051">
        <f t="shared" si="7"/>
        <v>45865</v>
      </c>
      <c r="BV4" s="1051">
        <f t="shared" si="7"/>
        <v>45956</v>
      </c>
      <c r="BW4" s="1051">
        <f t="shared" si="7"/>
        <v>46047</v>
      </c>
      <c r="BX4" s="1263">
        <f t="shared" si="7"/>
        <v>46047</v>
      </c>
      <c r="BY4" s="952">
        <f>INDEX(MO_Common_QEndDate,0,MATCH(BY$5,MO_Common_ColumnHeader,0))</f>
        <v>46138</v>
      </c>
      <c r="BZ4" s="874">
        <f t="shared" si="7"/>
        <v>46229</v>
      </c>
      <c r="CA4" s="874">
        <f t="shared" si="7"/>
        <v>46321</v>
      </c>
      <c r="CB4" s="874">
        <f t="shared" si="7"/>
        <v>46418</v>
      </c>
      <c r="CC4" s="1264">
        <f t="shared" si="7"/>
        <v>46418</v>
      </c>
      <c r="CD4" s="874">
        <f t="shared" si="7"/>
        <v>46507</v>
      </c>
      <c r="CE4" s="874">
        <f t="shared" si="7"/>
        <v>46598</v>
      </c>
      <c r="CF4" s="874">
        <f t="shared" si="7"/>
        <v>46690</v>
      </c>
      <c r="CG4" s="874">
        <f t="shared" si="7"/>
        <v>46783</v>
      </c>
      <c r="CH4" s="1264">
        <f t="shared" si="7"/>
        <v>46783</v>
      </c>
      <c r="CI4" s="1264">
        <f t="shared" si="7"/>
        <v>47149</v>
      </c>
      <c r="CJ4" s="1264">
        <f t="shared" si="7"/>
        <v>47514</v>
      </c>
      <c r="CK4" s="1264">
        <f t="shared" si="7"/>
        <v>47879</v>
      </c>
      <c r="CL4" s="827"/>
    </row>
    <row r="5" spans="1:90" s="993" customFormat="1" ht="15" customHeight="1" x14ac:dyDescent="0.3">
      <c r="A5" s="837" t="str">
        <f>MO.ReportFX</f>
        <v>USD</v>
      </c>
      <c r="B5" s="836"/>
      <c r="C5" s="1265" t="str">
        <f>Model!C5</f>
        <v>FY2009</v>
      </c>
      <c r="D5" s="1265" t="str">
        <f>Model!D5</f>
        <v>FY2010</v>
      </c>
      <c r="E5" s="1265" t="str">
        <f>Model!E5</f>
        <v>FY2011</v>
      </c>
      <c r="F5" s="1265" t="str">
        <f>Model!F5</f>
        <v>FY2012</v>
      </c>
      <c r="G5" s="1257" t="str">
        <f>Model!G5</f>
        <v>Q1-2013</v>
      </c>
      <c r="H5" s="1257" t="str">
        <f>Model!H5</f>
        <v>Q2-2013</v>
      </c>
      <c r="I5" s="1257" t="str">
        <f>Model!I5</f>
        <v>Q3-2013</v>
      </c>
      <c r="J5" s="1257" t="str">
        <f>Model!J5</f>
        <v>Q4-2013</v>
      </c>
      <c r="K5" s="1265" t="str">
        <f>Model!K5</f>
        <v>FY2013</v>
      </c>
      <c r="L5" s="1257" t="str">
        <f>Model!L5</f>
        <v>Q1-2014</v>
      </c>
      <c r="M5" s="1257" t="str">
        <f>Model!M5</f>
        <v>Q2-2014</v>
      </c>
      <c r="N5" s="1257" t="str">
        <f>Model!N5</f>
        <v>Q3-2014</v>
      </c>
      <c r="O5" s="1257" t="str">
        <f>Model!O5</f>
        <v>Q4-2014</v>
      </c>
      <c r="P5" s="1265" t="str">
        <f>Model!P5</f>
        <v>FY2014</v>
      </c>
      <c r="Q5" s="1257" t="str">
        <f>Model!Q5</f>
        <v>Q1-2015</v>
      </c>
      <c r="R5" s="1257" t="str">
        <f>Model!R5</f>
        <v>Q2-2015</v>
      </c>
      <c r="S5" s="1257" t="str">
        <f>Model!S5</f>
        <v>Q3-2015</v>
      </c>
      <c r="T5" s="1257" t="str">
        <f>Model!T5</f>
        <v>Q4-2015</v>
      </c>
      <c r="U5" s="1265" t="str">
        <f>Model!U5</f>
        <v>FY2015</v>
      </c>
      <c r="V5" s="1257" t="str">
        <f>Model!V5</f>
        <v>Q1-2016</v>
      </c>
      <c r="W5" s="1257" t="str">
        <f>Model!W5</f>
        <v>Q2-2016</v>
      </c>
      <c r="X5" s="1257" t="str">
        <f>Model!X5</f>
        <v>Q3-2016</v>
      </c>
      <c r="Y5" s="1257" t="str">
        <f>Model!Y5</f>
        <v>Q4-2016</v>
      </c>
      <c r="Z5" s="1265" t="str">
        <f>Model!Z5</f>
        <v>FY2016</v>
      </c>
      <c r="AA5" s="1257" t="str">
        <f>Model!AA5</f>
        <v>Q1-2017</v>
      </c>
      <c r="AB5" s="1257" t="str">
        <f>Model!AB5</f>
        <v>Q2-2017</v>
      </c>
      <c r="AC5" s="1257" t="str">
        <f>Model!AC5</f>
        <v>Q3-2017</v>
      </c>
      <c r="AD5" s="1257" t="str">
        <f>Model!AD5</f>
        <v>Q4-2017</v>
      </c>
      <c r="AE5" s="1265" t="str">
        <f>Model!AE5</f>
        <v>FY2017</v>
      </c>
      <c r="AF5" s="1257" t="str">
        <f>Model!AF5</f>
        <v>Q1-2018</v>
      </c>
      <c r="AG5" s="1257" t="str">
        <f>Model!AG5</f>
        <v>Q2-2018</v>
      </c>
      <c r="AH5" s="1257" t="str">
        <f>Model!AH5</f>
        <v>Q3-2018</v>
      </c>
      <c r="AI5" s="1257" t="str">
        <f>Model!AI5</f>
        <v>Q4-2018</v>
      </c>
      <c r="AJ5" s="1265" t="str">
        <f>Model!AJ5</f>
        <v>FY2018</v>
      </c>
      <c r="AK5" s="1257" t="str">
        <f>Model!AK5</f>
        <v>Q1-2019</v>
      </c>
      <c r="AL5" s="1257" t="str">
        <f>Model!AL5</f>
        <v>Q2-2019</v>
      </c>
      <c r="AM5" s="1257" t="str">
        <f>Model!AM5</f>
        <v>Q3-2019</v>
      </c>
      <c r="AN5" s="1257" t="str">
        <f>Model!AN5</f>
        <v>Q4-2019</v>
      </c>
      <c r="AO5" s="1265" t="str">
        <f>Model!AO5</f>
        <v>FY2019</v>
      </c>
      <c r="AP5" s="1257" t="str">
        <f>Model!AP5</f>
        <v>Q1-2020</v>
      </c>
      <c r="AQ5" s="1257" t="str">
        <f>Model!AQ5</f>
        <v>Q2-2020</v>
      </c>
      <c r="AR5" s="1257" t="str">
        <f>Model!AR5</f>
        <v>Q3-2020</v>
      </c>
      <c r="AS5" s="1257" t="str">
        <f>Model!AS5</f>
        <v>Q4-2020</v>
      </c>
      <c r="AT5" s="1265" t="str">
        <f>Model!AT5</f>
        <v>FY2020</v>
      </c>
      <c r="AU5" s="1257" t="str">
        <f>Model!AU5</f>
        <v>Q1-2021</v>
      </c>
      <c r="AV5" s="1257" t="str">
        <f>Model!AV5</f>
        <v>Q2-2021</v>
      </c>
      <c r="AW5" s="1257" t="str">
        <f>Model!AW5</f>
        <v>Q3-2021</v>
      </c>
      <c r="AX5" s="1257" t="str">
        <f>Model!AX5</f>
        <v>Q4-2021</v>
      </c>
      <c r="AY5" s="1265" t="str">
        <f>Model!AY5</f>
        <v>FY2021</v>
      </c>
      <c r="AZ5" s="1257" t="str">
        <f>Model!AZ5</f>
        <v>Q1-2022</v>
      </c>
      <c r="BA5" s="1257" t="str">
        <f>Model!BA5</f>
        <v>Q2-2022</v>
      </c>
      <c r="BB5" s="1257" t="str">
        <f>Model!BB5</f>
        <v>Q3-2022</v>
      </c>
      <c r="BC5" s="1257" t="str">
        <f>Model!BC5</f>
        <v>Q4-2022</v>
      </c>
      <c r="BD5" s="1265" t="str">
        <f>Model!BD5</f>
        <v>FY2022</v>
      </c>
      <c r="BE5" s="1257" t="str">
        <f>Model!BE5</f>
        <v>Q1-2023</v>
      </c>
      <c r="BF5" s="1257" t="str">
        <f>Model!BF5</f>
        <v>Q2-2023</v>
      </c>
      <c r="BG5" s="1257" t="str">
        <f>Model!BG5</f>
        <v>Q3-2023</v>
      </c>
      <c r="BH5" s="1257" t="str">
        <f>Model!BH5</f>
        <v>Q4-2023</v>
      </c>
      <c r="BI5" s="1265" t="str">
        <f>Model!BI5</f>
        <v>FY2023</v>
      </c>
      <c r="BJ5" s="1257" t="str">
        <f>Model!BJ5</f>
        <v>Q1-2024</v>
      </c>
      <c r="BK5" s="1257" t="str">
        <f>Model!BK5</f>
        <v>Q2-2024</v>
      </c>
      <c r="BL5" s="1257" t="str">
        <f>Model!BL5</f>
        <v>Q3-2024</v>
      </c>
      <c r="BM5" s="1257" t="str">
        <f>Model!BM5</f>
        <v>Q4-2024</v>
      </c>
      <c r="BN5" s="1265" t="str">
        <f>Model!BN5</f>
        <v>FY2024</v>
      </c>
      <c r="BO5" s="1257" t="str">
        <f>Model!BO5</f>
        <v>Q1-2025</v>
      </c>
      <c r="BP5" s="1257" t="str">
        <f>Model!BP5</f>
        <v>Q2-2025</v>
      </c>
      <c r="BQ5" s="1257" t="str">
        <f>Model!BQ5</f>
        <v>Q3-2025</v>
      </c>
      <c r="BR5" s="1257" t="str">
        <f>Model!BR5</f>
        <v>Q4-2025</v>
      </c>
      <c r="BS5" s="1265" t="str">
        <f>Model!BS5</f>
        <v>FY2025</v>
      </c>
      <c r="BT5" s="1257" t="str">
        <f>Model!BT5</f>
        <v>Q1-2026</v>
      </c>
      <c r="BU5" s="1257" t="str">
        <f>Model!BU5</f>
        <v>Q2-2026</v>
      </c>
      <c r="BV5" s="1257" t="str">
        <f>Model!BV5</f>
        <v>Q3-2026</v>
      </c>
      <c r="BW5" s="1257" t="str">
        <f>Model!BW5</f>
        <v>Q4-2026</v>
      </c>
      <c r="BX5" s="1265" t="str">
        <f>Model!BX5</f>
        <v>FY2026</v>
      </c>
      <c r="BY5" s="1258" t="str">
        <f>Model!BY5</f>
        <v>Q1-2027</v>
      </c>
      <c r="BZ5" s="1257" t="str">
        <f>Model!BZ5</f>
        <v>Q2-2027</v>
      </c>
      <c r="CA5" s="1257" t="str">
        <f>Model!CA5</f>
        <v>Q3-2027</v>
      </c>
      <c r="CB5" s="1257" t="str">
        <f>Model!CB5</f>
        <v>Q4-2027</v>
      </c>
      <c r="CC5" s="1265" t="str">
        <f>Model!CC5</f>
        <v>FY2027</v>
      </c>
      <c r="CD5" s="1257" t="str">
        <f>Model!CD5</f>
        <v>Q1-2028</v>
      </c>
      <c r="CE5" s="1257" t="str">
        <f>Model!CE5</f>
        <v>Q2-2028</v>
      </c>
      <c r="CF5" s="1257" t="str">
        <f>Model!CF5</f>
        <v>Q3-2028</v>
      </c>
      <c r="CG5" s="1257" t="str">
        <f>Model!CG5</f>
        <v>Q4-2028</v>
      </c>
      <c r="CH5" s="1265" t="str">
        <f>Model!CH5</f>
        <v>FY2028</v>
      </c>
      <c r="CI5" s="1265" t="str">
        <f>Model!CI5</f>
        <v>FY2029</v>
      </c>
      <c r="CJ5" s="1265" t="str">
        <f>Model!CJ5</f>
        <v>FY2030</v>
      </c>
      <c r="CK5" s="1265" t="str">
        <f>Model!CK5</f>
        <v>FY2031</v>
      </c>
      <c r="CL5" s="827"/>
    </row>
    <row r="6" spans="1:90" s="994" customFormat="1" x14ac:dyDescent="0.3">
      <c r="A6" s="886" t="s">
        <v>1193</v>
      </c>
      <c r="B6" s="886"/>
      <c r="C6" s="886"/>
      <c r="D6" s="886"/>
      <c r="E6" s="886"/>
      <c r="F6" s="886"/>
      <c r="G6" s="886"/>
      <c r="H6" s="886"/>
      <c r="I6" s="886"/>
      <c r="J6" s="886"/>
      <c r="K6" s="886"/>
      <c r="L6" s="886"/>
      <c r="M6" s="886"/>
      <c r="N6" s="886"/>
      <c r="O6" s="886"/>
      <c r="P6" s="886"/>
      <c r="Q6" s="886"/>
      <c r="R6" s="886"/>
      <c r="S6" s="886"/>
      <c r="T6" s="886"/>
      <c r="U6" s="886"/>
      <c r="V6" s="886"/>
      <c r="W6" s="886"/>
      <c r="X6" s="886"/>
      <c r="Y6" s="886"/>
      <c r="Z6" s="886"/>
      <c r="AA6" s="886"/>
      <c r="AB6" s="886"/>
      <c r="AC6" s="886"/>
      <c r="AD6" s="886"/>
      <c r="AE6" s="886"/>
      <c r="AF6" s="886"/>
      <c r="AG6" s="886"/>
      <c r="AH6" s="886"/>
      <c r="AI6" s="886"/>
      <c r="AJ6" s="886"/>
      <c r="AK6" s="886"/>
      <c r="AL6" s="886"/>
      <c r="AM6" s="886"/>
      <c r="AN6" s="886"/>
      <c r="AO6" s="886"/>
      <c r="AP6" s="886"/>
      <c r="AQ6" s="886"/>
      <c r="AR6" s="886"/>
      <c r="AS6" s="886"/>
      <c r="AT6" s="886"/>
      <c r="AU6" s="886"/>
      <c r="AV6" s="886"/>
      <c r="AW6" s="886"/>
      <c r="AX6" s="886"/>
      <c r="AY6" s="886"/>
      <c r="AZ6" s="886"/>
      <c r="BA6" s="886"/>
      <c r="BB6" s="886"/>
      <c r="BC6" s="886"/>
      <c r="BD6" s="886"/>
      <c r="BE6" s="886"/>
      <c r="BF6" s="886"/>
      <c r="BG6" s="886"/>
      <c r="BH6" s="886"/>
      <c r="BI6" s="886"/>
      <c r="BJ6" s="886"/>
      <c r="BK6" s="886"/>
      <c r="BL6" s="886"/>
      <c r="BM6" s="886"/>
      <c r="BN6" s="886"/>
      <c r="BO6" s="886"/>
      <c r="BP6" s="886"/>
      <c r="BQ6" s="886"/>
      <c r="BR6" s="886"/>
      <c r="BS6" s="886"/>
      <c r="BT6" s="886"/>
      <c r="BU6" s="886"/>
      <c r="BV6" s="886"/>
      <c r="BW6" s="886"/>
      <c r="BX6" s="886"/>
      <c r="BY6" s="887"/>
      <c r="BZ6" s="886"/>
      <c r="CA6" s="886"/>
      <c r="CB6" s="886"/>
      <c r="CC6" s="886"/>
      <c r="CD6" s="886"/>
      <c r="CE6" s="886"/>
      <c r="CF6" s="886"/>
      <c r="CG6" s="886"/>
      <c r="CH6" s="886"/>
      <c r="CI6" s="886"/>
      <c r="CJ6" s="886"/>
      <c r="CK6" s="886"/>
      <c r="CL6" s="828"/>
    </row>
    <row r="7" spans="1:90" s="990" customFormat="1" x14ac:dyDescent="0.3">
      <c r="A7" s="197" t="s">
        <v>1192</v>
      </c>
      <c r="B7" s="208"/>
      <c r="C7" s="183"/>
      <c r="D7" s="183"/>
      <c r="E7" s="183"/>
      <c r="F7" s="183"/>
      <c r="G7" s="885"/>
      <c r="H7" s="885"/>
      <c r="I7" s="885"/>
      <c r="J7" s="885"/>
      <c r="K7" s="183"/>
      <c r="L7" s="885"/>
      <c r="M7" s="885"/>
      <c r="N7" s="885"/>
      <c r="O7" s="885"/>
      <c r="P7" s="183"/>
      <c r="Q7" s="885"/>
      <c r="R7" s="885"/>
      <c r="S7" s="885"/>
      <c r="T7" s="885"/>
      <c r="U7" s="183"/>
      <c r="V7" s="885"/>
      <c r="W7" s="885"/>
      <c r="X7" s="885"/>
      <c r="Y7" s="885"/>
      <c r="Z7" s="183"/>
      <c r="AA7" s="885"/>
      <c r="AB7" s="885"/>
      <c r="AC7" s="885"/>
      <c r="AD7" s="885"/>
      <c r="AE7" s="183"/>
      <c r="AF7" s="885"/>
      <c r="AG7" s="885"/>
      <c r="AH7" s="885"/>
      <c r="AI7" s="885"/>
      <c r="AJ7" s="183"/>
      <c r="AK7" s="885"/>
      <c r="AL7" s="885"/>
      <c r="AM7" s="885"/>
      <c r="AN7" s="885"/>
      <c r="AO7" s="183"/>
      <c r="AP7" s="885"/>
      <c r="AQ7" s="885"/>
      <c r="AR7" s="885"/>
      <c r="AS7" s="885"/>
      <c r="AT7" s="1266">
        <v>996.51400000000001</v>
      </c>
      <c r="AU7" s="885"/>
      <c r="AV7" s="885"/>
      <c r="AW7" s="885"/>
      <c r="AX7" s="885"/>
      <c r="AY7" s="1266">
        <v>1017.355</v>
      </c>
      <c r="AZ7" s="885"/>
      <c r="BA7" s="885"/>
      <c r="BB7" s="885"/>
      <c r="BC7" s="885"/>
      <c r="BD7" s="1266">
        <v>996.21600000000001</v>
      </c>
      <c r="BE7" s="885"/>
      <c r="BF7" s="885"/>
      <c r="BG7" s="885"/>
      <c r="BH7" s="885"/>
      <c r="BI7" s="1266">
        <v>996.83199999999999</v>
      </c>
      <c r="BJ7" s="885"/>
      <c r="BK7" s="885"/>
      <c r="BL7" s="885"/>
      <c r="BM7" s="885"/>
      <c r="BN7" s="1266">
        <v>996.51400000000001</v>
      </c>
      <c r="BO7" s="885"/>
      <c r="BP7" s="885"/>
      <c r="BQ7" s="885"/>
      <c r="BR7" s="885"/>
      <c r="BS7" s="1266">
        <v>1486.1990000000001</v>
      </c>
      <c r="BT7" s="885"/>
      <c r="BU7" s="885"/>
      <c r="BV7" s="885"/>
      <c r="BW7" s="885"/>
      <c r="BX7" s="183"/>
      <c r="BY7" s="878"/>
      <c r="BZ7" s="885"/>
      <c r="CA7" s="885"/>
      <c r="CB7" s="885"/>
      <c r="CC7" s="183"/>
      <c r="CD7" s="885"/>
      <c r="CE7" s="885"/>
      <c r="CF7" s="885"/>
      <c r="CG7" s="885"/>
      <c r="CH7" s="183"/>
      <c r="CI7" s="183"/>
      <c r="CJ7" s="183"/>
      <c r="CK7" s="183"/>
      <c r="CL7" s="860"/>
    </row>
    <row r="8" spans="1:90" s="990" customFormat="1" x14ac:dyDescent="0.3">
      <c r="A8" s="197" t="s">
        <v>1191</v>
      </c>
      <c r="B8" s="208"/>
      <c r="C8" s="183"/>
      <c r="D8" s="183"/>
      <c r="E8" s="183"/>
      <c r="F8" s="183"/>
      <c r="G8" s="885"/>
      <c r="H8" s="885"/>
      <c r="I8" s="885"/>
      <c r="J8" s="885"/>
      <c r="K8" s="183"/>
      <c r="L8" s="885"/>
      <c r="M8" s="885"/>
      <c r="N8" s="885"/>
      <c r="O8" s="885"/>
      <c r="P8" s="183"/>
      <c r="Q8" s="885"/>
      <c r="R8" s="885"/>
      <c r="S8" s="885"/>
      <c r="T8" s="885"/>
      <c r="U8" s="183"/>
      <c r="V8" s="885"/>
      <c r="W8" s="885"/>
      <c r="X8" s="885"/>
      <c r="Y8" s="885"/>
      <c r="Z8" s="183"/>
      <c r="AA8" s="885"/>
      <c r="AB8" s="885"/>
      <c r="AC8" s="885"/>
      <c r="AD8" s="885"/>
      <c r="AE8" s="183"/>
      <c r="AF8" s="885"/>
      <c r="AG8" s="885"/>
      <c r="AH8" s="885"/>
      <c r="AI8" s="885"/>
      <c r="AJ8" s="183"/>
      <c r="AK8" s="885"/>
      <c r="AL8" s="885"/>
      <c r="AM8" s="885"/>
      <c r="AN8" s="885"/>
      <c r="AO8" s="183"/>
      <c r="AP8" s="885"/>
      <c r="AQ8" s="885"/>
      <c r="AR8" s="885"/>
      <c r="AS8" s="885"/>
      <c r="AT8" s="1266">
        <v>9676.92</v>
      </c>
      <c r="AU8" s="885"/>
      <c r="AV8" s="885"/>
      <c r="AW8" s="885"/>
      <c r="AX8" s="885"/>
      <c r="AY8" s="1266">
        <v>15279.78</v>
      </c>
      <c r="AZ8" s="885"/>
      <c r="BA8" s="885"/>
      <c r="BB8" s="885"/>
      <c r="BC8" s="885"/>
      <c r="BD8" s="1266">
        <v>18660.406999999999</v>
      </c>
      <c r="BE8" s="885"/>
      <c r="BF8" s="885"/>
      <c r="BG8" s="885"/>
      <c r="BH8" s="885"/>
      <c r="BI8" s="1266">
        <v>19666.382000000001</v>
      </c>
      <c r="BJ8" s="885"/>
      <c r="BK8" s="885"/>
      <c r="BL8" s="885"/>
      <c r="BM8" s="885"/>
      <c r="BN8" s="1266">
        <v>26676.415000000001</v>
      </c>
      <c r="BO8" s="885"/>
      <c r="BP8" s="885"/>
      <c r="BQ8" s="885"/>
      <c r="BR8" s="885"/>
      <c r="BS8" s="1266">
        <v>38811.305999999997</v>
      </c>
      <c r="BT8" s="885"/>
      <c r="BU8" s="885"/>
      <c r="BV8" s="885"/>
      <c r="BW8" s="885"/>
      <c r="BX8" s="183"/>
      <c r="BY8" s="878"/>
      <c r="BZ8" s="885"/>
      <c r="CA8" s="885"/>
      <c r="CB8" s="885"/>
      <c r="CC8" s="183"/>
      <c r="CD8" s="885"/>
      <c r="CE8" s="885"/>
      <c r="CF8" s="885"/>
      <c r="CG8" s="885"/>
      <c r="CH8" s="183"/>
      <c r="CI8" s="183"/>
      <c r="CJ8" s="183"/>
      <c r="CK8" s="183"/>
      <c r="CL8" s="860"/>
    </row>
    <row r="9" spans="1:90" s="990" customFormat="1" x14ac:dyDescent="0.3">
      <c r="A9" s="197" t="s">
        <v>1190</v>
      </c>
      <c r="B9" s="208"/>
      <c r="C9" s="183"/>
      <c r="D9" s="183"/>
      <c r="E9" s="183"/>
      <c r="F9" s="183"/>
      <c r="G9" s="885"/>
      <c r="H9" s="885"/>
      <c r="I9" s="885"/>
      <c r="J9" s="885"/>
      <c r="K9" s="183"/>
      <c r="L9" s="885"/>
      <c r="M9" s="885"/>
      <c r="N9" s="885"/>
      <c r="O9" s="885"/>
      <c r="P9" s="183"/>
      <c r="Q9" s="885"/>
      <c r="R9" s="885"/>
      <c r="S9" s="885"/>
      <c r="T9" s="885"/>
      <c r="U9" s="183"/>
      <c r="V9" s="885"/>
      <c r="W9" s="885"/>
      <c r="X9" s="885"/>
      <c r="Y9" s="885"/>
      <c r="Z9" s="183"/>
      <c r="AA9" s="885"/>
      <c r="AB9" s="885"/>
      <c r="AC9" s="885"/>
      <c r="AD9" s="885"/>
      <c r="AE9" s="183"/>
      <c r="AF9" s="885"/>
      <c r="AG9" s="885"/>
      <c r="AH9" s="885"/>
      <c r="AI9" s="885"/>
      <c r="AJ9" s="183"/>
      <c r="AK9" s="885"/>
      <c r="AL9" s="885"/>
      <c r="AM9" s="885"/>
      <c r="AN9" s="885"/>
      <c r="AO9" s="183"/>
      <c r="AP9" s="885"/>
      <c r="AQ9" s="885"/>
      <c r="AR9" s="885"/>
      <c r="AS9" s="885"/>
      <c r="AT9" s="1266">
        <v>805.44399999999996</v>
      </c>
      <c r="AU9" s="885"/>
      <c r="AV9" s="885"/>
      <c r="AW9" s="885"/>
      <c r="AX9" s="885"/>
      <c r="AY9" s="1266">
        <v>3000</v>
      </c>
      <c r="AZ9" s="885"/>
      <c r="BA9" s="885"/>
      <c r="BB9" s="885"/>
      <c r="BC9" s="885"/>
      <c r="BD9" s="1266">
        <v>4000</v>
      </c>
      <c r="BE9" s="885"/>
      <c r="BF9" s="885"/>
      <c r="BG9" s="885"/>
      <c r="BH9" s="885"/>
      <c r="BI9" s="1266">
        <v>0</v>
      </c>
      <c r="BJ9" s="885"/>
      <c r="BK9" s="885"/>
      <c r="BL9" s="885"/>
      <c r="BM9" s="885"/>
      <c r="BN9" s="1266">
        <v>4000</v>
      </c>
      <c r="BO9" s="885"/>
      <c r="BP9" s="885"/>
      <c r="BQ9" s="885"/>
      <c r="BR9" s="885"/>
      <c r="BS9" s="1266">
        <v>6000</v>
      </c>
      <c r="BT9" s="885"/>
      <c r="BU9" s="885"/>
      <c r="BV9" s="885"/>
      <c r="BW9" s="885"/>
      <c r="BX9" s="183"/>
      <c r="BY9" s="878"/>
      <c r="BZ9" s="885"/>
      <c r="CA9" s="885"/>
      <c r="CB9" s="885"/>
      <c r="CC9" s="183"/>
      <c r="CD9" s="885"/>
      <c r="CE9" s="885"/>
      <c r="CF9" s="885"/>
      <c r="CG9" s="885"/>
      <c r="CH9" s="183"/>
      <c r="CI9" s="183"/>
      <c r="CJ9" s="183"/>
      <c r="CK9" s="183"/>
      <c r="CL9" s="860"/>
    </row>
    <row r="10" spans="1:90" s="990" customFormat="1" x14ac:dyDescent="0.3">
      <c r="A10" s="832" t="s">
        <v>1189</v>
      </c>
      <c r="B10" s="861"/>
      <c r="C10" s="1267"/>
      <c r="D10" s="1267"/>
      <c r="E10" s="1267"/>
      <c r="F10" s="1267"/>
      <c r="G10" s="1048"/>
      <c r="H10" s="1048"/>
      <c r="I10" s="1048"/>
      <c r="J10" s="1048"/>
      <c r="K10" s="1267"/>
      <c r="L10" s="1048"/>
      <c r="M10" s="1048"/>
      <c r="N10" s="1048"/>
      <c r="O10" s="1048"/>
      <c r="P10" s="1267"/>
      <c r="Q10" s="1048"/>
      <c r="R10" s="1048"/>
      <c r="S10" s="1048"/>
      <c r="T10" s="1048"/>
      <c r="U10" s="1267"/>
      <c r="V10" s="1048"/>
      <c r="W10" s="1048"/>
      <c r="X10" s="1048"/>
      <c r="Y10" s="1048"/>
      <c r="Z10" s="1267"/>
      <c r="AA10" s="1048"/>
      <c r="AB10" s="1048"/>
      <c r="AC10" s="1048"/>
      <c r="AD10" s="1048"/>
      <c r="AE10" s="1267"/>
      <c r="AF10" s="1048"/>
      <c r="AG10" s="1048"/>
      <c r="AH10" s="1048"/>
      <c r="AI10" s="1048"/>
      <c r="AJ10" s="1267"/>
      <c r="AK10" s="1048"/>
      <c r="AL10" s="1048"/>
      <c r="AM10" s="1048"/>
      <c r="AN10" s="1048"/>
      <c r="AO10" s="1267"/>
      <c r="AP10" s="1048"/>
      <c r="AQ10" s="1048"/>
      <c r="AR10" s="1048"/>
      <c r="AS10" s="1048"/>
      <c r="AT10" s="1268">
        <v>13.401999999999999</v>
      </c>
      <c r="AU10" s="1048"/>
      <c r="AV10" s="1048"/>
      <c r="AW10" s="1048"/>
      <c r="AX10" s="1048"/>
      <c r="AY10" s="1268">
        <v>19.265999999999998</v>
      </c>
      <c r="AZ10" s="1048"/>
      <c r="BA10" s="1048"/>
      <c r="BB10" s="1048"/>
      <c r="BC10" s="1048"/>
      <c r="BD10" s="1268">
        <v>81.037999999999997</v>
      </c>
      <c r="BE10" s="1048"/>
      <c r="BF10" s="1048"/>
      <c r="BG10" s="1048"/>
      <c r="BH10" s="1048"/>
      <c r="BI10" s="1268">
        <v>693.71</v>
      </c>
      <c r="BJ10" s="1048"/>
      <c r="BK10" s="1048"/>
      <c r="BL10" s="1048"/>
      <c r="BM10" s="1048"/>
      <c r="BN10" s="1268">
        <v>2494.973</v>
      </c>
      <c r="BO10" s="1048"/>
      <c r="BP10" s="1048"/>
      <c r="BQ10" s="1048"/>
      <c r="BR10" s="1048"/>
      <c r="BS10" s="1268">
        <v>3568.7460000000001</v>
      </c>
      <c r="BT10" s="1048"/>
      <c r="BU10" s="1048"/>
      <c r="BV10" s="1048"/>
      <c r="BW10" s="1048"/>
      <c r="BX10" s="1267"/>
      <c r="BY10" s="1049"/>
      <c r="BZ10" s="1048"/>
      <c r="CA10" s="1048"/>
      <c r="CB10" s="1048"/>
      <c r="CC10" s="1267"/>
      <c r="CD10" s="1048"/>
      <c r="CE10" s="1048"/>
      <c r="CF10" s="1048"/>
      <c r="CG10" s="1048"/>
      <c r="CH10" s="1267"/>
      <c r="CI10" s="1267"/>
      <c r="CJ10" s="1267"/>
      <c r="CK10" s="1267"/>
      <c r="CL10" s="860"/>
    </row>
    <row r="11" spans="1:90" s="994" customFormat="1" x14ac:dyDescent="0.3">
      <c r="A11" s="196" t="s">
        <v>1188</v>
      </c>
      <c r="B11" s="847"/>
      <c r="C11" s="1246"/>
      <c r="D11" s="1246"/>
      <c r="E11" s="1246"/>
      <c r="F11" s="1246"/>
      <c r="G11" s="883"/>
      <c r="H11" s="883"/>
      <c r="I11" s="883"/>
      <c r="J11" s="883"/>
      <c r="K11" s="1246"/>
      <c r="L11" s="883"/>
      <c r="M11" s="883"/>
      <c r="N11" s="883"/>
      <c r="O11" s="883"/>
      <c r="P11" s="1246"/>
      <c r="Q11" s="883"/>
      <c r="R11" s="883"/>
      <c r="S11" s="883"/>
      <c r="T11" s="883"/>
      <c r="U11" s="1246"/>
      <c r="V11" s="883"/>
      <c r="W11" s="883"/>
      <c r="X11" s="883"/>
      <c r="Y11" s="883"/>
      <c r="Z11" s="1246"/>
      <c r="AA11" s="883"/>
      <c r="AB11" s="883"/>
      <c r="AC11" s="883"/>
      <c r="AD11" s="883"/>
      <c r="AE11" s="1246"/>
      <c r="AF11" s="883"/>
      <c r="AG11" s="883"/>
      <c r="AH11" s="883"/>
      <c r="AI11" s="883"/>
      <c r="AJ11" s="1246"/>
      <c r="AK11" s="883"/>
      <c r="AL11" s="883"/>
      <c r="AM11" s="883"/>
      <c r="AN11" s="883"/>
      <c r="AO11" s="1246"/>
      <c r="AP11" s="883"/>
      <c r="AQ11" s="883"/>
      <c r="AR11" s="883"/>
      <c r="AS11" s="883"/>
      <c r="AT11" s="1246">
        <f>SUM(AT7:AT10)</f>
        <v>11492.279999999999</v>
      </c>
      <c r="AU11" s="883"/>
      <c r="AV11" s="883"/>
      <c r="AW11" s="883"/>
      <c r="AX11" s="883"/>
      <c r="AY11" s="1246">
        <f>SUM(AY7:AY10)</f>
        <v>19316.401000000002</v>
      </c>
      <c r="AZ11" s="883"/>
      <c r="BA11" s="883"/>
      <c r="BB11" s="883"/>
      <c r="BC11" s="883"/>
      <c r="BD11" s="1246">
        <f>SUM(BD7:BD10)</f>
        <v>23737.661</v>
      </c>
      <c r="BE11" s="883"/>
      <c r="BF11" s="883"/>
      <c r="BG11" s="883"/>
      <c r="BH11" s="883"/>
      <c r="BI11" s="1246">
        <f>SUM(BI7:BI10)</f>
        <v>21356.923999999999</v>
      </c>
      <c r="BJ11" s="883"/>
      <c r="BK11" s="883"/>
      <c r="BL11" s="883"/>
      <c r="BM11" s="883"/>
      <c r="BN11" s="1246">
        <f>SUM(BN7:BN10)</f>
        <v>34167.902000000002</v>
      </c>
      <c r="BO11" s="883"/>
      <c r="BP11" s="883"/>
      <c r="BQ11" s="883"/>
      <c r="BR11" s="883"/>
      <c r="BS11" s="1246">
        <f>SUM(BS7:BS10)</f>
        <v>49866.250999999997</v>
      </c>
      <c r="BT11" s="883"/>
      <c r="BU11" s="883"/>
      <c r="BV11" s="883"/>
      <c r="BW11" s="883"/>
      <c r="BX11" s="1246"/>
      <c r="BY11" s="1044"/>
      <c r="BZ11" s="883"/>
      <c r="CA11" s="883"/>
      <c r="CB11" s="883"/>
      <c r="CC11" s="1246"/>
      <c r="CD11" s="883"/>
      <c r="CE11" s="883"/>
      <c r="CF11" s="883"/>
      <c r="CG11" s="883"/>
      <c r="CH11" s="1246"/>
      <c r="CI11" s="1246"/>
      <c r="CJ11" s="1246"/>
      <c r="CK11" s="1246"/>
      <c r="CL11" s="828"/>
    </row>
    <row r="12" spans="1:90" s="985" customFormat="1" x14ac:dyDescent="0.3">
      <c r="A12" s="201" t="s">
        <v>1187</v>
      </c>
      <c r="B12" s="203"/>
      <c r="C12" s="185"/>
      <c r="D12" s="185"/>
      <c r="E12" s="185"/>
      <c r="F12" s="185"/>
      <c r="G12" s="130"/>
      <c r="H12" s="130"/>
      <c r="I12" s="130"/>
      <c r="J12" s="130"/>
      <c r="K12" s="185"/>
      <c r="L12" s="130"/>
      <c r="M12" s="130"/>
      <c r="N12" s="130"/>
      <c r="O12" s="130"/>
      <c r="P12" s="185"/>
      <c r="Q12" s="130"/>
      <c r="R12" s="130"/>
      <c r="S12" s="130"/>
      <c r="T12" s="130"/>
      <c r="U12" s="185"/>
      <c r="V12" s="130"/>
      <c r="W12" s="130"/>
      <c r="X12" s="130"/>
      <c r="Y12" s="130"/>
      <c r="Z12" s="185"/>
      <c r="AA12" s="130"/>
      <c r="AB12" s="130"/>
      <c r="AC12" s="130"/>
      <c r="AD12" s="130"/>
      <c r="AE12" s="185"/>
      <c r="AF12" s="130"/>
      <c r="AG12" s="130"/>
      <c r="AH12" s="130"/>
      <c r="AI12" s="130"/>
      <c r="AJ12" s="185"/>
      <c r="AK12" s="130"/>
      <c r="AL12" s="130"/>
      <c r="AM12" s="130"/>
      <c r="AN12" s="130"/>
      <c r="AO12" s="185"/>
      <c r="AP12" s="130"/>
      <c r="AQ12" s="130"/>
      <c r="AR12" s="130"/>
      <c r="AS12" s="130"/>
      <c r="AT12" s="185">
        <f>SUM(AT8)/AT11</f>
        <v>0.84203656715638686</v>
      </c>
      <c r="AU12" s="130"/>
      <c r="AV12" s="130"/>
      <c r="AW12" s="130"/>
      <c r="AX12" s="130"/>
      <c r="AY12" s="185">
        <f>SUM(AY8)/AY11</f>
        <v>0.79102623723746468</v>
      </c>
      <c r="AZ12" s="130"/>
      <c r="BA12" s="130"/>
      <c r="BB12" s="130"/>
      <c r="BC12" s="130"/>
      <c r="BD12" s="185">
        <f>SUM(BD8)/BD11</f>
        <v>0.78610976035086189</v>
      </c>
      <c r="BE12" s="130"/>
      <c r="BF12" s="130"/>
      <c r="BG12" s="130"/>
      <c r="BH12" s="130"/>
      <c r="BI12" s="185">
        <f>SUM(BI8)/BI11</f>
        <v>0.92084337613412881</v>
      </c>
      <c r="BJ12" s="130"/>
      <c r="BK12" s="130"/>
      <c r="BL12" s="130"/>
      <c r="BM12" s="130"/>
      <c r="BN12" s="185">
        <f>SUM(BN8)/BN11</f>
        <v>0.78074489326268848</v>
      </c>
      <c r="BO12" s="130"/>
      <c r="BP12" s="130"/>
      <c r="BQ12" s="130"/>
      <c r="BR12" s="130"/>
      <c r="BS12" s="185">
        <f>SUM(BS8)/BS11</f>
        <v>0.77830807854394346</v>
      </c>
      <c r="BT12" s="130"/>
      <c r="BU12" s="130"/>
      <c r="BV12" s="130"/>
      <c r="BW12" s="130"/>
      <c r="BX12" s="185"/>
      <c r="BY12" s="953"/>
      <c r="BZ12" s="130"/>
      <c r="CA12" s="130"/>
      <c r="CB12" s="130"/>
      <c r="CC12" s="185"/>
      <c r="CD12" s="130"/>
      <c r="CE12" s="130"/>
      <c r="CF12" s="130"/>
      <c r="CG12" s="130"/>
      <c r="CH12" s="185"/>
      <c r="CI12" s="185"/>
      <c r="CJ12" s="185"/>
      <c r="CK12" s="185"/>
      <c r="CL12" s="859"/>
    </row>
    <row r="13" spans="1:90" s="993" customFormat="1" x14ac:dyDescent="0.3">
      <c r="A13" s="676" t="s">
        <v>1123</v>
      </c>
      <c r="B13" s="677"/>
      <c r="C13" s="1244"/>
      <c r="D13" s="1244"/>
      <c r="E13" s="1244"/>
      <c r="F13" s="1244"/>
      <c r="G13" s="678"/>
      <c r="H13" s="678"/>
      <c r="I13" s="678"/>
      <c r="J13" s="678"/>
      <c r="K13" s="1244"/>
      <c r="L13" s="678"/>
      <c r="M13" s="678"/>
      <c r="N13" s="678"/>
      <c r="O13" s="678"/>
      <c r="P13" s="1244"/>
      <c r="Q13" s="678"/>
      <c r="R13" s="678"/>
      <c r="S13" s="678"/>
      <c r="T13" s="678"/>
      <c r="U13" s="1244"/>
      <c r="V13" s="678"/>
      <c r="W13" s="678"/>
      <c r="X13" s="678"/>
      <c r="Y13" s="678"/>
      <c r="Z13" s="1244"/>
      <c r="AA13" s="678"/>
      <c r="AB13" s="678"/>
      <c r="AC13" s="678"/>
      <c r="AD13" s="678"/>
      <c r="AE13" s="1244"/>
      <c r="AF13" s="678"/>
      <c r="AG13" s="678"/>
      <c r="AH13" s="678"/>
      <c r="AI13" s="678"/>
      <c r="AJ13" s="1244"/>
      <c r="AK13" s="678"/>
      <c r="AL13" s="678"/>
      <c r="AM13" s="678"/>
      <c r="AN13" s="678"/>
      <c r="AO13" s="1244"/>
      <c r="AP13" s="678"/>
      <c r="AQ13" s="678"/>
      <c r="AR13" s="678"/>
      <c r="AS13" s="678"/>
      <c r="AT13" s="1269">
        <f>Model!AT754</f>
        <v>152648.01</v>
      </c>
      <c r="AU13" s="1259">
        <f>Model!AU754</f>
        <v>185940.58</v>
      </c>
      <c r="AV13" s="1259">
        <f>Model!AV754</f>
        <v>266199.12</v>
      </c>
      <c r="AW13" s="1259">
        <f>Model!AW754</f>
        <v>316358.16000000003</v>
      </c>
      <c r="AX13" s="1259">
        <f>Model!AX754</f>
        <v>328380.88</v>
      </c>
      <c r="AY13" s="1269">
        <f>Model!AY754</f>
        <v>327861.29000000004</v>
      </c>
      <c r="AZ13" s="1259">
        <f>Model!AZ754</f>
        <v>388635.66</v>
      </c>
      <c r="BA13" s="1259">
        <f>Model!BA754</f>
        <v>494299.65000000008</v>
      </c>
      <c r="BB13" s="1259">
        <f>Model!BB754</f>
        <v>649657.47</v>
      </c>
      <c r="BC13" s="1259">
        <f>Model!BC754</f>
        <v>581734.80000000005</v>
      </c>
      <c r="BD13" s="1269">
        <f>Model!BD754</f>
        <v>581278</v>
      </c>
      <c r="BE13" s="1259">
        <f>Model!BE754</f>
        <v>470166.45</v>
      </c>
      <c r="BF13" s="1259">
        <f>Model!BF754</f>
        <v>455891.3</v>
      </c>
      <c r="BG13" s="1259">
        <f>Model!BG754</f>
        <v>343636.56</v>
      </c>
      <c r="BH13" s="1259">
        <f>Model!BH754</f>
        <v>475025.98</v>
      </c>
      <c r="BI13" s="1269">
        <f>Model!BI754</f>
        <v>475025.98</v>
      </c>
      <c r="BJ13" s="1259">
        <f>Model!BJ754</f>
        <v>691782.57000000007</v>
      </c>
      <c r="BK13" s="1259">
        <f>Model!BK754</f>
        <v>1166412.5</v>
      </c>
      <c r="BL13" s="1259">
        <f>Model!BL754</f>
        <v>1009260</v>
      </c>
      <c r="BM13" s="1259">
        <f>Model!BM754</f>
        <v>1518451.2799999998</v>
      </c>
      <c r="BN13" s="1269">
        <f>Model!BN754</f>
        <v>1518451.2799999998</v>
      </c>
      <c r="BO13" s="1259">
        <f>Model!BO754</f>
        <v>2181092.1</v>
      </c>
      <c r="BP13" s="1259">
        <f>Model!BP754</f>
        <v>2807505.92</v>
      </c>
      <c r="BQ13" s="1259">
        <f>Model!BQ754</f>
        <v>3502973.46</v>
      </c>
      <c r="BR13" s="1259">
        <f>Model!BR754</f>
        <v>3521858.2800000003</v>
      </c>
      <c r="BS13" s="1269">
        <f>Model!BS754</f>
        <v>3521858.2800000003</v>
      </c>
      <c r="BT13" s="1259">
        <f>Model!BT754</f>
        <v>2154596.13</v>
      </c>
      <c r="BU13" s="1259">
        <f>Model!BU754</f>
        <v>4253005.5</v>
      </c>
      <c r="BV13" s="1259">
        <f>Model!BV754</f>
        <v>4556105.8599999994</v>
      </c>
      <c r="BW13" s="1259">
        <f>Model!BW754</f>
        <v>4585153.4399999995</v>
      </c>
      <c r="BX13" s="1269">
        <f>Model!BX754</f>
        <v>4585153.4399999995</v>
      </c>
      <c r="BY13" s="1260">
        <f>Model!BY754</f>
        <v>5066376.0200000005</v>
      </c>
      <c r="BZ13" s="678"/>
      <c r="CA13" s="678"/>
      <c r="CB13" s="678"/>
      <c r="CC13" s="1244"/>
      <c r="CD13" s="678"/>
      <c r="CE13" s="678"/>
      <c r="CF13" s="678"/>
      <c r="CG13" s="678"/>
      <c r="CH13" s="1244"/>
      <c r="CI13" s="1244"/>
      <c r="CJ13" s="1244"/>
      <c r="CK13" s="1244"/>
      <c r="CL13" s="827"/>
    </row>
    <row r="14" spans="1:90" s="992" customFormat="1" x14ac:dyDescent="0.3">
      <c r="A14" s="676"/>
      <c r="B14" s="683"/>
      <c r="C14" s="1243"/>
      <c r="D14" s="1243"/>
      <c r="E14" s="1243"/>
      <c r="F14" s="1243"/>
      <c r="G14" s="574"/>
      <c r="H14" s="574"/>
      <c r="I14" s="574"/>
      <c r="J14" s="574"/>
      <c r="K14" s="1243"/>
      <c r="L14" s="574"/>
      <c r="M14" s="574"/>
      <c r="N14" s="574"/>
      <c r="O14" s="574"/>
      <c r="P14" s="1243"/>
      <c r="Q14" s="574"/>
      <c r="R14" s="574"/>
      <c r="S14" s="574"/>
      <c r="T14" s="574"/>
      <c r="U14" s="1243"/>
      <c r="V14" s="574"/>
      <c r="W14" s="574"/>
      <c r="X14" s="574"/>
      <c r="Y14" s="574"/>
      <c r="Z14" s="1243"/>
      <c r="AA14" s="574"/>
      <c r="AB14" s="574"/>
      <c r="AC14" s="574"/>
      <c r="AD14" s="574"/>
      <c r="AE14" s="1243"/>
      <c r="AF14" s="574"/>
      <c r="AG14" s="574"/>
      <c r="AH14" s="574"/>
      <c r="AI14" s="574"/>
      <c r="AJ14" s="1243"/>
      <c r="AK14" s="574"/>
      <c r="AL14" s="574"/>
      <c r="AM14" s="574"/>
      <c r="AN14" s="574"/>
      <c r="AO14" s="1243"/>
      <c r="AP14" s="574"/>
      <c r="AQ14" s="574"/>
      <c r="AR14" s="574"/>
      <c r="AS14" s="574"/>
      <c r="AT14" s="1244"/>
      <c r="AU14" s="678"/>
      <c r="AV14" s="678"/>
      <c r="AW14" s="678"/>
      <c r="AX14" s="678"/>
      <c r="AY14" s="1244"/>
      <c r="AZ14" s="678"/>
      <c r="BA14" s="678"/>
      <c r="BB14" s="678"/>
      <c r="BC14" s="678"/>
      <c r="BD14" s="1244"/>
      <c r="BE14" s="678"/>
      <c r="BF14" s="678"/>
      <c r="BG14" s="678"/>
      <c r="BH14" s="678"/>
      <c r="BI14" s="1244"/>
      <c r="BJ14" s="574"/>
      <c r="BK14" s="574"/>
      <c r="BL14" s="574"/>
      <c r="BM14" s="574"/>
      <c r="BN14" s="1243"/>
      <c r="BO14" s="574"/>
      <c r="BP14" s="574"/>
      <c r="BQ14" s="574"/>
      <c r="BR14" s="574"/>
      <c r="BS14" s="1243"/>
      <c r="BT14" s="574"/>
      <c r="BU14" s="574"/>
      <c r="BV14" s="574"/>
      <c r="BW14" s="574"/>
      <c r="BX14" s="1243"/>
      <c r="BY14" s="955"/>
      <c r="BZ14" s="574"/>
      <c r="CA14" s="574"/>
      <c r="CB14" s="574"/>
      <c r="CC14" s="1243"/>
      <c r="CD14" s="574"/>
      <c r="CE14" s="574"/>
      <c r="CF14" s="574"/>
      <c r="CG14" s="574"/>
      <c r="CH14" s="1243"/>
      <c r="CI14" s="1243"/>
      <c r="CJ14" s="1243"/>
      <c r="CK14" s="1243"/>
      <c r="CL14" s="829"/>
    </row>
    <row r="15" spans="1:90" s="992" customFormat="1" x14ac:dyDescent="0.3">
      <c r="A15" s="425" t="s">
        <v>1186</v>
      </c>
      <c r="B15" s="683"/>
      <c r="C15" s="1243"/>
      <c r="D15" s="1243"/>
      <c r="E15" s="1243"/>
      <c r="F15" s="1243"/>
      <c r="G15" s="574"/>
      <c r="H15" s="574"/>
      <c r="I15" s="574"/>
      <c r="J15" s="574"/>
      <c r="K15" s="1243"/>
      <c r="L15" s="574"/>
      <c r="M15" s="574"/>
      <c r="N15" s="574"/>
      <c r="O15" s="574"/>
      <c r="P15" s="1243"/>
      <c r="Q15" s="574"/>
      <c r="R15" s="574"/>
      <c r="S15" s="574"/>
      <c r="T15" s="574"/>
      <c r="U15" s="1243"/>
      <c r="V15" s="574"/>
      <c r="W15" s="574"/>
      <c r="X15" s="574"/>
      <c r="Y15" s="574"/>
      <c r="Z15" s="1243"/>
      <c r="AA15" s="574"/>
      <c r="AB15" s="574"/>
      <c r="AC15" s="574"/>
      <c r="AD15" s="574"/>
      <c r="AE15" s="1243"/>
      <c r="AF15" s="574"/>
      <c r="AG15" s="574"/>
      <c r="AH15" s="574"/>
      <c r="AI15" s="574"/>
      <c r="AJ15" s="1243"/>
      <c r="AK15" s="574"/>
      <c r="AL15" s="574"/>
      <c r="AM15" s="574"/>
      <c r="AN15" s="574"/>
      <c r="AO15" s="1243"/>
      <c r="AP15" s="574"/>
      <c r="AQ15" s="574"/>
      <c r="AR15" s="574"/>
      <c r="AS15" s="574"/>
      <c r="AT15" s="1270">
        <v>250</v>
      </c>
      <c r="AU15" s="678"/>
      <c r="AV15" s="678"/>
      <c r="AW15" s="678"/>
      <c r="AX15" s="678"/>
      <c r="AY15" s="1244"/>
      <c r="AZ15" s="678"/>
      <c r="BA15" s="678"/>
      <c r="BB15" s="678"/>
      <c r="BC15" s="678"/>
      <c r="BD15" s="1244"/>
      <c r="BE15" s="678"/>
      <c r="BF15" s="678"/>
      <c r="BG15" s="678"/>
      <c r="BH15" s="678"/>
      <c r="BI15" s="1244"/>
      <c r="BJ15" s="574"/>
      <c r="BK15" s="574"/>
      <c r="BL15" s="574"/>
      <c r="BM15" s="574"/>
      <c r="BN15" s="1243"/>
      <c r="BO15" s="574"/>
      <c r="BP15" s="574"/>
      <c r="BQ15" s="574"/>
      <c r="BR15" s="574"/>
      <c r="BS15" s="1243"/>
      <c r="BT15" s="574"/>
      <c r="BU15" s="574"/>
      <c r="BV15" s="574"/>
      <c r="BW15" s="574"/>
      <c r="BX15" s="1243"/>
      <c r="BY15" s="955"/>
      <c r="BZ15" s="574"/>
      <c r="CA15" s="574"/>
      <c r="CB15" s="574"/>
      <c r="CC15" s="1243"/>
      <c r="CD15" s="574"/>
      <c r="CE15" s="574"/>
      <c r="CF15" s="574"/>
      <c r="CG15" s="574"/>
      <c r="CH15" s="1243"/>
      <c r="CI15" s="1243"/>
      <c r="CJ15" s="1243"/>
      <c r="CK15" s="1243"/>
      <c r="CL15" s="829"/>
    </row>
    <row r="16" spans="1:90" s="1000" customFormat="1" x14ac:dyDescent="0.3">
      <c r="A16" s="834" t="s">
        <v>1185</v>
      </c>
      <c r="B16" s="848"/>
      <c r="C16" s="1271"/>
      <c r="D16" s="1271"/>
      <c r="E16" s="1271"/>
      <c r="F16" s="1271"/>
      <c r="G16" s="849"/>
      <c r="H16" s="849"/>
      <c r="I16" s="849"/>
      <c r="J16" s="849"/>
      <c r="K16" s="1271"/>
      <c r="L16" s="849"/>
      <c r="M16" s="849"/>
      <c r="N16" s="849"/>
      <c r="O16" s="849"/>
      <c r="P16" s="1271"/>
      <c r="Q16" s="849"/>
      <c r="R16" s="849"/>
      <c r="S16" s="849"/>
      <c r="T16" s="849"/>
      <c r="U16" s="1271"/>
      <c r="V16" s="849"/>
      <c r="W16" s="849"/>
      <c r="X16" s="849"/>
      <c r="Y16" s="849"/>
      <c r="Z16" s="1271"/>
      <c r="AA16" s="849"/>
      <c r="AB16" s="849"/>
      <c r="AC16" s="849"/>
      <c r="AD16" s="849"/>
      <c r="AE16" s="1271"/>
      <c r="AF16" s="849"/>
      <c r="AG16" s="849"/>
      <c r="AH16" s="849"/>
      <c r="AI16" s="849"/>
      <c r="AJ16" s="1271"/>
      <c r="AK16" s="849"/>
      <c r="AL16" s="849"/>
      <c r="AM16" s="849"/>
      <c r="AN16" s="849"/>
      <c r="AO16" s="1271"/>
      <c r="AP16" s="849"/>
      <c r="AQ16" s="849"/>
      <c r="AR16" s="849"/>
      <c r="AS16" s="849"/>
      <c r="AT16" s="1272">
        <v>10.56</v>
      </c>
      <c r="AU16" s="1052"/>
      <c r="AV16" s="1052"/>
      <c r="AW16" s="1052"/>
      <c r="AX16" s="1052"/>
      <c r="AY16" s="1273"/>
      <c r="AZ16" s="1052"/>
      <c r="BA16" s="1052"/>
      <c r="BB16" s="1052"/>
      <c r="BC16" s="1052"/>
      <c r="BD16" s="1273"/>
      <c r="BE16" s="1052"/>
      <c r="BF16" s="1052"/>
      <c r="BG16" s="1052"/>
      <c r="BH16" s="1052"/>
      <c r="BI16" s="1273"/>
      <c r="BJ16" s="849"/>
      <c r="BK16" s="849"/>
      <c r="BL16" s="849"/>
      <c r="BM16" s="849"/>
      <c r="BN16" s="1271"/>
      <c r="BO16" s="849"/>
      <c r="BP16" s="849"/>
      <c r="BQ16" s="849"/>
      <c r="BR16" s="849"/>
      <c r="BS16" s="1271"/>
      <c r="BT16" s="849"/>
      <c r="BU16" s="849"/>
      <c r="BV16" s="849"/>
      <c r="BW16" s="849"/>
      <c r="BX16" s="1271"/>
      <c r="BY16" s="956"/>
      <c r="BZ16" s="849"/>
      <c r="CA16" s="849"/>
      <c r="CB16" s="849"/>
      <c r="CC16" s="1271"/>
      <c r="CD16" s="849"/>
      <c r="CE16" s="849"/>
      <c r="CF16" s="849"/>
      <c r="CG16" s="849"/>
      <c r="CH16" s="1271"/>
      <c r="CI16" s="1271"/>
      <c r="CJ16" s="1271"/>
      <c r="CK16" s="1271"/>
      <c r="CL16" s="850"/>
    </row>
    <row r="17" spans="1:90" s="992" customFormat="1" x14ac:dyDescent="0.3">
      <c r="A17" s="834"/>
      <c r="B17" s="683"/>
      <c r="C17" s="1243"/>
      <c r="D17" s="1243"/>
      <c r="E17" s="1243"/>
      <c r="F17" s="1243"/>
      <c r="G17" s="574"/>
      <c r="H17" s="574"/>
      <c r="I17" s="574"/>
      <c r="J17" s="574"/>
      <c r="K17" s="1243"/>
      <c r="L17" s="574"/>
      <c r="M17" s="574"/>
      <c r="N17" s="574"/>
      <c r="O17" s="574"/>
      <c r="P17" s="1243"/>
      <c r="Q17" s="574"/>
      <c r="R17" s="574"/>
      <c r="S17" s="574"/>
      <c r="T17" s="574"/>
      <c r="U17" s="1243"/>
      <c r="V17" s="574"/>
      <c r="W17" s="574"/>
      <c r="X17" s="574"/>
      <c r="Y17" s="574"/>
      <c r="Z17" s="1243"/>
      <c r="AA17" s="574"/>
      <c r="AB17" s="574"/>
      <c r="AC17" s="574"/>
      <c r="AD17" s="574"/>
      <c r="AE17" s="1243"/>
      <c r="AF17" s="574"/>
      <c r="AG17" s="574"/>
      <c r="AH17" s="574"/>
      <c r="AI17" s="574"/>
      <c r="AJ17" s="1243"/>
      <c r="AK17" s="574"/>
      <c r="AL17" s="574"/>
      <c r="AM17" s="574"/>
      <c r="AN17" s="574"/>
      <c r="AO17" s="1243"/>
      <c r="AP17" s="574"/>
      <c r="AQ17" s="574"/>
      <c r="AR17" s="574"/>
      <c r="AS17" s="574"/>
      <c r="AT17" s="1244"/>
      <c r="AU17" s="678"/>
      <c r="AV17" s="678"/>
      <c r="AW17" s="678"/>
      <c r="AX17" s="678"/>
      <c r="AY17" s="1244"/>
      <c r="AZ17" s="678"/>
      <c r="BA17" s="678"/>
      <c r="BB17" s="678"/>
      <c r="BC17" s="678"/>
      <c r="BD17" s="1244"/>
      <c r="BE17" s="678"/>
      <c r="BF17" s="678"/>
      <c r="BG17" s="678"/>
      <c r="BH17" s="678"/>
      <c r="BI17" s="1244"/>
      <c r="BJ17" s="574"/>
      <c r="BK17" s="574"/>
      <c r="BL17" s="574"/>
      <c r="BM17" s="574"/>
      <c r="BN17" s="1243"/>
      <c r="BO17" s="574"/>
      <c r="BP17" s="574"/>
      <c r="BQ17" s="574"/>
      <c r="BR17" s="574"/>
      <c r="BS17" s="1243"/>
      <c r="BT17" s="574"/>
      <c r="BU17" s="574"/>
      <c r="BV17" s="574"/>
      <c r="BW17" s="574"/>
      <c r="BX17" s="1243"/>
      <c r="BY17" s="955"/>
      <c r="BZ17" s="574"/>
      <c r="CA17" s="574"/>
      <c r="CB17" s="574"/>
      <c r="CC17" s="1243"/>
      <c r="CD17" s="574"/>
      <c r="CE17" s="574"/>
      <c r="CF17" s="574"/>
      <c r="CG17" s="574"/>
      <c r="CH17" s="1243"/>
      <c r="CI17" s="1243"/>
      <c r="CJ17" s="1243"/>
      <c r="CK17" s="1243"/>
      <c r="CL17" s="829"/>
    </row>
    <row r="18" spans="1:90" s="992" customFormat="1" x14ac:dyDescent="0.3">
      <c r="A18" s="425" t="s">
        <v>1184</v>
      </c>
      <c r="B18" s="683"/>
      <c r="C18" s="1243"/>
      <c r="D18" s="1243"/>
      <c r="E18" s="1243"/>
      <c r="F18" s="1243"/>
      <c r="G18" s="574"/>
      <c r="H18" s="574"/>
      <c r="I18" s="574"/>
      <c r="J18" s="574"/>
      <c r="K18" s="1243"/>
      <c r="L18" s="574"/>
      <c r="M18" s="574"/>
      <c r="N18" s="574"/>
      <c r="O18" s="574"/>
      <c r="P18" s="1243"/>
      <c r="Q18" s="574"/>
      <c r="R18" s="574"/>
      <c r="S18" s="574"/>
      <c r="T18" s="574"/>
      <c r="U18" s="1243"/>
      <c r="V18" s="574"/>
      <c r="W18" s="574"/>
      <c r="X18" s="574"/>
      <c r="Y18" s="574"/>
      <c r="Z18" s="1243"/>
      <c r="AA18" s="574"/>
      <c r="AB18" s="574"/>
      <c r="AC18" s="574"/>
      <c r="AD18" s="574"/>
      <c r="AE18" s="1243"/>
      <c r="AF18" s="574"/>
      <c r="AG18" s="574"/>
      <c r="AH18" s="574"/>
      <c r="AI18" s="574"/>
      <c r="AJ18" s="1243"/>
      <c r="AK18" s="574"/>
      <c r="AL18" s="574"/>
      <c r="AM18" s="574"/>
      <c r="AN18" s="574"/>
      <c r="AO18" s="1243"/>
      <c r="AP18" s="574"/>
      <c r="AQ18" s="574"/>
      <c r="AR18" s="574"/>
      <c r="AS18" s="574"/>
      <c r="AT18" s="1270">
        <v>250</v>
      </c>
      <c r="AU18" s="678"/>
      <c r="AV18" s="678"/>
      <c r="AW18" s="678"/>
      <c r="AX18" s="678"/>
      <c r="AY18" s="1270">
        <v>50</v>
      </c>
      <c r="AZ18" s="678"/>
      <c r="BA18" s="678"/>
      <c r="BB18" s="678"/>
      <c r="BC18" s="678"/>
      <c r="BD18" s="1244"/>
      <c r="BE18" s="678"/>
      <c r="BF18" s="678"/>
      <c r="BG18" s="678"/>
      <c r="BH18" s="678"/>
      <c r="BI18" s="1244"/>
      <c r="BJ18" s="574"/>
      <c r="BK18" s="574"/>
      <c r="BL18" s="574"/>
      <c r="BM18" s="574"/>
      <c r="BN18" s="1243"/>
      <c r="BO18" s="574"/>
      <c r="BP18" s="574"/>
      <c r="BQ18" s="574"/>
      <c r="BR18" s="574"/>
      <c r="BS18" s="1243"/>
      <c r="BT18" s="574"/>
      <c r="BU18" s="574"/>
      <c r="BV18" s="574"/>
      <c r="BW18" s="574"/>
      <c r="BX18" s="1243"/>
      <c r="BY18" s="955"/>
      <c r="BZ18" s="574"/>
      <c r="CA18" s="574"/>
      <c r="CB18" s="574"/>
      <c r="CC18" s="1243"/>
      <c r="CD18" s="574"/>
      <c r="CE18" s="574"/>
      <c r="CF18" s="574"/>
      <c r="CG18" s="574"/>
      <c r="CH18" s="1243"/>
      <c r="CI18" s="1243"/>
      <c r="CJ18" s="1243"/>
      <c r="CK18" s="1243"/>
      <c r="CL18" s="829"/>
    </row>
    <row r="19" spans="1:90" s="1000" customFormat="1" x14ac:dyDescent="0.3">
      <c r="A19" s="834" t="s">
        <v>1183</v>
      </c>
      <c r="B19" s="848"/>
      <c r="C19" s="1271"/>
      <c r="D19" s="1271"/>
      <c r="E19" s="1271"/>
      <c r="F19" s="1271"/>
      <c r="G19" s="849"/>
      <c r="H19" s="849"/>
      <c r="I19" s="849"/>
      <c r="J19" s="849"/>
      <c r="K19" s="1271"/>
      <c r="L19" s="849"/>
      <c r="M19" s="849"/>
      <c r="N19" s="849"/>
      <c r="O19" s="849"/>
      <c r="P19" s="1271"/>
      <c r="Q19" s="849"/>
      <c r="R19" s="849"/>
      <c r="S19" s="849"/>
      <c r="T19" s="849"/>
      <c r="U19" s="1271"/>
      <c r="V19" s="849"/>
      <c r="W19" s="849"/>
      <c r="X19" s="849"/>
      <c r="Y19" s="849"/>
      <c r="Z19" s="1271"/>
      <c r="AA19" s="849"/>
      <c r="AB19" s="849"/>
      <c r="AC19" s="849"/>
      <c r="AD19" s="849"/>
      <c r="AE19" s="1271"/>
      <c r="AF19" s="849"/>
      <c r="AG19" s="849"/>
      <c r="AH19" s="849"/>
      <c r="AI19" s="849"/>
      <c r="AJ19" s="1271"/>
      <c r="AK19" s="849"/>
      <c r="AL19" s="849"/>
      <c r="AM19" s="849"/>
      <c r="AN19" s="849"/>
      <c r="AO19" s="1271"/>
      <c r="AP19" s="849"/>
      <c r="AQ19" s="849"/>
      <c r="AR19" s="849"/>
      <c r="AS19" s="849"/>
      <c r="AT19" s="1272">
        <v>17.62</v>
      </c>
      <c r="AU19" s="1052"/>
      <c r="AV19" s="1052"/>
      <c r="AW19" s="1052"/>
      <c r="AX19" s="1052"/>
      <c r="AY19" s="1272">
        <v>17.62</v>
      </c>
      <c r="AZ19" s="1052"/>
      <c r="BA19" s="1052"/>
      <c r="BB19" s="1052"/>
      <c r="BC19" s="1052"/>
      <c r="BD19" s="1273"/>
      <c r="BE19" s="1052"/>
      <c r="BF19" s="1052"/>
      <c r="BG19" s="1052"/>
      <c r="BH19" s="1052"/>
      <c r="BI19" s="1273"/>
      <c r="BJ19" s="849"/>
      <c r="BK19" s="849"/>
      <c r="BL19" s="849"/>
      <c r="BM19" s="849"/>
      <c r="BN19" s="1271"/>
      <c r="BO19" s="849"/>
      <c r="BP19" s="849"/>
      <c r="BQ19" s="849"/>
      <c r="BR19" s="849"/>
      <c r="BS19" s="1271"/>
      <c r="BT19" s="849"/>
      <c r="BU19" s="849"/>
      <c r="BV19" s="849"/>
      <c r="BW19" s="849"/>
      <c r="BX19" s="1271"/>
      <c r="BY19" s="956"/>
      <c r="BZ19" s="849"/>
      <c r="CA19" s="849"/>
      <c r="CB19" s="849"/>
      <c r="CC19" s="1271"/>
      <c r="CD19" s="849"/>
      <c r="CE19" s="849"/>
      <c r="CF19" s="849"/>
      <c r="CG19" s="849"/>
      <c r="CH19" s="1271"/>
      <c r="CI19" s="1271"/>
      <c r="CJ19" s="1271"/>
      <c r="CK19" s="1271"/>
      <c r="CL19" s="850"/>
    </row>
    <row r="20" spans="1:90" s="992" customFormat="1" x14ac:dyDescent="0.3">
      <c r="A20" s="676"/>
      <c r="B20" s="683"/>
      <c r="C20" s="1243"/>
      <c r="D20" s="1243"/>
      <c r="E20" s="1243"/>
      <c r="F20" s="1243"/>
      <c r="G20" s="574"/>
      <c r="H20" s="574"/>
      <c r="I20" s="574"/>
      <c r="J20" s="574"/>
      <c r="K20" s="1243"/>
      <c r="L20" s="574"/>
      <c r="M20" s="574"/>
      <c r="N20" s="574"/>
      <c r="O20" s="574"/>
      <c r="P20" s="1243"/>
      <c r="Q20" s="574"/>
      <c r="R20" s="574"/>
      <c r="S20" s="574"/>
      <c r="T20" s="574"/>
      <c r="U20" s="1243"/>
      <c r="V20" s="574"/>
      <c r="W20" s="574"/>
      <c r="X20" s="574"/>
      <c r="Y20" s="574"/>
      <c r="Z20" s="1243"/>
      <c r="AA20" s="574"/>
      <c r="AB20" s="574"/>
      <c r="AC20" s="574"/>
      <c r="AD20" s="574"/>
      <c r="AE20" s="1243"/>
      <c r="AF20" s="574"/>
      <c r="AG20" s="574"/>
      <c r="AH20" s="574"/>
      <c r="AI20" s="574"/>
      <c r="AJ20" s="1243"/>
      <c r="AK20" s="574"/>
      <c r="AL20" s="574"/>
      <c r="AM20" s="574"/>
      <c r="AN20" s="574"/>
      <c r="AO20" s="1243"/>
      <c r="AP20" s="574"/>
      <c r="AQ20" s="574"/>
      <c r="AR20" s="574"/>
      <c r="AS20" s="574"/>
      <c r="AT20" s="1244"/>
      <c r="AU20" s="678"/>
      <c r="AV20" s="678"/>
      <c r="AW20" s="678"/>
      <c r="AX20" s="678"/>
      <c r="AY20" s="1244"/>
      <c r="AZ20" s="678"/>
      <c r="BA20" s="678"/>
      <c r="BB20" s="678"/>
      <c r="BC20" s="678"/>
      <c r="BD20" s="1244"/>
      <c r="BE20" s="678"/>
      <c r="BF20" s="678"/>
      <c r="BG20" s="678"/>
      <c r="BH20" s="678"/>
      <c r="BI20" s="1244"/>
      <c r="BJ20" s="574"/>
      <c r="BK20" s="574"/>
      <c r="BL20" s="574"/>
      <c r="BM20" s="574"/>
      <c r="BN20" s="1243"/>
      <c r="BO20" s="574"/>
      <c r="BP20" s="574"/>
      <c r="BQ20" s="574"/>
      <c r="BR20" s="574"/>
      <c r="BS20" s="1243"/>
      <c r="BT20" s="574"/>
      <c r="BU20" s="574"/>
      <c r="BV20" s="574"/>
      <c r="BW20" s="574"/>
      <c r="BX20" s="1243"/>
      <c r="BY20" s="955"/>
      <c r="BZ20" s="574"/>
      <c r="CA20" s="574"/>
      <c r="CB20" s="574"/>
      <c r="CC20" s="1243"/>
      <c r="CD20" s="574"/>
      <c r="CE20" s="574"/>
      <c r="CF20" s="574"/>
      <c r="CG20" s="574"/>
      <c r="CH20" s="1243"/>
      <c r="CI20" s="1243"/>
      <c r="CJ20" s="1243"/>
      <c r="CK20" s="1243"/>
      <c r="CL20" s="829"/>
    </row>
    <row r="21" spans="1:90" s="992" customFormat="1" x14ac:dyDescent="0.3">
      <c r="A21" s="425" t="s">
        <v>1182</v>
      </c>
      <c r="B21" s="683"/>
      <c r="C21" s="1243"/>
      <c r="D21" s="1243"/>
      <c r="E21" s="1243"/>
      <c r="F21" s="1243"/>
      <c r="G21" s="574"/>
      <c r="H21" s="574"/>
      <c r="I21" s="574"/>
      <c r="J21" s="574"/>
      <c r="K21" s="1243"/>
      <c r="L21" s="574"/>
      <c r="M21" s="574"/>
      <c r="N21" s="574"/>
      <c r="O21" s="574"/>
      <c r="P21" s="1243"/>
      <c r="Q21" s="574"/>
      <c r="R21" s="574"/>
      <c r="S21" s="574"/>
      <c r="T21" s="574"/>
      <c r="U21" s="1243"/>
      <c r="V21" s="574"/>
      <c r="W21" s="574"/>
      <c r="X21" s="574"/>
      <c r="Y21" s="574"/>
      <c r="Z21" s="1243"/>
      <c r="AA21" s="574"/>
      <c r="AB21" s="574"/>
      <c r="AC21" s="574"/>
      <c r="AD21" s="574"/>
      <c r="AE21" s="1243"/>
      <c r="AF21" s="574"/>
      <c r="AG21" s="574"/>
      <c r="AH21" s="574"/>
      <c r="AI21" s="574"/>
      <c r="AJ21" s="1243"/>
      <c r="AK21" s="574"/>
      <c r="AL21" s="574"/>
      <c r="AM21" s="574"/>
      <c r="AN21" s="574"/>
      <c r="AO21" s="1243"/>
      <c r="AP21" s="574"/>
      <c r="AQ21" s="574"/>
      <c r="AR21" s="574"/>
      <c r="AS21" s="574"/>
      <c r="AT21" s="1270">
        <v>250</v>
      </c>
      <c r="AU21" s="678"/>
      <c r="AV21" s="678"/>
      <c r="AW21" s="678"/>
      <c r="AX21" s="678"/>
      <c r="AY21" s="1270">
        <v>250</v>
      </c>
      <c r="AZ21" s="678"/>
      <c r="BA21" s="678"/>
      <c r="BB21" s="678"/>
      <c r="BC21" s="678"/>
      <c r="BD21" s="1244"/>
      <c r="BE21" s="678"/>
      <c r="BF21" s="678"/>
      <c r="BG21" s="678"/>
      <c r="BH21" s="678"/>
      <c r="BI21" s="1244"/>
      <c r="BJ21" s="574"/>
      <c r="BK21" s="574"/>
      <c r="BL21" s="574"/>
      <c r="BM21" s="574"/>
      <c r="BN21" s="1243"/>
      <c r="BO21" s="574"/>
      <c r="BP21" s="574"/>
      <c r="BQ21" s="574"/>
      <c r="BR21" s="574"/>
      <c r="BS21" s="1243"/>
      <c r="BT21" s="574"/>
      <c r="BU21" s="574"/>
      <c r="BV21" s="574"/>
      <c r="BW21" s="574"/>
      <c r="BX21" s="1243"/>
      <c r="BY21" s="955"/>
      <c r="BZ21" s="574"/>
      <c r="CA21" s="574"/>
      <c r="CB21" s="574"/>
      <c r="CC21" s="1243"/>
      <c r="CD21" s="574"/>
      <c r="CE21" s="574"/>
      <c r="CF21" s="574"/>
      <c r="CG21" s="574"/>
      <c r="CH21" s="1243"/>
      <c r="CI21" s="1243"/>
      <c r="CJ21" s="1243"/>
      <c r="CK21" s="1243"/>
      <c r="CL21" s="829"/>
    </row>
    <row r="22" spans="1:90" s="1000" customFormat="1" x14ac:dyDescent="0.3">
      <c r="A22" s="834" t="s">
        <v>1181</v>
      </c>
      <c r="B22" s="848"/>
      <c r="C22" s="1271"/>
      <c r="D22" s="1271"/>
      <c r="E22" s="1271"/>
      <c r="F22" s="1271"/>
      <c r="G22" s="849"/>
      <c r="H22" s="849"/>
      <c r="I22" s="849"/>
      <c r="J22" s="849"/>
      <c r="K22" s="1271"/>
      <c r="L22" s="849"/>
      <c r="M22" s="849"/>
      <c r="N22" s="849"/>
      <c r="O22" s="849"/>
      <c r="P22" s="1271"/>
      <c r="Q22" s="849"/>
      <c r="R22" s="849"/>
      <c r="S22" s="849"/>
      <c r="T22" s="849"/>
      <c r="U22" s="1271"/>
      <c r="V22" s="849"/>
      <c r="W22" s="849"/>
      <c r="X22" s="849"/>
      <c r="Y22" s="849"/>
      <c r="Z22" s="1271"/>
      <c r="AA22" s="849"/>
      <c r="AB22" s="849"/>
      <c r="AC22" s="849"/>
      <c r="AD22" s="849"/>
      <c r="AE22" s="1271"/>
      <c r="AF22" s="849"/>
      <c r="AG22" s="849"/>
      <c r="AH22" s="849"/>
      <c r="AI22" s="849"/>
      <c r="AJ22" s="1271"/>
      <c r="AK22" s="849"/>
      <c r="AL22" s="849"/>
      <c r="AM22" s="849"/>
      <c r="AN22" s="849"/>
      <c r="AO22" s="1271"/>
      <c r="AP22" s="849"/>
      <c r="AQ22" s="849"/>
      <c r="AR22" s="849"/>
      <c r="AS22" s="849"/>
      <c r="AT22" s="1272">
        <v>14.465</v>
      </c>
      <c r="AU22" s="1052"/>
      <c r="AV22" s="1052"/>
      <c r="AW22" s="1052"/>
      <c r="AX22" s="1052"/>
      <c r="AY22" s="1272">
        <v>14.465</v>
      </c>
      <c r="AZ22" s="1052"/>
      <c r="BA22" s="1052"/>
      <c r="BB22" s="1052"/>
      <c r="BC22" s="1052"/>
      <c r="BD22" s="1273"/>
      <c r="BE22" s="1052"/>
      <c r="BF22" s="1052"/>
      <c r="BG22" s="1052"/>
      <c r="BH22" s="1052"/>
      <c r="BI22" s="1273"/>
      <c r="BJ22" s="849"/>
      <c r="BK22" s="849"/>
      <c r="BL22" s="849"/>
      <c r="BM22" s="849"/>
      <c r="BN22" s="1271"/>
      <c r="BO22" s="849"/>
      <c r="BP22" s="849"/>
      <c r="BQ22" s="849"/>
      <c r="BR22" s="849"/>
      <c r="BS22" s="1271"/>
      <c r="BT22" s="849"/>
      <c r="BU22" s="849"/>
      <c r="BV22" s="849"/>
      <c r="BW22" s="849"/>
      <c r="BX22" s="1271"/>
      <c r="BY22" s="956"/>
      <c r="BZ22" s="849"/>
      <c r="CA22" s="849"/>
      <c r="CB22" s="849"/>
      <c r="CC22" s="1271"/>
      <c r="CD22" s="849"/>
      <c r="CE22" s="849"/>
      <c r="CF22" s="849"/>
      <c r="CG22" s="849"/>
      <c r="CH22" s="1271"/>
      <c r="CI22" s="1271"/>
      <c r="CJ22" s="1271"/>
      <c r="CK22" s="1271"/>
      <c r="CL22" s="850"/>
    </row>
    <row r="23" spans="1:90" s="992" customFormat="1" x14ac:dyDescent="0.3">
      <c r="A23" s="834"/>
      <c r="B23" s="683"/>
      <c r="C23" s="1243"/>
      <c r="D23" s="1243"/>
      <c r="E23" s="1243"/>
      <c r="F23" s="1243"/>
      <c r="G23" s="574"/>
      <c r="H23" s="574"/>
      <c r="I23" s="574"/>
      <c r="J23" s="574"/>
      <c r="K23" s="1243"/>
      <c r="L23" s="574"/>
      <c r="M23" s="574"/>
      <c r="N23" s="574"/>
      <c r="O23" s="574"/>
      <c r="P23" s="1243"/>
      <c r="Q23" s="574"/>
      <c r="R23" s="574"/>
      <c r="S23" s="574"/>
      <c r="T23" s="574"/>
      <c r="U23" s="1243"/>
      <c r="V23" s="574"/>
      <c r="W23" s="574"/>
      <c r="X23" s="574"/>
      <c r="Y23" s="574"/>
      <c r="Z23" s="1243"/>
      <c r="AA23" s="574"/>
      <c r="AB23" s="574"/>
      <c r="AC23" s="574"/>
      <c r="AD23" s="574"/>
      <c r="AE23" s="1243"/>
      <c r="AF23" s="574"/>
      <c r="AG23" s="574"/>
      <c r="AH23" s="574"/>
      <c r="AI23" s="574"/>
      <c r="AJ23" s="1243"/>
      <c r="AK23" s="574"/>
      <c r="AL23" s="574"/>
      <c r="AM23" s="574"/>
      <c r="AN23" s="574"/>
      <c r="AO23" s="1243"/>
      <c r="AP23" s="574"/>
      <c r="AQ23" s="574"/>
      <c r="AR23" s="574"/>
      <c r="AS23" s="574"/>
      <c r="AT23" s="1244"/>
      <c r="AU23" s="678"/>
      <c r="AV23" s="678"/>
      <c r="AW23" s="678"/>
      <c r="AX23" s="678"/>
      <c r="AY23" s="1244"/>
      <c r="AZ23" s="678"/>
      <c r="BA23" s="678"/>
      <c r="BB23" s="678"/>
      <c r="BC23" s="678"/>
      <c r="BD23" s="1244"/>
      <c r="BE23" s="678"/>
      <c r="BF23" s="678"/>
      <c r="BG23" s="678"/>
      <c r="BH23" s="678"/>
      <c r="BI23" s="1244"/>
      <c r="BJ23" s="574"/>
      <c r="BK23" s="574"/>
      <c r="BL23" s="574"/>
      <c r="BM23" s="574"/>
      <c r="BN23" s="1243"/>
      <c r="BO23" s="574"/>
      <c r="BP23" s="574"/>
      <c r="BQ23" s="574"/>
      <c r="BR23" s="574"/>
      <c r="BS23" s="1243"/>
      <c r="BT23" s="574"/>
      <c r="BU23" s="574"/>
      <c r="BV23" s="574"/>
      <c r="BW23" s="574"/>
      <c r="BX23" s="1243"/>
      <c r="BY23" s="955"/>
      <c r="BZ23" s="574"/>
      <c r="CA23" s="574"/>
      <c r="CB23" s="574"/>
      <c r="CC23" s="1243"/>
      <c r="CD23" s="574"/>
      <c r="CE23" s="574"/>
      <c r="CF23" s="574"/>
      <c r="CG23" s="574"/>
      <c r="CH23" s="1243"/>
      <c r="CI23" s="1243"/>
      <c r="CJ23" s="1243"/>
      <c r="CK23" s="1243"/>
      <c r="CL23" s="829"/>
    </row>
    <row r="24" spans="1:90" s="992" customFormat="1" x14ac:dyDescent="0.3">
      <c r="A24" s="425" t="s">
        <v>1180</v>
      </c>
      <c r="B24" s="683"/>
      <c r="C24" s="1243"/>
      <c r="D24" s="1243"/>
      <c r="E24" s="1243"/>
      <c r="F24" s="1243"/>
      <c r="G24" s="574"/>
      <c r="H24" s="574"/>
      <c r="I24" s="574"/>
      <c r="J24" s="574"/>
      <c r="K24" s="1243"/>
      <c r="L24" s="574"/>
      <c r="M24" s="574"/>
      <c r="N24" s="574"/>
      <c r="O24" s="574"/>
      <c r="P24" s="1243"/>
      <c r="Q24" s="574"/>
      <c r="R24" s="574"/>
      <c r="S24" s="574"/>
      <c r="T24" s="574"/>
      <c r="U24" s="1243"/>
      <c r="V24" s="574"/>
      <c r="W24" s="574"/>
      <c r="X24" s="574"/>
      <c r="Y24" s="574"/>
      <c r="Z24" s="1243"/>
      <c r="AA24" s="574"/>
      <c r="AB24" s="574"/>
      <c r="AC24" s="574"/>
      <c r="AD24" s="574"/>
      <c r="AE24" s="1243"/>
      <c r="AF24" s="574"/>
      <c r="AG24" s="574"/>
      <c r="AH24" s="574"/>
      <c r="AI24" s="574"/>
      <c r="AJ24" s="1243"/>
      <c r="AK24" s="574"/>
      <c r="AL24" s="574"/>
      <c r="AM24" s="574"/>
      <c r="AN24" s="574"/>
      <c r="AO24" s="1243"/>
      <c r="AP24" s="574"/>
      <c r="AQ24" s="574"/>
      <c r="AR24" s="574"/>
      <c r="AS24" s="574"/>
      <c r="AT24" s="1270">
        <v>300</v>
      </c>
      <c r="AU24" s="678"/>
      <c r="AV24" s="678"/>
      <c r="AW24" s="678"/>
      <c r="AX24" s="678"/>
      <c r="AY24" s="1270">
        <v>300</v>
      </c>
      <c r="AZ24" s="678"/>
      <c r="BA24" s="678"/>
      <c r="BB24" s="678"/>
      <c r="BC24" s="678"/>
      <c r="BD24" s="1270">
        <v>292.33999999999997</v>
      </c>
      <c r="BE24" s="678"/>
      <c r="BF24" s="678"/>
      <c r="BG24" s="678"/>
      <c r="BH24" s="678"/>
      <c r="BI24" s="1244"/>
      <c r="BJ24" s="574"/>
      <c r="BK24" s="574"/>
      <c r="BL24" s="574"/>
      <c r="BM24" s="574"/>
      <c r="BN24" s="1243"/>
      <c r="BO24" s="574"/>
      <c r="BP24" s="574"/>
      <c r="BQ24" s="574"/>
      <c r="BR24" s="574"/>
      <c r="BS24" s="1243"/>
      <c r="BT24" s="574"/>
      <c r="BU24" s="574"/>
      <c r="BV24" s="574"/>
      <c r="BW24" s="574"/>
      <c r="BX24" s="1243"/>
      <c r="BY24" s="955"/>
      <c r="BZ24" s="574"/>
      <c r="CA24" s="574"/>
      <c r="CB24" s="574"/>
      <c r="CC24" s="1243"/>
      <c r="CD24" s="574"/>
      <c r="CE24" s="574"/>
      <c r="CF24" s="574"/>
      <c r="CG24" s="574"/>
      <c r="CH24" s="1243"/>
      <c r="CI24" s="1243"/>
      <c r="CJ24" s="1243"/>
      <c r="CK24" s="1243"/>
      <c r="CL24" s="829"/>
    </row>
    <row r="25" spans="1:90" s="1000" customFormat="1" x14ac:dyDescent="0.3">
      <c r="A25" s="834" t="s">
        <v>1179</v>
      </c>
      <c r="B25" s="848"/>
      <c r="C25" s="1271"/>
      <c r="D25" s="1271"/>
      <c r="E25" s="1271"/>
      <c r="F25" s="1271"/>
      <c r="G25" s="849"/>
      <c r="H25" s="849"/>
      <c r="I25" s="849"/>
      <c r="J25" s="849"/>
      <c r="K25" s="1271"/>
      <c r="L25" s="849"/>
      <c r="M25" s="849"/>
      <c r="N25" s="849"/>
      <c r="O25" s="849"/>
      <c r="P25" s="1271"/>
      <c r="Q25" s="849"/>
      <c r="R25" s="849"/>
      <c r="S25" s="849"/>
      <c r="T25" s="849"/>
      <c r="U25" s="1271"/>
      <c r="V25" s="849"/>
      <c r="W25" s="849"/>
      <c r="X25" s="849"/>
      <c r="Y25" s="849"/>
      <c r="Z25" s="1271"/>
      <c r="AA25" s="849"/>
      <c r="AB25" s="849"/>
      <c r="AC25" s="849"/>
      <c r="AD25" s="849"/>
      <c r="AE25" s="1271"/>
      <c r="AF25" s="849"/>
      <c r="AG25" s="849"/>
      <c r="AH25" s="849"/>
      <c r="AI25" s="849"/>
      <c r="AJ25" s="1271"/>
      <c r="AK25" s="849"/>
      <c r="AL25" s="849"/>
      <c r="AM25" s="849"/>
      <c r="AN25" s="849"/>
      <c r="AO25" s="1271"/>
      <c r="AP25" s="849"/>
      <c r="AQ25" s="849"/>
      <c r="AR25" s="849"/>
      <c r="AS25" s="849"/>
      <c r="AT25" s="1272">
        <v>14.46</v>
      </c>
      <c r="AU25" s="1052"/>
      <c r="AV25" s="1052"/>
      <c r="AW25" s="1052"/>
      <c r="AX25" s="1052"/>
      <c r="AY25" s="1272">
        <v>14.46</v>
      </c>
      <c r="AZ25" s="1052"/>
      <c r="BA25" s="1052"/>
      <c r="BB25" s="1052"/>
      <c r="BC25" s="1052"/>
      <c r="BD25" s="1272">
        <v>3.6150000000000002</v>
      </c>
      <c r="BE25" s="1052"/>
      <c r="BF25" s="1052"/>
      <c r="BG25" s="1052"/>
      <c r="BH25" s="1052"/>
      <c r="BI25" s="1273"/>
      <c r="BJ25" s="849"/>
      <c r="BK25" s="849"/>
      <c r="BL25" s="849"/>
      <c r="BM25" s="849"/>
      <c r="BN25" s="1271"/>
      <c r="BO25" s="849"/>
      <c r="BP25" s="849"/>
      <c r="BQ25" s="849"/>
      <c r="BR25" s="849"/>
      <c r="BS25" s="1271"/>
      <c r="BT25" s="849"/>
      <c r="BU25" s="849"/>
      <c r="BV25" s="849"/>
      <c r="BW25" s="849"/>
      <c r="BX25" s="1271"/>
      <c r="BY25" s="956"/>
      <c r="BZ25" s="849"/>
      <c r="CA25" s="849"/>
      <c r="CB25" s="849"/>
      <c r="CC25" s="1271"/>
      <c r="CD25" s="849"/>
      <c r="CE25" s="849"/>
      <c r="CF25" s="849"/>
      <c r="CG25" s="849"/>
      <c r="CH25" s="1271"/>
      <c r="CI25" s="1271"/>
      <c r="CJ25" s="1271"/>
      <c r="CK25" s="1271"/>
      <c r="CL25" s="850"/>
    </row>
    <row r="26" spans="1:90" s="992" customFormat="1" x14ac:dyDescent="0.3">
      <c r="A26" s="676"/>
      <c r="B26" s="683"/>
      <c r="C26" s="1243"/>
      <c r="D26" s="1243"/>
      <c r="E26" s="1243"/>
      <c r="F26" s="1243"/>
      <c r="G26" s="574"/>
      <c r="H26" s="574"/>
      <c r="I26" s="574"/>
      <c r="J26" s="574"/>
      <c r="K26" s="1243"/>
      <c r="L26" s="574"/>
      <c r="M26" s="574"/>
      <c r="N26" s="574"/>
      <c r="O26" s="574"/>
      <c r="P26" s="1243"/>
      <c r="Q26" s="574"/>
      <c r="R26" s="574"/>
      <c r="S26" s="574"/>
      <c r="T26" s="574"/>
      <c r="U26" s="1243"/>
      <c r="V26" s="574"/>
      <c r="W26" s="574"/>
      <c r="X26" s="574"/>
      <c r="Y26" s="574"/>
      <c r="Z26" s="1243"/>
      <c r="AA26" s="574"/>
      <c r="AB26" s="574"/>
      <c r="AC26" s="574"/>
      <c r="AD26" s="574"/>
      <c r="AE26" s="1243"/>
      <c r="AF26" s="574"/>
      <c r="AG26" s="574"/>
      <c r="AH26" s="574"/>
      <c r="AI26" s="574"/>
      <c r="AJ26" s="1243"/>
      <c r="AK26" s="574"/>
      <c r="AL26" s="574"/>
      <c r="AM26" s="574"/>
      <c r="AN26" s="574"/>
      <c r="AO26" s="1243"/>
      <c r="AP26" s="574"/>
      <c r="AQ26" s="574"/>
      <c r="AR26" s="574"/>
      <c r="AS26" s="574"/>
      <c r="AT26" s="1244"/>
      <c r="AU26" s="678"/>
      <c r="AV26" s="678"/>
      <c r="AW26" s="678"/>
      <c r="AX26" s="678"/>
      <c r="AY26" s="1244"/>
      <c r="AZ26" s="678"/>
      <c r="BA26" s="678"/>
      <c r="BB26" s="678"/>
      <c r="BC26" s="678"/>
      <c r="BD26" s="1244"/>
      <c r="BE26" s="678"/>
      <c r="BF26" s="678"/>
      <c r="BG26" s="678"/>
      <c r="BH26" s="678"/>
      <c r="BI26" s="1244"/>
      <c r="BJ26" s="574"/>
      <c r="BK26" s="574"/>
      <c r="BL26" s="574"/>
      <c r="BM26" s="574"/>
      <c r="BN26" s="1243"/>
      <c r="BO26" s="574"/>
      <c r="BP26" s="574"/>
      <c r="BQ26" s="574"/>
      <c r="BR26" s="574"/>
      <c r="BS26" s="1243"/>
      <c r="BT26" s="574"/>
      <c r="BU26" s="574"/>
      <c r="BV26" s="574"/>
      <c r="BW26" s="574"/>
      <c r="BX26" s="1243"/>
      <c r="BY26" s="955"/>
      <c r="BZ26" s="574"/>
      <c r="CA26" s="574"/>
      <c r="CB26" s="574"/>
      <c r="CC26" s="1243"/>
      <c r="CD26" s="574"/>
      <c r="CE26" s="574"/>
      <c r="CF26" s="574"/>
      <c r="CG26" s="574"/>
      <c r="CH26" s="1243"/>
      <c r="CI26" s="1243"/>
      <c r="CJ26" s="1243"/>
      <c r="CK26" s="1243"/>
      <c r="CL26" s="829"/>
    </row>
    <row r="27" spans="1:90" s="992" customFormat="1" x14ac:dyDescent="0.3">
      <c r="A27" s="425" t="s">
        <v>1178</v>
      </c>
      <c r="B27" s="683"/>
      <c r="C27" s="1243"/>
      <c r="D27" s="1243"/>
      <c r="E27" s="1243"/>
      <c r="F27" s="1243"/>
      <c r="G27" s="574"/>
      <c r="H27" s="574"/>
      <c r="I27" s="574"/>
      <c r="J27" s="574"/>
      <c r="K27" s="1243"/>
      <c r="L27" s="574"/>
      <c r="M27" s="574"/>
      <c r="N27" s="574"/>
      <c r="O27" s="574"/>
      <c r="P27" s="1243"/>
      <c r="Q27" s="574"/>
      <c r="R27" s="574"/>
      <c r="S27" s="574"/>
      <c r="T27" s="574"/>
      <c r="U27" s="1243"/>
      <c r="V27" s="574"/>
      <c r="W27" s="574"/>
      <c r="X27" s="574"/>
      <c r="Y27" s="574"/>
      <c r="Z27" s="1243"/>
      <c r="AA27" s="574"/>
      <c r="AB27" s="574"/>
      <c r="AC27" s="574"/>
      <c r="AD27" s="574"/>
      <c r="AE27" s="1243"/>
      <c r="AF27" s="574"/>
      <c r="AG27" s="574"/>
      <c r="AH27" s="574"/>
      <c r="AI27" s="574"/>
      <c r="AJ27" s="1243"/>
      <c r="AK27" s="574"/>
      <c r="AL27" s="574"/>
      <c r="AM27" s="574"/>
      <c r="AN27" s="574"/>
      <c r="AO27" s="1243"/>
      <c r="AP27" s="574"/>
      <c r="AQ27" s="574"/>
      <c r="AR27" s="574"/>
      <c r="AS27" s="574"/>
      <c r="AT27" s="1270">
        <v>300</v>
      </c>
      <c r="AU27" s="678"/>
      <c r="AV27" s="678"/>
      <c r="AW27" s="678"/>
      <c r="AX27" s="678"/>
      <c r="AY27" s="1270">
        <v>300</v>
      </c>
      <c r="AZ27" s="678"/>
      <c r="BA27" s="678"/>
      <c r="BB27" s="678"/>
      <c r="BC27" s="678"/>
      <c r="BD27" s="1270">
        <v>1200</v>
      </c>
      <c r="BE27" s="678"/>
      <c r="BF27" s="678"/>
      <c r="BG27" s="678"/>
      <c r="BH27" s="678"/>
      <c r="BI27" s="1244"/>
      <c r="BJ27" s="574"/>
      <c r="BK27" s="574"/>
      <c r="BL27" s="574"/>
      <c r="BM27" s="574"/>
      <c r="BN27" s="1243"/>
      <c r="BO27" s="574"/>
      <c r="BP27" s="574"/>
      <c r="BQ27" s="574"/>
      <c r="BR27" s="574"/>
      <c r="BS27" s="1243"/>
      <c r="BT27" s="574"/>
      <c r="BU27" s="574"/>
      <c r="BV27" s="574"/>
      <c r="BW27" s="574"/>
      <c r="BX27" s="1243"/>
      <c r="BY27" s="955"/>
      <c r="BZ27" s="574"/>
      <c r="CA27" s="574"/>
      <c r="CB27" s="574"/>
      <c r="CC27" s="1243"/>
      <c r="CD27" s="574"/>
      <c r="CE27" s="574"/>
      <c r="CF27" s="574"/>
      <c r="CG27" s="574"/>
      <c r="CH27" s="1243"/>
      <c r="CI27" s="1243"/>
      <c r="CJ27" s="1243"/>
      <c r="CK27" s="1243"/>
      <c r="CL27" s="829"/>
    </row>
    <row r="28" spans="1:90" s="1000" customFormat="1" x14ac:dyDescent="0.3">
      <c r="A28" s="834" t="s">
        <v>1177</v>
      </c>
      <c r="B28" s="848"/>
      <c r="C28" s="1271"/>
      <c r="D28" s="1271"/>
      <c r="E28" s="1271"/>
      <c r="F28" s="1271"/>
      <c r="G28" s="849"/>
      <c r="H28" s="849"/>
      <c r="I28" s="849"/>
      <c r="J28" s="849"/>
      <c r="K28" s="1271"/>
      <c r="L28" s="849"/>
      <c r="M28" s="849"/>
      <c r="N28" s="849"/>
      <c r="O28" s="849"/>
      <c r="P28" s="1271"/>
      <c r="Q28" s="849"/>
      <c r="R28" s="849"/>
      <c r="S28" s="849"/>
      <c r="T28" s="849"/>
      <c r="U28" s="1271"/>
      <c r="V28" s="849"/>
      <c r="W28" s="849"/>
      <c r="X28" s="849"/>
      <c r="Y28" s="849"/>
      <c r="Z28" s="1271"/>
      <c r="AA28" s="849"/>
      <c r="AB28" s="849"/>
      <c r="AC28" s="849"/>
      <c r="AD28" s="849"/>
      <c r="AE28" s="1271"/>
      <c r="AF28" s="849"/>
      <c r="AG28" s="849"/>
      <c r="AH28" s="849"/>
      <c r="AI28" s="849"/>
      <c r="AJ28" s="1271"/>
      <c r="AK28" s="849"/>
      <c r="AL28" s="849"/>
      <c r="AM28" s="849"/>
      <c r="AN28" s="849"/>
      <c r="AO28" s="1271"/>
      <c r="AP28" s="849"/>
      <c r="AQ28" s="849"/>
      <c r="AR28" s="849"/>
      <c r="AS28" s="849"/>
      <c r="AT28" s="1272">
        <v>13.71</v>
      </c>
      <c r="AU28" s="1052"/>
      <c r="AV28" s="1052"/>
      <c r="AW28" s="1052"/>
      <c r="AX28" s="1052"/>
      <c r="AY28" s="1272">
        <v>13.71</v>
      </c>
      <c r="AZ28" s="1052"/>
      <c r="BA28" s="1052"/>
      <c r="BB28" s="1052"/>
      <c r="BC28" s="1052"/>
      <c r="BD28" s="1272">
        <v>3.4275000000000002</v>
      </c>
      <c r="BE28" s="1052"/>
      <c r="BF28" s="1052"/>
      <c r="BG28" s="1052"/>
      <c r="BH28" s="1052"/>
      <c r="BI28" s="1273"/>
      <c r="BJ28" s="849"/>
      <c r="BK28" s="849"/>
      <c r="BL28" s="849"/>
      <c r="BM28" s="849"/>
      <c r="BN28" s="1271"/>
      <c r="BO28" s="849"/>
      <c r="BP28" s="849"/>
      <c r="BQ28" s="849"/>
      <c r="BR28" s="849"/>
      <c r="BS28" s="1271"/>
      <c r="BT28" s="849"/>
      <c r="BU28" s="849"/>
      <c r="BV28" s="849"/>
      <c r="BW28" s="849"/>
      <c r="BX28" s="1271"/>
      <c r="BY28" s="956"/>
      <c r="BZ28" s="849"/>
      <c r="CA28" s="849"/>
      <c r="CB28" s="849"/>
      <c r="CC28" s="1271"/>
      <c r="CD28" s="849"/>
      <c r="CE28" s="849"/>
      <c r="CF28" s="849"/>
      <c r="CG28" s="849"/>
      <c r="CH28" s="1271"/>
      <c r="CI28" s="1271"/>
      <c r="CJ28" s="1271"/>
      <c r="CK28" s="1271"/>
      <c r="CL28" s="850"/>
    </row>
    <row r="29" spans="1:90" s="992" customFormat="1" x14ac:dyDescent="0.3">
      <c r="A29" s="676"/>
      <c r="B29" s="683"/>
      <c r="C29" s="1243"/>
      <c r="D29" s="1243"/>
      <c r="E29" s="1243"/>
      <c r="F29" s="1243"/>
      <c r="G29" s="574"/>
      <c r="H29" s="574"/>
      <c r="I29" s="574"/>
      <c r="J29" s="574"/>
      <c r="K29" s="1243"/>
      <c r="L29" s="574"/>
      <c r="M29" s="574"/>
      <c r="N29" s="574"/>
      <c r="O29" s="574"/>
      <c r="P29" s="1243"/>
      <c r="Q29" s="574"/>
      <c r="R29" s="574"/>
      <c r="S29" s="574"/>
      <c r="T29" s="574"/>
      <c r="U29" s="1243"/>
      <c r="V29" s="574"/>
      <c r="W29" s="574"/>
      <c r="X29" s="574"/>
      <c r="Y29" s="574"/>
      <c r="Z29" s="1243"/>
      <c r="AA29" s="574"/>
      <c r="AB29" s="574"/>
      <c r="AC29" s="574"/>
      <c r="AD29" s="574"/>
      <c r="AE29" s="1243"/>
      <c r="AF29" s="574"/>
      <c r="AG29" s="574"/>
      <c r="AH29" s="574"/>
      <c r="AI29" s="574"/>
      <c r="AJ29" s="1243"/>
      <c r="AK29" s="574"/>
      <c r="AL29" s="574"/>
      <c r="AM29" s="574"/>
      <c r="AN29" s="574"/>
      <c r="AO29" s="1243"/>
      <c r="AP29" s="574"/>
      <c r="AQ29" s="574"/>
      <c r="AR29" s="574"/>
      <c r="AS29" s="574"/>
      <c r="AT29" s="1244"/>
      <c r="AU29" s="678"/>
      <c r="AV29" s="678"/>
      <c r="AW29" s="678"/>
      <c r="AX29" s="678"/>
      <c r="AY29" s="1244"/>
      <c r="AZ29" s="678"/>
      <c r="BA29" s="678"/>
      <c r="BB29" s="678"/>
      <c r="BC29" s="678"/>
      <c r="BD29" s="1244"/>
      <c r="BE29" s="678"/>
      <c r="BF29" s="678"/>
      <c r="BG29" s="678"/>
      <c r="BH29" s="678"/>
      <c r="BI29" s="1244"/>
      <c r="BJ29" s="574"/>
      <c r="BK29" s="574"/>
      <c r="BL29" s="574"/>
      <c r="BM29" s="574"/>
      <c r="BN29" s="1243"/>
      <c r="BO29" s="574"/>
      <c r="BP29" s="574"/>
      <c r="BQ29" s="574"/>
      <c r="BR29" s="574"/>
      <c r="BS29" s="1243"/>
      <c r="BT29" s="574"/>
      <c r="BU29" s="574"/>
      <c r="BV29" s="574"/>
      <c r="BW29" s="574"/>
      <c r="BX29" s="1243"/>
      <c r="BY29" s="955"/>
      <c r="BZ29" s="574"/>
      <c r="CA29" s="574"/>
      <c r="CB29" s="574"/>
      <c r="CC29" s="1243"/>
      <c r="CD29" s="574"/>
      <c r="CE29" s="574"/>
      <c r="CF29" s="574"/>
      <c r="CG29" s="574"/>
      <c r="CH29" s="1243"/>
      <c r="CI29" s="1243"/>
      <c r="CJ29" s="1243"/>
      <c r="CK29" s="1243"/>
      <c r="CL29" s="829"/>
    </row>
    <row r="30" spans="1:90" s="992" customFormat="1" x14ac:dyDescent="0.3">
      <c r="A30" s="425" t="s">
        <v>1176</v>
      </c>
      <c r="B30" s="683"/>
      <c r="C30" s="1243"/>
      <c r="D30" s="1243"/>
      <c r="E30" s="1243"/>
      <c r="F30" s="1243"/>
      <c r="G30" s="574"/>
      <c r="H30" s="574"/>
      <c r="I30" s="574"/>
      <c r="J30" s="574"/>
      <c r="K30" s="1243"/>
      <c r="L30" s="574"/>
      <c r="M30" s="574"/>
      <c r="N30" s="574"/>
      <c r="O30" s="574"/>
      <c r="P30" s="1243"/>
      <c r="Q30" s="574"/>
      <c r="R30" s="574"/>
      <c r="S30" s="574"/>
      <c r="T30" s="574"/>
      <c r="U30" s="1243"/>
      <c r="V30" s="574"/>
      <c r="W30" s="574"/>
      <c r="X30" s="574"/>
      <c r="Y30" s="574"/>
      <c r="Z30" s="1243"/>
      <c r="AA30" s="574"/>
      <c r="AB30" s="574"/>
      <c r="AC30" s="574"/>
      <c r="AD30" s="574"/>
      <c r="AE30" s="1243"/>
      <c r="AF30" s="574"/>
      <c r="AG30" s="574"/>
      <c r="AH30" s="574"/>
      <c r="AI30" s="574"/>
      <c r="AJ30" s="1243"/>
      <c r="AK30" s="574"/>
      <c r="AL30" s="574"/>
      <c r="AM30" s="574"/>
      <c r="AN30" s="574"/>
      <c r="AO30" s="1243"/>
      <c r="AP30" s="574"/>
      <c r="AQ30" s="574"/>
      <c r="AR30" s="574"/>
      <c r="AS30" s="574"/>
      <c r="AT30" s="1270">
        <v>237.5</v>
      </c>
      <c r="AU30" s="678"/>
      <c r="AV30" s="678"/>
      <c r="AW30" s="678"/>
      <c r="AX30" s="678"/>
      <c r="AY30" s="1270">
        <v>237.5</v>
      </c>
      <c r="AZ30" s="678"/>
      <c r="BA30" s="678"/>
      <c r="BB30" s="678"/>
      <c r="BC30" s="678"/>
      <c r="BD30" s="1270">
        <v>950</v>
      </c>
      <c r="BE30" s="678"/>
      <c r="BF30" s="678"/>
      <c r="BG30" s="678"/>
      <c r="BH30" s="678"/>
      <c r="BI30" s="1244"/>
      <c r="BJ30" s="574"/>
      <c r="BK30" s="574"/>
      <c r="BL30" s="574"/>
      <c r="BM30" s="574"/>
      <c r="BN30" s="1243"/>
      <c r="BO30" s="574"/>
      <c r="BP30" s="574"/>
      <c r="BQ30" s="574"/>
      <c r="BR30" s="574"/>
      <c r="BS30" s="1243"/>
      <c r="BT30" s="574"/>
      <c r="BU30" s="574"/>
      <c r="BV30" s="574"/>
      <c r="BW30" s="574"/>
      <c r="BX30" s="1243"/>
      <c r="BY30" s="955"/>
      <c r="BZ30" s="574"/>
      <c r="CA30" s="574"/>
      <c r="CB30" s="574"/>
      <c r="CC30" s="1243"/>
      <c r="CD30" s="574"/>
      <c r="CE30" s="574"/>
      <c r="CF30" s="574"/>
      <c r="CG30" s="574"/>
      <c r="CH30" s="1243"/>
      <c r="CI30" s="1243"/>
      <c r="CJ30" s="1243"/>
      <c r="CK30" s="1243"/>
      <c r="CL30" s="829"/>
    </row>
    <row r="31" spans="1:90" s="1000" customFormat="1" x14ac:dyDescent="0.3">
      <c r="A31" s="834" t="s">
        <v>1175</v>
      </c>
      <c r="B31" s="848"/>
      <c r="C31" s="1271"/>
      <c r="D31" s="1271"/>
      <c r="E31" s="1271"/>
      <c r="F31" s="1271"/>
      <c r="G31" s="849"/>
      <c r="H31" s="849"/>
      <c r="I31" s="849"/>
      <c r="J31" s="849"/>
      <c r="K31" s="1271"/>
      <c r="L31" s="849"/>
      <c r="M31" s="849"/>
      <c r="N31" s="849"/>
      <c r="O31" s="849"/>
      <c r="P31" s="1271"/>
      <c r="Q31" s="849"/>
      <c r="R31" s="849"/>
      <c r="S31" s="849"/>
      <c r="T31" s="849"/>
      <c r="U31" s="1271"/>
      <c r="V31" s="849"/>
      <c r="W31" s="849"/>
      <c r="X31" s="849"/>
      <c r="Y31" s="849"/>
      <c r="Z31" s="1271"/>
      <c r="AA31" s="849"/>
      <c r="AB31" s="849"/>
      <c r="AC31" s="849"/>
      <c r="AD31" s="849"/>
      <c r="AE31" s="1271"/>
      <c r="AF31" s="849"/>
      <c r="AG31" s="849"/>
      <c r="AH31" s="849"/>
      <c r="AI31" s="849"/>
      <c r="AJ31" s="1271"/>
      <c r="AK31" s="849"/>
      <c r="AL31" s="849"/>
      <c r="AM31" s="849"/>
      <c r="AN31" s="849"/>
      <c r="AO31" s="1271"/>
      <c r="AP31" s="849"/>
      <c r="AQ31" s="849"/>
      <c r="AR31" s="849"/>
      <c r="AS31" s="849"/>
      <c r="AT31" s="1272">
        <v>12.62</v>
      </c>
      <c r="AU31" s="1052"/>
      <c r="AV31" s="1052"/>
      <c r="AW31" s="1052"/>
      <c r="AX31" s="1052"/>
      <c r="AY31" s="1272">
        <v>12.62</v>
      </c>
      <c r="AZ31" s="1052"/>
      <c r="BA31" s="1052"/>
      <c r="BB31" s="1052"/>
      <c r="BC31" s="1052"/>
      <c r="BD31" s="1272">
        <v>3.1549999999999998</v>
      </c>
      <c r="BE31" s="1052"/>
      <c r="BF31" s="1052"/>
      <c r="BG31" s="1052"/>
      <c r="BH31" s="1052"/>
      <c r="BI31" s="1273"/>
      <c r="BJ31" s="849"/>
      <c r="BK31" s="849"/>
      <c r="BL31" s="849"/>
      <c r="BM31" s="849"/>
      <c r="BN31" s="1271"/>
      <c r="BO31" s="849"/>
      <c r="BP31" s="849"/>
      <c r="BQ31" s="849"/>
      <c r="BR31" s="849"/>
      <c r="BS31" s="1271"/>
      <c r="BT31" s="849"/>
      <c r="BU31" s="849"/>
      <c r="BV31" s="849"/>
      <c r="BW31" s="849"/>
      <c r="BX31" s="1271"/>
      <c r="BY31" s="956"/>
      <c r="BZ31" s="849"/>
      <c r="CA31" s="849"/>
      <c r="CB31" s="849"/>
      <c r="CC31" s="1271"/>
      <c r="CD31" s="849"/>
      <c r="CE31" s="849"/>
      <c r="CF31" s="849"/>
      <c r="CG31" s="849"/>
      <c r="CH31" s="1271"/>
      <c r="CI31" s="1271"/>
      <c r="CJ31" s="1271"/>
      <c r="CK31" s="1271"/>
      <c r="CL31" s="850"/>
    </row>
    <row r="32" spans="1:90" s="992" customFormat="1" x14ac:dyDescent="0.3">
      <c r="A32" s="676"/>
      <c r="B32" s="683"/>
      <c r="C32" s="1243"/>
      <c r="D32" s="1243"/>
      <c r="E32" s="1243"/>
      <c r="F32" s="1243"/>
      <c r="G32" s="574"/>
      <c r="H32" s="574"/>
      <c r="I32" s="574"/>
      <c r="J32" s="574"/>
      <c r="K32" s="1243"/>
      <c r="L32" s="574"/>
      <c r="M32" s="574"/>
      <c r="N32" s="574"/>
      <c r="O32" s="574"/>
      <c r="P32" s="1243"/>
      <c r="Q32" s="574"/>
      <c r="R32" s="574"/>
      <c r="S32" s="574"/>
      <c r="T32" s="574"/>
      <c r="U32" s="1243"/>
      <c r="V32" s="574"/>
      <c r="W32" s="574"/>
      <c r="X32" s="574"/>
      <c r="Y32" s="574"/>
      <c r="Z32" s="1243"/>
      <c r="AA32" s="574"/>
      <c r="AB32" s="574"/>
      <c r="AC32" s="574"/>
      <c r="AD32" s="574"/>
      <c r="AE32" s="1243"/>
      <c r="AF32" s="574"/>
      <c r="AG32" s="574"/>
      <c r="AH32" s="574"/>
      <c r="AI32" s="574"/>
      <c r="AJ32" s="1243"/>
      <c r="AK32" s="574"/>
      <c r="AL32" s="574"/>
      <c r="AM32" s="574"/>
      <c r="AN32" s="574"/>
      <c r="AO32" s="1243"/>
      <c r="AP32" s="574"/>
      <c r="AQ32" s="574"/>
      <c r="AR32" s="574"/>
      <c r="AS32" s="574"/>
      <c r="AT32" s="1244"/>
      <c r="AU32" s="678"/>
      <c r="AV32" s="678"/>
      <c r="AW32" s="678"/>
      <c r="AX32" s="678"/>
      <c r="AY32" s="1244"/>
      <c r="AZ32" s="678"/>
      <c r="BA32" s="678"/>
      <c r="BB32" s="678"/>
      <c r="BC32" s="678"/>
      <c r="BD32" s="1244"/>
      <c r="BE32" s="678"/>
      <c r="BF32" s="678"/>
      <c r="BG32" s="678"/>
      <c r="BH32" s="678"/>
      <c r="BI32" s="1244"/>
      <c r="BJ32" s="574"/>
      <c r="BK32" s="574"/>
      <c r="BL32" s="574"/>
      <c r="BM32" s="574"/>
      <c r="BN32" s="1243"/>
      <c r="BO32" s="574"/>
      <c r="BP32" s="574"/>
      <c r="BQ32" s="574"/>
      <c r="BR32" s="574"/>
      <c r="BS32" s="1243"/>
      <c r="BT32" s="574"/>
      <c r="BU32" s="574"/>
      <c r="BV32" s="574"/>
      <c r="BW32" s="574"/>
      <c r="BX32" s="1243"/>
      <c r="BY32" s="955"/>
      <c r="BZ32" s="574"/>
      <c r="CA32" s="574"/>
      <c r="CB32" s="574"/>
      <c r="CC32" s="1243"/>
      <c r="CD32" s="574"/>
      <c r="CE32" s="574"/>
      <c r="CF32" s="574"/>
      <c r="CG32" s="574"/>
      <c r="CH32" s="1243"/>
      <c r="CI32" s="1243"/>
      <c r="CJ32" s="1243"/>
      <c r="CK32" s="1243"/>
      <c r="CL32" s="829"/>
    </row>
    <row r="33" spans="1:90" s="992" customFormat="1" x14ac:dyDescent="0.3">
      <c r="A33" s="425" t="s">
        <v>1174</v>
      </c>
      <c r="B33" s="683"/>
      <c r="C33" s="1243"/>
      <c r="D33" s="1243"/>
      <c r="E33" s="1243"/>
      <c r="F33" s="1243"/>
      <c r="G33" s="574"/>
      <c r="H33" s="574"/>
      <c r="I33" s="574"/>
      <c r="J33" s="574"/>
      <c r="K33" s="1243"/>
      <c r="L33" s="574"/>
      <c r="M33" s="574"/>
      <c r="N33" s="574"/>
      <c r="O33" s="574"/>
      <c r="P33" s="1243"/>
      <c r="Q33" s="574"/>
      <c r="R33" s="574"/>
      <c r="S33" s="574"/>
      <c r="T33" s="574"/>
      <c r="U33" s="1243"/>
      <c r="V33" s="574"/>
      <c r="W33" s="574"/>
      <c r="X33" s="574"/>
      <c r="Y33" s="574"/>
      <c r="Z33" s="1243"/>
      <c r="AA33" s="574"/>
      <c r="AB33" s="574"/>
      <c r="AC33" s="574"/>
      <c r="AD33" s="574"/>
      <c r="AE33" s="1243"/>
      <c r="AF33" s="574"/>
      <c r="AG33" s="574"/>
      <c r="AH33" s="574"/>
      <c r="AI33" s="574"/>
      <c r="AJ33" s="1243"/>
      <c r="AK33" s="574"/>
      <c r="AL33" s="574"/>
      <c r="AM33" s="574"/>
      <c r="AN33" s="574"/>
      <c r="AO33" s="1243"/>
      <c r="AP33" s="574"/>
      <c r="AQ33" s="574"/>
      <c r="AR33" s="574"/>
      <c r="AS33" s="574"/>
      <c r="AT33" s="1270">
        <v>237.5</v>
      </c>
      <c r="AU33" s="678"/>
      <c r="AV33" s="678"/>
      <c r="AW33" s="678"/>
      <c r="AX33" s="678"/>
      <c r="AY33" s="1270">
        <v>237.5</v>
      </c>
      <c r="AZ33" s="678"/>
      <c r="BA33" s="678"/>
      <c r="BB33" s="678"/>
      <c r="BC33" s="678"/>
      <c r="BD33" s="1270">
        <v>950</v>
      </c>
      <c r="BE33" s="678"/>
      <c r="BF33" s="678"/>
      <c r="BG33" s="678"/>
      <c r="BH33" s="678"/>
      <c r="BI33" s="1270">
        <v>475</v>
      </c>
      <c r="BJ33" s="574"/>
      <c r="BK33" s="574"/>
      <c r="BL33" s="574"/>
      <c r="BM33" s="574"/>
      <c r="BN33" s="1243"/>
      <c r="BO33" s="574"/>
      <c r="BP33" s="574"/>
      <c r="BQ33" s="574"/>
      <c r="BR33" s="574"/>
      <c r="BS33" s="1243"/>
      <c r="BT33" s="574"/>
      <c r="BU33" s="574"/>
      <c r="BV33" s="574"/>
      <c r="BW33" s="574"/>
      <c r="BX33" s="1243"/>
      <c r="BY33" s="955"/>
      <c r="BZ33" s="574"/>
      <c r="CA33" s="574"/>
      <c r="CB33" s="574"/>
      <c r="CC33" s="1243"/>
      <c r="CD33" s="574"/>
      <c r="CE33" s="574"/>
      <c r="CF33" s="574"/>
      <c r="CG33" s="574"/>
      <c r="CH33" s="1243"/>
      <c r="CI33" s="1243"/>
      <c r="CJ33" s="1243"/>
      <c r="CK33" s="1243"/>
      <c r="CL33" s="829"/>
    </row>
    <row r="34" spans="1:90" s="1000" customFormat="1" x14ac:dyDescent="0.3">
      <c r="A34" s="834" t="s">
        <v>1173</v>
      </c>
      <c r="B34" s="848"/>
      <c r="C34" s="1271"/>
      <c r="D34" s="1271"/>
      <c r="E34" s="1271"/>
      <c r="F34" s="1271"/>
      <c r="G34" s="849"/>
      <c r="H34" s="849"/>
      <c r="I34" s="849"/>
      <c r="J34" s="849"/>
      <c r="K34" s="1271"/>
      <c r="L34" s="849"/>
      <c r="M34" s="849"/>
      <c r="N34" s="849"/>
      <c r="O34" s="849"/>
      <c r="P34" s="1271"/>
      <c r="Q34" s="849"/>
      <c r="R34" s="849"/>
      <c r="S34" s="849"/>
      <c r="T34" s="849"/>
      <c r="U34" s="1271"/>
      <c r="V34" s="849"/>
      <c r="W34" s="849"/>
      <c r="X34" s="849"/>
      <c r="Y34" s="849"/>
      <c r="Z34" s="1271"/>
      <c r="AA34" s="849"/>
      <c r="AB34" s="849"/>
      <c r="AC34" s="849"/>
      <c r="AD34" s="849"/>
      <c r="AE34" s="1271"/>
      <c r="AF34" s="849"/>
      <c r="AG34" s="849"/>
      <c r="AH34" s="849"/>
      <c r="AI34" s="849"/>
      <c r="AJ34" s="1271"/>
      <c r="AK34" s="849"/>
      <c r="AL34" s="849"/>
      <c r="AM34" s="849"/>
      <c r="AN34" s="849"/>
      <c r="AO34" s="1271"/>
      <c r="AP34" s="849"/>
      <c r="AQ34" s="849"/>
      <c r="AR34" s="849"/>
      <c r="AS34" s="849"/>
      <c r="AT34" s="1272">
        <v>16</v>
      </c>
      <c r="AU34" s="1052"/>
      <c r="AV34" s="1052"/>
      <c r="AW34" s="1052"/>
      <c r="AX34" s="1052"/>
      <c r="AY34" s="1272">
        <v>16</v>
      </c>
      <c r="AZ34" s="1052"/>
      <c r="BA34" s="1052"/>
      <c r="BB34" s="1052"/>
      <c r="BC34" s="1052"/>
      <c r="BD34" s="1272">
        <v>4</v>
      </c>
      <c r="BE34" s="1052"/>
      <c r="BF34" s="1052"/>
      <c r="BG34" s="1052"/>
      <c r="BH34" s="1052"/>
      <c r="BI34" s="1272">
        <v>4</v>
      </c>
      <c r="BJ34" s="849"/>
      <c r="BK34" s="849"/>
      <c r="BL34" s="849"/>
      <c r="BM34" s="849"/>
      <c r="BN34" s="1271"/>
      <c r="BO34" s="849"/>
      <c r="BP34" s="849"/>
      <c r="BQ34" s="849"/>
      <c r="BR34" s="849"/>
      <c r="BS34" s="1271"/>
      <c r="BT34" s="849"/>
      <c r="BU34" s="849"/>
      <c r="BV34" s="849"/>
      <c r="BW34" s="849"/>
      <c r="BX34" s="1271"/>
      <c r="BY34" s="956"/>
      <c r="BZ34" s="849"/>
      <c r="CA34" s="849"/>
      <c r="CB34" s="849"/>
      <c r="CC34" s="1271"/>
      <c r="CD34" s="849"/>
      <c r="CE34" s="849"/>
      <c r="CF34" s="849"/>
      <c r="CG34" s="849"/>
      <c r="CH34" s="1271"/>
      <c r="CI34" s="1271"/>
      <c r="CJ34" s="1271"/>
      <c r="CK34" s="1271"/>
      <c r="CL34" s="850"/>
    </row>
    <row r="35" spans="1:90" s="992" customFormat="1" x14ac:dyDescent="0.3">
      <c r="A35" s="705"/>
      <c r="B35" s="683"/>
      <c r="C35" s="1243"/>
      <c r="D35" s="1243"/>
      <c r="E35" s="1243"/>
      <c r="F35" s="1243"/>
      <c r="G35" s="574"/>
      <c r="H35" s="574"/>
      <c r="I35" s="574"/>
      <c r="J35" s="574"/>
      <c r="K35" s="1243"/>
      <c r="L35" s="574"/>
      <c r="M35" s="574"/>
      <c r="N35" s="574"/>
      <c r="O35" s="574"/>
      <c r="P35" s="1243"/>
      <c r="Q35" s="574"/>
      <c r="R35" s="574"/>
      <c r="S35" s="574"/>
      <c r="T35" s="574"/>
      <c r="U35" s="1243"/>
      <c r="V35" s="574"/>
      <c r="W35" s="574"/>
      <c r="X35" s="574"/>
      <c r="Y35" s="574"/>
      <c r="Z35" s="1243"/>
      <c r="AA35" s="574"/>
      <c r="AB35" s="574"/>
      <c r="AC35" s="574"/>
      <c r="AD35" s="574"/>
      <c r="AE35" s="1243"/>
      <c r="AF35" s="574"/>
      <c r="AG35" s="574"/>
      <c r="AH35" s="574"/>
      <c r="AI35" s="574"/>
      <c r="AJ35" s="1243"/>
      <c r="AK35" s="574"/>
      <c r="AL35" s="574"/>
      <c r="AM35" s="574"/>
      <c r="AN35" s="574"/>
      <c r="AO35" s="1243"/>
      <c r="AP35" s="574"/>
      <c r="AQ35" s="574"/>
      <c r="AR35" s="574"/>
      <c r="AS35" s="574"/>
      <c r="AT35" s="1244"/>
      <c r="AU35" s="678"/>
      <c r="AV35" s="678"/>
      <c r="AW35" s="678"/>
      <c r="AX35" s="678"/>
      <c r="AY35" s="1244"/>
      <c r="AZ35" s="678"/>
      <c r="BA35" s="678"/>
      <c r="BB35" s="678"/>
      <c r="BC35" s="678"/>
      <c r="BD35" s="1244"/>
      <c r="BE35" s="678"/>
      <c r="BF35" s="678"/>
      <c r="BG35" s="678"/>
      <c r="BH35" s="678"/>
      <c r="BI35" s="1244"/>
      <c r="BJ35" s="574"/>
      <c r="BK35" s="574"/>
      <c r="BL35" s="574"/>
      <c r="BM35" s="574"/>
      <c r="BN35" s="1243"/>
      <c r="BO35" s="574"/>
      <c r="BP35" s="574"/>
      <c r="BQ35" s="574"/>
      <c r="BR35" s="574"/>
      <c r="BS35" s="1243"/>
      <c r="BT35" s="574"/>
      <c r="BU35" s="574"/>
      <c r="BV35" s="574"/>
      <c r="BW35" s="574"/>
      <c r="BX35" s="1243"/>
      <c r="BY35" s="955"/>
      <c r="BZ35" s="574"/>
      <c r="CA35" s="574"/>
      <c r="CB35" s="574"/>
      <c r="CC35" s="1243"/>
      <c r="CD35" s="574"/>
      <c r="CE35" s="574"/>
      <c r="CF35" s="574"/>
      <c r="CG35" s="574"/>
      <c r="CH35" s="1243"/>
      <c r="CI35" s="1243"/>
      <c r="CJ35" s="1243"/>
      <c r="CK35" s="1243"/>
      <c r="CL35" s="829"/>
    </row>
    <row r="36" spans="1:90" s="993" customFormat="1" x14ac:dyDescent="0.3">
      <c r="A36" s="197" t="s">
        <v>1172</v>
      </c>
      <c r="B36" s="677"/>
      <c r="C36" s="1244"/>
      <c r="D36" s="1244"/>
      <c r="E36" s="1244"/>
      <c r="F36" s="1244"/>
      <c r="G36" s="678"/>
      <c r="H36" s="678"/>
      <c r="I36" s="678"/>
      <c r="J36" s="678"/>
      <c r="K36" s="1244"/>
      <c r="L36" s="678"/>
      <c r="M36" s="678"/>
      <c r="N36" s="678"/>
      <c r="O36" s="678"/>
      <c r="P36" s="1244"/>
      <c r="Q36" s="678"/>
      <c r="R36" s="678"/>
      <c r="S36" s="678"/>
      <c r="T36" s="678"/>
      <c r="U36" s="1244"/>
      <c r="V36" s="678"/>
      <c r="W36" s="678"/>
      <c r="X36" s="678"/>
      <c r="Y36" s="678"/>
      <c r="Z36" s="1244"/>
      <c r="AA36" s="678"/>
      <c r="AB36" s="678"/>
      <c r="AC36" s="678"/>
      <c r="AD36" s="678"/>
      <c r="AE36" s="1244"/>
      <c r="AF36" s="678"/>
      <c r="AG36" s="678"/>
      <c r="AH36" s="678"/>
      <c r="AI36" s="678"/>
      <c r="AJ36" s="1244"/>
      <c r="AK36" s="678"/>
      <c r="AL36" s="678"/>
      <c r="AM36" s="678"/>
      <c r="AN36" s="678"/>
      <c r="AO36" s="1244"/>
      <c r="AP36" s="678"/>
      <c r="AQ36" s="678"/>
      <c r="AR36" s="678"/>
      <c r="AS36" s="678"/>
      <c r="AT36" s="1270">
        <f>(21462.889*(10))*(4)</f>
        <v>858515.55999999994</v>
      </c>
      <c r="AU36" s="678"/>
      <c r="AV36" s="678"/>
      <c r="AW36" s="678"/>
      <c r="AX36" s="678"/>
      <c r="AY36" s="1270">
        <f>(21375.455*(10))*(4)</f>
        <v>855018.20000000007</v>
      </c>
      <c r="AZ36" s="678"/>
      <c r="BA36" s="678"/>
      <c r="BB36" s="678"/>
      <c r="BC36" s="678"/>
      <c r="BD36" s="1270">
        <f>84421.722*(10)</f>
        <v>844217.22</v>
      </c>
      <c r="BE36" s="678"/>
      <c r="BF36" s="678"/>
      <c r="BG36" s="678"/>
      <c r="BH36" s="678"/>
      <c r="BI36" s="1270">
        <f>86403.193*(10)</f>
        <v>864031.92999999993</v>
      </c>
      <c r="BJ36" s="678"/>
      <c r="BK36" s="678"/>
      <c r="BL36" s="678"/>
      <c r="BM36" s="678"/>
      <c r="BN36" s="1270">
        <f>93463.791*(10)</f>
        <v>934637.90999999992</v>
      </c>
      <c r="BO36" s="678"/>
      <c r="BP36" s="678"/>
      <c r="BQ36" s="678"/>
      <c r="BR36" s="678"/>
      <c r="BS36" s="1270">
        <v>922922.93799999997</v>
      </c>
      <c r="BT36" s="678"/>
      <c r="BU36" s="678"/>
      <c r="BV36" s="678"/>
      <c r="BW36" s="678"/>
      <c r="BX36" s="1244"/>
      <c r="BY36" s="954"/>
      <c r="BZ36" s="678"/>
      <c r="CA36" s="678"/>
      <c r="CB36" s="678"/>
      <c r="CC36" s="1244"/>
      <c r="CD36" s="678"/>
      <c r="CE36" s="678"/>
      <c r="CF36" s="678"/>
      <c r="CG36" s="678"/>
      <c r="CH36" s="1244"/>
      <c r="CI36" s="1244"/>
      <c r="CJ36" s="1244"/>
      <c r="CK36" s="1244"/>
      <c r="CL36" s="827"/>
    </row>
    <row r="37" spans="1:90" s="992" customFormat="1" x14ac:dyDescent="0.3">
      <c r="A37" s="832" t="s">
        <v>1171</v>
      </c>
      <c r="B37" s="845"/>
      <c r="C37" s="1274"/>
      <c r="D37" s="1274"/>
      <c r="E37" s="1274"/>
      <c r="F37" s="1274"/>
      <c r="G37" s="846"/>
      <c r="H37" s="846"/>
      <c r="I37" s="846"/>
      <c r="J37" s="846"/>
      <c r="K37" s="1274"/>
      <c r="L37" s="846"/>
      <c r="M37" s="846"/>
      <c r="N37" s="846"/>
      <c r="O37" s="846"/>
      <c r="P37" s="1274"/>
      <c r="Q37" s="846"/>
      <c r="R37" s="846"/>
      <c r="S37" s="846"/>
      <c r="T37" s="846"/>
      <c r="U37" s="1274"/>
      <c r="V37" s="846"/>
      <c r="W37" s="846"/>
      <c r="X37" s="846"/>
      <c r="Y37" s="846"/>
      <c r="Z37" s="1274"/>
      <c r="AA37" s="846"/>
      <c r="AB37" s="846"/>
      <c r="AC37" s="846"/>
      <c r="AD37" s="846"/>
      <c r="AE37" s="1274"/>
      <c r="AF37" s="846"/>
      <c r="AG37" s="846"/>
      <c r="AH37" s="846"/>
      <c r="AI37" s="846"/>
      <c r="AJ37" s="1274"/>
      <c r="AK37" s="846"/>
      <c r="AL37" s="846"/>
      <c r="AM37" s="846"/>
      <c r="AN37" s="846"/>
      <c r="AO37" s="1274"/>
      <c r="AP37" s="846"/>
      <c r="AQ37" s="846"/>
      <c r="AR37" s="846"/>
      <c r="AS37" s="846"/>
      <c r="AT37" s="1270">
        <f>(1825*(10))*(4)</f>
        <v>73000</v>
      </c>
      <c r="AU37" s="678"/>
      <c r="AV37" s="678"/>
      <c r="AW37" s="678"/>
      <c r="AX37" s="678"/>
      <c r="AY37" s="1270">
        <f>(1325*(10))*(4)</f>
        <v>53000</v>
      </c>
      <c r="AZ37" s="678"/>
      <c r="BA37" s="678"/>
      <c r="BB37" s="678"/>
      <c r="BC37" s="678"/>
      <c r="BD37" s="1270">
        <f>3100*(10)</f>
        <v>31000</v>
      </c>
      <c r="BE37" s="678"/>
      <c r="BF37" s="678"/>
      <c r="BG37" s="678"/>
      <c r="BH37" s="678"/>
      <c r="BI37" s="1270">
        <f>475*(10)</f>
        <v>4750</v>
      </c>
      <c r="BJ37" s="846"/>
      <c r="BK37" s="846"/>
      <c r="BL37" s="846"/>
      <c r="BM37" s="846"/>
      <c r="BN37" s="1274"/>
      <c r="BO37" s="846"/>
      <c r="BP37" s="846"/>
      <c r="BQ37" s="846"/>
      <c r="BR37" s="846"/>
      <c r="BS37" s="1274"/>
      <c r="BT37" s="846"/>
      <c r="BU37" s="846"/>
      <c r="BV37" s="846"/>
      <c r="BW37" s="846"/>
      <c r="BX37" s="1274"/>
      <c r="BY37" s="957"/>
      <c r="BZ37" s="846"/>
      <c r="CA37" s="846"/>
      <c r="CB37" s="846"/>
      <c r="CC37" s="1274"/>
      <c r="CD37" s="846"/>
      <c r="CE37" s="846"/>
      <c r="CF37" s="846"/>
      <c r="CG37" s="846"/>
      <c r="CH37" s="1274"/>
      <c r="CI37" s="1274"/>
      <c r="CJ37" s="1274"/>
      <c r="CK37" s="1274"/>
      <c r="CL37" s="829"/>
    </row>
    <row r="38" spans="1:90" s="992" customFormat="1" x14ac:dyDescent="0.3">
      <c r="A38" s="196" t="s">
        <v>1170</v>
      </c>
      <c r="B38" s="683"/>
      <c r="C38" s="1243"/>
      <c r="D38" s="1243"/>
      <c r="E38" s="1243"/>
      <c r="F38" s="1243"/>
      <c r="G38" s="574"/>
      <c r="H38" s="574"/>
      <c r="I38" s="574"/>
      <c r="J38" s="574"/>
      <c r="K38" s="1243"/>
      <c r="L38" s="574"/>
      <c r="M38" s="574"/>
      <c r="N38" s="574"/>
      <c r="O38" s="574"/>
      <c r="P38" s="1243"/>
      <c r="Q38" s="574"/>
      <c r="R38" s="574"/>
      <c r="S38" s="574"/>
      <c r="T38" s="574"/>
      <c r="U38" s="1243"/>
      <c r="V38" s="574"/>
      <c r="W38" s="574"/>
      <c r="X38" s="574"/>
      <c r="Y38" s="574"/>
      <c r="Z38" s="1243"/>
      <c r="AA38" s="574"/>
      <c r="AB38" s="574"/>
      <c r="AC38" s="574"/>
      <c r="AD38" s="574"/>
      <c r="AE38" s="1243"/>
      <c r="AF38" s="574"/>
      <c r="AG38" s="574"/>
      <c r="AH38" s="574"/>
      <c r="AI38" s="574"/>
      <c r="AJ38" s="1243"/>
      <c r="AK38" s="574"/>
      <c r="AL38" s="574"/>
      <c r="AM38" s="574"/>
      <c r="AN38" s="574"/>
      <c r="AO38" s="1243"/>
      <c r="AP38" s="574"/>
      <c r="AQ38" s="574"/>
      <c r="AR38" s="574"/>
      <c r="AS38" s="574"/>
      <c r="AT38" s="1275">
        <f>SUM(AT36:AT37)</f>
        <v>931515.55999999994</v>
      </c>
      <c r="AU38" s="853"/>
      <c r="AV38" s="853"/>
      <c r="AW38" s="853"/>
      <c r="AX38" s="853"/>
      <c r="AY38" s="1275">
        <f>SUM(AY36:AY37)</f>
        <v>908018.20000000007</v>
      </c>
      <c r="AZ38" s="853"/>
      <c r="BA38" s="853"/>
      <c r="BB38" s="853"/>
      <c r="BC38" s="853"/>
      <c r="BD38" s="1275">
        <f>SUM(BD36:BD37)</f>
        <v>875217.22</v>
      </c>
      <c r="BE38" s="853"/>
      <c r="BF38" s="853"/>
      <c r="BG38" s="853"/>
      <c r="BH38" s="853"/>
      <c r="BI38" s="1275">
        <f>SUM(BI36:BI37)</f>
        <v>868781.92999999993</v>
      </c>
      <c r="BJ38" s="574"/>
      <c r="BK38" s="574"/>
      <c r="BL38" s="574"/>
      <c r="BM38" s="574"/>
      <c r="BN38" s="1243">
        <f>SUM(BN36:BN37)</f>
        <v>934637.90999999992</v>
      </c>
      <c r="BO38" s="574"/>
      <c r="BP38" s="574"/>
      <c r="BQ38" s="574"/>
      <c r="BR38" s="574"/>
      <c r="BS38" s="1243">
        <f>SUM(BS36:BS37)</f>
        <v>922922.93799999997</v>
      </c>
      <c r="BT38" s="574"/>
      <c r="BU38" s="574"/>
      <c r="BV38" s="574"/>
      <c r="BW38" s="574"/>
      <c r="BX38" s="1243"/>
      <c r="BY38" s="955"/>
      <c r="BZ38" s="574"/>
      <c r="CA38" s="574"/>
      <c r="CB38" s="574"/>
      <c r="CC38" s="1243"/>
      <c r="CD38" s="574"/>
      <c r="CE38" s="574"/>
      <c r="CF38" s="574"/>
      <c r="CG38" s="574"/>
      <c r="CH38" s="1243"/>
      <c r="CI38" s="1243"/>
      <c r="CJ38" s="1243"/>
      <c r="CK38" s="1243"/>
      <c r="CL38" s="829"/>
    </row>
    <row r="39" spans="1:90" s="992" customFormat="1" x14ac:dyDescent="0.3">
      <c r="A39" s="682"/>
      <c r="B39" s="683"/>
      <c r="C39" s="1243"/>
      <c r="D39" s="1243"/>
      <c r="E39" s="1243"/>
      <c r="F39" s="1243"/>
      <c r="G39" s="574"/>
      <c r="H39" s="574"/>
      <c r="I39" s="574"/>
      <c r="J39" s="574"/>
      <c r="K39" s="1243"/>
      <c r="L39" s="574"/>
      <c r="M39" s="574"/>
      <c r="N39" s="574"/>
      <c r="O39" s="574"/>
      <c r="P39" s="1243"/>
      <c r="Q39" s="574"/>
      <c r="R39" s="574"/>
      <c r="S39" s="574"/>
      <c r="T39" s="574"/>
      <c r="U39" s="1243"/>
      <c r="V39" s="574"/>
      <c r="W39" s="574"/>
      <c r="X39" s="574"/>
      <c r="Y39" s="574"/>
      <c r="Z39" s="1243"/>
      <c r="AA39" s="574"/>
      <c r="AB39" s="574"/>
      <c r="AC39" s="574"/>
      <c r="AD39" s="574"/>
      <c r="AE39" s="1243"/>
      <c r="AF39" s="574"/>
      <c r="AG39" s="574"/>
      <c r="AH39" s="574"/>
      <c r="AI39" s="574"/>
      <c r="AJ39" s="1243"/>
      <c r="AK39" s="574"/>
      <c r="AL39" s="574"/>
      <c r="AM39" s="574"/>
      <c r="AN39" s="574"/>
      <c r="AO39" s="1243"/>
      <c r="AP39" s="574"/>
      <c r="AQ39" s="574"/>
      <c r="AR39" s="574"/>
      <c r="AS39" s="574"/>
      <c r="AT39" s="1243"/>
      <c r="AU39" s="574"/>
      <c r="AV39" s="574"/>
      <c r="AW39" s="574"/>
      <c r="AX39" s="574"/>
      <c r="AY39" s="1243"/>
      <c r="AZ39" s="574"/>
      <c r="BA39" s="574"/>
      <c r="BB39" s="574"/>
      <c r="BC39" s="574"/>
      <c r="BD39" s="1243"/>
      <c r="BE39" s="574"/>
      <c r="BF39" s="574"/>
      <c r="BG39" s="574"/>
      <c r="BH39" s="574"/>
      <c r="BI39" s="1243"/>
      <c r="BJ39" s="574"/>
      <c r="BK39" s="574"/>
      <c r="BL39" s="574"/>
      <c r="BM39" s="574"/>
      <c r="BN39" s="1243"/>
      <c r="BO39" s="574"/>
      <c r="BP39" s="574"/>
      <c r="BQ39" s="574"/>
      <c r="BR39" s="574"/>
      <c r="BS39" s="1243"/>
      <c r="BT39" s="574"/>
      <c r="BU39" s="574"/>
      <c r="BV39" s="574"/>
      <c r="BW39" s="574"/>
      <c r="BX39" s="1243"/>
      <c r="BY39" s="955"/>
      <c r="BZ39" s="574"/>
      <c r="CA39" s="574"/>
      <c r="CB39" s="574"/>
      <c r="CC39" s="1243"/>
      <c r="CD39" s="574"/>
      <c r="CE39" s="574"/>
      <c r="CF39" s="574"/>
      <c r="CG39" s="574"/>
      <c r="CH39" s="1243"/>
      <c r="CI39" s="1243"/>
      <c r="CJ39" s="1243"/>
      <c r="CK39" s="1243"/>
      <c r="CL39" s="829"/>
    </row>
    <row r="40" spans="1:90" s="993" customFormat="1" x14ac:dyDescent="0.3">
      <c r="A40" s="197" t="s">
        <v>1169</v>
      </c>
      <c r="B40" s="677"/>
      <c r="C40" s="1244"/>
      <c r="D40" s="1244"/>
      <c r="E40" s="1244"/>
      <c r="F40" s="1244"/>
      <c r="G40" s="678"/>
      <c r="H40" s="678"/>
      <c r="I40" s="678"/>
      <c r="J40" s="678"/>
      <c r="K40" s="1244"/>
      <c r="L40" s="678"/>
      <c r="M40" s="678"/>
      <c r="N40" s="678"/>
      <c r="O40" s="678"/>
      <c r="P40" s="1244"/>
      <c r="Q40" s="678"/>
      <c r="R40" s="678"/>
      <c r="S40" s="678"/>
      <c r="T40" s="678"/>
      <c r="U40" s="1244"/>
      <c r="V40" s="678"/>
      <c r="W40" s="678"/>
      <c r="X40" s="678"/>
      <c r="Y40" s="678"/>
      <c r="Z40" s="1244"/>
      <c r="AA40" s="678"/>
      <c r="AB40" s="678"/>
      <c r="AC40" s="678"/>
      <c r="AD40" s="678"/>
      <c r="AE40" s="1244"/>
      <c r="AF40" s="678"/>
      <c r="AG40" s="678"/>
      <c r="AH40" s="678"/>
      <c r="AI40" s="678"/>
      <c r="AJ40" s="1244"/>
      <c r="AK40" s="678"/>
      <c r="AL40" s="678"/>
      <c r="AM40" s="678"/>
      <c r="AN40" s="678"/>
      <c r="AO40" s="1244"/>
      <c r="AP40" s="678"/>
      <c r="AQ40" s="678"/>
      <c r="AR40" s="678"/>
      <c r="AS40" s="678"/>
      <c r="AT40" s="1270">
        <v>896.86300000000006</v>
      </c>
      <c r="AU40" s="678"/>
      <c r="AV40" s="678"/>
      <c r="AW40" s="678"/>
      <c r="AX40" s="678"/>
      <c r="AY40" s="1270">
        <v>915.62</v>
      </c>
      <c r="AZ40" s="678"/>
      <c r="BA40" s="678"/>
      <c r="BB40" s="678"/>
      <c r="BC40" s="678"/>
      <c r="BD40" s="1270">
        <v>896.59500000000003</v>
      </c>
      <c r="BE40" s="678"/>
      <c r="BF40" s="678"/>
      <c r="BG40" s="678"/>
      <c r="BH40" s="678"/>
      <c r="BI40" s="1270">
        <v>897.149</v>
      </c>
      <c r="BJ40" s="678"/>
      <c r="BK40" s="678"/>
      <c r="BL40" s="678"/>
      <c r="BM40" s="678"/>
      <c r="BN40" s="1270">
        <v>896.86300000000006</v>
      </c>
      <c r="BO40" s="678"/>
      <c r="BP40" s="678"/>
      <c r="BQ40" s="678"/>
      <c r="BR40" s="678"/>
      <c r="BS40" s="1270">
        <v>893.73900000000003</v>
      </c>
      <c r="BT40" s="678"/>
      <c r="BU40" s="678"/>
      <c r="BV40" s="678"/>
      <c r="BW40" s="678"/>
      <c r="BX40" s="1244"/>
      <c r="BY40" s="954"/>
      <c r="BZ40" s="678"/>
      <c r="CA40" s="678"/>
      <c r="CB40" s="678"/>
      <c r="CC40" s="1244"/>
      <c r="CD40" s="678"/>
      <c r="CE40" s="678"/>
      <c r="CF40" s="678"/>
      <c r="CG40" s="678"/>
      <c r="CH40" s="1244"/>
      <c r="CI40" s="1244"/>
      <c r="CJ40" s="1244"/>
      <c r="CK40" s="1244"/>
      <c r="CL40" s="827"/>
    </row>
    <row r="41" spans="1:90" s="993" customFormat="1" x14ac:dyDescent="0.3">
      <c r="A41" s="197" t="s">
        <v>1168</v>
      </c>
      <c r="B41" s="677"/>
      <c r="C41" s="1244"/>
      <c r="D41" s="1244"/>
      <c r="E41" s="1244"/>
      <c r="F41" s="1244"/>
      <c r="G41" s="678"/>
      <c r="H41" s="678"/>
      <c r="I41" s="678"/>
      <c r="J41" s="678"/>
      <c r="K41" s="1244"/>
      <c r="L41" s="678"/>
      <c r="M41" s="678"/>
      <c r="N41" s="678"/>
      <c r="O41" s="678"/>
      <c r="P41" s="1244"/>
      <c r="Q41" s="678"/>
      <c r="R41" s="678"/>
      <c r="S41" s="678"/>
      <c r="T41" s="678"/>
      <c r="U41" s="1244"/>
      <c r="V41" s="678"/>
      <c r="W41" s="678"/>
      <c r="X41" s="678"/>
      <c r="Y41" s="678"/>
      <c r="Z41" s="1244"/>
      <c r="AA41" s="678"/>
      <c r="AB41" s="678"/>
      <c r="AC41" s="678"/>
      <c r="AD41" s="678"/>
      <c r="AE41" s="1244"/>
      <c r="AF41" s="678"/>
      <c r="AG41" s="678"/>
      <c r="AH41" s="678"/>
      <c r="AI41" s="678"/>
      <c r="AJ41" s="1244"/>
      <c r="AK41" s="678"/>
      <c r="AL41" s="678"/>
      <c r="AM41" s="678"/>
      <c r="AN41" s="678"/>
      <c r="AO41" s="1244"/>
      <c r="AP41" s="678"/>
      <c r="AQ41" s="678"/>
      <c r="AR41" s="678"/>
      <c r="AS41" s="678"/>
      <c r="AT41" s="1270">
        <v>3307.1880000000001</v>
      </c>
      <c r="AU41" s="678"/>
      <c r="AV41" s="678"/>
      <c r="AW41" s="678"/>
      <c r="AX41" s="678"/>
      <c r="AY41" s="1270">
        <v>6595.6909999999998</v>
      </c>
      <c r="AZ41" s="678"/>
      <c r="BA41" s="678"/>
      <c r="BB41" s="678"/>
      <c r="BC41" s="678"/>
      <c r="BD41" s="1270">
        <v>8269.02</v>
      </c>
      <c r="BE41" s="678"/>
      <c r="BF41" s="678"/>
      <c r="BG41" s="678"/>
      <c r="BH41" s="678"/>
      <c r="BI41" s="1270">
        <v>10004.677</v>
      </c>
      <c r="BJ41" s="678"/>
      <c r="BK41" s="678"/>
      <c r="BL41" s="678"/>
      <c r="BM41" s="678"/>
      <c r="BN41" s="1270">
        <v>11756.027</v>
      </c>
      <c r="BO41" s="678"/>
      <c r="BP41" s="678"/>
      <c r="BQ41" s="678"/>
      <c r="BR41" s="678"/>
      <c r="BS41" s="1270">
        <v>19849.891</v>
      </c>
      <c r="BT41" s="678"/>
      <c r="BU41" s="678"/>
      <c r="BV41" s="678"/>
      <c r="BW41" s="678"/>
      <c r="BX41" s="1244"/>
      <c r="BY41" s="954"/>
      <c r="BZ41" s="678"/>
      <c r="CA41" s="678"/>
      <c r="CB41" s="678"/>
      <c r="CC41" s="1244"/>
      <c r="CD41" s="678"/>
      <c r="CE41" s="678"/>
      <c r="CF41" s="678"/>
      <c r="CG41" s="678"/>
      <c r="CH41" s="1244"/>
      <c r="CI41" s="1244"/>
      <c r="CJ41" s="1244"/>
      <c r="CK41" s="1244"/>
      <c r="CL41" s="827"/>
    </row>
    <row r="42" spans="1:90" s="993" customFormat="1" x14ac:dyDescent="0.3">
      <c r="A42" s="197" t="s">
        <v>1167</v>
      </c>
      <c r="B42" s="677"/>
      <c r="C42" s="1244"/>
      <c r="D42" s="1244"/>
      <c r="E42" s="1244"/>
      <c r="F42" s="1244"/>
      <c r="G42" s="678"/>
      <c r="H42" s="678"/>
      <c r="I42" s="678"/>
      <c r="J42" s="678"/>
      <c r="K42" s="1244"/>
      <c r="L42" s="678"/>
      <c r="M42" s="678"/>
      <c r="N42" s="678"/>
      <c r="O42" s="678"/>
      <c r="P42" s="1244"/>
      <c r="Q42" s="678"/>
      <c r="R42" s="678"/>
      <c r="S42" s="678"/>
      <c r="T42" s="678"/>
      <c r="U42" s="1244"/>
      <c r="V42" s="678"/>
      <c r="W42" s="678"/>
      <c r="X42" s="678"/>
      <c r="Y42" s="678"/>
      <c r="Z42" s="1244"/>
      <c r="AA42" s="678"/>
      <c r="AB42" s="678"/>
      <c r="AC42" s="678"/>
      <c r="AD42" s="678"/>
      <c r="AE42" s="1244"/>
      <c r="AF42" s="678"/>
      <c r="AG42" s="678"/>
      <c r="AH42" s="678"/>
      <c r="AI42" s="678"/>
      <c r="AJ42" s="1244"/>
      <c r="AK42" s="678"/>
      <c r="AL42" s="678"/>
      <c r="AM42" s="678"/>
      <c r="AN42" s="678"/>
      <c r="AO42" s="1244"/>
      <c r="AP42" s="678"/>
      <c r="AQ42" s="678"/>
      <c r="AR42" s="678"/>
      <c r="AS42" s="678"/>
      <c r="AT42" s="1270">
        <v>219.667</v>
      </c>
      <c r="AU42" s="678"/>
      <c r="AV42" s="678"/>
      <c r="AW42" s="678"/>
      <c r="AX42" s="678"/>
      <c r="AY42" s="1270">
        <v>600</v>
      </c>
      <c r="AZ42" s="678"/>
      <c r="BA42" s="678"/>
      <c r="BB42" s="678"/>
      <c r="BC42" s="678"/>
      <c r="BD42" s="1270">
        <v>600</v>
      </c>
      <c r="BE42" s="678"/>
      <c r="BF42" s="678"/>
      <c r="BG42" s="678"/>
      <c r="BH42" s="678"/>
      <c r="BI42" s="1270">
        <v>0</v>
      </c>
      <c r="BJ42" s="678"/>
      <c r="BK42" s="678"/>
      <c r="BL42" s="678"/>
      <c r="BM42" s="678"/>
      <c r="BN42" s="1270">
        <v>600</v>
      </c>
      <c r="BO42" s="678"/>
      <c r="BP42" s="678"/>
      <c r="BQ42" s="678"/>
      <c r="BR42" s="678"/>
      <c r="BS42" s="1270">
        <v>600</v>
      </c>
      <c r="BT42" s="678"/>
      <c r="BU42" s="678"/>
      <c r="BV42" s="678"/>
      <c r="BW42" s="678"/>
      <c r="BX42" s="1244"/>
      <c r="BY42" s="954"/>
      <c r="BZ42" s="678"/>
      <c r="CA42" s="678"/>
      <c r="CB42" s="678"/>
      <c r="CC42" s="1244"/>
      <c r="CD42" s="678"/>
      <c r="CE42" s="678"/>
      <c r="CF42" s="678"/>
      <c r="CG42" s="678"/>
      <c r="CH42" s="1244"/>
      <c r="CI42" s="1244"/>
      <c r="CJ42" s="1244"/>
      <c r="CK42" s="1244"/>
      <c r="CL42" s="827"/>
    </row>
    <row r="43" spans="1:90" s="993" customFormat="1" x14ac:dyDescent="0.3">
      <c r="A43" s="832" t="s">
        <v>1166</v>
      </c>
      <c r="B43" s="862"/>
      <c r="C43" s="1250"/>
      <c r="D43" s="1250"/>
      <c r="E43" s="1250"/>
      <c r="F43" s="1250"/>
      <c r="G43" s="681"/>
      <c r="H43" s="681"/>
      <c r="I43" s="681"/>
      <c r="J43" s="681"/>
      <c r="K43" s="1250"/>
      <c r="L43" s="681"/>
      <c r="M43" s="681"/>
      <c r="N43" s="681"/>
      <c r="O43" s="681"/>
      <c r="P43" s="1250"/>
      <c r="Q43" s="681"/>
      <c r="R43" s="681"/>
      <c r="S43" s="681"/>
      <c r="T43" s="681"/>
      <c r="U43" s="1250"/>
      <c r="V43" s="681"/>
      <c r="W43" s="681"/>
      <c r="X43" s="681"/>
      <c r="Y43" s="681"/>
      <c r="Z43" s="1250"/>
      <c r="AA43" s="681"/>
      <c r="AB43" s="681"/>
      <c r="AC43" s="681"/>
      <c r="AD43" s="681"/>
      <c r="AE43" s="1250"/>
      <c r="AF43" s="681"/>
      <c r="AG43" s="681"/>
      <c r="AH43" s="681"/>
      <c r="AI43" s="681"/>
      <c r="AJ43" s="1250"/>
      <c r="AK43" s="681"/>
      <c r="AL43" s="681"/>
      <c r="AM43" s="681"/>
      <c r="AN43" s="681"/>
      <c r="AO43" s="1250"/>
      <c r="AP43" s="681"/>
      <c r="AQ43" s="681"/>
      <c r="AR43" s="681"/>
      <c r="AS43" s="681"/>
      <c r="AT43" s="1276">
        <v>9.1219999999999999</v>
      </c>
      <c r="AU43" s="681"/>
      <c r="AV43" s="681"/>
      <c r="AW43" s="681"/>
      <c r="AX43" s="681"/>
      <c r="AY43" s="1276">
        <v>9.7309999999999999</v>
      </c>
      <c r="AZ43" s="681"/>
      <c r="BA43" s="681"/>
      <c r="BB43" s="681"/>
      <c r="BC43" s="681"/>
      <c r="BD43" s="1276">
        <v>10.311999999999999</v>
      </c>
      <c r="BE43" s="681"/>
      <c r="BF43" s="681"/>
      <c r="BG43" s="681"/>
      <c r="BH43" s="681"/>
      <c r="BI43" s="1270">
        <v>15.401999999999999</v>
      </c>
      <c r="BJ43" s="681"/>
      <c r="BK43" s="681"/>
      <c r="BL43" s="681"/>
      <c r="BM43" s="681"/>
      <c r="BN43" s="1276">
        <v>13.901999999999999</v>
      </c>
      <c r="BO43" s="681"/>
      <c r="BP43" s="681"/>
      <c r="BQ43" s="681"/>
      <c r="BR43" s="681"/>
      <c r="BS43" s="1276">
        <v>18.902000000000001</v>
      </c>
      <c r="BT43" s="681"/>
      <c r="BU43" s="681"/>
      <c r="BV43" s="681"/>
      <c r="BW43" s="681"/>
      <c r="BX43" s="1250"/>
      <c r="BY43" s="958"/>
      <c r="BZ43" s="681"/>
      <c r="CA43" s="681"/>
      <c r="CB43" s="681"/>
      <c r="CC43" s="1250"/>
      <c r="CD43" s="681"/>
      <c r="CE43" s="681"/>
      <c r="CF43" s="681"/>
      <c r="CG43" s="681"/>
      <c r="CH43" s="1250"/>
      <c r="CI43" s="1250"/>
      <c r="CJ43" s="1250"/>
      <c r="CK43" s="1250"/>
      <c r="CL43" s="827"/>
    </row>
    <row r="44" spans="1:90" s="992" customFormat="1" x14ac:dyDescent="0.3">
      <c r="A44" s="196" t="s">
        <v>1165</v>
      </c>
      <c r="B44" s="683"/>
      <c r="C44" s="1243"/>
      <c r="D44" s="1243"/>
      <c r="E44" s="1243"/>
      <c r="F44" s="1243"/>
      <c r="G44" s="574"/>
      <c r="H44" s="574"/>
      <c r="I44" s="574"/>
      <c r="J44" s="574"/>
      <c r="K44" s="1243"/>
      <c r="L44" s="574"/>
      <c r="M44" s="574"/>
      <c r="N44" s="574"/>
      <c r="O44" s="574"/>
      <c r="P44" s="1243"/>
      <c r="Q44" s="574"/>
      <c r="R44" s="574"/>
      <c r="S44" s="574"/>
      <c r="T44" s="574"/>
      <c r="U44" s="1243"/>
      <c r="V44" s="574"/>
      <c r="W44" s="574"/>
      <c r="X44" s="574"/>
      <c r="Y44" s="574"/>
      <c r="Z44" s="1243"/>
      <c r="AA44" s="574"/>
      <c r="AB44" s="574"/>
      <c r="AC44" s="574"/>
      <c r="AD44" s="574"/>
      <c r="AE44" s="1243"/>
      <c r="AF44" s="574"/>
      <c r="AG44" s="574"/>
      <c r="AH44" s="574"/>
      <c r="AI44" s="574"/>
      <c r="AJ44" s="1243"/>
      <c r="AK44" s="574"/>
      <c r="AL44" s="574"/>
      <c r="AM44" s="574"/>
      <c r="AN44" s="574"/>
      <c r="AO44" s="1243"/>
      <c r="AP44" s="574"/>
      <c r="AQ44" s="574"/>
      <c r="AR44" s="574"/>
      <c r="AS44" s="574"/>
      <c r="AT44" s="1243">
        <f>SUM(AT40:AT43)</f>
        <v>4432.8400000000011</v>
      </c>
      <c r="AU44" s="574"/>
      <c r="AV44" s="574"/>
      <c r="AW44" s="574"/>
      <c r="AX44" s="574"/>
      <c r="AY44" s="1243">
        <f>SUM(AY40:AY43)</f>
        <v>8121.0419999999995</v>
      </c>
      <c r="AZ44" s="574"/>
      <c r="BA44" s="574"/>
      <c r="BB44" s="574"/>
      <c r="BC44" s="574"/>
      <c r="BD44" s="1243">
        <f>SUM(BD40:BD43)</f>
        <v>9775.9269999999997</v>
      </c>
      <c r="BE44" s="574"/>
      <c r="BF44" s="574"/>
      <c r="BG44" s="574"/>
      <c r="BH44" s="574"/>
      <c r="BI44" s="1275">
        <f>SUM(BI40:BI43)</f>
        <v>10917.227999999999</v>
      </c>
      <c r="BJ44" s="574"/>
      <c r="BK44" s="574"/>
      <c r="BL44" s="574"/>
      <c r="BM44" s="574"/>
      <c r="BN44" s="1243">
        <f>SUM(BN40:BN43)</f>
        <v>13266.791999999999</v>
      </c>
      <c r="BO44" s="574"/>
      <c r="BP44" s="574"/>
      <c r="BQ44" s="574"/>
      <c r="BR44" s="574"/>
      <c r="BS44" s="1243">
        <f>SUM(BS40:BS43)</f>
        <v>21362.531999999999</v>
      </c>
      <c r="BT44" s="574"/>
      <c r="BU44" s="574"/>
      <c r="BV44" s="574"/>
      <c r="BW44" s="574"/>
      <c r="BX44" s="1243"/>
      <c r="BY44" s="955"/>
      <c r="BZ44" s="574"/>
      <c r="CA44" s="574"/>
      <c r="CB44" s="574"/>
      <c r="CC44" s="1243"/>
      <c r="CD44" s="574"/>
      <c r="CE44" s="574"/>
      <c r="CF44" s="574"/>
      <c r="CG44" s="574"/>
      <c r="CH44" s="1243"/>
      <c r="CI44" s="1243"/>
      <c r="CJ44" s="1243"/>
      <c r="CK44" s="1243"/>
      <c r="CL44" s="829"/>
    </row>
    <row r="45" spans="1:90" s="985" customFormat="1" x14ac:dyDescent="0.3">
      <c r="A45" s="201" t="s">
        <v>1164</v>
      </c>
      <c r="B45" s="203"/>
      <c r="C45" s="185"/>
      <c r="D45" s="185"/>
      <c r="E45" s="185"/>
      <c r="F45" s="185"/>
      <c r="G45" s="130"/>
      <c r="H45" s="130"/>
      <c r="I45" s="130"/>
      <c r="J45" s="130"/>
      <c r="K45" s="185"/>
      <c r="L45" s="130"/>
      <c r="M45" s="130"/>
      <c r="N45" s="130"/>
      <c r="O45" s="130"/>
      <c r="P45" s="185"/>
      <c r="Q45" s="130"/>
      <c r="R45" s="130"/>
      <c r="S45" s="130"/>
      <c r="T45" s="130"/>
      <c r="U45" s="185"/>
      <c r="V45" s="130"/>
      <c r="W45" s="130"/>
      <c r="X45" s="130"/>
      <c r="Y45" s="130"/>
      <c r="Z45" s="185"/>
      <c r="AA45" s="130"/>
      <c r="AB45" s="130"/>
      <c r="AC45" s="130"/>
      <c r="AD45" s="130"/>
      <c r="AE45" s="185"/>
      <c r="AF45" s="130"/>
      <c r="AG45" s="130"/>
      <c r="AH45" s="130"/>
      <c r="AI45" s="130"/>
      <c r="AJ45" s="185"/>
      <c r="AK45" s="130"/>
      <c r="AL45" s="130"/>
      <c r="AM45" s="130"/>
      <c r="AN45" s="130"/>
      <c r="AO45" s="185"/>
      <c r="AP45" s="130"/>
      <c r="AQ45" s="130"/>
      <c r="AR45" s="130"/>
      <c r="AS45" s="130"/>
      <c r="AT45" s="185">
        <f>SUM(AT41)/AT44</f>
        <v>0.74606527643677623</v>
      </c>
      <c r="AU45" s="130"/>
      <c r="AV45" s="130"/>
      <c r="AW45" s="130"/>
      <c r="AX45" s="130"/>
      <c r="AY45" s="185">
        <f>SUM(AY41)/AY44</f>
        <v>0.81217299454922165</v>
      </c>
      <c r="AZ45" s="130"/>
      <c r="BA45" s="130"/>
      <c r="BB45" s="130"/>
      <c r="BC45" s="130"/>
      <c r="BD45" s="185">
        <f>SUM(BD41)/BD44</f>
        <v>0.8458553342307078</v>
      </c>
      <c r="BE45" s="130"/>
      <c r="BF45" s="130"/>
      <c r="BG45" s="130"/>
      <c r="BH45" s="130"/>
      <c r="BI45" s="185">
        <f>SUM(BI41)/BI44</f>
        <v>0.91641184007515464</v>
      </c>
      <c r="BJ45" s="130"/>
      <c r="BK45" s="130"/>
      <c r="BL45" s="130"/>
      <c r="BM45" s="130"/>
      <c r="BN45" s="185">
        <f>SUM(BN41)/BN44</f>
        <v>0.88612431701650263</v>
      </c>
      <c r="BO45" s="130"/>
      <c r="BP45" s="130"/>
      <c r="BQ45" s="130"/>
      <c r="BR45" s="130"/>
      <c r="BS45" s="185">
        <f>SUM(BS41)/BS44</f>
        <v>0.92919186733108228</v>
      </c>
      <c r="BT45" s="130"/>
      <c r="BU45" s="130"/>
      <c r="BV45" s="130"/>
      <c r="BW45" s="130"/>
      <c r="BX45" s="185"/>
      <c r="BY45" s="953"/>
      <c r="BZ45" s="130"/>
      <c r="CA45" s="130"/>
      <c r="CB45" s="130"/>
      <c r="CC45" s="185"/>
      <c r="CD45" s="130"/>
      <c r="CE45" s="130"/>
      <c r="CF45" s="130"/>
      <c r="CG45" s="130"/>
      <c r="CH45" s="185"/>
      <c r="CI45" s="185"/>
      <c r="CJ45" s="185"/>
      <c r="CK45" s="185"/>
      <c r="CL45" s="859"/>
    </row>
    <row r="46" spans="1:90" s="992" customFormat="1" x14ac:dyDescent="0.3">
      <c r="A46" s="682"/>
      <c r="B46" s="683"/>
      <c r="C46" s="1243"/>
      <c r="D46" s="1243"/>
      <c r="E46" s="1243"/>
      <c r="F46" s="1243"/>
      <c r="G46" s="574"/>
      <c r="H46" s="574"/>
      <c r="I46" s="574"/>
      <c r="J46" s="574"/>
      <c r="K46" s="1243"/>
      <c r="L46" s="574"/>
      <c r="M46" s="574"/>
      <c r="N46" s="574"/>
      <c r="O46" s="574"/>
      <c r="P46" s="1243"/>
      <c r="Q46" s="574"/>
      <c r="R46" s="574"/>
      <c r="S46" s="574"/>
      <c r="T46" s="574"/>
      <c r="U46" s="1243"/>
      <c r="V46" s="574"/>
      <c r="W46" s="574"/>
      <c r="X46" s="574"/>
      <c r="Y46" s="574"/>
      <c r="Z46" s="1243"/>
      <c r="AA46" s="574"/>
      <c r="AB46" s="574"/>
      <c r="AC46" s="574"/>
      <c r="AD46" s="574"/>
      <c r="AE46" s="1243"/>
      <c r="AF46" s="574"/>
      <c r="AG46" s="574"/>
      <c r="AH46" s="574"/>
      <c r="AI46" s="574"/>
      <c r="AJ46" s="1243"/>
      <c r="AK46" s="574"/>
      <c r="AL46" s="574"/>
      <c r="AM46" s="574"/>
      <c r="AN46" s="574"/>
      <c r="AO46" s="1243"/>
      <c r="AP46" s="574"/>
      <c r="AQ46" s="574"/>
      <c r="AR46" s="574"/>
      <c r="AS46" s="574"/>
      <c r="AT46" s="1243"/>
      <c r="AU46" s="574"/>
      <c r="AV46" s="574"/>
      <c r="AW46" s="574"/>
      <c r="AX46" s="574"/>
      <c r="AY46" s="1243"/>
      <c r="AZ46" s="574"/>
      <c r="BA46" s="574"/>
      <c r="BB46" s="574"/>
      <c r="BC46" s="574"/>
      <c r="BD46" s="1243"/>
      <c r="BE46" s="574"/>
      <c r="BF46" s="574"/>
      <c r="BG46" s="574"/>
      <c r="BH46" s="574"/>
      <c r="BI46" s="1243"/>
      <c r="BJ46" s="574"/>
      <c r="BK46" s="574"/>
      <c r="BL46" s="574"/>
      <c r="BM46" s="574"/>
      <c r="BN46" s="1243"/>
      <c r="BO46" s="574"/>
      <c r="BP46" s="574"/>
      <c r="BQ46" s="574"/>
      <c r="BR46" s="574"/>
      <c r="BS46" s="1243"/>
      <c r="BT46" s="574"/>
      <c r="BU46" s="574"/>
      <c r="BV46" s="574"/>
      <c r="BW46" s="574"/>
      <c r="BX46" s="1243"/>
      <c r="BY46" s="955"/>
      <c r="BZ46" s="574"/>
      <c r="CA46" s="574"/>
      <c r="CB46" s="574"/>
      <c r="CC46" s="1243"/>
      <c r="CD46" s="574"/>
      <c r="CE46" s="574"/>
      <c r="CF46" s="574"/>
      <c r="CG46" s="574"/>
      <c r="CH46" s="1243"/>
      <c r="CI46" s="1243"/>
      <c r="CJ46" s="1243"/>
      <c r="CK46" s="1243"/>
      <c r="CL46" s="829"/>
    </row>
    <row r="47" spans="1:90" s="993" customFormat="1" x14ac:dyDescent="0.3">
      <c r="A47" s="197" t="s">
        <v>1163</v>
      </c>
      <c r="B47" s="677"/>
      <c r="C47" s="1244"/>
      <c r="D47" s="1244"/>
      <c r="E47" s="1244"/>
      <c r="F47" s="1244"/>
      <c r="G47" s="678"/>
      <c r="H47" s="678"/>
      <c r="I47" s="678"/>
      <c r="J47" s="678"/>
      <c r="K47" s="1244"/>
      <c r="L47" s="678"/>
      <c r="M47" s="678"/>
      <c r="N47" s="678"/>
      <c r="O47" s="678"/>
      <c r="P47" s="1244"/>
      <c r="Q47" s="678"/>
      <c r="R47" s="678"/>
      <c r="S47" s="678"/>
      <c r="T47" s="678"/>
      <c r="U47" s="1244"/>
      <c r="V47" s="678"/>
      <c r="W47" s="678"/>
      <c r="X47" s="678"/>
      <c r="Y47" s="678"/>
      <c r="Z47" s="1244"/>
      <c r="AA47" s="678"/>
      <c r="AB47" s="678"/>
      <c r="AC47" s="678"/>
      <c r="AD47" s="678"/>
      <c r="AE47" s="1244"/>
      <c r="AF47" s="678"/>
      <c r="AG47" s="678"/>
      <c r="AH47" s="678"/>
      <c r="AI47" s="678"/>
      <c r="AJ47" s="1244"/>
      <c r="AK47" s="678"/>
      <c r="AL47" s="678"/>
      <c r="AM47" s="678"/>
      <c r="AN47" s="678"/>
      <c r="AO47" s="1244"/>
      <c r="AP47" s="678"/>
      <c r="AQ47" s="678"/>
      <c r="AR47" s="678"/>
      <c r="AS47" s="678"/>
      <c r="AT47" s="1270">
        <v>81.792000000000002</v>
      </c>
      <c r="AU47" s="678"/>
      <c r="AV47" s="678"/>
      <c r="AW47" s="678"/>
      <c r="AX47" s="678"/>
      <c r="AY47" s="1270">
        <v>98.873000000000005</v>
      </c>
      <c r="AZ47" s="678"/>
      <c r="BA47" s="678"/>
      <c r="BB47" s="678"/>
      <c r="BC47" s="678"/>
      <c r="BD47" s="1270">
        <v>447.471</v>
      </c>
      <c r="BE47" s="678"/>
      <c r="BF47" s="678"/>
      <c r="BG47" s="678"/>
      <c r="BH47" s="678"/>
      <c r="BI47" s="1270">
        <v>478.29700000000003</v>
      </c>
      <c r="BJ47" s="678"/>
      <c r="BK47" s="678"/>
      <c r="BL47" s="678"/>
      <c r="BM47" s="678"/>
      <c r="BN47" s="1270">
        <v>515.42100000000005</v>
      </c>
      <c r="BO47" s="678"/>
      <c r="BP47" s="678"/>
      <c r="BQ47" s="678"/>
      <c r="BR47" s="678"/>
      <c r="BS47" s="1270">
        <v>4872.4849999999997</v>
      </c>
      <c r="BT47" s="678"/>
      <c r="BU47" s="678"/>
      <c r="BV47" s="678"/>
      <c r="BW47" s="678"/>
      <c r="BX47" s="1244"/>
      <c r="BY47" s="954"/>
      <c r="BZ47" s="678"/>
      <c r="CA47" s="678"/>
      <c r="CB47" s="678"/>
      <c r="CC47" s="1244"/>
      <c r="CD47" s="678"/>
      <c r="CE47" s="678"/>
      <c r="CF47" s="678"/>
      <c r="CG47" s="678"/>
      <c r="CH47" s="1244"/>
      <c r="CI47" s="1244"/>
      <c r="CJ47" s="1244"/>
      <c r="CK47" s="1244"/>
      <c r="CL47" s="827"/>
    </row>
    <row r="48" spans="1:90" s="992" customFormat="1" x14ac:dyDescent="0.3">
      <c r="A48" s="832" t="s">
        <v>1162</v>
      </c>
      <c r="B48" s="845"/>
      <c r="C48" s="1274"/>
      <c r="D48" s="1274"/>
      <c r="E48" s="1274"/>
      <c r="F48" s="1274"/>
      <c r="G48" s="846"/>
      <c r="H48" s="846"/>
      <c r="I48" s="846"/>
      <c r="J48" s="846"/>
      <c r="K48" s="1274"/>
      <c r="L48" s="846"/>
      <c r="M48" s="846"/>
      <c r="N48" s="846"/>
      <c r="O48" s="846"/>
      <c r="P48" s="1274"/>
      <c r="Q48" s="846"/>
      <c r="R48" s="846"/>
      <c r="S48" s="846"/>
      <c r="T48" s="846"/>
      <c r="U48" s="1274"/>
      <c r="V48" s="846"/>
      <c r="W48" s="846"/>
      <c r="X48" s="846"/>
      <c r="Y48" s="846"/>
      <c r="Z48" s="1274"/>
      <c r="AA48" s="846"/>
      <c r="AB48" s="846"/>
      <c r="AC48" s="846"/>
      <c r="AD48" s="846"/>
      <c r="AE48" s="1274"/>
      <c r="AF48" s="846"/>
      <c r="AG48" s="846"/>
      <c r="AH48" s="846"/>
      <c r="AI48" s="846"/>
      <c r="AJ48" s="1274"/>
      <c r="AK48" s="846"/>
      <c r="AL48" s="846"/>
      <c r="AM48" s="846"/>
      <c r="AN48" s="846"/>
      <c r="AO48" s="1274"/>
      <c r="AP48" s="846"/>
      <c r="AQ48" s="846"/>
      <c r="AR48" s="846"/>
      <c r="AS48" s="846"/>
      <c r="AT48" s="1244"/>
      <c r="AU48" s="678"/>
      <c r="AV48" s="678"/>
      <c r="AW48" s="678"/>
      <c r="AX48" s="678"/>
      <c r="AY48" s="1244"/>
      <c r="AZ48" s="678"/>
      <c r="BA48" s="678"/>
      <c r="BB48" s="678"/>
      <c r="BC48" s="678"/>
      <c r="BD48" s="1244"/>
      <c r="BE48" s="678"/>
      <c r="BF48" s="678"/>
      <c r="BG48" s="678"/>
      <c r="BH48" s="678"/>
      <c r="BI48" s="1244"/>
      <c r="BJ48" s="846"/>
      <c r="BK48" s="846"/>
      <c r="BL48" s="846"/>
      <c r="BM48" s="846"/>
      <c r="BN48" s="1274"/>
      <c r="BO48" s="846"/>
      <c r="BP48" s="846"/>
      <c r="BQ48" s="846"/>
      <c r="BR48" s="846"/>
      <c r="BS48" s="1274"/>
      <c r="BT48" s="846"/>
      <c r="BU48" s="846"/>
      <c r="BV48" s="846"/>
      <c r="BW48" s="846"/>
      <c r="BX48" s="1274"/>
      <c r="BY48" s="957"/>
      <c r="BZ48" s="846"/>
      <c r="CA48" s="846"/>
      <c r="CB48" s="846"/>
      <c r="CC48" s="1274"/>
      <c r="CD48" s="846"/>
      <c r="CE48" s="846"/>
      <c r="CF48" s="846"/>
      <c r="CG48" s="846"/>
      <c r="CH48" s="1274"/>
      <c r="CI48" s="1274"/>
      <c r="CJ48" s="1274"/>
      <c r="CK48" s="1274"/>
      <c r="CL48" s="829"/>
    </row>
    <row r="49" spans="1:90" s="992" customFormat="1" x14ac:dyDescent="0.3">
      <c r="A49" s="196" t="s">
        <v>1161</v>
      </c>
      <c r="B49" s="683"/>
      <c r="C49" s="1243"/>
      <c r="D49" s="1243"/>
      <c r="E49" s="1243"/>
      <c r="F49" s="1243"/>
      <c r="G49" s="574"/>
      <c r="H49" s="574"/>
      <c r="I49" s="574"/>
      <c r="J49" s="574"/>
      <c r="K49" s="1243"/>
      <c r="L49" s="574"/>
      <c r="M49" s="574"/>
      <c r="N49" s="574"/>
      <c r="O49" s="574"/>
      <c r="P49" s="1243"/>
      <c r="Q49" s="574"/>
      <c r="R49" s="574"/>
      <c r="S49" s="574"/>
      <c r="T49" s="574"/>
      <c r="U49" s="1243"/>
      <c r="V49" s="574"/>
      <c r="W49" s="574"/>
      <c r="X49" s="574"/>
      <c r="Y49" s="574"/>
      <c r="Z49" s="1243"/>
      <c r="AA49" s="574"/>
      <c r="AB49" s="574"/>
      <c r="AC49" s="574"/>
      <c r="AD49" s="574"/>
      <c r="AE49" s="1243"/>
      <c r="AF49" s="574"/>
      <c r="AG49" s="574"/>
      <c r="AH49" s="574"/>
      <c r="AI49" s="574"/>
      <c r="AJ49" s="1243"/>
      <c r="AK49" s="574"/>
      <c r="AL49" s="574"/>
      <c r="AM49" s="574"/>
      <c r="AN49" s="574"/>
      <c r="AO49" s="1243"/>
      <c r="AP49" s="574"/>
      <c r="AQ49" s="574"/>
      <c r="AR49" s="574"/>
      <c r="AS49" s="574"/>
      <c r="AT49" s="1275">
        <f>SUM(AT47:AT47)</f>
        <v>81.792000000000002</v>
      </c>
      <c r="AU49" s="853"/>
      <c r="AV49" s="853"/>
      <c r="AW49" s="853"/>
      <c r="AX49" s="853"/>
      <c r="AY49" s="1275">
        <f>SUM(AY47:AY47)</f>
        <v>98.873000000000005</v>
      </c>
      <c r="AZ49" s="853"/>
      <c r="BA49" s="853"/>
      <c r="BB49" s="853"/>
      <c r="BC49" s="853"/>
      <c r="BD49" s="1275">
        <f>SUM(BD47:BD47)</f>
        <v>447.471</v>
      </c>
      <c r="BE49" s="853"/>
      <c r="BF49" s="853"/>
      <c r="BG49" s="853"/>
      <c r="BH49" s="853"/>
      <c r="BI49" s="1275">
        <f>SUM(BI47:BI47)</f>
        <v>478.29700000000003</v>
      </c>
      <c r="BJ49" s="574"/>
      <c r="BK49" s="574"/>
      <c r="BL49" s="574"/>
      <c r="BM49" s="574"/>
      <c r="BN49" s="1243">
        <f>SUM(BN47:BN48)</f>
        <v>515.42100000000005</v>
      </c>
      <c r="BO49" s="574"/>
      <c r="BP49" s="574"/>
      <c r="BQ49" s="574"/>
      <c r="BR49" s="574"/>
      <c r="BS49" s="1243">
        <f>SUM(BS47:BS48)</f>
        <v>4872.4849999999997</v>
      </c>
      <c r="BT49" s="574"/>
      <c r="BU49" s="574"/>
      <c r="BV49" s="574"/>
      <c r="BW49" s="574"/>
      <c r="BX49" s="1243"/>
      <c r="BY49" s="955"/>
      <c r="BZ49" s="574"/>
      <c r="CA49" s="574"/>
      <c r="CB49" s="574"/>
      <c r="CC49" s="1243"/>
      <c r="CD49" s="574"/>
      <c r="CE49" s="574"/>
      <c r="CF49" s="574"/>
      <c r="CG49" s="574"/>
      <c r="CH49" s="1243"/>
      <c r="CI49" s="1243"/>
      <c r="CJ49" s="1243"/>
      <c r="CK49" s="1243"/>
      <c r="CL49" s="829"/>
    </row>
    <row r="50" spans="1:90" s="992" customFormat="1" x14ac:dyDescent="0.3">
      <c r="A50" s="682"/>
      <c r="B50" s="683"/>
      <c r="C50" s="1243"/>
      <c r="D50" s="1243"/>
      <c r="E50" s="1243"/>
      <c r="F50" s="1243"/>
      <c r="G50" s="574"/>
      <c r="H50" s="574"/>
      <c r="I50" s="574"/>
      <c r="J50" s="574"/>
      <c r="K50" s="1243"/>
      <c r="L50" s="574"/>
      <c r="M50" s="574"/>
      <c r="N50" s="574"/>
      <c r="O50" s="574"/>
      <c r="P50" s="1243"/>
      <c r="Q50" s="574"/>
      <c r="R50" s="574"/>
      <c r="S50" s="574"/>
      <c r="T50" s="574"/>
      <c r="U50" s="1243"/>
      <c r="V50" s="574"/>
      <c r="W50" s="574"/>
      <c r="X50" s="574"/>
      <c r="Y50" s="574"/>
      <c r="Z50" s="1243"/>
      <c r="AA50" s="574"/>
      <c r="AB50" s="574"/>
      <c r="AC50" s="574"/>
      <c r="AD50" s="574"/>
      <c r="AE50" s="1243"/>
      <c r="AF50" s="574"/>
      <c r="AG50" s="574"/>
      <c r="AH50" s="574"/>
      <c r="AI50" s="574"/>
      <c r="AJ50" s="1243"/>
      <c r="AK50" s="574"/>
      <c r="AL50" s="574"/>
      <c r="AM50" s="574"/>
      <c r="AN50" s="574"/>
      <c r="AO50" s="1243"/>
      <c r="AP50" s="574"/>
      <c r="AQ50" s="574"/>
      <c r="AR50" s="574"/>
      <c r="AS50" s="574"/>
      <c r="AT50" s="1243"/>
      <c r="AU50" s="574"/>
      <c r="AV50" s="574"/>
      <c r="AW50" s="574"/>
      <c r="AX50" s="574"/>
      <c r="AY50" s="1243"/>
      <c r="AZ50" s="574"/>
      <c r="BA50" s="574"/>
      <c r="BB50" s="574"/>
      <c r="BC50" s="574"/>
      <c r="BD50" s="1243"/>
      <c r="BE50" s="574"/>
      <c r="BF50" s="574"/>
      <c r="BG50" s="574"/>
      <c r="BH50" s="574"/>
      <c r="BI50" s="1243"/>
      <c r="BJ50" s="574"/>
      <c r="BK50" s="574"/>
      <c r="BL50" s="574"/>
      <c r="BM50" s="574"/>
      <c r="BN50" s="1243"/>
      <c r="BO50" s="574"/>
      <c r="BP50" s="574"/>
      <c r="BQ50" s="574"/>
      <c r="BR50" s="574"/>
      <c r="BS50" s="1243"/>
      <c r="BT50" s="574"/>
      <c r="BU50" s="574"/>
      <c r="BV50" s="574"/>
      <c r="BW50" s="574"/>
      <c r="BX50" s="1243"/>
      <c r="BY50" s="955"/>
      <c r="BZ50" s="574"/>
      <c r="CA50" s="574"/>
      <c r="CB50" s="574"/>
      <c r="CC50" s="1243"/>
      <c r="CD50" s="574"/>
      <c r="CE50" s="574"/>
      <c r="CF50" s="574"/>
      <c r="CG50" s="574"/>
      <c r="CH50" s="1243"/>
      <c r="CI50" s="1243"/>
      <c r="CJ50" s="1243"/>
      <c r="CK50" s="1243"/>
      <c r="CL50" s="829"/>
    </row>
    <row r="51" spans="1:90" s="992" customFormat="1" x14ac:dyDescent="0.3">
      <c r="A51" s="886" t="s">
        <v>1160</v>
      </c>
      <c r="B51" s="886"/>
      <c r="C51" s="886"/>
      <c r="D51" s="886"/>
      <c r="E51" s="886"/>
      <c r="F51" s="886"/>
      <c r="G51" s="886"/>
      <c r="H51" s="886"/>
      <c r="I51" s="886"/>
      <c r="J51" s="886"/>
      <c r="K51" s="886"/>
      <c r="L51" s="886"/>
      <c r="M51" s="886"/>
      <c r="N51" s="886"/>
      <c r="O51" s="886"/>
      <c r="P51" s="886"/>
      <c r="Q51" s="886"/>
      <c r="R51" s="886"/>
      <c r="S51" s="886"/>
      <c r="T51" s="886"/>
      <c r="U51" s="886"/>
      <c r="V51" s="886"/>
      <c r="W51" s="886"/>
      <c r="X51" s="886"/>
      <c r="Y51" s="886"/>
      <c r="Z51" s="886"/>
      <c r="AA51" s="886"/>
      <c r="AB51" s="886"/>
      <c r="AC51" s="886"/>
      <c r="AD51" s="886"/>
      <c r="AE51" s="886"/>
      <c r="AF51" s="886"/>
      <c r="AG51" s="886"/>
      <c r="AH51" s="886"/>
      <c r="AI51" s="886"/>
      <c r="AJ51" s="886"/>
      <c r="AK51" s="886"/>
      <c r="AL51" s="886"/>
      <c r="AM51" s="886"/>
      <c r="AN51" s="886"/>
      <c r="AO51" s="886"/>
      <c r="AP51" s="886"/>
      <c r="AQ51" s="886"/>
      <c r="AR51" s="886"/>
      <c r="AS51" s="886"/>
      <c r="AT51" s="886"/>
      <c r="AU51" s="886"/>
      <c r="AV51" s="886"/>
      <c r="AW51" s="886"/>
      <c r="AX51" s="886"/>
      <c r="AY51" s="886"/>
      <c r="AZ51" s="886"/>
      <c r="BA51" s="886"/>
      <c r="BB51" s="886"/>
      <c r="BC51" s="886"/>
      <c r="BD51" s="886"/>
      <c r="BE51" s="886"/>
      <c r="BF51" s="886"/>
      <c r="BG51" s="886"/>
      <c r="BH51" s="886"/>
      <c r="BI51" s="886"/>
      <c r="BJ51" s="886"/>
      <c r="BK51" s="886"/>
      <c r="BL51" s="886"/>
      <c r="BM51" s="886"/>
      <c r="BN51" s="886"/>
      <c r="BO51" s="886"/>
      <c r="BP51" s="886"/>
      <c r="BQ51" s="886"/>
      <c r="BR51" s="886"/>
      <c r="BS51" s="886"/>
      <c r="BT51" s="886"/>
      <c r="BU51" s="886"/>
      <c r="BV51" s="886"/>
      <c r="BW51" s="886"/>
      <c r="BX51" s="886"/>
      <c r="BY51" s="887"/>
      <c r="BZ51" s="886"/>
      <c r="CA51" s="886"/>
      <c r="CB51" s="886"/>
      <c r="CC51" s="886"/>
      <c r="CD51" s="886"/>
      <c r="CE51" s="886"/>
      <c r="CF51" s="886"/>
      <c r="CG51" s="886"/>
      <c r="CH51" s="886"/>
      <c r="CI51" s="886"/>
      <c r="CJ51" s="886"/>
      <c r="CK51" s="886"/>
      <c r="CL51" s="829"/>
    </row>
    <row r="52" spans="1:90" s="993" customFormat="1" x14ac:dyDescent="0.3">
      <c r="A52" s="705" t="s">
        <v>1159</v>
      </c>
      <c r="B52" s="677"/>
      <c r="C52" s="1244"/>
      <c r="D52" s="1244"/>
      <c r="E52" s="1244"/>
      <c r="F52" s="1244"/>
      <c r="G52" s="678"/>
      <c r="H52" s="678"/>
      <c r="I52" s="678"/>
      <c r="J52" s="678"/>
      <c r="K52" s="1244"/>
      <c r="L52" s="678"/>
      <c r="M52" s="678"/>
      <c r="N52" s="678"/>
      <c r="O52" s="678"/>
      <c r="P52" s="1244"/>
      <c r="Q52" s="678"/>
      <c r="R52" s="678"/>
      <c r="S52" s="678"/>
      <c r="T52" s="678"/>
      <c r="U52" s="1244"/>
      <c r="V52" s="678"/>
      <c r="W52" s="678"/>
      <c r="X52" s="678"/>
      <c r="Y52" s="678"/>
      <c r="Z52" s="1244"/>
      <c r="AA52" s="678"/>
      <c r="AB52" s="678"/>
      <c r="AC52" s="678"/>
      <c r="AD52" s="678"/>
      <c r="AE52" s="1244"/>
      <c r="AF52" s="678"/>
      <c r="AG52" s="678"/>
      <c r="AH52" s="678"/>
      <c r="AI52" s="678"/>
      <c r="AJ52" s="1244"/>
      <c r="AK52" s="678"/>
      <c r="AL52" s="678"/>
      <c r="AM52" s="678"/>
      <c r="AN52" s="678"/>
      <c r="AO52" s="1244"/>
      <c r="AP52" s="678"/>
      <c r="AQ52" s="678"/>
      <c r="AR52" s="678"/>
      <c r="AS52" s="678"/>
      <c r="AT52" s="1270">
        <v>11</v>
      </c>
      <c r="AU52" s="678"/>
      <c r="AV52" s="678"/>
      <c r="AW52" s="678"/>
      <c r="AX52" s="678"/>
      <c r="AY52" s="1270">
        <v>13</v>
      </c>
      <c r="AZ52" s="678"/>
      <c r="BA52" s="678"/>
      <c r="BB52" s="678"/>
      <c r="BC52" s="678"/>
      <c r="BD52" s="1270">
        <v>13</v>
      </c>
      <c r="BE52" s="678"/>
      <c r="BF52" s="678"/>
      <c r="BG52" s="678"/>
      <c r="BH52" s="678"/>
      <c r="BI52" s="1270">
        <v>13</v>
      </c>
      <c r="BJ52" s="678"/>
      <c r="BK52" s="678"/>
      <c r="BL52" s="678"/>
      <c r="BM52" s="678"/>
      <c r="BN52" s="1270">
        <v>14</v>
      </c>
      <c r="BO52" s="678"/>
      <c r="BP52" s="678"/>
      <c r="BQ52" s="678"/>
      <c r="BR52" s="678"/>
      <c r="BS52" s="1270">
        <v>13</v>
      </c>
      <c r="BT52" s="678"/>
      <c r="BU52" s="678"/>
      <c r="BV52" s="678"/>
      <c r="BW52" s="678"/>
      <c r="BX52" s="1244"/>
      <c r="BY52" s="954"/>
      <c r="BZ52" s="678"/>
      <c r="CA52" s="678"/>
      <c r="CB52" s="678"/>
      <c r="CC52" s="1244"/>
      <c r="CD52" s="678"/>
      <c r="CE52" s="678"/>
      <c r="CF52" s="678"/>
      <c r="CG52" s="678"/>
      <c r="CH52" s="1244"/>
      <c r="CI52" s="1244"/>
      <c r="CJ52" s="1244"/>
      <c r="CK52" s="1244"/>
      <c r="CL52" s="827"/>
    </row>
    <row r="53" spans="1:90" s="993" customFormat="1" x14ac:dyDescent="0.3">
      <c r="A53" s="705" t="s">
        <v>1158</v>
      </c>
      <c r="B53" s="677"/>
      <c r="C53" s="1244"/>
      <c r="D53" s="1244"/>
      <c r="E53" s="1244"/>
      <c r="F53" s="1244"/>
      <c r="G53" s="678"/>
      <c r="H53" s="678"/>
      <c r="I53" s="678"/>
      <c r="J53" s="678"/>
      <c r="K53" s="1244"/>
      <c r="L53" s="678"/>
      <c r="M53" s="678"/>
      <c r="N53" s="678"/>
      <c r="O53" s="678"/>
      <c r="P53" s="1244"/>
      <c r="Q53" s="678"/>
      <c r="R53" s="678"/>
      <c r="S53" s="678"/>
      <c r="T53" s="678"/>
      <c r="U53" s="1244"/>
      <c r="V53" s="678"/>
      <c r="W53" s="678"/>
      <c r="X53" s="678"/>
      <c r="Y53" s="678"/>
      <c r="Z53" s="1244"/>
      <c r="AA53" s="678"/>
      <c r="AB53" s="678"/>
      <c r="AC53" s="678"/>
      <c r="AD53" s="678"/>
      <c r="AE53" s="1244"/>
      <c r="AF53" s="678"/>
      <c r="AG53" s="678"/>
      <c r="AH53" s="678"/>
      <c r="AI53" s="678"/>
      <c r="AJ53" s="1244"/>
      <c r="AK53" s="678"/>
      <c r="AL53" s="678"/>
      <c r="AM53" s="678"/>
      <c r="AN53" s="678"/>
      <c r="AO53" s="1244"/>
      <c r="AP53" s="678"/>
      <c r="AQ53" s="678"/>
      <c r="AR53" s="678"/>
      <c r="AS53" s="678"/>
      <c r="AT53" s="1270">
        <v>10</v>
      </c>
      <c r="AU53" s="678"/>
      <c r="AV53" s="678"/>
      <c r="AW53" s="678"/>
      <c r="AX53" s="678"/>
      <c r="AY53" s="1270">
        <v>12</v>
      </c>
      <c r="AZ53" s="678"/>
      <c r="BA53" s="678"/>
      <c r="BB53" s="678"/>
      <c r="BC53" s="678"/>
      <c r="BD53" s="1270">
        <v>12</v>
      </c>
      <c r="BE53" s="678"/>
      <c r="BF53" s="678"/>
      <c r="BG53" s="678"/>
      <c r="BH53" s="678"/>
      <c r="BI53" s="1270">
        <v>12</v>
      </c>
      <c r="BJ53" s="678"/>
      <c r="BK53" s="678"/>
      <c r="BL53" s="678"/>
      <c r="BM53" s="678"/>
      <c r="BN53" s="1270">
        <v>13</v>
      </c>
      <c r="BO53" s="678"/>
      <c r="BP53" s="678"/>
      <c r="BQ53" s="678"/>
      <c r="BR53" s="678"/>
      <c r="BS53" s="1270">
        <v>12</v>
      </c>
      <c r="BT53" s="678"/>
      <c r="BU53" s="678"/>
      <c r="BV53" s="678"/>
      <c r="BW53" s="678"/>
      <c r="BX53" s="1244"/>
      <c r="BY53" s="954"/>
      <c r="BZ53" s="678"/>
      <c r="CA53" s="678"/>
      <c r="CB53" s="678"/>
      <c r="CC53" s="1244"/>
      <c r="CD53" s="678"/>
      <c r="CE53" s="678"/>
      <c r="CF53" s="678"/>
      <c r="CG53" s="678"/>
      <c r="CH53" s="1244"/>
      <c r="CI53" s="1244"/>
      <c r="CJ53" s="1244"/>
      <c r="CK53" s="1244"/>
      <c r="CL53" s="827"/>
    </row>
    <row r="54" spans="1:90" s="993" customFormat="1" x14ac:dyDescent="0.3">
      <c r="A54" s="705" t="s">
        <v>1157</v>
      </c>
      <c r="B54" s="677"/>
      <c r="C54" s="1244"/>
      <c r="D54" s="1244"/>
      <c r="E54" s="1244"/>
      <c r="F54" s="1244"/>
      <c r="G54" s="678"/>
      <c r="H54" s="678"/>
      <c r="I54" s="678"/>
      <c r="J54" s="678"/>
      <c r="K54" s="1244"/>
      <c r="L54" s="678"/>
      <c r="M54" s="678"/>
      <c r="N54" s="678"/>
      <c r="O54" s="678"/>
      <c r="P54" s="1244"/>
      <c r="Q54" s="678"/>
      <c r="R54" s="678"/>
      <c r="S54" s="678"/>
      <c r="T54" s="678"/>
      <c r="U54" s="1244"/>
      <c r="V54" s="678"/>
      <c r="W54" s="678"/>
      <c r="X54" s="678"/>
      <c r="Y54" s="678"/>
      <c r="Z54" s="1244"/>
      <c r="AA54" s="678"/>
      <c r="AB54" s="678"/>
      <c r="AC54" s="678"/>
      <c r="AD54" s="678"/>
      <c r="AE54" s="1244"/>
      <c r="AF54" s="678"/>
      <c r="AG54" s="678"/>
      <c r="AH54" s="678"/>
      <c r="AI54" s="678"/>
      <c r="AJ54" s="1244"/>
      <c r="AK54" s="678"/>
      <c r="AL54" s="678"/>
      <c r="AM54" s="678"/>
      <c r="AN54" s="678"/>
      <c r="AO54" s="1244"/>
      <c r="AP54" s="678"/>
      <c r="AQ54" s="678"/>
      <c r="AR54" s="678"/>
      <c r="AS54" s="678"/>
      <c r="AT54" s="1244"/>
      <c r="AU54" s="678"/>
      <c r="AV54" s="678"/>
      <c r="AW54" s="678"/>
      <c r="AX54" s="678"/>
      <c r="AY54" s="1270">
        <v>3</v>
      </c>
      <c r="AZ54" s="678"/>
      <c r="BA54" s="678"/>
      <c r="BB54" s="678"/>
      <c r="BC54" s="678"/>
      <c r="BD54" s="1270">
        <v>3</v>
      </c>
      <c r="BE54" s="678"/>
      <c r="BF54" s="678"/>
      <c r="BG54" s="678"/>
      <c r="BH54" s="678"/>
      <c r="BI54" s="1270">
        <v>3</v>
      </c>
      <c r="BJ54" s="678"/>
      <c r="BK54" s="678"/>
      <c r="BL54" s="678"/>
      <c r="BM54" s="678"/>
      <c r="BN54" s="1270">
        <v>4</v>
      </c>
      <c r="BO54" s="678"/>
      <c r="BP54" s="678"/>
      <c r="BQ54" s="678"/>
      <c r="BR54" s="678"/>
      <c r="BS54" s="1270">
        <v>5</v>
      </c>
      <c r="BT54" s="678"/>
      <c r="BU54" s="678"/>
      <c r="BV54" s="678"/>
      <c r="BW54" s="678"/>
      <c r="BX54" s="1244"/>
      <c r="BY54" s="954"/>
      <c r="BZ54" s="678"/>
      <c r="CA54" s="678"/>
      <c r="CB54" s="678"/>
      <c r="CC54" s="1244"/>
      <c r="CD54" s="678"/>
      <c r="CE54" s="678"/>
      <c r="CF54" s="678"/>
      <c r="CG54" s="678"/>
      <c r="CH54" s="1244"/>
      <c r="CI54" s="1244"/>
      <c r="CJ54" s="1244"/>
      <c r="CK54" s="1244"/>
      <c r="CL54" s="827"/>
    </row>
    <row r="55" spans="1:90" s="993" customFormat="1" x14ac:dyDescent="0.3">
      <c r="A55" s="705" t="s">
        <v>1156</v>
      </c>
      <c r="B55" s="677"/>
      <c r="C55" s="1244"/>
      <c r="D55" s="1244"/>
      <c r="E55" s="1244"/>
      <c r="F55" s="1244"/>
      <c r="G55" s="678"/>
      <c r="H55" s="678"/>
      <c r="I55" s="678"/>
      <c r="J55" s="678"/>
      <c r="K55" s="1244"/>
      <c r="L55" s="678"/>
      <c r="M55" s="678"/>
      <c r="N55" s="678"/>
      <c r="O55" s="678"/>
      <c r="P55" s="1244"/>
      <c r="Q55" s="678"/>
      <c r="R55" s="678"/>
      <c r="S55" s="678"/>
      <c r="T55" s="678"/>
      <c r="U55" s="1244"/>
      <c r="V55" s="678"/>
      <c r="W55" s="678"/>
      <c r="X55" s="678"/>
      <c r="Y55" s="678"/>
      <c r="Z55" s="1244"/>
      <c r="AA55" s="678"/>
      <c r="AB55" s="678"/>
      <c r="AC55" s="678"/>
      <c r="AD55" s="678"/>
      <c r="AE55" s="1244"/>
      <c r="AF55" s="678"/>
      <c r="AG55" s="678"/>
      <c r="AH55" s="678"/>
      <c r="AI55" s="678"/>
      <c r="AJ55" s="1244"/>
      <c r="AK55" s="678"/>
      <c r="AL55" s="678"/>
      <c r="AM55" s="678"/>
      <c r="AN55" s="678"/>
      <c r="AO55" s="1244"/>
      <c r="AP55" s="678"/>
      <c r="AQ55" s="678"/>
      <c r="AR55" s="678"/>
      <c r="AS55" s="678"/>
      <c r="AT55" s="1244"/>
      <c r="AU55" s="678"/>
      <c r="AV55" s="678"/>
      <c r="AW55" s="678"/>
      <c r="AX55" s="678"/>
      <c r="AY55" s="1270">
        <v>3</v>
      </c>
      <c r="AZ55" s="678"/>
      <c r="BA55" s="678"/>
      <c r="BB55" s="678"/>
      <c r="BC55" s="678"/>
      <c r="BD55" s="1270">
        <v>3</v>
      </c>
      <c r="BE55" s="678"/>
      <c r="BF55" s="678"/>
      <c r="BG55" s="678"/>
      <c r="BH55" s="678"/>
      <c r="BI55" s="1270">
        <v>3</v>
      </c>
      <c r="BJ55" s="678"/>
      <c r="BK55" s="678"/>
      <c r="BL55" s="678"/>
      <c r="BM55" s="678"/>
      <c r="BN55" s="1270">
        <v>3</v>
      </c>
      <c r="BO55" s="678"/>
      <c r="BP55" s="678"/>
      <c r="BQ55" s="678"/>
      <c r="BR55" s="678"/>
      <c r="BS55" s="1270">
        <v>4</v>
      </c>
      <c r="BT55" s="678"/>
      <c r="BU55" s="678"/>
      <c r="BV55" s="678"/>
      <c r="BW55" s="678"/>
      <c r="BX55" s="1244"/>
      <c r="BY55" s="954"/>
      <c r="BZ55" s="678"/>
      <c r="CA55" s="678"/>
      <c r="CB55" s="678"/>
      <c r="CC55" s="1244"/>
      <c r="CD55" s="678"/>
      <c r="CE55" s="678"/>
      <c r="CF55" s="678"/>
      <c r="CG55" s="678"/>
      <c r="CH55" s="1244"/>
      <c r="CI55" s="1244"/>
      <c r="CJ55" s="1244"/>
      <c r="CK55" s="1244"/>
      <c r="CL55" s="827"/>
    </row>
    <row r="56" spans="1:90" s="993" customFormat="1" x14ac:dyDescent="0.3">
      <c r="A56" s="705"/>
      <c r="B56" s="677"/>
      <c r="C56" s="1244"/>
      <c r="D56" s="1244"/>
      <c r="E56" s="1244"/>
      <c r="F56" s="1244"/>
      <c r="G56" s="678"/>
      <c r="H56" s="678"/>
      <c r="I56" s="678"/>
      <c r="J56" s="678"/>
      <c r="K56" s="1244"/>
      <c r="L56" s="678"/>
      <c r="M56" s="678"/>
      <c r="N56" s="678"/>
      <c r="O56" s="678"/>
      <c r="P56" s="1244"/>
      <c r="Q56" s="678"/>
      <c r="R56" s="678"/>
      <c r="S56" s="678"/>
      <c r="T56" s="678"/>
      <c r="U56" s="1244"/>
      <c r="V56" s="678"/>
      <c r="W56" s="678"/>
      <c r="X56" s="678"/>
      <c r="Y56" s="678"/>
      <c r="Z56" s="1244"/>
      <c r="AA56" s="678"/>
      <c r="AB56" s="678"/>
      <c r="AC56" s="678"/>
      <c r="AD56" s="678"/>
      <c r="AE56" s="1244"/>
      <c r="AF56" s="678"/>
      <c r="AG56" s="678"/>
      <c r="AH56" s="678"/>
      <c r="AI56" s="678"/>
      <c r="AJ56" s="1244"/>
      <c r="AK56" s="678"/>
      <c r="AL56" s="678"/>
      <c r="AM56" s="678"/>
      <c r="AN56" s="678"/>
      <c r="AO56" s="1244"/>
      <c r="AP56" s="678"/>
      <c r="AQ56" s="678"/>
      <c r="AR56" s="678"/>
      <c r="AS56" s="678"/>
      <c r="AT56" s="1244"/>
      <c r="AU56" s="678"/>
      <c r="AV56" s="678"/>
      <c r="AW56" s="678"/>
      <c r="AX56" s="678"/>
      <c r="AY56" s="1244"/>
      <c r="AZ56" s="678"/>
      <c r="BA56" s="678"/>
      <c r="BB56" s="678"/>
      <c r="BC56" s="678"/>
      <c r="BD56" s="1244"/>
      <c r="BE56" s="678"/>
      <c r="BF56" s="678"/>
      <c r="BG56" s="678"/>
      <c r="BH56" s="678"/>
      <c r="BI56" s="1244"/>
      <c r="BJ56" s="678"/>
      <c r="BK56" s="678"/>
      <c r="BL56" s="678"/>
      <c r="BM56" s="678"/>
      <c r="BN56" s="1244"/>
      <c r="BO56" s="678"/>
      <c r="BP56" s="678"/>
      <c r="BQ56" s="678"/>
      <c r="BR56" s="678"/>
      <c r="BS56" s="1244"/>
      <c r="BT56" s="678"/>
      <c r="BU56" s="678"/>
      <c r="BV56" s="678"/>
      <c r="BW56" s="678"/>
      <c r="BX56" s="1244"/>
      <c r="BY56" s="954"/>
      <c r="BZ56" s="678"/>
      <c r="CA56" s="678"/>
      <c r="CB56" s="678"/>
      <c r="CC56" s="1244"/>
      <c r="CD56" s="678"/>
      <c r="CE56" s="678"/>
      <c r="CF56" s="678"/>
      <c r="CG56" s="678"/>
      <c r="CH56" s="1244"/>
      <c r="CI56" s="1244"/>
      <c r="CJ56" s="1244"/>
      <c r="CK56" s="1244"/>
      <c r="CL56" s="827"/>
    </row>
    <row r="57" spans="1:90" s="993" customFormat="1" x14ac:dyDescent="0.3">
      <c r="A57" s="705" t="s">
        <v>1155</v>
      </c>
      <c r="B57" s="677"/>
      <c r="C57" s="1244"/>
      <c r="D57" s="1244"/>
      <c r="E57" s="1244"/>
      <c r="F57" s="1244"/>
      <c r="G57" s="678"/>
      <c r="H57" s="678"/>
      <c r="I57" s="678"/>
      <c r="J57" s="678"/>
      <c r="K57" s="1244"/>
      <c r="L57" s="678"/>
      <c r="M57" s="678"/>
      <c r="N57" s="678"/>
      <c r="O57" s="678"/>
      <c r="P57" s="1244"/>
      <c r="Q57" s="678"/>
      <c r="R57" s="678"/>
      <c r="S57" s="678"/>
      <c r="T57" s="678"/>
      <c r="U57" s="1244"/>
      <c r="V57" s="678"/>
      <c r="W57" s="678"/>
      <c r="X57" s="678"/>
      <c r="Y57" s="678"/>
      <c r="Z57" s="1244"/>
      <c r="AA57" s="678"/>
      <c r="AB57" s="678"/>
      <c r="AC57" s="678"/>
      <c r="AD57" s="678"/>
      <c r="AE57" s="1244"/>
      <c r="AF57" s="678"/>
      <c r="AG57" s="678"/>
      <c r="AH57" s="678"/>
      <c r="AI57" s="678"/>
      <c r="AJ57" s="1244"/>
      <c r="AK57" s="678"/>
      <c r="AL57" s="678"/>
      <c r="AM57" s="678"/>
      <c r="AN57" s="678"/>
      <c r="AO57" s="1244"/>
      <c r="AP57" s="678"/>
      <c r="AQ57" s="678"/>
      <c r="AR57" s="678"/>
      <c r="AS57" s="678"/>
      <c r="AT57" s="1270">
        <v>11</v>
      </c>
      <c r="AU57" s="678"/>
      <c r="AV57" s="678"/>
      <c r="AW57" s="678"/>
      <c r="AX57" s="678"/>
      <c r="AY57" s="1270">
        <v>13</v>
      </c>
      <c r="AZ57" s="678"/>
      <c r="BA57" s="678"/>
      <c r="BB57" s="678"/>
      <c r="BC57" s="678"/>
      <c r="BD57" s="1270">
        <v>13</v>
      </c>
      <c r="BE57" s="678"/>
      <c r="BF57" s="678"/>
      <c r="BG57" s="678"/>
      <c r="BH57" s="678"/>
      <c r="BI57" s="1270">
        <v>13</v>
      </c>
      <c r="BJ57" s="678"/>
      <c r="BK57" s="678"/>
      <c r="BL57" s="678"/>
      <c r="BM57" s="678"/>
      <c r="BN57" s="1270">
        <v>12</v>
      </c>
      <c r="BO57" s="678"/>
      <c r="BP57" s="678"/>
      <c r="BQ57" s="678"/>
      <c r="BR57" s="678"/>
      <c r="BS57" s="1270">
        <v>13</v>
      </c>
      <c r="BT57" s="678"/>
      <c r="BU57" s="678"/>
      <c r="BV57" s="678"/>
      <c r="BW57" s="678"/>
      <c r="BX57" s="1244"/>
      <c r="BY57" s="954"/>
      <c r="BZ57" s="678"/>
      <c r="CA57" s="678"/>
      <c r="CB57" s="678"/>
      <c r="CC57" s="1244"/>
      <c r="CD57" s="678"/>
      <c r="CE57" s="678"/>
      <c r="CF57" s="678"/>
      <c r="CG57" s="678"/>
      <c r="CH57" s="1244"/>
      <c r="CI57" s="1244"/>
      <c r="CJ57" s="1244"/>
      <c r="CK57" s="1244"/>
      <c r="CL57" s="827"/>
    </row>
    <row r="58" spans="1:90" s="993" customFormat="1" x14ac:dyDescent="0.3">
      <c r="A58" s="705" t="s">
        <v>1154</v>
      </c>
      <c r="B58" s="677"/>
      <c r="C58" s="1244"/>
      <c r="D58" s="1244"/>
      <c r="E58" s="1244"/>
      <c r="F58" s="1244"/>
      <c r="G58" s="678"/>
      <c r="H58" s="678"/>
      <c r="I58" s="678"/>
      <c r="J58" s="678"/>
      <c r="K58" s="1244"/>
      <c r="L58" s="678"/>
      <c r="M58" s="678"/>
      <c r="N58" s="678"/>
      <c r="O58" s="678"/>
      <c r="P58" s="1244"/>
      <c r="Q58" s="678"/>
      <c r="R58" s="678"/>
      <c r="S58" s="678"/>
      <c r="T58" s="678"/>
      <c r="U58" s="1244"/>
      <c r="V58" s="678"/>
      <c r="W58" s="678"/>
      <c r="X58" s="678"/>
      <c r="Y58" s="678"/>
      <c r="Z58" s="1244"/>
      <c r="AA58" s="678"/>
      <c r="AB58" s="678"/>
      <c r="AC58" s="678"/>
      <c r="AD58" s="678"/>
      <c r="AE58" s="1244"/>
      <c r="AF58" s="678"/>
      <c r="AG58" s="678"/>
      <c r="AH58" s="678"/>
      <c r="AI58" s="678"/>
      <c r="AJ58" s="1244"/>
      <c r="AK58" s="678"/>
      <c r="AL58" s="678"/>
      <c r="AM58" s="678"/>
      <c r="AN58" s="678"/>
      <c r="AO58" s="1244"/>
      <c r="AP58" s="678"/>
      <c r="AQ58" s="678"/>
      <c r="AR58" s="678"/>
      <c r="AS58" s="678"/>
      <c r="AT58" s="1270">
        <v>10</v>
      </c>
      <c r="AU58" s="678"/>
      <c r="AV58" s="678"/>
      <c r="AW58" s="678"/>
      <c r="AX58" s="678"/>
      <c r="AY58" s="1270">
        <v>12</v>
      </c>
      <c r="AZ58" s="678"/>
      <c r="BA58" s="678"/>
      <c r="BB58" s="678"/>
      <c r="BC58" s="678"/>
      <c r="BD58" s="1270">
        <v>12</v>
      </c>
      <c r="BE58" s="678"/>
      <c r="BF58" s="678"/>
      <c r="BG58" s="678"/>
      <c r="BH58" s="678"/>
      <c r="BI58" s="1270">
        <v>12</v>
      </c>
      <c r="BJ58" s="678"/>
      <c r="BK58" s="678"/>
      <c r="BL58" s="678"/>
      <c r="BM58" s="678"/>
      <c r="BN58" s="1270">
        <v>11</v>
      </c>
      <c r="BO58" s="678"/>
      <c r="BP58" s="678"/>
      <c r="BQ58" s="678"/>
      <c r="BR58" s="678"/>
      <c r="BS58" s="1270">
        <v>12</v>
      </c>
      <c r="BT58" s="678"/>
      <c r="BU58" s="678"/>
      <c r="BV58" s="678"/>
      <c r="BW58" s="678"/>
      <c r="BX58" s="1244"/>
      <c r="BY58" s="954"/>
      <c r="BZ58" s="678"/>
      <c r="CA58" s="678"/>
      <c r="CB58" s="678"/>
      <c r="CC58" s="1244"/>
      <c r="CD58" s="678"/>
      <c r="CE58" s="678"/>
      <c r="CF58" s="678"/>
      <c r="CG58" s="678"/>
      <c r="CH58" s="1244"/>
      <c r="CI58" s="1244"/>
      <c r="CJ58" s="1244"/>
      <c r="CK58" s="1244"/>
      <c r="CL58" s="827"/>
    </row>
    <row r="59" spans="1:90" s="992" customFormat="1" x14ac:dyDescent="0.3">
      <c r="A59" s="682"/>
      <c r="B59" s="683"/>
      <c r="C59" s="1243"/>
      <c r="D59" s="1243"/>
      <c r="E59" s="1243"/>
      <c r="F59" s="1243"/>
      <c r="G59" s="574"/>
      <c r="H59" s="574"/>
      <c r="I59" s="574"/>
      <c r="J59" s="574"/>
      <c r="K59" s="1243"/>
      <c r="L59" s="574"/>
      <c r="M59" s="574"/>
      <c r="N59" s="574"/>
      <c r="O59" s="574"/>
      <c r="P59" s="1243"/>
      <c r="Q59" s="574"/>
      <c r="R59" s="574"/>
      <c r="S59" s="574"/>
      <c r="T59" s="574"/>
      <c r="U59" s="1243"/>
      <c r="V59" s="574"/>
      <c r="W59" s="574"/>
      <c r="X59" s="574"/>
      <c r="Y59" s="574"/>
      <c r="Z59" s="1243"/>
      <c r="AA59" s="574"/>
      <c r="AB59" s="574"/>
      <c r="AC59" s="574"/>
      <c r="AD59" s="574"/>
      <c r="AE59" s="1243"/>
      <c r="AF59" s="574"/>
      <c r="AG59" s="574"/>
      <c r="AH59" s="574"/>
      <c r="AI59" s="574"/>
      <c r="AJ59" s="1243"/>
      <c r="AK59" s="574"/>
      <c r="AL59" s="574"/>
      <c r="AM59" s="574"/>
      <c r="AN59" s="574"/>
      <c r="AO59" s="1243"/>
      <c r="AP59" s="574"/>
      <c r="AQ59" s="574"/>
      <c r="AR59" s="574"/>
      <c r="AS59" s="574"/>
      <c r="AT59" s="1243"/>
      <c r="AU59" s="574"/>
      <c r="AV59" s="574"/>
      <c r="AW59" s="574"/>
      <c r="AX59" s="574"/>
      <c r="AY59" s="1243"/>
      <c r="AZ59" s="574"/>
      <c r="BA59" s="574"/>
      <c r="BB59" s="574"/>
      <c r="BC59" s="574"/>
      <c r="BD59" s="1243"/>
      <c r="BE59" s="574"/>
      <c r="BF59" s="574"/>
      <c r="BG59" s="574"/>
      <c r="BH59" s="574"/>
      <c r="BI59" s="1243"/>
      <c r="BJ59" s="574"/>
      <c r="BK59" s="574"/>
      <c r="BL59" s="574"/>
      <c r="BM59" s="574"/>
      <c r="BN59" s="1243"/>
      <c r="BO59" s="574"/>
      <c r="BP59" s="574"/>
      <c r="BQ59" s="574"/>
      <c r="BR59" s="574"/>
      <c r="BS59" s="1243"/>
      <c r="BT59" s="574"/>
      <c r="BU59" s="574"/>
      <c r="BV59" s="574"/>
      <c r="BW59" s="574"/>
      <c r="BX59" s="1243"/>
      <c r="BY59" s="955"/>
      <c r="BZ59" s="574"/>
      <c r="CA59" s="574"/>
      <c r="CB59" s="574"/>
      <c r="CC59" s="1243"/>
      <c r="CD59" s="574"/>
      <c r="CE59" s="574"/>
      <c r="CF59" s="574"/>
      <c r="CG59" s="574"/>
      <c r="CH59" s="1243"/>
      <c r="CI59" s="1243"/>
      <c r="CJ59" s="1243"/>
      <c r="CK59" s="1243"/>
      <c r="CL59" s="829"/>
    </row>
    <row r="60" spans="1:90" s="992" customFormat="1" x14ac:dyDescent="0.3">
      <c r="A60" s="886" t="s">
        <v>1153</v>
      </c>
      <c r="B60" s="886"/>
      <c r="C60" s="886"/>
      <c r="D60" s="886"/>
      <c r="E60" s="886"/>
      <c r="F60" s="886"/>
      <c r="G60" s="886"/>
      <c r="H60" s="886"/>
      <c r="I60" s="886"/>
      <c r="J60" s="886"/>
      <c r="K60" s="886"/>
      <c r="L60" s="886"/>
      <c r="M60" s="886"/>
      <c r="N60" s="886"/>
      <c r="O60" s="886"/>
      <c r="P60" s="886"/>
      <c r="Q60" s="886"/>
      <c r="R60" s="886"/>
      <c r="S60" s="886"/>
      <c r="T60" s="886"/>
      <c r="U60" s="886"/>
      <c r="V60" s="886"/>
      <c r="W60" s="886"/>
      <c r="X60" s="886"/>
      <c r="Y60" s="886"/>
      <c r="Z60" s="886"/>
      <c r="AA60" s="886"/>
      <c r="AB60" s="886"/>
      <c r="AC60" s="886"/>
      <c r="AD60" s="886"/>
      <c r="AE60" s="886"/>
      <c r="AF60" s="886"/>
      <c r="AG60" s="886"/>
      <c r="AH60" s="886"/>
      <c r="AI60" s="886"/>
      <c r="AJ60" s="886"/>
      <c r="AK60" s="886"/>
      <c r="AL60" s="886"/>
      <c r="AM60" s="886"/>
      <c r="AN60" s="886"/>
      <c r="AO60" s="886"/>
      <c r="AP60" s="886"/>
      <c r="AQ60" s="886"/>
      <c r="AR60" s="886"/>
      <c r="AS60" s="886"/>
      <c r="AT60" s="886"/>
      <c r="AU60" s="886"/>
      <c r="AV60" s="886"/>
      <c r="AW60" s="886"/>
      <c r="AX60" s="886"/>
      <c r="AY60" s="886"/>
      <c r="AZ60" s="886"/>
      <c r="BA60" s="886"/>
      <c r="BB60" s="886"/>
      <c r="BC60" s="886"/>
      <c r="BD60" s="886"/>
      <c r="BE60" s="886"/>
      <c r="BF60" s="886"/>
      <c r="BG60" s="886"/>
      <c r="BH60" s="886"/>
      <c r="BI60" s="886"/>
      <c r="BJ60" s="886"/>
      <c r="BK60" s="886"/>
      <c r="BL60" s="886"/>
      <c r="BM60" s="886"/>
      <c r="BN60" s="886"/>
      <c r="BO60" s="886"/>
      <c r="BP60" s="886"/>
      <c r="BQ60" s="886"/>
      <c r="BR60" s="886"/>
      <c r="BS60" s="886"/>
      <c r="BT60" s="886"/>
      <c r="BU60" s="886"/>
      <c r="BV60" s="886"/>
      <c r="BW60" s="886"/>
      <c r="BX60" s="886"/>
      <c r="BY60" s="887"/>
      <c r="BZ60" s="886"/>
      <c r="CA60" s="886"/>
      <c r="CB60" s="886"/>
      <c r="CC60" s="886"/>
      <c r="CD60" s="886"/>
      <c r="CE60" s="886"/>
      <c r="CF60" s="886"/>
      <c r="CG60" s="886"/>
      <c r="CH60" s="886"/>
      <c r="CI60" s="886"/>
      <c r="CJ60" s="886"/>
      <c r="CK60" s="886"/>
      <c r="CL60" s="829"/>
    </row>
    <row r="61" spans="1:90" s="993" customFormat="1" hidden="1" outlineLevel="1" x14ac:dyDescent="0.3">
      <c r="A61" s="394" t="s">
        <v>1152</v>
      </c>
      <c r="B61" s="677"/>
      <c r="C61" s="1244"/>
      <c r="D61" s="1244"/>
      <c r="E61" s="1244"/>
      <c r="F61" s="1244"/>
      <c r="G61" s="678"/>
      <c r="H61" s="678"/>
      <c r="I61" s="678"/>
      <c r="J61" s="678"/>
      <c r="K61" s="1244"/>
      <c r="L61" s="678"/>
      <c r="M61" s="678"/>
      <c r="N61" s="678"/>
      <c r="O61" s="678"/>
      <c r="P61" s="1244"/>
      <c r="Q61" s="678"/>
      <c r="R61" s="678"/>
      <c r="S61" s="678"/>
      <c r="T61" s="678"/>
      <c r="U61" s="1244"/>
      <c r="V61" s="678"/>
      <c r="W61" s="678"/>
      <c r="X61" s="678"/>
      <c r="Y61" s="678"/>
      <c r="Z61" s="1244"/>
      <c r="AA61" s="678"/>
      <c r="AB61" s="678"/>
      <c r="AC61" s="678"/>
      <c r="AD61" s="678"/>
      <c r="AE61" s="1244"/>
      <c r="AF61" s="678"/>
      <c r="AG61" s="678"/>
      <c r="AH61" s="678"/>
      <c r="AI61" s="678"/>
      <c r="AJ61" s="1244"/>
      <c r="AK61" s="678"/>
      <c r="AL61" s="678"/>
      <c r="AM61" s="678"/>
      <c r="AN61" s="678"/>
      <c r="AO61" s="1244"/>
      <c r="AP61" s="678"/>
      <c r="AQ61" s="678"/>
      <c r="AR61" s="678"/>
      <c r="AS61" s="678"/>
      <c r="AT61" s="1270">
        <v>75</v>
      </c>
      <c r="AU61" s="678"/>
      <c r="AV61" s="678"/>
      <c r="AW61" s="678"/>
      <c r="AX61" s="678"/>
      <c r="AY61" s="1270">
        <v>75</v>
      </c>
      <c r="AZ61" s="678"/>
      <c r="BA61" s="678"/>
      <c r="BB61" s="678"/>
      <c r="BC61" s="678"/>
      <c r="BD61" s="1270">
        <v>82.5</v>
      </c>
      <c r="BE61" s="678"/>
      <c r="BF61" s="678"/>
      <c r="BG61" s="678"/>
      <c r="BH61" s="678"/>
      <c r="BI61" s="1270">
        <v>85</v>
      </c>
      <c r="BJ61" s="678"/>
      <c r="BK61" s="678"/>
      <c r="BL61" s="678"/>
      <c r="BM61" s="678"/>
      <c r="BN61" s="1270">
        <v>85</v>
      </c>
      <c r="BO61" s="678"/>
      <c r="BP61" s="678"/>
      <c r="BQ61" s="678"/>
      <c r="BR61" s="678"/>
      <c r="BS61" s="1270">
        <v>85</v>
      </c>
      <c r="BT61" s="678"/>
      <c r="BU61" s="678"/>
      <c r="BV61" s="678"/>
      <c r="BW61" s="678"/>
      <c r="BX61" s="1244"/>
      <c r="BY61" s="954"/>
      <c r="BZ61" s="678"/>
      <c r="CA61" s="678"/>
      <c r="CB61" s="678"/>
      <c r="CC61" s="1244"/>
      <c r="CD61" s="678"/>
      <c r="CE61" s="678"/>
      <c r="CF61" s="678"/>
      <c r="CG61" s="678"/>
      <c r="CH61" s="1244"/>
      <c r="CI61" s="1244"/>
      <c r="CJ61" s="1244"/>
      <c r="CK61" s="1244"/>
      <c r="CL61" s="827"/>
    </row>
    <row r="62" spans="1:90" s="993" customFormat="1" hidden="1" outlineLevel="1" x14ac:dyDescent="0.3">
      <c r="A62" s="394" t="s">
        <v>1151</v>
      </c>
      <c r="B62" s="677"/>
      <c r="C62" s="1244"/>
      <c r="D62" s="1244"/>
      <c r="E62" s="1244"/>
      <c r="F62" s="1244"/>
      <c r="G62" s="678"/>
      <c r="H62" s="678"/>
      <c r="I62" s="678"/>
      <c r="J62" s="678"/>
      <c r="K62" s="1244"/>
      <c r="L62" s="678"/>
      <c r="M62" s="678"/>
      <c r="N62" s="678"/>
      <c r="O62" s="678"/>
      <c r="P62" s="1244"/>
      <c r="Q62" s="678"/>
      <c r="R62" s="678"/>
      <c r="S62" s="678"/>
      <c r="T62" s="678"/>
      <c r="U62" s="1244"/>
      <c r="V62" s="678"/>
      <c r="W62" s="678"/>
      <c r="X62" s="678"/>
      <c r="Y62" s="678"/>
      <c r="Z62" s="1244"/>
      <c r="AA62" s="678"/>
      <c r="AB62" s="678"/>
      <c r="AC62" s="678"/>
      <c r="AD62" s="678"/>
      <c r="AE62" s="1244"/>
      <c r="AF62" s="678"/>
      <c r="AG62" s="678"/>
      <c r="AH62" s="678"/>
      <c r="AI62" s="678"/>
      <c r="AJ62" s="1244"/>
      <c r="AK62" s="678"/>
      <c r="AL62" s="678"/>
      <c r="AM62" s="678"/>
      <c r="AN62" s="678"/>
      <c r="AO62" s="1244"/>
      <c r="AP62" s="678"/>
      <c r="AQ62" s="678"/>
      <c r="AR62" s="678"/>
      <c r="AS62" s="678"/>
      <c r="AT62" s="1270">
        <v>75</v>
      </c>
      <c r="AU62" s="678"/>
      <c r="AV62" s="678"/>
      <c r="AW62" s="678"/>
      <c r="AX62" s="678"/>
      <c r="AY62" s="1270">
        <v>75</v>
      </c>
      <c r="AZ62" s="678"/>
      <c r="BA62" s="678"/>
      <c r="BB62" s="678"/>
      <c r="BC62" s="678"/>
      <c r="BD62" s="1270">
        <v>82.5</v>
      </c>
      <c r="BE62" s="678"/>
      <c r="BF62" s="678"/>
      <c r="BG62" s="678"/>
      <c r="BH62" s="678"/>
      <c r="BI62" s="1270">
        <v>85</v>
      </c>
      <c r="BJ62" s="678"/>
      <c r="BK62" s="678"/>
      <c r="BL62" s="678"/>
      <c r="BM62" s="678"/>
      <c r="BN62" s="1270">
        <v>85</v>
      </c>
      <c r="BO62" s="678"/>
      <c r="BP62" s="678"/>
      <c r="BQ62" s="678"/>
      <c r="BR62" s="678"/>
      <c r="BS62" s="1270">
        <v>85</v>
      </c>
      <c r="BT62" s="678"/>
      <c r="BU62" s="678"/>
      <c r="BV62" s="678"/>
      <c r="BW62" s="678"/>
      <c r="BX62" s="1244"/>
      <c r="BY62" s="954"/>
      <c r="BZ62" s="678"/>
      <c r="CA62" s="678"/>
      <c r="CB62" s="678"/>
      <c r="CC62" s="1244"/>
      <c r="CD62" s="678"/>
      <c r="CE62" s="678"/>
      <c r="CF62" s="678"/>
      <c r="CG62" s="678"/>
      <c r="CH62" s="1244"/>
      <c r="CI62" s="1244"/>
      <c r="CJ62" s="1244"/>
      <c r="CK62" s="1244"/>
      <c r="CL62" s="827"/>
    </row>
    <row r="63" spans="1:90" s="993" customFormat="1" hidden="1" outlineLevel="1" x14ac:dyDescent="0.3">
      <c r="A63" s="394" t="s">
        <v>1150</v>
      </c>
      <c r="B63" s="677"/>
      <c r="C63" s="1244"/>
      <c r="D63" s="1244"/>
      <c r="E63" s="1244"/>
      <c r="F63" s="1244"/>
      <c r="G63" s="678"/>
      <c r="H63" s="678"/>
      <c r="I63" s="678"/>
      <c r="J63" s="678"/>
      <c r="K63" s="1244"/>
      <c r="L63" s="678"/>
      <c r="M63" s="678"/>
      <c r="N63" s="678"/>
      <c r="O63" s="678"/>
      <c r="P63" s="1244"/>
      <c r="Q63" s="678"/>
      <c r="R63" s="678"/>
      <c r="S63" s="678"/>
      <c r="T63" s="678"/>
      <c r="U63" s="1244"/>
      <c r="V63" s="678"/>
      <c r="W63" s="678"/>
      <c r="X63" s="678"/>
      <c r="Y63" s="678"/>
      <c r="Z63" s="1244"/>
      <c r="AA63" s="678"/>
      <c r="AB63" s="678"/>
      <c r="AC63" s="678"/>
      <c r="AD63" s="678"/>
      <c r="AE63" s="1244"/>
      <c r="AF63" s="678"/>
      <c r="AG63" s="678"/>
      <c r="AH63" s="678"/>
      <c r="AI63" s="678"/>
      <c r="AJ63" s="1244"/>
      <c r="AK63" s="678"/>
      <c r="AL63" s="678"/>
      <c r="AM63" s="678"/>
      <c r="AN63" s="678"/>
      <c r="AO63" s="1244"/>
      <c r="AP63" s="678"/>
      <c r="AQ63" s="678"/>
      <c r="AR63" s="678"/>
      <c r="AS63" s="678"/>
      <c r="AT63" s="1270">
        <v>75</v>
      </c>
      <c r="AU63" s="678"/>
      <c r="AV63" s="678"/>
      <c r="AW63" s="678"/>
      <c r="AX63" s="678"/>
      <c r="AY63" s="1270">
        <v>48.03</v>
      </c>
      <c r="AZ63" s="678"/>
      <c r="BA63" s="678"/>
      <c r="BB63" s="678"/>
      <c r="BC63" s="678"/>
      <c r="BD63" s="1270">
        <v>82.5</v>
      </c>
      <c r="BE63" s="678"/>
      <c r="BF63" s="678"/>
      <c r="BG63" s="678"/>
      <c r="BH63" s="678"/>
      <c r="BI63" s="1270">
        <v>85</v>
      </c>
      <c r="BJ63" s="678"/>
      <c r="BK63" s="678"/>
      <c r="BL63" s="678"/>
      <c r="BM63" s="678"/>
      <c r="BN63" s="1270">
        <v>85</v>
      </c>
      <c r="BO63" s="678"/>
      <c r="BP63" s="678"/>
      <c r="BQ63" s="678"/>
      <c r="BR63" s="678"/>
      <c r="BS63" s="1270">
        <v>85</v>
      </c>
      <c r="BT63" s="678"/>
      <c r="BU63" s="678"/>
      <c r="BV63" s="678"/>
      <c r="BW63" s="678"/>
      <c r="BX63" s="1244"/>
      <c r="BY63" s="954"/>
      <c r="BZ63" s="678"/>
      <c r="CA63" s="678"/>
      <c r="CB63" s="678"/>
      <c r="CC63" s="1244"/>
      <c r="CD63" s="678"/>
      <c r="CE63" s="678"/>
      <c r="CF63" s="678"/>
      <c r="CG63" s="678"/>
      <c r="CH63" s="1244"/>
      <c r="CI63" s="1244"/>
      <c r="CJ63" s="1244"/>
      <c r="CK63" s="1244"/>
      <c r="CL63" s="827"/>
    </row>
    <row r="64" spans="1:90" s="993" customFormat="1" hidden="1" outlineLevel="1" x14ac:dyDescent="0.3">
      <c r="A64" s="394" t="s">
        <v>1149</v>
      </c>
      <c r="B64" s="677"/>
      <c r="C64" s="1244"/>
      <c r="D64" s="1244"/>
      <c r="E64" s="1244"/>
      <c r="F64" s="1244"/>
      <c r="G64" s="678"/>
      <c r="H64" s="678"/>
      <c r="I64" s="678"/>
      <c r="J64" s="678"/>
      <c r="K64" s="1244"/>
      <c r="L64" s="678"/>
      <c r="M64" s="678"/>
      <c r="N64" s="678"/>
      <c r="O64" s="678"/>
      <c r="P64" s="1244"/>
      <c r="Q64" s="678"/>
      <c r="R64" s="678"/>
      <c r="S64" s="678"/>
      <c r="T64" s="678"/>
      <c r="U64" s="1244"/>
      <c r="V64" s="678"/>
      <c r="W64" s="678"/>
      <c r="X64" s="678"/>
      <c r="Y64" s="678"/>
      <c r="Z64" s="1244"/>
      <c r="AA64" s="678"/>
      <c r="AB64" s="678"/>
      <c r="AC64" s="678"/>
      <c r="AD64" s="678"/>
      <c r="AE64" s="1244"/>
      <c r="AF64" s="678"/>
      <c r="AG64" s="678"/>
      <c r="AH64" s="678"/>
      <c r="AI64" s="678"/>
      <c r="AJ64" s="1244"/>
      <c r="AK64" s="678"/>
      <c r="AL64" s="678"/>
      <c r="AM64" s="678"/>
      <c r="AN64" s="678"/>
      <c r="AO64" s="1244"/>
      <c r="AP64" s="678"/>
      <c r="AQ64" s="678"/>
      <c r="AR64" s="678"/>
      <c r="AS64" s="678"/>
      <c r="AT64" s="1270">
        <v>75</v>
      </c>
      <c r="AU64" s="678"/>
      <c r="AV64" s="678"/>
      <c r="AW64" s="678"/>
      <c r="AX64" s="678"/>
      <c r="AY64" s="1270">
        <v>75</v>
      </c>
      <c r="AZ64" s="678"/>
      <c r="BA64" s="678"/>
      <c r="BB64" s="678"/>
      <c r="BC64" s="678"/>
      <c r="BD64" s="1270">
        <v>82.5</v>
      </c>
      <c r="BE64" s="678"/>
      <c r="BF64" s="678"/>
      <c r="BG64" s="678"/>
      <c r="BH64" s="678"/>
      <c r="BI64" s="1270">
        <v>85</v>
      </c>
      <c r="BJ64" s="678"/>
      <c r="BK64" s="678"/>
      <c r="BL64" s="678"/>
      <c r="BM64" s="678"/>
      <c r="BN64" s="1270">
        <v>85</v>
      </c>
      <c r="BO64" s="678"/>
      <c r="BP64" s="678"/>
      <c r="BQ64" s="678"/>
      <c r="BR64" s="678"/>
      <c r="BS64" s="1270">
        <v>85</v>
      </c>
      <c r="BT64" s="678"/>
      <c r="BU64" s="678"/>
      <c r="BV64" s="678"/>
      <c r="BW64" s="678"/>
      <c r="BX64" s="1244"/>
      <c r="BY64" s="954"/>
      <c r="BZ64" s="678"/>
      <c r="CA64" s="678"/>
      <c r="CB64" s="678"/>
      <c r="CC64" s="1244"/>
      <c r="CD64" s="678"/>
      <c r="CE64" s="678"/>
      <c r="CF64" s="678"/>
      <c r="CG64" s="678"/>
      <c r="CH64" s="1244"/>
      <c r="CI64" s="1244"/>
      <c r="CJ64" s="1244"/>
      <c r="CK64" s="1244"/>
      <c r="CL64" s="827"/>
    </row>
    <row r="65" spans="1:90" s="993" customFormat="1" hidden="1" outlineLevel="1" x14ac:dyDescent="0.3">
      <c r="A65" s="394" t="s">
        <v>1148</v>
      </c>
      <c r="B65" s="677"/>
      <c r="C65" s="1244"/>
      <c r="D65" s="1244"/>
      <c r="E65" s="1244"/>
      <c r="F65" s="1244"/>
      <c r="G65" s="678"/>
      <c r="H65" s="678"/>
      <c r="I65" s="678"/>
      <c r="J65" s="678"/>
      <c r="K65" s="1244"/>
      <c r="L65" s="678"/>
      <c r="M65" s="678"/>
      <c r="N65" s="678"/>
      <c r="O65" s="678"/>
      <c r="P65" s="1244"/>
      <c r="Q65" s="678"/>
      <c r="R65" s="678"/>
      <c r="S65" s="678"/>
      <c r="T65" s="678"/>
      <c r="U65" s="1244"/>
      <c r="V65" s="678"/>
      <c r="W65" s="678"/>
      <c r="X65" s="678"/>
      <c r="Y65" s="678"/>
      <c r="Z65" s="1244"/>
      <c r="AA65" s="678"/>
      <c r="AB65" s="678"/>
      <c r="AC65" s="678"/>
      <c r="AD65" s="678"/>
      <c r="AE65" s="1244"/>
      <c r="AF65" s="678"/>
      <c r="AG65" s="678"/>
      <c r="AH65" s="678"/>
      <c r="AI65" s="678"/>
      <c r="AJ65" s="1244"/>
      <c r="AK65" s="678"/>
      <c r="AL65" s="678"/>
      <c r="AM65" s="678"/>
      <c r="AN65" s="678"/>
      <c r="AO65" s="1244"/>
      <c r="AP65" s="678"/>
      <c r="AQ65" s="678"/>
      <c r="AR65" s="678"/>
      <c r="AS65" s="678"/>
      <c r="AT65" s="1270">
        <v>75</v>
      </c>
      <c r="AU65" s="678"/>
      <c r="AV65" s="678"/>
      <c r="AW65" s="678"/>
      <c r="AX65" s="678"/>
      <c r="AY65" s="1270">
        <v>37.5</v>
      </c>
      <c r="AZ65" s="678"/>
      <c r="BA65" s="678"/>
      <c r="BB65" s="678"/>
      <c r="BC65" s="678"/>
      <c r="BD65" s="1270">
        <v>82.5</v>
      </c>
      <c r="BE65" s="678"/>
      <c r="BF65" s="678"/>
      <c r="BG65" s="678"/>
      <c r="BH65" s="678"/>
      <c r="BI65" s="1270">
        <v>85</v>
      </c>
      <c r="BJ65" s="678"/>
      <c r="BK65" s="678"/>
      <c r="BL65" s="678"/>
      <c r="BM65" s="678"/>
      <c r="BN65" s="1270">
        <v>85</v>
      </c>
      <c r="BO65" s="678"/>
      <c r="BP65" s="678"/>
      <c r="BQ65" s="678"/>
      <c r="BR65" s="678"/>
      <c r="BS65" s="1270">
        <v>85</v>
      </c>
      <c r="BT65" s="678"/>
      <c r="BU65" s="678"/>
      <c r="BV65" s="678"/>
      <c r="BW65" s="678"/>
      <c r="BX65" s="1244"/>
      <c r="BY65" s="954"/>
      <c r="BZ65" s="678"/>
      <c r="CA65" s="678"/>
      <c r="CB65" s="678"/>
      <c r="CC65" s="1244"/>
      <c r="CD65" s="678"/>
      <c r="CE65" s="678"/>
      <c r="CF65" s="678"/>
      <c r="CG65" s="678"/>
      <c r="CH65" s="1244"/>
      <c r="CI65" s="1244"/>
      <c r="CJ65" s="1244"/>
      <c r="CK65" s="1244"/>
      <c r="CL65" s="827"/>
    </row>
    <row r="66" spans="1:90" s="993" customFormat="1" hidden="1" outlineLevel="1" x14ac:dyDescent="0.3">
      <c r="A66" s="394" t="s">
        <v>1147</v>
      </c>
      <c r="B66" s="677"/>
      <c r="C66" s="1244"/>
      <c r="D66" s="1244"/>
      <c r="E66" s="1244"/>
      <c r="F66" s="1244"/>
      <c r="G66" s="678"/>
      <c r="H66" s="678"/>
      <c r="I66" s="678"/>
      <c r="J66" s="678"/>
      <c r="K66" s="1244"/>
      <c r="L66" s="678"/>
      <c r="M66" s="678"/>
      <c r="N66" s="678"/>
      <c r="O66" s="678"/>
      <c r="P66" s="1244"/>
      <c r="Q66" s="678"/>
      <c r="R66" s="678"/>
      <c r="S66" s="678"/>
      <c r="T66" s="678"/>
      <c r="U66" s="1244"/>
      <c r="V66" s="678"/>
      <c r="W66" s="678"/>
      <c r="X66" s="678"/>
      <c r="Y66" s="678"/>
      <c r="Z66" s="1244"/>
      <c r="AA66" s="678"/>
      <c r="AB66" s="678"/>
      <c r="AC66" s="678"/>
      <c r="AD66" s="678"/>
      <c r="AE66" s="1244"/>
      <c r="AF66" s="678"/>
      <c r="AG66" s="678"/>
      <c r="AH66" s="678"/>
      <c r="AI66" s="678"/>
      <c r="AJ66" s="1244"/>
      <c r="AK66" s="678"/>
      <c r="AL66" s="678"/>
      <c r="AM66" s="678"/>
      <c r="AN66" s="678"/>
      <c r="AO66" s="1244"/>
      <c r="AP66" s="678"/>
      <c r="AQ66" s="678"/>
      <c r="AR66" s="678"/>
      <c r="AS66" s="678"/>
      <c r="AT66" s="1270">
        <v>75</v>
      </c>
      <c r="AU66" s="678"/>
      <c r="AV66" s="678"/>
      <c r="AW66" s="678"/>
      <c r="AX66" s="678"/>
      <c r="AY66" s="1270">
        <v>75</v>
      </c>
      <c r="AZ66" s="678"/>
      <c r="BA66" s="678"/>
      <c r="BB66" s="678"/>
      <c r="BC66" s="678"/>
      <c r="BD66" s="1270">
        <v>82.5</v>
      </c>
      <c r="BE66" s="678"/>
      <c r="BF66" s="678"/>
      <c r="BG66" s="678"/>
      <c r="BH66" s="678"/>
      <c r="BI66" s="1270">
        <v>85</v>
      </c>
      <c r="BJ66" s="678"/>
      <c r="BK66" s="678"/>
      <c r="BL66" s="678"/>
      <c r="BM66" s="678"/>
      <c r="BN66" s="1270">
        <v>85</v>
      </c>
      <c r="BO66" s="678"/>
      <c r="BP66" s="678"/>
      <c r="BQ66" s="678"/>
      <c r="BR66" s="678"/>
      <c r="BS66" s="1270">
        <v>85</v>
      </c>
      <c r="BT66" s="678"/>
      <c r="BU66" s="678"/>
      <c r="BV66" s="678"/>
      <c r="BW66" s="678"/>
      <c r="BX66" s="1244"/>
      <c r="BY66" s="954"/>
      <c r="BZ66" s="678"/>
      <c r="CA66" s="678"/>
      <c r="CB66" s="678"/>
      <c r="CC66" s="1244"/>
      <c r="CD66" s="678"/>
      <c r="CE66" s="678"/>
      <c r="CF66" s="678"/>
      <c r="CG66" s="678"/>
      <c r="CH66" s="1244"/>
      <c r="CI66" s="1244"/>
      <c r="CJ66" s="1244"/>
      <c r="CK66" s="1244"/>
      <c r="CL66" s="827"/>
    </row>
    <row r="67" spans="1:90" s="993" customFormat="1" hidden="1" outlineLevel="1" x14ac:dyDescent="0.3">
      <c r="A67" s="394" t="s">
        <v>1146</v>
      </c>
      <c r="B67" s="677"/>
      <c r="C67" s="1244"/>
      <c r="D67" s="1244"/>
      <c r="E67" s="1244"/>
      <c r="F67" s="1244"/>
      <c r="G67" s="678"/>
      <c r="H67" s="678"/>
      <c r="I67" s="678"/>
      <c r="J67" s="678"/>
      <c r="K67" s="1244"/>
      <c r="L67" s="678"/>
      <c r="M67" s="678"/>
      <c r="N67" s="678"/>
      <c r="O67" s="678"/>
      <c r="P67" s="1244"/>
      <c r="Q67" s="678"/>
      <c r="R67" s="678"/>
      <c r="S67" s="678"/>
      <c r="T67" s="678"/>
      <c r="U67" s="1244"/>
      <c r="V67" s="678"/>
      <c r="W67" s="678"/>
      <c r="X67" s="678"/>
      <c r="Y67" s="678"/>
      <c r="Z67" s="1244"/>
      <c r="AA67" s="678"/>
      <c r="AB67" s="678"/>
      <c r="AC67" s="678"/>
      <c r="AD67" s="678"/>
      <c r="AE67" s="1244"/>
      <c r="AF67" s="678"/>
      <c r="AG67" s="678"/>
      <c r="AH67" s="678"/>
      <c r="AI67" s="678"/>
      <c r="AJ67" s="1244"/>
      <c r="AK67" s="678"/>
      <c r="AL67" s="678"/>
      <c r="AM67" s="678"/>
      <c r="AN67" s="678"/>
      <c r="AO67" s="1244"/>
      <c r="AP67" s="678"/>
      <c r="AQ67" s="678"/>
      <c r="AR67" s="678"/>
      <c r="AS67" s="678"/>
      <c r="AT67" s="1270">
        <v>75</v>
      </c>
      <c r="AU67" s="678"/>
      <c r="AV67" s="678"/>
      <c r="AW67" s="678"/>
      <c r="AX67" s="678"/>
      <c r="AY67" s="1270">
        <v>75</v>
      </c>
      <c r="AZ67" s="678"/>
      <c r="BA67" s="678"/>
      <c r="BB67" s="678"/>
      <c r="BC67" s="678"/>
      <c r="BD67" s="1270">
        <v>82.5</v>
      </c>
      <c r="BE67" s="678"/>
      <c r="BF67" s="678"/>
      <c r="BG67" s="678"/>
      <c r="BH67" s="678"/>
      <c r="BI67" s="1270">
        <v>85</v>
      </c>
      <c r="BJ67" s="678"/>
      <c r="BK67" s="678"/>
      <c r="BL67" s="678"/>
      <c r="BM67" s="678"/>
      <c r="BN67" s="1270">
        <v>56</v>
      </c>
      <c r="BO67" s="678"/>
      <c r="BP67" s="678"/>
      <c r="BQ67" s="678"/>
      <c r="BR67" s="678"/>
      <c r="BS67" s="1270">
        <v>85</v>
      </c>
      <c r="BT67" s="678"/>
      <c r="BU67" s="678"/>
      <c r="BV67" s="678"/>
      <c r="BW67" s="678"/>
      <c r="BX67" s="1244"/>
      <c r="BY67" s="954"/>
      <c r="BZ67" s="678"/>
      <c r="CA67" s="678"/>
      <c r="CB67" s="678"/>
      <c r="CC67" s="1244"/>
      <c r="CD67" s="678"/>
      <c r="CE67" s="678"/>
      <c r="CF67" s="678"/>
      <c r="CG67" s="678"/>
      <c r="CH67" s="1244"/>
      <c r="CI67" s="1244"/>
      <c r="CJ67" s="1244"/>
      <c r="CK67" s="1244"/>
      <c r="CL67" s="827"/>
    </row>
    <row r="68" spans="1:90" s="993" customFormat="1" hidden="1" outlineLevel="1" x14ac:dyDescent="0.3">
      <c r="A68" s="394" t="s">
        <v>1145</v>
      </c>
      <c r="B68" s="677"/>
      <c r="C68" s="1244"/>
      <c r="D68" s="1244"/>
      <c r="E68" s="1244"/>
      <c r="F68" s="1244"/>
      <c r="G68" s="678"/>
      <c r="H68" s="678"/>
      <c r="I68" s="678"/>
      <c r="J68" s="678"/>
      <c r="K68" s="1244"/>
      <c r="L68" s="678"/>
      <c r="M68" s="678"/>
      <c r="N68" s="678"/>
      <c r="O68" s="678"/>
      <c r="P68" s="1244"/>
      <c r="Q68" s="678"/>
      <c r="R68" s="678"/>
      <c r="S68" s="678"/>
      <c r="T68" s="678"/>
      <c r="U68" s="1244"/>
      <c r="V68" s="678"/>
      <c r="W68" s="678"/>
      <c r="X68" s="678"/>
      <c r="Y68" s="678"/>
      <c r="Z68" s="1244"/>
      <c r="AA68" s="678"/>
      <c r="AB68" s="678"/>
      <c r="AC68" s="678"/>
      <c r="AD68" s="678"/>
      <c r="AE68" s="1244"/>
      <c r="AF68" s="678"/>
      <c r="AG68" s="678"/>
      <c r="AH68" s="678"/>
      <c r="AI68" s="678"/>
      <c r="AJ68" s="1244"/>
      <c r="AK68" s="678"/>
      <c r="AL68" s="678"/>
      <c r="AM68" s="678"/>
      <c r="AN68" s="678"/>
      <c r="AO68" s="1244"/>
      <c r="AP68" s="678"/>
      <c r="AQ68" s="678"/>
      <c r="AR68" s="678"/>
      <c r="AS68" s="678"/>
      <c r="AT68" s="1270">
        <v>67.14</v>
      </c>
      <c r="AU68" s="678"/>
      <c r="AV68" s="678"/>
      <c r="AW68" s="678"/>
      <c r="AX68" s="678"/>
      <c r="AY68" s="1270">
        <v>75</v>
      </c>
      <c r="AZ68" s="678"/>
      <c r="BA68" s="678"/>
      <c r="BB68" s="678"/>
      <c r="BC68" s="678"/>
      <c r="BD68" s="1270">
        <v>82.5</v>
      </c>
      <c r="BE68" s="678"/>
      <c r="BF68" s="678"/>
      <c r="BG68" s="678"/>
      <c r="BH68" s="678"/>
      <c r="BI68" s="1270">
        <v>85</v>
      </c>
      <c r="BJ68" s="678"/>
      <c r="BK68" s="678"/>
      <c r="BL68" s="678"/>
      <c r="BM68" s="678"/>
      <c r="BN68" s="1270">
        <v>85</v>
      </c>
      <c r="BO68" s="678"/>
      <c r="BP68" s="678"/>
      <c r="BQ68" s="678"/>
      <c r="BR68" s="678"/>
      <c r="BS68" s="1270">
        <v>42.5</v>
      </c>
      <c r="BT68" s="678"/>
      <c r="BU68" s="678"/>
      <c r="BV68" s="678"/>
      <c r="BW68" s="678"/>
      <c r="BX68" s="1244"/>
      <c r="BY68" s="954"/>
      <c r="BZ68" s="678"/>
      <c r="CA68" s="678"/>
      <c r="CB68" s="678"/>
      <c r="CC68" s="1244"/>
      <c r="CD68" s="678"/>
      <c r="CE68" s="678"/>
      <c r="CF68" s="678"/>
      <c r="CG68" s="678"/>
      <c r="CH68" s="1244"/>
      <c r="CI68" s="1244"/>
      <c r="CJ68" s="1244"/>
      <c r="CK68" s="1244"/>
      <c r="CL68" s="827"/>
    </row>
    <row r="69" spans="1:90" s="993" customFormat="1" hidden="1" outlineLevel="1" x14ac:dyDescent="0.3">
      <c r="A69" s="394" t="s">
        <v>1144</v>
      </c>
      <c r="B69" s="677"/>
      <c r="C69" s="1244"/>
      <c r="D69" s="1244"/>
      <c r="E69" s="1244"/>
      <c r="F69" s="1244"/>
      <c r="G69" s="678"/>
      <c r="H69" s="678"/>
      <c r="I69" s="678"/>
      <c r="J69" s="678"/>
      <c r="K69" s="1244"/>
      <c r="L69" s="678"/>
      <c r="M69" s="678"/>
      <c r="N69" s="678"/>
      <c r="O69" s="678"/>
      <c r="P69" s="1244"/>
      <c r="Q69" s="678"/>
      <c r="R69" s="678"/>
      <c r="S69" s="678"/>
      <c r="T69" s="678"/>
      <c r="U69" s="1244"/>
      <c r="V69" s="678"/>
      <c r="W69" s="678"/>
      <c r="X69" s="678"/>
      <c r="Y69" s="678"/>
      <c r="Z69" s="1244"/>
      <c r="AA69" s="678"/>
      <c r="AB69" s="678"/>
      <c r="AC69" s="678"/>
      <c r="AD69" s="678"/>
      <c r="AE69" s="1244"/>
      <c r="AF69" s="678"/>
      <c r="AG69" s="678"/>
      <c r="AH69" s="678"/>
      <c r="AI69" s="678"/>
      <c r="AJ69" s="1244"/>
      <c r="AK69" s="678"/>
      <c r="AL69" s="678"/>
      <c r="AM69" s="678"/>
      <c r="AN69" s="678"/>
      <c r="AO69" s="1244"/>
      <c r="AP69" s="678"/>
      <c r="AQ69" s="678"/>
      <c r="AR69" s="678"/>
      <c r="AS69" s="678"/>
      <c r="AT69" s="1270">
        <v>75</v>
      </c>
      <c r="AU69" s="678"/>
      <c r="AV69" s="678"/>
      <c r="AW69" s="678"/>
      <c r="AX69" s="678"/>
      <c r="AY69" s="1270">
        <v>75</v>
      </c>
      <c r="AZ69" s="678"/>
      <c r="BA69" s="678"/>
      <c r="BB69" s="678"/>
      <c r="BC69" s="678"/>
      <c r="BD69" s="1270">
        <v>82.5</v>
      </c>
      <c r="BE69" s="678"/>
      <c r="BF69" s="678"/>
      <c r="BG69" s="678"/>
      <c r="BH69" s="678"/>
      <c r="BI69" s="1270">
        <v>85</v>
      </c>
      <c r="BJ69" s="678"/>
      <c r="BK69" s="678"/>
      <c r="BL69" s="678"/>
      <c r="BM69" s="678"/>
      <c r="BN69" s="1270">
        <v>85</v>
      </c>
      <c r="BO69" s="678"/>
      <c r="BP69" s="678"/>
      <c r="BQ69" s="678"/>
      <c r="BR69" s="678"/>
      <c r="BS69" s="1270">
        <v>85</v>
      </c>
      <c r="BT69" s="678"/>
      <c r="BU69" s="678"/>
      <c r="BV69" s="678"/>
      <c r="BW69" s="678"/>
      <c r="BX69" s="1244"/>
      <c r="BY69" s="954"/>
      <c r="BZ69" s="678"/>
      <c r="CA69" s="678"/>
      <c r="CB69" s="678"/>
      <c r="CC69" s="1244"/>
      <c r="CD69" s="678"/>
      <c r="CE69" s="678"/>
      <c r="CF69" s="678"/>
      <c r="CG69" s="678"/>
      <c r="CH69" s="1244"/>
      <c r="CI69" s="1244"/>
      <c r="CJ69" s="1244"/>
      <c r="CK69" s="1244"/>
      <c r="CL69" s="827"/>
    </row>
    <row r="70" spans="1:90" s="993" customFormat="1" hidden="1" outlineLevel="1" x14ac:dyDescent="0.3">
      <c r="A70" s="394" t="s">
        <v>1143</v>
      </c>
      <c r="B70" s="677"/>
      <c r="C70" s="1244"/>
      <c r="D70" s="1244"/>
      <c r="E70" s="1244"/>
      <c r="F70" s="1244"/>
      <c r="G70" s="678"/>
      <c r="H70" s="678"/>
      <c r="I70" s="678"/>
      <c r="J70" s="678"/>
      <c r="K70" s="1244"/>
      <c r="L70" s="678"/>
      <c r="M70" s="678"/>
      <c r="N70" s="678"/>
      <c r="O70" s="678"/>
      <c r="P70" s="1244"/>
      <c r="Q70" s="678"/>
      <c r="R70" s="678"/>
      <c r="S70" s="678"/>
      <c r="T70" s="678"/>
      <c r="U70" s="1244"/>
      <c r="V70" s="678"/>
      <c r="W70" s="678"/>
      <c r="X70" s="678"/>
      <c r="Y70" s="678"/>
      <c r="Z70" s="1244"/>
      <c r="AA70" s="678"/>
      <c r="AB70" s="678"/>
      <c r="AC70" s="678"/>
      <c r="AD70" s="678"/>
      <c r="AE70" s="1244"/>
      <c r="AF70" s="678"/>
      <c r="AG70" s="678"/>
      <c r="AH70" s="678"/>
      <c r="AI70" s="678"/>
      <c r="AJ70" s="1244"/>
      <c r="AK70" s="678"/>
      <c r="AL70" s="678"/>
      <c r="AM70" s="678"/>
      <c r="AN70" s="678"/>
      <c r="AO70" s="1244"/>
      <c r="AP70" s="678"/>
      <c r="AQ70" s="678"/>
      <c r="AR70" s="678"/>
      <c r="AS70" s="678"/>
      <c r="AT70" s="1270">
        <v>75</v>
      </c>
      <c r="AU70" s="678"/>
      <c r="AV70" s="678"/>
      <c r="AW70" s="678"/>
      <c r="AX70" s="678"/>
      <c r="AY70" s="1270">
        <v>75</v>
      </c>
      <c r="AZ70" s="678"/>
      <c r="BA70" s="678"/>
      <c r="BB70" s="678"/>
      <c r="BC70" s="678"/>
      <c r="BD70" s="1270">
        <v>82.5</v>
      </c>
      <c r="BE70" s="678"/>
      <c r="BF70" s="678"/>
      <c r="BG70" s="678"/>
      <c r="BH70" s="678"/>
      <c r="BI70" s="1270">
        <v>85</v>
      </c>
      <c r="BJ70" s="678"/>
      <c r="BK70" s="678"/>
      <c r="BL70" s="678"/>
      <c r="BM70" s="678"/>
      <c r="BN70" s="1270">
        <v>85</v>
      </c>
      <c r="BO70" s="678"/>
      <c r="BP70" s="678"/>
      <c r="BQ70" s="678"/>
      <c r="BR70" s="678"/>
      <c r="BS70" s="1270">
        <v>32.549999999999997</v>
      </c>
      <c r="BT70" s="678"/>
      <c r="BU70" s="678"/>
      <c r="BV70" s="678"/>
      <c r="BW70" s="678"/>
      <c r="BX70" s="1244"/>
      <c r="BY70" s="954"/>
      <c r="BZ70" s="678"/>
      <c r="CA70" s="678"/>
      <c r="CB70" s="678"/>
      <c r="CC70" s="1244"/>
      <c r="CD70" s="678"/>
      <c r="CE70" s="678"/>
      <c r="CF70" s="678"/>
      <c r="CG70" s="678"/>
      <c r="CH70" s="1244"/>
      <c r="CI70" s="1244"/>
      <c r="CJ70" s="1244"/>
      <c r="CK70" s="1244"/>
      <c r="CL70" s="827"/>
    </row>
    <row r="71" spans="1:90" s="993" customFormat="1" hidden="1" outlineLevel="1" x14ac:dyDescent="0.3">
      <c r="A71" s="394" t="s">
        <v>1142</v>
      </c>
      <c r="B71" s="677"/>
      <c r="C71" s="1244"/>
      <c r="D71" s="1244"/>
      <c r="E71" s="1244"/>
      <c r="F71" s="1244"/>
      <c r="G71" s="678"/>
      <c r="H71" s="678"/>
      <c r="I71" s="678"/>
      <c r="J71" s="678"/>
      <c r="K71" s="1244"/>
      <c r="L71" s="678"/>
      <c r="M71" s="678"/>
      <c r="N71" s="678"/>
      <c r="O71" s="678"/>
      <c r="P71" s="1244"/>
      <c r="Q71" s="678"/>
      <c r="R71" s="678"/>
      <c r="S71" s="678"/>
      <c r="T71" s="678"/>
      <c r="U71" s="1244"/>
      <c r="V71" s="678"/>
      <c r="W71" s="678"/>
      <c r="X71" s="678"/>
      <c r="Y71" s="678"/>
      <c r="Z71" s="1244"/>
      <c r="AA71" s="678"/>
      <c r="AB71" s="678"/>
      <c r="AC71" s="678"/>
      <c r="AD71" s="678"/>
      <c r="AE71" s="1244"/>
      <c r="AF71" s="678"/>
      <c r="AG71" s="678"/>
      <c r="AH71" s="678"/>
      <c r="AI71" s="678"/>
      <c r="AJ71" s="1244"/>
      <c r="AK71" s="678"/>
      <c r="AL71" s="678"/>
      <c r="AM71" s="678"/>
      <c r="AN71" s="678"/>
      <c r="AO71" s="1244"/>
      <c r="AP71" s="678"/>
      <c r="AQ71" s="678"/>
      <c r="AR71" s="678"/>
      <c r="AS71" s="678"/>
      <c r="AT71" s="1270">
        <v>75</v>
      </c>
      <c r="AU71" s="678"/>
      <c r="AV71" s="678"/>
      <c r="AW71" s="678"/>
      <c r="AX71" s="678"/>
      <c r="AY71" s="1270">
        <v>75</v>
      </c>
      <c r="AZ71" s="678"/>
      <c r="BA71" s="678"/>
      <c r="BB71" s="678"/>
      <c r="BC71" s="678"/>
      <c r="BD71" s="1270">
        <v>82.5</v>
      </c>
      <c r="BE71" s="678"/>
      <c r="BF71" s="678"/>
      <c r="BG71" s="678"/>
      <c r="BH71" s="678"/>
      <c r="BI71" s="1270">
        <v>85</v>
      </c>
      <c r="BJ71" s="678"/>
      <c r="BK71" s="678"/>
      <c r="BL71" s="678"/>
      <c r="BM71" s="678"/>
      <c r="BN71" s="1270">
        <v>85</v>
      </c>
      <c r="BO71" s="678"/>
      <c r="BP71" s="678"/>
      <c r="BQ71" s="678"/>
      <c r="BR71" s="678"/>
      <c r="BS71" s="1270">
        <v>42.5</v>
      </c>
      <c r="BT71" s="678"/>
      <c r="BU71" s="678"/>
      <c r="BV71" s="678"/>
      <c r="BW71" s="678"/>
      <c r="BX71" s="1244"/>
      <c r="BY71" s="954"/>
      <c r="BZ71" s="678"/>
      <c r="CA71" s="678"/>
      <c r="CB71" s="678"/>
      <c r="CC71" s="1244"/>
      <c r="CD71" s="678"/>
      <c r="CE71" s="678"/>
      <c r="CF71" s="678"/>
      <c r="CG71" s="678"/>
      <c r="CH71" s="1244"/>
      <c r="CI71" s="1244"/>
      <c r="CJ71" s="1244"/>
      <c r="CK71" s="1244"/>
      <c r="CL71" s="827"/>
    </row>
    <row r="72" spans="1:90" s="993" customFormat="1" hidden="1" outlineLevel="1" x14ac:dyDescent="0.3">
      <c r="A72" s="394" t="s">
        <v>1141</v>
      </c>
      <c r="B72" s="677"/>
      <c r="C72" s="1244"/>
      <c r="D72" s="1244"/>
      <c r="E72" s="1244"/>
      <c r="F72" s="1244"/>
      <c r="G72" s="678"/>
      <c r="H72" s="678"/>
      <c r="I72" s="678"/>
      <c r="J72" s="678"/>
      <c r="K72" s="1244"/>
      <c r="L72" s="678"/>
      <c r="M72" s="678"/>
      <c r="N72" s="678"/>
      <c r="O72" s="678"/>
      <c r="P72" s="1244"/>
      <c r="Q72" s="678"/>
      <c r="R72" s="678"/>
      <c r="S72" s="678"/>
      <c r="T72" s="678"/>
      <c r="U72" s="1244"/>
      <c r="V72" s="678"/>
      <c r="W72" s="678"/>
      <c r="X72" s="678"/>
      <c r="Y72" s="678"/>
      <c r="Z72" s="1244"/>
      <c r="AA72" s="678"/>
      <c r="AB72" s="678"/>
      <c r="AC72" s="678"/>
      <c r="AD72" s="678"/>
      <c r="AE72" s="1244"/>
      <c r="AF72" s="678"/>
      <c r="AG72" s="678"/>
      <c r="AH72" s="678"/>
      <c r="AI72" s="678"/>
      <c r="AJ72" s="1244"/>
      <c r="AK72" s="678"/>
      <c r="AL72" s="678"/>
      <c r="AM72" s="678"/>
      <c r="AN72" s="678"/>
      <c r="AO72" s="1244"/>
      <c r="AP72" s="678"/>
      <c r="AQ72" s="678"/>
      <c r="AR72" s="678"/>
      <c r="AS72" s="678"/>
      <c r="AT72" s="1244"/>
      <c r="AU72" s="678"/>
      <c r="AV72" s="678"/>
      <c r="AW72" s="678"/>
      <c r="AX72" s="678"/>
      <c r="AY72" s="1270">
        <v>23.55</v>
      </c>
      <c r="AZ72" s="678"/>
      <c r="BA72" s="678"/>
      <c r="BB72" s="678"/>
      <c r="BC72" s="678"/>
      <c r="BD72" s="1270">
        <v>82.5</v>
      </c>
      <c r="BE72" s="678"/>
      <c r="BF72" s="678"/>
      <c r="BG72" s="678"/>
      <c r="BH72" s="678"/>
      <c r="BI72" s="1270">
        <v>85</v>
      </c>
      <c r="BJ72" s="678"/>
      <c r="BK72" s="678"/>
      <c r="BL72" s="678"/>
      <c r="BM72" s="678"/>
      <c r="BN72" s="1270">
        <v>85</v>
      </c>
      <c r="BO72" s="678"/>
      <c r="BP72" s="678"/>
      <c r="BQ72" s="678"/>
      <c r="BR72" s="678"/>
      <c r="BS72" s="1270">
        <v>85</v>
      </c>
      <c r="BT72" s="678"/>
      <c r="BU72" s="678"/>
      <c r="BV72" s="678"/>
      <c r="BW72" s="678"/>
      <c r="BX72" s="1244"/>
      <c r="BY72" s="954"/>
      <c r="BZ72" s="678"/>
      <c r="CA72" s="678"/>
      <c r="CB72" s="678"/>
      <c r="CC72" s="1244"/>
      <c r="CD72" s="678"/>
      <c r="CE72" s="678"/>
      <c r="CF72" s="678"/>
      <c r="CG72" s="678"/>
      <c r="CH72" s="1244"/>
      <c r="CI72" s="1244"/>
      <c r="CJ72" s="1244"/>
      <c r="CK72" s="1244"/>
      <c r="CL72" s="827"/>
    </row>
    <row r="73" spans="1:90" s="993" customFormat="1" hidden="1" outlineLevel="1" x14ac:dyDescent="0.3">
      <c r="A73" s="394" t="s">
        <v>1140</v>
      </c>
      <c r="B73" s="677"/>
      <c r="C73" s="1244"/>
      <c r="D73" s="1244"/>
      <c r="E73" s="1244"/>
      <c r="F73" s="1244"/>
      <c r="G73" s="678"/>
      <c r="H73" s="678"/>
      <c r="I73" s="678"/>
      <c r="J73" s="678"/>
      <c r="K73" s="1244"/>
      <c r="L73" s="678"/>
      <c r="M73" s="678"/>
      <c r="N73" s="678"/>
      <c r="O73" s="678"/>
      <c r="P73" s="1244"/>
      <c r="Q73" s="678"/>
      <c r="R73" s="678"/>
      <c r="S73" s="678"/>
      <c r="T73" s="678"/>
      <c r="U73" s="1244"/>
      <c r="V73" s="678"/>
      <c r="W73" s="678"/>
      <c r="X73" s="678"/>
      <c r="Y73" s="678"/>
      <c r="Z73" s="1244"/>
      <c r="AA73" s="678"/>
      <c r="AB73" s="678"/>
      <c r="AC73" s="678"/>
      <c r="AD73" s="678"/>
      <c r="AE73" s="1244"/>
      <c r="AF73" s="678"/>
      <c r="AG73" s="678"/>
      <c r="AH73" s="678"/>
      <c r="AI73" s="678"/>
      <c r="AJ73" s="1244"/>
      <c r="AK73" s="678"/>
      <c r="AL73" s="678"/>
      <c r="AM73" s="678"/>
      <c r="AN73" s="678"/>
      <c r="AO73" s="1244"/>
      <c r="AP73" s="678"/>
      <c r="AQ73" s="678"/>
      <c r="AR73" s="678"/>
      <c r="AS73" s="678"/>
      <c r="AT73" s="1244"/>
      <c r="AU73" s="678"/>
      <c r="AV73" s="678"/>
      <c r="AW73" s="678"/>
      <c r="AX73" s="678"/>
      <c r="AY73" s="1270">
        <v>75</v>
      </c>
      <c r="AZ73" s="678"/>
      <c r="BA73" s="678"/>
      <c r="BB73" s="678"/>
      <c r="BC73" s="678"/>
      <c r="BD73" s="1244"/>
      <c r="BE73" s="678"/>
      <c r="BF73" s="678"/>
      <c r="BG73" s="678"/>
      <c r="BH73" s="678"/>
      <c r="BI73" s="1244"/>
      <c r="BJ73" s="678"/>
      <c r="BK73" s="678"/>
      <c r="BL73" s="678"/>
      <c r="BM73" s="678"/>
      <c r="BN73" s="1270">
        <v>85</v>
      </c>
      <c r="BO73" s="678"/>
      <c r="BP73" s="678"/>
      <c r="BQ73" s="678"/>
      <c r="BR73" s="678"/>
      <c r="BS73" s="1270">
        <v>85</v>
      </c>
      <c r="BT73" s="678"/>
      <c r="BU73" s="678"/>
      <c r="BV73" s="678"/>
      <c r="BW73" s="678"/>
      <c r="BX73" s="1244"/>
      <c r="BY73" s="954"/>
      <c r="BZ73" s="678"/>
      <c r="CA73" s="678"/>
      <c r="CB73" s="678"/>
      <c r="CC73" s="1244"/>
      <c r="CD73" s="678"/>
      <c r="CE73" s="678"/>
      <c r="CF73" s="678"/>
      <c r="CG73" s="678"/>
      <c r="CH73" s="1244"/>
      <c r="CI73" s="1244"/>
      <c r="CJ73" s="1244"/>
      <c r="CK73" s="1244"/>
      <c r="CL73" s="827"/>
    </row>
    <row r="74" spans="1:90" s="993" customFormat="1" hidden="1" outlineLevel="1" x14ac:dyDescent="0.3">
      <c r="A74" s="833" t="s">
        <v>1283</v>
      </c>
      <c r="B74" s="862"/>
      <c r="C74" s="1250"/>
      <c r="D74" s="1250"/>
      <c r="E74" s="1250"/>
      <c r="F74" s="1250"/>
      <c r="G74" s="681"/>
      <c r="H74" s="681"/>
      <c r="I74" s="681"/>
      <c r="J74" s="681"/>
      <c r="K74" s="1250"/>
      <c r="L74" s="681"/>
      <c r="M74" s="681"/>
      <c r="N74" s="681"/>
      <c r="O74" s="681"/>
      <c r="P74" s="1250"/>
      <c r="Q74" s="681"/>
      <c r="R74" s="681"/>
      <c r="S74" s="681"/>
      <c r="T74" s="681"/>
      <c r="U74" s="1250"/>
      <c r="V74" s="681"/>
      <c r="W74" s="681"/>
      <c r="X74" s="681"/>
      <c r="Y74" s="681"/>
      <c r="Z74" s="1250"/>
      <c r="AA74" s="681"/>
      <c r="AB74" s="681"/>
      <c r="AC74" s="681"/>
      <c r="AD74" s="681"/>
      <c r="AE74" s="1250"/>
      <c r="AF74" s="681"/>
      <c r="AG74" s="681"/>
      <c r="AH74" s="681"/>
      <c r="AI74" s="681"/>
      <c r="AJ74" s="1250"/>
      <c r="AK74" s="681"/>
      <c r="AL74" s="681"/>
      <c r="AM74" s="681"/>
      <c r="AN74" s="681"/>
      <c r="AO74" s="1250"/>
      <c r="AP74" s="681"/>
      <c r="AQ74" s="681"/>
      <c r="AR74" s="681"/>
      <c r="AS74" s="681"/>
      <c r="AT74" s="1250"/>
      <c r="AU74" s="681"/>
      <c r="AV74" s="681"/>
      <c r="AW74" s="681"/>
      <c r="AX74" s="681"/>
      <c r="AY74" s="1250"/>
      <c r="AZ74" s="681"/>
      <c r="BA74" s="681"/>
      <c r="BB74" s="681"/>
      <c r="BC74" s="681"/>
      <c r="BD74" s="1250"/>
      <c r="BE74" s="681"/>
      <c r="BF74" s="681"/>
      <c r="BG74" s="681"/>
      <c r="BH74" s="681"/>
      <c r="BI74" s="1250"/>
      <c r="BJ74" s="681"/>
      <c r="BK74" s="681"/>
      <c r="BL74" s="681"/>
      <c r="BM74" s="681"/>
      <c r="BN74" s="1250"/>
      <c r="BO74" s="681"/>
      <c r="BP74" s="681"/>
      <c r="BQ74" s="681"/>
      <c r="BR74" s="681"/>
      <c r="BS74" s="1276">
        <v>85</v>
      </c>
      <c r="BT74" s="681"/>
      <c r="BU74" s="681"/>
      <c r="BV74" s="681"/>
      <c r="BW74" s="681"/>
      <c r="BX74" s="1250"/>
      <c r="BY74" s="958"/>
      <c r="BZ74" s="681"/>
      <c r="CA74" s="681"/>
      <c r="CB74" s="681"/>
      <c r="CC74" s="1250"/>
      <c r="CD74" s="681"/>
      <c r="CE74" s="681"/>
      <c r="CF74" s="681"/>
      <c r="CG74" s="681"/>
      <c r="CH74" s="1250"/>
      <c r="CI74" s="1250"/>
      <c r="CJ74" s="1250"/>
      <c r="CK74" s="1250"/>
      <c r="CL74" s="827"/>
    </row>
    <row r="75" spans="1:90" s="993" customFormat="1" collapsed="1" x14ac:dyDescent="0.3">
      <c r="A75" s="197" t="s">
        <v>1139</v>
      </c>
      <c r="B75" s="677"/>
      <c r="C75" s="1244"/>
      <c r="D75" s="1244"/>
      <c r="E75" s="1244"/>
      <c r="F75" s="1244"/>
      <c r="G75" s="678"/>
      <c r="H75" s="678"/>
      <c r="I75" s="678"/>
      <c r="J75" s="678"/>
      <c r="K75" s="1244"/>
      <c r="L75" s="678"/>
      <c r="M75" s="678"/>
      <c r="N75" s="678"/>
      <c r="O75" s="678"/>
      <c r="P75" s="1244"/>
      <c r="Q75" s="678"/>
      <c r="R75" s="678"/>
      <c r="S75" s="678"/>
      <c r="T75" s="678"/>
      <c r="U75" s="1244"/>
      <c r="V75" s="678"/>
      <c r="W75" s="678"/>
      <c r="X75" s="678"/>
      <c r="Y75" s="678"/>
      <c r="Z75" s="1244"/>
      <c r="AA75" s="678"/>
      <c r="AB75" s="678"/>
      <c r="AC75" s="678"/>
      <c r="AD75" s="678"/>
      <c r="AE75" s="1244"/>
      <c r="AF75" s="678"/>
      <c r="AG75" s="678"/>
      <c r="AH75" s="678"/>
      <c r="AI75" s="678"/>
      <c r="AJ75" s="1244"/>
      <c r="AK75" s="678"/>
      <c r="AL75" s="678"/>
      <c r="AM75" s="678"/>
      <c r="AN75" s="678"/>
      <c r="AO75" s="1244"/>
      <c r="AP75" s="678"/>
      <c r="AQ75" s="678"/>
      <c r="AR75" s="678"/>
      <c r="AS75" s="678"/>
      <c r="AT75" s="1244">
        <f>SUM(AT61:AT74)</f>
        <v>817.14</v>
      </c>
      <c r="AU75" s="678"/>
      <c r="AV75" s="678"/>
      <c r="AW75" s="678"/>
      <c r="AX75" s="678"/>
      <c r="AY75" s="1244">
        <f>SUM(AY61:AY74)</f>
        <v>859.07999999999993</v>
      </c>
      <c r="AZ75" s="678"/>
      <c r="BA75" s="678"/>
      <c r="BB75" s="678"/>
      <c r="BC75" s="678"/>
      <c r="BD75" s="1244">
        <f>SUM(BD61:BD74)</f>
        <v>990</v>
      </c>
      <c r="BE75" s="678"/>
      <c r="BF75" s="678"/>
      <c r="BG75" s="678"/>
      <c r="BH75" s="678"/>
      <c r="BI75" s="1244">
        <f>SUM(BI61:BI74)</f>
        <v>1020</v>
      </c>
      <c r="BJ75" s="678"/>
      <c r="BK75" s="678"/>
      <c r="BL75" s="678"/>
      <c r="BM75" s="678"/>
      <c r="BN75" s="1244">
        <f>SUM(BN61:BN74)</f>
        <v>1076</v>
      </c>
      <c r="BO75" s="678"/>
      <c r="BP75" s="678"/>
      <c r="BQ75" s="678"/>
      <c r="BR75" s="678"/>
      <c r="BS75" s="1244">
        <f>SUM(BS61:BS74)</f>
        <v>1052.55</v>
      </c>
      <c r="BT75" s="678"/>
      <c r="BU75" s="678"/>
      <c r="BV75" s="678"/>
      <c r="BW75" s="678"/>
      <c r="BX75" s="1244"/>
      <c r="BY75" s="954"/>
      <c r="BZ75" s="678"/>
      <c r="CA75" s="678"/>
      <c r="CB75" s="678"/>
      <c r="CC75" s="1244"/>
      <c r="CD75" s="678"/>
      <c r="CE75" s="678"/>
      <c r="CF75" s="678"/>
      <c r="CG75" s="678"/>
      <c r="CH75" s="1244"/>
      <c r="CI75" s="1244"/>
      <c r="CJ75" s="1244"/>
      <c r="CK75" s="1244"/>
      <c r="CL75" s="827"/>
    </row>
    <row r="76" spans="1:90" s="993" customFormat="1" hidden="1" outlineLevel="1" x14ac:dyDescent="0.3">
      <c r="A76" s="394" t="s">
        <v>1138</v>
      </c>
      <c r="B76" s="677"/>
      <c r="C76" s="1244"/>
      <c r="D76" s="1244"/>
      <c r="E76" s="1244"/>
      <c r="F76" s="1244"/>
      <c r="G76" s="678"/>
      <c r="H76" s="678"/>
      <c r="I76" s="678"/>
      <c r="J76" s="678"/>
      <c r="K76" s="1244"/>
      <c r="L76" s="678"/>
      <c r="M76" s="678"/>
      <c r="N76" s="678"/>
      <c r="O76" s="678"/>
      <c r="P76" s="1244"/>
      <c r="Q76" s="678"/>
      <c r="R76" s="678"/>
      <c r="S76" s="678"/>
      <c r="T76" s="678"/>
      <c r="U76" s="1244"/>
      <c r="V76" s="678"/>
      <c r="W76" s="678"/>
      <c r="X76" s="678"/>
      <c r="Y76" s="678"/>
      <c r="Z76" s="1244"/>
      <c r="AA76" s="678"/>
      <c r="AB76" s="678"/>
      <c r="AC76" s="678"/>
      <c r="AD76" s="678"/>
      <c r="AE76" s="1244"/>
      <c r="AF76" s="678"/>
      <c r="AG76" s="678"/>
      <c r="AH76" s="678"/>
      <c r="AI76" s="678"/>
      <c r="AJ76" s="1244"/>
      <c r="AK76" s="678"/>
      <c r="AL76" s="678"/>
      <c r="AM76" s="678"/>
      <c r="AN76" s="678"/>
      <c r="AO76" s="1244"/>
      <c r="AP76" s="678"/>
      <c r="AQ76" s="678"/>
      <c r="AR76" s="678"/>
      <c r="AS76" s="678"/>
      <c r="AT76" s="1270">
        <v>184.536</v>
      </c>
      <c r="AU76" s="678"/>
      <c r="AV76" s="678"/>
      <c r="AW76" s="678"/>
      <c r="AX76" s="678"/>
      <c r="AY76" s="1270">
        <v>266.33800000000002</v>
      </c>
      <c r="AZ76" s="678"/>
      <c r="BA76" s="678"/>
      <c r="BB76" s="678"/>
      <c r="BC76" s="678"/>
      <c r="BD76" s="1270">
        <v>301.38099999999997</v>
      </c>
      <c r="BE76" s="678"/>
      <c r="BF76" s="678"/>
      <c r="BG76" s="678"/>
      <c r="BH76" s="678"/>
      <c r="BI76" s="1270">
        <v>268.97800000000001</v>
      </c>
      <c r="BJ76" s="678"/>
      <c r="BK76" s="678"/>
      <c r="BL76" s="678"/>
      <c r="BM76" s="678"/>
      <c r="BN76" s="1270">
        <v>274.26799999999997</v>
      </c>
      <c r="BO76" s="678"/>
      <c r="BP76" s="678"/>
      <c r="BQ76" s="678"/>
      <c r="BR76" s="678"/>
      <c r="BS76" s="1270">
        <v>258.82799999999997</v>
      </c>
      <c r="BT76" s="678"/>
      <c r="BU76" s="678"/>
      <c r="BV76" s="678"/>
      <c r="BW76" s="678"/>
      <c r="BX76" s="1244"/>
      <c r="BY76" s="954"/>
      <c r="BZ76" s="678"/>
      <c r="CA76" s="678"/>
      <c r="CB76" s="678"/>
      <c r="CC76" s="1244"/>
      <c r="CD76" s="678"/>
      <c r="CE76" s="678"/>
      <c r="CF76" s="678"/>
      <c r="CG76" s="678"/>
      <c r="CH76" s="1244"/>
      <c r="CI76" s="1244"/>
      <c r="CJ76" s="1244"/>
      <c r="CK76" s="1244"/>
      <c r="CL76" s="827"/>
    </row>
    <row r="77" spans="1:90" s="993" customFormat="1" hidden="1" outlineLevel="1" x14ac:dyDescent="0.3">
      <c r="A77" s="394" t="s">
        <v>1137</v>
      </c>
      <c r="B77" s="677"/>
      <c r="C77" s="1244"/>
      <c r="D77" s="1244"/>
      <c r="E77" s="1244"/>
      <c r="F77" s="1244"/>
      <c r="G77" s="678"/>
      <c r="H77" s="678"/>
      <c r="I77" s="678"/>
      <c r="J77" s="678"/>
      <c r="K77" s="1244"/>
      <c r="L77" s="678"/>
      <c r="M77" s="678"/>
      <c r="N77" s="678"/>
      <c r="O77" s="678"/>
      <c r="P77" s="1244"/>
      <c r="Q77" s="678"/>
      <c r="R77" s="678"/>
      <c r="S77" s="678"/>
      <c r="T77" s="678"/>
      <c r="U77" s="1244"/>
      <c r="V77" s="678"/>
      <c r="W77" s="678"/>
      <c r="X77" s="678"/>
      <c r="Y77" s="678"/>
      <c r="Z77" s="1244"/>
      <c r="AA77" s="678"/>
      <c r="AB77" s="678"/>
      <c r="AC77" s="678"/>
      <c r="AD77" s="678"/>
      <c r="AE77" s="1244"/>
      <c r="AF77" s="678"/>
      <c r="AG77" s="678"/>
      <c r="AH77" s="678"/>
      <c r="AI77" s="678"/>
      <c r="AJ77" s="1244"/>
      <c r="AK77" s="678"/>
      <c r="AL77" s="678"/>
      <c r="AM77" s="678"/>
      <c r="AN77" s="678"/>
      <c r="AO77" s="1244"/>
      <c r="AP77" s="678"/>
      <c r="AQ77" s="678"/>
      <c r="AR77" s="678"/>
      <c r="AS77" s="678"/>
      <c r="AT77" s="1270">
        <v>184.536</v>
      </c>
      <c r="AU77" s="678"/>
      <c r="AV77" s="678"/>
      <c r="AW77" s="678"/>
      <c r="AX77" s="678"/>
      <c r="AY77" s="1270">
        <v>266.33800000000002</v>
      </c>
      <c r="AZ77" s="678"/>
      <c r="BA77" s="678"/>
      <c r="BB77" s="678"/>
      <c r="BC77" s="678"/>
      <c r="BD77" s="1270">
        <v>301.38099999999997</v>
      </c>
      <c r="BE77" s="678"/>
      <c r="BF77" s="678"/>
      <c r="BG77" s="678"/>
      <c r="BH77" s="678"/>
      <c r="BI77" s="1270">
        <v>268.97800000000001</v>
      </c>
      <c r="BJ77" s="678"/>
      <c r="BK77" s="678"/>
      <c r="BL77" s="678"/>
      <c r="BM77" s="678"/>
      <c r="BN77" s="1270">
        <v>274.26799999999997</v>
      </c>
      <c r="BO77" s="678"/>
      <c r="BP77" s="678"/>
      <c r="BQ77" s="678"/>
      <c r="BR77" s="678"/>
      <c r="BS77" s="1270">
        <v>258.82799999999997</v>
      </c>
      <c r="BT77" s="678"/>
      <c r="BU77" s="678"/>
      <c r="BV77" s="678"/>
      <c r="BW77" s="678"/>
      <c r="BX77" s="1244"/>
      <c r="BY77" s="954"/>
      <c r="BZ77" s="678"/>
      <c r="CA77" s="678"/>
      <c r="CB77" s="678"/>
      <c r="CC77" s="1244"/>
      <c r="CD77" s="678"/>
      <c r="CE77" s="678"/>
      <c r="CF77" s="678"/>
      <c r="CG77" s="678"/>
      <c r="CH77" s="1244"/>
      <c r="CI77" s="1244"/>
      <c r="CJ77" s="1244"/>
      <c r="CK77" s="1244"/>
      <c r="CL77" s="827"/>
    </row>
    <row r="78" spans="1:90" s="993" customFormat="1" hidden="1" outlineLevel="1" x14ac:dyDescent="0.3">
      <c r="A78" s="394" t="s">
        <v>1136</v>
      </c>
      <c r="B78" s="677"/>
      <c r="C78" s="1244"/>
      <c r="D78" s="1244"/>
      <c r="E78" s="1244"/>
      <c r="F78" s="1244"/>
      <c r="G78" s="678"/>
      <c r="H78" s="678"/>
      <c r="I78" s="678"/>
      <c r="J78" s="678"/>
      <c r="K78" s="1244"/>
      <c r="L78" s="678"/>
      <c r="M78" s="678"/>
      <c r="N78" s="678"/>
      <c r="O78" s="678"/>
      <c r="P78" s="1244"/>
      <c r="Q78" s="678"/>
      <c r="R78" s="678"/>
      <c r="S78" s="678"/>
      <c r="T78" s="678"/>
      <c r="U78" s="1244"/>
      <c r="V78" s="678"/>
      <c r="W78" s="678"/>
      <c r="X78" s="678"/>
      <c r="Y78" s="678"/>
      <c r="Z78" s="1244"/>
      <c r="AA78" s="678"/>
      <c r="AB78" s="678"/>
      <c r="AC78" s="678"/>
      <c r="AD78" s="678"/>
      <c r="AE78" s="1244"/>
      <c r="AF78" s="678"/>
      <c r="AG78" s="678"/>
      <c r="AH78" s="678"/>
      <c r="AI78" s="678"/>
      <c r="AJ78" s="1244"/>
      <c r="AK78" s="678"/>
      <c r="AL78" s="678"/>
      <c r="AM78" s="678"/>
      <c r="AN78" s="678"/>
      <c r="AO78" s="1244"/>
      <c r="AP78" s="678"/>
      <c r="AQ78" s="678"/>
      <c r="AR78" s="678"/>
      <c r="AS78" s="678"/>
      <c r="AT78" s="1270">
        <v>184.536</v>
      </c>
      <c r="AU78" s="678"/>
      <c r="AV78" s="678"/>
      <c r="AW78" s="678"/>
      <c r="AX78" s="678"/>
      <c r="AY78" s="1270">
        <v>558.14499999999998</v>
      </c>
      <c r="AZ78" s="678"/>
      <c r="BA78" s="678"/>
      <c r="BB78" s="678"/>
      <c r="BC78" s="678"/>
      <c r="BD78" s="1270">
        <v>301.38099999999997</v>
      </c>
      <c r="BE78" s="678"/>
      <c r="BF78" s="678"/>
      <c r="BG78" s="678"/>
      <c r="BH78" s="678"/>
      <c r="BI78" s="1270">
        <v>268.97800000000001</v>
      </c>
      <c r="BJ78" s="678"/>
      <c r="BK78" s="678"/>
      <c r="BL78" s="678"/>
      <c r="BM78" s="678"/>
      <c r="BN78" s="1270">
        <v>274.26799999999997</v>
      </c>
      <c r="BO78" s="678"/>
      <c r="BP78" s="678"/>
      <c r="BQ78" s="678"/>
      <c r="BR78" s="678"/>
      <c r="BS78" s="1270">
        <v>258.82799999999997</v>
      </c>
      <c r="BT78" s="678"/>
      <c r="BU78" s="678"/>
      <c r="BV78" s="678"/>
      <c r="BW78" s="678"/>
      <c r="BX78" s="1244"/>
      <c r="BY78" s="954"/>
      <c r="BZ78" s="678"/>
      <c r="CA78" s="678"/>
      <c r="CB78" s="678"/>
      <c r="CC78" s="1244"/>
      <c r="CD78" s="678"/>
      <c r="CE78" s="678"/>
      <c r="CF78" s="678"/>
      <c r="CG78" s="678"/>
      <c r="CH78" s="1244"/>
      <c r="CI78" s="1244"/>
      <c r="CJ78" s="1244"/>
      <c r="CK78" s="1244"/>
      <c r="CL78" s="827"/>
    </row>
    <row r="79" spans="1:90" s="993" customFormat="1" hidden="1" outlineLevel="1" x14ac:dyDescent="0.3">
      <c r="A79" s="394" t="s">
        <v>1135</v>
      </c>
      <c r="B79" s="677"/>
      <c r="C79" s="1244"/>
      <c r="D79" s="1244"/>
      <c r="E79" s="1244"/>
      <c r="F79" s="1244"/>
      <c r="G79" s="678"/>
      <c r="H79" s="678"/>
      <c r="I79" s="678"/>
      <c r="J79" s="678"/>
      <c r="K79" s="1244"/>
      <c r="L79" s="678"/>
      <c r="M79" s="678"/>
      <c r="N79" s="678"/>
      <c r="O79" s="678"/>
      <c r="P79" s="1244"/>
      <c r="Q79" s="678"/>
      <c r="R79" s="678"/>
      <c r="S79" s="678"/>
      <c r="T79" s="678"/>
      <c r="U79" s="1244"/>
      <c r="V79" s="678"/>
      <c r="W79" s="678"/>
      <c r="X79" s="678"/>
      <c r="Y79" s="678"/>
      <c r="Z79" s="1244"/>
      <c r="AA79" s="678"/>
      <c r="AB79" s="678"/>
      <c r="AC79" s="678"/>
      <c r="AD79" s="678"/>
      <c r="AE79" s="1244"/>
      <c r="AF79" s="678"/>
      <c r="AG79" s="678"/>
      <c r="AH79" s="678"/>
      <c r="AI79" s="678"/>
      <c r="AJ79" s="1244"/>
      <c r="AK79" s="678"/>
      <c r="AL79" s="678"/>
      <c r="AM79" s="678"/>
      <c r="AN79" s="678"/>
      <c r="AO79" s="1244"/>
      <c r="AP79" s="678"/>
      <c r="AQ79" s="678"/>
      <c r="AR79" s="678"/>
      <c r="AS79" s="678"/>
      <c r="AT79" s="1270">
        <v>184.536</v>
      </c>
      <c r="AU79" s="678"/>
      <c r="AV79" s="678"/>
      <c r="AW79" s="678"/>
      <c r="AX79" s="678"/>
      <c r="AY79" s="1270">
        <v>266.33800000000002</v>
      </c>
      <c r="AZ79" s="678"/>
      <c r="BA79" s="678"/>
      <c r="BB79" s="678"/>
      <c r="BC79" s="678"/>
      <c r="BD79" s="1270">
        <v>301.38099999999997</v>
      </c>
      <c r="BE79" s="678"/>
      <c r="BF79" s="678"/>
      <c r="BG79" s="678"/>
      <c r="BH79" s="678"/>
      <c r="BI79" s="1270">
        <v>268.97800000000001</v>
      </c>
      <c r="BJ79" s="678"/>
      <c r="BK79" s="678"/>
      <c r="BL79" s="678"/>
      <c r="BM79" s="678"/>
      <c r="BN79" s="1270">
        <v>274.26799999999997</v>
      </c>
      <c r="BO79" s="678"/>
      <c r="BP79" s="678"/>
      <c r="BQ79" s="678"/>
      <c r="BR79" s="678"/>
      <c r="BS79" s="1270">
        <v>258.82799999999997</v>
      </c>
      <c r="BT79" s="678"/>
      <c r="BU79" s="678"/>
      <c r="BV79" s="678"/>
      <c r="BW79" s="678"/>
      <c r="BX79" s="1244"/>
      <c r="BY79" s="954"/>
      <c r="BZ79" s="678"/>
      <c r="CA79" s="678"/>
      <c r="CB79" s="678"/>
      <c r="CC79" s="1244"/>
      <c r="CD79" s="678"/>
      <c r="CE79" s="678"/>
      <c r="CF79" s="678"/>
      <c r="CG79" s="678"/>
      <c r="CH79" s="1244"/>
      <c r="CI79" s="1244"/>
      <c r="CJ79" s="1244"/>
      <c r="CK79" s="1244"/>
      <c r="CL79" s="827"/>
    </row>
    <row r="80" spans="1:90" s="993" customFormat="1" hidden="1" outlineLevel="1" x14ac:dyDescent="0.3">
      <c r="A80" s="394" t="s">
        <v>1134</v>
      </c>
      <c r="B80" s="677"/>
      <c r="C80" s="1244"/>
      <c r="D80" s="1244"/>
      <c r="E80" s="1244"/>
      <c r="F80" s="1244"/>
      <c r="G80" s="678"/>
      <c r="H80" s="678"/>
      <c r="I80" s="678"/>
      <c r="J80" s="678"/>
      <c r="K80" s="1244"/>
      <c r="L80" s="678"/>
      <c r="M80" s="678"/>
      <c r="N80" s="678"/>
      <c r="O80" s="678"/>
      <c r="P80" s="1244"/>
      <c r="Q80" s="678"/>
      <c r="R80" s="678"/>
      <c r="S80" s="678"/>
      <c r="T80" s="678"/>
      <c r="U80" s="1244"/>
      <c r="V80" s="678"/>
      <c r="W80" s="678"/>
      <c r="X80" s="678"/>
      <c r="Y80" s="678"/>
      <c r="Z80" s="1244"/>
      <c r="AA80" s="678"/>
      <c r="AB80" s="678"/>
      <c r="AC80" s="678"/>
      <c r="AD80" s="678"/>
      <c r="AE80" s="1244"/>
      <c r="AF80" s="678"/>
      <c r="AG80" s="678"/>
      <c r="AH80" s="678"/>
      <c r="AI80" s="678"/>
      <c r="AJ80" s="1244"/>
      <c r="AK80" s="678"/>
      <c r="AL80" s="678"/>
      <c r="AM80" s="678"/>
      <c r="AN80" s="678"/>
      <c r="AO80" s="1244"/>
      <c r="AP80" s="678"/>
      <c r="AQ80" s="678"/>
      <c r="AR80" s="678"/>
      <c r="AS80" s="678"/>
      <c r="AT80" s="1270">
        <v>184.536</v>
      </c>
      <c r="AU80" s="678"/>
      <c r="AV80" s="678"/>
      <c r="AW80" s="678"/>
      <c r="AX80" s="678"/>
      <c r="AY80" s="1270">
        <v>0</v>
      </c>
      <c r="AZ80" s="678"/>
      <c r="BA80" s="678"/>
      <c r="BB80" s="678"/>
      <c r="BC80" s="678"/>
      <c r="BD80" s="1270">
        <v>301.38099999999997</v>
      </c>
      <c r="BE80" s="678"/>
      <c r="BF80" s="678"/>
      <c r="BG80" s="678"/>
      <c r="BH80" s="678"/>
      <c r="BI80" s="1270">
        <v>268.97800000000001</v>
      </c>
      <c r="BJ80" s="678"/>
      <c r="BK80" s="678"/>
      <c r="BL80" s="678"/>
      <c r="BM80" s="678"/>
      <c r="BN80" s="1270">
        <v>274.26799999999997</v>
      </c>
      <c r="BO80" s="678"/>
      <c r="BP80" s="678"/>
      <c r="BQ80" s="678"/>
      <c r="BR80" s="678"/>
      <c r="BS80" s="1270">
        <v>258.82799999999997</v>
      </c>
      <c r="BT80" s="678"/>
      <c r="BU80" s="678"/>
      <c r="BV80" s="678"/>
      <c r="BW80" s="678"/>
      <c r="BX80" s="1244"/>
      <c r="BY80" s="954"/>
      <c r="BZ80" s="678"/>
      <c r="CA80" s="678"/>
      <c r="CB80" s="678"/>
      <c r="CC80" s="1244"/>
      <c r="CD80" s="678"/>
      <c r="CE80" s="678"/>
      <c r="CF80" s="678"/>
      <c r="CG80" s="678"/>
      <c r="CH80" s="1244"/>
      <c r="CI80" s="1244"/>
      <c r="CJ80" s="1244"/>
      <c r="CK80" s="1244"/>
      <c r="CL80" s="827"/>
    </row>
    <row r="81" spans="1:90" s="993" customFormat="1" hidden="1" outlineLevel="1" x14ac:dyDescent="0.3">
      <c r="A81" s="394" t="s">
        <v>1133</v>
      </c>
      <c r="B81" s="677"/>
      <c r="C81" s="1244"/>
      <c r="D81" s="1244"/>
      <c r="E81" s="1244"/>
      <c r="F81" s="1244"/>
      <c r="G81" s="678"/>
      <c r="H81" s="678"/>
      <c r="I81" s="678"/>
      <c r="J81" s="678"/>
      <c r="K81" s="1244"/>
      <c r="L81" s="678"/>
      <c r="M81" s="678"/>
      <c r="N81" s="678"/>
      <c r="O81" s="678"/>
      <c r="P81" s="1244"/>
      <c r="Q81" s="678"/>
      <c r="R81" s="678"/>
      <c r="S81" s="678"/>
      <c r="T81" s="678"/>
      <c r="U81" s="1244"/>
      <c r="V81" s="678"/>
      <c r="W81" s="678"/>
      <c r="X81" s="678"/>
      <c r="Y81" s="678"/>
      <c r="Z81" s="1244"/>
      <c r="AA81" s="678"/>
      <c r="AB81" s="678"/>
      <c r="AC81" s="678"/>
      <c r="AD81" s="678"/>
      <c r="AE81" s="1244"/>
      <c r="AF81" s="678"/>
      <c r="AG81" s="678"/>
      <c r="AH81" s="678"/>
      <c r="AI81" s="678"/>
      <c r="AJ81" s="1244"/>
      <c r="AK81" s="678"/>
      <c r="AL81" s="678"/>
      <c r="AM81" s="678"/>
      <c r="AN81" s="678"/>
      <c r="AO81" s="1244"/>
      <c r="AP81" s="678"/>
      <c r="AQ81" s="678"/>
      <c r="AR81" s="678"/>
      <c r="AS81" s="678"/>
      <c r="AT81" s="1270">
        <v>184.536</v>
      </c>
      <c r="AU81" s="678"/>
      <c r="AV81" s="678"/>
      <c r="AW81" s="678"/>
      <c r="AX81" s="678"/>
      <c r="AY81" s="1270">
        <v>266.33800000000002</v>
      </c>
      <c r="AZ81" s="678"/>
      <c r="BA81" s="678"/>
      <c r="BB81" s="678"/>
      <c r="BC81" s="678"/>
      <c r="BD81" s="1270">
        <v>301.38099999999997</v>
      </c>
      <c r="BE81" s="678"/>
      <c r="BF81" s="678"/>
      <c r="BG81" s="678"/>
      <c r="BH81" s="678"/>
      <c r="BI81" s="1270">
        <v>268.97800000000001</v>
      </c>
      <c r="BJ81" s="678"/>
      <c r="BK81" s="678"/>
      <c r="BL81" s="678"/>
      <c r="BM81" s="678"/>
      <c r="BN81" s="1270">
        <v>274.26799999999997</v>
      </c>
      <c r="BO81" s="678"/>
      <c r="BP81" s="678"/>
      <c r="BQ81" s="678"/>
      <c r="BR81" s="678"/>
      <c r="BS81" s="1270">
        <v>258.82799999999997</v>
      </c>
      <c r="BT81" s="678"/>
      <c r="BU81" s="678"/>
      <c r="BV81" s="678"/>
      <c r="BW81" s="678"/>
      <c r="BX81" s="1244"/>
      <c r="BY81" s="954"/>
      <c r="BZ81" s="678"/>
      <c r="CA81" s="678"/>
      <c r="CB81" s="678"/>
      <c r="CC81" s="1244"/>
      <c r="CD81" s="678"/>
      <c r="CE81" s="678"/>
      <c r="CF81" s="678"/>
      <c r="CG81" s="678"/>
      <c r="CH81" s="1244"/>
      <c r="CI81" s="1244"/>
      <c r="CJ81" s="1244"/>
      <c r="CK81" s="1244"/>
      <c r="CL81" s="827"/>
    </row>
    <row r="82" spans="1:90" s="993" customFormat="1" hidden="1" outlineLevel="1" x14ac:dyDescent="0.3">
      <c r="A82" s="394" t="s">
        <v>1132</v>
      </c>
      <c r="B82" s="677"/>
      <c r="C82" s="1244"/>
      <c r="D82" s="1244"/>
      <c r="E82" s="1244"/>
      <c r="F82" s="1244"/>
      <c r="G82" s="678"/>
      <c r="H82" s="678"/>
      <c r="I82" s="678"/>
      <c r="J82" s="678"/>
      <c r="K82" s="1244"/>
      <c r="L82" s="678"/>
      <c r="M82" s="678"/>
      <c r="N82" s="678"/>
      <c r="O82" s="678"/>
      <c r="P82" s="1244"/>
      <c r="Q82" s="678"/>
      <c r="R82" s="678"/>
      <c r="S82" s="678"/>
      <c r="T82" s="678"/>
      <c r="U82" s="1244"/>
      <c r="V82" s="678"/>
      <c r="W82" s="678"/>
      <c r="X82" s="678"/>
      <c r="Y82" s="678"/>
      <c r="Z82" s="1244"/>
      <c r="AA82" s="678"/>
      <c r="AB82" s="678"/>
      <c r="AC82" s="678"/>
      <c r="AD82" s="678"/>
      <c r="AE82" s="1244"/>
      <c r="AF82" s="678"/>
      <c r="AG82" s="678"/>
      <c r="AH82" s="678"/>
      <c r="AI82" s="678"/>
      <c r="AJ82" s="1244"/>
      <c r="AK82" s="678"/>
      <c r="AL82" s="678"/>
      <c r="AM82" s="678"/>
      <c r="AN82" s="678"/>
      <c r="AO82" s="1244"/>
      <c r="AP82" s="678"/>
      <c r="AQ82" s="678"/>
      <c r="AR82" s="678"/>
      <c r="AS82" s="678"/>
      <c r="AT82" s="1270">
        <v>184.536</v>
      </c>
      <c r="AU82" s="678"/>
      <c r="AV82" s="678"/>
      <c r="AW82" s="678"/>
      <c r="AX82" s="678"/>
      <c r="AY82" s="1270">
        <v>266.33800000000002</v>
      </c>
      <c r="AZ82" s="678"/>
      <c r="BA82" s="678"/>
      <c r="BB82" s="678"/>
      <c r="BC82" s="678"/>
      <c r="BD82" s="1270">
        <v>301.38099999999997</v>
      </c>
      <c r="BE82" s="678"/>
      <c r="BF82" s="678"/>
      <c r="BG82" s="678"/>
      <c r="BH82" s="678"/>
      <c r="BI82" s="1270">
        <v>268.97800000000001</v>
      </c>
      <c r="BJ82" s="678"/>
      <c r="BK82" s="678"/>
      <c r="BL82" s="678"/>
      <c r="BM82" s="678"/>
      <c r="BN82" s="1270">
        <v>525.37199999999996</v>
      </c>
      <c r="BO82" s="678"/>
      <c r="BP82" s="678"/>
      <c r="BQ82" s="678"/>
      <c r="BR82" s="678"/>
      <c r="BS82" s="1270">
        <v>258.82799999999997</v>
      </c>
      <c r="BT82" s="678"/>
      <c r="BU82" s="678"/>
      <c r="BV82" s="678"/>
      <c r="BW82" s="678"/>
      <c r="BX82" s="1244"/>
      <c r="BY82" s="954"/>
      <c r="BZ82" s="678"/>
      <c r="CA82" s="678"/>
      <c r="CB82" s="678"/>
      <c r="CC82" s="1244"/>
      <c r="CD82" s="678"/>
      <c r="CE82" s="678"/>
      <c r="CF82" s="678"/>
      <c r="CG82" s="678"/>
      <c r="CH82" s="1244"/>
      <c r="CI82" s="1244"/>
      <c r="CJ82" s="1244"/>
      <c r="CK82" s="1244"/>
      <c r="CL82" s="827"/>
    </row>
    <row r="83" spans="1:90" s="993" customFormat="1" hidden="1" outlineLevel="1" x14ac:dyDescent="0.3">
      <c r="A83" s="394" t="s">
        <v>1131</v>
      </c>
      <c r="B83" s="677"/>
      <c r="C83" s="1244"/>
      <c r="D83" s="1244"/>
      <c r="E83" s="1244"/>
      <c r="F83" s="1244"/>
      <c r="G83" s="678"/>
      <c r="H83" s="678"/>
      <c r="I83" s="678"/>
      <c r="J83" s="678"/>
      <c r="K83" s="1244"/>
      <c r="L83" s="678"/>
      <c r="M83" s="678"/>
      <c r="N83" s="678"/>
      <c r="O83" s="678"/>
      <c r="P83" s="1244"/>
      <c r="Q83" s="678"/>
      <c r="R83" s="678"/>
      <c r="S83" s="678"/>
      <c r="T83" s="678"/>
      <c r="U83" s="1244"/>
      <c r="V83" s="678"/>
      <c r="W83" s="678"/>
      <c r="X83" s="678"/>
      <c r="Y83" s="678"/>
      <c r="Z83" s="1244"/>
      <c r="AA83" s="678"/>
      <c r="AB83" s="678"/>
      <c r="AC83" s="678"/>
      <c r="AD83" s="678"/>
      <c r="AE83" s="1244"/>
      <c r="AF83" s="678"/>
      <c r="AG83" s="678"/>
      <c r="AH83" s="678"/>
      <c r="AI83" s="678"/>
      <c r="AJ83" s="1244"/>
      <c r="AK83" s="678"/>
      <c r="AL83" s="678"/>
      <c r="AM83" s="678"/>
      <c r="AN83" s="678"/>
      <c r="AO83" s="1244"/>
      <c r="AP83" s="678"/>
      <c r="AQ83" s="678"/>
      <c r="AR83" s="678"/>
      <c r="AS83" s="678"/>
      <c r="AT83" s="1270">
        <v>480.77600000000001</v>
      </c>
      <c r="AU83" s="678"/>
      <c r="AV83" s="678"/>
      <c r="AW83" s="678"/>
      <c r="AX83" s="678"/>
      <c r="AY83" s="1270">
        <v>266.33800000000002</v>
      </c>
      <c r="AZ83" s="678"/>
      <c r="BA83" s="678"/>
      <c r="BB83" s="678"/>
      <c r="BC83" s="678"/>
      <c r="BD83" s="1270">
        <v>301.38099999999997</v>
      </c>
      <c r="BE83" s="678"/>
      <c r="BF83" s="678"/>
      <c r="BG83" s="678"/>
      <c r="BH83" s="678"/>
      <c r="BI83" s="1270">
        <v>268.97800000000001</v>
      </c>
      <c r="BJ83" s="678"/>
      <c r="BK83" s="678"/>
      <c r="BL83" s="678"/>
      <c r="BM83" s="678"/>
      <c r="BN83" s="1270">
        <v>274.26799999999997</v>
      </c>
      <c r="BO83" s="678"/>
      <c r="BP83" s="678"/>
      <c r="BQ83" s="678"/>
      <c r="BR83" s="678"/>
      <c r="BS83" s="1244"/>
      <c r="BT83" s="678"/>
      <c r="BU83" s="678"/>
      <c r="BV83" s="678"/>
      <c r="BW83" s="678"/>
      <c r="BX83" s="1244"/>
      <c r="BY83" s="954"/>
      <c r="BZ83" s="678"/>
      <c r="CA83" s="678"/>
      <c r="CB83" s="678"/>
      <c r="CC83" s="1244"/>
      <c r="CD83" s="678"/>
      <c r="CE83" s="678"/>
      <c r="CF83" s="678"/>
      <c r="CG83" s="678"/>
      <c r="CH83" s="1244"/>
      <c r="CI83" s="1244"/>
      <c r="CJ83" s="1244"/>
      <c r="CK83" s="1244"/>
      <c r="CL83" s="827"/>
    </row>
    <row r="84" spans="1:90" s="993" customFormat="1" hidden="1" outlineLevel="1" x14ac:dyDescent="0.3">
      <c r="A84" s="394" t="s">
        <v>1130</v>
      </c>
      <c r="B84" s="677"/>
      <c r="C84" s="1244"/>
      <c r="D84" s="1244"/>
      <c r="E84" s="1244"/>
      <c r="F84" s="1244"/>
      <c r="G84" s="678"/>
      <c r="H84" s="678"/>
      <c r="I84" s="678"/>
      <c r="J84" s="678"/>
      <c r="K84" s="1244"/>
      <c r="L84" s="678"/>
      <c r="M84" s="678"/>
      <c r="N84" s="678"/>
      <c r="O84" s="678"/>
      <c r="P84" s="1244"/>
      <c r="Q84" s="678"/>
      <c r="R84" s="678"/>
      <c r="S84" s="678"/>
      <c r="T84" s="678"/>
      <c r="U84" s="1244"/>
      <c r="V84" s="678"/>
      <c r="W84" s="678"/>
      <c r="X84" s="678"/>
      <c r="Y84" s="678"/>
      <c r="Z84" s="1244"/>
      <c r="AA84" s="678"/>
      <c r="AB84" s="678"/>
      <c r="AC84" s="678"/>
      <c r="AD84" s="678"/>
      <c r="AE84" s="1244"/>
      <c r="AF84" s="678"/>
      <c r="AG84" s="678"/>
      <c r="AH84" s="678"/>
      <c r="AI84" s="678"/>
      <c r="AJ84" s="1244"/>
      <c r="AK84" s="678"/>
      <c r="AL84" s="678"/>
      <c r="AM84" s="678"/>
      <c r="AN84" s="678"/>
      <c r="AO84" s="1244"/>
      <c r="AP84" s="678"/>
      <c r="AQ84" s="678"/>
      <c r="AR84" s="678"/>
      <c r="AS84" s="678"/>
      <c r="AT84" s="1270">
        <v>184.536</v>
      </c>
      <c r="AU84" s="678"/>
      <c r="AV84" s="678"/>
      <c r="AW84" s="678"/>
      <c r="AX84" s="678"/>
      <c r="AY84" s="1270">
        <v>266.33800000000002</v>
      </c>
      <c r="AZ84" s="678"/>
      <c r="BA84" s="678"/>
      <c r="BB84" s="678"/>
      <c r="BC84" s="678"/>
      <c r="BD84" s="1270">
        <v>301.38099999999997</v>
      </c>
      <c r="BE84" s="678"/>
      <c r="BF84" s="678"/>
      <c r="BG84" s="678"/>
      <c r="BH84" s="678"/>
      <c r="BI84" s="1270">
        <v>268.97800000000001</v>
      </c>
      <c r="BJ84" s="678"/>
      <c r="BK84" s="678"/>
      <c r="BL84" s="678"/>
      <c r="BM84" s="678"/>
      <c r="BN84" s="1270">
        <v>274.26799999999997</v>
      </c>
      <c r="BO84" s="678"/>
      <c r="BP84" s="678"/>
      <c r="BQ84" s="678"/>
      <c r="BR84" s="678"/>
      <c r="BS84" s="1270">
        <v>258.82799999999997</v>
      </c>
      <c r="BT84" s="678"/>
      <c r="BU84" s="678"/>
      <c r="BV84" s="678"/>
      <c r="BW84" s="678"/>
      <c r="BX84" s="1244"/>
      <c r="BY84" s="954"/>
      <c r="BZ84" s="678"/>
      <c r="CA84" s="678"/>
      <c r="CB84" s="678"/>
      <c r="CC84" s="1244"/>
      <c r="CD84" s="678"/>
      <c r="CE84" s="678"/>
      <c r="CF84" s="678"/>
      <c r="CG84" s="678"/>
      <c r="CH84" s="1244"/>
      <c r="CI84" s="1244"/>
      <c r="CJ84" s="1244"/>
      <c r="CK84" s="1244"/>
      <c r="CL84" s="827"/>
    </row>
    <row r="85" spans="1:90" s="993" customFormat="1" hidden="1" outlineLevel="1" x14ac:dyDescent="0.3">
      <c r="A85" s="394" t="s">
        <v>1129</v>
      </c>
      <c r="B85" s="677"/>
      <c r="C85" s="1244"/>
      <c r="D85" s="1244"/>
      <c r="E85" s="1244"/>
      <c r="F85" s="1244"/>
      <c r="G85" s="678"/>
      <c r="H85" s="678"/>
      <c r="I85" s="678"/>
      <c r="J85" s="678"/>
      <c r="K85" s="1244"/>
      <c r="L85" s="678"/>
      <c r="M85" s="678"/>
      <c r="N85" s="678"/>
      <c r="O85" s="678"/>
      <c r="P85" s="1244"/>
      <c r="Q85" s="678"/>
      <c r="R85" s="678"/>
      <c r="S85" s="678"/>
      <c r="T85" s="678"/>
      <c r="U85" s="1244"/>
      <c r="V85" s="678"/>
      <c r="W85" s="678"/>
      <c r="X85" s="678"/>
      <c r="Y85" s="678"/>
      <c r="Z85" s="1244"/>
      <c r="AA85" s="678"/>
      <c r="AB85" s="678"/>
      <c r="AC85" s="678"/>
      <c r="AD85" s="678"/>
      <c r="AE85" s="1244"/>
      <c r="AF85" s="678"/>
      <c r="AG85" s="678"/>
      <c r="AH85" s="678"/>
      <c r="AI85" s="678"/>
      <c r="AJ85" s="1244"/>
      <c r="AK85" s="678"/>
      <c r="AL85" s="678"/>
      <c r="AM85" s="678"/>
      <c r="AN85" s="678"/>
      <c r="AO85" s="1244"/>
      <c r="AP85" s="678"/>
      <c r="AQ85" s="678"/>
      <c r="AR85" s="678"/>
      <c r="AS85" s="678"/>
      <c r="AT85" s="1270">
        <v>184.536</v>
      </c>
      <c r="AU85" s="678"/>
      <c r="AV85" s="678"/>
      <c r="AW85" s="678"/>
      <c r="AX85" s="678"/>
      <c r="AY85" s="1270">
        <v>266.33800000000002</v>
      </c>
      <c r="AZ85" s="678"/>
      <c r="BA85" s="678"/>
      <c r="BB85" s="678"/>
      <c r="BC85" s="678"/>
      <c r="BD85" s="1270">
        <v>301.38099999999997</v>
      </c>
      <c r="BE85" s="678"/>
      <c r="BF85" s="678"/>
      <c r="BG85" s="678"/>
      <c r="BH85" s="678"/>
      <c r="BI85" s="1270">
        <v>268.97800000000001</v>
      </c>
      <c r="BJ85" s="678"/>
      <c r="BK85" s="678"/>
      <c r="BL85" s="678"/>
      <c r="BM85" s="678"/>
      <c r="BN85" s="1270">
        <v>274.26799999999997</v>
      </c>
      <c r="BO85" s="678"/>
      <c r="BP85" s="678"/>
      <c r="BQ85" s="678"/>
      <c r="BR85" s="678"/>
      <c r="BS85" s="1270">
        <v>439.65899999999999</v>
      </c>
      <c r="BT85" s="678"/>
      <c r="BU85" s="678"/>
      <c r="BV85" s="678"/>
      <c r="BW85" s="678"/>
      <c r="BX85" s="1244"/>
      <c r="BY85" s="954"/>
      <c r="BZ85" s="678"/>
      <c r="CA85" s="678"/>
      <c r="CB85" s="678"/>
      <c r="CC85" s="1244"/>
      <c r="CD85" s="678"/>
      <c r="CE85" s="678"/>
      <c r="CF85" s="678"/>
      <c r="CG85" s="678"/>
      <c r="CH85" s="1244"/>
      <c r="CI85" s="1244"/>
      <c r="CJ85" s="1244"/>
      <c r="CK85" s="1244"/>
      <c r="CL85" s="827"/>
    </row>
    <row r="86" spans="1:90" s="993" customFormat="1" hidden="1" outlineLevel="1" x14ac:dyDescent="0.3">
      <c r="A86" s="394" t="s">
        <v>1128</v>
      </c>
      <c r="B86" s="677"/>
      <c r="C86" s="1244"/>
      <c r="D86" s="1244"/>
      <c r="E86" s="1244"/>
      <c r="F86" s="1244"/>
      <c r="G86" s="678"/>
      <c r="H86" s="678"/>
      <c r="I86" s="678"/>
      <c r="J86" s="678"/>
      <c r="K86" s="1244"/>
      <c r="L86" s="678"/>
      <c r="M86" s="678"/>
      <c r="N86" s="678"/>
      <c r="O86" s="678"/>
      <c r="P86" s="1244"/>
      <c r="Q86" s="678"/>
      <c r="R86" s="678"/>
      <c r="S86" s="678"/>
      <c r="T86" s="678"/>
      <c r="U86" s="1244"/>
      <c r="V86" s="678"/>
      <c r="W86" s="678"/>
      <c r="X86" s="678"/>
      <c r="Y86" s="678"/>
      <c r="Z86" s="1244"/>
      <c r="AA86" s="678"/>
      <c r="AB86" s="678"/>
      <c r="AC86" s="678"/>
      <c r="AD86" s="678"/>
      <c r="AE86" s="1244"/>
      <c r="AF86" s="678"/>
      <c r="AG86" s="678"/>
      <c r="AH86" s="678"/>
      <c r="AI86" s="678"/>
      <c r="AJ86" s="1244"/>
      <c r="AK86" s="678"/>
      <c r="AL86" s="678"/>
      <c r="AM86" s="678"/>
      <c r="AN86" s="678"/>
      <c r="AO86" s="1244"/>
      <c r="AP86" s="678"/>
      <c r="AQ86" s="678"/>
      <c r="AR86" s="678"/>
      <c r="AS86" s="678"/>
      <c r="AT86" s="1270">
        <v>184.536</v>
      </c>
      <c r="AU86" s="678"/>
      <c r="AV86" s="678"/>
      <c r="AW86" s="678"/>
      <c r="AX86" s="678"/>
      <c r="AY86" s="1270">
        <v>266.33800000000002</v>
      </c>
      <c r="AZ86" s="678"/>
      <c r="BA86" s="678"/>
      <c r="BB86" s="678"/>
      <c r="BC86" s="678"/>
      <c r="BD86" s="1270">
        <v>301.38099999999997</v>
      </c>
      <c r="BE86" s="678"/>
      <c r="BF86" s="678"/>
      <c r="BG86" s="678"/>
      <c r="BH86" s="678"/>
      <c r="BI86" s="1270">
        <v>268.97800000000001</v>
      </c>
      <c r="BJ86" s="678"/>
      <c r="BK86" s="678"/>
      <c r="BL86" s="678"/>
      <c r="BM86" s="678"/>
      <c r="BN86" s="1270">
        <v>274.26799999999997</v>
      </c>
      <c r="BO86" s="678"/>
      <c r="BP86" s="678"/>
      <c r="BQ86" s="678"/>
      <c r="BR86" s="678"/>
      <c r="BS86" s="1244"/>
      <c r="BT86" s="678"/>
      <c r="BU86" s="678"/>
      <c r="BV86" s="678"/>
      <c r="BW86" s="678"/>
      <c r="BX86" s="1244"/>
      <c r="BY86" s="954"/>
      <c r="BZ86" s="678"/>
      <c r="CA86" s="678"/>
      <c r="CB86" s="678"/>
      <c r="CC86" s="1244"/>
      <c r="CD86" s="678"/>
      <c r="CE86" s="678"/>
      <c r="CF86" s="678"/>
      <c r="CG86" s="678"/>
      <c r="CH86" s="1244"/>
      <c r="CI86" s="1244"/>
      <c r="CJ86" s="1244"/>
      <c r="CK86" s="1244"/>
      <c r="CL86" s="827"/>
    </row>
    <row r="87" spans="1:90" s="993" customFormat="1" hidden="1" outlineLevel="1" x14ac:dyDescent="0.3">
      <c r="A87" s="394" t="s">
        <v>1127</v>
      </c>
      <c r="B87" s="677"/>
      <c r="C87" s="1244"/>
      <c r="D87" s="1244"/>
      <c r="E87" s="1244"/>
      <c r="F87" s="1244"/>
      <c r="G87" s="678"/>
      <c r="H87" s="678"/>
      <c r="I87" s="678"/>
      <c r="J87" s="678"/>
      <c r="K87" s="1244"/>
      <c r="L87" s="678"/>
      <c r="M87" s="678"/>
      <c r="N87" s="678"/>
      <c r="O87" s="678"/>
      <c r="P87" s="1244"/>
      <c r="Q87" s="678"/>
      <c r="R87" s="678"/>
      <c r="S87" s="678"/>
      <c r="T87" s="678"/>
      <c r="U87" s="1244"/>
      <c r="V87" s="678"/>
      <c r="W87" s="678"/>
      <c r="X87" s="678"/>
      <c r="Y87" s="678"/>
      <c r="Z87" s="1244"/>
      <c r="AA87" s="678"/>
      <c r="AB87" s="678"/>
      <c r="AC87" s="678"/>
      <c r="AD87" s="678"/>
      <c r="AE87" s="1244"/>
      <c r="AF87" s="678"/>
      <c r="AG87" s="678"/>
      <c r="AH87" s="678"/>
      <c r="AI87" s="678"/>
      <c r="AJ87" s="1244"/>
      <c r="AK87" s="678"/>
      <c r="AL87" s="678"/>
      <c r="AM87" s="678"/>
      <c r="AN87" s="678"/>
      <c r="AO87" s="1244"/>
      <c r="AP87" s="678"/>
      <c r="AQ87" s="678"/>
      <c r="AR87" s="678"/>
      <c r="AS87" s="678"/>
      <c r="AT87" s="1244"/>
      <c r="AU87" s="678"/>
      <c r="AV87" s="678"/>
      <c r="AW87" s="678"/>
      <c r="AX87" s="678"/>
      <c r="AY87" s="1270">
        <v>440.66800000000001</v>
      </c>
      <c r="AZ87" s="678"/>
      <c r="BA87" s="678"/>
      <c r="BB87" s="678"/>
      <c r="BC87" s="678"/>
      <c r="BD87" s="1270">
        <v>301.38099999999997</v>
      </c>
      <c r="BE87" s="678"/>
      <c r="BF87" s="678"/>
      <c r="BG87" s="678"/>
      <c r="BH87" s="678"/>
      <c r="BI87" s="1270">
        <v>268.97800000000001</v>
      </c>
      <c r="BJ87" s="678"/>
      <c r="BK87" s="678"/>
      <c r="BL87" s="678"/>
      <c r="BM87" s="678"/>
      <c r="BN87" s="1270">
        <v>274.26799999999997</v>
      </c>
      <c r="BO87" s="678"/>
      <c r="BP87" s="678"/>
      <c r="BQ87" s="678"/>
      <c r="BR87" s="678"/>
      <c r="BS87" s="1270">
        <v>258.82799999999997</v>
      </c>
      <c r="BT87" s="678"/>
      <c r="BU87" s="678"/>
      <c r="BV87" s="678"/>
      <c r="BW87" s="678"/>
      <c r="BX87" s="1244"/>
      <c r="BY87" s="954"/>
      <c r="BZ87" s="678"/>
      <c r="CA87" s="678"/>
      <c r="CB87" s="678"/>
      <c r="CC87" s="1244"/>
      <c r="CD87" s="678"/>
      <c r="CE87" s="678"/>
      <c r="CF87" s="678"/>
      <c r="CG87" s="678"/>
      <c r="CH87" s="1244"/>
      <c r="CI87" s="1244"/>
      <c r="CJ87" s="1244"/>
      <c r="CK87" s="1244"/>
      <c r="CL87" s="827"/>
    </row>
    <row r="88" spans="1:90" s="993" customFormat="1" hidden="1" outlineLevel="1" x14ac:dyDescent="0.3">
      <c r="A88" s="394" t="s">
        <v>1126</v>
      </c>
      <c r="B88" s="677"/>
      <c r="C88" s="1244"/>
      <c r="D88" s="1244"/>
      <c r="E88" s="1244"/>
      <c r="F88" s="1244"/>
      <c r="G88" s="678"/>
      <c r="H88" s="678"/>
      <c r="I88" s="678"/>
      <c r="J88" s="678"/>
      <c r="K88" s="1244"/>
      <c r="L88" s="678"/>
      <c r="M88" s="678"/>
      <c r="N88" s="678"/>
      <c r="O88" s="678"/>
      <c r="P88" s="1244"/>
      <c r="Q88" s="678"/>
      <c r="R88" s="678"/>
      <c r="S88" s="678"/>
      <c r="T88" s="678"/>
      <c r="U88" s="1244"/>
      <c r="V88" s="678"/>
      <c r="W88" s="678"/>
      <c r="X88" s="678"/>
      <c r="Y88" s="678"/>
      <c r="Z88" s="1244"/>
      <c r="AA88" s="678"/>
      <c r="AB88" s="678"/>
      <c r="AC88" s="678"/>
      <c r="AD88" s="678"/>
      <c r="AE88" s="1244"/>
      <c r="AF88" s="678"/>
      <c r="AG88" s="678"/>
      <c r="AH88" s="678"/>
      <c r="AI88" s="678"/>
      <c r="AJ88" s="1244"/>
      <c r="AK88" s="678"/>
      <c r="AL88" s="678"/>
      <c r="AM88" s="678"/>
      <c r="AN88" s="678"/>
      <c r="AO88" s="1244"/>
      <c r="AP88" s="678"/>
      <c r="AQ88" s="678"/>
      <c r="AR88" s="678"/>
      <c r="AS88" s="678"/>
      <c r="AT88" s="1244"/>
      <c r="AU88" s="678"/>
      <c r="AV88" s="678"/>
      <c r="AW88" s="678"/>
      <c r="AX88" s="678"/>
      <c r="AY88" s="1270">
        <v>266.33800000000002</v>
      </c>
      <c r="AZ88" s="678"/>
      <c r="BA88" s="678"/>
      <c r="BB88" s="678"/>
      <c r="BC88" s="678"/>
      <c r="BD88" s="1244"/>
      <c r="BE88" s="678"/>
      <c r="BF88" s="678"/>
      <c r="BG88" s="678"/>
      <c r="BH88" s="678"/>
      <c r="BI88" s="1244"/>
      <c r="BJ88" s="678"/>
      <c r="BK88" s="678"/>
      <c r="BL88" s="678"/>
      <c r="BM88" s="678"/>
      <c r="BN88" s="1270">
        <v>274.26799999999997</v>
      </c>
      <c r="BO88" s="678"/>
      <c r="BP88" s="678"/>
      <c r="BQ88" s="678"/>
      <c r="BR88" s="678"/>
      <c r="BS88" s="1270">
        <v>258.82799999999997</v>
      </c>
      <c r="BT88" s="678"/>
      <c r="BU88" s="678"/>
      <c r="BV88" s="678"/>
      <c r="BW88" s="678"/>
      <c r="BX88" s="1244"/>
      <c r="BY88" s="954"/>
      <c r="BZ88" s="678"/>
      <c r="CA88" s="678"/>
      <c r="CB88" s="678"/>
      <c r="CC88" s="1244"/>
      <c r="CD88" s="678"/>
      <c r="CE88" s="678"/>
      <c r="CF88" s="678"/>
      <c r="CG88" s="678"/>
      <c r="CH88" s="1244"/>
      <c r="CI88" s="1244"/>
      <c r="CJ88" s="1244"/>
      <c r="CK88" s="1244"/>
      <c r="CL88" s="827"/>
    </row>
    <row r="89" spans="1:90" s="993" customFormat="1" hidden="1" outlineLevel="1" x14ac:dyDescent="0.3">
      <c r="A89" s="833" t="s">
        <v>1284</v>
      </c>
      <c r="B89" s="862"/>
      <c r="C89" s="1250"/>
      <c r="D89" s="1250"/>
      <c r="E89" s="1250"/>
      <c r="F89" s="1250"/>
      <c r="G89" s="681"/>
      <c r="H89" s="681"/>
      <c r="I89" s="681"/>
      <c r="J89" s="681"/>
      <c r="K89" s="1250"/>
      <c r="L89" s="681"/>
      <c r="M89" s="681"/>
      <c r="N89" s="681"/>
      <c r="O89" s="681"/>
      <c r="P89" s="1250"/>
      <c r="Q89" s="681"/>
      <c r="R89" s="681"/>
      <c r="S89" s="681"/>
      <c r="T89" s="681"/>
      <c r="U89" s="1250"/>
      <c r="V89" s="681"/>
      <c r="W89" s="681"/>
      <c r="X89" s="681"/>
      <c r="Y89" s="681"/>
      <c r="Z89" s="1250"/>
      <c r="AA89" s="681"/>
      <c r="AB89" s="681"/>
      <c r="AC89" s="681"/>
      <c r="AD89" s="681"/>
      <c r="AE89" s="1250"/>
      <c r="AF89" s="681"/>
      <c r="AG89" s="681"/>
      <c r="AH89" s="681"/>
      <c r="AI89" s="681"/>
      <c r="AJ89" s="1250"/>
      <c r="AK89" s="681"/>
      <c r="AL89" s="681"/>
      <c r="AM89" s="681"/>
      <c r="AN89" s="681"/>
      <c r="AO89" s="1250"/>
      <c r="AP89" s="681"/>
      <c r="AQ89" s="681"/>
      <c r="AR89" s="681"/>
      <c r="AS89" s="681"/>
      <c r="AT89" s="1250"/>
      <c r="AU89" s="681"/>
      <c r="AV89" s="681"/>
      <c r="AW89" s="681"/>
      <c r="AX89" s="681"/>
      <c r="AY89" s="1250"/>
      <c r="AZ89" s="681"/>
      <c r="BA89" s="681"/>
      <c r="BB89" s="681"/>
      <c r="BC89" s="681"/>
      <c r="BD89" s="1250"/>
      <c r="BE89" s="681"/>
      <c r="BF89" s="681"/>
      <c r="BG89" s="681"/>
      <c r="BH89" s="681"/>
      <c r="BI89" s="1250"/>
      <c r="BJ89" s="681"/>
      <c r="BK89" s="681"/>
      <c r="BL89" s="681"/>
      <c r="BM89" s="681"/>
      <c r="BN89" s="1250"/>
      <c r="BO89" s="681"/>
      <c r="BP89" s="681"/>
      <c r="BQ89" s="681"/>
      <c r="BR89" s="681"/>
      <c r="BS89" s="1276">
        <v>258.82799999999997</v>
      </c>
      <c r="BT89" s="681"/>
      <c r="BU89" s="681"/>
      <c r="BV89" s="681"/>
      <c r="BW89" s="681"/>
      <c r="BX89" s="1250"/>
      <c r="BY89" s="958"/>
      <c r="BZ89" s="681"/>
      <c r="CA89" s="681"/>
      <c r="CB89" s="681"/>
      <c r="CC89" s="1250"/>
      <c r="CD89" s="681"/>
      <c r="CE89" s="681"/>
      <c r="CF89" s="681"/>
      <c r="CG89" s="681"/>
      <c r="CH89" s="1250"/>
      <c r="CI89" s="1250"/>
      <c r="CJ89" s="1250"/>
      <c r="CK89" s="1250"/>
      <c r="CL89" s="827"/>
    </row>
    <row r="90" spans="1:90" s="993" customFormat="1" collapsed="1" x14ac:dyDescent="0.3">
      <c r="A90" s="197" t="s">
        <v>1125</v>
      </c>
      <c r="B90" s="677"/>
      <c r="C90" s="1244"/>
      <c r="D90" s="1244"/>
      <c r="E90" s="1244"/>
      <c r="F90" s="1244"/>
      <c r="G90" s="678"/>
      <c r="H90" s="678"/>
      <c r="I90" s="678"/>
      <c r="J90" s="678"/>
      <c r="K90" s="1244"/>
      <c r="L90" s="678"/>
      <c r="M90" s="678"/>
      <c r="N90" s="678"/>
      <c r="O90" s="678"/>
      <c r="P90" s="1244"/>
      <c r="Q90" s="678"/>
      <c r="R90" s="678"/>
      <c r="S90" s="678"/>
      <c r="T90" s="678"/>
      <c r="U90" s="1244"/>
      <c r="V90" s="678"/>
      <c r="W90" s="678"/>
      <c r="X90" s="678"/>
      <c r="Y90" s="678"/>
      <c r="Z90" s="1244"/>
      <c r="AA90" s="678"/>
      <c r="AB90" s="678"/>
      <c r="AC90" s="678"/>
      <c r="AD90" s="678"/>
      <c r="AE90" s="1244"/>
      <c r="AF90" s="678"/>
      <c r="AG90" s="678"/>
      <c r="AH90" s="678"/>
      <c r="AI90" s="678"/>
      <c r="AJ90" s="1244"/>
      <c r="AK90" s="678"/>
      <c r="AL90" s="678"/>
      <c r="AM90" s="678"/>
      <c r="AN90" s="678"/>
      <c r="AO90" s="1244"/>
      <c r="AP90" s="678"/>
      <c r="AQ90" s="678"/>
      <c r="AR90" s="678"/>
      <c r="AS90" s="678"/>
      <c r="AT90" s="1244">
        <f>SUM(AT76:AT89)</f>
        <v>2326.1360000000004</v>
      </c>
      <c r="AU90" s="678"/>
      <c r="AV90" s="678"/>
      <c r="AW90" s="678"/>
      <c r="AX90" s="678"/>
      <c r="AY90" s="1244">
        <f>SUM(AY76:AY89)</f>
        <v>3662.1930000000007</v>
      </c>
      <c r="AZ90" s="678"/>
      <c r="BA90" s="678"/>
      <c r="BB90" s="678"/>
      <c r="BC90" s="678"/>
      <c r="BD90" s="1244">
        <f>SUM(BD76:BD89)</f>
        <v>3616.5719999999988</v>
      </c>
      <c r="BE90" s="678"/>
      <c r="BF90" s="678"/>
      <c r="BG90" s="678"/>
      <c r="BH90" s="678"/>
      <c r="BI90" s="1244">
        <f>SUM(BI76:BI89)</f>
        <v>3227.7360000000003</v>
      </c>
      <c r="BJ90" s="678"/>
      <c r="BK90" s="678"/>
      <c r="BL90" s="678"/>
      <c r="BM90" s="678"/>
      <c r="BN90" s="1244">
        <f>SUM(BN76:BN89)</f>
        <v>3816.5880000000002</v>
      </c>
      <c r="BO90" s="678"/>
      <c r="BP90" s="678"/>
      <c r="BQ90" s="678"/>
      <c r="BR90" s="678"/>
      <c r="BS90" s="1244">
        <f>SUM(BS76:BS89)</f>
        <v>3286.7669999999998</v>
      </c>
      <c r="BT90" s="678"/>
      <c r="BU90" s="678"/>
      <c r="BV90" s="678"/>
      <c r="BW90" s="678"/>
      <c r="BX90" s="1244"/>
      <c r="BY90" s="954"/>
      <c r="BZ90" s="678"/>
      <c r="CA90" s="678"/>
      <c r="CB90" s="678"/>
      <c r="CC90" s="1244"/>
      <c r="CD90" s="678"/>
      <c r="CE90" s="678"/>
      <c r="CF90" s="678"/>
      <c r="CG90" s="678"/>
      <c r="CH90" s="1244"/>
      <c r="CI90" s="1244"/>
      <c r="CJ90" s="1244"/>
      <c r="CK90" s="1244"/>
      <c r="CL90" s="827"/>
    </row>
    <row r="91" spans="1:90" s="992" customFormat="1" hidden="1" outlineLevel="1" x14ac:dyDescent="0.3">
      <c r="A91" s="394" t="s">
        <v>1197</v>
      </c>
      <c r="B91" s="683"/>
      <c r="C91" s="1243"/>
      <c r="D91" s="1243"/>
      <c r="E91" s="1243"/>
      <c r="F91" s="1243"/>
      <c r="G91" s="574"/>
      <c r="H91" s="574"/>
      <c r="I91" s="574"/>
      <c r="J91" s="574"/>
      <c r="K91" s="1243"/>
      <c r="L91" s="574"/>
      <c r="M91" s="574"/>
      <c r="N91" s="574"/>
      <c r="O91" s="574"/>
      <c r="P91" s="1243"/>
      <c r="Q91" s="574"/>
      <c r="R91" s="574"/>
      <c r="S91" s="574"/>
      <c r="T91" s="574"/>
      <c r="U91" s="1243"/>
      <c r="V91" s="574"/>
      <c r="W91" s="574"/>
      <c r="X91" s="574"/>
      <c r="Y91" s="574"/>
      <c r="Z91" s="1243"/>
      <c r="AA91" s="574"/>
      <c r="AB91" s="574"/>
      <c r="AC91" s="574"/>
      <c r="AD91" s="574"/>
      <c r="AE91" s="1243"/>
      <c r="AF91" s="574"/>
      <c r="AG91" s="574"/>
      <c r="AH91" s="574"/>
      <c r="AI91" s="574"/>
      <c r="AJ91" s="1243"/>
      <c r="AK91" s="574"/>
      <c r="AL91" s="574"/>
      <c r="AM91" s="574"/>
      <c r="AN91" s="574"/>
      <c r="AO91" s="1243"/>
      <c r="AP91" s="574"/>
      <c r="AQ91" s="574"/>
      <c r="AR91" s="574"/>
      <c r="AS91" s="574"/>
      <c r="AT91" s="1244"/>
      <c r="AU91" s="678"/>
      <c r="AV91" s="678"/>
      <c r="AW91" s="678"/>
      <c r="AX91" s="678"/>
      <c r="AY91" s="1244"/>
      <c r="AZ91" s="678"/>
      <c r="BA91" s="678"/>
      <c r="BB91" s="678"/>
      <c r="BC91" s="678"/>
      <c r="BD91" s="1244"/>
      <c r="BE91" s="678"/>
      <c r="BF91" s="678"/>
      <c r="BG91" s="678"/>
      <c r="BH91" s="678"/>
      <c r="BI91" s="1244"/>
      <c r="BJ91" s="574"/>
      <c r="BK91" s="574"/>
      <c r="BL91" s="574"/>
      <c r="BM91" s="574"/>
      <c r="BN91" s="1243"/>
      <c r="BO91" s="574"/>
      <c r="BP91" s="574"/>
      <c r="BQ91" s="574"/>
      <c r="BR91" s="574"/>
      <c r="BS91" s="1243"/>
      <c r="BT91" s="574"/>
      <c r="BU91" s="574"/>
      <c r="BV91" s="574"/>
      <c r="BW91" s="574"/>
      <c r="BX91" s="1243"/>
      <c r="BY91" s="955"/>
      <c r="BZ91" s="574"/>
      <c r="CA91" s="574"/>
      <c r="CB91" s="574"/>
      <c r="CC91" s="1243"/>
      <c r="CD91" s="574"/>
      <c r="CE91" s="574"/>
      <c r="CF91" s="574"/>
      <c r="CG91" s="574"/>
      <c r="CH91" s="1243"/>
      <c r="CI91" s="1243"/>
      <c r="CJ91" s="1243"/>
      <c r="CK91" s="1243"/>
      <c r="CL91" s="829"/>
    </row>
    <row r="92" spans="1:90" s="992" customFormat="1" hidden="1" outlineLevel="1" x14ac:dyDescent="0.3">
      <c r="A92" s="394" t="s">
        <v>1198</v>
      </c>
      <c r="B92" s="683"/>
      <c r="C92" s="1243"/>
      <c r="D92" s="1243"/>
      <c r="E92" s="1243"/>
      <c r="F92" s="1243"/>
      <c r="G92" s="574"/>
      <c r="H92" s="574"/>
      <c r="I92" s="574"/>
      <c r="J92" s="574"/>
      <c r="K92" s="1243"/>
      <c r="L92" s="574"/>
      <c r="M92" s="574"/>
      <c r="N92" s="574"/>
      <c r="O92" s="574"/>
      <c r="P92" s="1243"/>
      <c r="Q92" s="574"/>
      <c r="R92" s="574"/>
      <c r="S92" s="574"/>
      <c r="T92" s="574"/>
      <c r="U92" s="1243"/>
      <c r="V92" s="574"/>
      <c r="W92" s="574"/>
      <c r="X92" s="574"/>
      <c r="Y92" s="574"/>
      <c r="Z92" s="1243"/>
      <c r="AA92" s="574"/>
      <c r="AB92" s="574"/>
      <c r="AC92" s="574"/>
      <c r="AD92" s="574"/>
      <c r="AE92" s="1243"/>
      <c r="AF92" s="574"/>
      <c r="AG92" s="574"/>
      <c r="AH92" s="574"/>
      <c r="AI92" s="574"/>
      <c r="AJ92" s="1243"/>
      <c r="AK92" s="574"/>
      <c r="AL92" s="574"/>
      <c r="AM92" s="574"/>
      <c r="AN92" s="574"/>
      <c r="AO92" s="1243"/>
      <c r="AP92" s="574"/>
      <c r="AQ92" s="574"/>
      <c r="AR92" s="574"/>
      <c r="AS92" s="574"/>
      <c r="AT92" s="1244"/>
      <c r="AU92" s="678"/>
      <c r="AV92" s="678"/>
      <c r="AW92" s="678"/>
      <c r="AX92" s="678"/>
      <c r="AY92" s="1244"/>
      <c r="AZ92" s="678"/>
      <c r="BA92" s="678"/>
      <c r="BB92" s="678"/>
      <c r="BC92" s="678"/>
      <c r="BD92" s="1244"/>
      <c r="BE92" s="678"/>
      <c r="BF92" s="678"/>
      <c r="BG92" s="678"/>
      <c r="BH92" s="678"/>
      <c r="BI92" s="1244"/>
      <c r="BJ92" s="574"/>
      <c r="BK92" s="574"/>
      <c r="BL92" s="574"/>
      <c r="BM92" s="574"/>
      <c r="BN92" s="1243"/>
      <c r="BO92" s="574"/>
      <c r="BP92" s="574"/>
      <c r="BQ92" s="574"/>
      <c r="BR92" s="574"/>
      <c r="BS92" s="1243"/>
      <c r="BT92" s="574"/>
      <c r="BU92" s="574"/>
      <c r="BV92" s="574"/>
      <c r="BW92" s="574"/>
      <c r="BX92" s="1243"/>
      <c r="BY92" s="955"/>
      <c r="BZ92" s="574"/>
      <c r="CA92" s="574"/>
      <c r="CB92" s="574"/>
      <c r="CC92" s="1243"/>
      <c r="CD92" s="574"/>
      <c r="CE92" s="574"/>
      <c r="CF92" s="574"/>
      <c r="CG92" s="574"/>
      <c r="CH92" s="1243"/>
      <c r="CI92" s="1243"/>
      <c r="CJ92" s="1243"/>
      <c r="CK92" s="1243"/>
      <c r="CL92" s="829"/>
    </row>
    <row r="93" spans="1:90" s="992" customFormat="1" hidden="1" outlineLevel="1" x14ac:dyDescent="0.3">
      <c r="A93" s="394" t="s">
        <v>1199</v>
      </c>
      <c r="B93" s="683"/>
      <c r="C93" s="1243"/>
      <c r="D93" s="1243"/>
      <c r="E93" s="1243"/>
      <c r="F93" s="1243"/>
      <c r="G93" s="574"/>
      <c r="H93" s="574"/>
      <c r="I93" s="574"/>
      <c r="J93" s="574"/>
      <c r="K93" s="1243"/>
      <c r="L93" s="574"/>
      <c r="M93" s="574"/>
      <c r="N93" s="574"/>
      <c r="O93" s="574"/>
      <c r="P93" s="1243"/>
      <c r="Q93" s="574"/>
      <c r="R93" s="574"/>
      <c r="S93" s="574"/>
      <c r="T93" s="574"/>
      <c r="U93" s="1243"/>
      <c r="V93" s="574"/>
      <c r="W93" s="574"/>
      <c r="X93" s="574"/>
      <c r="Y93" s="574"/>
      <c r="Z93" s="1243"/>
      <c r="AA93" s="574"/>
      <c r="AB93" s="574"/>
      <c r="AC93" s="574"/>
      <c r="AD93" s="574"/>
      <c r="AE93" s="1243"/>
      <c r="AF93" s="574"/>
      <c r="AG93" s="574"/>
      <c r="AH93" s="574"/>
      <c r="AI93" s="574"/>
      <c r="AJ93" s="1243"/>
      <c r="AK93" s="574"/>
      <c r="AL93" s="574"/>
      <c r="AM93" s="574"/>
      <c r="AN93" s="574"/>
      <c r="AO93" s="1243"/>
      <c r="AP93" s="574"/>
      <c r="AQ93" s="574"/>
      <c r="AR93" s="574"/>
      <c r="AS93" s="574"/>
      <c r="AT93" s="1244"/>
      <c r="AU93" s="678"/>
      <c r="AV93" s="678"/>
      <c r="AW93" s="678"/>
      <c r="AX93" s="678"/>
      <c r="AY93" s="1244"/>
      <c r="AZ93" s="678"/>
      <c r="BA93" s="678"/>
      <c r="BB93" s="678"/>
      <c r="BC93" s="678"/>
      <c r="BD93" s="1244"/>
      <c r="BE93" s="678"/>
      <c r="BF93" s="678"/>
      <c r="BG93" s="678"/>
      <c r="BH93" s="678"/>
      <c r="BI93" s="1244"/>
      <c r="BJ93" s="574"/>
      <c r="BK93" s="574"/>
      <c r="BL93" s="574"/>
      <c r="BM93" s="574"/>
      <c r="BN93" s="1243"/>
      <c r="BO93" s="574"/>
      <c r="BP93" s="574"/>
      <c r="BQ93" s="574"/>
      <c r="BR93" s="574"/>
      <c r="BS93" s="1243"/>
      <c r="BT93" s="574"/>
      <c r="BU93" s="574"/>
      <c r="BV93" s="574"/>
      <c r="BW93" s="574"/>
      <c r="BX93" s="1243"/>
      <c r="BY93" s="955"/>
      <c r="BZ93" s="574"/>
      <c r="CA93" s="574"/>
      <c r="CB93" s="574"/>
      <c r="CC93" s="1243"/>
      <c r="CD93" s="574"/>
      <c r="CE93" s="574"/>
      <c r="CF93" s="574"/>
      <c r="CG93" s="574"/>
      <c r="CH93" s="1243"/>
      <c r="CI93" s="1243"/>
      <c r="CJ93" s="1243"/>
      <c r="CK93" s="1243"/>
      <c r="CL93" s="829"/>
    </row>
    <row r="94" spans="1:90" s="992" customFormat="1" hidden="1" outlineLevel="1" x14ac:dyDescent="0.3">
      <c r="A94" s="394" t="s">
        <v>1200</v>
      </c>
      <c r="B94" s="683"/>
      <c r="C94" s="1243"/>
      <c r="D94" s="1243"/>
      <c r="E94" s="1243"/>
      <c r="F94" s="1243"/>
      <c r="G94" s="574"/>
      <c r="H94" s="574"/>
      <c r="I94" s="574"/>
      <c r="J94" s="574"/>
      <c r="K94" s="1243"/>
      <c r="L94" s="574"/>
      <c r="M94" s="574"/>
      <c r="N94" s="574"/>
      <c r="O94" s="574"/>
      <c r="P94" s="1243"/>
      <c r="Q94" s="574"/>
      <c r="R94" s="574"/>
      <c r="S94" s="574"/>
      <c r="T94" s="574"/>
      <c r="U94" s="1243"/>
      <c r="V94" s="574"/>
      <c r="W94" s="574"/>
      <c r="X94" s="574"/>
      <c r="Y94" s="574"/>
      <c r="Z94" s="1243"/>
      <c r="AA94" s="574"/>
      <c r="AB94" s="574"/>
      <c r="AC94" s="574"/>
      <c r="AD94" s="574"/>
      <c r="AE94" s="1243"/>
      <c r="AF94" s="574"/>
      <c r="AG94" s="574"/>
      <c r="AH94" s="574"/>
      <c r="AI94" s="574"/>
      <c r="AJ94" s="1243"/>
      <c r="AK94" s="574"/>
      <c r="AL94" s="574"/>
      <c r="AM94" s="574"/>
      <c r="AN94" s="574"/>
      <c r="AO94" s="1243"/>
      <c r="AP94" s="574"/>
      <c r="AQ94" s="574"/>
      <c r="AR94" s="574"/>
      <c r="AS94" s="574"/>
      <c r="AT94" s="1244"/>
      <c r="AU94" s="678"/>
      <c r="AV94" s="678"/>
      <c r="AW94" s="678"/>
      <c r="AX94" s="678"/>
      <c r="AY94" s="1244"/>
      <c r="AZ94" s="678"/>
      <c r="BA94" s="678"/>
      <c r="BB94" s="678"/>
      <c r="BC94" s="678"/>
      <c r="BD94" s="1244"/>
      <c r="BE94" s="678"/>
      <c r="BF94" s="678"/>
      <c r="BG94" s="678"/>
      <c r="BH94" s="678"/>
      <c r="BI94" s="1244"/>
      <c r="BJ94" s="574"/>
      <c r="BK94" s="574"/>
      <c r="BL94" s="574"/>
      <c r="BM94" s="574"/>
      <c r="BN94" s="1243"/>
      <c r="BO94" s="574"/>
      <c r="BP94" s="574"/>
      <c r="BQ94" s="574"/>
      <c r="BR94" s="574"/>
      <c r="BS94" s="1243"/>
      <c r="BT94" s="574"/>
      <c r="BU94" s="574"/>
      <c r="BV94" s="574"/>
      <c r="BW94" s="574"/>
      <c r="BX94" s="1243"/>
      <c r="BY94" s="955"/>
      <c r="BZ94" s="574"/>
      <c r="CA94" s="574"/>
      <c r="CB94" s="574"/>
      <c r="CC94" s="1243"/>
      <c r="CD94" s="574"/>
      <c r="CE94" s="574"/>
      <c r="CF94" s="574"/>
      <c r="CG94" s="574"/>
      <c r="CH94" s="1243"/>
      <c r="CI94" s="1243"/>
      <c r="CJ94" s="1243"/>
      <c r="CK94" s="1243"/>
      <c r="CL94" s="829"/>
    </row>
    <row r="95" spans="1:90" s="992" customFormat="1" hidden="1" outlineLevel="1" x14ac:dyDescent="0.3">
      <c r="A95" s="394" t="s">
        <v>1201</v>
      </c>
      <c r="B95" s="683"/>
      <c r="C95" s="1243"/>
      <c r="D95" s="1243"/>
      <c r="E95" s="1243"/>
      <c r="F95" s="1243"/>
      <c r="G95" s="574"/>
      <c r="H95" s="574"/>
      <c r="I95" s="574"/>
      <c r="J95" s="574"/>
      <c r="K95" s="1243"/>
      <c r="L95" s="574"/>
      <c r="M95" s="574"/>
      <c r="N95" s="574"/>
      <c r="O95" s="574"/>
      <c r="P95" s="1243"/>
      <c r="Q95" s="574"/>
      <c r="R95" s="574"/>
      <c r="S95" s="574"/>
      <c r="T95" s="574"/>
      <c r="U95" s="1243"/>
      <c r="V95" s="574"/>
      <c r="W95" s="574"/>
      <c r="X95" s="574"/>
      <c r="Y95" s="574"/>
      <c r="Z95" s="1243"/>
      <c r="AA95" s="574"/>
      <c r="AB95" s="574"/>
      <c r="AC95" s="574"/>
      <c r="AD95" s="574"/>
      <c r="AE95" s="1243"/>
      <c r="AF95" s="574"/>
      <c r="AG95" s="574"/>
      <c r="AH95" s="574"/>
      <c r="AI95" s="574"/>
      <c r="AJ95" s="1243"/>
      <c r="AK95" s="574"/>
      <c r="AL95" s="574"/>
      <c r="AM95" s="574"/>
      <c r="AN95" s="574"/>
      <c r="AO95" s="1243"/>
      <c r="AP95" s="574"/>
      <c r="AQ95" s="574"/>
      <c r="AR95" s="574"/>
      <c r="AS95" s="574"/>
      <c r="AT95" s="1244"/>
      <c r="AU95" s="678"/>
      <c r="AV95" s="678"/>
      <c r="AW95" s="678"/>
      <c r="AX95" s="678"/>
      <c r="AY95" s="1244"/>
      <c r="AZ95" s="678"/>
      <c r="BA95" s="678"/>
      <c r="BB95" s="678"/>
      <c r="BC95" s="678"/>
      <c r="BD95" s="1244"/>
      <c r="BE95" s="678"/>
      <c r="BF95" s="678"/>
      <c r="BG95" s="678"/>
      <c r="BH95" s="678"/>
      <c r="BI95" s="1244"/>
      <c r="BJ95" s="574"/>
      <c r="BK95" s="574"/>
      <c r="BL95" s="574"/>
      <c r="BM95" s="574"/>
      <c r="BN95" s="1243"/>
      <c r="BO95" s="574"/>
      <c r="BP95" s="574"/>
      <c r="BQ95" s="574"/>
      <c r="BR95" s="574"/>
      <c r="BS95" s="1243"/>
      <c r="BT95" s="574"/>
      <c r="BU95" s="574"/>
      <c r="BV95" s="574"/>
      <c r="BW95" s="574"/>
      <c r="BX95" s="1243"/>
      <c r="BY95" s="955"/>
      <c r="BZ95" s="574"/>
      <c r="CA95" s="574"/>
      <c r="CB95" s="574"/>
      <c r="CC95" s="1243"/>
      <c r="CD95" s="574"/>
      <c r="CE95" s="574"/>
      <c r="CF95" s="574"/>
      <c r="CG95" s="574"/>
      <c r="CH95" s="1243"/>
      <c r="CI95" s="1243"/>
      <c r="CJ95" s="1243"/>
      <c r="CK95" s="1243"/>
      <c r="CL95" s="829"/>
    </row>
    <row r="96" spans="1:90" s="992" customFormat="1" hidden="1" outlineLevel="1" x14ac:dyDescent="0.3">
      <c r="A96" s="394" t="s">
        <v>1202</v>
      </c>
      <c r="B96" s="683"/>
      <c r="C96" s="1243"/>
      <c r="D96" s="1243"/>
      <c r="E96" s="1243"/>
      <c r="F96" s="1243"/>
      <c r="G96" s="574"/>
      <c r="H96" s="574"/>
      <c r="I96" s="574"/>
      <c r="J96" s="574"/>
      <c r="K96" s="1243"/>
      <c r="L96" s="574"/>
      <c r="M96" s="574"/>
      <c r="N96" s="574"/>
      <c r="O96" s="574"/>
      <c r="P96" s="1243"/>
      <c r="Q96" s="574"/>
      <c r="R96" s="574"/>
      <c r="S96" s="574"/>
      <c r="T96" s="574"/>
      <c r="U96" s="1243"/>
      <c r="V96" s="574"/>
      <c r="W96" s="574"/>
      <c r="X96" s="574"/>
      <c r="Y96" s="574"/>
      <c r="Z96" s="1243"/>
      <c r="AA96" s="574"/>
      <c r="AB96" s="574"/>
      <c r="AC96" s="574"/>
      <c r="AD96" s="574"/>
      <c r="AE96" s="1243"/>
      <c r="AF96" s="574"/>
      <c r="AG96" s="574"/>
      <c r="AH96" s="574"/>
      <c r="AI96" s="574"/>
      <c r="AJ96" s="1243"/>
      <c r="AK96" s="574"/>
      <c r="AL96" s="574"/>
      <c r="AM96" s="574"/>
      <c r="AN96" s="574"/>
      <c r="AO96" s="1243"/>
      <c r="AP96" s="574"/>
      <c r="AQ96" s="574"/>
      <c r="AR96" s="574"/>
      <c r="AS96" s="574"/>
      <c r="AT96" s="1244"/>
      <c r="AU96" s="678"/>
      <c r="AV96" s="678"/>
      <c r="AW96" s="678"/>
      <c r="AX96" s="678"/>
      <c r="AY96" s="1244"/>
      <c r="AZ96" s="678"/>
      <c r="BA96" s="678"/>
      <c r="BB96" s="678"/>
      <c r="BC96" s="678"/>
      <c r="BD96" s="1244"/>
      <c r="BE96" s="678"/>
      <c r="BF96" s="678"/>
      <c r="BG96" s="678"/>
      <c r="BH96" s="678"/>
      <c r="BI96" s="1244"/>
      <c r="BJ96" s="574"/>
      <c r="BK96" s="574"/>
      <c r="BL96" s="574"/>
      <c r="BM96" s="574"/>
      <c r="BN96" s="1243"/>
      <c r="BO96" s="574"/>
      <c r="BP96" s="574"/>
      <c r="BQ96" s="574"/>
      <c r="BR96" s="574"/>
      <c r="BS96" s="1243"/>
      <c r="BT96" s="574"/>
      <c r="BU96" s="574"/>
      <c r="BV96" s="574"/>
      <c r="BW96" s="574"/>
      <c r="BX96" s="1243"/>
      <c r="BY96" s="955"/>
      <c r="BZ96" s="574"/>
      <c r="CA96" s="574"/>
      <c r="CB96" s="574"/>
      <c r="CC96" s="1243"/>
      <c r="CD96" s="574"/>
      <c r="CE96" s="574"/>
      <c r="CF96" s="574"/>
      <c r="CG96" s="574"/>
      <c r="CH96" s="1243"/>
      <c r="CI96" s="1243"/>
      <c r="CJ96" s="1243"/>
      <c r="CK96" s="1243"/>
      <c r="CL96" s="829"/>
    </row>
    <row r="97" spans="1:90" s="992" customFormat="1" hidden="1" outlineLevel="1" x14ac:dyDescent="0.3">
      <c r="A97" s="394" t="s">
        <v>1203</v>
      </c>
      <c r="B97" s="683"/>
      <c r="C97" s="1243"/>
      <c r="D97" s="1243"/>
      <c r="E97" s="1243"/>
      <c r="F97" s="1243"/>
      <c r="G97" s="574"/>
      <c r="H97" s="574"/>
      <c r="I97" s="574"/>
      <c r="J97" s="574"/>
      <c r="K97" s="1243"/>
      <c r="L97" s="574"/>
      <c r="M97" s="574"/>
      <c r="N97" s="574"/>
      <c r="O97" s="574"/>
      <c r="P97" s="1243"/>
      <c r="Q97" s="574"/>
      <c r="R97" s="574"/>
      <c r="S97" s="574"/>
      <c r="T97" s="574"/>
      <c r="U97" s="1243"/>
      <c r="V97" s="574"/>
      <c r="W97" s="574"/>
      <c r="X97" s="574"/>
      <c r="Y97" s="574"/>
      <c r="Z97" s="1243"/>
      <c r="AA97" s="574"/>
      <c r="AB97" s="574"/>
      <c r="AC97" s="574"/>
      <c r="AD97" s="574"/>
      <c r="AE97" s="1243"/>
      <c r="AF97" s="574"/>
      <c r="AG97" s="574"/>
      <c r="AH97" s="574"/>
      <c r="AI97" s="574"/>
      <c r="AJ97" s="1243"/>
      <c r="AK97" s="574"/>
      <c r="AL97" s="574"/>
      <c r="AM97" s="574"/>
      <c r="AN97" s="574"/>
      <c r="AO97" s="1243"/>
      <c r="AP97" s="574"/>
      <c r="AQ97" s="574"/>
      <c r="AR97" s="574"/>
      <c r="AS97" s="574"/>
      <c r="AT97" s="1244"/>
      <c r="AU97" s="678"/>
      <c r="AV97" s="678"/>
      <c r="AW97" s="678"/>
      <c r="AX97" s="678"/>
      <c r="AY97" s="1244"/>
      <c r="AZ97" s="678"/>
      <c r="BA97" s="678"/>
      <c r="BB97" s="678"/>
      <c r="BC97" s="678"/>
      <c r="BD97" s="1244"/>
      <c r="BE97" s="678"/>
      <c r="BF97" s="678"/>
      <c r="BG97" s="678"/>
      <c r="BH97" s="678"/>
      <c r="BI97" s="1244"/>
      <c r="BJ97" s="574"/>
      <c r="BK97" s="574"/>
      <c r="BL97" s="574"/>
      <c r="BM97" s="574"/>
      <c r="BN97" s="1243"/>
      <c r="BO97" s="574"/>
      <c r="BP97" s="574"/>
      <c r="BQ97" s="574"/>
      <c r="BR97" s="574"/>
      <c r="BS97" s="1243"/>
      <c r="BT97" s="574"/>
      <c r="BU97" s="574"/>
      <c r="BV97" s="574"/>
      <c r="BW97" s="574"/>
      <c r="BX97" s="1243"/>
      <c r="BY97" s="955"/>
      <c r="BZ97" s="574"/>
      <c r="CA97" s="574"/>
      <c r="CB97" s="574"/>
      <c r="CC97" s="1243"/>
      <c r="CD97" s="574"/>
      <c r="CE97" s="574"/>
      <c r="CF97" s="574"/>
      <c r="CG97" s="574"/>
      <c r="CH97" s="1243"/>
      <c r="CI97" s="1243"/>
      <c r="CJ97" s="1243"/>
      <c r="CK97" s="1243"/>
      <c r="CL97" s="829"/>
    </row>
    <row r="98" spans="1:90" s="992" customFormat="1" hidden="1" outlineLevel="1" x14ac:dyDescent="0.3">
      <c r="A98" s="394" t="s">
        <v>1204</v>
      </c>
      <c r="B98" s="683"/>
      <c r="C98" s="1243"/>
      <c r="D98" s="1243"/>
      <c r="E98" s="1243"/>
      <c r="F98" s="1243"/>
      <c r="G98" s="574"/>
      <c r="H98" s="574"/>
      <c r="I98" s="574"/>
      <c r="J98" s="574"/>
      <c r="K98" s="1243"/>
      <c r="L98" s="574"/>
      <c r="M98" s="574"/>
      <c r="N98" s="574"/>
      <c r="O98" s="574"/>
      <c r="P98" s="1243"/>
      <c r="Q98" s="574"/>
      <c r="R98" s="574"/>
      <c r="S98" s="574"/>
      <c r="T98" s="574"/>
      <c r="U98" s="1243"/>
      <c r="V98" s="574"/>
      <c r="W98" s="574"/>
      <c r="X98" s="574"/>
      <c r="Y98" s="574"/>
      <c r="Z98" s="1243"/>
      <c r="AA98" s="574"/>
      <c r="AB98" s="574"/>
      <c r="AC98" s="574"/>
      <c r="AD98" s="574"/>
      <c r="AE98" s="1243"/>
      <c r="AF98" s="574"/>
      <c r="AG98" s="574"/>
      <c r="AH98" s="574"/>
      <c r="AI98" s="574"/>
      <c r="AJ98" s="1243"/>
      <c r="AK98" s="574"/>
      <c r="AL98" s="574"/>
      <c r="AM98" s="574"/>
      <c r="AN98" s="574"/>
      <c r="AO98" s="1243"/>
      <c r="AP98" s="574"/>
      <c r="AQ98" s="574"/>
      <c r="AR98" s="574"/>
      <c r="AS98" s="574"/>
      <c r="AT98" s="1244"/>
      <c r="AU98" s="678"/>
      <c r="AV98" s="678"/>
      <c r="AW98" s="678"/>
      <c r="AX98" s="678"/>
      <c r="AY98" s="1244"/>
      <c r="AZ98" s="678"/>
      <c r="BA98" s="678"/>
      <c r="BB98" s="678"/>
      <c r="BC98" s="678"/>
      <c r="BD98" s="1244"/>
      <c r="BE98" s="678"/>
      <c r="BF98" s="678"/>
      <c r="BG98" s="678"/>
      <c r="BH98" s="678"/>
      <c r="BI98" s="1244"/>
      <c r="BJ98" s="574"/>
      <c r="BK98" s="574"/>
      <c r="BL98" s="574"/>
      <c r="BM98" s="574"/>
      <c r="BN98" s="1243"/>
      <c r="BO98" s="574"/>
      <c r="BP98" s="574"/>
      <c r="BQ98" s="574"/>
      <c r="BR98" s="574"/>
      <c r="BS98" s="1243"/>
      <c r="BT98" s="574"/>
      <c r="BU98" s="574"/>
      <c r="BV98" s="574"/>
      <c r="BW98" s="574"/>
      <c r="BX98" s="1243"/>
      <c r="BY98" s="955"/>
      <c r="BZ98" s="574"/>
      <c r="CA98" s="574"/>
      <c r="CB98" s="574"/>
      <c r="CC98" s="1243"/>
      <c r="CD98" s="574"/>
      <c r="CE98" s="574"/>
      <c r="CF98" s="574"/>
      <c r="CG98" s="574"/>
      <c r="CH98" s="1243"/>
      <c r="CI98" s="1243"/>
      <c r="CJ98" s="1243"/>
      <c r="CK98" s="1243"/>
      <c r="CL98" s="829"/>
    </row>
    <row r="99" spans="1:90" s="992" customFormat="1" hidden="1" outlineLevel="1" x14ac:dyDescent="0.3">
      <c r="A99" s="394" t="s">
        <v>1205</v>
      </c>
      <c r="B99" s="683"/>
      <c r="C99" s="1243"/>
      <c r="D99" s="1243"/>
      <c r="E99" s="1243"/>
      <c r="F99" s="1243"/>
      <c r="G99" s="574"/>
      <c r="H99" s="574"/>
      <c r="I99" s="574"/>
      <c r="J99" s="574"/>
      <c r="K99" s="1243"/>
      <c r="L99" s="574"/>
      <c r="M99" s="574"/>
      <c r="N99" s="574"/>
      <c r="O99" s="574"/>
      <c r="P99" s="1243"/>
      <c r="Q99" s="574"/>
      <c r="R99" s="574"/>
      <c r="S99" s="574"/>
      <c r="T99" s="574"/>
      <c r="U99" s="1243"/>
      <c r="V99" s="574"/>
      <c r="W99" s="574"/>
      <c r="X99" s="574"/>
      <c r="Y99" s="574"/>
      <c r="Z99" s="1243"/>
      <c r="AA99" s="574"/>
      <c r="AB99" s="574"/>
      <c r="AC99" s="574"/>
      <c r="AD99" s="574"/>
      <c r="AE99" s="1243"/>
      <c r="AF99" s="574"/>
      <c r="AG99" s="574"/>
      <c r="AH99" s="574"/>
      <c r="AI99" s="574"/>
      <c r="AJ99" s="1243"/>
      <c r="AK99" s="574"/>
      <c r="AL99" s="574"/>
      <c r="AM99" s="574"/>
      <c r="AN99" s="574"/>
      <c r="AO99" s="1243"/>
      <c r="AP99" s="574"/>
      <c r="AQ99" s="574"/>
      <c r="AR99" s="574"/>
      <c r="AS99" s="574"/>
      <c r="AT99" s="1244"/>
      <c r="AU99" s="678"/>
      <c r="AV99" s="678"/>
      <c r="AW99" s="678"/>
      <c r="AX99" s="678"/>
      <c r="AY99" s="1244"/>
      <c r="AZ99" s="678"/>
      <c r="BA99" s="678"/>
      <c r="BB99" s="678"/>
      <c r="BC99" s="678"/>
      <c r="BD99" s="1244"/>
      <c r="BE99" s="678"/>
      <c r="BF99" s="678"/>
      <c r="BG99" s="678"/>
      <c r="BH99" s="678"/>
      <c r="BI99" s="1244"/>
      <c r="BJ99" s="574"/>
      <c r="BK99" s="574"/>
      <c r="BL99" s="574"/>
      <c r="BM99" s="574"/>
      <c r="BN99" s="1243"/>
      <c r="BO99" s="574"/>
      <c r="BP99" s="574"/>
      <c r="BQ99" s="574"/>
      <c r="BR99" s="574"/>
      <c r="BS99" s="1243"/>
      <c r="BT99" s="574"/>
      <c r="BU99" s="574"/>
      <c r="BV99" s="574"/>
      <c r="BW99" s="574"/>
      <c r="BX99" s="1243"/>
      <c r="BY99" s="955"/>
      <c r="BZ99" s="574"/>
      <c r="CA99" s="574"/>
      <c r="CB99" s="574"/>
      <c r="CC99" s="1243"/>
      <c r="CD99" s="574"/>
      <c r="CE99" s="574"/>
      <c r="CF99" s="574"/>
      <c r="CG99" s="574"/>
      <c r="CH99" s="1243"/>
      <c r="CI99" s="1243"/>
      <c r="CJ99" s="1243"/>
      <c r="CK99" s="1243"/>
      <c r="CL99" s="829"/>
    </row>
    <row r="100" spans="1:90" s="992" customFormat="1" hidden="1" outlineLevel="1" x14ac:dyDescent="0.3">
      <c r="A100" s="394" t="s">
        <v>1206</v>
      </c>
      <c r="B100" s="683"/>
      <c r="C100" s="1243"/>
      <c r="D100" s="1243"/>
      <c r="E100" s="1243"/>
      <c r="F100" s="1243"/>
      <c r="G100" s="574"/>
      <c r="H100" s="574"/>
      <c r="I100" s="574"/>
      <c r="J100" s="574"/>
      <c r="K100" s="1243"/>
      <c r="L100" s="574"/>
      <c r="M100" s="574"/>
      <c r="N100" s="574"/>
      <c r="O100" s="574"/>
      <c r="P100" s="1243"/>
      <c r="Q100" s="574"/>
      <c r="R100" s="574"/>
      <c r="S100" s="574"/>
      <c r="T100" s="574"/>
      <c r="U100" s="1243"/>
      <c r="V100" s="574"/>
      <c r="W100" s="574"/>
      <c r="X100" s="574"/>
      <c r="Y100" s="574"/>
      <c r="Z100" s="1243"/>
      <c r="AA100" s="574"/>
      <c r="AB100" s="574"/>
      <c r="AC100" s="574"/>
      <c r="AD100" s="574"/>
      <c r="AE100" s="1243"/>
      <c r="AF100" s="574"/>
      <c r="AG100" s="574"/>
      <c r="AH100" s="574"/>
      <c r="AI100" s="574"/>
      <c r="AJ100" s="1243"/>
      <c r="AK100" s="574"/>
      <c r="AL100" s="574"/>
      <c r="AM100" s="574"/>
      <c r="AN100" s="574"/>
      <c r="AO100" s="1243"/>
      <c r="AP100" s="574"/>
      <c r="AQ100" s="574"/>
      <c r="AR100" s="574"/>
      <c r="AS100" s="574"/>
      <c r="AT100" s="1244"/>
      <c r="AU100" s="678"/>
      <c r="AV100" s="678"/>
      <c r="AW100" s="678"/>
      <c r="AX100" s="678"/>
      <c r="AY100" s="1244"/>
      <c r="AZ100" s="678"/>
      <c r="BA100" s="678"/>
      <c r="BB100" s="678"/>
      <c r="BC100" s="678"/>
      <c r="BD100" s="1244"/>
      <c r="BE100" s="678"/>
      <c r="BF100" s="678"/>
      <c r="BG100" s="678"/>
      <c r="BH100" s="678"/>
      <c r="BI100" s="1244"/>
      <c r="BJ100" s="574"/>
      <c r="BK100" s="574"/>
      <c r="BL100" s="574"/>
      <c r="BM100" s="574"/>
      <c r="BN100" s="1243"/>
      <c r="BO100" s="574"/>
      <c r="BP100" s="574"/>
      <c r="BQ100" s="574"/>
      <c r="BR100" s="574"/>
      <c r="BS100" s="1243"/>
      <c r="BT100" s="574"/>
      <c r="BU100" s="574"/>
      <c r="BV100" s="574"/>
      <c r="BW100" s="574"/>
      <c r="BX100" s="1243"/>
      <c r="BY100" s="955"/>
      <c r="BZ100" s="574"/>
      <c r="CA100" s="574"/>
      <c r="CB100" s="574"/>
      <c r="CC100" s="1243"/>
      <c r="CD100" s="574"/>
      <c r="CE100" s="574"/>
      <c r="CF100" s="574"/>
      <c r="CG100" s="574"/>
      <c r="CH100" s="1243"/>
      <c r="CI100" s="1243"/>
      <c r="CJ100" s="1243"/>
      <c r="CK100" s="1243"/>
      <c r="CL100" s="829"/>
    </row>
    <row r="101" spans="1:90" s="992" customFormat="1" hidden="1" outlineLevel="1" x14ac:dyDescent="0.3">
      <c r="A101" s="394" t="s">
        <v>1207</v>
      </c>
      <c r="B101" s="683"/>
      <c r="C101" s="1243"/>
      <c r="D101" s="1243"/>
      <c r="E101" s="1243"/>
      <c r="F101" s="1243"/>
      <c r="G101" s="574"/>
      <c r="H101" s="574"/>
      <c r="I101" s="574"/>
      <c r="J101" s="574"/>
      <c r="K101" s="1243"/>
      <c r="L101" s="574"/>
      <c r="M101" s="574"/>
      <c r="N101" s="574"/>
      <c r="O101" s="574"/>
      <c r="P101" s="1243"/>
      <c r="Q101" s="574"/>
      <c r="R101" s="574"/>
      <c r="S101" s="574"/>
      <c r="T101" s="574"/>
      <c r="U101" s="1243"/>
      <c r="V101" s="574"/>
      <c r="W101" s="574"/>
      <c r="X101" s="574"/>
      <c r="Y101" s="574"/>
      <c r="Z101" s="1243"/>
      <c r="AA101" s="574"/>
      <c r="AB101" s="574"/>
      <c r="AC101" s="574"/>
      <c r="AD101" s="574"/>
      <c r="AE101" s="1243"/>
      <c r="AF101" s="574"/>
      <c r="AG101" s="574"/>
      <c r="AH101" s="574"/>
      <c r="AI101" s="574"/>
      <c r="AJ101" s="1243"/>
      <c r="AK101" s="574"/>
      <c r="AL101" s="574"/>
      <c r="AM101" s="574"/>
      <c r="AN101" s="574"/>
      <c r="AO101" s="1243"/>
      <c r="AP101" s="574"/>
      <c r="AQ101" s="574"/>
      <c r="AR101" s="574"/>
      <c r="AS101" s="574"/>
      <c r="AT101" s="1244"/>
      <c r="AU101" s="678"/>
      <c r="AV101" s="678"/>
      <c r="AW101" s="678"/>
      <c r="AX101" s="678"/>
      <c r="AY101" s="1244"/>
      <c r="AZ101" s="678"/>
      <c r="BA101" s="678"/>
      <c r="BB101" s="678"/>
      <c r="BC101" s="678"/>
      <c r="BD101" s="1244"/>
      <c r="BE101" s="678"/>
      <c r="BF101" s="678"/>
      <c r="BG101" s="678"/>
      <c r="BH101" s="678"/>
      <c r="BI101" s="1244"/>
      <c r="BJ101" s="574"/>
      <c r="BK101" s="574"/>
      <c r="BL101" s="574"/>
      <c r="BM101" s="574"/>
      <c r="BN101" s="1243"/>
      <c r="BO101" s="574"/>
      <c r="BP101" s="574"/>
      <c r="BQ101" s="574"/>
      <c r="BR101" s="574"/>
      <c r="BS101" s="1243"/>
      <c r="BT101" s="574"/>
      <c r="BU101" s="574"/>
      <c r="BV101" s="574"/>
      <c r="BW101" s="574"/>
      <c r="BX101" s="1243"/>
      <c r="BY101" s="955"/>
      <c r="BZ101" s="574"/>
      <c r="CA101" s="574"/>
      <c r="CB101" s="574"/>
      <c r="CC101" s="1243"/>
      <c r="CD101" s="574"/>
      <c r="CE101" s="574"/>
      <c r="CF101" s="574"/>
      <c r="CG101" s="574"/>
      <c r="CH101" s="1243"/>
      <c r="CI101" s="1243"/>
      <c r="CJ101" s="1243"/>
      <c r="CK101" s="1243"/>
      <c r="CL101" s="829"/>
    </row>
    <row r="102" spans="1:90" s="992" customFormat="1" hidden="1" outlineLevel="1" x14ac:dyDescent="0.3">
      <c r="A102" s="394" t="s">
        <v>1208</v>
      </c>
      <c r="B102" s="683"/>
      <c r="C102" s="1243"/>
      <c r="D102" s="1243"/>
      <c r="E102" s="1243"/>
      <c r="F102" s="1243"/>
      <c r="G102" s="574"/>
      <c r="H102" s="574"/>
      <c r="I102" s="574"/>
      <c r="J102" s="574"/>
      <c r="K102" s="1243"/>
      <c r="L102" s="574"/>
      <c r="M102" s="574"/>
      <c r="N102" s="574"/>
      <c r="O102" s="574"/>
      <c r="P102" s="1243"/>
      <c r="Q102" s="574"/>
      <c r="R102" s="574"/>
      <c r="S102" s="574"/>
      <c r="T102" s="574"/>
      <c r="U102" s="1243"/>
      <c r="V102" s="574"/>
      <c r="W102" s="574"/>
      <c r="X102" s="574"/>
      <c r="Y102" s="574"/>
      <c r="Z102" s="1243"/>
      <c r="AA102" s="574"/>
      <c r="AB102" s="574"/>
      <c r="AC102" s="574"/>
      <c r="AD102" s="574"/>
      <c r="AE102" s="1243"/>
      <c r="AF102" s="574"/>
      <c r="AG102" s="574"/>
      <c r="AH102" s="574"/>
      <c r="AI102" s="574"/>
      <c r="AJ102" s="1243"/>
      <c r="AK102" s="574"/>
      <c r="AL102" s="574"/>
      <c r="AM102" s="574"/>
      <c r="AN102" s="574"/>
      <c r="AO102" s="1243"/>
      <c r="AP102" s="574"/>
      <c r="AQ102" s="574"/>
      <c r="AR102" s="574"/>
      <c r="AS102" s="574"/>
      <c r="AT102" s="1244"/>
      <c r="AU102" s="678"/>
      <c r="AV102" s="678"/>
      <c r="AW102" s="678"/>
      <c r="AX102" s="678"/>
      <c r="AY102" s="1244"/>
      <c r="AZ102" s="678"/>
      <c r="BA102" s="678"/>
      <c r="BB102" s="678"/>
      <c r="BC102" s="678"/>
      <c r="BD102" s="1244"/>
      <c r="BE102" s="678"/>
      <c r="BF102" s="678"/>
      <c r="BG102" s="678"/>
      <c r="BH102" s="678"/>
      <c r="BI102" s="1244"/>
      <c r="BJ102" s="574"/>
      <c r="BK102" s="574"/>
      <c r="BL102" s="574"/>
      <c r="BM102" s="574"/>
      <c r="BN102" s="1243"/>
      <c r="BO102" s="574"/>
      <c r="BP102" s="574"/>
      <c r="BQ102" s="574"/>
      <c r="BR102" s="574"/>
      <c r="BS102" s="1243"/>
      <c r="BT102" s="574"/>
      <c r="BU102" s="574"/>
      <c r="BV102" s="574"/>
      <c r="BW102" s="574"/>
      <c r="BX102" s="1243"/>
      <c r="BY102" s="955"/>
      <c r="BZ102" s="574"/>
      <c r="CA102" s="574"/>
      <c r="CB102" s="574"/>
      <c r="CC102" s="1243"/>
      <c r="CD102" s="574"/>
      <c r="CE102" s="574"/>
      <c r="CF102" s="574"/>
      <c r="CG102" s="574"/>
      <c r="CH102" s="1243"/>
      <c r="CI102" s="1243"/>
      <c r="CJ102" s="1243"/>
      <c r="CK102" s="1243"/>
      <c r="CL102" s="829"/>
    </row>
    <row r="103" spans="1:90" s="992" customFormat="1" hidden="1" outlineLevel="1" x14ac:dyDescent="0.3">
      <c r="A103" s="394" t="s">
        <v>1209</v>
      </c>
      <c r="B103" s="683"/>
      <c r="C103" s="1243"/>
      <c r="D103" s="1243"/>
      <c r="E103" s="1243"/>
      <c r="F103" s="1243"/>
      <c r="G103" s="574"/>
      <c r="H103" s="574"/>
      <c r="I103" s="574"/>
      <c r="J103" s="574"/>
      <c r="K103" s="1243"/>
      <c r="L103" s="574"/>
      <c r="M103" s="574"/>
      <c r="N103" s="574"/>
      <c r="O103" s="574"/>
      <c r="P103" s="1243"/>
      <c r="Q103" s="574"/>
      <c r="R103" s="574"/>
      <c r="S103" s="574"/>
      <c r="T103" s="574"/>
      <c r="U103" s="1243"/>
      <c r="V103" s="574"/>
      <c r="W103" s="574"/>
      <c r="X103" s="574"/>
      <c r="Y103" s="574"/>
      <c r="Z103" s="1243"/>
      <c r="AA103" s="574"/>
      <c r="AB103" s="574"/>
      <c r="AC103" s="574"/>
      <c r="AD103" s="574"/>
      <c r="AE103" s="1243"/>
      <c r="AF103" s="574"/>
      <c r="AG103" s="574"/>
      <c r="AH103" s="574"/>
      <c r="AI103" s="574"/>
      <c r="AJ103" s="1243"/>
      <c r="AK103" s="574"/>
      <c r="AL103" s="574"/>
      <c r="AM103" s="574"/>
      <c r="AN103" s="574"/>
      <c r="AO103" s="1243"/>
      <c r="AP103" s="574"/>
      <c r="AQ103" s="574"/>
      <c r="AR103" s="574"/>
      <c r="AS103" s="574"/>
      <c r="AT103" s="1244"/>
      <c r="AU103" s="678"/>
      <c r="AV103" s="678"/>
      <c r="AW103" s="678"/>
      <c r="AX103" s="678"/>
      <c r="AY103" s="1244"/>
      <c r="AZ103" s="678"/>
      <c r="BA103" s="678"/>
      <c r="BB103" s="678"/>
      <c r="BC103" s="678"/>
      <c r="BD103" s="1244"/>
      <c r="BE103" s="678"/>
      <c r="BF103" s="678"/>
      <c r="BG103" s="678"/>
      <c r="BH103" s="678"/>
      <c r="BI103" s="1244"/>
      <c r="BJ103" s="574"/>
      <c r="BK103" s="574"/>
      <c r="BL103" s="574"/>
      <c r="BM103" s="574"/>
      <c r="BN103" s="1243"/>
      <c r="BO103" s="574"/>
      <c r="BP103" s="574"/>
      <c r="BQ103" s="574"/>
      <c r="BR103" s="574"/>
      <c r="BS103" s="1243"/>
      <c r="BT103" s="574"/>
      <c r="BU103" s="574"/>
      <c r="BV103" s="574"/>
      <c r="BW103" s="574"/>
      <c r="BX103" s="1243"/>
      <c r="BY103" s="955"/>
      <c r="BZ103" s="574"/>
      <c r="CA103" s="574"/>
      <c r="CB103" s="574"/>
      <c r="CC103" s="1243"/>
      <c r="CD103" s="574"/>
      <c r="CE103" s="574"/>
      <c r="CF103" s="574"/>
      <c r="CG103" s="574"/>
      <c r="CH103" s="1243"/>
      <c r="CI103" s="1243"/>
      <c r="CJ103" s="1243"/>
      <c r="CK103" s="1243"/>
      <c r="CL103" s="829"/>
    </row>
    <row r="104" spans="1:90" s="992" customFormat="1" hidden="1" outlineLevel="1" x14ac:dyDescent="0.3">
      <c r="A104" s="833" t="s">
        <v>1285</v>
      </c>
      <c r="B104" s="845"/>
      <c r="C104" s="1274"/>
      <c r="D104" s="1274"/>
      <c r="E104" s="1274"/>
      <c r="F104" s="1274"/>
      <c r="G104" s="846"/>
      <c r="H104" s="846"/>
      <c r="I104" s="846"/>
      <c r="J104" s="846"/>
      <c r="K104" s="1274"/>
      <c r="L104" s="846"/>
      <c r="M104" s="846"/>
      <c r="N104" s="846"/>
      <c r="O104" s="846"/>
      <c r="P104" s="1274"/>
      <c r="Q104" s="846"/>
      <c r="R104" s="846"/>
      <c r="S104" s="846"/>
      <c r="T104" s="846"/>
      <c r="U104" s="1274"/>
      <c r="V104" s="846"/>
      <c r="W104" s="846"/>
      <c r="X104" s="846"/>
      <c r="Y104" s="846"/>
      <c r="Z104" s="1274"/>
      <c r="AA104" s="846"/>
      <c r="AB104" s="846"/>
      <c r="AC104" s="846"/>
      <c r="AD104" s="846"/>
      <c r="AE104" s="1274"/>
      <c r="AF104" s="846"/>
      <c r="AG104" s="846"/>
      <c r="AH104" s="846"/>
      <c r="AI104" s="846"/>
      <c r="AJ104" s="1274"/>
      <c r="AK104" s="846"/>
      <c r="AL104" s="846"/>
      <c r="AM104" s="846"/>
      <c r="AN104" s="846"/>
      <c r="AO104" s="1274"/>
      <c r="AP104" s="846"/>
      <c r="AQ104" s="846"/>
      <c r="AR104" s="846"/>
      <c r="AS104" s="846"/>
      <c r="AT104" s="1250"/>
      <c r="AU104" s="681"/>
      <c r="AV104" s="681"/>
      <c r="AW104" s="681"/>
      <c r="AX104" s="681"/>
      <c r="AY104" s="1250"/>
      <c r="AZ104" s="681"/>
      <c r="BA104" s="681"/>
      <c r="BB104" s="681"/>
      <c r="BC104" s="681"/>
      <c r="BD104" s="1250"/>
      <c r="BE104" s="681"/>
      <c r="BF104" s="681"/>
      <c r="BG104" s="681"/>
      <c r="BH104" s="681"/>
      <c r="BI104" s="1250"/>
      <c r="BJ104" s="846"/>
      <c r="BK104" s="846"/>
      <c r="BL104" s="846"/>
      <c r="BM104" s="846"/>
      <c r="BN104" s="1274"/>
      <c r="BO104" s="846"/>
      <c r="BP104" s="846"/>
      <c r="BQ104" s="846"/>
      <c r="BR104" s="846"/>
      <c r="BS104" s="1274"/>
      <c r="BT104" s="846"/>
      <c r="BU104" s="846"/>
      <c r="BV104" s="846"/>
      <c r="BW104" s="846"/>
      <c r="BX104" s="1274"/>
      <c r="BY104" s="957"/>
      <c r="BZ104" s="846"/>
      <c r="CA104" s="846"/>
      <c r="CB104" s="846"/>
      <c r="CC104" s="1274"/>
      <c r="CD104" s="846"/>
      <c r="CE104" s="846"/>
      <c r="CF104" s="846"/>
      <c r="CG104" s="846"/>
      <c r="CH104" s="1274"/>
      <c r="CI104" s="1274"/>
      <c r="CJ104" s="1274"/>
      <c r="CK104" s="1274"/>
      <c r="CL104" s="829"/>
    </row>
    <row r="105" spans="1:90" s="992" customFormat="1" collapsed="1" x14ac:dyDescent="0.3">
      <c r="A105" s="832" t="s">
        <v>1210</v>
      </c>
      <c r="B105" s="862"/>
      <c r="C105" s="1250"/>
      <c r="D105" s="1250"/>
      <c r="E105" s="1250"/>
      <c r="F105" s="1250"/>
      <c r="G105" s="681"/>
      <c r="H105" s="681"/>
      <c r="I105" s="681"/>
      <c r="J105" s="681"/>
      <c r="K105" s="1250"/>
      <c r="L105" s="681"/>
      <c r="M105" s="681"/>
      <c r="N105" s="681"/>
      <c r="O105" s="681"/>
      <c r="P105" s="1250"/>
      <c r="Q105" s="681"/>
      <c r="R105" s="681"/>
      <c r="S105" s="681"/>
      <c r="T105" s="681"/>
      <c r="U105" s="1250"/>
      <c r="V105" s="681"/>
      <c r="W105" s="681"/>
      <c r="X105" s="681"/>
      <c r="Y105" s="681"/>
      <c r="Z105" s="1250"/>
      <c r="AA105" s="681"/>
      <c r="AB105" s="681"/>
      <c r="AC105" s="681"/>
      <c r="AD105" s="681"/>
      <c r="AE105" s="1250"/>
      <c r="AF105" s="681"/>
      <c r="AG105" s="681"/>
      <c r="AH105" s="681"/>
      <c r="AI105" s="681"/>
      <c r="AJ105" s="1250"/>
      <c r="AK105" s="681"/>
      <c r="AL105" s="681"/>
      <c r="AM105" s="681"/>
      <c r="AN105" s="681"/>
      <c r="AO105" s="1250"/>
      <c r="AP105" s="681"/>
      <c r="AQ105" s="681"/>
      <c r="AR105" s="681"/>
      <c r="AS105" s="681"/>
      <c r="AT105" s="1250">
        <f>SUM(AT91:AT104)</f>
        <v>0</v>
      </c>
      <c r="AU105" s="681"/>
      <c r="AV105" s="681"/>
      <c r="AW105" s="681"/>
      <c r="AX105" s="681"/>
      <c r="AY105" s="1250">
        <f>SUM(AY91:AY104)</f>
        <v>0</v>
      </c>
      <c r="AZ105" s="681"/>
      <c r="BA105" s="681"/>
      <c r="BB105" s="681"/>
      <c r="BC105" s="681"/>
      <c r="BD105" s="1250">
        <f>SUM(BD91:BD104)</f>
        <v>0</v>
      </c>
      <c r="BE105" s="681"/>
      <c r="BF105" s="681"/>
      <c r="BG105" s="681"/>
      <c r="BH105" s="681"/>
      <c r="BI105" s="1250">
        <f>SUM(BI91:BI104)</f>
        <v>0</v>
      </c>
      <c r="BJ105" s="681"/>
      <c r="BK105" s="681"/>
      <c r="BL105" s="681"/>
      <c r="BM105" s="681"/>
      <c r="BN105" s="1250">
        <f>SUM(BN91:BN104)</f>
        <v>0</v>
      </c>
      <c r="BO105" s="681"/>
      <c r="BP105" s="681"/>
      <c r="BQ105" s="681"/>
      <c r="BR105" s="681"/>
      <c r="BS105" s="1250">
        <f>SUM(BS91:BS104)</f>
        <v>0</v>
      </c>
      <c r="BT105" s="681"/>
      <c r="BU105" s="681"/>
      <c r="BV105" s="681"/>
      <c r="BW105" s="681"/>
      <c r="BX105" s="1250"/>
      <c r="BY105" s="958"/>
      <c r="BZ105" s="681"/>
      <c r="CA105" s="681"/>
      <c r="CB105" s="681"/>
      <c r="CC105" s="1250"/>
      <c r="CD105" s="681"/>
      <c r="CE105" s="681"/>
      <c r="CF105" s="681"/>
      <c r="CG105" s="681"/>
      <c r="CH105" s="1250"/>
      <c r="CI105" s="1250"/>
      <c r="CJ105" s="1250"/>
      <c r="CK105" s="1250"/>
      <c r="CL105" s="829"/>
    </row>
    <row r="106" spans="1:90" s="992" customFormat="1" x14ac:dyDescent="0.3">
      <c r="A106" s="682" t="s">
        <v>1124</v>
      </c>
      <c r="B106" s="683"/>
      <c r="C106" s="1243"/>
      <c r="D106" s="1243"/>
      <c r="E106" s="1243"/>
      <c r="F106" s="1243"/>
      <c r="G106" s="574"/>
      <c r="H106" s="574"/>
      <c r="I106" s="574"/>
      <c r="J106" s="574"/>
      <c r="K106" s="1243"/>
      <c r="L106" s="574"/>
      <c r="M106" s="574"/>
      <c r="N106" s="574"/>
      <c r="O106" s="574"/>
      <c r="P106" s="1243"/>
      <c r="Q106" s="574"/>
      <c r="R106" s="574"/>
      <c r="S106" s="574"/>
      <c r="T106" s="574"/>
      <c r="U106" s="1243"/>
      <c r="V106" s="574"/>
      <c r="W106" s="574"/>
      <c r="X106" s="574"/>
      <c r="Y106" s="574"/>
      <c r="Z106" s="1243"/>
      <c r="AA106" s="574"/>
      <c r="AB106" s="574"/>
      <c r="AC106" s="574"/>
      <c r="AD106" s="574"/>
      <c r="AE106" s="1243"/>
      <c r="AF106" s="574"/>
      <c r="AG106" s="574"/>
      <c r="AH106" s="574"/>
      <c r="AI106" s="574"/>
      <c r="AJ106" s="1243"/>
      <c r="AK106" s="574"/>
      <c r="AL106" s="574"/>
      <c r="AM106" s="574"/>
      <c r="AN106" s="574"/>
      <c r="AO106" s="1243"/>
      <c r="AP106" s="574"/>
      <c r="AQ106" s="574"/>
      <c r="AR106" s="574"/>
      <c r="AS106" s="574"/>
      <c r="AT106" s="1243">
        <f>AT75+AT90+AT105</f>
        <v>3143.2760000000003</v>
      </c>
      <c r="AU106" s="574"/>
      <c r="AV106" s="574"/>
      <c r="AW106" s="574"/>
      <c r="AX106" s="574"/>
      <c r="AY106" s="1243">
        <f>AY75+AY90+AY105</f>
        <v>4521.273000000001</v>
      </c>
      <c r="AZ106" s="574"/>
      <c r="BA106" s="574"/>
      <c r="BB106" s="574"/>
      <c r="BC106" s="574"/>
      <c r="BD106" s="1243">
        <f>BD75+BD90+BD105</f>
        <v>4606.5719999999983</v>
      </c>
      <c r="BE106" s="574"/>
      <c r="BF106" s="574"/>
      <c r="BG106" s="574"/>
      <c r="BH106" s="574"/>
      <c r="BI106" s="1243">
        <f>BI75+BI90+BI105</f>
        <v>4247.7360000000008</v>
      </c>
      <c r="BJ106" s="574"/>
      <c r="BK106" s="574"/>
      <c r="BL106" s="574"/>
      <c r="BM106" s="574"/>
      <c r="BN106" s="1243">
        <f>BN75+BN90+BN105</f>
        <v>4892.5879999999997</v>
      </c>
      <c r="BO106" s="574"/>
      <c r="BP106" s="574"/>
      <c r="BQ106" s="574"/>
      <c r="BR106" s="574"/>
      <c r="BS106" s="1243">
        <f>BS75+BS90+BS105</f>
        <v>4339.317</v>
      </c>
      <c r="BT106" s="574"/>
      <c r="BU106" s="574"/>
      <c r="BV106" s="574"/>
      <c r="BW106" s="574"/>
      <c r="BX106" s="1243"/>
      <c r="BY106" s="955"/>
      <c r="BZ106" s="574"/>
      <c r="CA106" s="574"/>
      <c r="CB106" s="574"/>
      <c r="CC106" s="1243"/>
      <c r="CD106" s="574"/>
      <c r="CE106" s="574"/>
      <c r="CF106" s="574"/>
      <c r="CG106" s="574"/>
      <c r="CH106" s="1243"/>
      <c r="CI106" s="1243"/>
      <c r="CJ106" s="1243"/>
      <c r="CK106" s="1243"/>
      <c r="CL106" s="829"/>
    </row>
    <row r="107" spans="1:90" s="993" customFormat="1" x14ac:dyDescent="0.3">
      <c r="A107" s="676" t="s">
        <v>1123</v>
      </c>
      <c r="B107" s="677"/>
      <c r="C107" s="1244"/>
      <c r="D107" s="1244"/>
      <c r="E107" s="1244"/>
      <c r="F107" s="1244"/>
      <c r="G107" s="678"/>
      <c r="H107" s="678"/>
      <c r="I107" s="678"/>
      <c r="J107" s="678"/>
      <c r="K107" s="1244"/>
      <c r="L107" s="678"/>
      <c r="M107" s="678"/>
      <c r="N107" s="678"/>
      <c r="O107" s="678"/>
      <c r="P107" s="1244"/>
      <c r="Q107" s="678"/>
      <c r="R107" s="678"/>
      <c r="S107" s="678"/>
      <c r="T107" s="678"/>
      <c r="U107" s="1244"/>
      <c r="V107" s="678"/>
      <c r="W107" s="678"/>
      <c r="X107" s="678"/>
      <c r="Y107" s="678"/>
      <c r="Z107" s="1244"/>
      <c r="AA107" s="678"/>
      <c r="AB107" s="678"/>
      <c r="AC107" s="678"/>
      <c r="AD107" s="678"/>
      <c r="AE107" s="1244"/>
      <c r="AF107" s="678"/>
      <c r="AG107" s="678"/>
      <c r="AH107" s="678"/>
      <c r="AI107" s="678"/>
      <c r="AJ107" s="1244"/>
      <c r="AK107" s="678"/>
      <c r="AL107" s="678"/>
      <c r="AM107" s="678"/>
      <c r="AN107" s="678"/>
      <c r="AO107" s="1244"/>
      <c r="AP107" s="678"/>
      <c r="AQ107" s="678"/>
      <c r="AR107" s="678"/>
      <c r="AS107" s="678"/>
      <c r="AT107" s="1244">
        <f>AT13</f>
        <v>152648.01</v>
      </c>
      <c r="AU107" s="678">
        <f t="shared" ref="AU107:BN107" si="8">AU13</f>
        <v>185940.58</v>
      </c>
      <c r="AV107" s="678">
        <f t="shared" si="8"/>
        <v>266199.12</v>
      </c>
      <c r="AW107" s="678">
        <f t="shared" si="8"/>
        <v>316358.16000000003</v>
      </c>
      <c r="AX107" s="678">
        <f t="shared" si="8"/>
        <v>328380.88</v>
      </c>
      <c r="AY107" s="1244">
        <f t="shared" si="8"/>
        <v>327861.29000000004</v>
      </c>
      <c r="AZ107" s="678">
        <f t="shared" si="8"/>
        <v>388635.66</v>
      </c>
      <c r="BA107" s="678">
        <f t="shared" si="8"/>
        <v>494299.65000000008</v>
      </c>
      <c r="BB107" s="678">
        <f t="shared" si="8"/>
        <v>649657.47</v>
      </c>
      <c r="BC107" s="678">
        <f t="shared" si="8"/>
        <v>581734.80000000005</v>
      </c>
      <c r="BD107" s="1244">
        <f t="shared" si="8"/>
        <v>581278</v>
      </c>
      <c r="BE107" s="678">
        <f t="shared" si="8"/>
        <v>470166.45</v>
      </c>
      <c r="BF107" s="678">
        <f t="shared" si="8"/>
        <v>455891.3</v>
      </c>
      <c r="BG107" s="678">
        <f t="shared" si="8"/>
        <v>343636.56</v>
      </c>
      <c r="BH107" s="678">
        <f t="shared" si="8"/>
        <v>475025.98</v>
      </c>
      <c r="BI107" s="1244">
        <f t="shared" si="8"/>
        <v>475025.98</v>
      </c>
      <c r="BJ107" s="678">
        <f t="shared" si="8"/>
        <v>691782.57000000007</v>
      </c>
      <c r="BK107" s="678">
        <f t="shared" si="8"/>
        <v>1166412.5</v>
      </c>
      <c r="BL107" s="678">
        <f t="shared" si="8"/>
        <v>1009260</v>
      </c>
      <c r="BM107" s="678">
        <f t="shared" si="8"/>
        <v>1518451.2799999998</v>
      </c>
      <c r="BN107" s="1244">
        <f t="shared" si="8"/>
        <v>1518451.2799999998</v>
      </c>
      <c r="BO107" s="678">
        <f t="shared" ref="BO107:BT107" si="9">BO13</f>
        <v>2181092.1</v>
      </c>
      <c r="BP107" s="678">
        <f t="shared" si="9"/>
        <v>2807505.92</v>
      </c>
      <c r="BQ107" s="678">
        <f t="shared" si="9"/>
        <v>3502973.46</v>
      </c>
      <c r="BR107" s="678">
        <f t="shared" si="9"/>
        <v>3521858.2800000003</v>
      </c>
      <c r="BS107" s="1244">
        <f t="shared" si="9"/>
        <v>3521858.2800000003</v>
      </c>
      <c r="BT107" s="678">
        <f t="shared" si="9"/>
        <v>2154596.13</v>
      </c>
      <c r="BU107" s="678">
        <f>BU13</f>
        <v>4253005.5</v>
      </c>
      <c r="BV107" s="678">
        <f>BV13</f>
        <v>4556105.8599999994</v>
      </c>
      <c r="BW107" s="678">
        <f>BW13</f>
        <v>4585153.4399999995</v>
      </c>
      <c r="BX107" s="1244">
        <f>BX13</f>
        <v>4585153.4399999995</v>
      </c>
      <c r="BY107" s="954">
        <f>BY13</f>
        <v>5066376.0200000005</v>
      </c>
      <c r="BZ107" s="678"/>
      <c r="CA107" s="678"/>
      <c r="CB107" s="678"/>
      <c r="CC107" s="1244"/>
      <c r="CD107" s="678"/>
      <c r="CE107" s="678"/>
      <c r="CF107" s="678"/>
      <c r="CG107" s="678"/>
      <c r="CH107" s="1244"/>
      <c r="CI107" s="1244"/>
      <c r="CJ107" s="1244"/>
      <c r="CK107" s="1244"/>
      <c r="CL107" s="827"/>
    </row>
    <row r="108" spans="1:90" s="992" customFormat="1" x14ac:dyDescent="0.3">
      <c r="A108" s="682"/>
      <c r="B108" s="683"/>
      <c r="C108" s="1243"/>
      <c r="D108" s="1243"/>
      <c r="E108" s="1243"/>
      <c r="F108" s="1243"/>
      <c r="G108" s="574"/>
      <c r="H108" s="574"/>
      <c r="I108" s="574"/>
      <c r="J108" s="574"/>
      <c r="K108" s="1243"/>
      <c r="L108" s="574"/>
      <c r="M108" s="574"/>
      <c r="N108" s="574"/>
      <c r="O108" s="574"/>
      <c r="P108" s="1243"/>
      <c r="Q108" s="574"/>
      <c r="R108" s="574"/>
      <c r="S108" s="574"/>
      <c r="T108" s="574"/>
      <c r="U108" s="1243"/>
      <c r="V108" s="574"/>
      <c r="W108" s="574"/>
      <c r="X108" s="574"/>
      <c r="Y108" s="574"/>
      <c r="Z108" s="1243"/>
      <c r="AA108" s="574"/>
      <c r="AB108" s="574"/>
      <c r="AC108" s="574"/>
      <c r="AD108" s="574"/>
      <c r="AE108" s="1243"/>
      <c r="AF108" s="574"/>
      <c r="AG108" s="574"/>
      <c r="AH108" s="574"/>
      <c r="AI108" s="574"/>
      <c r="AJ108" s="1243"/>
      <c r="AK108" s="574"/>
      <c r="AL108" s="574"/>
      <c r="AM108" s="574"/>
      <c r="AN108" s="574"/>
      <c r="AO108" s="1243"/>
      <c r="AP108" s="574"/>
      <c r="AQ108" s="574"/>
      <c r="AR108" s="574"/>
      <c r="AS108" s="574"/>
      <c r="AT108" s="1243"/>
      <c r="AU108" s="574"/>
      <c r="AV108" s="574"/>
      <c r="AW108" s="574"/>
      <c r="AX108" s="574"/>
      <c r="AY108" s="1243"/>
      <c r="AZ108" s="574"/>
      <c r="BA108" s="574"/>
      <c r="BB108" s="574"/>
      <c r="BC108" s="574"/>
      <c r="BD108" s="1243"/>
      <c r="BE108" s="574"/>
      <c r="BF108" s="574"/>
      <c r="BG108" s="574"/>
      <c r="BH108" s="574"/>
      <c r="BI108" s="1243"/>
      <c r="BJ108" s="574"/>
      <c r="BK108" s="574"/>
      <c r="BL108" s="574"/>
      <c r="BM108" s="574"/>
      <c r="BN108" s="1243"/>
      <c r="BO108" s="574"/>
      <c r="BP108" s="574"/>
      <c r="BQ108" s="574"/>
      <c r="BR108" s="574"/>
      <c r="BS108" s="1243"/>
      <c r="BT108" s="574"/>
      <c r="BU108" s="574"/>
      <c r="BV108" s="574"/>
      <c r="BW108" s="574"/>
      <c r="BX108" s="1243"/>
      <c r="BY108" s="955"/>
      <c r="BZ108" s="574"/>
      <c r="CA108" s="574"/>
      <c r="CB108" s="574"/>
      <c r="CC108" s="1243"/>
      <c r="CD108" s="574"/>
      <c r="CE108" s="574"/>
      <c r="CF108" s="574"/>
      <c r="CG108" s="574"/>
      <c r="CH108" s="1243"/>
      <c r="CI108" s="1243"/>
      <c r="CJ108" s="1243"/>
      <c r="CK108" s="1243"/>
      <c r="CL108" s="829"/>
    </row>
    <row r="109" spans="1:90" s="992" customFormat="1" x14ac:dyDescent="0.3">
      <c r="A109" s="886" t="s">
        <v>1122</v>
      </c>
      <c r="B109" s="886"/>
      <c r="C109" s="886"/>
      <c r="D109" s="886"/>
      <c r="E109" s="886"/>
      <c r="F109" s="886"/>
      <c r="G109" s="886"/>
      <c r="H109" s="886"/>
      <c r="I109" s="886"/>
      <c r="J109" s="886"/>
      <c r="K109" s="886"/>
      <c r="L109" s="886"/>
      <c r="M109" s="886"/>
      <c r="N109" s="886"/>
      <c r="O109" s="886"/>
      <c r="P109" s="886"/>
      <c r="Q109" s="886"/>
      <c r="R109" s="886"/>
      <c r="S109" s="886"/>
      <c r="T109" s="886"/>
      <c r="U109" s="886"/>
      <c r="V109" s="886"/>
      <c r="W109" s="886"/>
      <c r="X109" s="886"/>
      <c r="Y109" s="886"/>
      <c r="Z109" s="886"/>
      <c r="AA109" s="886"/>
      <c r="AB109" s="886"/>
      <c r="AC109" s="886"/>
      <c r="AD109" s="886"/>
      <c r="AE109" s="886"/>
      <c r="AF109" s="886"/>
      <c r="AG109" s="886"/>
      <c r="AH109" s="886"/>
      <c r="AI109" s="886"/>
      <c r="AJ109" s="886"/>
      <c r="AK109" s="886"/>
      <c r="AL109" s="886"/>
      <c r="AM109" s="886"/>
      <c r="AN109" s="886"/>
      <c r="AO109" s="886"/>
      <c r="AP109" s="886"/>
      <c r="AQ109" s="886"/>
      <c r="AR109" s="886"/>
      <c r="AS109" s="886"/>
      <c r="AT109" s="886"/>
      <c r="AU109" s="886"/>
      <c r="AV109" s="886"/>
      <c r="AW109" s="886"/>
      <c r="AX109" s="886"/>
      <c r="AY109" s="886"/>
      <c r="AZ109" s="886"/>
      <c r="BA109" s="886"/>
      <c r="BB109" s="886"/>
      <c r="BC109" s="886"/>
      <c r="BD109" s="886"/>
      <c r="BE109" s="886"/>
      <c r="BF109" s="886"/>
      <c r="BG109" s="886"/>
      <c r="BH109" s="886"/>
      <c r="BI109" s="886"/>
      <c r="BJ109" s="886"/>
      <c r="BK109" s="886"/>
      <c r="BL109" s="886"/>
      <c r="BM109" s="886"/>
      <c r="BN109" s="886"/>
      <c r="BO109" s="886"/>
      <c r="BP109" s="886"/>
      <c r="BQ109" s="886"/>
      <c r="BR109" s="886"/>
      <c r="BS109" s="886"/>
      <c r="BT109" s="886"/>
      <c r="BU109" s="886"/>
      <c r="BV109" s="886"/>
      <c r="BW109" s="886"/>
      <c r="BX109" s="886"/>
      <c r="BY109" s="887"/>
      <c r="BZ109" s="886"/>
      <c r="CA109" s="886"/>
      <c r="CB109" s="886"/>
      <c r="CC109" s="886"/>
      <c r="CD109" s="886"/>
      <c r="CE109" s="886"/>
      <c r="CF109" s="886"/>
      <c r="CG109" s="886"/>
      <c r="CH109" s="886"/>
      <c r="CI109" s="886"/>
      <c r="CJ109" s="886"/>
      <c r="CK109" s="886"/>
      <c r="CL109" s="829"/>
    </row>
    <row r="110" spans="1:90" s="999" customFormat="1" x14ac:dyDescent="0.3">
      <c r="A110" s="831" t="s">
        <v>1194</v>
      </c>
      <c r="B110" s="830"/>
      <c r="C110" s="1277"/>
      <c r="D110" s="1277"/>
      <c r="E110" s="1277"/>
      <c r="F110" s="1277"/>
      <c r="G110" s="138"/>
      <c r="H110" s="138"/>
      <c r="I110" s="138"/>
      <c r="J110" s="138"/>
      <c r="K110" s="1277"/>
      <c r="L110" s="138"/>
      <c r="M110" s="138"/>
      <c r="N110" s="138"/>
      <c r="O110" s="138"/>
      <c r="P110" s="1277"/>
      <c r="Q110" s="138"/>
      <c r="R110" s="138"/>
      <c r="S110" s="138"/>
      <c r="T110" s="138"/>
      <c r="U110" s="1277"/>
      <c r="V110" s="138"/>
      <c r="W110" s="138"/>
      <c r="X110" s="138"/>
      <c r="Y110" s="138"/>
      <c r="Z110" s="1277"/>
      <c r="AA110" s="138"/>
      <c r="AB110" s="138"/>
      <c r="AC110" s="138"/>
      <c r="AD110" s="138"/>
      <c r="AE110" s="1277"/>
      <c r="AF110" s="138"/>
      <c r="AG110" s="138"/>
      <c r="AH110" s="138"/>
      <c r="AI110" s="138"/>
      <c r="AJ110" s="1277"/>
      <c r="AK110" s="138"/>
      <c r="AL110" s="138"/>
      <c r="AM110" s="138"/>
      <c r="AN110" s="138"/>
      <c r="AO110" s="1277"/>
      <c r="AP110" s="138"/>
      <c r="AQ110" s="138"/>
      <c r="AR110" s="138"/>
      <c r="AS110" s="138"/>
      <c r="AT110" s="1278">
        <v>6</v>
      </c>
      <c r="AU110" s="138"/>
      <c r="AV110" s="138"/>
      <c r="AW110" s="138"/>
      <c r="AX110" s="138"/>
      <c r="AY110" s="1278">
        <v>6</v>
      </c>
      <c r="AZ110" s="138"/>
      <c r="BA110" s="138"/>
      <c r="BB110" s="138"/>
      <c r="BC110" s="138"/>
      <c r="BD110" s="1278">
        <v>6</v>
      </c>
      <c r="BE110" s="138"/>
      <c r="BF110" s="138"/>
      <c r="BG110" s="138"/>
      <c r="BH110" s="138"/>
      <c r="BI110" s="1278">
        <v>6</v>
      </c>
      <c r="BJ110" s="138"/>
      <c r="BK110" s="138"/>
      <c r="BL110" s="138"/>
      <c r="BM110" s="138"/>
      <c r="BN110" s="1278">
        <v>6</v>
      </c>
      <c r="BO110" s="138"/>
      <c r="BP110" s="138"/>
      <c r="BQ110" s="138"/>
      <c r="BR110" s="138"/>
      <c r="BS110" s="1278">
        <v>10</v>
      </c>
      <c r="BT110" s="138"/>
      <c r="BU110" s="138"/>
      <c r="BV110" s="138"/>
      <c r="BW110" s="138"/>
      <c r="BX110" s="1277"/>
      <c r="BY110" s="959"/>
      <c r="BZ110" s="138"/>
      <c r="CA110" s="138"/>
      <c r="CB110" s="138"/>
      <c r="CC110" s="1277"/>
      <c r="CD110" s="138"/>
      <c r="CE110" s="138"/>
      <c r="CF110" s="138"/>
      <c r="CG110" s="138"/>
      <c r="CH110" s="1277"/>
      <c r="CI110" s="1277"/>
      <c r="CJ110" s="1277"/>
      <c r="CK110" s="1277"/>
      <c r="CL110" s="852"/>
    </row>
    <row r="111" spans="1:90" s="999" customFormat="1" x14ac:dyDescent="0.3">
      <c r="A111" s="831" t="s">
        <v>1195</v>
      </c>
      <c r="B111" s="830"/>
      <c r="C111" s="1277"/>
      <c r="D111" s="1277"/>
      <c r="E111" s="1277"/>
      <c r="F111" s="1277"/>
      <c r="G111" s="138"/>
      <c r="H111" s="138"/>
      <c r="I111" s="138"/>
      <c r="J111" s="138"/>
      <c r="K111" s="1277"/>
      <c r="L111" s="138"/>
      <c r="M111" s="138"/>
      <c r="N111" s="138"/>
      <c r="O111" s="138"/>
      <c r="P111" s="1277"/>
      <c r="Q111" s="138"/>
      <c r="R111" s="138"/>
      <c r="S111" s="138"/>
      <c r="T111" s="138"/>
      <c r="U111" s="1277"/>
      <c r="V111" s="138"/>
      <c r="W111" s="138"/>
      <c r="X111" s="138"/>
      <c r="Y111" s="138"/>
      <c r="Z111" s="1277"/>
      <c r="AA111" s="138"/>
      <c r="AB111" s="138"/>
      <c r="AC111" s="138"/>
      <c r="AD111" s="138"/>
      <c r="AE111" s="1277"/>
      <c r="AF111" s="138"/>
      <c r="AG111" s="138"/>
      <c r="AH111" s="138"/>
      <c r="AI111" s="138"/>
      <c r="AJ111" s="1277"/>
      <c r="AK111" s="138"/>
      <c r="AL111" s="138"/>
      <c r="AM111" s="138"/>
      <c r="AN111" s="138"/>
      <c r="AO111" s="1277"/>
      <c r="AP111" s="138"/>
      <c r="AQ111" s="138"/>
      <c r="AR111" s="138"/>
      <c r="AS111" s="138"/>
      <c r="AT111" s="1278">
        <v>1</v>
      </c>
      <c r="AU111" s="138"/>
      <c r="AV111" s="138"/>
      <c r="AW111" s="138"/>
      <c r="AX111" s="138"/>
      <c r="AY111" s="1278">
        <v>1</v>
      </c>
      <c r="AZ111" s="138"/>
      <c r="BA111" s="138"/>
      <c r="BB111" s="138"/>
      <c r="BC111" s="138"/>
      <c r="BD111" s="1278">
        <v>1</v>
      </c>
      <c r="BE111" s="138"/>
      <c r="BF111" s="138"/>
      <c r="BG111" s="138"/>
      <c r="BH111" s="138"/>
      <c r="BI111" s="1278">
        <v>1</v>
      </c>
      <c r="BJ111" s="138"/>
      <c r="BK111" s="138"/>
      <c r="BL111" s="138"/>
      <c r="BM111" s="138"/>
      <c r="BN111" s="1278">
        <v>1</v>
      </c>
      <c r="BO111" s="138"/>
      <c r="BP111" s="138"/>
      <c r="BQ111" s="138"/>
      <c r="BR111" s="138"/>
      <c r="BS111" s="1278">
        <v>3</v>
      </c>
      <c r="BT111" s="138"/>
      <c r="BU111" s="138"/>
      <c r="BV111" s="138"/>
      <c r="BW111" s="138"/>
      <c r="BX111" s="1277"/>
      <c r="BY111" s="959"/>
      <c r="BZ111" s="138"/>
      <c r="CA111" s="138"/>
      <c r="CB111" s="138"/>
      <c r="CC111" s="1277"/>
      <c r="CD111" s="138"/>
      <c r="CE111" s="138"/>
      <c r="CF111" s="138"/>
      <c r="CG111" s="138"/>
      <c r="CH111" s="1277"/>
      <c r="CI111" s="1277"/>
      <c r="CJ111" s="1277"/>
      <c r="CK111" s="1277"/>
      <c r="CL111" s="852"/>
    </row>
    <row r="112" spans="1:90" s="999" customFormat="1" x14ac:dyDescent="0.3">
      <c r="A112" s="831" t="s">
        <v>1196</v>
      </c>
      <c r="B112" s="830"/>
      <c r="C112" s="1277"/>
      <c r="D112" s="1277"/>
      <c r="E112" s="1277"/>
      <c r="F112" s="1277"/>
      <c r="G112" s="138"/>
      <c r="H112" s="138"/>
      <c r="I112" s="138"/>
      <c r="J112" s="138"/>
      <c r="K112" s="1277"/>
      <c r="L112" s="138"/>
      <c r="M112" s="138"/>
      <c r="N112" s="138"/>
      <c r="O112" s="138"/>
      <c r="P112" s="1277"/>
      <c r="Q112" s="138"/>
      <c r="R112" s="138"/>
      <c r="S112" s="138"/>
      <c r="T112" s="138"/>
      <c r="U112" s="1277"/>
      <c r="V112" s="138"/>
      <c r="W112" s="138"/>
      <c r="X112" s="138"/>
      <c r="Y112" s="138"/>
      <c r="Z112" s="1277"/>
      <c r="AA112" s="138"/>
      <c r="AB112" s="138"/>
      <c r="AC112" s="138"/>
      <c r="AD112" s="138"/>
      <c r="AE112" s="1277"/>
      <c r="AF112" s="138"/>
      <c r="AG112" s="138"/>
      <c r="AH112" s="138"/>
      <c r="AI112" s="138"/>
      <c r="AJ112" s="1277"/>
      <c r="AK112" s="138"/>
      <c r="AL112" s="138"/>
      <c r="AM112" s="138"/>
      <c r="AN112" s="138"/>
      <c r="AO112" s="1277"/>
      <c r="AP112" s="138"/>
      <c r="AQ112" s="138"/>
      <c r="AR112" s="138"/>
      <c r="AS112" s="138"/>
      <c r="AT112" s="1278">
        <v>6</v>
      </c>
      <c r="AU112" s="138"/>
      <c r="AV112" s="138"/>
      <c r="AW112" s="138"/>
      <c r="AX112" s="138"/>
      <c r="AY112" s="1278">
        <v>6</v>
      </c>
      <c r="AZ112" s="138"/>
      <c r="BA112" s="138"/>
      <c r="BB112" s="138"/>
      <c r="BC112" s="138"/>
      <c r="BD112" s="1278">
        <v>6</v>
      </c>
      <c r="BE112" s="138"/>
      <c r="BF112" s="138"/>
      <c r="BG112" s="138"/>
      <c r="BH112" s="138"/>
      <c r="BI112" s="1278">
        <v>6</v>
      </c>
      <c r="BJ112" s="138"/>
      <c r="BK112" s="138"/>
      <c r="BL112" s="138"/>
      <c r="BM112" s="138"/>
      <c r="BN112" s="1278">
        <v>6</v>
      </c>
      <c r="BO112" s="138"/>
      <c r="BP112" s="138"/>
      <c r="BQ112" s="138"/>
      <c r="BR112" s="138"/>
      <c r="BS112" s="1278">
        <v>6</v>
      </c>
      <c r="BT112" s="138"/>
      <c r="BU112" s="138"/>
      <c r="BV112" s="138"/>
      <c r="BW112" s="138"/>
      <c r="BX112" s="1277"/>
      <c r="BY112" s="959"/>
      <c r="BZ112" s="138"/>
      <c r="CA112" s="138"/>
      <c r="CB112" s="138"/>
      <c r="CC112" s="1277"/>
      <c r="CD112" s="138"/>
      <c r="CE112" s="138"/>
      <c r="CF112" s="138"/>
      <c r="CG112" s="138"/>
      <c r="CH112" s="1277"/>
      <c r="CI112" s="1277"/>
      <c r="CJ112" s="1277"/>
      <c r="CK112" s="1277"/>
      <c r="CL112" s="852"/>
    </row>
    <row r="113" spans="1:90" s="992" customFormat="1" x14ac:dyDescent="0.3">
      <c r="A113" s="682"/>
      <c r="B113" s="683"/>
      <c r="C113" s="1243"/>
      <c r="D113" s="1243"/>
      <c r="E113" s="1243"/>
      <c r="F113" s="1243"/>
      <c r="G113" s="574"/>
      <c r="H113" s="574"/>
      <c r="I113" s="574"/>
      <c r="J113" s="574"/>
      <c r="K113" s="1243"/>
      <c r="L113" s="574"/>
      <c r="M113" s="574"/>
      <c r="N113" s="574"/>
      <c r="O113" s="574"/>
      <c r="P113" s="1243"/>
      <c r="Q113" s="574"/>
      <c r="R113" s="574"/>
      <c r="S113" s="574"/>
      <c r="T113" s="574"/>
      <c r="U113" s="1243"/>
      <c r="V113" s="574"/>
      <c r="W113" s="574"/>
      <c r="X113" s="574"/>
      <c r="Y113" s="574"/>
      <c r="Z113" s="1243"/>
      <c r="AA113" s="574"/>
      <c r="AB113" s="574"/>
      <c r="AC113" s="574"/>
      <c r="AD113" s="574"/>
      <c r="AE113" s="1243"/>
      <c r="AF113" s="574"/>
      <c r="AG113" s="574"/>
      <c r="AH113" s="574"/>
      <c r="AI113" s="574"/>
      <c r="AJ113" s="1243"/>
      <c r="AK113" s="574"/>
      <c r="AL113" s="574"/>
      <c r="AM113" s="574"/>
      <c r="AN113" s="574"/>
      <c r="AO113" s="1243"/>
      <c r="AP113" s="574"/>
      <c r="AQ113" s="574"/>
      <c r="AR113" s="574"/>
      <c r="AS113" s="574"/>
      <c r="AT113" s="1243"/>
      <c r="AU113" s="574"/>
      <c r="AV113" s="574"/>
      <c r="AW113" s="574"/>
      <c r="AX113" s="574"/>
      <c r="AY113" s="1243"/>
      <c r="AZ113" s="574"/>
      <c r="BA113" s="574"/>
      <c r="BB113" s="574"/>
      <c r="BC113" s="574"/>
      <c r="BD113" s="1243"/>
      <c r="BE113" s="574"/>
      <c r="BF113" s="574"/>
      <c r="BG113" s="574"/>
      <c r="BH113" s="574"/>
      <c r="BI113" s="1243"/>
      <c r="BJ113" s="574"/>
      <c r="BK113" s="574"/>
      <c r="BL113" s="574"/>
      <c r="BM113" s="574"/>
      <c r="BN113" s="1243"/>
      <c r="BO113" s="574"/>
      <c r="BP113" s="574"/>
      <c r="BQ113" s="574"/>
      <c r="BR113" s="574"/>
      <c r="BS113" s="1243"/>
      <c r="BT113" s="574"/>
      <c r="BU113" s="574"/>
      <c r="BV113" s="574"/>
      <c r="BW113" s="574"/>
      <c r="BX113" s="1243"/>
      <c r="BY113" s="955"/>
      <c r="BZ113" s="574"/>
      <c r="CA113" s="574"/>
      <c r="CB113" s="574"/>
      <c r="CC113" s="1243"/>
      <c r="CD113" s="574"/>
      <c r="CE113" s="574"/>
      <c r="CF113" s="574"/>
      <c r="CG113" s="574"/>
      <c r="CH113" s="1243"/>
      <c r="CI113" s="1243"/>
      <c r="CJ113" s="1243"/>
      <c r="CK113" s="1243"/>
      <c r="CL113" s="829"/>
    </row>
    <row r="114" spans="1:90" s="992" customFormat="1" x14ac:dyDescent="0.3">
      <c r="A114" s="886" t="s">
        <v>1121</v>
      </c>
      <c r="B114" s="886"/>
      <c r="C114" s="886"/>
      <c r="D114" s="886"/>
      <c r="E114" s="886"/>
      <c r="F114" s="886"/>
      <c r="G114" s="886"/>
      <c r="H114" s="886"/>
      <c r="I114" s="886"/>
      <c r="J114" s="886"/>
      <c r="K114" s="886"/>
      <c r="L114" s="886"/>
      <c r="M114" s="886"/>
      <c r="N114" s="886"/>
      <c r="O114" s="886"/>
      <c r="P114" s="886"/>
      <c r="Q114" s="886"/>
      <c r="R114" s="886"/>
      <c r="S114" s="886"/>
      <c r="T114" s="886"/>
      <c r="U114" s="886"/>
      <c r="V114" s="886"/>
      <c r="W114" s="886"/>
      <c r="X114" s="886"/>
      <c r="Y114" s="886"/>
      <c r="Z114" s="886"/>
      <c r="AA114" s="886"/>
      <c r="AB114" s="886"/>
      <c r="AC114" s="886"/>
      <c r="AD114" s="886"/>
      <c r="AE114" s="886"/>
      <c r="AF114" s="886"/>
      <c r="AG114" s="886"/>
      <c r="AH114" s="886"/>
      <c r="AI114" s="886"/>
      <c r="AJ114" s="886"/>
      <c r="AK114" s="886"/>
      <c r="AL114" s="886"/>
      <c r="AM114" s="886"/>
      <c r="AN114" s="886"/>
      <c r="AO114" s="886"/>
      <c r="AP114" s="886"/>
      <c r="AQ114" s="886"/>
      <c r="AR114" s="886"/>
      <c r="AS114" s="886"/>
      <c r="AT114" s="886"/>
      <c r="AU114" s="886"/>
      <c r="AV114" s="886"/>
      <c r="AW114" s="886"/>
      <c r="AX114" s="886"/>
      <c r="AY114" s="886"/>
      <c r="AZ114" s="886"/>
      <c r="BA114" s="886"/>
      <c r="BB114" s="886"/>
      <c r="BC114" s="886"/>
      <c r="BD114" s="886"/>
      <c r="BE114" s="886"/>
      <c r="BF114" s="886"/>
      <c r="BG114" s="886"/>
      <c r="BH114" s="886"/>
      <c r="BI114" s="886"/>
      <c r="BJ114" s="886"/>
      <c r="BK114" s="886"/>
      <c r="BL114" s="886"/>
      <c r="BM114" s="886"/>
      <c r="BN114" s="886"/>
      <c r="BO114" s="886"/>
      <c r="BP114" s="886"/>
      <c r="BQ114" s="886"/>
      <c r="BR114" s="886"/>
      <c r="BS114" s="886"/>
      <c r="BT114" s="886"/>
      <c r="BU114" s="886"/>
      <c r="BV114" s="886"/>
      <c r="BW114" s="886"/>
      <c r="BX114" s="886"/>
      <c r="BY114" s="887"/>
      <c r="BZ114" s="886"/>
      <c r="CA114" s="886"/>
      <c r="CB114" s="886"/>
      <c r="CC114" s="886"/>
      <c r="CD114" s="886"/>
      <c r="CE114" s="886"/>
      <c r="CF114" s="886"/>
      <c r="CG114" s="886"/>
      <c r="CH114" s="886"/>
      <c r="CI114" s="886"/>
      <c r="CJ114" s="886"/>
      <c r="CK114" s="886"/>
      <c r="CL114" s="829"/>
    </row>
    <row r="115" spans="1:90" s="990" customFormat="1" x14ac:dyDescent="0.3">
      <c r="A115" s="425" t="s">
        <v>1120</v>
      </c>
      <c r="B115" s="208"/>
      <c r="C115" s="183"/>
      <c r="D115" s="183"/>
      <c r="E115" s="183"/>
      <c r="F115" s="183"/>
      <c r="G115" s="885"/>
      <c r="H115" s="885"/>
      <c r="I115" s="885"/>
      <c r="J115" s="885"/>
      <c r="K115" s="183"/>
      <c r="L115" s="885"/>
      <c r="M115" s="885"/>
      <c r="N115" s="885"/>
      <c r="O115" s="885"/>
      <c r="P115" s="183"/>
      <c r="Q115" s="885"/>
      <c r="R115" s="885"/>
      <c r="S115" s="885"/>
      <c r="T115" s="885"/>
      <c r="U115" s="183"/>
      <c r="V115" s="885"/>
      <c r="W115" s="885"/>
      <c r="X115" s="885"/>
      <c r="Y115" s="885"/>
      <c r="Z115" s="183"/>
      <c r="AA115" s="885"/>
      <c r="AB115" s="885"/>
      <c r="AC115" s="885"/>
      <c r="AD115" s="885"/>
      <c r="AE115" s="183"/>
      <c r="AF115" s="885"/>
      <c r="AG115" s="885"/>
      <c r="AH115" s="885"/>
      <c r="AI115" s="885"/>
      <c r="AJ115" s="183"/>
      <c r="AK115" s="885"/>
      <c r="AL115" s="885"/>
      <c r="AM115" s="885"/>
      <c r="AN115" s="885"/>
      <c r="AO115" s="183"/>
      <c r="AP115" s="885"/>
      <c r="AQ115" s="885"/>
      <c r="AR115" s="885"/>
      <c r="AS115" s="885"/>
      <c r="AT115" s="1266">
        <v>11.4</v>
      </c>
      <c r="AU115" s="885"/>
      <c r="AV115" s="885"/>
      <c r="AW115" s="885"/>
      <c r="AX115" s="885"/>
      <c r="AY115" s="1266">
        <v>12.7</v>
      </c>
      <c r="AZ115" s="885"/>
      <c r="BA115" s="885"/>
      <c r="BB115" s="885"/>
      <c r="BC115" s="885"/>
      <c r="BD115" s="1266">
        <v>20.5</v>
      </c>
      <c r="BE115" s="885"/>
      <c r="BF115" s="885"/>
      <c r="BG115" s="885"/>
      <c r="BH115" s="885"/>
      <c r="BI115" s="1266">
        <v>33.5</v>
      </c>
      <c r="BJ115" s="885"/>
      <c r="BK115" s="885"/>
      <c r="BL115" s="885"/>
      <c r="BM115" s="885"/>
      <c r="BN115" s="1266">
        <v>26</v>
      </c>
      <c r="BO115" s="885"/>
      <c r="BP115" s="885"/>
      <c r="BQ115" s="885"/>
      <c r="BR115" s="885"/>
      <c r="BS115" s="1266">
        <v>90</v>
      </c>
      <c r="BT115" s="885"/>
      <c r="BU115" s="885"/>
      <c r="BV115" s="885"/>
      <c r="BW115" s="885"/>
      <c r="BX115" s="183"/>
      <c r="BY115" s="878"/>
      <c r="BZ115" s="885"/>
      <c r="CA115" s="885"/>
      <c r="CB115" s="885"/>
      <c r="CC115" s="183"/>
      <c r="CD115" s="885"/>
      <c r="CE115" s="885"/>
      <c r="CF115" s="885"/>
      <c r="CG115" s="885"/>
      <c r="CH115" s="183"/>
      <c r="CI115" s="183"/>
      <c r="CJ115" s="183"/>
      <c r="CK115" s="183"/>
      <c r="CL115" s="860"/>
    </row>
    <row r="116" spans="1:90" s="993" customFormat="1" hidden="1" outlineLevel="1" x14ac:dyDescent="0.3">
      <c r="A116" s="705" t="s">
        <v>1239</v>
      </c>
      <c r="B116" s="677"/>
      <c r="C116" s="1244"/>
      <c r="D116" s="1244"/>
      <c r="E116" s="1244"/>
      <c r="F116" s="1244"/>
      <c r="G116" s="678"/>
      <c r="H116" s="678"/>
      <c r="I116" s="678"/>
      <c r="J116" s="678"/>
      <c r="K116" s="1244"/>
      <c r="L116" s="678"/>
      <c r="M116" s="678"/>
      <c r="N116" s="678"/>
      <c r="O116" s="678"/>
      <c r="P116" s="1244"/>
      <c r="Q116" s="678"/>
      <c r="R116" s="678"/>
      <c r="S116" s="678"/>
      <c r="T116" s="678"/>
      <c r="U116" s="1244"/>
      <c r="V116" s="678"/>
      <c r="W116" s="678"/>
      <c r="X116" s="678"/>
      <c r="Y116" s="678"/>
      <c r="Z116" s="1244"/>
      <c r="AA116" s="678"/>
      <c r="AB116" s="678"/>
      <c r="AC116" s="678"/>
      <c r="AD116" s="678"/>
      <c r="AE116" s="1244"/>
      <c r="AF116" s="678"/>
      <c r="AG116" s="678"/>
      <c r="AH116" s="678"/>
      <c r="AI116" s="678"/>
      <c r="AJ116" s="1244"/>
      <c r="AK116" s="678"/>
      <c r="AL116" s="678"/>
      <c r="AM116" s="678"/>
      <c r="AN116" s="678"/>
      <c r="AO116" s="1244"/>
      <c r="AP116" s="678"/>
      <c r="AQ116" s="678"/>
      <c r="AR116" s="678"/>
      <c r="AS116" s="678"/>
      <c r="AT116" s="1244">
        <f>AT115*1000</f>
        <v>11400</v>
      </c>
      <c r="AU116" s="678"/>
      <c r="AV116" s="678"/>
      <c r="AW116" s="678"/>
      <c r="AX116" s="678"/>
      <c r="AY116" s="1244">
        <f>AY115*1000</f>
        <v>12700</v>
      </c>
      <c r="AZ116" s="678"/>
      <c r="BA116" s="678"/>
      <c r="BB116" s="678"/>
      <c r="BC116" s="678"/>
      <c r="BD116" s="1244">
        <f>BD115*1000</f>
        <v>20500</v>
      </c>
      <c r="BE116" s="678"/>
      <c r="BF116" s="678"/>
      <c r="BG116" s="678"/>
      <c r="BH116" s="678"/>
      <c r="BI116" s="1244">
        <f>BI115*1000</f>
        <v>33500</v>
      </c>
      <c r="BJ116" s="678"/>
      <c r="BK116" s="678"/>
      <c r="BL116" s="678"/>
      <c r="BM116" s="678"/>
      <c r="BN116" s="1270">
        <v>26000</v>
      </c>
      <c r="BO116" s="678"/>
      <c r="BP116" s="678"/>
      <c r="BQ116" s="678"/>
      <c r="BR116" s="678"/>
      <c r="BS116" s="1244"/>
      <c r="BT116" s="678"/>
      <c r="BU116" s="678"/>
      <c r="BV116" s="678"/>
      <c r="BW116" s="678"/>
      <c r="BX116" s="1244"/>
      <c r="BY116" s="954"/>
      <c r="BZ116" s="678"/>
      <c r="CA116" s="678"/>
      <c r="CB116" s="678"/>
      <c r="CC116" s="1244"/>
      <c r="CD116" s="678"/>
      <c r="CE116" s="678"/>
      <c r="CF116" s="678"/>
      <c r="CG116" s="678"/>
      <c r="CH116" s="1244"/>
      <c r="CI116" s="1244"/>
      <c r="CJ116" s="1244"/>
      <c r="CK116" s="1244"/>
      <c r="CL116" s="827"/>
    </row>
    <row r="117" spans="1:90" s="990" customFormat="1" collapsed="1" x14ac:dyDescent="0.3">
      <c r="A117" s="425" t="s">
        <v>1119</v>
      </c>
      <c r="B117" s="208"/>
      <c r="C117" s="183"/>
      <c r="D117" s="183"/>
      <c r="E117" s="183"/>
      <c r="F117" s="183"/>
      <c r="G117" s="885"/>
      <c r="H117" s="885"/>
      <c r="I117" s="885"/>
      <c r="J117" s="885"/>
      <c r="K117" s="183"/>
      <c r="L117" s="885"/>
      <c r="M117" s="885"/>
      <c r="N117" s="885"/>
      <c r="O117" s="885"/>
      <c r="P117" s="183"/>
      <c r="Q117" s="885"/>
      <c r="R117" s="885"/>
      <c r="S117" s="885"/>
      <c r="T117" s="885"/>
      <c r="U117" s="183"/>
      <c r="V117" s="885"/>
      <c r="W117" s="885"/>
      <c r="X117" s="885"/>
      <c r="Y117" s="885"/>
      <c r="Z117" s="183"/>
      <c r="AA117" s="885"/>
      <c r="AB117" s="885"/>
      <c r="AC117" s="885"/>
      <c r="AD117" s="885"/>
      <c r="AE117" s="183"/>
      <c r="AF117" s="885"/>
      <c r="AG117" s="885"/>
      <c r="AH117" s="885"/>
      <c r="AI117" s="885"/>
      <c r="AJ117" s="183"/>
      <c r="AK117" s="885"/>
      <c r="AL117" s="885"/>
      <c r="AM117" s="885"/>
      <c r="AN117" s="885"/>
      <c r="AO117" s="183"/>
      <c r="AP117" s="885"/>
      <c r="AQ117" s="885"/>
      <c r="AR117" s="885"/>
      <c r="AS117" s="885"/>
      <c r="AT117" s="1266">
        <v>10.92</v>
      </c>
      <c r="AU117" s="885"/>
      <c r="AV117" s="885"/>
      <c r="AW117" s="885"/>
      <c r="AX117" s="885"/>
      <c r="AY117" s="1266">
        <v>15</v>
      </c>
      <c r="AZ117" s="885"/>
      <c r="BA117" s="885"/>
      <c r="BB117" s="885"/>
      <c r="BC117" s="885"/>
      <c r="BD117" s="1266">
        <v>26.9</v>
      </c>
      <c r="BE117" s="885"/>
      <c r="BF117" s="885"/>
      <c r="BG117" s="885"/>
      <c r="BH117" s="885"/>
      <c r="BI117" s="1266">
        <v>27</v>
      </c>
      <c r="BJ117" s="885"/>
      <c r="BK117" s="885"/>
      <c r="BL117" s="885"/>
      <c r="BM117" s="885"/>
      <c r="BN117" s="1266">
        <v>60.9</v>
      </c>
      <c r="BO117" s="885"/>
      <c r="BP117" s="885"/>
      <c r="BQ117" s="885"/>
      <c r="BR117" s="885"/>
      <c r="BS117" s="1266">
        <v>130.5</v>
      </c>
      <c r="BT117" s="885"/>
      <c r="BU117" s="885"/>
      <c r="BV117" s="885"/>
      <c r="BW117" s="885"/>
      <c r="BX117" s="183"/>
      <c r="BY117" s="878"/>
      <c r="BZ117" s="885"/>
      <c r="CA117" s="885"/>
      <c r="CB117" s="885"/>
      <c r="CC117" s="183"/>
      <c r="CD117" s="885"/>
      <c r="CE117" s="885"/>
      <c r="CF117" s="885"/>
      <c r="CG117" s="885"/>
      <c r="CH117" s="183"/>
      <c r="CI117" s="183"/>
      <c r="CJ117" s="183"/>
      <c r="CK117" s="183"/>
      <c r="CL117" s="860"/>
    </row>
    <row r="118" spans="1:90" s="985" customFormat="1" x14ac:dyDescent="0.3">
      <c r="A118" s="219" t="s">
        <v>1211</v>
      </c>
      <c r="B118" s="203"/>
      <c r="C118" s="185"/>
      <c r="D118" s="185"/>
      <c r="E118" s="185"/>
      <c r="F118" s="185"/>
      <c r="G118" s="130"/>
      <c r="H118" s="130"/>
      <c r="I118" s="130"/>
      <c r="J118" s="130"/>
      <c r="K118" s="185"/>
      <c r="L118" s="130"/>
      <c r="M118" s="130"/>
      <c r="N118" s="130"/>
      <c r="O118" s="130"/>
      <c r="P118" s="185"/>
      <c r="Q118" s="130"/>
      <c r="R118" s="130"/>
      <c r="S118" s="130"/>
      <c r="T118" s="130"/>
      <c r="U118" s="185"/>
      <c r="V118" s="130"/>
      <c r="W118" s="130"/>
      <c r="X118" s="130"/>
      <c r="Y118" s="130"/>
      <c r="Z118" s="185"/>
      <c r="AA118" s="130"/>
      <c r="AB118" s="130"/>
      <c r="AC118" s="130"/>
      <c r="AD118" s="130"/>
      <c r="AE118" s="185"/>
      <c r="AF118" s="130"/>
      <c r="AG118" s="130"/>
      <c r="AH118" s="130"/>
      <c r="AI118" s="130"/>
      <c r="AJ118" s="185"/>
      <c r="AK118" s="130"/>
      <c r="AL118" s="130"/>
      <c r="AM118" s="130"/>
      <c r="AN118" s="130"/>
      <c r="AO118" s="185"/>
      <c r="AP118" s="130"/>
      <c r="AQ118" s="130"/>
      <c r="AR118" s="130"/>
      <c r="AS118" s="130"/>
      <c r="AT118" s="1279">
        <v>0.73199999999999998</v>
      </c>
      <c r="AU118" s="130"/>
      <c r="AV118" s="130"/>
      <c r="AW118" s="130"/>
      <c r="AX118" s="130"/>
      <c r="AY118" s="1279">
        <v>2</v>
      </c>
      <c r="AZ118" s="130"/>
      <c r="BA118" s="130"/>
      <c r="BB118" s="130"/>
      <c r="BC118" s="130"/>
      <c r="BD118" s="1279">
        <v>2</v>
      </c>
      <c r="BE118" s="130"/>
      <c r="BF118" s="130"/>
      <c r="BG118" s="130"/>
      <c r="BH118" s="130"/>
      <c r="BI118" s="1279">
        <v>0</v>
      </c>
      <c r="BJ118" s="130"/>
      <c r="BK118" s="130"/>
      <c r="BL118" s="130"/>
      <c r="BM118" s="130"/>
      <c r="BN118" s="1279">
        <v>2</v>
      </c>
      <c r="BO118" s="130"/>
      <c r="BP118" s="130"/>
      <c r="BQ118" s="130"/>
      <c r="BR118" s="130"/>
      <c r="BS118" s="1279">
        <v>2</v>
      </c>
      <c r="BT118" s="130"/>
      <c r="BU118" s="130"/>
      <c r="BV118" s="130"/>
      <c r="BW118" s="130"/>
      <c r="BX118" s="185"/>
      <c r="BY118" s="953"/>
      <c r="BZ118" s="130"/>
      <c r="CA118" s="130"/>
      <c r="CB118" s="130"/>
      <c r="CC118" s="185"/>
      <c r="CD118" s="130"/>
      <c r="CE118" s="130"/>
      <c r="CF118" s="130"/>
      <c r="CG118" s="130"/>
      <c r="CH118" s="185"/>
      <c r="CI118" s="185"/>
      <c r="CJ118" s="185"/>
      <c r="CK118" s="185"/>
      <c r="CL118" s="859"/>
    </row>
    <row r="119" spans="1:90" s="992" customFormat="1" x14ac:dyDescent="0.3">
      <c r="A119" s="705"/>
      <c r="B119" s="683"/>
      <c r="C119" s="1243"/>
      <c r="D119" s="1243"/>
      <c r="E119" s="1243"/>
      <c r="F119" s="1243"/>
      <c r="G119" s="574"/>
      <c r="H119" s="574"/>
      <c r="I119" s="574"/>
      <c r="J119" s="574"/>
      <c r="K119" s="1243"/>
      <c r="L119" s="574"/>
      <c r="M119" s="574"/>
      <c r="N119" s="574"/>
      <c r="O119" s="574"/>
      <c r="P119" s="1243"/>
      <c r="Q119" s="574"/>
      <c r="R119" s="574"/>
      <c r="S119" s="574"/>
      <c r="T119" s="574"/>
      <c r="U119" s="1243"/>
      <c r="V119" s="574"/>
      <c r="W119" s="574"/>
      <c r="X119" s="574"/>
      <c r="Y119" s="574"/>
      <c r="Z119" s="1243"/>
      <c r="AA119" s="574"/>
      <c r="AB119" s="574"/>
      <c r="AC119" s="574"/>
      <c r="AD119" s="574"/>
      <c r="AE119" s="1243"/>
      <c r="AF119" s="574"/>
      <c r="AG119" s="574"/>
      <c r="AH119" s="574"/>
      <c r="AI119" s="574"/>
      <c r="AJ119" s="1243"/>
      <c r="AK119" s="574"/>
      <c r="AL119" s="574"/>
      <c r="AM119" s="574"/>
      <c r="AN119" s="574"/>
      <c r="AO119" s="1243"/>
      <c r="AP119" s="574"/>
      <c r="AQ119" s="574"/>
      <c r="AR119" s="574"/>
      <c r="AS119" s="574"/>
      <c r="AT119" s="1244"/>
      <c r="AU119" s="678"/>
      <c r="AV119" s="678"/>
      <c r="AW119" s="678"/>
      <c r="AX119" s="678"/>
      <c r="AY119" s="1244"/>
      <c r="AZ119" s="678"/>
      <c r="BA119" s="678"/>
      <c r="BB119" s="678"/>
      <c r="BC119" s="678"/>
      <c r="BD119" s="1244"/>
      <c r="BE119" s="678"/>
      <c r="BF119" s="678"/>
      <c r="BG119" s="678"/>
      <c r="BH119" s="678"/>
      <c r="BI119" s="1244"/>
      <c r="BJ119" s="574"/>
      <c r="BK119" s="574"/>
      <c r="BL119" s="574"/>
      <c r="BM119" s="574"/>
      <c r="BN119" s="1243"/>
      <c r="BO119" s="574"/>
      <c r="BP119" s="574"/>
      <c r="BQ119" s="574"/>
      <c r="BR119" s="574"/>
      <c r="BS119" s="1243"/>
      <c r="BT119" s="574"/>
      <c r="BU119" s="574"/>
      <c r="BV119" s="574"/>
      <c r="BW119" s="574"/>
      <c r="BX119" s="1243"/>
      <c r="BY119" s="955"/>
      <c r="BZ119" s="574"/>
      <c r="CA119" s="574"/>
      <c r="CB119" s="574"/>
      <c r="CC119" s="1243"/>
      <c r="CD119" s="574"/>
      <c r="CE119" s="574"/>
      <c r="CF119" s="574"/>
      <c r="CG119" s="574"/>
      <c r="CH119" s="1243"/>
      <c r="CI119" s="1243"/>
      <c r="CJ119" s="1243"/>
      <c r="CK119" s="1243"/>
      <c r="CL119" s="829"/>
    </row>
    <row r="120" spans="1:90" s="990" customFormat="1" x14ac:dyDescent="0.3">
      <c r="A120" s="425" t="s">
        <v>1118</v>
      </c>
      <c r="B120" s="208"/>
      <c r="C120" s="183"/>
      <c r="D120" s="183"/>
      <c r="E120" s="183"/>
      <c r="F120" s="183"/>
      <c r="G120" s="885"/>
      <c r="H120" s="885"/>
      <c r="I120" s="885"/>
      <c r="J120" s="885"/>
      <c r="K120" s="183"/>
      <c r="L120" s="885"/>
      <c r="M120" s="885"/>
      <c r="N120" s="885"/>
      <c r="O120" s="885"/>
      <c r="P120" s="183"/>
      <c r="Q120" s="885"/>
      <c r="R120" s="885"/>
      <c r="S120" s="885"/>
      <c r="T120" s="885"/>
      <c r="U120" s="183"/>
      <c r="V120" s="885"/>
      <c r="W120" s="885"/>
      <c r="X120" s="885"/>
      <c r="Y120" s="885"/>
      <c r="Z120" s="183"/>
      <c r="AA120" s="885"/>
      <c r="AB120" s="885"/>
      <c r="AC120" s="885"/>
      <c r="AD120" s="885"/>
      <c r="AE120" s="183"/>
      <c r="AF120" s="885"/>
      <c r="AG120" s="885"/>
      <c r="AH120" s="885"/>
      <c r="AI120" s="885"/>
      <c r="AJ120" s="183"/>
      <c r="AK120" s="885"/>
      <c r="AL120" s="885"/>
      <c r="AM120" s="885"/>
      <c r="AN120" s="885"/>
      <c r="AO120" s="183"/>
      <c r="AP120" s="885"/>
      <c r="AQ120" s="885"/>
      <c r="AR120" s="885"/>
      <c r="AS120" s="885"/>
      <c r="AT120" s="1266">
        <v>3.75</v>
      </c>
      <c r="AU120" s="885"/>
      <c r="AV120" s="885"/>
      <c r="AW120" s="885"/>
      <c r="AX120" s="885"/>
      <c r="AY120" s="1266">
        <v>4.4000000000000004</v>
      </c>
      <c r="AZ120" s="885"/>
      <c r="BA120" s="885"/>
      <c r="BB120" s="885"/>
      <c r="BC120" s="885"/>
      <c r="BD120" s="1266">
        <v>8.3000000000000007</v>
      </c>
      <c r="BE120" s="885"/>
      <c r="BF120" s="885"/>
      <c r="BG120" s="885"/>
      <c r="BH120" s="885"/>
      <c r="BI120" s="1266">
        <v>15.8</v>
      </c>
      <c r="BJ120" s="885"/>
      <c r="BK120" s="885"/>
      <c r="BL120" s="885"/>
      <c r="BM120" s="885"/>
      <c r="BN120" s="1266">
        <v>9.4</v>
      </c>
      <c r="BO120" s="885"/>
      <c r="BP120" s="885"/>
      <c r="BQ120" s="885"/>
      <c r="BR120" s="885"/>
      <c r="BS120" s="1266">
        <v>56</v>
      </c>
      <c r="BT120" s="885"/>
      <c r="BU120" s="885"/>
      <c r="BV120" s="885"/>
      <c r="BW120" s="885"/>
      <c r="BX120" s="183"/>
      <c r="BY120" s="878"/>
      <c r="BZ120" s="885"/>
      <c r="CA120" s="885"/>
      <c r="CB120" s="885"/>
      <c r="CC120" s="183"/>
      <c r="CD120" s="885"/>
      <c r="CE120" s="885"/>
      <c r="CF120" s="885"/>
      <c r="CG120" s="885"/>
      <c r="CH120" s="183"/>
      <c r="CI120" s="183"/>
      <c r="CJ120" s="183"/>
      <c r="CK120" s="183"/>
      <c r="CL120" s="860"/>
    </row>
    <row r="121" spans="1:90" s="993" customFormat="1" hidden="1" outlineLevel="1" x14ac:dyDescent="0.3">
      <c r="A121" s="705" t="s">
        <v>1240</v>
      </c>
      <c r="B121" s="677"/>
      <c r="C121" s="1244"/>
      <c r="D121" s="1244"/>
      <c r="E121" s="1244"/>
      <c r="F121" s="1244"/>
      <c r="G121" s="678"/>
      <c r="H121" s="678"/>
      <c r="I121" s="678"/>
      <c r="J121" s="678"/>
      <c r="K121" s="1244"/>
      <c r="L121" s="678"/>
      <c r="M121" s="678"/>
      <c r="N121" s="678"/>
      <c r="O121" s="678"/>
      <c r="P121" s="1244"/>
      <c r="Q121" s="678"/>
      <c r="R121" s="678"/>
      <c r="S121" s="678"/>
      <c r="T121" s="678"/>
      <c r="U121" s="1244"/>
      <c r="V121" s="678"/>
      <c r="W121" s="678"/>
      <c r="X121" s="678"/>
      <c r="Y121" s="678"/>
      <c r="Z121" s="1244"/>
      <c r="AA121" s="678"/>
      <c r="AB121" s="678"/>
      <c r="AC121" s="678"/>
      <c r="AD121" s="678"/>
      <c r="AE121" s="1244"/>
      <c r="AF121" s="678"/>
      <c r="AG121" s="678"/>
      <c r="AH121" s="678"/>
      <c r="AI121" s="678"/>
      <c r="AJ121" s="1244"/>
      <c r="AK121" s="678"/>
      <c r="AL121" s="678"/>
      <c r="AM121" s="678"/>
      <c r="AN121" s="678"/>
      <c r="AO121" s="1244"/>
      <c r="AP121" s="678"/>
      <c r="AQ121" s="678"/>
      <c r="AR121" s="678"/>
      <c r="AS121" s="678"/>
      <c r="AT121" s="1244">
        <f>AT120*1000</f>
        <v>3750</v>
      </c>
      <c r="AU121" s="678"/>
      <c r="AV121" s="678"/>
      <c r="AW121" s="678"/>
      <c r="AX121" s="678"/>
      <c r="AY121" s="1244">
        <f>AY120*1000</f>
        <v>4400</v>
      </c>
      <c r="AZ121" s="678"/>
      <c r="BA121" s="678"/>
      <c r="BB121" s="678"/>
      <c r="BC121" s="678"/>
      <c r="BD121" s="1244">
        <f>BD120*1000</f>
        <v>8300</v>
      </c>
      <c r="BE121" s="678"/>
      <c r="BF121" s="678"/>
      <c r="BG121" s="678"/>
      <c r="BH121" s="678"/>
      <c r="BI121" s="1244">
        <f>BI120*1000</f>
        <v>15800</v>
      </c>
      <c r="BJ121" s="678"/>
      <c r="BK121" s="678"/>
      <c r="BL121" s="678"/>
      <c r="BM121" s="678"/>
      <c r="BN121" s="1270">
        <v>9400</v>
      </c>
      <c r="BO121" s="678"/>
      <c r="BP121" s="678"/>
      <c r="BQ121" s="678"/>
      <c r="BR121" s="678"/>
      <c r="BS121" s="1244"/>
      <c r="BT121" s="678"/>
      <c r="BU121" s="678"/>
      <c r="BV121" s="678"/>
      <c r="BW121" s="678"/>
      <c r="BX121" s="1244"/>
      <c r="BY121" s="954"/>
      <c r="BZ121" s="678"/>
      <c r="CA121" s="678"/>
      <c r="CB121" s="678"/>
      <c r="CC121" s="1244"/>
      <c r="CD121" s="678"/>
      <c r="CE121" s="678"/>
      <c r="CF121" s="678"/>
      <c r="CG121" s="678"/>
      <c r="CH121" s="1244"/>
      <c r="CI121" s="1244"/>
      <c r="CJ121" s="1244"/>
      <c r="CK121" s="1244"/>
      <c r="CL121" s="827"/>
    </row>
    <row r="122" spans="1:90" s="990" customFormat="1" collapsed="1" x14ac:dyDescent="0.3">
      <c r="A122" s="425" t="s">
        <v>1117</v>
      </c>
      <c r="B122" s="208"/>
      <c r="C122" s="183"/>
      <c r="D122" s="183"/>
      <c r="E122" s="183"/>
      <c r="F122" s="183"/>
      <c r="G122" s="885"/>
      <c r="H122" s="885"/>
      <c r="I122" s="885"/>
      <c r="J122" s="885"/>
      <c r="K122" s="183"/>
      <c r="L122" s="885"/>
      <c r="M122" s="885"/>
      <c r="N122" s="885"/>
      <c r="O122" s="885"/>
      <c r="P122" s="183"/>
      <c r="Q122" s="885"/>
      <c r="R122" s="885"/>
      <c r="S122" s="885"/>
      <c r="T122" s="885"/>
      <c r="U122" s="183"/>
      <c r="V122" s="885"/>
      <c r="W122" s="885"/>
      <c r="X122" s="885"/>
      <c r="Y122" s="885"/>
      <c r="Z122" s="183"/>
      <c r="AA122" s="885"/>
      <c r="AB122" s="885"/>
      <c r="AC122" s="885"/>
      <c r="AD122" s="885"/>
      <c r="AE122" s="183"/>
      <c r="AF122" s="885"/>
      <c r="AG122" s="885"/>
      <c r="AH122" s="885"/>
      <c r="AI122" s="885"/>
      <c r="AJ122" s="183"/>
      <c r="AK122" s="885"/>
      <c r="AL122" s="885"/>
      <c r="AM122" s="885"/>
      <c r="AN122" s="885"/>
      <c r="AO122" s="183"/>
      <c r="AP122" s="885"/>
      <c r="AQ122" s="885"/>
      <c r="AR122" s="885"/>
      <c r="AS122" s="885"/>
      <c r="AT122" s="1266">
        <v>3.73</v>
      </c>
      <c r="AU122" s="885"/>
      <c r="AV122" s="885"/>
      <c r="AW122" s="885"/>
      <c r="AX122" s="885"/>
      <c r="AY122" s="1266">
        <v>6.1</v>
      </c>
      <c r="AZ122" s="885"/>
      <c r="BA122" s="885"/>
      <c r="BB122" s="885"/>
      <c r="BC122" s="885"/>
      <c r="BD122" s="1266">
        <v>12.7</v>
      </c>
      <c r="BE122" s="885"/>
      <c r="BF122" s="885"/>
      <c r="BG122" s="885"/>
      <c r="BH122" s="885"/>
      <c r="BI122" s="1266">
        <v>9</v>
      </c>
      <c r="BJ122" s="885"/>
      <c r="BK122" s="885"/>
      <c r="BL122" s="885"/>
      <c r="BM122" s="885"/>
      <c r="BN122" s="1266">
        <v>37.1</v>
      </c>
      <c r="BO122" s="885"/>
      <c r="BP122" s="885"/>
      <c r="BQ122" s="885"/>
      <c r="BR122" s="885"/>
      <c r="BS122" s="1266">
        <v>86.8</v>
      </c>
      <c r="BT122" s="885"/>
      <c r="BU122" s="885"/>
      <c r="BV122" s="885"/>
      <c r="BW122" s="885"/>
      <c r="BX122" s="183"/>
      <c r="BY122" s="878"/>
      <c r="BZ122" s="885"/>
      <c r="CA122" s="885"/>
      <c r="CB122" s="885"/>
      <c r="CC122" s="183"/>
      <c r="CD122" s="885"/>
      <c r="CE122" s="885"/>
      <c r="CF122" s="885"/>
      <c r="CG122" s="885"/>
      <c r="CH122" s="183"/>
      <c r="CI122" s="183"/>
      <c r="CJ122" s="183"/>
      <c r="CK122" s="183"/>
      <c r="CL122" s="860"/>
    </row>
    <row r="123" spans="1:90" s="985" customFormat="1" x14ac:dyDescent="0.3">
      <c r="A123" s="219" t="s">
        <v>1212</v>
      </c>
      <c r="B123" s="203"/>
      <c r="C123" s="185"/>
      <c r="D123" s="185"/>
      <c r="E123" s="185"/>
      <c r="F123" s="185"/>
      <c r="G123" s="130"/>
      <c r="H123" s="130"/>
      <c r="I123" s="130"/>
      <c r="J123" s="130"/>
      <c r="K123" s="185"/>
      <c r="L123" s="130"/>
      <c r="M123" s="130"/>
      <c r="N123" s="130"/>
      <c r="O123" s="130"/>
      <c r="P123" s="185"/>
      <c r="Q123" s="130"/>
      <c r="R123" s="130"/>
      <c r="S123" s="130"/>
      <c r="T123" s="130"/>
      <c r="U123" s="185"/>
      <c r="V123" s="130"/>
      <c r="W123" s="130"/>
      <c r="X123" s="130"/>
      <c r="Y123" s="130"/>
      <c r="Z123" s="185"/>
      <c r="AA123" s="130"/>
      <c r="AB123" s="130"/>
      <c r="AC123" s="130"/>
      <c r="AD123" s="130"/>
      <c r="AE123" s="185"/>
      <c r="AF123" s="130"/>
      <c r="AG123" s="130"/>
      <c r="AH123" s="130"/>
      <c r="AI123" s="130"/>
      <c r="AJ123" s="185"/>
      <c r="AK123" s="130"/>
      <c r="AL123" s="130"/>
      <c r="AM123" s="130"/>
      <c r="AN123" s="130"/>
      <c r="AO123" s="185"/>
      <c r="AP123" s="130"/>
      <c r="AQ123" s="130"/>
      <c r="AR123" s="130"/>
      <c r="AS123" s="130"/>
      <c r="AT123" s="185"/>
      <c r="AU123" s="130"/>
      <c r="AV123" s="130"/>
      <c r="AW123" s="130"/>
      <c r="AX123" s="130"/>
      <c r="AY123" s="1279">
        <v>1.5</v>
      </c>
      <c r="AZ123" s="130"/>
      <c r="BA123" s="130"/>
      <c r="BB123" s="130"/>
      <c r="BC123" s="130"/>
      <c r="BD123" s="1279">
        <v>1.5</v>
      </c>
      <c r="BE123" s="130"/>
      <c r="BF123" s="130"/>
      <c r="BG123" s="130"/>
      <c r="BH123" s="130"/>
      <c r="BI123" s="1279">
        <v>0</v>
      </c>
      <c r="BJ123" s="130"/>
      <c r="BK123" s="130"/>
      <c r="BL123" s="130"/>
      <c r="BM123" s="130"/>
      <c r="BN123" s="1279">
        <v>2</v>
      </c>
      <c r="BO123" s="130"/>
      <c r="BP123" s="130"/>
      <c r="BQ123" s="130"/>
      <c r="BR123" s="130"/>
      <c r="BS123" s="1279">
        <v>1.5</v>
      </c>
      <c r="BT123" s="130"/>
      <c r="BU123" s="130"/>
      <c r="BV123" s="130"/>
      <c r="BW123" s="130"/>
      <c r="BX123" s="185"/>
      <c r="BY123" s="953"/>
      <c r="BZ123" s="130"/>
      <c r="CA123" s="130"/>
      <c r="CB123" s="130"/>
      <c r="CC123" s="185"/>
      <c r="CD123" s="130"/>
      <c r="CE123" s="130"/>
      <c r="CF123" s="130"/>
      <c r="CG123" s="130"/>
      <c r="CH123" s="185"/>
      <c r="CI123" s="185"/>
      <c r="CJ123" s="185"/>
      <c r="CK123" s="185"/>
      <c r="CL123" s="859"/>
    </row>
    <row r="124" spans="1:90" s="985" customFormat="1" x14ac:dyDescent="0.3">
      <c r="A124" s="219" t="s">
        <v>1213</v>
      </c>
      <c r="B124" s="203"/>
      <c r="C124" s="185"/>
      <c r="D124" s="185"/>
      <c r="E124" s="185"/>
      <c r="F124" s="185"/>
      <c r="G124" s="130"/>
      <c r="H124" s="130"/>
      <c r="I124" s="130"/>
      <c r="J124" s="130"/>
      <c r="K124" s="185"/>
      <c r="L124" s="130"/>
      <c r="M124" s="130"/>
      <c r="N124" s="130"/>
      <c r="O124" s="130"/>
      <c r="P124" s="185"/>
      <c r="Q124" s="130"/>
      <c r="R124" s="130"/>
      <c r="S124" s="130"/>
      <c r="T124" s="130"/>
      <c r="U124" s="185"/>
      <c r="V124" s="130"/>
      <c r="W124" s="130"/>
      <c r="X124" s="130"/>
      <c r="Y124" s="130"/>
      <c r="Z124" s="185"/>
      <c r="AA124" s="130"/>
      <c r="AB124" s="130"/>
      <c r="AC124" s="130"/>
      <c r="AD124" s="130"/>
      <c r="AE124" s="185"/>
      <c r="AF124" s="130"/>
      <c r="AG124" s="130"/>
      <c r="AH124" s="130"/>
      <c r="AI124" s="130"/>
      <c r="AJ124" s="185"/>
      <c r="AK124" s="130"/>
      <c r="AL124" s="130"/>
      <c r="AM124" s="130"/>
      <c r="AN124" s="130"/>
      <c r="AO124" s="185"/>
      <c r="AP124" s="130"/>
      <c r="AQ124" s="130"/>
      <c r="AR124" s="130"/>
      <c r="AS124" s="130"/>
      <c r="AT124" s="185"/>
      <c r="AU124" s="130"/>
      <c r="AV124" s="130"/>
      <c r="AW124" s="130"/>
      <c r="AX124" s="130"/>
      <c r="AY124" s="1279">
        <v>2</v>
      </c>
      <c r="AZ124" s="130"/>
      <c r="BA124" s="130"/>
      <c r="BB124" s="130"/>
      <c r="BC124" s="130"/>
      <c r="BD124" s="1279">
        <v>2</v>
      </c>
      <c r="BE124" s="130"/>
      <c r="BF124" s="130"/>
      <c r="BG124" s="130"/>
      <c r="BH124" s="130"/>
      <c r="BI124" s="1279">
        <v>0</v>
      </c>
      <c r="BJ124" s="130"/>
      <c r="BK124" s="130"/>
      <c r="BL124" s="130"/>
      <c r="BM124" s="130"/>
      <c r="BN124" s="1279">
        <v>2.5</v>
      </c>
      <c r="BO124" s="130"/>
      <c r="BP124" s="130"/>
      <c r="BQ124" s="130"/>
      <c r="BR124" s="130"/>
      <c r="BS124" s="1279">
        <v>2</v>
      </c>
      <c r="BT124" s="130"/>
      <c r="BU124" s="130"/>
      <c r="BV124" s="130"/>
      <c r="BW124" s="130"/>
      <c r="BX124" s="185"/>
      <c r="BY124" s="953"/>
      <c r="BZ124" s="130"/>
      <c r="CA124" s="130"/>
      <c r="CB124" s="130"/>
      <c r="CC124" s="185"/>
      <c r="CD124" s="130"/>
      <c r="CE124" s="130"/>
      <c r="CF124" s="130"/>
      <c r="CG124" s="130"/>
      <c r="CH124" s="185"/>
      <c r="CI124" s="185"/>
      <c r="CJ124" s="185"/>
      <c r="CK124" s="185"/>
      <c r="CL124" s="859"/>
    </row>
    <row r="125" spans="1:90" s="995" customFormat="1" x14ac:dyDescent="0.3">
      <c r="A125" s="219" t="s">
        <v>1214</v>
      </c>
      <c r="B125" s="207"/>
      <c r="C125" s="1249"/>
      <c r="D125" s="1249"/>
      <c r="E125" s="1249"/>
      <c r="F125" s="1249"/>
      <c r="G125" s="132"/>
      <c r="H125" s="132"/>
      <c r="I125" s="132"/>
      <c r="J125" s="132"/>
      <c r="K125" s="1249"/>
      <c r="L125" s="132"/>
      <c r="M125" s="132"/>
      <c r="N125" s="132"/>
      <c r="O125" s="132"/>
      <c r="P125" s="1249"/>
      <c r="Q125" s="132"/>
      <c r="R125" s="132"/>
      <c r="S125" s="132"/>
      <c r="T125" s="132"/>
      <c r="U125" s="1249"/>
      <c r="V125" s="132"/>
      <c r="W125" s="132"/>
      <c r="X125" s="132"/>
      <c r="Y125" s="132"/>
      <c r="Z125" s="1249"/>
      <c r="AA125" s="132"/>
      <c r="AB125" s="132"/>
      <c r="AC125" s="132"/>
      <c r="AD125" s="132"/>
      <c r="AE125" s="1249"/>
      <c r="AF125" s="132"/>
      <c r="AG125" s="132"/>
      <c r="AH125" s="132"/>
      <c r="AI125" s="132"/>
      <c r="AJ125" s="1249"/>
      <c r="AK125" s="132"/>
      <c r="AL125" s="132"/>
      <c r="AM125" s="132"/>
      <c r="AN125" s="132"/>
      <c r="AO125" s="1249"/>
      <c r="AP125" s="132"/>
      <c r="AQ125" s="132"/>
      <c r="AR125" s="132"/>
      <c r="AS125" s="132"/>
      <c r="AT125" s="1279">
        <v>0.98599999999999999</v>
      </c>
      <c r="AU125" s="130"/>
      <c r="AV125" s="130"/>
      <c r="AW125" s="130"/>
      <c r="AX125" s="130"/>
      <c r="AY125" s="185"/>
      <c r="AZ125" s="130"/>
      <c r="BA125" s="130"/>
      <c r="BB125" s="130"/>
      <c r="BC125" s="130"/>
      <c r="BD125" s="185"/>
      <c r="BE125" s="130"/>
      <c r="BF125" s="130"/>
      <c r="BG125" s="130"/>
      <c r="BH125" s="130"/>
      <c r="BI125" s="185"/>
      <c r="BJ125" s="132"/>
      <c r="BK125" s="132"/>
      <c r="BL125" s="132"/>
      <c r="BM125" s="132"/>
      <c r="BN125" s="1249"/>
      <c r="BO125" s="132"/>
      <c r="BP125" s="132"/>
      <c r="BQ125" s="132"/>
      <c r="BR125" s="132"/>
      <c r="BS125" s="1249"/>
      <c r="BT125" s="132"/>
      <c r="BU125" s="132"/>
      <c r="BV125" s="132"/>
      <c r="BW125" s="132"/>
      <c r="BX125" s="1249"/>
      <c r="BY125" s="960"/>
      <c r="BZ125" s="132"/>
      <c r="CA125" s="132"/>
      <c r="CB125" s="132"/>
      <c r="CC125" s="1249"/>
      <c r="CD125" s="132"/>
      <c r="CE125" s="132"/>
      <c r="CF125" s="132"/>
      <c r="CG125" s="132"/>
      <c r="CH125" s="1249"/>
      <c r="CI125" s="1249"/>
      <c r="CJ125" s="1249"/>
      <c r="CK125" s="1249"/>
      <c r="CL125" s="851"/>
    </row>
    <row r="126" spans="1:90" s="992" customFormat="1" x14ac:dyDescent="0.3">
      <c r="A126" s="219"/>
      <c r="B126" s="683"/>
      <c r="C126" s="1243"/>
      <c r="D126" s="1243"/>
      <c r="E126" s="1243"/>
      <c r="F126" s="1243"/>
      <c r="G126" s="574"/>
      <c r="H126" s="574"/>
      <c r="I126" s="574"/>
      <c r="J126" s="574"/>
      <c r="K126" s="1243"/>
      <c r="L126" s="574"/>
      <c r="M126" s="574"/>
      <c r="N126" s="574"/>
      <c r="O126" s="574"/>
      <c r="P126" s="1243"/>
      <c r="Q126" s="574"/>
      <c r="R126" s="574"/>
      <c r="S126" s="574"/>
      <c r="T126" s="574"/>
      <c r="U126" s="1243"/>
      <c r="V126" s="574"/>
      <c r="W126" s="574"/>
      <c r="X126" s="574"/>
      <c r="Y126" s="574"/>
      <c r="Z126" s="1243"/>
      <c r="AA126" s="574"/>
      <c r="AB126" s="574"/>
      <c r="AC126" s="574"/>
      <c r="AD126" s="574"/>
      <c r="AE126" s="1243"/>
      <c r="AF126" s="574"/>
      <c r="AG126" s="574"/>
      <c r="AH126" s="574"/>
      <c r="AI126" s="574"/>
      <c r="AJ126" s="1243"/>
      <c r="AK126" s="574"/>
      <c r="AL126" s="574"/>
      <c r="AM126" s="574"/>
      <c r="AN126" s="574"/>
      <c r="AO126" s="1243"/>
      <c r="AP126" s="574"/>
      <c r="AQ126" s="574"/>
      <c r="AR126" s="574"/>
      <c r="AS126" s="574"/>
      <c r="AT126" s="1244"/>
      <c r="AU126" s="678"/>
      <c r="AV126" s="678"/>
      <c r="AW126" s="678"/>
      <c r="AX126" s="678"/>
      <c r="AY126" s="1244"/>
      <c r="AZ126" s="678"/>
      <c r="BA126" s="678"/>
      <c r="BB126" s="678"/>
      <c r="BC126" s="678"/>
      <c r="BD126" s="1244"/>
      <c r="BE126" s="678"/>
      <c r="BF126" s="678"/>
      <c r="BG126" s="678"/>
      <c r="BH126" s="678"/>
      <c r="BI126" s="1244"/>
      <c r="BJ126" s="574"/>
      <c r="BK126" s="574"/>
      <c r="BL126" s="574"/>
      <c r="BM126" s="574"/>
      <c r="BN126" s="1243"/>
      <c r="BO126" s="574"/>
      <c r="BP126" s="574"/>
      <c r="BQ126" s="574"/>
      <c r="BR126" s="574"/>
      <c r="BS126" s="1243"/>
      <c r="BT126" s="574"/>
      <c r="BU126" s="574"/>
      <c r="BV126" s="574"/>
      <c r="BW126" s="574"/>
      <c r="BX126" s="1243"/>
      <c r="BY126" s="955"/>
      <c r="BZ126" s="574"/>
      <c r="CA126" s="574"/>
      <c r="CB126" s="574"/>
      <c r="CC126" s="1243"/>
      <c r="CD126" s="574"/>
      <c r="CE126" s="574"/>
      <c r="CF126" s="574"/>
      <c r="CG126" s="574"/>
      <c r="CH126" s="1243"/>
      <c r="CI126" s="1243"/>
      <c r="CJ126" s="1243"/>
      <c r="CK126" s="1243"/>
      <c r="CL126" s="829"/>
    </row>
    <row r="127" spans="1:90" s="985" customFormat="1" x14ac:dyDescent="0.3">
      <c r="A127" s="219" t="s">
        <v>1217</v>
      </c>
      <c r="B127" s="203"/>
      <c r="C127" s="185"/>
      <c r="D127" s="185"/>
      <c r="E127" s="185"/>
      <c r="F127" s="185"/>
      <c r="G127" s="130"/>
      <c r="H127" s="130"/>
      <c r="I127" s="130"/>
      <c r="J127" s="130"/>
      <c r="K127" s="185"/>
      <c r="L127" s="130"/>
      <c r="M127" s="130"/>
      <c r="N127" s="130"/>
      <c r="O127" s="130"/>
      <c r="P127" s="185"/>
      <c r="Q127" s="130"/>
      <c r="R127" s="130"/>
      <c r="S127" s="130"/>
      <c r="T127" s="130"/>
      <c r="U127" s="185"/>
      <c r="V127" s="130"/>
      <c r="W127" s="130"/>
      <c r="X127" s="130"/>
      <c r="Y127" s="130"/>
      <c r="Z127" s="185"/>
      <c r="AA127" s="130"/>
      <c r="AB127" s="130"/>
      <c r="AC127" s="130"/>
      <c r="AD127" s="130"/>
      <c r="AE127" s="185"/>
      <c r="AF127" s="130"/>
      <c r="AG127" s="130"/>
      <c r="AH127" s="130"/>
      <c r="AI127" s="130"/>
      <c r="AJ127" s="185"/>
      <c r="AK127" s="130"/>
      <c r="AL127" s="130"/>
      <c r="AM127" s="130"/>
      <c r="AN127" s="130"/>
      <c r="AO127" s="185"/>
      <c r="AP127" s="130"/>
      <c r="AQ127" s="130"/>
      <c r="AR127" s="130"/>
      <c r="AS127" s="130"/>
      <c r="AT127" s="1279">
        <v>0.5</v>
      </c>
      <c r="AU127" s="130"/>
      <c r="AV127" s="130"/>
      <c r="AW127" s="130"/>
      <c r="AX127" s="130"/>
      <c r="AY127" s="1279">
        <v>0.5</v>
      </c>
      <c r="AZ127" s="130"/>
      <c r="BA127" s="130"/>
      <c r="BB127" s="130"/>
      <c r="BC127" s="130"/>
      <c r="BD127" s="1279">
        <v>0.5</v>
      </c>
      <c r="BE127" s="130"/>
      <c r="BF127" s="130"/>
      <c r="BG127" s="130"/>
      <c r="BH127" s="130"/>
      <c r="BI127" s="1279">
        <v>0.5</v>
      </c>
      <c r="BJ127" s="130"/>
      <c r="BK127" s="130"/>
      <c r="BL127" s="130"/>
      <c r="BM127" s="130"/>
      <c r="BN127" s="1279">
        <v>0.5</v>
      </c>
      <c r="BO127" s="130"/>
      <c r="BP127" s="130"/>
      <c r="BQ127" s="130"/>
      <c r="BR127" s="130"/>
      <c r="BS127" s="1279">
        <v>0.5</v>
      </c>
      <c r="BT127" s="130"/>
      <c r="BU127" s="130"/>
      <c r="BV127" s="130"/>
      <c r="BW127" s="130"/>
      <c r="BX127" s="185"/>
      <c r="BY127" s="953"/>
      <c r="BZ127" s="130"/>
      <c r="CA127" s="130"/>
      <c r="CB127" s="130"/>
      <c r="CC127" s="185"/>
      <c r="CD127" s="130"/>
      <c r="CE127" s="130"/>
      <c r="CF127" s="130"/>
      <c r="CG127" s="130"/>
      <c r="CH127" s="185"/>
      <c r="CI127" s="185"/>
      <c r="CJ127" s="185"/>
      <c r="CK127" s="185"/>
      <c r="CL127" s="859"/>
    </row>
    <row r="128" spans="1:90" s="985" customFormat="1" x14ac:dyDescent="0.3">
      <c r="A128" s="219" t="s">
        <v>1218</v>
      </c>
      <c r="B128" s="203"/>
      <c r="C128" s="185"/>
      <c r="D128" s="185"/>
      <c r="E128" s="185"/>
      <c r="F128" s="185"/>
      <c r="G128" s="130"/>
      <c r="H128" s="130"/>
      <c r="I128" s="130"/>
      <c r="J128" s="130"/>
      <c r="K128" s="185"/>
      <c r="L128" s="130"/>
      <c r="M128" s="130"/>
      <c r="N128" s="130"/>
      <c r="O128" s="130"/>
      <c r="P128" s="185"/>
      <c r="Q128" s="130"/>
      <c r="R128" s="130"/>
      <c r="S128" s="130"/>
      <c r="T128" s="130"/>
      <c r="U128" s="185"/>
      <c r="V128" s="130"/>
      <c r="W128" s="130"/>
      <c r="X128" s="130"/>
      <c r="Y128" s="130"/>
      <c r="Z128" s="185"/>
      <c r="AA128" s="130"/>
      <c r="AB128" s="130"/>
      <c r="AC128" s="130"/>
      <c r="AD128" s="130"/>
      <c r="AE128" s="185"/>
      <c r="AF128" s="130"/>
      <c r="AG128" s="130"/>
      <c r="AH128" s="130"/>
      <c r="AI128" s="130"/>
      <c r="AJ128" s="185"/>
      <c r="AK128" s="130"/>
      <c r="AL128" s="130"/>
      <c r="AM128" s="130"/>
      <c r="AN128" s="130"/>
      <c r="AO128" s="185"/>
      <c r="AP128" s="130"/>
      <c r="AQ128" s="130"/>
      <c r="AR128" s="130"/>
      <c r="AS128" s="130"/>
      <c r="AT128" s="1279">
        <v>0.95</v>
      </c>
      <c r="AU128" s="130"/>
      <c r="AV128" s="130"/>
      <c r="AW128" s="130"/>
      <c r="AX128" s="130"/>
      <c r="AY128" s="1279">
        <v>0.97</v>
      </c>
      <c r="AZ128" s="130"/>
      <c r="BA128" s="130"/>
      <c r="BB128" s="130"/>
      <c r="BC128" s="130"/>
      <c r="BD128" s="1279">
        <v>1</v>
      </c>
      <c r="BE128" s="130"/>
      <c r="BF128" s="130"/>
      <c r="BG128" s="130"/>
      <c r="BH128" s="130"/>
      <c r="BI128" s="1279">
        <v>0.99</v>
      </c>
      <c r="BJ128" s="130"/>
      <c r="BK128" s="130"/>
      <c r="BL128" s="130"/>
      <c r="BM128" s="130"/>
      <c r="BN128" s="1279">
        <v>0.99</v>
      </c>
      <c r="BO128" s="130"/>
      <c r="BP128" s="130"/>
      <c r="BQ128" s="130"/>
      <c r="BR128" s="130"/>
      <c r="BS128" s="1279">
        <v>1</v>
      </c>
      <c r="BT128" s="130"/>
      <c r="BU128" s="130"/>
      <c r="BV128" s="130"/>
      <c r="BW128" s="130"/>
      <c r="BX128" s="185"/>
      <c r="BY128" s="953"/>
      <c r="BZ128" s="130"/>
      <c r="CA128" s="130"/>
      <c r="CB128" s="130"/>
      <c r="CC128" s="185"/>
      <c r="CD128" s="130"/>
      <c r="CE128" s="130"/>
      <c r="CF128" s="130"/>
      <c r="CG128" s="130"/>
      <c r="CH128" s="185"/>
      <c r="CI128" s="185"/>
      <c r="CJ128" s="185"/>
      <c r="CK128" s="185"/>
      <c r="CL128" s="859"/>
    </row>
    <row r="129" spans="1:90" s="985" customFormat="1" x14ac:dyDescent="0.3">
      <c r="A129" s="219" t="s">
        <v>1215</v>
      </c>
      <c r="B129" s="203"/>
      <c r="C129" s="185"/>
      <c r="D129" s="185"/>
      <c r="E129" s="185"/>
      <c r="F129" s="185"/>
      <c r="G129" s="130"/>
      <c r="H129" s="130"/>
      <c r="I129" s="130"/>
      <c r="J129" s="130"/>
      <c r="K129" s="185"/>
      <c r="L129" s="130"/>
      <c r="M129" s="130"/>
      <c r="N129" s="130"/>
      <c r="O129" s="130"/>
      <c r="P129" s="185"/>
      <c r="Q129" s="130"/>
      <c r="R129" s="130"/>
      <c r="S129" s="130"/>
      <c r="T129" s="130"/>
      <c r="U129" s="185"/>
      <c r="V129" s="130"/>
      <c r="W129" s="130"/>
      <c r="X129" s="130"/>
      <c r="Y129" s="130"/>
      <c r="Z129" s="185"/>
      <c r="AA129" s="130"/>
      <c r="AB129" s="130"/>
      <c r="AC129" s="130"/>
      <c r="AD129" s="130"/>
      <c r="AE129" s="185"/>
      <c r="AF129" s="130"/>
      <c r="AG129" s="130"/>
      <c r="AH129" s="130"/>
      <c r="AI129" s="130"/>
      <c r="AJ129" s="185"/>
      <c r="AK129" s="130"/>
      <c r="AL129" s="130"/>
      <c r="AM129" s="130"/>
      <c r="AN129" s="130"/>
      <c r="AO129" s="185"/>
      <c r="AP129" s="130"/>
      <c r="AQ129" s="130"/>
      <c r="AR129" s="130"/>
      <c r="AS129" s="130"/>
      <c r="AT129" s="1279">
        <v>1.5</v>
      </c>
      <c r="AU129" s="130"/>
      <c r="AV129" s="130"/>
      <c r="AW129" s="130"/>
      <c r="AX129" s="130"/>
      <c r="AY129" s="1279">
        <v>1.5</v>
      </c>
      <c r="AZ129" s="130"/>
      <c r="BA129" s="130"/>
      <c r="BB129" s="130"/>
      <c r="BC129" s="130"/>
      <c r="BD129" s="1279">
        <v>1.5</v>
      </c>
      <c r="BE129" s="130"/>
      <c r="BF129" s="130"/>
      <c r="BG129" s="130"/>
      <c r="BH129" s="130"/>
      <c r="BI129" s="1279">
        <v>1.5</v>
      </c>
      <c r="BJ129" s="130"/>
      <c r="BK129" s="130"/>
      <c r="BL129" s="130"/>
      <c r="BM129" s="130"/>
      <c r="BN129" s="1279">
        <v>1.5</v>
      </c>
      <c r="BO129" s="130"/>
      <c r="BP129" s="130"/>
      <c r="BQ129" s="130"/>
      <c r="BR129" s="130"/>
      <c r="BS129" s="1279">
        <v>1.5</v>
      </c>
      <c r="BT129" s="130"/>
      <c r="BU129" s="130"/>
      <c r="BV129" s="130"/>
      <c r="BW129" s="130"/>
      <c r="BX129" s="185"/>
      <c r="BY129" s="953"/>
      <c r="BZ129" s="130"/>
      <c r="CA129" s="130"/>
      <c r="CB129" s="130"/>
      <c r="CC129" s="185"/>
      <c r="CD129" s="130"/>
      <c r="CE129" s="130"/>
      <c r="CF129" s="130"/>
      <c r="CG129" s="130"/>
      <c r="CH129" s="185"/>
      <c r="CI129" s="185"/>
      <c r="CJ129" s="185"/>
      <c r="CK129" s="185"/>
      <c r="CL129" s="859"/>
    </row>
    <row r="130" spans="1:90" s="985" customFormat="1" x14ac:dyDescent="0.3">
      <c r="A130" s="219" t="s">
        <v>1216</v>
      </c>
      <c r="B130" s="203"/>
      <c r="C130" s="185"/>
      <c r="D130" s="185"/>
      <c r="E130" s="185"/>
      <c r="F130" s="185"/>
      <c r="G130" s="130"/>
      <c r="H130" s="130"/>
      <c r="I130" s="130"/>
      <c r="J130" s="130"/>
      <c r="K130" s="185"/>
      <c r="L130" s="130"/>
      <c r="M130" s="130"/>
      <c r="N130" s="130"/>
      <c r="O130" s="130"/>
      <c r="P130" s="185"/>
      <c r="Q130" s="130"/>
      <c r="R130" s="130"/>
      <c r="S130" s="130"/>
      <c r="T130" s="130"/>
      <c r="U130" s="185"/>
      <c r="V130" s="130"/>
      <c r="W130" s="130"/>
      <c r="X130" s="130"/>
      <c r="Y130" s="130"/>
      <c r="Z130" s="185"/>
      <c r="AA130" s="130"/>
      <c r="AB130" s="130"/>
      <c r="AC130" s="130"/>
      <c r="AD130" s="130"/>
      <c r="AE130" s="185"/>
      <c r="AF130" s="130"/>
      <c r="AG130" s="130"/>
      <c r="AH130" s="130"/>
      <c r="AI130" s="130"/>
      <c r="AJ130" s="185"/>
      <c r="AK130" s="130"/>
      <c r="AL130" s="130"/>
      <c r="AM130" s="130"/>
      <c r="AN130" s="130"/>
      <c r="AO130" s="185"/>
      <c r="AP130" s="130"/>
      <c r="AQ130" s="130"/>
      <c r="AR130" s="130"/>
      <c r="AS130" s="130"/>
      <c r="AT130" s="1279">
        <v>2</v>
      </c>
      <c r="AU130" s="130"/>
      <c r="AV130" s="130"/>
      <c r="AW130" s="130"/>
      <c r="AX130" s="130"/>
      <c r="AY130" s="1279">
        <v>2</v>
      </c>
      <c r="AZ130" s="130"/>
      <c r="BA130" s="130"/>
      <c r="BB130" s="130"/>
      <c r="BC130" s="130"/>
      <c r="BD130" s="1279">
        <v>2</v>
      </c>
      <c r="BE130" s="130"/>
      <c r="BF130" s="130"/>
      <c r="BG130" s="130"/>
      <c r="BH130" s="130"/>
      <c r="BI130" s="1279">
        <v>2</v>
      </c>
      <c r="BJ130" s="130"/>
      <c r="BK130" s="130"/>
      <c r="BL130" s="130"/>
      <c r="BM130" s="130"/>
      <c r="BN130" s="1279">
        <v>2</v>
      </c>
      <c r="BO130" s="130"/>
      <c r="BP130" s="130"/>
      <c r="BQ130" s="130"/>
      <c r="BR130" s="130"/>
      <c r="BS130" s="1279">
        <v>2</v>
      </c>
      <c r="BT130" s="130"/>
      <c r="BU130" s="130"/>
      <c r="BV130" s="130"/>
      <c r="BW130" s="130"/>
      <c r="BX130" s="185"/>
      <c r="BY130" s="953"/>
      <c r="BZ130" s="130"/>
      <c r="CA130" s="130"/>
      <c r="CB130" s="130"/>
      <c r="CC130" s="185"/>
      <c r="CD130" s="130"/>
      <c r="CE130" s="130"/>
      <c r="CF130" s="130"/>
      <c r="CG130" s="130"/>
      <c r="CH130" s="185"/>
      <c r="CI130" s="185"/>
      <c r="CJ130" s="185"/>
      <c r="CK130" s="185"/>
      <c r="CL130" s="859"/>
    </row>
    <row r="131" spans="1:90" s="992" customFormat="1" x14ac:dyDescent="0.3">
      <c r="A131" s="682"/>
      <c r="B131" s="683"/>
      <c r="C131" s="1243"/>
      <c r="D131" s="1243"/>
      <c r="E131" s="1243"/>
      <c r="F131" s="1243"/>
      <c r="G131" s="574"/>
      <c r="H131" s="574"/>
      <c r="I131" s="574"/>
      <c r="J131" s="574"/>
      <c r="K131" s="1243"/>
      <c r="L131" s="574"/>
      <c r="M131" s="574"/>
      <c r="N131" s="574"/>
      <c r="O131" s="574"/>
      <c r="P131" s="1243"/>
      <c r="Q131" s="574"/>
      <c r="R131" s="574"/>
      <c r="S131" s="574"/>
      <c r="T131" s="574"/>
      <c r="U131" s="1243"/>
      <c r="V131" s="574"/>
      <c r="W131" s="574"/>
      <c r="X131" s="574"/>
      <c r="Y131" s="574"/>
      <c r="Z131" s="1243"/>
      <c r="AA131" s="574"/>
      <c r="AB131" s="574"/>
      <c r="AC131" s="574"/>
      <c r="AD131" s="574"/>
      <c r="AE131" s="1243"/>
      <c r="AF131" s="574"/>
      <c r="AG131" s="574"/>
      <c r="AH131" s="574"/>
      <c r="AI131" s="574"/>
      <c r="AJ131" s="1243"/>
      <c r="AK131" s="574"/>
      <c r="AL131" s="574"/>
      <c r="AM131" s="574"/>
      <c r="AN131" s="574"/>
      <c r="AO131" s="1243"/>
      <c r="AP131" s="574"/>
      <c r="AQ131" s="574"/>
      <c r="AR131" s="574"/>
      <c r="AS131" s="574"/>
      <c r="AT131" s="1243"/>
      <c r="AU131" s="574"/>
      <c r="AV131" s="574"/>
      <c r="AW131" s="574"/>
      <c r="AX131" s="574"/>
      <c r="AY131" s="1243"/>
      <c r="AZ131" s="574"/>
      <c r="BA131" s="574"/>
      <c r="BB131" s="574"/>
      <c r="BC131" s="574"/>
      <c r="BD131" s="1243"/>
      <c r="BE131" s="574"/>
      <c r="BF131" s="574"/>
      <c r="BG131" s="574"/>
      <c r="BH131" s="574"/>
      <c r="BI131" s="1243"/>
      <c r="BJ131" s="574"/>
      <c r="BK131" s="574"/>
      <c r="BL131" s="574"/>
      <c r="BM131" s="574"/>
      <c r="BN131" s="1243"/>
      <c r="BO131" s="574"/>
      <c r="BP131" s="574"/>
      <c r="BQ131" s="574"/>
      <c r="BR131" s="574"/>
      <c r="BS131" s="1243"/>
      <c r="BT131" s="574"/>
      <c r="BU131" s="574"/>
      <c r="BV131" s="574"/>
      <c r="BW131" s="574"/>
      <c r="BX131" s="1243"/>
      <c r="BY131" s="955"/>
      <c r="BZ131" s="574"/>
      <c r="CA131" s="574"/>
      <c r="CB131" s="574"/>
      <c r="CC131" s="1243"/>
      <c r="CD131" s="574"/>
      <c r="CE131" s="574"/>
      <c r="CF131" s="574"/>
      <c r="CG131" s="574"/>
      <c r="CH131" s="1243"/>
      <c r="CI131" s="1243"/>
      <c r="CJ131" s="1243"/>
      <c r="CK131" s="1243"/>
      <c r="CL131" s="829"/>
    </row>
    <row r="132" spans="1:90" x14ac:dyDescent="0.3">
      <c r="A132" s="886" t="s">
        <v>1247</v>
      </c>
      <c r="B132" s="826"/>
      <c r="C132" s="826"/>
      <c r="D132" s="826"/>
      <c r="E132" s="826"/>
      <c r="F132" s="826"/>
      <c r="G132" s="826"/>
      <c r="H132" s="826"/>
      <c r="I132" s="826"/>
      <c r="J132" s="826"/>
      <c r="K132" s="826"/>
      <c r="L132" s="826"/>
      <c r="M132" s="826"/>
      <c r="N132" s="826"/>
      <c r="O132" s="826"/>
      <c r="P132" s="826"/>
      <c r="Q132" s="826"/>
      <c r="R132" s="826"/>
      <c r="S132" s="826"/>
      <c r="T132" s="826"/>
      <c r="U132" s="826"/>
      <c r="V132" s="826"/>
      <c r="W132" s="826"/>
      <c r="X132" s="826"/>
      <c r="Y132" s="826"/>
      <c r="Z132" s="826"/>
      <c r="AA132" s="826"/>
      <c r="AB132" s="826"/>
      <c r="AC132" s="826"/>
      <c r="AD132" s="826"/>
      <c r="AE132" s="826"/>
      <c r="AF132" s="826"/>
      <c r="AG132" s="826"/>
      <c r="AH132" s="826"/>
      <c r="AI132" s="826"/>
      <c r="AJ132" s="826"/>
      <c r="AK132" s="826"/>
      <c r="AL132" s="826"/>
      <c r="AM132" s="826"/>
      <c r="AN132" s="826"/>
      <c r="AO132" s="826"/>
      <c r="AP132" s="826"/>
      <c r="AQ132" s="826"/>
      <c r="AR132" s="826"/>
      <c r="AS132" s="826"/>
      <c r="AT132" s="826"/>
      <c r="AU132" s="826"/>
      <c r="AV132" s="826"/>
      <c r="AW132" s="826"/>
      <c r="AX132" s="826"/>
      <c r="AY132" s="826"/>
      <c r="AZ132" s="826"/>
      <c r="BA132" s="826"/>
      <c r="BB132" s="826"/>
      <c r="BC132" s="826"/>
      <c r="BD132" s="826"/>
      <c r="BE132" s="826"/>
      <c r="BF132" s="826"/>
      <c r="BG132" s="826"/>
      <c r="BH132" s="826"/>
      <c r="BI132" s="826"/>
      <c r="BJ132" s="826"/>
      <c r="BK132" s="826"/>
      <c r="BL132" s="826"/>
      <c r="BM132" s="826"/>
      <c r="BN132" s="826"/>
      <c r="BO132" s="826"/>
      <c r="BP132" s="826"/>
      <c r="BQ132" s="826"/>
      <c r="BR132" s="826"/>
      <c r="BS132" s="826"/>
      <c r="BT132" s="826"/>
      <c r="BU132" s="826"/>
      <c r="BV132" s="826"/>
      <c r="BW132" s="826"/>
      <c r="BX132" s="826"/>
      <c r="BY132" s="826"/>
      <c r="BZ132" s="826"/>
      <c r="CA132" s="826"/>
      <c r="CB132" s="826"/>
      <c r="CC132" s="826"/>
      <c r="CD132" s="826"/>
      <c r="CE132" s="826"/>
      <c r="CF132" s="826"/>
      <c r="CG132" s="826"/>
      <c r="CH132" s="826"/>
      <c r="CI132" s="826"/>
      <c r="CJ132" s="826"/>
      <c r="CK132" s="826"/>
      <c r="CL132" s="825"/>
    </row>
    <row r="133" spans="1:90" x14ac:dyDescent="0.3">
      <c r="A133" s="825"/>
      <c r="B133" s="825"/>
      <c r="C133" s="825"/>
      <c r="D133" s="825"/>
      <c r="E133" s="825"/>
      <c r="F133" s="825"/>
      <c r="G133" s="155"/>
      <c r="H133" s="155"/>
      <c r="I133" s="155"/>
      <c r="J133" s="155"/>
      <c r="K133" s="825"/>
      <c r="L133" s="155"/>
      <c r="M133" s="155"/>
      <c r="N133" s="155"/>
      <c r="O133" s="155"/>
      <c r="P133" s="825"/>
      <c r="Q133" s="155"/>
      <c r="R133" s="155"/>
      <c r="S133" s="155"/>
      <c r="T133" s="155"/>
      <c r="U133" s="825"/>
      <c r="V133" s="155"/>
      <c r="W133" s="155"/>
      <c r="X133" s="155"/>
      <c r="Y133" s="155"/>
      <c r="Z133" s="825"/>
      <c r="AA133" s="155"/>
      <c r="AB133" s="155"/>
      <c r="AC133" s="155"/>
      <c r="AD133" s="155"/>
      <c r="AE133" s="825"/>
      <c r="AF133" s="155"/>
      <c r="AG133" s="155"/>
      <c r="AH133" s="155"/>
      <c r="AI133" s="155"/>
      <c r="AJ133" s="825"/>
      <c r="AK133" s="155"/>
      <c r="AL133" s="155"/>
      <c r="AM133" s="155"/>
      <c r="AN133" s="155"/>
      <c r="AO133" s="825"/>
      <c r="AP133" s="155"/>
      <c r="AQ133" s="155"/>
      <c r="AR133" s="155"/>
      <c r="AS133" s="155"/>
      <c r="AT133" s="825"/>
      <c r="AU133" s="155"/>
      <c r="AV133" s="155"/>
      <c r="AW133" s="155"/>
      <c r="AX133" s="155"/>
      <c r="AY133" s="825"/>
      <c r="AZ133" s="155"/>
      <c r="BA133" s="155"/>
      <c r="BB133" s="155"/>
      <c r="BC133" s="155"/>
      <c r="BD133" s="825"/>
      <c r="BE133" s="155"/>
      <c r="BF133" s="155"/>
      <c r="BG133" s="155"/>
      <c r="BH133" s="155"/>
      <c r="BI133" s="825"/>
      <c r="BJ133" s="155"/>
      <c r="BK133" s="155"/>
      <c r="BL133" s="155"/>
      <c r="BM133" s="155"/>
      <c r="BN133" s="825"/>
      <c r="BO133" s="155"/>
      <c r="BP133" s="155"/>
      <c r="BQ133" s="155"/>
      <c r="BR133" s="155"/>
      <c r="BS133" s="825"/>
      <c r="BT133" s="155"/>
      <c r="BU133" s="155"/>
      <c r="BV133" s="155"/>
      <c r="BW133" s="155"/>
      <c r="BX133" s="825"/>
      <c r="BY133" s="155"/>
      <c r="BZ133" s="155"/>
      <c r="CA133" s="155"/>
      <c r="CB133" s="155"/>
      <c r="CC133" s="825"/>
      <c r="CD133" s="155"/>
      <c r="CE133" s="155"/>
      <c r="CF133" s="155"/>
      <c r="CG133" s="155"/>
      <c r="CH133" s="825"/>
      <c r="CI133" s="825"/>
      <c r="CJ133" s="825"/>
      <c r="CK133" s="825"/>
      <c r="CL133" s="825"/>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4E2D-9375-406F-953C-E06E1E3125B7}">
  <sheetPr codeName="Sheet3"/>
  <dimension ref="A1:U410"/>
  <sheetViews>
    <sheetView workbookViewId="0">
      <pane ySplit="5" topLeftCell="A6" activePane="bottomLeft" state="frozenSplit"/>
      <selection pane="bottomLeft"/>
    </sheetView>
  </sheetViews>
  <sheetFormatPr defaultColWidth="8.6640625" defaultRowHeight="14.4" outlineLevelCol="1" x14ac:dyDescent="0.3"/>
  <cols>
    <col min="1" max="1" width="3.44140625" style="981" customWidth="1"/>
    <col min="2" max="2" width="9.33203125" style="982" bestFit="1" customWidth="1"/>
    <col min="3" max="3" width="2.6640625" style="982" customWidth="1"/>
    <col min="4" max="4" width="43.44140625" style="983" customWidth="1"/>
    <col min="5" max="5" width="27.5546875" style="984" hidden="1" customWidth="1" outlineLevel="1"/>
    <col min="6" max="6" width="14.44140625" style="982" bestFit="1" customWidth="1" collapsed="1"/>
    <col min="7" max="7" width="14.44140625" style="982" hidden="1" customWidth="1" outlineLevel="1" collapsed="1"/>
    <col min="8" max="8" width="2.6640625" style="982" customWidth="1" collapsed="1"/>
    <col min="9" max="11" width="9.44140625" style="982" bestFit="1" customWidth="1"/>
    <col min="12" max="12" width="2.6640625" style="982" customWidth="1"/>
    <col min="13" max="13" width="8.6640625" style="982" bestFit="1" customWidth="1"/>
    <col min="14" max="14" width="11.6640625" style="983" bestFit="1" customWidth="1"/>
    <col min="15" max="15" width="2.6640625" style="982" customWidth="1"/>
    <col min="16" max="16" width="13.44140625" style="982" bestFit="1" customWidth="1"/>
    <col min="17" max="17" width="14.33203125" style="985" bestFit="1" customWidth="1"/>
    <col min="18" max="18" width="2.6640625" style="982" customWidth="1"/>
    <col min="19" max="19" width="10.6640625" style="986" bestFit="1" customWidth="1"/>
    <col min="20" max="20" width="13.33203125" style="987" bestFit="1" customWidth="1"/>
    <col min="21" max="26" width="8.6640625" style="982" customWidth="1"/>
    <col min="27" max="16384" width="8.6640625" style="982"/>
  </cols>
  <sheetData>
    <row r="1" spans="1:21" ht="28.8" x14ac:dyDescent="0.55000000000000004">
      <c r="A1" s="154"/>
      <c r="B1" s="167" t="str">
        <f>MO.CompanyName</f>
        <v>Company1915 Company0697</v>
      </c>
      <c r="C1" s="171"/>
      <c r="D1" s="171"/>
      <c r="E1" s="169"/>
      <c r="F1" s="171"/>
      <c r="G1" s="171"/>
      <c r="H1" s="171"/>
      <c r="I1" s="171"/>
      <c r="J1" s="171"/>
      <c r="K1" s="171"/>
      <c r="L1" s="171"/>
      <c r="M1" s="171"/>
      <c r="N1" s="171"/>
      <c r="O1" s="171"/>
      <c r="P1" s="171"/>
      <c r="Q1" s="130"/>
      <c r="R1" s="171"/>
      <c r="S1" s="170"/>
      <c r="T1" s="171"/>
      <c r="U1" s="171"/>
    </row>
    <row r="2" spans="1:21" x14ac:dyDescent="0.3">
      <c r="A2" s="154"/>
      <c r="B2" s="168" t="s">
        <v>410</v>
      </c>
      <c r="C2" s="171"/>
      <c r="D2" s="171"/>
      <c r="E2" s="169"/>
      <c r="F2" s="171" t="str">
        <f>UL.MRQ</f>
        <v>Q1-2027</v>
      </c>
      <c r="G2" s="171"/>
      <c r="H2" s="171"/>
      <c r="I2" s="171"/>
      <c r="J2" s="171"/>
      <c r="K2" s="171"/>
      <c r="L2" s="171"/>
      <c r="M2" s="171"/>
      <c r="N2" s="171"/>
      <c r="O2" s="171"/>
      <c r="P2" s="171"/>
      <c r="Q2" s="130"/>
      <c r="R2" s="171"/>
      <c r="S2" s="170"/>
      <c r="T2" s="171"/>
      <c r="U2" s="171"/>
    </row>
    <row r="3" spans="1:21" x14ac:dyDescent="0.3">
      <c r="A3" s="154"/>
      <c r="B3" s="171"/>
      <c r="C3" s="171"/>
      <c r="D3" s="171"/>
      <c r="E3" s="169"/>
      <c r="F3" s="171"/>
      <c r="G3" s="171"/>
      <c r="H3" s="171"/>
      <c r="I3" s="171"/>
      <c r="J3" s="171"/>
      <c r="K3" s="171"/>
      <c r="L3" s="171"/>
      <c r="M3" s="171"/>
      <c r="N3" s="171"/>
      <c r="O3" s="171"/>
      <c r="P3" s="171"/>
      <c r="Q3" s="130"/>
      <c r="R3" s="171"/>
      <c r="S3" s="171"/>
      <c r="T3" s="171"/>
      <c r="U3" s="171"/>
    </row>
    <row r="4" spans="1:21" s="988" customFormat="1" x14ac:dyDescent="0.3">
      <c r="A4" s="154"/>
      <c r="B4" s="177"/>
      <c r="C4" s="186"/>
      <c r="D4" s="177"/>
      <c r="E4" s="177"/>
      <c r="F4" s="177"/>
      <c r="G4" s="177"/>
      <c r="H4" s="186"/>
      <c r="I4" s="178" t="s">
        <v>286</v>
      </c>
      <c r="J4" s="178"/>
      <c r="K4" s="178"/>
      <c r="L4" s="186"/>
      <c r="M4" s="178" t="s">
        <v>287</v>
      </c>
      <c r="N4" s="178"/>
      <c r="O4" s="186"/>
      <c r="P4" s="178" t="s">
        <v>288</v>
      </c>
      <c r="Q4" s="178"/>
      <c r="R4" s="186"/>
      <c r="S4" s="178" t="s">
        <v>289</v>
      </c>
      <c r="T4" s="178"/>
      <c r="U4" s="170"/>
    </row>
    <row r="5" spans="1:21" s="989" customFormat="1" x14ac:dyDescent="0.3">
      <c r="A5" s="154"/>
      <c r="B5" s="177" t="s">
        <v>290</v>
      </c>
      <c r="C5" s="187"/>
      <c r="D5" s="177" t="s">
        <v>291</v>
      </c>
      <c r="E5" s="177" t="s">
        <v>292</v>
      </c>
      <c r="F5" s="177" t="s">
        <v>293</v>
      </c>
      <c r="G5" s="177" t="s">
        <v>325</v>
      </c>
      <c r="H5" s="187"/>
      <c r="I5" s="179" t="s">
        <v>262</v>
      </c>
      <c r="J5" s="179" t="s">
        <v>261</v>
      </c>
      <c r="K5" s="179" t="s">
        <v>294</v>
      </c>
      <c r="L5" s="187"/>
      <c r="M5" s="177" t="s">
        <v>290</v>
      </c>
      <c r="N5" s="179" t="s">
        <v>295</v>
      </c>
      <c r="O5" s="187"/>
      <c r="P5" s="179" t="s">
        <v>296</v>
      </c>
      <c r="Q5" s="180" t="s">
        <v>297</v>
      </c>
      <c r="R5" s="187"/>
      <c r="S5" s="179" t="s">
        <v>298</v>
      </c>
      <c r="T5" s="179" t="s">
        <v>299</v>
      </c>
      <c r="U5" s="175"/>
    </row>
    <row r="6" spans="1:21" x14ac:dyDescent="0.3">
      <c r="A6" s="154">
        <v>404</v>
      </c>
      <c r="B6" s="181" t="str">
        <f t="shared" ref="B6:B12" si="0">IF(INDEX(MO_SNA_IsHistoricalPeriod,,MATCH(F6,MO_Common_ColumnHeader,0)),"Historical","Forward")</f>
        <v>Forward</v>
      </c>
      <c r="C6" s="171"/>
      <c r="D6" s="188" t="str">
        <f ca="1">INDEX(INDIRECT(E6),0,COLUMN(MO_Common_Column_A))</f>
        <v>Net Revenue</v>
      </c>
      <c r="E6" s="182" t="s">
        <v>300</v>
      </c>
      <c r="F6" s="181" t="s">
        <v>1289</v>
      </c>
      <c r="G6" s="181"/>
      <c r="H6" s="171"/>
      <c r="I6" s="183">
        <f>91000*0.98</f>
        <v>89180</v>
      </c>
      <c r="J6" s="183">
        <f>91000*1.02</f>
        <v>92820</v>
      </c>
      <c r="K6" s="183">
        <f>AVERAGE(I6:J6)</f>
        <v>91000</v>
      </c>
      <c r="L6" s="171"/>
      <c r="M6" s="181" t="str">
        <f t="shared" ref="M6:M12" si="1">IF(INDEX(MO_SNA_IsHistoricalPeriod,,MATCH(F6,MO_Common_ColumnHeader,0)),"Actual","Estimate")</f>
        <v>Estimate</v>
      </c>
      <c r="N6" s="183">
        <f ca="1">IFERROR(INDEX(INDIRECT(E6),0,MATCH(F6,MO_Common_ColumnHeader,0)),"N/A")</f>
        <v>90933.489999999991</v>
      </c>
      <c r="O6" s="171"/>
      <c r="P6" s="189">
        <f t="shared" ref="P6:P12" ca="1" si="2">IF(ISNUMBER(N6),N6-K6,"N/A")</f>
        <v>-66.510000000009313</v>
      </c>
      <c r="Q6" s="190">
        <f t="shared" ref="Q6:Q12" ca="1" si="3">IFERROR(IF(ISNUMBER(N6),(N6-K6)/ABS(K6),"N/A"),"N/A")</f>
        <v>-7.3087912087922322E-4</v>
      </c>
      <c r="R6" s="171"/>
      <c r="S6" s="184">
        <v>46162</v>
      </c>
      <c r="T6" s="191" t="s">
        <v>622</v>
      </c>
      <c r="U6" s="171"/>
    </row>
    <row r="7" spans="1:21" x14ac:dyDescent="0.3">
      <c r="A7" s="154">
        <v>403</v>
      </c>
      <c r="B7" s="181" t="str">
        <f t="shared" si="0"/>
        <v>Forward</v>
      </c>
      <c r="C7" s="171"/>
      <c r="D7" s="188" t="str">
        <f ca="1">INDEX(INDIRECT(E7),0,COLUMN(MO_Common_Column_A))</f>
        <v>GAAP Gross Margin, %</v>
      </c>
      <c r="E7" s="182" t="s">
        <v>303</v>
      </c>
      <c r="F7" s="181" t="s">
        <v>1289</v>
      </c>
      <c r="G7" s="181"/>
      <c r="H7" s="171"/>
      <c r="I7" s="185">
        <v>0.74399999999999999</v>
      </c>
      <c r="J7" s="185">
        <v>0.754</v>
      </c>
      <c r="K7" s="185">
        <f t="shared" ref="K7:K12" si="4">AVERAGE(I7:J7)</f>
        <v>0.749</v>
      </c>
      <c r="L7" s="171"/>
      <c r="M7" s="181" t="str">
        <f t="shared" si="1"/>
        <v>Estimate</v>
      </c>
      <c r="N7" s="185">
        <f ca="1">IFERROR(INDEX(INDIRECT(E7),0,MATCH(F7,MO_Common_ColumnHeader,0)),"N/A")</f>
        <v>0.7485258969257429</v>
      </c>
      <c r="O7" s="171"/>
      <c r="P7" s="190">
        <f t="shared" ca="1" si="2"/>
        <v>-4.7410307425710396E-4</v>
      </c>
      <c r="Q7" s="190">
        <f t="shared" ca="1" si="3"/>
        <v>-6.329814075528758E-4</v>
      </c>
      <c r="R7" s="171"/>
      <c r="S7" s="184">
        <v>46162</v>
      </c>
      <c r="T7" s="191" t="s">
        <v>622</v>
      </c>
      <c r="U7" s="171"/>
    </row>
    <row r="8" spans="1:21" x14ac:dyDescent="0.3">
      <c r="A8" s="154">
        <v>402</v>
      </c>
      <c r="B8" s="181" t="str">
        <f t="shared" si="0"/>
        <v>Forward</v>
      </c>
      <c r="C8" s="171"/>
      <c r="D8" s="188" t="str">
        <f ca="1">INDEX(INDIRECT(E8),0,COLUMN(MO_Common_Column_A))</f>
        <v>Non-GAAP Gross Margin, %</v>
      </c>
      <c r="E8" s="182" t="s">
        <v>304</v>
      </c>
      <c r="F8" s="181" t="s">
        <v>1289</v>
      </c>
      <c r="G8" s="181"/>
      <c r="H8" s="171"/>
      <c r="I8" s="185">
        <v>0.745</v>
      </c>
      <c r="J8" s="185">
        <v>0.755</v>
      </c>
      <c r="K8" s="185">
        <f t="shared" si="4"/>
        <v>0.75</v>
      </c>
      <c r="L8" s="171"/>
      <c r="M8" s="181" t="str">
        <f t="shared" si="1"/>
        <v>Estimate</v>
      </c>
      <c r="N8" s="185">
        <f ca="1">IFERROR(INDEX(INDIRECT(E8),0,MATCH(F8,MO_Common_ColumnHeader,0)),"N/A")</f>
        <v>0.7495258969257429</v>
      </c>
      <c r="O8" s="171"/>
      <c r="P8" s="190">
        <f t="shared" ca="1" si="2"/>
        <v>-4.7410307425710396E-4</v>
      </c>
      <c r="Q8" s="190">
        <f t="shared" ca="1" si="3"/>
        <v>-6.3213743234280528E-4</v>
      </c>
      <c r="R8" s="171"/>
      <c r="S8" s="184">
        <v>46162</v>
      </c>
      <c r="T8" s="191" t="s">
        <v>622</v>
      </c>
      <c r="U8" s="171"/>
    </row>
    <row r="9" spans="1:21" x14ac:dyDescent="0.3">
      <c r="A9" s="154">
        <v>401</v>
      </c>
      <c r="B9" s="181" t="str">
        <f t="shared" si="0"/>
        <v>Forward</v>
      </c>
      <c r="C9" s="171"/>
      <c r="D9" s="188" t="s">
        <v>305</v>
      </c>
      <c r="E9" s="182"/>
      <c r="F9" s="181" t="s">
        <v>1289</v>
      </c>
      <c r="G9" s="181"/>
      <c r="H9" s="171"/>
      <c r="I9" s="183">
        <v>8500</v>
      </c>
      <c r="J9" s="183">
        <v>8500</v>
      </c>
      <c r="K9" s="183">
        <f t="shared" si="4"/>
        <v>8500</v>
      </c>
      <c r="L9" s="171"/>
      <c r="M9" s="181" t="str">
        <f t="shared" si="1"/>
        <v>Estimate</v>
      </c>
      <c r="N9" s="183">
        <f>INDEX(MO_RIS_RD,0,MATCH(F9,MO_Common_ColumnHeader,0))+INDEX(MO_RIS_SGA,0,MATCH(F9,MO_Common_ColumnHeader,0))</f>
        <v>8521.3346854385454</v>
      </c>
      <c r="O9" s="171"/>
      <c r="P9" s="189">
        <f t="shared" si="2"/>
        <v>21.334685438545421</v>
      </c>
      <c r="Q9" s="190">
        <f t="shared" si="3"/>
        <v>2.5099629927700495E-3</v>
      </c>
      <c r="R9" s="171"/>
      <c r="S9" s="184">
        <v>46162</v>
      </c>
      <c r="T9" s="191" t="s">
        <v>622</v>
      </c>
      <c r="U9" s="171"/>
    </row>
    <row r="10" spans="1:21" x14ac:dyDescent="0.3">
      <c r="A10" s="154">
        <v>400</v>
      </c>
      <c r="B10" s="181" t="str">
        <f t="shared" si="0"/>
        <v>Forward</v>
      </c>
      <c r="C10" s="171"/>
      <c r="D10" s="188" t="str">
        <f ca="1">INDEX(INDIRECT(E10),0,COLUMN(MO_Common_Column_A))</f>
        <v>Total Non-GAAP Operating Expenses, mm</v>
      </c>
      <c r="E10" s="182" t="s">
        <v>939</v>
      </c>
      <c r="F10" s="181" t="s">
        <v>1289</v>
      </c>
      <c r="G10" s="181"/>
      <c r="H10" s="171"/>
      <c r="I10" s="183">
        <v>8300</v>
      </c>
      <c r="J10" s="183">
        <v>8300</v>
      </c>
      <c r="K10" s="183">
        <f t="shared" si="4"/>
        <v>8300</v>
      </c>
      <c r="L10" s="171"/>
      <c r="M10" s="181" t="str">
        <f t="shared" si="1"/>
        <v>Estimate</v>
      </c>
      <c r="N10" s="183">
        <f ca="1">IFERROR(INDEX(INDIRECT(E10),0,MATCH(F10,MO_Common_ColumnHeader,0)),"N/A")</f>
        <v>8321.2810074385452</v>
      </c>
      <c r="O10" s="171"/>
      <c r="P10" s="189">
        <f t="shared" ca="1" si="2"/>
        <v>21.281007438545203</v>
      </c>
      <c r="Q10" s="190">
        <f t="shared" ca="1" si="3"/>
        <v>2.5639767998247233E-3</v>
      </c>
      <c r="R10" s="171"/>
      <c r="S10" s="184">
        <v>46162</v>
      </c>
      <c r="T10" s="191" t="s">
        <v>622</v>
      </c>
      <c r="U10" s="171"/>
    </row>
    <row r="11" spans="1:21" x14ac:dyDescent="0.3">
      <c r="A11" s="154">
        <v>399</v>
      </c>
      <c r="B11" s="181" t="str">
        <f t="shared" si="0"/>
        <v>Forward</v>
      </c>
      <c r="C11" s="171"/>
      <c r="D11" s="188" t="s">
        <v>309</v>
      </c>
      <c r="E11" s="182" t="s">
        <v>818</v>
      </c>
      <c r="F11" s="181" t="s">
        <v>1289</v>
      </c>
      <c r="G11" s="181"/>
      <c r="H11" s="171"/>
      <c r="I11" s="185">
        <v>0.16</v>
      </c>
      <c r="J11" s="185">
        <v>0.18</v>
      </c>
      <c r="K11" s="185">
        <f t="shared" si="4"/>
        <v>0.16999999999999998</v>
      </c>
      <c r="L11" s="171"/>
      <c r="M11" s="181" t="str">
        <f t="shared" si="1"/>
        <v>Estimate</v>
      </c>
      <c r="N11" s="185">
        <f ca="1">IFERROR(INDEX(INDIRECT(E11),0,MATCH(F11,MO_Common_ColumnHeader,0)),"N/A")</f>
        <v>0.17009795625371138</v>
      </c>
      <c r="O11" s="171"/>
      <c r="P11" s="190">
        <f t="shared" ca="1" si="2"/>
        <v>9.795625371139538E-5</v>
      </c>
      <c r="Q11" s="190">
        <f t="shared" ca="1" si="3"/>
        <v>5.7621325712585523E-4</v>
      </c>
      <c r="R11" s="171"/>
      <c r="S11" s="184">
        <v>46162</v>
      </c>
      <c r="T11" s="191" t="s">
        <v>622</v>
      </c>
      <c r="U11" s="171"/>
    </row>
    <row r="12" spans="1:21" x14ac:dyDescent="0.3">
      <c r="A12" s="154">
        <v>398</v>
      </c>
      <c r="B12" s="181" t="str">
        <f t="shared" si="0"/>
        <v>Forward</v>
      </c>
      <c r="C12" s="171"/>
      <c r="D12" s="188" t="str">
        <f ca="1">INDEX(INDIRECT(E12),0,COLUMN(MO_Common_Column_A))</f>
        <v>Non-GAAP Tax Rate</v>
      </c>
      <c r="E12" s="182" t="s">
        <v>310</v>
      </c>
      <c r="F12" s="181" t="s">
        <v>1289</v>
      </c>
      <c r="G12" s="181"/>
      <c r="H12" s="171"/>
      <c r="I12" s="185">
        <v>0.16</v>
      </c>
      <c r="J12" s="185">
        <v>0.18</v>
      </c>
      <c r="K12" s="185">
        <f t="shared" si="4"/>
        <v>0.16999999999999998</v>
      </c>
      <c r="L12" s="171"/>
      <c r="M12" s="181" t="str">
        <f t="shared" si="1"/>
        <v>Estimate</v>
      </c>
      <c r="N12" s="185">
        <f ca="1">IFERROR(INDEX(INDIRECT(E12),0,MATCH(F12,MO_Common_ColumnHeader,0)),"N/A")</f>
        <v>0.17</v>
      </c>
      <c r="O12" s="171"/>
      <c r="P12" s="190">
        <f t="shared" ca="1" si="2"/>
        <v>2.7755575615628914E-17</v>
      </c>
      <c r="Q12" s="190">
        <f t="shared" ca="1" si="3"/>
        <v>1.6326809185664068E-16</v>
      </c>
      <c r="R12" s="171"/>
      <c r="S12" s="184">
        <v>46162</v>
      </c>
      <c r="T12" s="191" t="s">
        <v>622</v>
      </c>
      <c r="U12" s="171"/>
    </row>
    <row r="13" spans="1:21" x14ac:dyDescent="0.3">
      <c r="A13" s="154">
        <v>397</v>
      </c>
      <c r="B13" s="171"/>
      <c r="C13" s="171"/>
      <c r="D13" s="168"/>
      <c r="E13" s="169"/>
      <c r="F13" s="171"/>
      <c r="G13" s="171"/>
      <c r="H13" s="171"/>
      <c r="I13" s="885"/>
      <c r="J13" s="885"/>
      <c r="K13" s="885"/>
      <c r="L13" s="171"/>
      <c r="M13" s="171"/>
      <c r="N13" s="885"/>
      <c r="O13" s="171"/>
      <c r="P13" s="172"/>
      <c r="Q13" s="134"/>
      <c r="R13" s="171"/>
      <c r="S13" s="173"/>
      <c r="T13" s="192"/>
      <c r="U13" s="171"/>
    </row>
    <row r="14" spans="1:21" x14ac:dyDescent="0.3">
      <c r="A14" s="154">
        <v>396</v>
      </c>
      <c r="B14" s="181" t="str">
        <f t="shared" ref="B14:B20" si="5">IF(INDEX(MO_SNA_IsHistoricalPeriod,,MATCH(F14,MO_Common_ColumnHeader,0)),"Historical","Forward")</f>
        <v>Historical</v>
      </c>
      <c r="C14" s="171"/>
      <c r="D14" s="188" t="str">
        <f ca="1">INDEX(INDIRECT(E14),0,COLUMN(MO_Common_Column_A))</f>
        <v>Net Revenue</v>
      </c>
      <c r="E14" s="182" t="s">
        <v>300</v>
      </c>
      <c r="F14" s="181" t="s">
        <v>1280</v>
      </c>
      <c r="G14" s="181"/>
      <c r="H14" s="171"/>
      <c r="I14" s="183">
        <f>78000*0.98</f>
        <v>76440</v>
      </c>
      <c r="J14" s="183">
        <f>78000*1.02</f>
        <v>79560</v>
      </c>
      <c r="K14" s="183">
        <f>AVERAGE(I14:J14)</f>
        <v>78000</v>
      </c>
      <c r="L14" s="171"/>
      <c r="M14" s="181" t="str">
        <f t="shared" ref="M14:M20" si="6">IF(INDEX(MO_SNA_IsHistoricalPeriod,,MATCH(F14,MO_Common_ColumnHeader,0)),"Actual","Estimate")</f>
        <v>Actual</v>
      </c>
      <c r="N14" s="183">
        <f ca="1">IFERROR(INDEX(INDIRECT(E14),0,MATCH(F14,MO_Common_ColumnHeader,0)),"N/A")</f>
        <v>81615</v>
      </c>
      <c r="O14" s="171"/>
      <c r="P14" s="189">
        <f t="shared" ref="P14:P20" ca="1" si="7">IF(ISNUMBER(N14),N14-K14,"N/A")</f>
        <v>3615</v>
      </c>
      <c r="Q14" s="190">
        <f t="shared" ref="Q14:Q20" ca="1" si="8">IFERROR(IF(ISNUMBER(N14),(N14-K14)/ABS(K14),"N/A"),"N/A")</f>
        <v>4.6346153846153849E-2</v>
      </c>
      <c r="R14" s="171"/>
      <c r="S14" s="184">
        <v>46078</v>
      </c>
      <c r="T14" s="191" t="s">
        <v>622</v>
      </c>
      <c r="U14" s="171"/>
    </row>
    <row r="15" spans="1:21" x14ac:dyDescent="0.3">
      <c r="A15" s="154">
        <v>395</v>
      </c>
      <c r="B15" s="181" t="str">
        <f t="shared" si="5"/>
        <v>Historical</v>
      </c>
      <c r="C15" s="171"/>
      <c r="D15" s="188" t="str">
        <f ca="1">INDEX(INDIRECT(E15),0,COLUMN(MO_Common_Column_A))</f>
        <v>GAAP Gross Margin, %</v>
      </c>
      <c r="E15" s="182" t="s">
        <v>303</v>
      </c>
      <c r="F15" s="181" t="s">
        <v>1280</v>
      </c>
      <c r="G15" s="181"/>
      <c r="H15" s="171"/>
      <c r="I15" s="185">
        <v>0.749</v>
      </c>
      <c r="J15" s="185">
        <v>0.749</v>
      </c>
      <c r="K15" s="185">
        <f t="shared" ref="K15:K20" si="9">AVERAGE(I15:J15)</f>
        <v>0.749</v>
      </c>
      <c r="L15" s="171"/>
      <c r="M15" s="181" t="str">
        <f t="shared" si="6"/>
        <v>Actual</v>
      </c>
      <c r="N15" s="185">
        <f ca="1">IFERROR(INDEX(INDIRECT(E15),0,MATCH(F15,MO_Common_ColumnHeader,0)),"N/A")</f>
        <v>0.74933529375727503</v>
      </c>
      <c r="O15" s="171"/>
      <c r="P15" s="190">
        <f t="shared" ca="1" si="7"/>
        <v>3.3529375727503474E-4</v>
      </c>
      <c r="Q15" s="190">
        <f t="shared" ca="1" si="8"/>
        <v>4.4765521665558712E-4</v>
      </c>
      <c r="R15" s="171"/>
      <c r="S15" s="184">
        <v>46078</v>
      </c>
      <c r="T15" s="191" t="s">
        <v>622</v>
      </c>
      <c r="U15" s="171"/>
    </row>
    <row r="16" spans="1:21" x14ac:dyDescent="0.3">
      <c r="A16" s="154">
        <v>394</v>
      </c>
      <c r="B16" s="181" t="str">
        <f t="shared" si="5"/>
        <v>Historical</v>
      </c>
      <c r="C16" s="171"/>
      <c r="D16" s="188" t="str">
        <f ca="1">INDEX(INDIRECT(E16),0,COLUMN(MO_Common_Column_A))</f>
        <v>Non-GAAP Gross Margin, %</v>
      </c>
      <c r="E16" s="182" t="s">
        <v>304</v>
      </c>
      <c r="F16" s="181" t="s">
        <v>1280</v>
      </c>
      <c r="G16" s="181"/>
      <c r="H16" s="171"/>
      <c r="I16" s="185">
        <v>0.75</v>
      </c>
      <c r="J16" s="185">
        <v>0.75</v>
      </c>
      <c r="K16" s="185">
        <f t="shared" si="9"/>
        <v>0.75</v>
      </c>
      <c r="L16" s="171"/>
      <c r="M16" s="181" t="str">
        <f t="shared" si="6"/>
        <v>Actual</v>
      </c>
      <c r="N16" s="185">
        <f ca="1">IFERROR(INDEX(INDIRECT(E16),0,MATCH(F16,MO_Common_ColumnHeader,0)),"N/A")</f>
        <v>0.75025424247993633</v>
      </c>
      <c r="O16" s="171"/>
      <c r="P16" s="190">
        <f t="shared" ca="1" si="7"/>
        <v>2.5424247993632854E-4</v>
      </c>
      <c r="Q16" s="190">
        <f t="shared" ca="1" si="8"/>
        <v>3.3898997324843805E-4</v>
      </c>
      <c r="R16" s="171"/>
      <c r="S16" s="184">
        <v>46078</v>
      </c>
      <c r="T16" s="191" t="s">
        <v>622</v>
      </c>
      <c r="U16" s="171"/>
    </row>
    <row r="17" spans="1:21" x14ac:dyDescent="0.3">
      <c r="A17" s="154">
        <v>393</v>
      </c>
      <c r="B17" s="181" t="str">
        <f t="shared" si="5"/>
        <v>Historical</v>
      </c>
      <c r="C17" s="171"/>
      <c r="D17" s="188" t="s">
        <v>305</v>
      </c>
      <c r="E17" s="182"/>
      <c r="F17" s="181" t="s">
        <v>1280</v>
      </c>
      <c r="G17" s="181"/>
      <c r="H17" s="171"/>
      <c r="I17" s="183">
        <v>7700</v>
      </c>
      <c r="J17" s="183">
        <v>7700</v>
      </c>
      <c r="K17" s="183">
        <f t="shared" si="9"/>
        <v>7700</v>
      </c>
      <c r="L17" s="171"/>
      <c r="M17" s="181" t="str">
        <f t="shared" si="6"/>
        <v>Actual</v>
      </c>
      <c r="N17" s="183">
        <f>INDEX(MO_RIS_RD,0,MATCH(F17,MO_Common_ColumnHeader,0))+INDEX(MO_RIS_SGA,0,MATCH(F17,MO_Common_ColumnHeader,0))</f>
        <v>7621</v>
      </c>
      <c r="O17" s="171"/>
      <c r="P17" s="189">
        <f t="shared" si="7"/>
        <v>-79</v>
      </c>
      <c r="Q17" s="190">
        <f t="shared" si="8"/>
        <v>-1.025974025974026E-2</v>
      </c>
      <c r="R17" s="171"/>
      <c r="S17" s="184">
        <v>46078</v>
      </c>
      <c r="T17" s="191" t="s">
        <v>622</v>
      </c>
      <c r="U17" s="171"/>
    </row>
    <row r="18" spans="1:21" x14ac:dyDescent="0.3">
      <c r="A18" s="154">
        <v>392</v>
      </c>
      <c r="B18" s="181" t="str">
        <f t="shared" si="5"/>
        <v>Historical</v>
      </c>
      <c r="C18" s="171"/>
      <c r="D18" s="188" t="str">
        <f ca="1">INDEX(INDIRECT(E18),0,COLUMN(MO_Common_Column_A))</f>
        <v>Total Non-GAAP Operating Expenses, mm</v>
      </c>
      <c r="E18" s="182" t="s">
        <v>939</v>
      </c>
      <c r="F18" s="181" t="s">
        <v>1280</v>
      </c>
      <c r="G18" s="181"/>
      <c r="H18" s="171"/>
      <c r="I18" s="183">
        <v>7500</v>
      </c>
      <c r="J18" s="183">
        <v>7500</v>
      </c>
      <c r="K18" s="183">
        <f t="shared" si="9"/>
        <v>7500</v>
      </c>
      <c r="L18" s="171"/>
      <c r="M18" s="181" t="str">
        <f t="shared" si="6"/>
        <v>Actual</v>
      </c>
      <c r="N18" s="183">
        <f ca="1">IFERROR(INDEX(INDIRECT(E18),0,MATCH(F18,MO_Common_ColumnHeader,0)),"N/A")</f>
        <v>7449</v>
      </c>
      <c r="O18" s="171"/>
      <c r="P18" s="189">
        <f t="shared" ca="1" si="7"/>
        <v>-51</v>
      </c>
      <c r="Q18" s="190">
        <f t="shared" ca="1" si="8"/>
        <v>-6.7999999999999996E-3</v>
      </c>
      <c r="R18" s="171"/>
      <c r="S18" s="184">
        <v>46078</v>
      </c>
      <c r="T18" s="191" t="s">
        <v>622</v>
      </c>
      <c r="U18" s="171"/>
    </row>
    <row r="19" spans="1:21" x14ac:dyDescent="0.3">
      <c r="A19" s="154">
        <v>391</v>
      </c>
      <c r="B19" s="181" t="str">
        <f t="shared" si="5"/>
        <v>Historical</v>
      </c>
      <c r="C19" s="171"/>
      <c r="D19" s="188" t="s">
        <v>309</v>
      </c>
      <c r="E19" s="182" t="s">
        <v>818</v>
      </c>
      <c r="F19" s="181" t="s">
        <v>1280</v>
      </c>
      <c r="G19" s="181"/>
      <c r="H19" s="171"/>
      <c r="I19" s="185">
        <v>0.17</v>
      </c>
      <c r="J19" s="185">
        <v>0.19</v>
      </c>
      <c r="K19" s="185">
        <f t="shared" si="9"/>
        <v>0.18</v>
      </c>
      <c r="L19" s="171"/>
      <c r="M19" s="181" t="str">
        <f t="shared" si="6"/>
        <v>Actual</v>
      </c>
      <c r="N19" s="185">
        <f ca="1">IFERROR(INDEX(INDIRECT(E19),0,MATCH(F19,MO_Common_ColumnHeader,0)),"N/A")</f>
        <v>0.16568673733602277</v>
      </c>
      <c r="O19" s="171"/>
      <c r="P19" s="190">
        <f t="shared" ca="1" si="7"/>
        <v>-1.4313262663977228E-2</v>
      </c>
      <c r="Q19" s="190">
        <f t="shared" ca="1" si="8"/>
        <v>-7.9518125910984602E-2</v>
      </c>
      <c r="R19" s="171"/>
      <c r="S19" s="184">
        <v>46078</v>
      </c>
      <c r="T19" s="191" t="s">
        <v>622</v>
      </c>
      <c r="U19" s="171"/>
    </row>
    <row r="20" spans="1:21" x14ac:dyDescent="0.3">
      <c r="A20" s="154">
        <v>390</v>
      </c>
      <c r="B20" s="181" t="str">
        <f t="shared" si="5"/>
        <v>Historical</v>
      </c>
      <c r="C20" s="171"/>
      <c r="D20" s="188" t="str">
        <f ca="1">INDEX(INDIRECT(E20),0,COLUMN(MO_Common_Column_A))</f>
        <v>Non-GAAP Tax Rate</v>
      </c>
      <c r="E20" s="182" t="s">
        <v>310</v>
      </c>
      <c r="F20" s="181" t="s">
        <v>1280</v>
      </c>
      <c r="G20" s="181"/>
      <c r="H20" s="171"/>
      <c r="I20" s="185">
        <v>0.17</v>
      </c>
      <c r="J20" s="185">
        <v>0.19</v>
      </c>
      <c r="K20" s="185">
        <f t="shared" si="9"/>
        <v>0.18</v>
      </c>
      <c r="L20" s="171"/>
      <c r="M20" s="181" t="str">
        <f t="shared" si="6"/>
        <v>Actual</v>
      </c>
      <c r="N20" s="185">
        <f ca="1">IFERROR(INDEX(INDIRECT(E20),0,MATCH(F20,MO_Common_ColumnHeader,0)),"N/A")</f>
        <v>0.16025073746312685</v>
      </c>
      <c r="O20" s="171"/>
      <c r="P20" s="190">
        <f t="shared" ca="1" si="7"/>
        <v>-1.9749262536873147E-2</v>
      </c>
      <c r="Q20" s="190">
        <f t="shared" ca="1" si="8"/>
        <v>-0.10971812520485082</v>
      </c>
      <c r="R20" s="171"/>
      <c r="S20" s="184">
        <v>46078</v>
      </c>
      <c r="T20" s="191" t="s">
        <v>622</v>
      </c>
      <c r="U20" s="171"/>
    </row>
    <row r="21" spans="1:21" x14ac:dyDescent="0.3">
      <c r="A21" s="154">
        <v>389</v>
      </c>
      <c r="B21" s="171"/>
      <c r="C21" s="171"/>
      <c r="D21" s="168"/>
      <c r="E21" s="169"/>
      <c r="F21" s="171"/>
      <c r="G21" s="171"/>
      <c r="H21" s="171"/>
      <c r="I21" s="885"/>
      <c r="J21" s="885"/>
      <c r="K21" s="885"/>
      <c r="L21" s="171"/>
      <c r="M21" s="171"/>
      <c r="N21" s="885"/>
      <c r="O21" s="171"/>
      <c r="P21" s="172"/>
      <c r="Q21" s="134"/>
      <c r="R21" s="171"/>
      <c r="S21" s="173"/>
      <c r="T21" s="192"/>
      <c r="U21" s="171"/>
    </row>
    <row r="22" spans="1:21" x14ac:dyDescent="0.3">
      <c r="A22" s="154">
        <v>388</v>
      </c>
      <c r="B22" s="181" t="str">
        <f t="shared" ref="B22:B30" si="10">IF(INDEX(MO_SNA_IsHistoricalPeriod,,MATCH(F22,MO_Common_ColumnHeader,0)),"Historical","Forward")</f>
        <v>Historical</v>
      </c>
      <c r="C22" s="171"/>
      <c r="D22" s="188" t="str">
        <f ca="1">INDEX(INDIRECT(E22),0,COLUMN(MO_Common_Column_A))</f>
        <v>Net Revenue</v>
      </c>
      <c r="E22" s="182" t="s">
        <v>300</v>
      </c>
      <c r="F22" s="181" t="s">
        <v>1278</v>
      </c>
      <c r="G22" s="181"/>
      <c r="H22" s="171"/>
      <c r="I22" s="183">
        <f>65000*0.98</f>
        <v>63700</v>
      </c>
      <c r="J22" s="183">
        <f>65000*1.02</f>
        <v>66300</v>
      </c>
      <c r="K22" s="183">
        <f>AVERAGE(I22:J22)</f>
        <v>65000</v>
      </c>
      <c r="L22" s="171"/>
      <c r="M22" s="181" t="str">
        <f t="shared" ref="M22:M30" si="11">IF(INDEX(MO_SNA_IsHistoricalPeriod,,MATCH(F22,MO_Common_ColumnHeader,0)),"Actual","Estimate")</f>
        <v>Actual</v>
      </c>
      <c r="N22" s="183">
        <f ca="1">IFERROR(INDEX(INDIRECT(E22),0,MATCH(F22,MO_Common_ColumnHeader,0)),"N/A")</f>
        <v>68127</v>
      </c>
      <c r="O22" s="171"/>
      <c r="P22" s="189">
        <f t="shared" ref="P22:P30" ca="1" si="12">IF(ISNUMBER(N22),N22-K22,"N/A")</f>
        <v>3127</v>
      </c>
      <c r="Q22" s="190">
        <f t="shared" ref="Q22:Q30" ca="1" si="13">IFERROR(IF(ISNUMBER(N22),(N22-K22)/ABS(K22),"N/A"),"N/A")</f>
        <v>4.810769230769231E-2</v>
      </c>
      <c r="R22" s="171"/>
      <c r="S22" s="184">
        <v>45980</v>
      </c>
      <c r="T22" s="191" t="s">
        <v>622</v>
      </c>
      <c r="U22" s="171"/>
    </row>
    <row r="23" spans="1:21" x14ac:dyDescent="0.3">
      <c r="A23" s="154">
        <v>387</v>
      </c>
      <c r="B23" s="181" t="str">
        <f t="shared" si="10"/>
        <v>Historical</v>
      </c>
      <c r="C23" s="171"/>
      <c r="D23" s="188" t="str">
        <f ca="1">INDEX(INDIRECT(E23),0,COLUMN(MO_Common_Column_A))</f>
        <v>GAAP Gross Margin, %</v>
      </c>
      <c r="E23" s="182" t="s">
        <v>303</v>
      </c>
      <c r="F23" s="181" t="s">
        <v>1278</v>
      </c>
      <c r="G23" s="181"/>
      <c r="H23" s="171"/>
      <c r="I23" s="185">
        <f>74.8%-0.5%</f>
        <v>0.74299999999999999</v>
      </c>
      <c r="J23" s="185">
        <f>74.8%+0.5%</f>
        <v>0.753</v>
      </c>
      <c r="K23" s="185">
        <f t="shared" ref="K23:K30" si="14">AVERAGE(I23:J23)</f>
        <v>0.748</v>
      </c>
      <c r="L23" s="171"/>
      <c r="M23" s="181" t="str">
        <f t="shared" si="11"/>
        <v>Actual</v>
      </c>
      <c r="N23" s="185">
        <f ca="1">IFERROR(INDEX(INDIRECT(E23),0,MATCH(F23,MO_Common_ColumnHeader,0)),"N/A")</f>
        <v>0.74996697344665109</v>
      </c>
      <c r="O23" s="171"/>
      <c r="P23" s="190">
        <f t="shared" ca="1" si="12"/>
        <v>1.966973446651088E-3</v>
      </c>
      <c r="Q23" s="190">
        <f t="shared" ca="1" si="13"/>
        <v>2.629643645255465E-3</v>
      </c>
      <c r="R23" s="171"/>
      <c r="S23" s="184">
        <v>45980</v>
      </c>
      <c r="T23" s="191" t="s">
        <v>622</v>
      </c>
      <c r="U23" s="171"/>
    </row>
    <row r="24" spans="1:21" x14ac:dyDescent="0.3">
      <c r="A24" s="154">
        <v>386</v>
      </c>
      <c r="B24" s="181" t="str">
        <f t="shared" si="10"/>
        <v>Historical</v>
      </c>
      <c r="C24" s="171"/>
      <c r="D24" s="188" t="str">
        <f ca="1">INDEX(INDIRECT(E24),0,COLUMN(MO_Common_Column_A))</f>
        <v>Non-GAAP Gross Margin, %</v>
      </c>
      <c r="E24" s="182" t="s">
        <v>304</v>
      </c>
      <c r="F24" s="181" t="s">
        <v>1278</v>
      </c>
      <c r="G24" s="181"/>
      <c r="H24" s="171"/>
      <c r="I24" s="185">
        <f>75%-0.5%</f>
        <v>0.745</v>
      </c>
      <c r="J24" s="185">
        <f>75%+0.5%</f>
        <v>0.755</v>
      </c>
      <c r="K24" s="185">
        <f t="shared" si="14"/>
        <v>0.75</v>
      </c>
      <c r="L24" s="171"/>
      <c r="M24" s="181" t="str">
        <f t="shared" si="11"/>
        <v>Actual</v>
      </c>
      <c r="N24" s="185">
        <f ca="1">IFERROR(INDEX(INDIRECT(E24),0,MATCH(F24,MO_Common_ColumnHeader,0)),"N/A")</f>
        <v>0.75166967575263843</v>
      </c>
      <c r="O24" s="171"/>
      <c r="P24" s="190">
        <f t="shared" ca="1" si="12"/>
        <v>1.6696757526384332E-3</v>
      </c>
      <c r="Q24" s="190">
        <f t="shared" ca="1" si="13"/>
        <v>2.2262343368512441E-3</v>
      </c>
      <c r="R24" s="171"/>
      <c r="S24" s="184">
        <v>45980</v>
      </c>
      <c r="T24" s="191" t="s">
        <v>622</v>
      </c>
      <c r="U24" s="171"/>
    </row>
    <row r="25" spans="1:21" x14ac:dyDescent="0.3">
      <c r="A25" s="154">
        <v>385</v>
      </c>
      <c r="B25" s="181" t="str">
        <f t="shared" si="10"/>
        <v>Historical</v>
      </c>
      <c r="C25" s="171"/>
      <c r="D25" s="188" t="s">
        <v>305</v>
      </c>
      <c r="E25" s="182"/>
      <c r="F25" s="181" t="s">
        <v>1278</v>
      </c>
      <c r="G25" s="181"/>
      <c r="H25" s="171"/>
      <c r="I25" s="183">
        <v>6700</v>
      </c>
      <c r="J25" s="183">
        <v>6700</v>
      </c>
      <c r="K25" s="183">
        <f t="shared" si="14"/>
        <v>6700</v>
      </c>
      <c r="L25" s="171"/>
      <c r="M25" s="181" t="str">
        <f t="shared" si="11"/>
        <v>Actual</v>
      </c>
      <c r="N25" s="183">
        <f>INDEX(MO_RIS_RD,0,MATCH(F25,MO_Common_ColumnHeader,0))+INDEX(MO_RIS_SGA,0,MATCH(F25,MO_Common_ColumnHeader,0))</f>
        <v>6794</v>
      </c>
      <c r="O25" s="171"/>
      <c r="P25" s="189">
        <f t="shared" si="12"/>
        <v>94</v>
      </c>
      <c r="Q25" s="190">
        <f t="shared" si="13"/>
        <v>1.4029850746268656E-2</v>
      </c>
      <c r="R25" s="171"/>
      <c r="S25" s="184">
        <v>45980</v>
      </c>
      <c r="T25" s="191" t="s">
        <v>622</v>
      </c>
      <c r="U25" s="171"/>
    </row>
    <row r="26" spans="1:21" x14ac:dyDescent="0.3">
      <c r="A26" s="154">
        <v>384</v>
      </c>
      <c r="B26" s="181" t="str">
        <f t="shared" si="10"/>
        <v>Historical</v>
      </c>
      <c r="C26" s="171"/>
      <c r="D26" s="188" t="str">
        <f ca="1">INDEX(INDIRECT(E26),0,COLUMN(MO_Common_Column_A))</f>
        <v>Total Non-GAAP Operating Expenses, mm</v>
      </c>
      <c r="E26" s="182" t="s">
        <v>939</v>
      </c>
      <c r="F26" s="181" t="s">
        <v>1278</v>
      </c>
      <c r="G26" s="181"/>
      <c r="H26" s="171"/>
      <c r="I26" s="183">
        <v>5000</v>
      </c>
      <c r="J26" s="183">
        <v>5000</v>
      </c>
      <c r="K26" s="183">
        <f t="shared" si="14"/>
        <v>5000</v>
      </c>
      <c r="L26" s="171"/>
      <c r="M26" s="181" t="str">
        <f t="shared" si="11"/>
        <v>Actual</v>
      </c>
      <c r="N26" s="183">
        <f ca="1">IFERROR(INDEX(INDIRECT(E26),0,MATCH(F26,MO_Common_ColumnHeader,0)),"N/A")</f>
        <v>5102</v>
      </c>
      <c r="O26" s="171"/>
      <c r="P26" s="189">
        <f t="shared" ca="1" si="12"/>
        <v>102</v>
      </c>
      <c r="Q26" s="190">
        <f t="shared" ca="1" si="13"/>
        <v>2.0400000000000001E-2</v>
      </c>
      <c r="R26" s="171"/>
      <c r="S26" s="184">
        <v>45980</v>
      </c>
      <c r="T26" s="191" t="s">
        <v>622</v>
      </c>
      <c r="U26" s="171"/>
    </row>
    <row r="27" spans="1:21" x14ac:dyDescent="0.3">
      <c r="A27" s="154">
        <v>383</v>
      </c>
      <c r="B27" s="181" t="str">
        <f t="shared" si="10"/>
        <v>Historical</v>
      </c>
      <c r="C27" s="171"/>
      <c r="D27" s="188" t="s">
        <v>307</v>
      </c>
      <c r="E27" s="182"/>
      <c r="F27" s="181" t="s">
        <v>1278</v>
      </c>
      <c r="G27" s="181"/>
      <c r="H27" s="171"/>
      <c r="I27" s="183">
        <v>-500</v>
      </c>
      <c r="J27" s="183">
        <v>-500</v>
      </c>
      <c r="K27" s="183">
        <f t="shared" si="14"/>
        <v>-500</v>
      </c>
      <c r="L27" s="171"/>
      <c r="M27" s="181" t="str">
        <f t="shared" si="11"/>
        <v>Actual</v>
      </c>
      <c r="N27" s="183" t="str">
        <f ca="1">IFERROR(INDEX(INDIRECT(E27),0,MATCH(F27,MO_Common_ColumnHeader,0)),"N/A")</f>
        <v>N/A</v>
      </c>
      <c r="O27" s="171"/>
      <c r="P27" s="189" t="str">
        <f t="shared" ca="1" si="12"/>
        <v>N/A</v>
      </c>
      <c r="Q27" s="190" t="str">
        <f t="shared" ca="1" si="13"/>
        <v>N/A</v>
      </c>
      <c r="R27" s="171"/>
      <c r="S27" s="184">
        <v>45980</v>
      </c>
      <c r="T27" s="191" t="s">
        <v>622</v>
      </c>
      <c r="U27" s="171"/>
    </row>
    <row r="28" spans="1:21" x14ac:dyDescent="0.3">
      <c r="A28" s="154">
        <v>382</v>
      </c>
      <c r="B28" s="181" t="str">
        <f t="shared" si="10"/>
        <v>Historical</v>
      </c>
      <c r="C28" s="171"/>
      <c r="D28" s="188" t="s">
        <v>308</v>
      </c>
      <c r="E28" s="182"/>
      <c r="F28" s="181" t="s">
        <v>1278</v>
      </c>
      <c r="G28" s="181"/>
      <c r="H28" s="171"/>
      <c r="I28" s="183">
        <v>-500</v>
      </c>
      <c r="J28" s="183">
        <v>-500</v>
      </c>
      <c r="K28" s="183">
        <f t="shared" si="14"/>
        <v>-500</v>
      </c>
      <c r="L28" s="171"/>
      <c r="M28" s="181" t="str">
        <f t="shared" si="11"/>
        <v>Actual</v>
      </c>
      <c r="N28" s="183">
        <f>INDEX(MO_RIS_IE_Net_NONGAAP,0,MATCH(F28,MO_Common_ColumnHeader,0))+INDEX(MO_RIS_OI_NONGAAP,0,MATCH(F28,MO_Common_ColumnHeader,0))</f>
        <v>-620</v>
      </c>
      <c r="O28" s="171"/>
      <c r="P28" s="189">
        <f t="shared" si="12"/>
        <v>-120</v>
      </c>
      <c r="Q28" s="190">
        <f t="shared" si="13"/>
        <v>-0.24</v>
      </c>
      <c r="R28" s="171"/>
      <c r="S28" s="184">
        <v>45980</v>
      </c>
      <c r="T28" s="191" t="s">
        <v>622</v>
      </c>
      <c r="U28" s="171"/>
    </row>
    <row r="29" spans="1:21" x14ac:dyDescent="0.3">
      <c r="A29" s="154">
        <v>381</v>
      </c>
      <c r="B29" s="181" t="str">
        <f t="shared" si="10"/>
        <v>Historical</v>
      </c>
      <c r="C29" s="171"/>
      <c r="D29" s="188" t="s">
        <v>309</v>
      </c>
      <c r="E29" s="182" t="s">
        <v>818</v>
      </c>
      <c r="F29" s="181" t="s">
        <v>1278</v>
      </c>
      <c r="G29" s="181"/>
      <c r="H29" s="171"/>
      <c r="I29" s="185">
        <v>0.16</v>
      </c>
      <c r="J29" s="185">
        <v>0.18</v>
      </c>
      <c r="K29" s="185">
        <f t="shared" si="14"/>
        <v>0.16999999999999998</v>
      </c>
      <c r="L29" s="171"/>
      <c r="M29" s="181" t="str">
        <f t="shared" si="11"/>
        <v>Actual</v>
      </c>
      <c r="N29" s="185">
        <f ca="1">IFERROR(INDEX(INDIRECT(E29),0,MATCH(F29,MO_Common_ColumnHeader,0)),"N/A")</f>
        <v>0.14756830763735937</v>
      </c>
      <c r="O29" s="171"/>
      <c r="P29" s="190">
        <f t="shared" ca="1" si="12"/>
        <v>-2.2431692362640615E-2</v>
      </c>
      <c r="Q29" s="190">
        <f t="shared" ca="1" si="13"/>
        <v>-0.13195113154494481</v>
      </c>
      <c r="R29" s="171"/>
      <c r="S29" s="184">
        <v>45980</v>
      </c>
      <c r="T29" s="191" t="s">
        <v>622</v>
      </c>
      <c r="U29" s="171"/>
    </row>
    <row r="30" spans="1:21" x14ac:dyDescent="0.3">
      <c r="A30" s="154">
        <v>380</v>
      </c>
      <c r="B30" s="181" t="str">
        <f t="shared" si="10"/>
        <v>Historical</v>
      </c>
      <c r="C30" s="171"/>
      <c r="D30" s="188" t="str">
        <f ca="1">INDEX(INDIRECT(E30),0,COLUMN(MO_Common_Column_A))</f>
        <v>Non-GAAP Tax Rate</v>
      </c>
      <c r="E30" s="182" t="s">
        <v>310</v>
      </c>
      <c r="F30" s="181" t="s">
        <v>1278</v>
      </c>
      <c r="G30" s="181"/>
      <c r="H30" s="171"/>
      <c r="I30" s="185">
        <v>0.16</v>
      </c>
      <c r="J30" s="185">
        <v>0.18</v>
      </c>
      <c r="K30" s="185">
        <f t="shared" si="14"/>
        <v>0.16999999999999998</v>
      </c>
      <c r="L30" s="171"/>
      <c r="M30" s="181" t="str">
        <f t="shared" si="11"/>
        <v>Actual</v>
      </c>
      <c r="N30" s="185">
        <f ca="1">IFERROR(INDEX(INDIRECT(E30),0,MATCH(F30,MO_Common_ColumnHeader,0)),"N/A")</f>
        <v>0.15355147987245063</v>
      </c>
      <c r="O30" s="171"/>
      <c r="P30" s="190">
        <f t="shared" ca="1" si="12"/>
        <v>-1.6448520127549354E-2</v>
      </c>
      <c r="Q30" s="190">
        <f t="shared" ca="1" si="13"/>
        <v>-9.6756000750290325E-2</v>
      </c>
      <c r="R30" s="171"/>
      <c r="S30" s="184">
        <v>45980</v>
      </c>
      <c r="T30" s="191" t="s">
        <v>622</v>
      </c>
      <c r="U30" s="171"/>
    </row>
    <row r="31" spans="1:21" x14ac:dyDescent="0.3">
      <c r="A31" s="154">
        <v>379</v>
      </c>
      <c r="B31" s="171"/>
      <c r="C31" s="171"/>
      <c r="D31" s="168"/>
      <c r="E31" s="169"/>
      <c r="F31" s="171"/>
      <c r="G31" s="171"/>
      <c r="H31" s="171"/>
      <c r="I31" s="885"/>
      <c r="J31" s="885"/>
      <c r="K31" s="885"/>
      <c r="L31" s="171"/>
      <c r="M31" s="171"/>
      <c r="N31" s="885"/>
      <c r="O31" s="171"/>
      <c r="P31" s="172"/>
      <c r="Q31" s="134"/>
      <c r="R31" s="171"/>
      <c r="S31" s="173"/>
      <c r="T31" s="192"/>
      <c r="U31" s="171"/>
    </row>
    <row r="32" spans="1:21" x14ac:dyDescent="0.3">
      <c r="A32" s="154">
        <v>378</v>
      </c>
      <c r="B32" s="181" t="str">
        <f t="shared" ref="B32:B40" si="15">IF(INDEX(MO_SNA_IsHistoricalPeriod,,MATCH(F32,MO_Common_ColumnHeader,0)),"Historical","Forward")</f>
        <v>Historical</v>
      </c>
      <c r="C32" s="171"/>
      <c r="D32" s="188" t="str">
        <f ca="1">INDEX(INDIRECT(E32),0,COLUMN(MO_Common_Column_A))</f>
        <v>Net Revenue</v>
      </c>
      <c r="E32" s="182" t="s">
        <v>300</v>
      </c>
      <c r="F32" s="181" t="s">
        <v>1274</v>
      </c>
      <c r="G32" s="181"/>
      <c r="H32" s="171"/>
      <c r="I32" s="183">
        <f>54000*0.98</f>
        <v>52920</v>
      </c>
      <c r="J32" s="183">
        <f>54000*1.02</f>
        <v>55080</v>
      </c>
      <c r="K32" s="183">
        <f>AVERAGE(I32:J32)</f>
        <v>54000</v>
      </c>
      <c r="L32" s="171"/>
      <c r="M32" s="181" t="str">
        <f t="shared" ref="M32:M40" si="16">IF(INDEX(MO_SNA_IsHistoricalPeriod,,MATCH(F32,MO_Common_ColumnHeader,0)),"Actual","Estimate")</f>
        <v>Actual</v>
      </c>
      <c r="N32" s="183">
        <f ca="1">IFERROR(INDEX(INDIRECT(E32),0,MATCH(F32,MO_Common_ColumnHeader,0)),"N/A")</f>
        <v>57006</v>
      </c>
      <c r="O32" s="171"/>
      <c r="P32" s="189">
        <f t="shared" ref="P32:P40" ca="1" si="17">IF(ISNUMBER(N32),N32-K32,"N/A")</f>
        <v>3006</v>
      </c>
      <c r="Q32" s="190">
        <f t="shared" ref="Q32:Q40" ca="1" si="18">IFERROR(IF(ISNUMBER(N32),(N32-K32)/ABS(K32),"N/A"),"N/A")</f>
        <v>5.566666666666667E-2</v>
      </c>
      <c r="R32" s="171"/>
      <c r="S32" s="184">
        <v>45896</v>
      </c>
      <c r="T32" s="191" t="s">
        <v>622</v>
      </c>
      <c r="U32" s="171"/>
    </row>
    <row r="33" spans="1:21" x14ac:dyDescent="0.3">
      <c r="A33" s="154">
        <v>377</v>
      </c>
      <c r="B33" s="181" t="str">
        <f t="shared" si="15"/>
        <v>Historical</v>
      </c>
      <c r="C33" s="171"/>
      <c r="D33" s="188" t="str">
        <f ca="1">INDEX(INDIRECT(E33),0,COLUMN(MO_Common_Column_A))</f>
        <v>GAAP Gross Margin, %</v>
      </c>
      <c r="E33" s="182" t="s">
        <v>303</v>
      </c>
      <c r="F33" s="181" t="s">
        <v>1274</v>
      </c>
      <c r="G33" s="181"/>
      <c r="H33" s="171"/>
      <c r="I33" s="185">
        <f>73.3%-0.5%</f>
        <v>0.72799999999999998</v>
      </c>
      <c r="J33" s="185">
        <f>73.3%+0.5%</f>
        <v>0.73799999999999999</v>
      </c>
      <c r="K33" s="185">
        <f t="shared" ref="K33:K40" si="19">AVERAGE(I33:J33)</f>
        <v>0.73299999999999998</v>
      </c>
      <c r="L33" s="171"/>
      <c r="M33" s="181" t="str">
        <f t="shared" si="16"/>
        <v>Actual</v>
      </c>
      <c r="N33" s="185">
        <f ca="1">IFERROR(INDEX(INDIRECT(E33),0,MATCH(F33,MO_Common_ColumnHeader,0)),"N/A")</f>
        <v>0.7341157071185489</v>
      </c>
      <c r="O33" s="171"/>
      <c r="P33" s="190">
        <f t="shared" ca="1" si="17"/>
        <v>1.1157071185489142E-3</v>
      </c>
      <c r="Q33" s="190">
        <f t="shared" ca="1" si="18"/>
        <v>1.5221106665060222E-3</v>
      </c>
      <c r="R33" s="171"/>
      <c r="S33" s="184">
        <v>45896</v>
      </c>
      <c r="T33" s="191" t="s">
        <v>622</v>
      </c>
      <c r="U33" s="171"/>
    </row>
    <row r="34" spans="1:21" x14ac:dyDescent="0.3">
      <c r="A34" s="154">
        <v>376</v>
      </c>
      <c r="B34" s="181" t="str">
        <f t="shared" si="15"/>
        <v>Historical</v>
      </c>
      <c r="C34" s="171"/>
      <c r="D34" s="188" t="str">
        <f ca="1">INDEX(INDIRECT(E34),0,COLUMN(MO_Common_Column_A))</f>
        <v>Non-GAAP Gross Margin, %</v>
      </c>
      <c r="E34" s="182" t="s">
        <v>304</v>
      </c>
      <c r="F34" s="181" t="s">
        <v>1274</v>
      </c>
      <c r="G34" s="181"/>
      <c r="H34" s="171"/>
      <c r="I34" s="185">
        <f>73.5%-0.5%</f>
        <v>0.73</v>
      </c>
      <c r="J34" s="185">
        <f>73.5%+0.5%</f>
        <v>0.74</v>
      </c>
      <c r="K34" s="185">
        <f t="shared" si="19"/>
        <v>0.73499999999999999</v>
      </c>
      <c r="L34" s="171"/>
      <c r="M34" s="181" t="str">
        <f t="shared" si="16"/>
        <v>Actual</v>
      </c>
      <c r="N34" s="185">
        <f ca="1">IFERROR(INDEX(INDIRECT(E34),0,MATCH(F34,MO_Common_ColumnHeader,0)),"N/A")</f>
        <v>0.73618566466687718</v>
      </c>
      <c r="O34" s="171"/>
      <c r="P34" s="190">
        <f t="shared" ca="1" si="17"/>
        <v>1.1856646668771953E-3</v>
      </c>
      <c r="Q34" s="190">
        <f t="shared" ca="1" si="18"/>
        <v>1.6131492066356399E-3</v>
      </c>
      <c r="R34" s="171"/>
      <c r="S34" s="184">
        <v>45896</v>
      </c>
      <c r="T34" s="191" t="s">
        <v>622</v>
      </c>
      <c r="U34" s="171"/>
    </row>
    <row r="35" spans="1:21" x14ac:dyDescent="0.3">
      <c r="A35" s="154">
        <v>375</v>
      </c>
      <c r="B35" s="181" t="str">
        <f t="shared" si="15"/>
        <v>Historical</v>
      </c>
      <c r="C35" s="171"/>
      <c r="D35" s="188" t="s">
        <v>305</v>
      </c>
      <c r="E35" s="182"/>
      <c r="F35" s="181" t="s">
        <v>1274</v>
      </c>
      <c r="G35" s="181"/>
      <c r="H35" s="171"/>
      <c r="I35" s="183">
        <v>5900</v>
      </c>
      <c r="J35" s="183">
        <v>5900</v>
      </c>
      <c r="K35" s="183">
        <f t="shared" si="19"/>
        <v>5900</v>
      </c>
      <c r="L35" s="171"/>
      <c r="M35" s="181" t="str">
        <f t="shared" si="16"/>
        <v>Actual</v>
      </c>
      <c r="N35" s="183">
        <f>INDEX(MO_RIS_RD,0,MATCH(F35,MO_Common_ColumnHeader,0))+INDEX(MO_RIS_SGA,0,MATCH(F35,MO_Common_ColumnHeader,0))</f>
        <v>5839</v>
      </c>
      <c r="O35" s="171"/>
      <c r="P35" s="189">
        <f t="shared" si="17"/>
        <v>-61</v>
      </c>
      <c r="Q35" s="190">
        <f t="shared" si="18"/>
        <v>-1.0338983050847458E-2</v>
      </c>
      <c r="R35" s="171"/>
      <c r="S35" s="184">
        <v>45896</v>
      </c>
      <c r="T35" s="191" t="s">
        <v>622</v>
      </c>
      <c r="U35" s="171"/>
    </row>
    <row r="36" spans="1:21" x14ac:dyDescent="0.3">
      <c r="A36" s="154">
        <v>374</v>
      </c>
      <c r="B36" s="181" t="str">
        <f t="shared" si="15"/>
        <v>Historical</v>
      </c>
      <c r="C36" s="171"/>
      <c r="D36" s="188" t="str">
        <f ca="1">INDEX(INDIRECT(E36),0,COLUMN(MO_Common_Column_A))</f>
        <v>Total Non-GAAP Operating Expenses, mm</v>
      </c>
      <c r="E36" s="182" t="s">
        <v>939</v>
      </c>
      <c r="F36" s="181" t="s">
        <v>1274</v>
      </c>
      <c r="G36" s="181"/>
      <c r="H36" s="171"/>
      <c r="I36" s="183">
        <v>4200</v>
      </c>
      <c r="J36" s="183">
        <v>4200</v>
      </c>
      <c r="K36" s="183">
        <f t="shared" si="19"/>
        <v>4200</v>
      </c>
      <c r="L36" s="171"/>
      <c r="M36" s="181" t="str">
        <f t="shared" si="16"/>
        <v>Actual</v>
      </c>
      <c r="N36" s="183">
        <f ca="1">IFERROR(INDEX(INDIRECT(E36),0,MATCH(F36,MO_Common_ColumnHeader,0)),"N/A")</f>
        <v>4215</v>
      </c>
      <c r="O36" s="171"/>
      <c r="P36" s="189">
        <f t="shared" ca="1" si="17"/>
        <v>15</v>
      </c>
      <c r="Q36" s="190">
        <f t="shared" ca="1" si="18"/>
        <v>3.5714285714285713E-3</v>
      </c>
      <c r="R36" s="171"/>
      <c r="S36" s="184">
        <v>45896</v>
      </c>
      <c r="T36" s="191" t="s">
        <v>622</v>
      </c>
      <c r="U36" s="171"/>
    </row>
    <row r="37" spans="1:21" x14ac:dyDescent="0.3">
      <c r="A37" s="154">
        <v>373</v>
      </c>
      <c r="B37" s="181" t="str">
        <f t="shared" si="15"/>
        <v>Historical</v>
      </c>
      <c r="C37" s="171"/>
      <c r="D37" s="188" t="s">
        <v>307</v>
      </c>
      <c r="E37" s="182"/>
      <c r="F37" s="181" t="s">
        <v>1274</v>
      </c>
      <c r="G37" s="181"/>
      <c r="H37" s="171"/>
      <c r="I37" s="183">
        <v>-500</v>
      </c>
      <c r="J37" s="183">
        <v>-500</v>
      </c>
      <c r="K37" s="183">
        <f t="shared" si="19"/>
        <v>-500</v>
      </c>
      <c r="L37" s="171"/>
      <c r="M37" s="181" t="str">
        <f t="shared" si="16"/>
        <v>Actual</v>
      </c>
      <c r="N37" s="183" t="str">
        <f ca="1">IFERROR(INDEX(INDIRECT(E37),0,MATCH(F37,MO_Common_ColumnHeader,0)),"N/A")</f>
        <v>N/A</v>
      </c>
      <c r="O37" s="171"/>
      <c r="P37" s="189" t="str">
        <f t="shared" ca="1" si="17"/>
        <v>N/A</v>
      </c>
      <c r="Q37" s="190" t="str">
        <f t="shared" ca="1" si="18"/>
        <v>N/A</v>
      </c>
      <c r="R37" s="171"/>
      <c r="S37" s="184">
        <v>45896</v>
      </c>
      <c r="T37" s="191" t="s">
        <v>622</v>
      </c>
      <c r="U37" s="171"/>
    </row>
    <row r="38" spans="1:21" x14ac:dyDescent="0.3">
      <c r="A38" s="154">
        <v>372</v>
      </c>
      <c r="B38" s="181" t="str">
        <f t="shared" si="15"/>
        <v>Historical</v>
      </c>
      <c r="C38" s="171"/>
      <c r="D38" s="188" t="s">
        <v>308</v>
      </c>
      <c r="E38" s="182"/>
      <c r="F38" s="181" t="s">
        <v>1274</v>
      </c>
      <c r="G38" s="181"/>
      <c r="H38" s="171"/>
      <c r="I38" s="183">
        <v>-500</v>
      </c>
      <c r="J38" s="183">
        <v>-500</v>
      </c>
      <c r="K38" s="183">
        <f t="shared" si="19"/>
        <v>-500</v>
      </c>
      <c r="L38" s="171"/>
      <c r="M38" s="181" t="str">
        <f t="shared" si="16"/>
        <v>Actual</v>
      </c>
      <c r="N38" s="183">
        <f>INDEX(MO_RIS_IE_Net_NONGAAP,0,MATCH(F38,MO_Common_ColumnHeader,0))+INDEX(MO_RIS_OI_NONGAAP,0,MATCH(F38,MO_Common_ColumnHeader,0))</f>
        <v>-573</v>
      </c>
      <c r="O38" s="171"/>
      <c r="P38" s="189">
        <f t="shared" si="17"/>
        <v>-73</v>
      </c>
      <c r="Q38" s="190">
        <f t="shared" si="18"/>
        <v>-0.14599999999999999</v>
      </c>
      <c r="R38" s="171"/>
      <c r="S38" s="184">
        <v>45896</v>
      </c>
      <c r="T38" s="191" t="s">
        <v>622</v>
      </c>
      <c r="U38" s="171"/>
    </row>
    <row r="39" spans="1:21" x14ac:dyDescent="0.3">
      <c r="A39" s="154">
        <v>371</v>
      </c>
      <c r="B39" s="181" t="str">
        <f t="shared" si="15"/>
        <v>Historical</v>
      </c>
      <c r="C39" s="171"/>
      <c r="D39" s="188" t="s">
        <v>309</v>
      </c>
      <c r="E39" s="182" t="s">
        <v>818</v>
      </c>
      <c r="F39" s="181" t="s">
        <v>1274</v>
      </c>
      <c r="G39" s="181"/>
      <c r="H39" s="171"/>
      <c r="I39" s="185">
        <v>0.155</v>
      </c>
      <c r="J39" s="185">
        <v>0.17499999999999999</v>
      </c>
      <c r="K39" s="185">
        <f t="shared" si="19"/>
        <v>0.16499999999999998</v>
      </c>
      <c r="L39" s="171"/>
      <c r="M39" s="181" t="str">
        <f t="shared" si="16"/>
        <v>Actual</v>
      </c>
      <c r="N39" s="185">
        <f ca="1">IFERROR(INDEX(INDIRECT(E39),0,MATCH(F39,MO_Common_ColumnHeader,0)),"N/A")</f>
        <v>0.15884647827920709</v>
      </c>
      <c r="O39" s="171"/>
      <c r="P39" s="190">
        <f t="shared" ca="1" si="17"/>
        <v>-6.1535217207928927E-3</v>
      </c>
      <c r="Q39" s="190">
        <f t="shared" ca="1" si="18"/>
        <v>-3.7294071035108442E-2</v>
      </c>
      <c r="R39" s="171"/>
      <c r="S39" s="184">
        <v>45896</v>
      </c>
      <c r="T39" s="191" t="s">
        <v>622</v>
      </c>
      <c r="U39" s="171"/>
    </row>
    <row r="40" spans="1:21" x14ac:dyDescent="0.3">
      <c r="A40" s="154">
        <v>370</v>
      </c>
      <c r="B40" s="181" t="str">
        <f t="shared" si="15"/>
        <v>Historical</v>
      </c>
      <c r="C40" s="171"/>
      <c r="D40" s="188" t="str">
        <f ca="1">INDEX(INDIRECT(E40),0,COLUMN(MO_Common_Column_A))</f>
        <v>Non-GAAP Tax Rate</v>
      </c>
      <c r="E40" s="182" t="s">
        <v>310</v>
      </c>
      <c r="F40" s="181" t="s">
        <v>1274</v>
      </c>
      <c r="G40" s="181"/>
      <c r="H40" s="171"/>
      <c r="I40" s="185">
        <v>0.155</v>
      </c>
      <c r="J40" s="185">
        <v>0.17499999999999999</v>
      </c>
      <c r="K40" s="185">
        <f t="shared" si="19"/>
        <v>0.16499999999999998</v>
      </c>
      <c r="L40" s="171"/>
      <c r="M40" s="181" t="str">
        <f t="shared" si="16"/>
        <v>Actual</v>
      </c>
      <c r="N40" s="185">
        <f ca="1">IFERROR(INDEX(INDIRECT(E40),0,MATCH(F40,MO_Common_ColumnHeader,0)),"N/A")</f>
        <v>0.17111545988258317</v>
      </c>
      <c r="O40" s="171"/>
      <c r="P40" s="190">
        <f t="shared" ca="1" si="17"/>
        <v>6.1154598825831907E-3</v>
      </c>
      <c r="Q40" s="190">
        <f t="shared" ca="1" si="18"/>
        <v>3.7063393227776915E-2</v>
      </c>
      <c r="R40" s="171"/>
      <c r="S40" s="184">
        <v>45896</v>
      </c>
      <c r="T40" s="191" t="s">
        <v>622</v>
      </c>
      <c r="U40" s="171"/>
    </row>
    <row r="41" spans="1:21" x14ac:dyDescent="0.3">
      <c r="A41" s="154">
        <v>369</v>
      </c>
      <c r="B41" s="171"/>
      <c r="C41" s="171"/>
      <c r="D41" s="168"/>
      <c r="E41" s="169"/>
      <c r="F41" s="171"/>
      <c r="G41" s="171"/>
      <c r="H41" s="171"/>
      <c r="I41" s="885"/>
      <c r="J41" s="885"/>
      <c r="K41" s="885"/>
      <c r="L41" s="171"/>
      <c r="M41" s="171"/>
      <c r="N41" s="885"/>
      <c r="O41" s="171"/>
      <c r="P41" s="172"/>
      <c r="Q41" s="134"/>
      <c r="R41" s="171"/>
      <c r="S41" s="173"/>
      <c r="T41" s="192"/>
      <c r="U41" s="171"/>
    </row>
    <row r="42" spans="1:21" x14ac:dyDescent="0.3">
      <c r="A42" s="154">
        <v>368</v>
      </c>
      <c r="B42" s="181" t="str">
        <f t="shared" ref="B42:B50" si="20">IF(INDEX(MO_SNA_IsHistoricalPeriod,,MATCH(F42,MO_Common_ColumnHeader,0)),"Historical","Forward")</f>
        <v>Historical</v>
      </c>
      <c r="C42" s="171"/>
      <c r="D42" s="188" t="str">
        <f ca="1">INDEX(INDIRECT(E42),0,COLUMN(MO_Common_Column_A))</f>
        <v>Net Revenue</v>
      </c>
      <c r="E42" s="182" t="s">
        <v>300</v>
      </c>
      <c r="F42" s="181" t="s">
        <v>1268</v>
      </c>
      <c r="G42" s="181"/>
      <c r="H42" s="171"/>
      <c r="I42" s="183">
        <f>45000*0.98</f>
        <v>44100</v>
      </c>
      <c r="J42" s="183">
        <f>45000*1.02</f>
        <v>45900</v>
      </c>
      <c r="K42" s="183">
        <f>AVERAGE(I42:J42)</f>
        <v>45000</v>
      </c>
      <c r="L42" s="171"/>
      <c r="M42" s="181" t="str">
        <f t="shared" ref="M42:M50" si="21">IF(INDEX(MO_SNA_IsHistoricalPeriod,,MATCH(F42,MO_Common_ColumnHeader,0)),"Actual","Estimate")</f>
        <v>Actual</v>
      </c>
      <c r="N42" s="183">
        <f ca="1">IFERROR(INDEX(INDIRECT(E42),0,MATCH(F42,MO_Common_ColumnHeader,0)),"N/A")</f>
        <v>46743</v>
      </c>
      <c r="O42" s="171"/>
      <c r="P42" s="189">
        <f t="shared" ref="P42:P50" ca="1" si="22">IF(ISNUMBER(N42),N42-K42,"N/A")</f>
        <v>1743</v>
      </c>
      <c r="Q42" s="190">
        <f t="shared" ref="Q42:Q50" ca="1" si="23">IFERROR(IF(ISNUMBER(N42),(N42-K42)/ABS(K42),"N/A"),"N/A")</f>
        <v>3.8733333333333335E-2</v>
      </c>
      <c r="R42" s="171"/>
      <c r="S42" s="184">
        <v>45805</v>
      </c>
      <c r="T42" s="191" t="s">
        <v>622</v>
      </c>
      <c r="U42" s="171"/>
    </row>
    <row r="43" spans="1:21" x14ac:dyDescent="0.3">
      <c r="A43" s="154">
        <v>367</v>
      </c>
      <c r="B43" s="181" t="str">
        <f t="shared" si="20"/>
        <v>Historical</v>
      </c>
      <c r="C43" s="171"/>
      <c r="D43" s="188" t="str">
        <f ca="1">INDEX(INDIRECT(E43),0,COLUMN(MO_Common_Column_A))</f>
        <v>GAAP Gross Margin, %</v>
      </c>
      <c r="E43" s="182" t="s">
        <v>303</v>
      </c>
      <c r="F43" s="181" t="s">
        <v>1268</v>
      </c>
      <c r="G43" s="181"/>
      <c r="H43" s="171"/>
      <c r="I43" s="185">
        <v>0.71299999999999997</v>
      </c>
      <c r="J43" s="185">
        <v>0.72299999999999998</v>
      </c>
      <c r="K43" s="185">
        <f t="shared" ref="K43:K50" si="24">AVERAGE(I43:J43)</f>
        <v>0.71799999999999997</v>
      </c>
      <c r="L43" s="171"/>
      <c r="M43" s="181" t="str">
        <f t="shared" si="21"/>
        <v>Actual</v>
      </c>
      <c r="N43" s="185">
        <f ca="1">IFERROR(INDEX(INDIRECT(E43),0,MATCH(F43,MO_Common_ColumnHeader,0)),"N/A")</f>
        <v>0.72423678411740799</v>
      </c>
      <c r="O43" s="171"/>
      <c r="P43" s="190">
        <f t="shared" ca="1" si="22"/>
        <v>6.236784117408023E-3</v>
      </c>
      <c r="Q43" s="190">
        <f t="shared" ca="1" si="23"/>
        <v>8.6863288543287225E-3</v>
      </c>
      <c r="R43" s="171"/>
      <c r="S43" s="184">
        <v>45805</v>
      </c>
      <c r="T43" s="191" t="s">
        <v>622</v>
      </c>
      <c r="U43" s="171"/>
    </row>
    <row r="44" spans="1:21" x14ac:dyDescent="0.3">
      <c r="A44" s="154">
        <v>366</v>
      </c>
      <c r="B44" s="181" t="str">
        <f t="shared" si="20"/>
        <v>Historical</v>
      </c>
      <c r="C44" s="171"/>
      <c r="D44" s="188" t="str">
        <f ca="1">INDEX(INDIRECT(E44),0,COLUMN(MO_Common_Column_A))</f>
        <v>Non-GAAP Gross Margin, %</v>
      </c>
      <c r="E44" s="182" t="s">
        <v>304</v>
      </c>
      <c r="F44" s="181" t="s">
        <v>1268</v>
      </c>
      <c r="G44" s="181"/>
      <c r="H44" s="171"/>
      <c r="I44" s="185">
        <v>0.71499999999999997</v>
      </c>
      <c r="J44" s="185">
        <v>0.72499999999999998</v>
      </c>
      <c r="K44" s="185">
        <f t="shared" si="24"/>
        <v>0.72</v>
      </c>
      <c r="L44" s="171"/>
      <c r="M44" s="181" t="str">
        <f t="shared" si="21"/>
        <v>Actual</v>
      </c>
      <c r="N44" s="185">
        <f ca="1">IFERROR(INDEX(INDIRECT(E44),0,MATCH(F44,MO_Common_ColumnHeader,0)),"N/A")</f>
        <v>0.72652589692574288</v>
      </c>
      <c r="O44" s="171"/>
      <c r="P44" s="190">
        <f t="shared" ca="1" si="22"/>
        <v>6.5258969257429023E-3</v>
      </c>
      <c r="Q44" s="190">
        <f t="shared" ca="1" si="23"/>
        <v>9.0637457301984761E-3</v>
      </c>
      <c r="R44" s="171"/>
      <c r="S44" s="184">
        <v>45805</v>
      </c>
      <c r="T44" s="191" t="s">
        <v>622</v>
      </c>
      <c r="U44" s="171"/>
    </row>
    <row r="45" spans="1:21" x14ac:dyDescent="0.3">
      <c r="A45" s="154">
        <v>365</v>
      </c>
      <c r="B45" s="181" t="str">
        <f t="shared" si="20"/>
        <v>Historical</v>
      </c>
      <c r="C45" s="171"/>
      <c r="D45" s="188" t="s">
        <v>305</v>
      </c>
      <c r="E45" s="182"/>
      <c r="F45" s="181" t="s">
        <v>1268</v>
      </c>
      <c r="G45" s="181"/>
      <c r="H45" s="171"/>
      <c r="I45" s="183">
        <v>5700</v>
      </c>
      <c r="J45" s="183">
        <v>5700</v>
      </c>
      <c r="K45" s="183">
        <f t="shared" si="24"/>
        <v>5700</v>
      </c>
      <c r="L45" s="171"/>
      <c r="M45" s="181" t="str">
        <f t="shared" si="21"/>
        <v>Actual</v>
      </c>
      <c r="N45" s="183">
        <f>INDEX(MO_RIS_RD,0,MATCH(F45,MO_Common_ColumnHeader,0))+INDEX(MO_RIS_SGA,0,MATCH(F45,MO_Common_ColumnHeader,0))</f>
        <v>5413</v>
      </c>
      <c r="O45" s="171"/>
      <c r="P45" s="189">
        <f t="shared" si="22"/>
        <v>-287</v>
      </c>
      <c r="Q45" s="190">
        <f t="shared" si="23"/>
        <v>-5.0350877192982459E-2</v>
      </c>
      <c r="R45" s="171"/>
      <c r="S45" s="184">
        <v>45805</v>
      </c>
      <c r="T45" s="191" t="s">
        <v>622</v>
      </c>
      <c r="U45" s="171"/>
    </row>
    <row r="46" spans="1:21" x14ac:dyDescent="0.3">
      <c r="A46" s="154">
        <v>364</v>
      </c>
      <c r="B46" s="181" t="str">
        <f t="shared" si="20"/>
        <v>Historical</v>
      </c>
      <c r="C46" s="171"/>
      <c r="D46" s="188" t="str">
        <f ca="1">INDEX(INDIRECT(E46),0,COLUMN(MO_Common_Column_A))</f>
        <v>Total Non-GAAP Operating Expenses, mm</v>
      </c>
      <c r="E46" s="182" t="s">
        <v>939</v>
      </c>
      <c r="F46" s="181" t="s">
        <v>1268</v>
      </c>
      <c r="G46" s="181"/>
      <c r="H46" s="171"/>
      <c r="I46" s="183">
        <v>4000</v>
      </c>
      <c r="J46" s="183">
        <v>4000</v>
      </c>
      <c r="K46" s="183">
        <f t="shared" si="24"/>
        <v>4000</v>
      </c>
      <c r="L46" s="171"/>
      <c r="M46" s="181" t="str">
        <f t="shared" si="21"/>
        <v>Actual</v>
      </c>
      <c r="N46" s="183">
        <f ca="1">IFERROR(INDEX(INDIRECT(E46),0,MATCH(F46,MO_Common_ColumnHeader,0)),"N/A")</f>
        <v>3795</v>
      </c>
      <c r="O46" s="171"/>
      <c r="P46" s="189">
        <f t="shared" ca="1" si="22"/>
        <v>-205</v>
      </c>
      <c r="Q46" s="190">
        <f t="shared" ca="1" si="23"/>
        <v>-5.1249999999999997E-2</v>
      </c>
      <c r="R46" s="171"/>
      <c r="S46" s="184">
        <v>45805</v>
      </c>
      <c r="T46" s="191" t="s">
        <v>622</v>
      </c>
      <c r="U46" s="171"/>
    </row>
    <row r="47" spans="1:21" x14ac:dyDescent="0.3">
      <c r="A47" s="154">
        <v>363</v>
      </c>
      <c r="B47" s="181" t="str">
        <f t="shared" si="20"/>
        <v>Historical</v>
      </c>
      <c r="C47" s="171"/>
      <c r="D47" s="188" t="s">
        <v>307</v>
      </c>
      <c r="E47" s="182"/>
      <c r="F47" s="181" t="s">
        <v>1268</v>
      </c>
      <c r="G47" s="181"/>
      <c r="H47" s="171"/>
      <c r="I47" s="183">
        <v>-450</v>
      </c>
      <c r="J47" s="183">
        <v>-450</v>
      </c>
      <c r="K47" s="183">
        <f t="shared" si="24"/>
        <v>-450</v>
      </c>
      <c r="L47" s="171"/>
      <c r="M47" s="181" t="str">
        <f t="shared" si="21"/>
        <v>Actual</v>
      </c>
      <c r="N47" s="183" t="str">
        <f ca="1">IFERROR(INDEX(INDIRECT(E47),0,MATCH(F47,MO_Common_ColumnHeader,0)),"N/A")</f>
        <v>N/A</v>
      </c>
      <c r="O47" s="171"/>
      <c r="P47" s="189" t="str">
        <f t="shared" ca="1" si="22"/>
        <v>N/A</v>
      </c>
      <c r="Q47" s="190" t="str">
        <f t="shared" ca="1" si="23"/>
        <v>N/A</v>
      </c>
      <c r="R47" s="171"/>
      <c r="S47" s="184">
        <v>45805</v>
      </c>
      <c r="T47" s="191" t="s">
        <v>622</v>
      </c>
      <c r="U47" s="171"/>
    </row>
    <row r="48" spans="1:21" x14ac:dyDescent="0.3">
      <c r="A48" s="154">
        <v>362</v>
      </c>
      <c r="B48" s="181" t="str">
        <f t="shared" si="20"/>
        <v>Historical</v>
      </c>
      <c r="C48" s="171"/>
      <c r="D48" s="188" t="s">
        <v>308</v>
      </c>
      <c r="E48" s="182"/>
      <c r="F48" s="181" t="s">
        <v>1268</v>
      </c>
      <c r="G48" s="181"/>
      <c r="H48" s="171"/>
      <c r="I48" s="183">
        <v>-450</v>
      </c>
      <c r="J48" s="183">
        <v>-450</v>
      </c>
      <c r="K48" s="183">
        <f t="shared" si="24"/>
        <v>-450</v>
      </c>
      <c r="L48" s="171"/>
      <c r="M48" s="181" t="str">
        <f t="shared" si="21"/>
        <v>Actual</v>
      </c>
      <c r="N48" s="183">
        <f>INDEX(MO_RIS_IE_Net_NONGAAP,0,MATCH(F48,MO_Common_ColumnHeader,0))+INDEX(MO_RIS_OI_NONGAAP,0,MATCH(F48,MO_Common_ColumnHeader,0))</f>
        <v>-520</v>
      </c>
      <c r="O48" s="171"/>
      <c r="P48" s="189">
        <f t="shared" si="22"/>
        <v>-70</v>
      </c>
      <c r="Q48" s="190">
        <f t="shared" si="23"/>
        <v>-0.15555555555555556</v>
      </c>
      <c r="R48" s="171"/>
      <c r="S48" s="184">
        <v>45805</v>
      </c>
      <c r="T48" s="191" t="s">
        <v>622</v>
      </c>
      <c r="U48" s="171"/>
    </row>
    <row r="49" spans="1:21" x14ac:dyDescent="0.3">
      <c r="A49" s="154">
        <v>361</v>
      </c>
      <c r="B49" s="181" t="str">
        <f t="shared" si="20"/>
        <v>Historical</v>
      </c>
      <c r="C49" s="171"/>
      <c r="D49" s="188" t="s">
        <v>309</v>
      </c>
      <c r="E49" s="182" t="s">
        <v>818</v>
      </c>
      <c r="F49" s="181" t="s">
        <v>1268</v>
      </c>
      <c r="G49" s="181"/>
      <c r="H49" s="171"/>
      <c r="I49" s="185">
        <v>0.155</v>
      </c>
      <c r="J49" s="185">
        <v>0.17499999999999999</v>
      </c>
      <c r="K49" s="185">
        <f t="shared" si="24"/>
        <v>0.16499999999999998</v>
      </c>
      <c r="L49" s="171"/>
      <c r="M49" s="181" t="str">
        <f t="shared" si="21"/>
        <v>Actual</v>
      </c>
      <c r="N49" s="185">
        <f ca="1">IFERROR(INDEX(INDIRECT(E49),0,MATCH(F49,MO_Common_ColumnHeader,0)),"N/A")</f>
        <v>0.15330385182336731</v>
      </c>
      <c r="O49" s="171"/>
      <c r="P49" s="190">
        <f t="shared" ca="1" si="22"/>
        <v>-1.169614817663267E-2</v>
      </c>
      <c r="Q49" s="190">
        <f t="shared" ca="1" si="23"/>
        <v>-7.0885746525046492E-2</v>
      </c>
      <c r="R49" s="171"/>
      <c r="S49" s="184">
        <v>45805</v>
      </c>
      <c r="T49" s="191" t="s">
        <v>622</v>
      </c>
      <c r="U49" s="171"/>
    </row>
    <row r="50" spans="1:21" x14ac:dyDescent="0.3">
      <c r="A50" s="154">
        <v>360</v>
      </c>
      <c r="B50" s="181" t="str">
        <f t="shared" si="20"/>
        <v>Historical</v>
      </c>
      <c r="C50" s="171"/>
      <c r="D50" s="188" t="str">
        <f ca="1">INDEX(INDIRECT(E50),0,COLUMN(MO_Common_Column_A))</f>
        <v>Non-GAAP Tax Rate</v>
      </c>
      <c r="E50" s="182" t="s">
        <v>310</v>
      </c>
      <c r="F50" s="181" t="s">
        <v>1268</v>
      </c>
      <c r="G50" s="181"/>
      <c r="H50" s="171"/>
      <c r="I50" s="185">
        <v>0.155</v>
      </c>
      <c r="J50" s="185">
        <v>0.17499999999999999</v>
      </c>
      <c r="K50" s="185">
        <f t="shared" si="24"/>
        <v>0.16499999999999998</v>
      </c>
      <c r="L50" s="171"/>
      <c r="M50" s="181" t="str">
        <f t="shared" si="21"/>
        <v>Actual</v>
      </c>
      <c r="N50" s="185">
        <f ca="1">IFERROR(INDEX(INDIRECT(E50),0,MATCH(F50,MO_Common_ColumnHeader,0)),"N/A")</f>
        <v>0.15975232198142414</v>
      </c>
      <c r="O50" s="171"/>
      <c r="P50" s="190">
        <f t="shared" ca="1" si="22"/>
        <v>-5.2476780185758409E-3</v>
      </c>
      <c r="Q50" s="190">
        <f t="shared" ca="1" si="23"/>
        <v>-3.1804109203489951E-2</v>
      </c>
      <c r="R50" s="171"/>
      <c r="S50" s="184">
        <v>45805</v>
      </c>
      <c r="T50" s="191" t="s">
        <v>622</v>
      </c>
      <c r="U50" s="171"/>
    </row>
    <row r="51" spans="1:21" x14ac:dyDescent="0.3">
      <c r="A51" s="154">
        <v>359</v>
      </c>
      <c r="B51" s="171"/>
      <c r="C51" s="171"/>
      <c r="D51" s="168"/>
      <c r="E51" s="169"/>
      <c r="F51" s="171"/>
      <c r="G51" s="171"/>
      <c r="H51" s="171"/>
      <c r="I51" s="885"/>
      <c r="J51" s="885"/>
      <c r="K51" s="885"/>
      <c r="L51" s="171"/>
      <c r="M51" s="171"/>
      <c r="N51" s="885"/>
      <c r="O51" s="171"/>
      <c r="P51" s="172"/>
      <c r="Q51" s="134"/>
      <c r="R51" s="171"/>
      <c r="S51" s="173"/>
      <c r="T51" s="192"/>
      <c r="U51" s="171"/>
    </row>
    <row r="52" spans="1:21" x14ac:dyDescent="0.3">
      <c r="A52" s="154">
        <v>358</v>
      </c>
      <c r="B52" s="181" t="str">
        <f t="shared" ref="B52:B60" si="25">IF(INDEX(MO_SNA_IsHistoricalPeriod,,MATCH(F52,MO_Common_ColumnHeader,0)),"Historical","Forward")</f>
        <v>Historical</v>
      </c>
      <c r="C52" s="171"/>
      <c r="D52" s="188" t="str">
        <f ca="1">INDEX(INDIRECT(E52),0,COLUMN(MO_Common_Column_A))</f>
        <v>Net Revenue</v>
      </c>
      <c r="E52" s="182" t="s">
        <v>300</v>
      </c>
      <c r="F52" s="181" t="s">
        <v>1255</v>
      </c>
      <c r="G52" s="181"/>
      <c r="H52" s="171"/>
      <c r="I52" s="183">
        <f>43000*0.98</f>
        <v>42140</v>
      </c>
      <c r="J52" s="183">
        <f>43000*1.02</f>
        <v>43860</v>
      </c>
      <c r="K52" s="183">
        <f>AVERAGE(I52:J52)</f>
        <v>43000</v>
      </c>
      <c r="L52" s="171"/>
      <c r="M52" s="181" t="str">
        <f t="shared" ref="M52:M60" si="26">IF(INDEX(MO_SNA_IsHistoricalPeriod,,MATCH(F52,MO_Common_ColumnHeader,0)),"Actual","Estimate")</f>
        <v>Actual</v>
      </c>
      <c r="N52" s="183">
        <f ca="1">IFERROR(INDEX(INDIRECT(E52),0,MATCH(F52,MO_Common_ColumnHeader,0)),"N/A")</f>
        <v>44062</v>
      </c>
      <c r="O52" s="171"/>
      <c r="P52" s="189">
        <f t="shared" ref="P52:P60" ca="1" si="27">IF(ISNUMBER(N52),N52-K52,"N/A")</f>
        <v>1062</v>
      </c>
      <c r="Q52" s="190">
        <f t="shared" ref="Q52:Q60" ca="1" si="28">IFERROR(IF(ISNUMBER(N52),(N52-K52)/ABS(K52),"N/A"),"N/A")</f>
        <v>2.469767441860465E-2</v>
      </c>
      <c r="R52" s="171"/>
      <c r="S52" s="184">
        <v>45714</v>
      </c>
      <c r="T52" s="191" t="s">
        <v>622</v>
      </c>
      <c r="U52" s="171"/>
    </row>
    <row r="53" spans="1:21" x14ac:dyDescent="0.3">
      <c r="A53" s="154">
        <v>357</v>
      </c>
      <c r="B53" s="181" t="str">
        <f t="shared" si="25"/>
        <v>Historical</v>
      </c>
      <c r="C53" s="171"/>
      <c r="D53" s="188" t="str">
        <f ca="1">INDEX(INDIRECT(E53),0,COLUMN(MO_Common_Column_A))</f>
        <v>GAAP Gross Margin, %</v>
      </c>
      <c r="E53" s="182" t="s">
        <v>303</v>
      </c>
      <c r="F53" s="181" t="s">
        <v>1255</v>
      </c>
      <c r="G53" s="181"/>
      <c r="H53" s="171"/>
      <c r="I53" s="185">
        <f>70.6%-0.5%</f>
        <v>0.70099999999999996</v>
      </c>
      <c r="J53" s="185">
        <f>70.6%+0.5%</f>
        <v>0.71099999999999997</v>
      </c>
      <c r="K53" s="185">
        <f t="shared" ref="K53:K60" si="29">AVERAGE(I53:J53)</f>
        <v>0.70599999999999996</v>
      </c>
      <c r="L53" s="171"/>
      <c r="M53" s="181" t="str">
        <f t="shared" si="26"/>
        <v>Actual</v>
      </c>
      <c r="N53" s="185">
        <f ca="1">IFERROR(INDEX(INDIRECT(E53),0,MATCH(F53,MO_Common_ColumnHeader,0)),"N/A")</f>
        <v>0.60523807362353055</v>
      </c>
      <c r="O53" s="171"/>
      <c r="P53" s="190">
        <f t="shared" ca="1" si="27"/>
        <v>-0.10076192637646941</v>
      </c>
      <c r="Q53" s="190">
        <f t="shared" ca="1" si="28"/>
        <v>-0.14272227532077822</v>
      </c>
      <c r="R53" s="171"/>
      <c r="S53" s="184">
        <v>45714</v>
      </c>
      <c r="T53" s="191" t="s">
        <v>622</v>
      </c>
      <c r="U53" s="171"/>
    </row>
    <row r="54" spans="1:21" x14ac:dyDescent="0.3">
      <c r="A54" s="154">
        <v>356</v>
      </c>
      <c r="B54" s="181" t="str">
        <f t="shared" si="25"/>
        <v>Historical</v>
      </c>
      <c r="C54" s="171"/>
      <c r="D54" s="188" t="str">
        <f ca="1">INDEX(INDIRECT(E54),0,COLUMN(MO_Common_Column_A))</f>
        <v>Non-GAAP Gross Margin, %</v>
      </c>
      <c r="E54" s="182" t="s">
        <v>304</v>
      </c>
      <c r="F54" s="181" t="s">
        <v>1255</v>
      </c>
      <c r="G54" s="181"/>
      <c r="H54" s="171"/>
      <c r="I54" s="185">
        <f>71%-0.5%</f>
        <v>0.70499999999999996</v>
      </c>
      <c r="J54" s="185">
        <f>71%+0.5%</f>
        <v>0.71499999999999997</v>
      </c>
      <c r="K54" s="185">
        <f t="shared" si="29"/>
        <v>0.71</v>
      </c>
      <c r="L54" s="171"/>
      <c r="M54" s="181" t="str">
        <f t="shared" si="26"/>
        <v>Actual</v>
      </c>
      <c r="N54" s="185">
        <f ca="1">IFERROR(INDEX(INDIRECT(E54),0,MATCH(F54,MO_Common_ColumnHeader,0)),"N/A")</f>
        <v>0.60955017929281463</v>
      </c>
      <c r="O54" s="171"/>
      <c r="P54" s="190">
        <f t="shared" ca="1" si="27"/>
        <v>-0.10044982070718533</v>
      </c>
      <c r="Q54" s="190">
        <f t="shared" ca="1" si="28"/>
        <v>-0.14147862071434555</v>
      </c>
      <c r="R54" s="171"/>
      <c r="S54" s="184">
        <v>45714</v>
      </c>
      <c r="T54" s="191" t="s">
        <v>622</v>
      </c>
      <c r="U54" s="171"/>
    </row>
    <row r="55" spans="1:21" x14ac:dyDescent="0.3">
      <c r="A55" s="154">
        <v>355</v>
      </c>
      <c r="B55" s="181" t="str">
        <f t="shared" si="25"/>
        <v>Historical</v>
      </c>
      <c r="C55" s="171"/>
      <c r="D55" s="188" t="s">
        <v>305</v>
      </c>
      <c r="E55" s="182"/>
      <c r="F55" s="181" t="s">
        <v>1255</v>
      </c>
      <c r="G55" s="181"/>
      <c r="H55" s="171"/>
      <c r="I55" s="183">
        <v>5200</v>
      </c>
      <c r="J55" s="183">
        <v>5200</v>
      </c>
      <c r="K55" s="183">
        <f t="shared" si="29"/>
        <v>5200</v>
      </c>
      <c r="L55" s="171"/>
      <c r="M55" s="181" t="str">
        <f t="shared" si="26"/>
        <v>Actual</v>
      </c>
      <c r="N55" s="183">
        <f>INDEX(MO_RIS_RD,0,MATCH(F55,MO_Common_ColumnHeader,0))+INDEX(MO_RIS_SGA,0,MATCH(F55,MO_Common_ColumnHeader,0))</f>
        <v>5030</v>
      </c>
      <c r="O55" s="171"/>
      <c r="P55" s="189">
        <f t="shared" si="27"/>
        <v>-170</v>
      </c>
      <c r="Q55" s="190">
        <f t="shared" si="28"/>
        <v>-3.2692307692307694E-2</v>
      </c>
      <c r="R55" s="171"/>
      <c r="S55" s="184">
        <v>45714</v>
      </c>
      <c r="T55" s="191" t="s">
        <v>622</v>
      </c>
      <c r="U55" s="171"/>
    </row>
    <row r="56" spans="1:21" x14ac:dyDescent="0.3">
      <c r="A56" s="154">
        <v>354</v>
      </c>
      <c r="B56" s="181" t="str">
        <f t="shared" si="25"/>
        <v>Historical</v>
      </c>
      <c r="C56" s="171"/>
      <c r="D56" s="188" t="str">
        <f ca="1">INDEX(INDIRECT(E56),0,COLUMN(MO_Common_Column_A))</f>
        <v>Total Non-GAAP Operating Expenses, mm</v>
      </c>
      <c r="E56" s="182" t="s">
        <v>939</v>
      </c>
      <c r="F56" s="181" t="s">
        <v>1255</v>
      </c>
      <c r="G56" s="181"/>
      <c r="H56" s="171"/>
      <c r="I56" s="183">
        <v>3600</v>
      </c>
      <c r="J56" s="183">
        <v>3600</v>
      </c>
      <c r="K56" s="183">
        <f t="shared" si="29"/>
        <v>3600</v>
      </c>
      <c r="L56" s="171"/>
      <c r="M56" s="181" t="str">
        <f t="shared" si="26"/>
        <v>Actual</v>
      </c>
      <c r="N56" s="183">
        <f ca="1">IFERROR(INDEX(INDIRECT(E56),0,MATCH(F56,MO_Common_ColumnHeader,0)),"N/A")</f>
        <v>3583</v>
      </c>
      <c r="O56" s="171"/>
      <c r="P56" s="189">
        <f t="shared" ca="1" si="27"/>
        <v>-17</v>
      </c>
      <c r="Q56" s="190">
        <f t="shared" ca="1" si="28"/>
        <v>-4.7222222222222223E-3</v>
      </c>
      <c r="R56" s="171"/>
      <c r="S56" s="184">
        <v>45714</v>
      </c>
      <c r="T56" s="191" t="s">
        <v>622</v>
      </c>
      <c r="U56" s="171"/>
    </row>
    <row r="57" spans="1:21" x14ac:dyDescent="0.3">
      <c r="A57" s="154">
        <v>353</v>
      </c>
      <c r="B57" s="181" t="str">
        <f t="shared" si="25"/>
        <v>Historical</v>
      </c>
      <c r="C57" s="171"/>
      <c r="D57" s="188" t="s">
        <v>307</v>
      </c>
      <c r="E57" s="182"/>
      <c r="F57" s="181" t="s">
        <v>1255</v>
      </c>
      <c r="G57" s="181"/>
      <c r="H57" s="171"/>
      <c r="I57" s="183">
        <v>-400</v>
      </c>
      <c r="J57" s="183">
        <v>-400</v>
      </c>
      <c r="K57" s="183">
        <f t="shared" si="29"/>
        <v>-400</v>
      </c>
      <c r="L57" s="171"/>
      <c r="M57" s="181" t="str">
        <f t="shared" si="26"/>
        <v>Actual</v>
      </c>
      <c r="N57" s="183" t="str">
        <f ca="1">IFERROR(INDEX(INDIRECT(E57),0,MATCH(F57,MO_Common_ColumnHeader,0)),"N/A")</f>
        <v>N/A</v>
      </c>
      <c r="O57" s="171"/>
      <c r="P57" s="189" t="str">
        <f t="shared" ca="1" si="27"/>
        <v>N/A</v>
      </c>
      <c r="Q57" s="190" t="str">
        <f t="shared" ca="1" si="28"/>
        <v>N/A</v>
      </c>
      <c r="R57" s="171"/>
      <c r="S57" s="184">
        <v>45714</v>
      </c>
      <c r="T57" s="191" t="s">
        <v>622</v>
      </c>
      <c r="U57" s="171"/>
    </row>
    <row r="58" spans="1:21" x14ac:dyDescent="0.3">
      <c r="A58" s="154">
        <v>352</v>
      </c>
      <c r="B58" s="181" t="str">
        <f t="shared" si="25"/>
        <v>Historical</v>
      </c>
      <c r="C58" s="171"/>
      <c r="D58" s="188" t="s">
        <v>308</v>
      </c>
      <c r="E58" s="182"/>
      <c r="F58" s="181" t="s">
        <v>1255</v>
      </c>
      <c r="G58" s="181"/>
      <c r="H58" s="171"/>
      <c r="I58" s="183">
        <v>-400</v>
      </c>
      <c r="J58" s="183">
        <v>-400</v>
      </c>
      <c r="K58" s="183">
        <f t="shared" si="29"/>
        <v>-400</v>
      </c>
      <c r="L58" s="171"/>
      <c r="M58" s="181" t="str">
        <f t="shared" si="26"/>
        <v>Actual</v>
      </c>
      <c r="N58" s="183">
        <f>INDEX(MO_RIS_IE_Net_NONGAAP,0,MATCH(F58,MO_Common_ColumnHeader,0))+INDEX(MO_RIS_OI_NONGAAP,0,MATCH(F58,MO_Common_ColumnHeader,0))</f>
        <v>-448</v>
      </c>
      <c r="O58" s="171"/>
      <c r="P58" s="189">
        <f t="shared" si="27"/>
        <v>-48</v>
      </c>
      <c r="Q58" s="190">
        <f t="shared" si="28"/>
        <v>-0.12</v>
      </c>
      <c r="R58" s="171"/>
      <c r="S58" s="184">
        <v>45714</v>
      </c>
      <c r="T58" s="191" t="s">
        <v>622</v>
      </c>
      <c r="U58" s="171"/>
    </row>
    <row r="59" spans="1:21" x14ac:dyDescent="0.3">
      <c r="A59" s="154">
        <v>351</v>
      </c>
      <c r="B59" s="181" t="str">
        <f t="shared" si="25"/>
        <v>Historical</v>
      </c>
      <c r="C59" s="171"/>
      <c r="D59" s="188" t="s">
        <v>309</v>
      </c>
      <c r="E59" s="182" t="s">
        <v>818</v>
      </c>
      <c r="F59" s="181" t="s">
        <v>1255</v>
      </c>
      <c r="G59" s="181"/>
      <c r="H59" s="171"/>
      <c r="I59" s="185">
        <v>0.16</v>
      </c>
      <c r="J59" s="185">
        <v>0.18</v>
      </c>
      <c r="K59" s="185">
        <f t="shared" si="29"/>
        <v>0.16999999999999998</v>
      </c>
      <c r="L59" s="171"/>
      <c r="M59" s="181" t="str">
        <f t="shared" si="26"/>
        <v>Actual</v>
      </c>
      <c r="N59" s="185">
        <f ca="1">IFERROR(INDEX(INDIRECT(E59),0,MATCH(F59,MO_Common_ColumnHeader,0)),"N/A")</f>
        <v>0.1430853491556367</v>
      </c>
      <c r="O59" s="171"/>
      <c r="P59" s="190">
        <f t="shared" ca="1" si="27"/>
        <v>-2.6914650844363286E-2</v>
      </c>
      <c r="Q59" s="190">
        <f t="shared" ca="1" si="28"/>
        <v>-0.15832147555507817</v>
      </c>
      <c r="R59" s="171"/>
      <c r="S59" s="184">
        <v>45714</v>
      </c>
      <c r="T59" s="191" t="s">
        <v>622</v>
      </c>
      <c r="U59" s="171"/>
    </row>
    <row r="60" spans="1:21" x14ac:dyDescent="0.3">
      <c r="A60" s="154">
        <v>350</v>
      </c>
      <c r="B60" s="181" t="str">
        <f t="shared" si="25"/>
        <v>Historical</v>
      </c>
      <c r="C60" s="171"/>
      <c r="D60" s="188" t="str">
        <f ca="1">INDEX(INDIRECT(E60),0,COLUMN(MO_Common_Column_A))</f>
        <v>Non-GAAP Tax Rate</v>
      </c>
      <c r="E60" s="182" t="s">
        <v>310</v>
      </c>
      <c r="F60" s="181" t="s">
        <v>1255</v>
      </c>
      <c r="G60" s="181"/>
      <c r="H60" s="171"/>
      <c r="I60" s="185">
        <v>0.16</v>
      </c>
      <c r="J60" s="185">
        <v>0.18</v>
      </c>
      <c r="K60" s="185">
        <f t="shared" si="29"/>
        <v>0.16999999999999998</v>
      </c>
      <c r="L60" s="171"/>
      <c r="M60" s="181" t="str">
        <f t="shared" si="26"/>
        <v>Actual</v>
      </c>
      <c r="N60" s="185">
        <f ca="1">IFERROR(INDEX(INDIRECT(E60),0,MATCH(F60,MO_Common_ColumnHeader,0)),"N/A")</f>
        <v>0.16140454411330776</v>
      </c>
      <c r="O60" s="171"/>
      <c r="P60" s="190">
        <f t="shared" ca="1" si="27"/>
        <v>-8.5954558866922215E-3</v>
      </c>
      <c r="Q60" s="190">
        <f t="shared" ca="1" si="28"/>
        <v>-5.0561505215836598E-2</v>
      </c>
      <c r="R60" s="171"/>
      <c r="S60" s="184">
        <v>45714</v>
      </c>
      <c r="T60" s="191" t="s">
        <v>622</v>
      </c>
      <c r="U60" s="171"/>
    </row>
    <row r="61" spans="1:21" x14ac:dyDescent="0.3">
      <c r="A61" s="154">
        <v>349</v>
      </c>
      <c r="B61" s="171"/>
      <c r="C61" s="171"/>
      <c r="D61" s="168"/>
      <c r="E61" s="169"/>
      <c r="F61" s="171"/>
      <c r="G61" s="171"/>
      <c r="H61" s="171"/>
      <c r="I61" s="885"/>
      <c r="J61" s="885"/>
      <c r="K61" s="885"/>
      <c r="L61" s="171"/>
      <c r="M61" s="171"/>
      <c r="N61" s="885"/>
      <c r="O61" s="171"/>
      <c r="P61" s="172"/>
      <c r="Q61" s="134"/>
      <c r="R61" s="171"/>
      <c r="S61" s="173"/>
      <c r="T61" s="192"/>
      <c r="U61" s="171"/>
    </row>
    <row r="62" spans="1:21" x14ac:dyDescent="0.3">
      <c r="A62" s="154">
        <v>348</v>
      </c>
      <c r="B62" s="181" t="str">
        <f t="shared" ref="B62:B70" si="30">IF(INDEX(MO_SNA_IsHistoricalPeriod,,MATCH(F62,MO_Common_ColumnHeader,0)),"Historical","Forward")</f>
        <v>Historical</v>
      </c>
      <c r="C62" s="171"/>
      <c r="D62" s="188" t="str">
        <f ca="1">INDEX(INDIRECT(E62),0,COLUMN(MO_Common_Column_A))</f>
        <v>Net Revenue</v>
      </c>
      <c r="E62" s="182" t="s">
        <v>300</v>
      </c>
      <c r="F62" s="181" t="s">
        <v>1250</v>
      </c>
      <c r="G62" s="181"/>
      <c r="H62" s="171"/>
      <c r="I62" s="183">
        <f>37500*(1-2%)</f>
        <v>36750</v>
      </c>
      <c r="J62" s="183">
        <f>37500*(1+2%)</f>
        <v>38250</v>
      </c>
      <c r="K62" s="183">
        <f>AVERAGE(I62:J62)</f>
        <v>37500</v>
      </c>
      <c r="L62" s="171"/>
      <c r="M62" s="181" t="str">
        <f t="shared" ref="M62:M70" si="31">IF(INDEX(MO_SNA_IsHistoricalPeriod,,MATCH(F62,MO_Common_ColumnHeader,0)),"Actual","Estimate")</f>
        <v>Actual</v>
      </c>
      <c r="N62" s="183">
        <f ca="1">IFERROR(INDEX(INDIRECT(E62),0,MATCH(F62,MO_Common_ColumnHeader,0)),"N/A")</f>
        <v>39331</v>
      </c>
      <c r="O62" s="171"/>
      <c r="P62" s="189">
        <f t="shared" ref="P62:P70" ca="1" si="32">IF(ISNUMBER(N62),N62-K62,"N/A")</f>
        <v>1831</v>
      </c>
      <c r="Q62" s="190">
        <f t="shared" ref="Q62:Q70" ca="1" si="33">IFERROR(IF(ISNUMBER(N62),(N62-K62)/ABS(K62),"N/A"),"N/A")</f>
        <v>4.8826666666666664E-2</v>
      </c>
      <c r="R62" s="171"/>
      <c r="S62" s="184">
        <v>45616</v>
      </c>
      <c r="T62" s="191" t="s">
        <v>622</v>
      </c>
      <c r="U62" s="171"/>
    </row>
    <row r="63" spans="1:21" x14ac:dyDescent="0.3">
      <c r="A63" s="154">
        <v>347</v>
      </c>
      <c r="B63" s="181" t="str">
        <f t="shared" si="30"/>
        <v>Historical</v>
      </c>
      <c r="C63" s="171"/>
      <c r="D63" s="188" t="str">
        <f ca="1">INDEX(INDIRECT(E63),0,COLUMN(MO_Common_Column_A))</f>
        <v>GAAP Gross Margin, %</v>
      </c>
      <c r="E63" s="182" t="s">
        <v>303</v>
      </c>
      <c r="F63" s="181" t="s">
        <v>1250</v>
      </c>
      <c r="G63" s="181"/>
      <c r="H63" s="171"/>
      <c r="I63" s="185">
        <v>0.72499999999999998</v>
      </c>
      <c r="J63" s="185">
        <v>0.73499999999999999</v>
      </c>
      <c r="K63" s="185">
        <f t="shared" ref="K63:K70" si="34">AVERAGE(I63:J63)</f>
        <v>0.73</v>
      </c>
      <c r="L63" s="171"/>
      <c r="M63" s="181" t="str">
        <f t="shared" si="31"/>
        <v>Actual</v>
      </c>
      <c r="N63" s="185">
        <f ca="1">IFERROR(INDEX(INDIRECT(E63),0,MATCH(F63,MO_Common_ColumnHeader,0)),"N/A")</f>
        <v>0.73028908494571709</v>
      </c>
      <c r="O63" s="171"/>
      <c r="P63" s="190">
        <f t="shared" ca="1" si="32"/>
        <v>2.8908494571711074E-4</v>
      </c>
      <c r="Q63" s="190">
        <f t="shared" ca="1" si="33"/>
        <v>3.9600677495494621E-4</v>
      </c>
      <c r="R63" s="171"/>
      <c r="S63" s="184">
        <v>45616</v>
      </c>
      <c r="T63" s="191" t="s">
        <v>622</v>
      </c>
      <c r="U63" s="171"/>
    </row>
    <row r="64" spans="1:21" x14ac:dyDescent="0.3">
      <c r="A64" s="154">
        <v>346</v>
      </c>
      <c r="B64" s="181" t="str">
        <f t="shared" si="30"/>
        <v>Historical</v>
      </c>
      <c r="C64" s="171"/>
      <c r="D64" s="188" t="str">
        <f ca="1">INDEX(INDIRECT(E64),0,COLUMN(MO_Common_Column_A))</f>
        <v>Non-GAAP Gross Margin, %</v>
      </c>
      <c r="E64" s="182" t="s">
        <v>304</v>
      </c>
      <c r="F64" s="181" t="s">
        <v>1250</v>
      </c>
      <c r="G64" s="181"/>
      <c r="H64" s="171"/>
      <c r="I64" s="185">
        <v>0.73</v>
      </c>
      <c r="J64" s="185">
        <v>0.74</v>
      </c>
      <c r="K64" s="185">
        <f t="shared" si="34"/>
        <v>0.73499999999999999</v>
      </c>
      <c r="L64" s="171"/>
      <c r="M64" s="181" t="str">
        <f t="shared" si="31"/>
        <v>Actual</v>
      </c>
      <c r="N64" s="185">
        <f ca="1">IFERROR(INDEX(INDIRECT(E64),0,MATCH(F64,MO_Common_ColumnHeader,0)),"N/A")</f>
        <v>0.73463680048816449</v>
      </c>
      <c r="O64" s="171"/>
      <c r="P64" s="190">
        <f t="shared" ca="1" si="32"/>
        <v>-3.6319951183549914E-4</v>
      </c>
      <c r="Q64" s="190">
        <f t="shared" ca="1" si="33"/>
        <v>-4.9414899569455667E-4</v>
      </c>
      <c r="R64" s="171"/>
      <c r="S64" s="184">
        <v>45616</v>
      </c>
      <c r="T64" s="191" t="s">
        <v>622</v>
      </c>
      <c r="U64" s="171"/>
    </row>
    <row r="65" spans="1:21" x14ac:dyDescent="0.3">
      <c r="A65" s="154">
        <v>345</v>
      </c>
      <c r="B65" s="181" t="str">
        <f t="shared" si="30"/>
        <v>Historical</v>
      </c>
      <c r="C65" s="171"/>
      <c r="D65" s="188" t="s">
        <v>305</v>
      </c>
      <c r="E65" s="182"/>
      <c r="F65" s="181" t="s">
        <v>1250</v>
      </c>
      <c r="G65" s="181"/>
      <c r="H65" s="171"/>
      <c r="I65" s="183">
        <v>4750</v>
      </c>
      <c r="J65" s="183">
        <v>4750</v>
      </c>
      <c r="K65" s="183">
        <f t="shared" si="34"/>
        <v>4750</v>
      </c>
      <c r="L65" s="171"/>
      <c r="M65" s="181" t="str">
        <f t="shared" si="31"/>
        <v>Actual</v>
      </c>
      <c r="N65" s="183">
        <f>INDEX(MO_RIS_RD,0,MATCH(F65,MO_Common_ColumnHeader,0))+INDEX(MO_RIS_SGA,0,MATCH(F65,MO_Common_ColumnHeader,0))</f>
        <v>4689</v>
      </c>
      <c r="O65" s="171"/>
      <c r="P65" s="189">
        <f t="shared" si="32"/>
        <v>-61</v>
      </c>
      <c r="Q65" s="190">
        <f t="shared" si="33"/>
        <v>-1.2842105263157894E-2</v>
      </c>
      <c r="R65" s="171"/>
      <c r="S65" s="184">
        <v>45616</v>
      </c>
      <c r="T65" s="191" t="s">
        <v>622</v>
      </c>
      <c r="U65" s="171"/>
    </row>
    <row r="66" spans="1:21" x14ac:dyDescent="0.3">
      <c r="A66" s="154">
        <v>344</v>
      </c>
      <c r="B66" s="181" t="str">
        <f t="shared" si="30"/>
        <v>Historical</v>
      </c>
      <c r="C66" s="171"/>
      <c r="D66" s="188" t="str">
        <f ca="1">INDEX(INDIRECT(E66),0,COLUMN(MO_Common_Column_A))</f>
        <v>Total Non-GAAP Operating Expenses, mm</v>
      </c>
      <c r="E66" s="182" t="s">
        <v>939</v>
      </c>
      <c r="F66" s="181" t="s">
        <v>1250</v>
      </c>
      <c r="G66" s="181"/>
      <c r="H66" s="171"/>
      <c r="I66" s="183">
        <v>3400</v>
      </c>
      <c r="J66" s="183">
        <v>3400</v>
      </c>
      <c r="K66" s="183">
        <f t="shared" si="34"/>
        <v>3400</v>
      </c>
      <c r="L66" s="171"/>
      <c r="M66" s="181" t="str">
        <f t="shared" si="31"/>
        <v>Actual</v>
      </c>
      <c r="N66" s="183">
        <f ca="1">IFERROR(INDEX(INDIRECT(E66),0,MATCH(F66,MO_Common_ColumnHeader,0)),"N/A")</f>
        <v>3378</v>
      </c>
      <c r="O66" s="171"/>
      <c r="P66" s="189">
        <f t="shared" ca="1" si="32"/>
        <v>-22</v>
      </c>
      <c r="Q66" s="190">
        <f t="shared" ca="1" si="33"/>
        <v>-6.4705882352941177E-3</v>
      </c>
      <c r="R66" s="171"/>
      <c r="S66" s="184">
        <v>45616</v>
      </c>
      <c r="T66" s="191" t="s">
        <v>622</v>
      </c>
      <c r="U66" s="171"/>
    </row>
    <row r="67" spans="1:21" x14ac:dyDescent="0.3">
      <c r="A67" s="154">
        <v>343</v>
      </c>
      <c r="B67" s="181" t="str">
        <f t="shared" si="30"/>
        <v>Historical</v>
      </c>
      <c r="C67" s="171"/>
      <c r="D67" s="188" t="s">
        <v>307</v>
      </c>
      <c r="E67" s="182"/>
      <c r="F67" s="181" t="s">
        <v>1250</v>
      </c>
      <c r="G67" s="181"/>
      <c r="H67" s="171"/>
      <c r="I67" s="183">
        <v>-400</v>
      </c>
      <c r="J67" s="183">
        <v>-400</v>
      </c>
      <c r="K67" s="183">
        <f t="shared" si="34"/>
        <v>-400</v>
      </c>
      <c r="L67" s="171"/>
      <c r="M67" s="181" t="str">
        <f t="shared" si="31"/>
        <v>Actual</v>
      </c>
      <c r="N67" s="183" t="str">
        <f ca="1">IFERROR(INDEX(INDIRECT(E67),0,MATCH(F67,MO_Common_ColumnHeader,0)),"N/A")</f>
        <v>N/A</v>
      </c>
      <c r="O67" s="171"/>
      <c r="P67" s="189" t="str">
        <f t="shared" ca="1" si="32"/>
        <v>N/A</v>
      </c>
      <c r="Q67" s="190" t="str">
        <f t="shared" ca="1" si="33"/>
        <v>N/A</v>
      </c>
      <c r="R67" s="171"/>
      <c r="S67" s="184">
        <v>45616</v>
      </c>
      <c r="T67" s="191" t="s">
        <v>622</v>
      </c>
      <c r="U67" s="171"/>
    </row>
    <row r="68" spans="1:21" x14ac:dyDescent="0.3">
      <c r="A68" s="154">
        <v>342</v>
      </c>
      <c r="B68" s="181" t="str">
        <f t="shared" si="30"/>
        <v>Historical</v>
      </c>
      <c r="C68" s="171"/>
      <c r="D68" s="188" t="s">
        <v>308</v>
      </c>
      <c r="E68" s="182"/>
      <c r="F68" s="181" t="s">
        <v>1250</v>
      </c>
      <c r="G68" s="181"/>
      <c r="H68" s="171"/>
      <c r="I68" s="183">
        <v>-400</v>
      </c>
      <c r="J68" s="183">
        <v>-400</v>
      </c>
      <c r="K68" s="183">
        <f t="shared" si="34"/>
        <v>-400</v>
      </c>
      <c r="L68" s="171"/>
      <c r="M68" s="181" t="str">
        <f t="shared" si="31"/>
        <v>Actual</v>
      </c>
      <c r="N68" s="183">
        <f>INDEX(MO_RIS_IE_Net_NONGAAP,0,MATCH(F68,MO_Common_ColumnHeader,0))+INDEX(MO_RIS_OI_NONGAAP,0,MATCH(F68,MO_Common_ColumnHeader,0))</f>
        <v>-457</v>
      </c>
      <c r="O68" s="171"/>
      <c r="P68" s="189">
        <f t="shared" si="32"/>
        <v>-57</v>
      </c>
      <c r="Q68" s="190">
        <f t="shared" si="33"/>
        <v>-0.14249999999999999</v>
      </c>
      <c r="R68" s="171"/>
      <c r="S68" s="184">
        <v>45616</v>
      </c>
      <c r="T68" s="191" t="s">
        <v>622</v>
      </c>
      <c r="U68" s="171"/>
    </row>
    <row r="69" spans="1:21" x14ac:dyDescent="0.3">
      <c r="A69" s="154">
        <v>341</v>
      </c>
      <c r="B69" s="181" t="str">
        <f t="shared" si="30"/>
        <v>Historical</v>
      </c>
      <c r="C69" s="171"/>
      <c r="D69" s="188" t="s">
        <v>309</v>
      </c>
      <c r="E69" s="182" t="s">
        <v>818</v>
      </c>
      <c r="F69" s="181" t="s">
        <v>1250</v>
      </c>
      <c r="G69" s="181"/>
      <c r="H69" s="171"/>
      <c r="I69" s="185">
        <v>0.155</v>
      </c>
      <c r="J69" s="185">
        <v>0.17499999999999999</v>
      </c>
      <c r="K69" s="185">
        <f t="shared" si="34"/>
        <v>0.16499999999999998</v>
      </c>
      <c r="L69" s="171"/>
      <c r="M69" s="181" t="str">
        <f t="shared" si="31"/>
        <v>Actual</v>
      </c>
      <c r="N69" s="185">
        <f ca="1">IFERROR(INDEX(INDIRECT(E69),0,MATCH(F69,MO_Common_ColumnHeader,0)),"N/A")</f>
        <v>0.1239639925447119</v>
      </c>
      <c r="O69" s="171"/>
      <c r="P69" s="190">
        <f t="shared" ca="1" si="32"/>
        <v>-4.1036007455288084E-2</v>
      </c>
      <c r="Q69" s="190">
        <f t="shared" ca="1" si="33"/>
        <v>-0.24870307548659448</v>
      </c>
      <c r="R69" s="171"/>
      <c r="S69" s="184">
        <v>45616</v>
      </c>
      <c r="T69" s="191" t="s">
        <v>622</v>
      </c>
      <c r="U69" s="171"/>
    </row>
    <row r="70" spans="1:21" x14ac:dyDescent="0.3">
      <c r="A70" s="154">
        <v>340</v>
      </c>
      <c r="B70" s="181" t="str">
        <f t="shared" si="30"/>
        <v>Historical</v>
      </c>
      <c r="C70" s="171"/>
      <c r="D70" s="188" t="str">
        <f ca="1">INDEX(INDIRECT(E70),0,COLUMN(MO_Common_Column_A))</f>
        <v>Non-GAAP Tax Rate</v>
      </c>
      <c r="E70" s="182" t="s">
        <v>310</v>
      </c>
      <c r="F70" s="181" t="s">
        <v>1250</v>
      </c>
      <c r="G70" s="181"/>
      <c r="H70" s="171"/>
      <c r="I70" s="185">
        <v>0.155</v>
      </c>
      <c r="J70" s="185">
        <v>0.17499999999999999</v>
      </c>
      <c r="K70" s="185">
        <f t="shared" si="34"/>
        <v>0.16499999999999998</v>
      </c>
      <c r="L70" s="171"/>
      <c r="M70" s="181" t="str">
        <f t="shared" si="31"/>
        <v>Actual</v>
      </c>
      <c r="N70" s="185">
        <f ca="1">IFERROR(INDEX(INDIRECT(E70),0,MATCH(F70,MO_Common_ColumnHeader,0)),"N/A")</f>
        <v>0.15042544180495129</v>
      </c>
      <c r="O70" s="171"/>
      <c r="P70" s="190">
        <f t="shared" ca="1" si="32"/>
        <v>-1.4574558195048687E-2</v>
      </c>
      <c r="Q70" s="190">
        <f t="shared" ca="1" si="33"/>
        <v>-8.8330655727567806E-2</v>
      </c>
      <c r="R70" s="171"/>
      <c r="S70" s="184">
        <v>45616</v>
      </c>
      <c r="T70" s="191" t="s">
        <v>622</v>
      </c>
      <c r="U70" s="171"/>
    </row>
    <row r="71" spans="1:21" x14ac:dyDescent="0.3">
      <c r="A71" s="154">
        <v>339</v>
      </c>
      <c r="B71" s="171"/>
      <c r="C71" s="171"/>
      <c r="D71" s="168"/>
      <c r="E71" s="169"/>
      <c r="F71" s="171"/>
      <c r="G71" s="171"/>
      <c r="H71" s="171"/>
      <c r="I71" s="885"/>
      <c r="J71" s="885"/>
      <c r="K71" s="885"/>
      <c r="L71" s="171"/>
      <c r="M71" s="171"/>
      <c r="N71" s="885"/>
      <c r="O71" s="171"/>
      <c r="P71" s="172"/>
      <c r="Q71" s="134"/>
      <c r="R71" s="171"/>
      <c r="S71" s="173"/>
      <c r="T71" s="192"/>
      <c r="U71" s="171"/>
    </row>
    <row r="72" spans="1:21" x14ac:dyDescent="0.3">
      <c r="A72" s="154">
        <v>338</v>
      </c>
      <c r="B72" s="181" t="str">
        <f t="shared" ref="B72:B75" si="35">IF(INDEX(MO_SNA_IsHistoricalPeriod,,MATCH(F72,MO_Common_ColumnHeader,0)),"Historical","Forward")</f>
        <v>Historical</v>
      </c>
      <c r="C72" s="171"/>
      <c r="D72" s="188" t="str">
        <f ca="1">INDEX(INDIRECT(E72),0,COLUMN(MO_Common_Column_A))</f>
        <v>GAAP Gross Margin, %</v>
      </c>
      <c r="E72" s="182" t="s">
        <v>303</v>
      </c>
      <c r="F72" s="181" t="s">
        <v>1243</v>
      </c>
      <c r="G72" s="181"/>
      <c r="H72" s="171"/>
      <c r="I72" s="185">
        <v>0.74</v>
      </c>
      <c r="J72" s="185">
        <v>0.76</v>
      </c>
      <c r="K72" s="185">
        <f t="shared" ref="K72:K75" si="36">AVERAGE(I72:J72)</f>
        <v>0.75</v>
      </c>
      <c r="L72" s="171"/>
      <c r="M72" s="181" t="str">
        <f t="shared" ref="M72:M75" si="37">IF(INDEX(MO_SNA_IsHistoricalPeriod,,MATCH(F72,MO_Common_ColumnHeader,0)),"Actual","Estimate")</f>
        <v>Actual</v>
      </c>
      <c r="N72" s="185">
        <f ca="1">IFERROR(INDEX(INDIRECT(E72),0,MATCH(F72,MO_Common_ColumnHeader,0)),"N/A")</f>
        <v>0.74988697058169917</v>
      </c>
      <c r="O72" s="171"/>
      <c r="P72" s="190">
        <f t="shared" ref="P72:P75" ca="1" si="38">IF(ISNUMBER(N72),N72-K72,"N/A")</f>
        <v>-1.1302941830082514E-4</v>
      </c>
      <c r="Q72" s="190">
        <f t="shared" ref="Q72:Q75" ca="1" si="39">IFERROR(IF(ISNUMBER(N72),(N72-K72)/ABS(K72),"N/A"),"N/A")</f>
        <v>-1.5070589106776686E-4</v>
      </c>
      <c r="R72" s="171"/>
      <c r="S72" s="184">
        <v>45532</v>
      </c>
      <c r="T72" s="191" t="s">
        <v>622</v>
      </c>
      <c r="U72" s="171"/>
    </row>
    <row r="73" spans="1:21" x14ac:dyDescent="0.3">
      <c r="A73" s="154">
        <v>337</v>
      </c>
      <c r="B73" s="181" t="str">
        <f t="shared" si="35"/>
        <v>Historical</v>
      </c>
      <c r="C73" s="171"/>
      <c r="D73" s="188" t="str">
        <f ca="1">INDEX(INDIRECT(E73),0,COLUMN(MO_Common_Column_A))</f>
        <v>Non-GAAP Gross Margin, %</v>
      </c>
      <c r="E73" s="182" t="s">
        <v>304</v>
      </c>
      <c r="F73" s="181" t="s">
        <v>1243</v>
      </c>
      <c r="G73" s="181"/>
      <c r="H73" s="171"/>
      <c r="I73" s="185">
        <v>0.74</v>
      </c>
      <c r="J73" s="185">
        <v>0.76</v>
      </c>
      <c r="K73" s="185">
        <f t="shared" si="36"/>
        <v>0.75</v>
      </c>
      <c r="L73" s="171"/>
      <c r="M73" s="181" t="str">
        <f t="shared" si="37"/>
        <v>Actual</v>
      </c>
      <c r="N73" s="185">
        <f ca="1">IFERROR(INDEX(INDIRECT(E73),0,MATCH(F73,MO_Common_ColumnHeader,0)),"N/A")</f>
        <v>0.75484493896411409</v>
      </c>
      <c r="O73" s="171"/>
      <c r="P73" s="190">
        <f t="shared" ca="1" si="38"/>
        <v>4.8449389641140872E-3</v>
      </c>
      <c r="Q73" s="190">
        <f t="shared" ca="1" si="39"/>
        <v>6.4599186188187829E-3</v>
      </c>
      <c r="R73" s="171"/>
      <c r="S73" s="184">
        <v>45532</v>
      </c>
      <c r="T73" s="191" t="s">
        <v>622</v>
      </c>
      <c r="U73" s="171"/>
    </row>
    <row r="74" spans="1:21" x14ac:dyDescent="0.3">
      <c r="A74" s="154">
        <v>336</v>
      </c>
      <c r="B74" s="181" t="str">
        <f t="shared" si="35"/>
        <v>Historical</v>
      </c>
      <c r="C74" s="171"/>
      <c r="D74" s="188" t="s">
        <v>305</v>
      </c>
      <c r="E74" s="182"/>
      <c r="F74" s="181" t="s">
        <v>1243</v>
      </c>
      <c r="G74" s="181" t="s">
        <v>868</v>
      </c>
      <c r="H74" s="171"/>
      <c r="I74" s="185">
        <v>0.44</v>
      </c>
      <c r="J74" s="185">
        <v>0.49</v>
      </c>
      <c r="K74" s="185">
        <f t="shared" si="36"/>
        <v>0.46499999999999997</v>
      </c>
      <c r="L74" s="171"/>
      <c r="M74" s="181" t="str">
        <f t="shared" si="37"/>
        <v>Actual</v>
      </c>
      <c r="N74" s="185">
        <f>(INDEX(MO_RIS_RD,0,MATCH(F74,MO_Common_ColumnHeader,0))+INDEX(MO_RIS_SGA,0,MATCH(F74,MO_Common_ColumnHeader,0)))/(INDEX(MO_RIS_RD,0,MATCH(G74,MO_Common_ColumnHeader,0))+INDEX(MO_RIS_SGA,0,MATCH(G74,MO_Common_ColumnHeader,0)))-1</f>
        <v>0.44805366757878007</v>
      </c>
      <c r="O74" s="171"/>
      <c r="P74" s="190">
        <f t="shared" si="38"/>
        <v>-1.6946332421219901E-2</v>
      </c>
      <c r="Q74" s="190">
        <f t="shared" si="39"/>
        <v>-3.6443725637032048E-2</v>
      </c>
      <c r="R74" s="171"/>
      <c r="S74" s="184">
        <v>45532</v>
      </c>
      <c r="T74" s="191" t="s">
        <v>622</v>
      </c>
      <c r="U74" s="171"/>
    </row>
    <row r="75" spans="1:21" x14ac:dyDescent="0.3">
      <c r="A75" s="154">
        <v>335</v>
      </c>
      <c r="B75" s="181" t="str">
        <f t="shared" si="35"/>
        <v>Historical</v>
      </c>
      <c r="C75" s="171"/>
      <c r="D75" s="188" t="str">
        <f ca="1">INDEX(INDIRECT(E75),0,COLUMN(MO_Common_Column_A))</f>
        <v>Total Non-GAAP Operating Expenses, mm</v>
      </c>
      <c r="E75" s="182" t="s">
        <v>939</v>
      </c>
      <c r="F75" s="181" t="s">
        <v>1243</v>
      </c>
      <c r="G75" s="181" t="s">
        <v>868</v>
      </c>
      <c r="H75" s="171"/>
      <c r="I75" s="185">
        <v>0.44</v>
      </c>
      <c r="J75" s="185">
        <v>0.49</v>
      </c>
      <c r="K75" s="185">
        <f t="shared" si="36"/>
        <v>0.46499999999999997</v>
      </c>
      <c r="L75" s="171"/>
      <c r="M75" s="181" t="str">
        <f t="shared" si="37"/>
        <v>Actual</v>
      </c>
      <c r="N75" s="185">
        <f>(INDEX(MO_RIS_RD,0,MATCH(F75,MO_Common_ColumnHeader,0))+INDEX(MO_RIS_SGA,0,MATCH(F75,MO_Common_ColumnHeader,0)))/(INDEX(MO_RIS_RD,0,MATCH(G75,MO_Common_ColumnHeader,0))+INDEX(MO_RIS_SGA,0,MATCH(G75,MO_Common_ColumnHeader,0)))-1</f>
        <v>0.44805366757878007</v>
      </c>
      <c r="O75" s="171"/>
      <c r="P75" s="190">
        <f t="shared" si="38"/>
        <v>-1.6946332421219901E-2</v>
      </c>
      <c r="Q75" s="190">
        <f t="shared" si="39"/>
        <v>-3.6443725637032048E-2</v>
      </c>
      <c r="R75" s="171"/>
      <c r="S75" s="184">
        <v>45532</v>
      </c>
      <c r="T75" s="191" t="s">
        <v>622</v>
      </c>
      <c r="U75" s="171"/>
    </row>
    <row r="76" spans="1:21" x14ac:dyDescent="0.3">
      <c r="A76" s="154">
        <v>334</v>
      </c>
      <c r="B76" s="171"/>
      <c r="C76" s="171"/>
      <c r="D76" s="168"/>
      <c r="E76" s="169"/>
      <c r="F76" s="171"/>
      <c r="G76" s="171"/>
      <c r="H76" s="171"/>
      <c r="I76" s="885"/>
      <c r="J76" s="885"/>
      <c r="K76" s="885"/>
      <c r="L76" s="171"/>
      <c r="M76" s="171"/>
      <c r="N76" s="885"/>
      <c r="O76" s="171"/>
      <c r="P76" s="172"/>
      <c r="Q76" s="134"/>
      <c r="R76" s="171"/>
      <c r="S76" s="173"/>
      <c r="T76" s="192"/>
      <c r="U76" s="171"/>
    </row>
    <row r="77" spans="1:21" x14ac:dyDescent="0.3">
      <c r="A77" s="154">
        <v>333</v>
      </c>
      <c r="B77" s="181" t="str">
        <f t="shared" ref="B77:B85" si="40">IF(INDEX(MO_SNA_IsHistoricalPeriod,,MATCH(F77,MO_Common_ColumnHeader,0)),"Historical","Forward")</f>
        <v>Historical</v>
      </c>
      <c r="C77" s="171"/>
      <c r="D77" s="188" t="str">
        <f ca="1">INDEX(INDIRECT(E77),0,COLUMN(MO_Common_Column_A))</f>
        <v>Net Revenue</v>
      </c>
      <c r="E77" s="182" t="s">
        <v>300</v>
      </c>
      <c r="F77" s="181" t="s">
        <v>1248</v>
      </c>
      <c r="G77" s="181"/>
      <c r="H77" s="171"/>
      <c r="I77" s="183">
        <v>31850</v>
      </c>
      <c r="J77" s="183">
        <v>33150</v>
      </c>
      <c r="K77" s="183">
        <f>AVERAGE(I77:J77)</f>
        <v>32500</v>
      </c>
      <c r="L77" s="171"/>
      <c r="M77" s="181" t="str">
        <f t="shared" ref="M77:M85" si="41">IF(INDEX(MO_SNA_IsHistoricalPeriod,,MATCH(F77,MO_Common_ColumnHeader,0)),"Actual","Estimate")</f>
        <v>Actual</v>
      </c>
      <c r="N77" s="183">
        <f ca="1">IFERROR(INDEX(INDIRECT(E77),0,MATCH(F77,MO_Common_ColumnHeader,0)),"N/A")</f>
        <v>35082</v>
      </c>
      <c r="O77" s="171"/>
      <c r="P77" s="189">
        <f t="shared" ref="P77:P85" ca="1" si="42">IF(ISNUMBER(N77),N77-K77,"N/A")</f>
        <v>2582</v>
      </c>
      <c r="Q77" s="190">
        <f t="shared" ref="Q77:Q85" ca="1" si="43">IFERROR(IF(ISNUMBER(N77),(N77-K77)/ABS(K77),"N/A"),"N/A")</f>
        <v>7.9446153846153847E-2</v>
      </c>
      <c r="R77" s="171"/>
      <c r="S77" s="184">
        <v>45532</v>
      </c>
      <c r="T77" s="191" t="s">
        <v>622</v>
      </c>
      <c r="U77" s="171"/>
    </row>
    <row r="78" spans="1:21" x14ac:dyDescent="0.3">
      <c r="A78" s="154">
        <v>332</v>
      </c>
      <c r="B78" s="181" t="str">
        <f t="shared" si="40"/>
        <v>Historical</v>
      </c>
      <c r="C78" s="171"/>
      <c r="D78" s="188" t="str">
        <f ca="1">INDEX(INDIRECT(E78),0,COLUMN(MO_Common_Column_A))</f>
        <v>GAAP Gross Margin, %</v>
      </c>
      <c r="E78" s="182" t="s">
        <v>303</v>
      </c>
      <c r="F78" s="181" t="s">
        <v>1248</v>
      </c>
      <c r="G78" s="181"/>
      <c r="H78" s="171"/>
      <c r="I78" s="185">
        <v>0.7390000000000001</v>
      </c>
      <c r="J78" s="185">
        <v>0.74900000000000011</v>
      </c>
      <c r="K78" s="185">
        <f t="shared" ref="K78:K85" si="44">AVERAGE(I78:J78)</f>
        <v>0.74400000000000011</v>
      </c>
      <c r="L78" s="171"/>
      <c r="M78" s="181" t="str">
        <f t="shared" si="41"/>
        <v>Actual</v>
      </c>
      <c r="N78" s="185">
        <f ca="1">IFERROR(INDEX(INDIRECT(E78),0,MATCH(F78,MO_Common_ColumnHeader,0)),"N/A")</f>
        <v>0.74556752750698363</v>
      </c>
      <c r="O78" s="171"/>
      <c r="P78" s="190">
        <f t="shared" ca="1" si="42"/>
        <v>1.5675275069835237E-3</v>
      </c>
      <c r="Q78" s="190">
        <f t="shared" ca="1" si="43"/>
        <v>2.1068918104617251E-3</v>
      </c>
      <c r="R78" s="171"/>
      <c r="S78" s="184">
        <v>45532</v>
      </c>
      <c r="T78" s="191" t="s">
        <v>622</v>
      </c>
      <c r="U78" s="171"/>
    </row>
    <row r="79" spans="1:21" x14ac:dyDescent="0.3">
      <c r="A79" s="154">
        <v>331</v>
      </c>
      <c r="B79" s="181" t="str">
        <f t="shared" si="40"/>
        <v>Historical</v>
      </c>
      <c r="C79" s="171"/>
      <c r="D79" s="188" t="str">
        <f ca="1">INDEX(INDIRECT(E79),0,COLUMN(MO_Common_Column_A))</f>
        <v>Non-GAAP Gross Margin, %</v>
      </c>
      <c r="E79" s="182" t="s">
        <v>304</v>
      </c>
      <c r="F79" s="181" t="s">
        <v>1248</v>
      </c>
      <c r="G79" s="181"/>
      <c r="H79" s="171"/>
      <c r="I79" s="185">
        <v>0.745</v>
      </c>
      <c r="J79" s="185">
        <v>0.755</v>
      </c>
      <c r="K79" s="185">
        <f t="shared" si="44"/>
        <v>0.75</v>
      </c>
      <c r="L79" s="171"/>
      <c r="M79" s="181" t="str">
        <f t="shared" si="41"/>
        <v>Actual</v>
      </c>
      <c r="N79" s="185">
        <f ca="1">IFERROR(INDEX(INDIRECT(E79),0,MATCH(F79,MO_Common_ColumnHeader,0)),"N/A")</f>
        <v>0.75029929878570201</v>
      </c>
      <c r="O79" s="171"/>
      <c r="P79" s="190">
        <f t="shared" ca="1" si="42"/>
        <v>2.9929878570200685E-4</v>
      </c>
      <c r="Q79" s="190">
        <f t="shared" ca="1" si="43"/>
        <v>3.990650476026758E-4</v>
      </c>
      <c r="R79" s="171"/>
      <c r="S79" s="184">
        <v>45532</v>
      </c>
      <c r="T79" s="191" t="s">
        <v>622</v>
      </c>
      <c r="U79" s="171"/>
    </row>
    <row r="80" spans="1:21" x14ac:dyDescent="0.3">
      <c r="A80" s="154">
        <v>330</v>
      </c>
      <c r="B80" s="181" t="str">
        <f t="shared" si="40"/>
        <v>Historical</v>
      </c>
      <c r="C80" s="171"/>
      <c r="D80" s="188" t="s">
        <v>305</v>
      </c>
      <c r="E80" s="182"/>
      <c r="F80" s="181" t="s">
        <v>1248</v>
      </c>
      <c r="G80" s="181"/>
      <c r="H80" s="171"/>
      <c r="I80" s="183">
        <v>4300</v>
      </c>
      <c r="J80" s="183">
        <v>4300</v>
      </c>
      <c r="K80" s="183">
        <f t="shared" si="44"/>
        <v>4300</v>
      </c>
      <c r="L80" s="171"/>
      <c r="M80" s="181" t="str">
        <f t="shared" si="41"/>
        <v>Actual</v>
      </c>
      <c r="N80" s="183">
        <f>INDEX(MO_RIS_RD,0,MATCH(F80,MO_Common_ColumnHeader,0))+INDEX(MO_RIS_SGA,0,MATCH(F80,MO_Common_ColumnHeader,0))</f>
        <v>4287</v>
      </c>
      <c r="O80" s="171"/>
      <c r="P80" s="189">
        <f t="shared" si="42"/>
        <v>-13</v>
      </c>
      <c r="Q80" s="190">
        <f t="shared" si="43"/>
        <v>-3.0232558139534882E-3</v>
      </c>
      <c r="R80" s="171"/>
      <c r="S80" s="184">
        <v>45532</v>
      </c>
      <c r="T80" s="191" t="s">
        <v>622</v>
      </c>
      <c r="U80" s="171"/>
    </row>
    <row r="81" spans="1:21" x14ac:dyDescent="0.3">
      <c r="A81" s="154">
        <v>329</v>
      </c>
      <c r="B81" s="181" t="str">
        <f t="shared" si="40"/>
        <v>Historical</v>
      </c>
      <c r="C81" s="171"/>
      <c r="D81" s="188" t="str">
        <f ca="1">INDEX(INDIRECT(E81),0,COLUMN(MO_Common_Column_A))</f>
        <v>Total Non-GAAP Operating Expenses, mm</v>
      </c>
      <c r="E81" s="182" t="s">
        <v>939</v>
      </c>
      <c r="F81" s="181" t="s">
        <v>1248</v>
      </c>
      <c r="G81" s="181"/>
      <c r="H81" s="171"/>
      <c r="I81" s="183">
        <v>3000</v>
      </c>
      <c r="J81" s="183">
        <v>3000</v>
      </c>
      <c r="K81" s="183">
        <f t="shared" si="44"/>
        <v>3000</v>
      </c>
      <c r="L81" s="171"/>
      <c r="M81" s="181" t="str">
        <f t="shared" si="41"/>
        <v>Actual</v>
      </c>
      <c r="N81" s="183">
        <f ca="1">IFERROR(INDEX(INDIRECT(E81),0,MATCH(F81,MO_Common_ColumnHeader,0)),"N/A")</f>
        <v>3046</v>
      </c>
      <c r="O81" s="171"/>
      <c r="P81" s="189">
        <f t="shared" ca="1" si="42"/>
        <v>46</v>
      </c>
      <c r="Q81" s="190">
        <f t="shared" ca="1" si="43"/>
        <v>1.5333333333333332E-2</v>
      </c>
      <c r="R81" s="171"/>
      <c r="S81" s="184">
        <v>45532</v>
      </c>
      <c r="T81" s="191" t="s">
        <v>622</v>
      </c>
      <c r="U81" s="171"/>
    </row>
    <row r="82" spans="1:21" x14ac:dyDescent="0.3">
      <c r="A82" s="154">
        <v>328</v>
      </c>
      <c r="B82" s="181" t="str">
        <f t="shared" si="40"/>
        <v>Historical</v>
      </c>
      <c r="C82" s="171"/>
      <c r="D82" s="188" t="s">
        <v>307</v>
      </c>
      <c r="E82" s="182"/>
      <c r="F82" s="181" t="s">
        <v>1248</v>
      </c>
      <c r="G82" s="181"/>
      <c r="H82" s="171"/>
      <c r="I82" s="183">
        <v>-350</v>
      </c>
      <c r="J82" s="183">
        <v>-350</v>
      </c>
      <c r="K82" s="183">
        <f t="shared" si="44"/>
        <v>-350</v>
      </c>
      <c r="L82" s="171"/>
      <c r="M82" s="181" t="str">
        <f t="shared" si="41"/>
        <v>Actual</v>
      </c>
      <c r="N82" s="183" t="str">
        <f ca="1">IFERROR(INDEX(INDIRECT(E82),0,MATCH(F82,MO_Common_ColumnHeader,0)),"N/A")</f>
        <v>N/A</v>
      </c>
      <c r="O82" s="171"/>
      <c r="P82" s="189" t="str">
        <f t="shared" ca="1" si="42"/>
        <v>N/A</v>
      </c>
      <c r="Q82" s="190" t="str">
        <f t="shared" ca="1" si="43"/>
        <v>N/A</v>
      </c>
      <c r="R82" s="171"/>
      <c r="S82" s="184">
        <v>45532</v>
      </c>
      <c r="T82" s="191" t="s">
        <v>622</v>
      </c>
      <c r="U82" s="171"/>
    </row>
    <row r="83" spans="1:21" x14ac:dyDescent="0.3">
      <c r="A83" s="154">
        <v>327</v>
      </c>
      <c r="B83" s="181" t="str">
        <f t="shared" si="40"/>
        <v>Historical</v>
      </c>
      <c r="C83" s="171"/>
      <c r="D83" s="188" t="s">
        <v>308</v>
      </c>
      <c r="E83" s="182"/>
      <c r="F83" s="181" t="s">
        <v>1248</v>
      </c>
      <c r="G83" s="181"/>
      <c r="H83" s="171"/>
      <c r="I83" s="183">
        <v>-350</v>
      </c>
      <c r="J83" s="183">
        <v>-350</v>
      </c>
      <c r="K83" s="183">
        <f t="shared" si="44"/>
        <v>-350</v>
      </c>
      <c r="L83" s="171"/>
      <c r="M83" s="181" t="str">
        <f t="shared" si="41"/>
        <v>Actual</v>
      </c>
      <c r="N83" s="183">
        <f>INDEX(MO_RIS_IE_Net_NONGAAP,0,MATCH(F83,MO_Common_ColumnHeader,0))+INDEX(MO_RIS_OI_NONGAAP,0,MATCH(F83,MO_Common_ColumnHeader,0))</f>
        <v>-411</v>
      </c>
      <c r="O83" s="171"/>
      <c r="P83" s="189">
        <f t="shared" si="42"/>
        <v>-61</v>
      </c>
      <c r="Q83" s="190">
        <f t="shared" si="43"/>
        <v>-0.17428571428571429</v>
      </c>
      <c r="R83" s="171"/>
      <c r="S83" s="184">
        <v>45532</v>
      </c>
      <c r="T83" s="191" t="s">
        <v>622</v>
      </c>
      <c r="U83" s="171"/>
    </row>
    <row r="84" spans="1:21" x14ac:dyDescent="0.3">
      <c r="A84" s="154">
        <v>326</v>
      </c>
      <c r="B84" s="181" t="str">
        <f t="shared" si="40"/>
        <v>Historical</v>
      </c>
      <c r="C84" s="171"/>
      <c r="D84" s="188" t="s">
        <v>309</v>
      </c>
      <c r="E84" s="182" t="s">
        <v>818</v>
      </c>
      <c r="F84" s="181" t="s">
        <v>1248</v>
      </c>
      <c r="G84" s="181"/>
      <c r="H84" s="171"/>
      <c r="I84" s="185">
        <v>0.16</v>
      </c>
      <c r="J84" s="185">
        <v>0.18</v>
      </c>
      <c r="K84" s="185">
        <f t="shared" si="44"/>
        <v>0.16999999999999998</v>
      </c>
      <c r="L84" s="171"/>
      <c r="M84" s="181" t="str">
        <f t="shared" si="41"/>
        <v>Actual</v>
      </c>
      <c r="N84" s="185">
        <f ca="1">IFERROR(INDEX(INDIRECT(E84),0,MATCH(F84,MO_Common_ColumnHeader,0)),"N/A")</f>
        <v>0.13474637031726117</v>
      </c>
      <c r="O84" s="171"/>
      <c r="P84" s="190">
        <f t="shared" ca="1" si="42"/>
        <v>-3.5253629682738818E-2</v>
      </c>
      <c r="Q84" s="190">
        <f t="shared" ca="1" si="43"/>
        <v>-0.20737429225140483</v>
      </c>
      <c r="R84" s="171"/>
      <c r="S84" s="184">
        <v>45532</v>
      </c>
      <c r="T84" s="191" t="s">
        <v>622</v>
      </c>
      <c r="U84" s="171"/>
    </row>
    <row r="85" spans="1:21" x14ac:dyDescent="0.3">
      <c r="A85" s="154">
        <v>325</v>
      </c>
      <c r="B85" s="181" t="str">
        <f t="shared" si="40"/>
        <v>Historical</v>
      </c>
      <c r="C85" s="171"/>
      <c r="D85" s="188" t="str">
        <f ca="1">INDEX(INDIRECT(E85),0,COLUMN(MO_Common_Column_A))</f>
        <v>Non-GAAP Tax Rate</v>
      </c>
      <c r="E85" s="182" t="s">
        <v>310</v>
      </c>
      <c r="F85" s="181" t="s">
        <v>1248</v>
      </c>
      <c r="G85" s="181"/>
      <c r="H85" s="171"/>
      <c r="I85" s="185">
        <v>0.16</v>
      </c>
      <c r="J85" s="185">
        <v>0.18</v>
      </c>
      <c r="K85" s="185">
        <f t="shared" si="44"/>
        <v>0.16999999999999998</v>
      </c>
      <c r="L85" s="171"/>
      <c r="M85" s="181" t="str">
        <f t="shared" si="41"/>
        <v>Actual</v>
      </c>
      <c r="N85" s="185">
        <f ca="1">IFERROR(INDEX(INDIRECT(E85),0,MATCH(F85,MO_Common_ColumnHeader,0)),"N/A")</f>
        <v>0.15523282813357539</v>
      </c>
      <c r="O85" s="171"/>
      <c r="P85" s="190">
        <f t="shared" ca="1" si="42"/>
        <v>-1.4767171866424594E-2</v>
      </c>
      <c r="Q85" s="190">
        <f t="shared" ca="1" si="43"/>
        <v>-8.6865716861321149E-2</v>
      </c>
      <c r="R85" s="171"/>
      <c r="S85" s="184">
        <v>45532</v>
      </c>
      <c r="T85" s="191" t="s">
        <v>622</v>
      </c>
      <c r="U85" s="171"/>
    </row>
    <row r="86" spans="1:21" x14ac:dyDescent="0.3">
      <c r="A86" s="154">
        <v>324</v>
      </c>
      <c r="B86" s="171"/>
      <c r="C86" s="171"/>
      <c r="D86" s="168"/>
      <c r="E86" s="169"/>
      <c r="F86" s="171"/>
      <c r="G86" s="171"/>
      <c r="H86" s="171"/>
      <c r="I86" s="885"/>
      <c r="J86" s="885"/>
      <c r="K86" s="885"/>
      <c r="L86" s="171"/>
      <c r="M86" s="171"/>
      <c r="N86" s="885"/>
      <c r="O86" s="171"/>
      <c r="P86" s="172"/>
      <c r="Q86" s="134"/>
      <c r="R86" s="171"/>
      <c r="S86" s="173"/>
      <c r="T86" s="192"/>
      <c r="U86" s="171"/>
    </row>
    <row r="87" spans="1:21" x14ac:dyDescent="0.3">
      <c r="A87" s="154">
        <v>323</v>
      </c>
      <c r="B87" s="181" t="str">
        <f t="shared" ref="B87:B90" si="45">IF(INDEX(MO_SNA_IsHistoricalPeriod,,MATCH(F87,MO_Common_ColumnHeader,0)),"Historical","Forward")</f>
        <v>Historical</v>
      </c>
      <c r="C87" s="171"/>
      <c r="D87" s="188" t="str">
        <f ca="1">INDEX(INDIRECT(E87),0,COLUMN(MO_Common_Column_A))</f>
        <v>GAAP Gross Margin, %</v>
      </c>
      <c r="E87" s="182" t="s">
        <v>303</v>
      </c>
      <c r="F87" s="181" t="s">
        <v>1243</v>
      </c>
      <c r="G87" s="181"/>
      <c r="H87" s="171"/>
      <c r="I87" s="185">
        <v>0.74</v>
      </c>
      <c r="J87" s="185">
        <v>0.76</v>
      </c>
      <c r="K87" s="185">
        <f t="shared" ref="K87:K90" si="46">AVERAGE(I87:J87)</f>
        <v>0.75</v>
      </c>
      <c r="L87" s="171"/>
      <c r="M87" s="181" t="str">
        <f t="shared" ref="M87:M90" si="47">IF(INDEX(MO_SNA_IsHistoricalPeriod,,MATCH(F87,MO_Common_ColumnHeader,0)),"Actual","Estimate")</f>
        <v>Actual</v>
      </c>
      <c r="N87" s="185">
        <f ca="1">IFERROR(INDEX(INDIRECT(E87),0,MATCH(F87,MO_Common_ColumnHeader,0)),"N/A")</f>
        <v>0.74988697058169917</v>
      </c>
      <c r="O87" s="171"/>
      <c r="P87" s="190">
        <f t="shared" ref="P87:P90" ca="1" si="48">IF(ISNUMBER(N87),N87-K87,"N/A")</f>
        <v>-1.1302941830082514E-4</v>
      </c>
      <c r="Q87" s="190">
        <f t="shared" ref="Q87:Q90" ca="1" si="49">IFERROR(IF(ISNUMBER(N87),(N87-K87)/ABS(K87),"N/A"),"N/A")</f>
        <v>-1.5070589106776686E-4</v>
      </c>
      <c r="R87" s="171"/>
      <c r="S87" s="184">
        <v>45434</v>
      </c>
      <c r="T87" s="191" t="s">
        <v>622</v>
      </c>
      <c r="U87" s="171"/>
    </row>
    <row r="88" spans="1:21" x14ac:dyDescent="0.3">
      <c r="A88" s="154">
        <v>322</v>
      </c>
      <c r="B88" s="181" t="str">
        <f t="shared" si="45"/>
        <v>Historical</v>
      </c>
      <c r="C88" s="171"/>
      <c r="D88" s="188" t="str">
        <f ca="1">INDEX(INDIRECT(E88),0,COLUMN(MO_Common_Column_A))</f>
        <v>Non-GAAP Gross Margin, %</v>
      </c>
      <c r="E88" s="182" t="s">
        <v>304</v>
      </c>
      <c r="F88" s="181" t="s">
        <v>1243</v>
      </c>
      <c r="G88" s="181"/>
      <c r="H88" s="171"/>
      <c r="I88" s="185">
        <v>0.74</v>
      </c>
      <c r="J88" s="185">
        <v>0.76</v>
      </c>
      <c r="K88" s="185">
        <f t="shared" si="46"/>
        <v>0.75</v>
      </c>
      <c r="L88" s="171"/>
      <c r="M88" s="181" t="str">
        <f t="shared" si="47"/>
        <v>Actual</v>
      </c>
      <c r="N88" s="185">
        <f ca="1">IFERROR(INDEX(INDIRECT(E88),0,MATCH(F88,MO_Common_ColumnHeader,0)),"N/A")</f>
        <v>0.75484493896411409</v>
      </c>
      <c r="O88" s="171"/>
      <c r="P88" s="190">
        <f t="shared" ca="1" si="48"/>
        <v>4.8449389641140872E-3</v>
      </c>
      <c r="Q88" s="190">
        <f t="shared" ca="1" si="49"/>
        <v>6.4599186188187829E-3</v>
      </c>
      <c r="R88" s="171"/>
      <c r="S88" s="184">
        <v>45434</v>
      </c>
      <c r="T88" s="191" t="s">
        <v>622</v>
      </c>
      <c r="U88" s="171"/>
    </row>
    <row r="89" spans="1:21" x14ac:dyDescent="0.3">
      <c r="A89" s="154">
        <v>321</v>
      </c>
      <c r="B89" s="181" t="str">
        <f t="shared" si="45"/>
        <v>Historical</v>
      </c>
      <c r="C89" s="171"/>
      <c r="D89" s="188" t="s">
        <v>305</v>
      </c>
      <c r="E89" s="182"/>
      <c r="F89" s="181" t="s">
        <v>1243</v>
      </c>
      <c r="G89" s="181" t="s">
        <v>868</v>
      </c>
      <c r="H89" s="171"/>
      <c r="I89" s="185">
        <v>0.41</v>
      </c>
      <c r="J89" s="185">
        <v>0.43</v>
      </c>
      <c r="K89" s="185">
        <f t="shared" si="46"/>
        <v>0.42</v>
      </c>
      <c r="L89" s="171"/>
      <c r="M89" s="181" t="str">
        <f t="shared" si="47"/>
        <v>Actual</v>
      </c>
      <c r="N89" s="185">
        <f>(INDEX(MO_RIS_RD,0,MATCH(F89,MO_Common_ColumnHeader,0))+INDEX(MO_RIS_SGA,0,MATCH(F89,MO_Common_ColumnHeader,0)))/(INDEX(MO_RIS_RD,0,MATCH(G89,MO_Common_ColumnHeader,0))+INDEX(MO_RIS_SGA,0,MATCH(G89,MO_Common_ColumnHeader,0)))-1</f>
        <v>0.44805366757878007</v>
      </c>
      <c r="O89" s="171"/>
      <c r="P89" s="190">
        <f t="shared" si="48"/>
        <v>2.8053667578780084E-2</v>
      </c>
      <c r="Q89" s="190">
        <f t="shared" si="49"/>
        <v>6.6794446616143061E-2</v>
      </c>
      <c r="R89" s="171"/>
      <c r="S89" s="184">
        <v>45434</v>
      </c>
      <c r="T89" s="191" t="s">
        <v>622</v>
      </c>
      <c r="U89" s="171"/>
    </row>
    <row r="90" spans="1:21" x14ac:dyDescent="0.3">
      <c r="A90" s="154">
        <v>320</v>
      </c>
      <c r="B90" s="181" t="str">
        <f t="shared" si="45"/>
        <v>Historical</v>
      </c>
      <c r="C90" s="171"/>
      <c r="D90" s="188" t="str">
        <f ca="1">INDEX(INDIRECT(E90),0,COLUMN(MO_Common_Column_A))</f>
        <v>Total Non-GAAP Operating Expenses, mm</v>
      </c>
      <c r="E90" s="182" t="s">
        <v>939</v>
      </c>
      <c r="F90" s="181" t="s">
        <v>1243</v>
      </c>
      <c r="G90" s="181" t="s">
        <v>868</v>
      </c>
      <c r="H90" s="171"/>
      <c r="I90" s="185">
        <v>0.41</v>
      </c>
      <c r="J90" s="185">
        <v>0.43</v>
      </c>
      <c r="K90" s="185">
        <f t="shared" si="46"/>
        <v>0.42</v>
      </c>
      <c r="L90" s="171"/>
      <c r="M90" s="181" t="str">
        <f t="shared" si="47"/>
        <v>Actual</v>
      </c>
      <c r="N90" s="185">
        <f>(INDEX(MO_RIS_RD,0,MATCH(F90,MO_Common_ColumnHeader,0))+INDEX(MO_RIS_SGA,0,MATCH(F90,MO_Common_ColumnHeader,0)))/(INDEX(MO_RIS_RD,0,MATCH(G90,MO_Common_ColumnHeader,0))+INDEX(MO_RIS_SGA,0,MATCH(G90,MO_Common_ColumnHeader,0)))-1</f>
        <v>0.44805366757878007</v>
      </c>
      <c r="O90" s="171"/>
      <c r="P90" s="190">
        <f t="shared" si="48"/>
        <v>2.8053667578780084E-2</v>
      </c>
      <c r="Q90" s="190">
        <f t="shared" si="49"/>
        <v>6.6794446616143061E-2</v>
      </c>
      <c r="R90" s="171"/>
      <c r="S90" s="184">
        <v>45434</v>
      </c>
      <c r="T90" s="191" t="s">
        <v>622</v>
      </c>
      <c r="U90" s="171"/>
    </row>
    <row r="91" spans="1:21" x14ac:dyDescent="0.3">
      <c r="A91" s="154">
        <v>319</v>
      </c>
      <c r="B91" s="171"/>
      <c r="C91" s="171"/>
      <c r="D91" s="168"/>
      <c r="E91" s="169"/>
      <c r="F91" s="171"/>
      <c r="G91" s="171"/>
      <c r="H91" s="171"/>
      <c r="I91" s="885"/>
      <c r="J91" s="885"/>
      <c r="K91" s="885"/>
      <c r="L91" s="171"/>
      <c r="M91" s="171"/>
      <c r="N91" s="885"/>
      <c r="O91" s="171"/>
      <c r="P91" s="172"/>
      <c r="Q91" s="134"/>
      <c r="R91" s="171"/>
      <c r="S91" s="173"/>
      <c r="T91" s="192"/>
      <c r="U91" s="171"/>
    </row>
    <row r="92" spans="1:21" x14ac:dyDescent="0.3">
      <c r="A92" s="154">
        <v>318</v>
      </c>
      <c r="B92" s="181" t="str">
        <f t="shared" ref="B92:B100" si="50">IF(INDEX(MO_SNA_IsHistoricalPeriod,,MATCH(F92,MO_Common_ColumnHeader,0)),"Historical","Forward")</f>
        <v>Historical</v>
      </c>
      <c r="C92" s="171"/>
      <c r="D92" s="188" t="str">
        <f ca="1">INDEX(INDIRECT(E92),0,COLUMN(MO_Common_Column_A))</f>
        <v>Net Revenue</v>
      </c>
      <c r="E92" s="182" t="s">
        <v>300</v>
      </c>
      <c r="F92" s="181" t="s">
        <v>1242</v>
      </c>
      <c r="G92" s="181"/>
      <c r="H92" s="171"/>
      <c r="I92" s="183">
        <f>28000*0.98</f>
        <v>27440</v>
      </c>
      <c r="J92" s="183">
        <f>28000*1.02</f>
        <v>28560</v>
      </c>
      <c r="K92" s="183">
        <f>AVERAGE(I92:J92)</f>
        <v>28000</v>
      </c>
      <c r="L92" s="171"/>
      <c r="M92" s="181" t="str">
        <f t="shared" ref="M92:M100" si="51">IF(INDEX(MO_SNA_IsHistoricalPeriod,,MATCH(F92,MO_Common_ColumnHeader,0)),"Actual","Estimate")</f>
        <v>Actual</v>
      </c>
      <c r="N92" s="183">
        <f ca="1">IFERROR(INDEX(INDIRECT(E92),0,MATCH(F92,MO_Common_ColumnHeader,0)),"N/A")</f>
        <v>30040</v>
      </c>
      <c r="O92" s="171"/>
      <c r="P92" s="189">
        <f ca="1">IF(ISNUMBER(N92),N92-K92,"N/A")</f>
        <v>2040</v>
      </c>
      <c r="Q92" s="190">
        <f t="shared" ref="Q92:Q100" ca="1" si="52">IFERROR(IF(ISNUMBER(N92),(N92-K92)/ABS(K92),"N/A"),"N/A")</f>
        <v>7.2857142857142856E-2</v>
      </c>
      <c r="R92" s="171"/>
      <c r="S92" s="184">
        <v>45434</v>
      </c>
      <c r="T92" s="191" t="s">
        <v>622</v>
      </c>
      <c r="U92" s="171"/>
    </row>
    <row r="93" spans="1:21" x14ac:dyDescent="0.3">
      <c r="A93" s="154">
        <v>317</v>
      </c>
      <c r="B93" s="181" t="str">
        <f t="shared" si="50"/>
        <v>Historical</v>
      </c>
      <c r="C93" s="171"/>
      <c r="D93" s="188" t="str">
        <f ca="1">INDEX(INDIRECT(E93),0,COLUMN(MO_Common_Column_A))</f>
        <v>GAAP Gross Margin, %</v>
      </c>
      <c r="E93" s="182" t="s">
        <v>303</v>
      </c>
      <c r="F93" s="181" t="s">
        <v>1242</v>
      </c>
      <c r="G93" s="181"/>
      <c r="H93" s="171"/>
      <c r="I93" s="185">
        <v>0.74299999999999999</v>
      </c>
      <c r="J93" s="185">
        <v>0.753</v>
      </c>
      <c r="K93" s="185">
        <f t="shared" ref="K93:K100" si="53">AVERAGE(I93:J93)</f>
        <v>0.748</v>
      </c>
      <c r="L93" s="171"/>
      <c r="M93" s="181" t="str">
        <f t="shared" si="51"/>
        <v>Actual</v>
      </c>
      <c r="N93" s="185">
        <f ca="1">IFERROR(INDEX(INDIRECT(E93),0,MATCH(F93,MO_Common_ColumnHeader,0)),"N/A")</f>
        <v>0.75146471371504664</v>
      </c>
      <c r="O93" s="171"/>
      <c r="P93" s="190">
        <f t="shared" ref="P93:P100" ca="1" si="54">IF(ISNUMBER(N93),N93-K93,"N/A")</f>
        <v>3.4647137150466412E-3</v>
      </c>
      <c r="Q93" s="190">
        <f t="shared" ca="1" si="52"/>
        <v>4.631970207281606E-3</v>
      </c>
      <c r="R93" s="171"/>
      <c r="S93" s="184">
        <v>45434</v>
      </c>
      <c r="T93" s="191" t="s">
        <v>622</v>
      </c>
      <c r="U93" s="171"/>
    </row>
    <row r="94" spans="1:21" x14ac:dyDescent="0.3">
      <c r="A94" s="154">
        <v>316</v>
      </c>
      <c r="B94" s="181" t="str">
        <f t="shared" si="50"/>
        <v>Historical</v>
      </c>
      <c r="C94" s="171"/>
      <c r="D94" s="188" t="str">
        <f ca="1">INDEX(INDIRECT(E94),0,COLUMN(MO_Common_Column_A))</f>
        <v>Non-GAAP Gross Margin, %</v>
      </c>
      <c r="E94" s="182" t="s">
        <v>304</v>
      </c>
      <c r="F94" s="181" t="s">
        <v>1242</v>
      </c>
      <c r="G94" s="181"/>
      <c r="H94" s="171"/>
      <c r="I94" s="185">
        <v>0.75</v>
      </c>
      <c r="J94" s="185">
        <v>0.76</v>
      </c>
      <c r="K94" s="185">
        <f t="shared" si="53"/>
        <v>0.755</v>
      </c>
      <c r="L94" s="171"/>
      <c r="M94" s="181" t="str">
        <f t="shared" si="51"/>
        <v>Actual</v>
      </c>
      <c r="N94" s="185">
        <f ca="1">IFERROR(INDEX(INDIRECT(E94),0,MATCH(F94,MO_Common_ColumnHeader,0)),"N/A")</f>
        <v>0.75662450066577902</v>
      </c>
      <c r="O94" s="171"/>
      <c r="P94" s="190">
        <f t="shared" ca="1" si="54"/>
        <v>1.6245006657790162E-3</v>
      </c>
      <c r="Q94" s="190">
        <f t="shared" ca="1" si="52"/>
        <v>2.1516565109655846E-3</v>
      </c>
      <c r="R94" s="171"/>
      <c r="S94" s="184">
        <v>45434</v>
      </c>
      <c r="T94" s="191" t="s">
        <v>622</v>
      </c>
      <c r="U94" s="171"/>
    </row>
    <row r="95" spans="1:21" x14ac:dyDescent="0.3">
      <c r="A95" s="154">
        <v>315</v>
      </c>
      <c r="B95" s="181" t="str">
        <f t="shared" si="50"/>
        <v>Historical</v>
      </c>
      <c r="C95" s="171"/>
      <c r="D95" s="188" t="s">
        <v>305</v>
      </c>
      <c r="E95" s="182"/>
      <c r="F95" s="181" t="s">
        <v>1242</v>
      </c>
      <c r="G95" s="181"/>
      <c r="H95" s="171"/>
      <c r="I95" s="183">
        <v>4000</v>
      </c>
      <c r="J95" s="183">
        <v>4000</v>
      </c>
      <c r="K95" s="183">
        <f t="shared" si="53"/>
        <v>4000</v>
      </c>
      <c r="L95" s="171"/>
      <c r="M95" s="181" t="str">
        <f t="shared" si="51"/>
        <v>Actual</v>
      </c>
      <c r="N95" s="183">
        <f>INDEX(MO_RIS_RD,0,MATCH(F95,MO_Common_ColumnHeader,0))+INDEX(MO_RIS_SGA,0,MATCH(F95,MO_Common_ColumnHeader,0))</f>
        <v>3932</v>
      </c>
      <c r="O95" s="171"/>
      <c r="P95" s="189">
        <f t="shared" si="54"/>
        <v>-68</v>
      </c>
      <c r="Q95" s="190">
        <f t="shared" si="52"/>
        <v>-1.7000000000000001E-2</v>
      </c>
      <c r="R95" s="171"/>
      <c r="S95" s="184">
        <v>45434</v>
      </c>
      <c r="T95" s="191" t="s">
        <v>622</v>
      </c>
      <c r="U95" s="171"/>
    </row>
    <row r="96" spans="1:21" x14ac:dyDescent="0.3">
      <c r="A96" s="154">
        <v>314</v>
      </c>
      <c r="B96" s="181" t="str">
        <f t="shared" si="50"/>
        <v>Historical</v>
      </c>
      <c r="C96" s="171"/>
      <c r="D96" s="188" t="str">
        <f ca="1">INDEX(INDIRECT(E96),0,COLUMN(MO_Common_Column_A))</f>
        <v>Total Non-GAAP Operating Expenses, mm</v>
      </c>
      <c r="E96" s="182" t="s">
        <v>939</v>
      </c>
      <c r="F96" s="181" t="s">
        <v>1242</v>
      </c>
      <c r="G96" s="181"/>
      <c r="H96" s="171"/>
      <c r="I96" s="183">
        <v>2800</v>
      </c>
      <c r="J96" s="183">
        <v>2800</v>
      </c>
      <c r="K96" s="183">
        <f t="shared" si="53"/>
        <v>2800</v>
      </c>
      <c r="L96" s="171"/>
      <c r="M96" s="181" t="str">
        <f t="shared" si="51"/>
        <v>Actual</v>
      </c>
      <c r="N96" s="183">
        <f ca="1">IFERROR(INDEX(INDIRECT(E96),0,MATCH(F96,MO_Common_ColumnHeader,0)),"N/A")</f>
        <v>2792</v>
      </c>
      <c r="O96" s="171"/>
      <c r="P96" s="189">
        <f t="shared" ca="1" si="54"/>
        <v>-8</v>
      </c>
      <c r="Q96" s="190">
        <f t="shared" ca="1" si="52"/>
        <v>-2.8571428571428571E-3</v>
      </c>
      <c r="R96" s="171"/>
      <c r="S96" s="184">
        <v>45434</v>
      </c>
      <c r="T96" s="191" t="s">
        <v>622</v>
      </c>
      <c r="U96" s="171"/>
    </row>
    <row r="97" spans="1:21" x14ac:dyDescent="0.3">
      <c r="A97" s="154">
        <v>313</v>
      </c>
      <c r="B97" s="181" t="str">
        <f t="shared" si="50"/>
        <v>Historical</v>
      </c>
      <c r="C97" s="171"/>
      <c r="D97" s="188" t="s">
        <v>307</v>
      </c>
      <c r="E97" s="182"/>
      <c r="F97" s="181" t="s">
        <v>1242</v>
      </c>
      <c r="G97" s="181"/>
      <c r="H97" s="171"/>
      <c r="I97" s="183">
        <v>-300</v>
      </c>
      <c r="J97" s="183">
        <v>-300</v>
      </c>
      <c r="K97" s="183">
        <f t="shared" si="53"/>
        <v>-300</v>
      </c>
      <c r="L97" s="171"/>
      <c r="M97" s="181" t="str">
        <f t="shared" si="51"/>
        <v>Actual</v>
      </c>
      <c r="N97" s="183" t="str">
        <f ca="1">IFERROR(INDEX(INDIRECT(E97),0,MATCH(F97,MO_Common_ColumnHeader,0)),"N/A")</f>
        <v>N/A</v>
      </c>
      <c r="O97" s="171"/>
      <c r="P97" s="189" t="str">
        <f t="shared" ca="1" si="54"/>
        <v>N/A</v>
      </c>
      <c r="Q97" s="190" t="str">
        <f t="shared" ca="1" si="52"/>
        <v>N/A</v>
      </c>
      <c r="R97" s="171"/>
      <c r="S97" s="184">
        <v>45434</v>
      </c>
      <c r="T97" s="191" t="s">
        <v>622</v>
      </c>
      <c r="U97" s="171"/>
    </row>
    <row r="98" spans="1:21" x14ac:dyDescent="0.3">
      <c r="A98" s="154">
        <v>312</v>
      </c>
      <c r="B98" s="181" t="str">
        <f t="shared" si="50"/>
        <v>Historical</v>
      </c>
      <c r="C98" s="171"/>
      <c r="D98" s="188" t="s">
        <v>308</v>
      </c>
      <c r="E98" s="182"/>
      <c r="F98" s="181" t="s">
        <v>1242</v>
      </c>
      <c r="G98" s="181"/>
      <c r="H98" s="171"/>
      <c r="I98" s="183">
        <v>-300</v>
      </c>
      <c r="J98" s="183">
        <v>-300</v>
      </c>
      <c r="K98" s="183">
        <f t="shared" si="53"/>
        <v>-300</v>
      </c>
      <c r="L98" s="171"/>
      <c r="M98" s="181" t="str">
        <f t="shared" si="51"/>
        <v>Actual</v>
      </c>
      <c r="N98" s="183">
        <f>INDEX(MO_RIS_IE_Net_NONGAAP,0,MATCH(F98,MO_Common_ColumnHeader,0))+INDEX(MO_RIS_OI_NONGAAP,0,MATCH(F98,MO_Common_ColumnHeader,0))</f>
        <v>-380</v>
      </c>
      <c r="O98" s="171"/>
      <c r="P98" s="189">
        <f t="shared" si="54"/>
        <v>-80</v>
      </c>
      <c r="Q98" s="190">
        <f t="shared" si="52"/>
        <v>-0.26666666666666666</v>
      </c>
      <c r="R98" s="171"/>
      <c r="S98" s="184">
        <v>45434</v>
      </c>
      <c r="T98" s="191" t="s">
        <v>622</v>
      </c>
      <c r="U98" s="171"/>
    </row>
    <row r="99" spans="1:21" x14ac:dyDescent="0.3">
      <c r="A99" s="154">
        <v>311</v>
      </c>
      <c r="B99" s="181" t="str">
        <f t="shared" si="50"/>
        <v>Historical</v>
      </c>
      <c r="C99" s="171"/>
      <c r="D99" s="188" t="s">
        <v>309</v>
      </c>
      <c r="E99" s="182" t="s">
        <v>818</v>
      </c>
      <c r="F99" s="181" t="s">
        <v>1242</v>
      </c>
      <c r="G99" s="181"/>
      <c r="H99" s="171"/>
      <c r="I99" s="185">
        <v>0.16</v>
      </c>
      <c r="J99" s="185">
        <v>0.18</v>
      </c>
      <c r="K99" s="185">
        <f t="shared" si="53"/>
        <v>0.16999999999999998</v>
      </c>
      <c r="L99" s="171"/>
      <c r="M99" s="181" t="str">
        <f t="shared" si="51"/>
        <v>Actual</v>
      </c>
      <c r="N99" s="185">
        <f ca="1">IFERROR(INDEX(INDIRECT(E99),0,MATCH(F99,MO_Common_ColumnHeader,0)),"N/A")</f>
        <v>0.1360986780472572</v>
      </c>
      <c r="O99" s="171"/>
      <c r="P99" s="190">
        <f t="shared" ca="1" si="54"/>
        <v>-3.3901321952742786E-2</v>
      </c>
      <c r="Q99" s="190">
        <f t="shared" ca="1" si="52"/>
        <v>-0.19941954089848699</v>
      </c>
      <c r="R99" s="171"/>
      <c r="S99" s="184">
        <v>45434</v>
      </c>
      <c r="T99" s="191" t="s">
        <v>622</v>
      </c>
      <c r="U99" s="171"/>
    </row>
    <row r="100" spans="1:21" x14ac:dyDescent="0.3">
      <c r="A100" s="154">
        <v>310</v>
      </c>
      <c r="B100" s="181" t="str">
        <f t="shared" si="50"/>
        <v>Historical</v>
      </c>
      <c r="C100" s="171"/>
      <c r="D100" s="188" t="str">
        <f ca="1">INDEX(INDIRECT(E100),0,COLUMN(MO_Common_Column_A))</f>
        <v>Non-GAAP Tax Rate</v>
      </c>
      <c r="E100" s="182" t="s">
        <v>310</v>
      </c>
      <c r="F100" s="181" t="s">
        <v>1242</v>
      </c>
      <c r="G100" s="181"/>
      <c r="H100" s="171"/>
      <c r="I100" s="185">
        <v>0.16</v>
      </c>
      <c r="J100" s="185">
        <v>0.18</v>
      </c>
      <c r="K100" s="185">
        <f t="shared" si="53"/>
        <v>0.16999999999999998</v>
      </c>
      <c r="L100" s="171"/>
      <c r="M100" s="181" t="str">
        <f t="shared" si="51"/>
        <v>Actual</v>
      </c>
      <c r="N100" s="185">
        <f ca="1">IFERROR(INDEX(INDIRECT(E100),0,MATCH(F100,MO_Common_ColumnHeader,0)),"N/A")</f>
        <v>0.16562484618792145</v>
      </c>
      <c r="O100" s="171"/>
      <c r="P100" s="190">
        <f t="shared" ca="1" si="54"/>
        <v>-4.375153812078536E-3</v>
      </c>
      <c r="Q100" s="190">
        <f t="shared" ca="1" si="52"/>
        <v>-2.5736198894579627E-2</v>
      </c>
      <c r="R100" s="171"/>
      <c r="S100" s="184">
        <v>45434</v>
      </c>
      <c r="T100" s="191" t="s">
        <v>622</v>
      </c>
      <c r="U100" s="171"/>
    </row>
    <row r="101" spans="1:21" x14ac:dyDescent="0.3">
      <c r="A101" s="154">
        <v>309</v>
      </c>
      <c r="B101" s="171"/>
      <c r="C101" s="171"/>
      <c r="D101" s="168"/>
      <c r="E101" s="169"/>
      <c r="F101" s="171"/>
      <c r="G101" s="171"/>
      <c r="H101" s="171"/>
      <c r="I101" s="885"/>
      <c r="J101" s="885"/>
      <c r="K101" s="885"/>
      <c r="L101" s="171"/>
      <c r="M101" s="171"/>
      <c r="N101" s="885"/>
      <c r="O101" s="171"/>
      <c r="P101" s="172"/>
      <c r="Q101" s="134"/>
      <c r="R101" s="171"/>
      <c r="S101" s="173"/>
      <c r="T101" s="192"/>
      <c r="U101" s="171"/>
    </row>
    <row r="102" spans="1:21" x14ac:dyDescent="0.3">
      <c r="A102" s="154">
        <v>308</v>
      </c>
      <c r="B102" s="181" t="str">
        <f t="shared" ref="B102:B110" si="55">IF(INDEX(MO_SNA_IsHistoricalPeriod,,MATCH(F102,MO_Common_ColumnHeader,0)),"Historical","Forward")</f>
        <v>Historical</v>
      </c>
      <c r="C102" s="171"/>
      <c r="D102" s="188" t="str">
        <f ca="1">INDEX(INDIRECT(E102),0,COLUMN(MO_Common_Column_A))</f>
        <v>Net Revenue</v>
      </c>
      <c r="E102" s="182" t="s">
        <v>300</v>
      </c>
      <c r="F102" s="181" t="s">
        <v>1114</v>
      </c>
      <c r="G102" s="181"/>
      <c r="H102" s="171"/>
      <c r="I102" s="183">
        <v>23520</v>
      </c>
      <c r="J102" s="183">
        <v>24480</v>
      </c>
      <c r="K102" s="183">
        <f>AVERAGE(I102:J102)</f>
        <v>24000</v>
      </c>
      <c r="L102" s="171"/>
      <c r="M102" s="181" t="str">
        <f t="shared" ref="M102:M110" si="56">IF(INDEX(MO_SNA_IsHistoricalPeriod,,MATCH(F102,MO_Common_ColumnHeader,0)),"Actual","Estimate")</f>
        <v>Actual</v>
      </c>
      <c r="N102" s="183">
        <f ca="1">IFERROR(INDEX(INDIRECT(E102),0,MATCH(F102,MO_Common_ColumnHeader,0)),"N/A")</f>
        <v>26044</v>
      </c>
      <c r="O102" s="171"/>
      <c r="P102" s="189">
        <f t="shared" ref="P102:P110" ca="1" si="57">IF(ISNUMBER(N102),N102-K102,"N/A")</f>
        <v>2044</v>
      </c>
      <c r="Q102" s="190">
        <f t="shared" ref="Q102:Q110" ca="1" si="58">IFERROR(IF(ISNUMBER(N102),(N102-K102)/ABS(K102),"N/A"),"N/A")</f>
        <v>8.5166666666666668E-2</v>
      </c>
      <c r="R102" s="171"/>
      <c r="S102" s="184">
        <v>45343</v>
      </c>
      <c r="T102" s="191" t="s">
        <v>622</v>
      </c>
      <c r="U102" s="171"/>
    </row>
    <row r="103" spans="1:21" x14ac:dyDescent="0.3">
      <c r="A103" s="154">
        <v>307</v>
      </c>
      <c r="B103" s="181" t="str">
        <f t="shared" si="55"/>
        <v>Historical</v>
      </c>
      <c r="C103" s="171"/>
      <c r="D103" s="188" t="str">
        <f ca="1">INDEX(INDIRECT(E103),0,COLUMN(MO_Common_Column_A))</f>
        <v>GAAP Gross Margin, %</v>
      </c>
      <c r="E103" s="182" t="s">
        <v>303</v>
      </c>
      <c r="F103" s="181" t="s">
        <v>1114</v>
      </c>
      <c r="G103" s="181"/>
      <c r="H103" s="171"/>
      <c r="I103" s="185">
        <v>0.75800000000000001</v>
      </c>
      <c r="J103" s="185">
        <v>0.76800000000000002</v>
      </c>
      <c r="K103" s="185">
        <f t="shared" ref="K103:K110" si="59">AVERAGE(I103:J103)</f>
        <v>0.76300000000000001</v>
      </c>
      <c r="L103" s="171"/>
      <c r="M103" s="181" t="str">
        <f t="shared" si="56"/>
        <v>Actual</v>
      </c>
      <c r="N103" s="185">
        <f ca="1">IFERROR(INDEX(INDIRECT(E103),0,MATCH(F103,MO_Common_ColumnHeader,0)),"N/A")</f>
        <v>0.78352019659038552</v>
      </c>
      <c r="O103" s="171"/>
      <c r="P103" s="190">
        <f t="shared" ca="1" si="57"/>
        <v>2.0520196590385509E-2</v>
      </c>
      <c r="Q103" s="190">
        <f t="shared" ca="1" si="58"/>
        <v>2.689409775935191E-2</v>
      </c>
      <c r="R103" s="171"/>
      <c r="S103" s="184">
        <v>45343</v>
      </c>
      <c r="T103" s="191" t="s">
        <v>622</v>
      </c>
      <c r="U103" s="171"/>
    </row>
    <row r="104" spans="1:21" x14ac:dyDescent="0.3">
      <c r="A104" s="154">
        <v>306</v>
      </c>
      <c r="B104" s="181" t="str">
        <f t="shared" si="55"/>
        <v>Historical</v>
      </c>
      <c r="C104" s="171"/>
      <c r="D104" s="188" t="str">
        <f ca="1">INDEX(INDIRECT(E104),0,COLUMN(MO_Common_Column_A))</f>
        <v>Non-GAAP Gross Margin, %</v>
      </c>
      <c r="E104" s="182" t="s">
        <v>304</v>
      </c>
      <c r="F104" s="181" t="s">
        <v>1114</v>
      </c>
      <c r="G104" s="181"/>
      <c r="H104" s="171"/>
      <c r="I104" s="185">
        <v>0.76500000000000001</v>
      </c>
      <c r="J104" s="185">
        <v>0.77500000000000002</v>
      </c>
      <c r="K104" s="185">
        <f t="shared" si="59"/>
        <v>0.77</v>
      </c>
      <c r="L104" s="171"/>
      <c r="M104" s="181" t="str">
        <f t="shared" si="56"/>
        <v>Actual</v>
      </c>
      <c r="N104" s="185">
        <f ca="1">IFERROR(INDEX(INDIRECT(E104),0,MATCH(F104,MO_Common_ColumnHeader,0)),"N/A")</f>
        <v>0.78943326677929659</v>
      </c>
      <c r="O104" s="171"/>
      <c r="P104" s="190">
        <f t="shared" ca="1" si="57"/>
        <v>1.9433266779296576E-2</v>
      </c>
      <c r="Q104" s="190">
        <f t="shared" ca="1" si="58"/>
        <v>2.5238008804281266E-2</v>
      </c>
      <c r="R104" s="171"/>
      <c r="S104" s="184">
        <v>45343</v>
      </c>
      <c r="T104" s="191" t="s">
        <v>622</v>
      </c>
      <c r="U104" s="171"/>
    </row>
    <row r="105" spans="1:21" x14ac:dyDescent="0.3">
      <c r="A105" s="154">
        <v>305</v>
      </c>
      <c r="B105" s="181" t="str">
        <f t="shared" si="55"/>
        <v>Historical</v>
      </c>
      <c r="C105" s="171"/>
      <c r="D105" s="188" t="s">
        <v>305</v>
      </c>
      <c r="E105" s="182"/>
      <c r="F105" s="181" t="s">
        <v>1114</v>
      </c>
      <c r="G105" s="181"/>
      <c r="H105" s="171"/>
      <c r="I105" s="183">
        <v>3500</v>
      </c>
      <c r="J105" s="183">
        <v>3500</v>
      </c>
      <c r="K105" s="183">
        <f t="shared" si="59"/>
        <v>3500</v>
      </c>
      <c r="L105" s="171"/>
      <c r="M105" s="181" t="str">
        <f t="shared" si="56"/>
        <v>Actual</v>
      </c>
      <c r="N105" s="183">
        <f>INDEX(MO_RIS_RD,0,MATCH(F105,MO_Common_ColumnHeader,0))+INDEX(MO_RIS_SGA,0,MATCH(F105,MO_Common_ColumnHeader,0))</f>
        <v>3497</v>
      </c>
      <c r="O105" s="171"/>
      <c r="P105" s="189">
        <f t="shared" si="57"/>
        <v>-3</v>
      </c>
      <c r="Q105" s="190">
        <f t="shared" si="58"/>
        <v>-8.571428571428571E-4</v>
      </c>
      <c r="R105" s="171"/>
      <c r="S105" s="184">
        <v>45343</v>
      </c>
      <c r="T105" s="191" t="s">
        <v>622</v>
      </c>
      <c r="U105" s="171"/>
    </row>
    <row r="106" spans="1:21" x14ac:dyDescent="0.3">
      <c r="A106" s="154">
        <v>304</v>
      </c>
      <c r="B106" s="181" t="str">
        <f t="shared" si="55"/>
        <v>Historical</v>
      </c>
      <c r="C106" s="171"/>
      <c r="D106" s="188" t="str">
        <f ca="1">INDEX(INDIRECT(E106),0,COLUMN(MO_Common_Column_A))</f>
        <v>Total Non-GAAP Operating Expenses, mm</v>
      </c>
      <c r="E106" s="182" t="s">
        <v>939</v>
      </c>
      <c r="F106" s="181" t="s">
        <v>1114</v>
      </c>
      <c r="G106" s="181"/>
      <c r="H106" s="171"/>
      <c r="I106" s="183">
        <v>2500</v>
      </c>
      <c r="J106" s="183">
        <v>2500</v>
      </c>
      <c r="K106" s="183">
        <f t="shared" si="59"/>
        <v>2500</v>
      </c>
      <c r="L106" s="171"/>
      <c r="M106" s="181" t="str">
        <f t="shared" si="56"/>
        <v>Actual</v>
      </c>
      <c r="N106" s="183">
        <f ca="1">IFERROR(INDEX(INDIRECT(E106),0,MATCH(F106,MO_Common_ColumnHeader,0)),"N/A")</f>
        <v>2502</v>
      </c>
      <c r="O106" s="171"/>
      <c r="P106" s="189">
        <f t="shared" ca="1" si="57"/>
        <v>2</v>
      </c>
      <c r="Q106" s="190">
        <f t="shared" ca="1" si="58"/>
        <v>8.0000000000000004E-4</v>
      </c>
      <c r="R106" s="171"/>
      <c r="S106" s="184">
        <v>45343</v>
      </c>
      <c r="T106" s="191" t="s">
        <v>622</v>
      </c>
      <c r="U106" s="171"/>
    </row>
    <row r="107" spans="1:21" x14ac:dyDescent="0.3">
      <c r="A107" s="154">
        <v>303</v>
      </c>
      <c r="B107" s="181" t="str">
        <f t="shared" si="55"/>
        <v>Historical</v>
      </c>
      <c r="C107" s="171"/>
      <c r="D107" s="188" t="s">
        <v>307</v>
      </c>
      <c r="E107" s="182"/>
      <c r="F107" s="181" t="s">
        <v>1114</v>
      </c>
      <c r="G107" s="181"/>
      <c r="H107" s="171"/>
      <c r="I107" s="183">
        <v>-250</v>
      </c>
      <c r="J107" s="183">
        <v>-250</v>
      </c>
      <c r="K107" s="183">
        <f t="shared" si="59"/>
        <v>-250</v>
      </c>
      <c r="L107" s="171"/>
      <c r="M107" s="181" t="str">
        <f t="shared" si="56"/>
        <v>Actual</v>
      </c>
      <c r="N107" s="183" t="str">
        <f ca="1">IFERROR(INDEX(INDIRECT(E107),0,MATCH(F107,MO_Common_ColumnHeader,0)),"N/A")</f>
        <v>N/A</v>
      </c>
      <c r="O107" s="171"/>
      <c r="P107" s="189" t="str">
        <f t="shared" ca="1" si="57"/>
        <v>N/A</v>
      </c>
      <c r="Q107" s="190" t="str">
        <f t="shared" ca="1" si="58"/>
        <v>N/A</v>
      </c>
      <c r="R107" s="171"/>
      <c r="S107" s="184">
        <v>45343</v>
      </c>
      <c r="T107" s="191" t="s">
        <v>622</v>
      </c>
      <c r="U107" s="171"/>
    </row>
    <row r="108" spans="1:21" x14ac:dyDescent="0.3">
      <c r="A108" s="154">
        <v>302</v>
      </c>
      <c r="B108" s="181" t="str">
        <f t="shared" si="55"/>
        <v>Historical</v>
      </c>
      <c r="C108" s="171"/>
      <c r="D108" s="188" t="s">
        <v>308</v>
      </c>
      <c r="E108" s="182"/>
      <c r="F108" s="181" t="s">
        <v>1114</v>
      </c>
      <c r="G108" s="181"/>
      <c r="H108" s="171"/>
      <c r="I108" s="183">
        <v>-250</v>
      </c>
      <c r="J108" s="183">
        <v>-250</v>
      </c>
      <c r="K108" s="183">
        <f t="shared" si="59"/>
        <v>-250</v>
      </c>
      <c r="L108" s="171"/>
      <c r="M108" s="181" t="str">
        <f t="shared" si="56"/>
        <v>Actual</v>
      </c>
      <c r="N108" s="183">
        <f>INDEX(MO_RIS_IE_Net_NONGAAP,0,MATCH(F108,MO_Common_ColumnHeader,0))+INDEX(MO_RIS_OI_NONGAAP,0,MATCH(F108,MO_Common_ColumnHeader,0))</f>
        <v>-302</v>
      </c>
      <c r="O108" s="171"/>
      <c r="P108" s="189">
        <f t="shared" si="57"/>
        <v>-52</v>
      </c>
      <c r="Q108" s="190">
        <f t="shared" si="58"/>
        <v>-0.20799999999999999</v>
      </c>
      <c r="R108" s="171"/>
      <c r="S108" s="184">
        <v>45343</v>
      </c>
      <c r="T108" s="191" t="s">
        <v>622</v>
      </c>
      <c r="U108" s="171"/>
    </row>
    <row r="109" spans="1:21" x14ac:dyDescent="0.3">
      <c r="A109" s="154">
        <v>301</v>
      </c>
      <c r="B109" s="181" t="str">
        <f t="shared" si="55"/>
        <v>Historical</v>
      </c>
      <c r="C109" s="171"/>
      <c r="D109" s="188" t="s">
        <v>309</v>
      </c>
      <c r="E109" s="182" t="s">
        <v>818</v>
      </c>
      <c r="F109" s="181" t="s">
        <v>1114</v>
      </c>
      <c r="G109" s="181"/>
      <c r="H109" s="171"/>
      <c r="I109" s="185">
        <v>0.16</v>
      </c>
      <c r="J109" s="185">
        <v>0.18</v>
      </c>
      <c r="K109" s="185">
        <f t="shared" si="59"/>
        <v>0.16999999999999998</v>
      </c>
      <c r="L109" s="171"/>
      <c r="M109" s="181" t="str">
        <f t="shared" si="56"/>
        <v>Actual</v>
      </c>
      <c r="N109" s="185">
        <f ca="1">IFERROR(INDEX(INDIRECT(E109),0,MATCH(F109,MO_Common_ColumnHeader,0)),"N/A")</f>
        <v>0.13878117946640431</v>
      </c>
      <c r="O109" s="171"/>
      <c r="P109" s="190">
        <f t="shared" ca="1" si="57"/>
        <v>-3.1218820533595676E-2</v>
      </c>
      <c r="Q109" s="190">
        <f t="shared" ca="1" si="58"/>
        <v>-0.18364012078585693</v>
      </c>
      <c r="R109" s="171"/>
      <c r="S109" s="184">
        <v>45343</v>
      </c>
      <c r="T109" s="191" t="s">
        <v>622</v>
      </c>
      <c r="U109" s="171"/>
    </row>
    <row r="110" spans="1:21" x14ac:dyDescent="0.3">
      <c r="A110" s="154">
        <v>300</v>
      </c>
      <c r="B110" s="181" t="str">
        <f t="shared" si="55"/>
        <v>Historical</v>
      </c>
      <c r="C110" s="171"/>
      <c r="D110" s="188" t="str">
        <f ca="1">INDEX(INDIRECT(E110),0,COLUMN(MO_Common_Column_A))</f>
        <v>Non-GAAP Tax Rate</v>
      </c>
      <c r="E110" s="182" t="s">
        <v>310</v>
      </c>
      <c r="F110" s="181" t="s">
        <v>1114</v>
      </c>
      <c r="G110" s="181"/>
      <c r="H110" s="171"/>
      <c r="I110" s="185">
        <v>0.16</v>
      </c>
      <c r="J110" s="185">
        <v>0.18</v>
      </c>
      <c r="K110" s="185">
        <f t="shared" si="59"/>
        <v>0.16999999999999998</v>
      </c>
      <c r="L110" s="171"/>
      <c r="M110" s="181" t="str">
        <f t="shared" si="56"/>
        <v>Actual</v>
      </c>
      <c r="N110" s="185">
        <f ca="1">IFERROR(INDEX(INDIRECT(E110),0,MATCH(F110,MO_Common_ColumnHeader,0)),"N/A")</f>
        <v>0.17008877512118076</v>
      </c>
      <c r="O110" s="171"/>
      <c r="P110" s="190">
        <f t="shared" ca="1" si="57"/>
        <v>8.877512118077302E-5</v>
      </c>
      <c r="Q110" s="190">
        <f t="shared" ca="1" si="58"/>
        <v>5.2220659518101785E-4</v>
      </c>
      <c r="R110" s="171"/>
      <c r="S110" s="184">
        <v>45343</v>
      </c>
      <c r="T110" s="191" t="s">
        <v>622</v>
      </c>
      <c r="U110" s="171"/>
    </row>
    <row r="111" spans="1:21" x14ac:dyDescent="0.3">
      <c r="A111" s="154">
        <v>299</v>
      </c>
      <c r="B111" s="171"/>
      <c r="C111" s="171"/>
      <c r="D111" s="168"/>
      <c r="E111" s="169"/>
      <c r="F111" s="171"/>
      <c r="G111" s="171"/>
      <c r="H111" s="171"/>
      <c r="I111" s="885"/>
      <c r="J111" s="885"/>
      <c r="K111" s="885"/>
      <c r="L111" s="171"/>
      <c r="M111" s="171"/>
      <c r="N111" s="885"/>
      <c r="O111" s="171"/>
      <c r="P111" s="172"/>
      <c r="Q111" s="134"/>
      <c r="R111" s="171"/>
      <c r="S111" s="173"/>
      <c r="T111" s="192"/>
      <c r="U111" s="171"/>
    </row>
    <row r="112" spans="1:21" x14ac:dyDescent="0.3">
      <c r="A112" s="154">
        <v>298</v>
      </c>
      <c r="B112" s="181" t="str">
        <f t="shared" ref="B112:B120" si="60">IF(INDEX(MO_SNA_IsHistoricalPeriod,,MATCH(F112,MO_Common_ColumnHeader,0)),"Historical","Forward")</f>
        <v>Historical</v>
      </c>
      <c r="C112" s="171"/>
      <c r="D112" s="188" t="str">
        <f ca="1">INDEX(INDIRECT(E112),0,COLUMN(MO_Common_Column_A))</f>
        <v>Net Revenue</v>
      </c>
      <c r="E112" s="182" t="s">
        <v>300</v>
      </c>
      <c r="F112" s="181" t="s">
        <v>932</v>
      </c>
      <c r="G112" s="181"/>
      <c r="H112" s="171"/>
      <c r="I112" s="183">
        <f>20000*0.98</f>
        <v>19600</v>
      </c>
      <c r="J112" s="183">
        <f>20000*1.02</f>
        <v>20400</v>
      </c>
      <c r="K112" s="183">
        <f t="shared" ref="K112:K120" si="61">AVERAGE(I112:J112)</f>
        <v>20000</v>
      </c>
      <c r="L112" s="171"/>
      <c r="M112" s="181" t="str">
        <f t="shared" ref="M112:M120" si="62">IF(INDEX(MO_SNA_IsHistoricalPeriod,,MATCH(F112,MO_Common_ColumnHeader,0)),"Actual","Estimate")</f>
        <v>Actual</v>
      </c>
      <c r="N112" s="183">
        <f ca="1">IFERROR(INDEX(INDIRECT(E112),0,MATCH(F112,MO_Common_ColumnHeader,0)),"N/A")</f>
        <v>22103</v>
      </c>
      <c r="O112" s="171"/>
      <c r="P112" s="189">
        <f t="shared" ref="P112:P120" ca="1" si="63">IF(ISNUMBER(N112),N112-K112,"N/A")</f>
        <v>2103</v>
      </c>
      <c r="Q112" s="190">
        <f t="shared" ref="Q112:Q120" ca="1" si="64">IFERROR(IF(ISNUMBER(N112),(N112-K112)/ABS(K112),"N/A"),"N/A")</f>
        <v>0.10514999999999999</v>
      </c>
      <c r="R112" s="171"/>
      <c r="S112" s="184">
        <v>45251</v>
      </c>
      <c r="T112" s="191" t="s">
        <v>622</v>
      </c>
      <c r="U112" s="171"/>
    </row>
    <row r="113" spans="1:21" x14ac:dyDescent="0.3">
      <c r="A113" s="154">
        <v>297</v>
      </c>
      <c r="B113" s="181" t="str">
        <f t="shared" si="60"/>
        <v>Historical</v>
      </c>
      <c r="C113" s="171"/>
      <c r="D113" s="188" t="str">
        <f ca="1">INDEX(INDIRECT(E113),0,COLUMN(MO_Common_Column_A))</f>
        <v>GAAP Gross Margin, %</v>
      </c>
      <c r="E113" s="182" t="s">
        <v>303</v>
      </c>
      <c r="F113" s="181" t="s">
        <v>932</v>
      </c>
      <c r="G113" s="181"/>
      <c r="H113" s="171"/>
      <c r="I113" s="185">
        <f>74.5%-0.5%</f>
        <v>0.74</v>
      </c>
      <c r="J113" s="185">
        <f>74.5%+0.5%</f>
        <v>0.75</v>
      </c>
      <c r="K113" s="185">
        <f t="shared" si="61"/>
        <v>0.745</v>
      </c>
      <c r="L113" s="171"/>
      <c r="M113" s="181" t="str">
        <f t="shared" si="62"/>
        <v>Actual</v>
      </c>
      <c r="N113" s="185">
        <f ca="1">IFERROR(INDEX(INDIRECT(E113),0,MATCH(F113,MO_Common_ColumnHeader,0)),"N/A")</f>
        <v>0.75967063294575399</v>
      </c>
      <c r="O113" s="171"/>
      <c r="P113" s="190">
        <f t="shared" ca="1" si="63"/>
        <v>1.4670632945753992E-2</v>
      </c>
      <c r="Q113" s="190">
        <f t="shared" ca="1" si="64"/>
        <v>1.9692124759401332E-2</v>
      </c>
      <c r="R113" s="171"/>
      <c r="S113" s="184">
        <v>45251</v>
      </c>
      <c r="T113" s="191" t="s">
        <v>622</v>
      </c>
      <c r="U113" s="171"/>
    </row>
    <row r="114" spans="1:21" x14ac:dyDescent="0.3">
      <c r="A114" s="154">
        <v>296</v>
      </c>
      <c r="B114" s="181" t="str">
        <f t="shared" si="60"/>
        <v>Historical</v>
      </c>
      <c r="C114" s="171"/>
      <c r="D114" s="188" t="str">
        <f ca="1">INDEX(INDIRECT(E114),0,COLUMN(MO_Common_Column_A))</f>
        <v>Non-GAAP Gross Margin, %</v>
      </c>
      <c r="E114" s="182" t="s">
        <v>304</v>
      </c>
      <c r="F114" s="181" t="s">
        <v>932</v>
      </c>
      <c r="G114" s="181"/>
      <c r="H114" s="171"/>
      <c r="I114" s="185">
        <f>75.5%-0.5%</f>
        <v>0.75</v>
      </c>
      <c r="J114" s="185">
        <f>75.5%+0.5%</f>
        <v>0.76</v>
      </c>
      <c r="K114" s="185">
        <f t="shared" si="61"/>
        <v>0.755</v>
      </c>
      <c r="L114" s="171"/>
      <c r="M114" s="181" t="str">
        <f t="shared" si="62"/>
        <v>Actual</v>
      </c>
      <c r="N114" s="185">
        <f ca="1">IFERROR(INDEX(INDIRECT(E114),0,MATCH(F114,MO_Common_ColumnHeader,0)),"N/A")</f>
        <v>0.76727141112066233</v>
      </c>
      <c r="O114" s="171"/>
      <c r="P114" s="190">
        <f t="shared" ca="1" si="63"/>
        <v>1.2271411120662323E-2</v>
      </c>
      <c r="Q114" s="190">
        <f t="shared" ca="1" si="64"/>
        <v>1.6253524663128904E-2</v>
      </c>
      <c r="R114" s="171"/>
      <c r="S114" s="184">
        <v>45251</v>
      </c>
      <c r="T114" s="191" t="s">
        <v>622</v>
      </c>
      <c r="U114" s="171"/>
    </row>
    <row r="115" spans="1:21" x14ac:dyDescent="0.3">
      <c r="A115" s="154">
        <v>295</v>
      </c>
      <c r="B115" s="181" t="str">
        <f t="shared" si="60"/>
        <v>Historical</v>
      </c>
      <c r="C115" s="171"/>
      <c r="D115" s="188" t="s">
        <v>305</v>
      </c>
      <c r="E115" s="182"/>
      <c r="F115" s="181" t="s">
        <v>932</v>
      </c>
      <c r="G115" s="181"/>
      <c r="H115" s="171"/>
      <c r="I115" s="183">
        <v>3170</v>
      </c>
      <c r="J115" s="183">
        <v>3170</v>
      </c>
      <c r="K115" s="183">
        <f t="shared" si="61"/>
        <v>3170</v>
      </c>
      <c r="L115" s="171"/>
      <c r="M115" s="181" t="str">
        <f t="shared" si="62"/>
        <v>Actual</v>
      </c>
      <c r="N115" s="183">
        <f>INDEX(MO_RIS_RD,0,MATCH(F115,MO_Common_ColumnHeader,0))+INDEX(MO_RIS_SGA,0,MATCH(F115,MO_Common_ColumnHeader,0))</f>
        <v>3176</v>
      </c>
      <c r="O115" s="171"/>
      <c r="P115" s="189">
        <f t="shared" si="63"/>
        <v>6</v>
      </c>
      <c r="Q115" s="190">
        <f t="shared" si="64"/>
        <v>1.8927444794952682E-3</v>
      </c>
      <c r="R115" s="171"/>
      <c r="S115" s="184">
        <v>45251</v>
      </c>
      <c r="T115" s="191" t="s">
        <v>622</v>
      </c>
      <c r="U115" s="171"/>
    </row>
    <row r="116" spans="1:21" x14ac:dyDescent="0.3">
      <c r="A116" s="154">
        <v>294</v>
      </c>
      <c r="B116" s="181" t="str">
        <f t="shared" si="60"/>
        <v>Historical</v>
      </c>
      <c r="C116" s="171"/>
      <c r="D116" s="188" t="str">
        <f ca="1">INDEX(INDIRECT(E116),0,COLUMN(MO_Common_Column_A))</f>
        <v>Total Non-GAAP Operating Expenses, mm</v>
      </c>
      <c r="E116" s="182" t="s">
        <v>939</v>
      </c>
      <c r="F116" s="181" t="s">
        <v>932</v>
      </c>
      <c r="G116" s="181"/>
      <c r="H116" s="171"/>
      <c r="I116" s="183">
        <v>2200</v>
      </c>
      <c r="J116" s="183">
        <v>2200</v>
      </c>
      <c r="K116" s="183">
        <f t="shared" si="61"/>
        <v>2200</v>
      </c>
      <c r="L116" s="171"/>
      <c r="M116" s="181" t="str">
        <f t="shared" si="62"/>
        <v>Actual</v>
      </c>
      <c r="N116" s="183">
        <f ca="1">IFERROR(INDEX(INDIRECT(E116),0,MATCH(F116,MO_Common_ColumnHeader,0)),"N/A")</f>
        <v>2210</v>
      </c>
      <c r="O116" s="171"/>
      <c r="P116" s="189">
        <f t="shared" ca="1" si="63"/>
        <v>10</v>
      </c>
      <c r="Q116" s="190">
        <f t="shared" ca="1" si="64"/>
        <v>4.5454545454545452E-3</v>
      </c>
      <c r="R116" s="171"/>
      <c r="S116" s="184">
        <v>45251</v>
      </c>
      <c r="T116" s="191" t="s">
        <v>622</v>
      </c>
      <c r="U116" s="171"/>
    </row>
    <row r="117" spans="1:21" x14ac:dyDescent="0.3">
      <c r="A117" s="154">
        <v>293</v>
      </c>
      <c r="B117" s="181" t="str">
        <f t="shared" si="60"/>
        <v>Historical</v>
      </c>
      <c r="C117" s="171"/>
      <c r="D117" s="188" t="s">
        <v>307</v>
      </c>
      <c r="E117" s="182"/>
      <c r="F117" s="181" t="s">
        <v>932</v>
      </c>
      <c r="G117" s="181"/>
      <c r="H117" s="171"/>
      <c r="I117" s="183">
        <v>-200</v>
      </c>
      <c r="J117" s="183">
        <v>-200</v>
      </c>
      <c r="K117" s="183">
        <f t="shared" si="61"/>
        <v>-200</v>
      </c>
      <c r="L117" s="171"/>
      <c r="M117" s="181" t="str">
        <f t="shared" si="62"/>
        <v>Actual</v>
      </c>
      <c r="N117" s="183" t="str">
        <f ca="1">IFERROR(INDEX(INDIRECT(E117),0,MATCH(F117,MO_Common_ColumnHeader,0)),"N/A")</f>
        <v>N/A</v>
      </c>
      <c r="O117" s="171"/>
      <c r="P117" s="189" t="str">
        <f t="shared" ca="1" si="63"/>
        <v>N/A</v>
      </c>
      <c r="Q117" s="190" t="str">
        <f t="shared" ca="1" si="64"/>
        <v>N/A</v>
      </c>
      <c r="R117" s="171"/>
      <c r="S117" s="184">
        <v>45251</v>
      </c>
      <c r="T117" s="191" t="s">
        <v>622</v>
      </c>
      <c r="U117" s="171"/>
    </row>
    <row r="118" spans="1:21" x14ac:dyDescent="0.3">
      <c r="A118" s="154">
        <v>292</v>
      </c>
      <c r="B118" s="181" t="str">
        <f t="shared" si="60"/>
        <v>Historical</v>
      </c>
      <c r="C118" s="171"/>
      <c r="D118" s="188" t="s">
        <v>308</v>
      </c>
      <c r="E118" s="182"/>
      <c r="F118" s="181" t="s">
        <v>932</v>
      </c>
      <c r="G118" s="181"/>
      <c r="H118" s="171"/>
      <c r="I118" s="183">
        <v>-200</v>
      </c>
      <c r="J118" s="183">
        <v>-200</v>
      </c>
      <c r="K118" s="183">
        <f t="shared" si="61"/>
        <v>-200</v>
      </c>
      <c r="L118" s="171"/>
      <c r="M118" s="181" t="str">
        <f t="shared" si="62"/>
        <v>Actual</v>
      </c>
      <c r="N118" s="183">
        <f>INDEX(MO_RIS_IE_Net_NONGAAP,0,MATCH(F118,MO_Common_ColumnHeader,0))+INDEX(MO_RIS_OI_NONGAAP,0,MATCH(F118,MO_Common_ColumnHeader,0))</f>
        <v>-232</v>
      </c>
      <c r="O118" s="171"/>
      <c r="P118" s="189">
        <f t="shared" si="63"/>
        <v>-32</v>
      </c>
      <c r="Q118" s="190">
        <f t="shared" si="64"/>
        <v>-0.16</v>
      </c>
      <c r="R118" s="171"/>
      <c r="S118" s="184">
        <v>45251</v>
      </c>
      <c r="T118" s="191" t="s">
        <v>622</v>
      </c>
      <c r="U118" s="171"/>
    </row>
    <row r="119" spans="1:21" x14ac:dyDescent="0.3">
      <c r="A119" s="154">
        <v>291</v>
      </c>
      <c r="B119" s="181" t="str">
        <f t="shared" si="60"/>
        <v>Historical</v>
      </c>
      <c r="C119" s="171"/>
      <c r="D119" s="188" t="s">
        <v>309</v>
      </c>
      <c r="E119" s="182" t="s">
        <v>818</v>
      </c>
      <c r="F119" s="181" t="s">
        <v>932</v>
      </c>
      <c r="G119" s="181"/>
      <c r="H119" s="171"/>
      <c r="I119" s="185">
        <f>15%-1%</f>
        <v>0.13999999999999999</v>
      </c>
      <c r="J119" s="185">
        <f>15%+1%</f>
        <v>0.16</v>
      </c>
      <c r="K119" s="185">
        <f t="shared" si="61"/>
        <v>0.15</v>
      </c>
      <c r="L119" s="171"/>
      <c r="M119" s="181" t="str">
        <f t="shared" si="62"/>
        <v>Actual</v>
      </c>
      <c r="N119" s="185">
        <f ca="1">IFERROR(INDEX(INDIRECT(E119),0,MATCH(F119,MO_Common_ColumnHeader,0)),"N/A")</f>
        <v>0.12909400255210549</v>
      </c>
      <c r="O119" s="171"/>
      <c r="P119" s="190">
        <f t="shared" ca="1" si="63"/>
        <v>-2.0905997447894509E-2</v>
      </c>
      <c r="Q119" s="190">
        <f t="shared" ca="1" si="64"/>
        <v>-0.13937331631929673</v>
      </c>
      <c r="R119" s="171"/>
      <c r="S119" s="184">
        <v>45251</v>
      </c>
      <c r="T119" s="191" t="s">
        <v>622</v>
      </c>
      <c r="U119" s="171"/>
    </row>
    <row r="120" spans="1:21" x14ac:dyDescent="0.3">
      <c r="A120" s="154">
        <v>290</v>
      </c>
      <c r="B120" s="181" t="str">
        <f t="shared" si="60"/>
        <v>Historical</v>
      </c>
      <c r="C120" s="171"/>
      <c r="D120" s="188" t="str">
        <f ca="1">INDEX(INDIRECT(E120),0,COLUMN(MO_Common_Column_A))</f>
        <v>Non-GAAP Tax Rate</v>
      </c>
      <c r="E120" s="182" t="s">
        <v>310</v>
      </c>
      <c r="F120" s="181" t="s">
        <v>932</v>
      </c>
      <c r="G120" s="181"/>
      <c r="H120" s="171"/>
      <c r="I120" s="185">
        <f>15%-1%</f>
        <v>0.13999999999999999</v>
      </c>
      <c r="J120" s="185">
        <f>15%+1%</f>
        <v>0.16</v>
      </c>
      <c r="K120" s="185">
        <f t="shared" si="61"/>
        <v>0.15</v>
      </c>
      <c r="L120" s="171"/>
      <c r="M120" s="181" t="str">
        <f t="shared" si="62"/>
        <v>Actual</v>
      </c>
      <c r="N120" s="185">
        <f ca="1">IFERROR(INDEX(INDIRECT(E120),0,MATCH(F120,MO_Common_ColumnHeader,0)),"N/A")</f>
        <v>0.14298110940524664</v>
      </c>
      <c r="O120" s="171"/>
      <c r="P120" s="190">
        <f t="shared" ca="1" si="63"/>
        <v>-7.0188905947533575E-3</v>
      </c>
      <c r="Q120" s="190">
        <f t="shared" ca="1" si="64"/>
        <v>-4.6792603965022384E-2</v>
      </c>
      <c r="R120" s="171"/>
      <c r="S120" s="184">
        <v>45251</v>
      </c>
      <c r="T120" s="191" t="s">
        <v>622</v>
      </c>
      <c r="U120" s="171"/>
    </row>
    <row r="121" spans="1:21" x14ac:dyDescent="0.3">
      <c r="A121" s="154">
        <v>289</v>
      </c>
      <c r="B121" s="171"/>
      <c r="C121" s="171"/>
      <c r="D121" s="168"/>
      <c r="E121" s="169"/>
      <c r="F121" s="171"/>
      <c r="G121" s="171"/>
      <c r="H121" s="171"/>
      <c r="I121" s="885"/>
      <c r="J121" s="885"/>
      <c r="K121" s="885"/>
      <c r="L121" s="171"/>
      <c r="M121" s="171"/>
      <c r="N121" s="885"/>
      <c r="O121" s="171"/>
      <c r="P121" s="172"/>
      <c r="Q121" s="134"/>
      <c r="R121" s="171"/>
      <c r="S121" s="173"/>
      <c r="T121" s="192"/>
      <c r="U121" s="171"/>
    </row>
    <row r="122" spans="1:21" x14ac:dyDescent="0.3">
      <c r="A122" s="154">
        <v>288</v>
      </c>
      <c r="B122" s="181" t="str">
        <f t="shared" ref="B122:B130" si="65">IF(INDEX(MO_SNA_IsHistoricalPeriod,,MATCH(F122,MO_Common_ColumnHeader,0)),"Historical","Forward")</f>
        <v>Historical</v>
      </c>
      <c r="C122" s="171"/>
      <c r="D122" s="188" t="str">
        <f ca="1">INDEX(INDIRECT(E122),0,COLUMN(MO_Common_Column_A))</f>
        <v>Net Revenue</v>
      </c>
      <c r="E122" s="182" t="s">
        <v>300</v>
      </c>
      <c r="F122" s="181" t="s">
        <v>930</v>
      </c>
      <c r="G122" s="181"/>
      <c r="H122" s="171"/>
      <c r="I122" s="183">
        <f>16000*0.98</f>
        <v>15680</v>
      </c>
      <c r="J122" s="183">
        <f>16000*1.02</f>
        <v>16320</v>
      </c>
      <c r="K122" s="183">
        <f t="shared" ref="K122:K130" si="66">AVERAGE(I122:J122)</f>
        <v>16000</v>
      </c>
      <c r="L122" s="171"/>
      <c r="M122" s="181" t="str">
        <f t="shared" ref="M122:M130" si="67">IF(INDEX(MO_SNA_IsHistoricalPeriod,,MATCH(F122,MO_Common_ColumnHeader,0)),"Actual","Estimate")</f>
        <v>Actual</v>
      </c>
      <c r="N122" s="183">
        <f ca="1">IFERROR(INDEX(INDIRECT(E122),0,MATCH(F122,MO_Common_ColumnHeader,0)),"N/A")</f>
        <v>18120</v>
      </c>
      <c r="O122" s="171"/>
      <c r="P122" s="189">
        <f t="shared" ref="P122:P130" ca="1" si="68">IF(ISNUMBER(N122),N122-K122,"N/A")</f>
        <v>2120</v>
      </c>
      <c r="Q122" s="190">
        <f t="shared" ref="Q122:Q130" ca="1" si="69">IFERROR(IF(ISNUMBER(N122),(N122-K122)/ABS(K122),"N/A"),"N/A")</f>
        <v>0.13250000000000001</v>
      </c>
      <c r="R122" s="171"/>
      <c r="S122" s="184">
        <v>45161</v>
      </c>
      <c r="T122" s="191" t="s">
        <v>622</v>
      </c>
      <c r="U122" s="171"/>
    </row>
    <row r="123" spans="1:21" x14ac:dyDescent="0.3">
      <c r="A123" s="154">
        <v>287</v>
      </c>
      <c r="B123" s="181" t="str">
        <f t="shared" si="65"/>
        <v>Historical</v>
      </c>
      <c r="C123" s="171"/>
      <c r="D123" s="188" t="str">
        <f ca="1">INDEX(INDIRECT(E123),0,COLUMN(MO_Common_Column_A))</f>
        <v>GAAP Gross Margin, %</v>
      </c>
      <c r="E123" s="182" t="s">
        <v>303</v>
      </c>
      <c r="F123" s="181" t="s">
        <v>930</v>
      </c>
      <c r="G123" s="181"/>
      <c r="H123" s="171"/>
      <c r="I123" s="185">
        <v>0.71</v>
      </c>
      <c r="J123" s="185">
        <v>0.72</v>
      </c>
      <c r="K123" s="185">
        <f t="shared" si="66"/>
        <v>0.71499999999999997</v>
      </c>
      <c r="L123" s="171"/>
      <c r="M123" s="181" t="str">
        <f t="shared" si="67"/>
        <v>Actual</v>
      </c>
      <c r="N123" s="185">
        <f ca="1">IFERROR(INDEX(INDIRECT(E123),0,MATCH(F123,MO_Common_ColumnHeader,0)),"N/A")</f>
        <v>0.73951434878587197</v>
      </c>
      <c r="O123" s="171"/>
      <c r="P123" s="190">
        <f t="shared" ca="1" si="68"/>
        <v>2.4514348785871998E-2</v>
      </c>
      <c r="Q123" s="190">
        <f t="shared" ca="1" si="69"/>
        <v>3.4285802497723075E-2</v>
      </c>
      <c r="R123" s="171"/>
      <c r="S123" s="184">
        <v>45161</v>
      </c>
      <c r="T123" s="191" t="s">
        <v>622</v>
      </c>
      <c r="U123" s="171"/>
    </row>
    <row r="124" spans="1:21" x14ac:dyDescent="0.3">
      <c r="A124" s="154">
        <v>286</v>
      </c>
      <c r="B124" s="181" t="str">
        <f t="shared" si="65"/>
        <v>Historical</v>
      </c>
      <c r="C124" s="171"/>
      <c r="D124" s="188" t="str">
        <f ca="1">INDEX(INDIRECT(E124),0,COLUMN(MO_Common_Column_A))</f>
        <v>Non-GAAP Gross Margin, %</v>
      </c>
      <c r="E124" s="182" t="s">
        <v>304</v>
      </c>
      <c r="F124" s="181" t="s">
        <v>930</v>
      </c>
      <c r="G124" s="181"/>
      <c r="H124" s="171"/>
      <c r="I124" s="185">
        <v>0.72</v>
      </c>
      <c r="J124" s="185">
        <v>0.73</v>
      </c>
      <c r="K124" s="185">
        <f t="shared" si="66"/>
        <v>0.72499999999999998</v>
      </c>
      <c r="L124" s="171"/>
      <c r="M124" s="181" t="str">
        <f t="shared" si="67"/>
        <v>Actual</v>
      </c>
      <c r="N124" s="185">
        <f ca="1">IFERROR(INDEX(INDIRECT(E124),0,MATCH(F124,MO_Common_ColumnHeader,0)),"N/A")</f>
        <v>0.74961368653421634</v>
      </c>
      <c r="O124" s="171"/>
      <c r="P124" s="190">
        <f t="shared" ca="1" si="68"/>
        <v>2.4613686534216361E-2</v>
      </c>
      <c r="Q124" s="190">
        <f t="shared" ca="1" si="69"/>
        <v>3.3949912460988087E-2</v>
      </c>
      <c r="R124" s="171"/>
      <c r="S124" s="184">
        <v>45161</v>
      </c>
      <c r="T124" s="191" t="s">
        <v>622</v>
      </c>
      <c r="U124" s="171"/>
    </row>
    <row r="125" spans="1:21" x14ac:dyDescent="0.3">
      <c r="A125" s="154">
        <v>285</v>
      </c>
      <c r="B125" s="181" t="str">
        <f t="shared" si="65"/>
        <v>Historical</v>
      </c>
      <c r="C125" s="171"/>
      <c r="D125" s="188" t="s">
        <v>305</v>
      </c>
      <c r="E125" s="182"/>
      <c r="F125" s="181" t="s">
        <v>930</v>
      </c>
      <c r="G125" s="181"/>
      <c r="H125" s="171"/>
      <c r="I125" s="183">
        <v>2950</v>
      </c>
      <c r="J125" s="183">
        <v>2950</v>
      </c>
      <c r="K125" s="183">
        <f t="shared" si="66"/>
        <v>2950</v>
      </c>
      <c r="L125" s="171"/>
      <c r="M125" s="181" t="str">
        <f t="shared" si="67"/>
        <v>Actual</v>
      </c>
      <c r="N125" s="183">
        <f>INDEX(MO_RIS_RD,0,MATCH(F125,MO_Common_ColumnHeader,0))+INDEX(MO_RIS_SGA,0,MATCH(F125,MO_Common_ColumnHeader,0))</f>
        <v>2983</v>
      </c>
      <c r="O125" s="171"/>
      <c r="P125" s="189">
        <f t="shared" si="68"/>
        <v>33</v>
      </c>
      <c r="Q125" s="190">
        <f t="shared" si="69"/>
        <v>1.1186440677966102E-2</v>
      </c>
      <c r="R125" s="171"/>
      <c r="S125" s="184">
        <v>45161</v>
      </c>
      <c r="T125" s="191" t="s">
        <v>622</v>
      </c>
      <c r="U125" s="171"/>
    </row>
    <row r="126" spans="1:21" x14ac:dyDescent="0.3">
      <c r="A126" s="154">
        <v>284</v>
      </c>
      <c r="B126" s="181" t="str">
        <f t="shared" si="65"/>
        <v>Historical</v>
      </c>
      <c r="C126" s="171"/>
      <c r="D126" s="188" t="str">
        <f ca="1">INDEX(INDIRECT(E126),0,COLUMN(MO_Common_Column_A))</f>
        <v>Total Non-GAAP Operating Expenses, mm</v>
      </c>
      <c r="E126" s="182" t="s">
        <v>939</v>
      </c>
      <c r="F126" s="181" t="s">
        <v>930</v>
      </c>
      <c r="G126" s="181"/>
      <c r="H126" s="171"/>
      <c r="I126" s="183">
        <v>2000</v>
      </c>
      <c r="J126" s="183">
        <v>2000</v>
      </c>
      <c r="K126" s="183">
        <f t="shared" si="66"/>
        <v>2000</v>
      </c>
      <c r="L126" s="171"/>
      <c r="M126" s="181" t="str">
        <f t="shared" si="67"/>
        <v>Actual</v>
      </c>
      <c r="N126" s="183">
        <f ca="1">IFERROR(INDEX(INDIRECT(E126),0,MATCH(F126,MO_Common_ColumnHeader,0)),"N/A")</f>
        <v>2026</v>
      </c>
      <c r="O126" s="171"/>
      <c r="P126" s="189">
        <f t="shared" ca="1" si="68"/>
        <v>26</v>
      </c>
      <c r="Q126" s="190">
        <f t="shared" ca="1" si="69"/>
        <v>1.2999999999999999E-2</v>
      </c>
      <c r="R126" s="171"/>
      <c r="S126" s="184">
        <v>45161</v>
      </c>
      <c r="T126" s="191" t="s">
        <v>622</v>
      </c>
      <c r="U126" s="171"/>
    </row>
    <row r="127" spans="1:21" x14ac:dyDescent="0.3">
      <c r="A127" s="154">
        <v>283</v>
      </c>
      <c r="B127" s="181" t="str">
        <f t="shared" si="65"/>
        <v>Historical</v>
      </c>
      <c r="C127" s="171"/>
      <c r="D127" s="188" t="s">
        <v>307</v>
      </c>
      <c r="E127" s="182"/>
      <c r="F127" s="181" t="s">
        <v>930</v>
      </c>
      <c r="G127" s="181"/>
      <c r="H127" s="171"/>
      <c r="I127" s="183">
        <v>-100</v>
      </c>
      <c r="J127" s="183">
        <v>-100</v>
      </c>
      <c r="K127" s="183">
        <f t="shared" si="66"/>
        <v>-100</v>
      </c>
      <c r="L127" s="171"/>
      <c r="M127" s="181" t="str">
        <f t="shared" si="67"/>
        <v>Actual</v>
      </c>
      <c r="N127" s="183" t="str">
        <f ca="1">IFERROR(INDEX(INDIRECT(E127),0,MATCH(F127,MO_Common_ColumnHeader,0)),"N/A")</f>
        <v>N/A</v>
      </c>
      <c r="O127" s="171"/>
      <c r="P127" s="189" t="str">
        <f t="shared" ca="1" si="68"/>
        <v>N/A</v>
      </c>
      <c r="Q127" s="190" t="str">
        <f t="shared" ca="1" si="69"/>
        <v>N/A</v>
      </c>
      <c r="R127" s="171"/>
      <c r="S127" s="184">
        <v>45161</v>
      </c>
      <c r="T127" s="191" t="s">
        <v>622</v>
      </c>
      <c r="U127" s="171"/>
    </row>
    <row r="128" spans="1:21" x14ac:dyDescent="0.3">
      <c r="A128" s="154">
        <v>282</v>
      </c>
      <c r="B128" s="181" t="str">
        <f t="shared" si="65"/>
        <v>Historical</v>
      </c>
      <c r="C128" s="171"/>
      <c r="D128" s="188" t="s">
        <v>308</v>
      </c>
      <c r="E128" s="182"/>
      <c r="F128" s="181" t="s">
        <v>930</v>
      </c>
      <c r="G128" s="181"/>
      <c r="H128" s="171"/>
      <c r="I128" s="183">
        <v>-100</v>
      </c>
      <c r="J128" s="183">
        <v>-100</v>
      </c>
      <c r="K128" s="183">
        <f t="shared" si="66"/>
        <v>-100</v>
      </c>
      <c r="L128" s="171"/>
      <c r="M128" s="181" t="str">
        <f t="shared" si="67"/>
        <v>Actual</v>
      </c>
      <c r="N128" s="183">
        <f>INDEX(MO_RIS_IE_Net_NONGAAP,0,MATCH(F128,MO_Common_ColumnHeader,0))+INDEX(MO_RIS_OI_NONGAAP,0,MATCH(F128,MO_Common_ColumnHeader,0))</f>
        <v>-175</v>
      </c>
      <c r="O128" s="171"/>
      <c r="P128" s="189">
        <f t="shared" si="68"/>
        <v>-75</v>
      </c>
      <c r="Q128" s="190">
        <f t="shared" si="69"/>
        <v>-0.75</v>
      </c>
      <c r="R128" s="171"/>
      <c r="S128" s="184">
        <v>45161</v>
      </c>
      <c r="T128" s="191" t="s">
        <v>622</v>
      </c>
      <c r="U128" s="171"/>
    </row>
    <row r="129" spans="1:21" x14ac:dyDescent="0.3">
      <c r="A129" s="154">
        <v>281</v>
      </c>
      <c r="B129" s="181" t="str">
        <f t="shared" si="65"/>
        <v>Historical</v>
      </c>
      <c r="C129" s="171"/>
      <c r="D129" s="188" t="s">
        <v>309</v>
      </c>
      <c r="E129" s="182" t="s">
        <v>818</v>
      </c>
      <c r="F129" s="181" t="s">
        <v>930</v>
      </c>
      <c r="G129" s="181"/>
      <c r="H129" s="171"/>
      <c r="I129" s="185">
        <v>0.13500000000000001</v>
      </c>
      <c r="J129" s="185">
        <v>0.155</v>
      </c>
      <c r="K129" s="185">
        <f t="shared" si="66"/>
        <v>0.14500000000000002</v>
      </c>
      <c r="L129" s="171"/>
      <c r="M129" s="181" t="str">
        <f t="shared" si="67"/>
        <v>Actual</v>
      </c>
      <c r="N129" s="185">
        <f ca="1">IFERROR(INDEX(INDIRECT(E129),0,MATCH(F129,MO_Common_ColumnHeader,0)),"N/A")</f>
        <v>0.12155483748336818</v>
      </c>
      <c r="O129" s="171"/>
      <c r="P129" s="190">
        <f t="shared" ca="1" si="68"/>
        <v>-2.344516251663184E-2</v>
      </c>
      <c r="Q129" s="190">
        <f t="shared" ca="1" si="69"/>
        <v>-0.16169077597677128</v>
      </c>
      <c r="R129" s="171"/>
      <c r="S129" s="184">
        <v>45161</v>
      </c>
      <c r="T129" s="191" t="s">
        <v>622</v>
      </c>
      <c r="U129" s="171"/>
    </row>
    <row r="130" spans="1:21" x14ac:dyDescent="0.3">
      <c r="A130" s="154">
        <v>280</v>
      </c>
      <c r="B130" s="181" t="str">
        <f t="shared" si="65"/>
        <v>Historical</v>
      </c>
      <c r="C130" s="171"/>
      <c r="D130" s="188" t="str">
        <f ca="1">INDEX(INDIRECT(E130),0,COLUMN(MO_Common_Column_A))</f>
        <v>Non-GAAP Tax Rate</v>
      </c>
      <c r="E130" s="182" t="s">
        <v>310</v>
      </c>
      <c r="F130" s="181" t="s">
        <v>930</v>
      </c>
      <c r="G130" s="181"/>
      <c r="H130" s="171"/>
      <c r="I130" s="185">
        <v>0.13500000000000001</v>
      </c>
      <c r="J130" s="185">
        <v>0.155</v>
      </c>
      <c r="K130" s="185">
        <f t="shared" si="66"/>
        <v>0.14500000000000002</v>
      </c>
      <c r="L130" s="171"/>
      <c r="M130" s="181" t="str">
        <f t="shared" si="67"/>
        <v>Actual</v>
      </c>
      <c r="N130" s="185">
        <f ca="1">IFERROR(INDEX(INDIRECT(E130),0,MATCH(F130,MO_Common_ColumnHeader,0)),"N/A")</f>
        <v>0.1459256733719741</v>
      </c>
      <c r="O130" s="171"/>
      <c r="P130" s="190">
        <f t="shared" ca="1" si="68"/>
        <v>9.256733719740784E-4</v>
      </c>
      <c r="Q130" s="190">
        <f t="shared" ca="1" si="69"/>
        <v>6.3839542894764019E-3</v>
      </c>
      <c r="R130" s="171"/>
      <c r="S130" s="184">
        <v>45161</v>
      </c>
      <c r="T130" s="191" t="s">
        <v>622</v>
      </c>
      <c r="U130" s="171"/>
    </row>
    <row r="131" spans="1:21" x14ac:dyDescent="0.3">
      <c r="A131" s="154">
        <v>279</v>
      </c>
      <c r="B131" s="171"/>
      <c r="C131" s="171"/>
      <c r="D131" s="168"/>
      <c r="E131" s="169"/>
      <c r="F131" s="171"/>
      <c r="G131" s="171"/>
      <c r="H131" s="171"/>
      <c r="I131" s="885"/>
      <c r="J131" s="885"/>
      <c r="K131" s="885"/>
      <c r="L131" s="171"/>
      <c r="M131" s="171"/>
      <c r="N131" s="885"/>
      <c r="O131" s="171"/>
      <c r="P131" s="172"/>
      <c r="Q131" s="134"/>
      <c r="R131" s="171"/>
      <c r="S131" s="173"/>
      <c r="T131" s="192"/>
      <c r="U131" s="171"/>
    </row>
    <row r="132" spans="1:21" x14ac:dyDescent="0.3">
      <c r="A132" s="154">
        <v>278</v>
      </c>
      <c r="B132" s="181" t="str">
        <f t="shared" ref="B132" si="70">IF(INDEX(MO_SNA_IsHistoricalPeriod,,MATCH(F132,MO_Common_ColumnHeader,0)),"Historical","Forward")</f>
        <v>Historical</v>
      </c>
      <c r="C132" s="171"/>
      <c r="D132" s="188" t="str">
        <f ca="1">INDEX(INDIRECT(E132),0,COLUMN(MO_Common_Column_A))</f>
        <v>Capex</v>
      </c>
      <c r="E132" s="182" t="s">
        <v>560</v>
      </c>
      <c r="F132" s="181" t="s">
        <v>868</v>
      </c>
      <c r="G132" s="181"/>
      <c r="H132" s="171"/>
      <c r="I132" s="183">
        <v>-1100</v>
      </c>
      <c r="J132" s="183">
        <v>-1300</v>
      </c>
      <c r="K132" s="183">
        <f t="shared" ref="K132" si="71">AVERAGE(I132:J132)</f>
        <v>-1200</v>
      </c>
      <c r="L132" s="171"/>
      <c r="M132" s="181" t="str">
        <f t="shared" ref="M132" si="72">IF(INDEX(MO_SNA_IsHistoricalPeriod,,MATCH(F132,MO_Common_ColumnHeader,0)),"Actual","Estimate")</f>
        <v>Actual</v>
      </c>
      <c r="N132" s="183">
        <f ca="1">IFERROR(INDEX(INDIRECT(E132),0,MATCH(F132,MO_Common_ColumnHeader,0)),"N/A")</f>
        <v>-1069</v>
      </c>
      <c r="O132" s="171"/>
      <c r="P132" s="189">
        <f t="shared" ref="P132" ca="1" si="73">IF(ISNUMBER(N132),N132-K132,"N/A")</f>
        <v>131</v>
      </c>
      <c r="Q132" s="190">
        <f t="shared" ref="Q132" ca="1" si="74">IFERROR(IF(ISNUMBER(N132),(N132-K132)/ABS(K132),"N/A"),"N/A")</f>
        <v>0.10916666666666666</v>
      </c>
      <c r="R132" s="171"/>
      <c r="S132" s="184">
        <v>45070</v>
      </c>
      <c r="T132" s="191" t="s">
        <v>622</v>
      </c>
      <c r="U132" s="171"/>
    </row>
    <row r="133" spans="1:21" x14ac:dyDescent="0.3">
      <c r="A133" s="154">
        <v>277</v>
      </c>
      <c r="B133" s="171"/>
      <c r="C133" s="171"/>
      <c r="D133" s="168"/>
      <c r="E133" s="169"/>
      <c r="F133" s="171"/>
      <c r="G133" s="171"/>
      <c r="H133" s="171"/>
      <c r="I133" s="885"/>
      <c r="J133" s="885"/>
      <c r="K133" s="885"/>
      <c r="L133" s="171"/>
      <c r="M133" s="171"/>
      <c r="N133" s="885"/>
      <c r="O133" s="171"/>
      <c r="P133" s="172"/>
      <c r="Q133" s="134"/>
      <c r="R133" s="171"/>
      <c r="S133" s="173"/>
      <c r="T133" s="192"/>
      <c r="U133" s="171"/>
    </row>
    <row r="134" spans="1:21" x14ac:dyDescent="0.3">
      <c r="A134" s="154">
        <v>276</v>
      </c>
      <c r="B134" s="181" t="str">
        <f t="shared" ref="B134:B143" si="75">IF(INDEX(MO_SNA_IsHistoricalPeriod,,MATCH(F134,MO_Common_ColumnHeader,0)),"Historical","Forward")</f>
        <v>Historical</v>
      </c>
      <c r="C134" s="171"/>
      <c r="D134" s="188" t="str">
        <f ca="1">INDEX(INDIRECT(E134),0,COLUMN(MO_Common_Column_A))</f>
        <v>Net Revenue</v>
      </c>
      <c r="E134" s="182" t="s">
        <v>300</v>
      </c>
      <c r="F134" s="181" t="s">
        <v>926</v>
      </c>
      <c r="G134" s="181"/>
      <c r="H134" s="171"/>
      <c r="I134" s="183">
        <f>11000*0.98</f>
        <v>10780</v>
      </c>
      <c r="J134" s="183">
        <f>11000*1.02</f>
        <v>11220</v>
      </c>
      <c r="K134" s="183">
        <f t="shared" ref="K134:K143" si="76">AVERAGE(I134:J134)</f>
        <v>11000</v>
      </c>
      <c r="L134" s="171"/>
      <c r="M134" s="181" t="str">
        <f t="shared" ref="M134:M143" si="77">IF(INDEX(MO_SNA_IsHistoricalPeriod,,MATCH(F134,MO_Common_ColumnHeader,0)),"Actual","Estimate")</f>
        <v>Actual</v>
      </c>
      <c r="N134" s="183">
        <f ca="1">IFERROR(INDEX(INDIRECT(E134),0,MATCH(F134,MO_Common_ColumnHeader,0)),"N/A")</f>
        <v>13507</v>
      </c>
      <c r="O134" s="171"/>
      <c r="P134" s="189">
        <f t="shared" ref="P134:P143" ca="1" si="78">IF(ISNUMBER(N134),N134-K134,"N/A")</f>
        <v>2507</v>
      </c>
      <c r="Q134" s="190">
        <f t="shared" ref="Q134:Q143" ca="1" si="79">IFERROR(IF(ISNUMBER(N134),(N134-K134)/ABS(K134),"N/A"),"N/A")</f>
        <v>0.22790909090909092</v>
      </c>
      <c r="R134" s="171"/>
      <c r="S134" s="184">
        <v>45070</v>
      </c>
      <c r="T134" s="191" t="s">
        <v>622</v>
      </c>
      <c r="U134" s="171"/>
    </row>
    <row r="135" spans="1:21" x14ac:dyDescent="0.3">
      <c r="A135" s="154">
        <v>275</v>
      </c>
      <c r="B135" s="181" t="str">
        <f t="shared" si="75"/>
        <v>Historical</v>
      </c>
      <c r="C135" s="171"/>
      <c r="D135" s="188" t="str">
        <f ca="1">INDEX(INDIRECT(E135),0,COLUMN(MO_Common_Column_A))</f>
        <v>GAAP Gross Margin, %</v>
      </c>
      <c r="E135" s="182" t="s">
        <v>303</v>
      </c>
      <c r="F135" s="181" t="s">
        <v>926</v>
      </c>
      <c r="G135" s="181"/>
      <c r="H135" s="171"/>
      <c r="I135" s="185">
        <f>68.6%-0.5%</f>
        <v>0.68099999999999994</v>
      </c>
      <c r="J135" s="185">
        <f>68.6%+0.5%</f>
        <v>0.69099999999999995</v>
      </c>
      <c r="K135" s="185">
        <f t="shared" si="76"/>
        <v>0.68599999999999994</v>
      </c>
      <c r="L135" s="171"/>
      <c r="M135" s="181" t="str">
        <f t="shared" si="77"/>
        <v>Actual</v>
      </c>
      <c r="N135" s="185">
        <f ca="1">IFERROR(INDEX(INDIRECT(E135),0,MATCH(F135,MO_Common_ColumnHeader,0)),"N/A")</f>
        <v>0.7005256533649219</v>
      </c>
      <c r="O135" s="171"/>
      <c r="P135" s="190">
        <f t="shared" ca="1" si="78"/>
        <v>1.4525653364921953E-2</v>
      </c>
      <c r="Q135" s="190">
        <f t="shared" ca="1" si="79"/>
        <v>2.1174421814755037E-2</v>
      </c>
      <c r="R135" s="171"/>
      <c r="S135" s="184">
        <v>45070</v>
      </c>
      <c r="T135" s="191" t="s">
        <v>622</v>
      </c>
      <c r="U135" s="171"/>
    </row>
    <row r="136" spans="1:21" x14ac:dyDescent="0.3">
      <c r="A136" s="154">
        <v>274</v>
      </c>
      <c r="B136" s="181" t="str">
        <f t="shared" si="75"/>
        <v>Historical</v>
      </c>
      <c r="C136" s="171"/>
      <c r="D136" s="188" t="str">
        <f ca="1">INDEX(INDIRECT(E136),0,COLUMN(MO_Common_Column_A))</f>
        <v>Non-GAAP Gross Margin, %</v>
      </c>
      <c r="E136" s="182" t="s">
        <v>304</v>
      </c>
      <c r="F136" s="181" t="s">
        <v>926</v>
      </c>
      <c r="G136" s="181"/>
      <c r="H136" s="171"/>
      <c r="I136" s="185">
        <f>70%-0.5%</f>
        <v>0.69499999999999995</v>
      </c>
      <c r="J136" s="185">
        <f>70%+0.5%</f>
        <v>0.70499999999999996</v>
      </c>
      <c r="K136" s="185">
        <f t="shared" si="76"/>
        <v>0.7</v>
      </c>
      <c r="L136" s="171"/>
      <c r="M136" s="181" t="str">
        <f t="shared" si="77"/>
        <v>Actual</v>
      </c>
      <c r="N136" s="185">
        <f ca="1">IFERROR(INDEX(INDIRECT(E136),0,MATCH(F136,MO_Common_ColumnHeader,0)),"N/A")</f>
        <v>0.7117790775153624</v>
      </c>
      <c r="O136" s="171"/>
      <c r="P136" s="190">
        <f t="shared" ca="1" si="78"/>
        <v>1.1779077515362446E-2</v>
      </c>
      <c r="Q136" s="190">
        <f t="shared" ca="1" si="79"/>
        <v>1.6827253593374922E-2</v>
      </c>
      <c r="R136" s="171"/>
      <c r="S136" s="184">
        <v>45070</v>
      </c>
      <c r="T136" s="191" t="s">
        <v>622</v>
      </c>
      <c r="U136" s="171"/>
    </row>
    <row r="137" spans="1:21" x14ac:dyDescent="0.3">
      <c r="A137" s="154">
        <v>273</v>
      </c>
      <c r="B137" s="181" t="str">
        <f t="shared" si="75"/>
        <v>Historical</v>
      </c>
      <c r="C137" s="171"/>
      <c r="D137" s="188" t="s">
        <v>305</v>
      </c>
      <c r="E137" s="182"/>
      <c r="F137" s="181" t="s">
        <v>926</v>
      </c>
      <c r="G137" s="181"/>
      <c r="H137" s="171"/>
      <c r="I137" s="183">
        <v>2710</v>
      </c>
      <c r="J137" s="183">
        <v>2710</v>
      </c>
      <c r="K137" s="183">
        <f t="shared" si="76"/>
        <v>2710</v>
      </c>
      <c r="L137" s="171"/>
      <c r="M137" s="181" t="str">
        <f t="shared" si="77"/>
        <v>Actual</v>
      </c>
      <c r="N137" s="183">
        <f>INDEX(MO_RIS_RD,0,MATCH(F137,MO_Common_ColumnHeader,0))+INDEX(MO_RIS_SGA,0,MATCH(F137,MO_Common_ColumnHeader,0))</f>
        <v>2662</v>
      </c>
      <c r="O137" s="171"/>
      <c r="P137" s="189">
        <f t="shared" si="78"/>
        <v>-48</v>
      </c>
      <c r="Q137" s="190">
        <f t="shared" si="79"/>
        <v>-1.7712177121771217E-2</v>
      </c>
      <c r="R137" s="171"/>
      <c r="S137" s="184">
        <v>45070</v>
      </c>
      <c r="T137" s="191" t="s">
        <v>622</v>
      </c>
      <c r="U137" s="171"/>
    </row>
    <row r="138" spans="1:21" x14ac:dyDescent="0.3">
      <c r="A138" s="154">
        <v>272</v>
      </c>
      <c r="B138" s="181" t="str">
        <f t="shared" si="75"/>
        <v>Historical</v>
      </c>
      <c r="C138" s="171"/>
      <c r="D138" s="188" t="str">
        <f ca="1">INDEX(INDIRECT(E138),0,COLUMN(MO_Common_Column_A))</f>
        <v>Total Non-GAAP Operating Expenses, mm</v>
      </c>
      <c r="E138" s="182" t="s">
        <v>939</v>
      </c>
      <c r="F138" s="181" t="s">
        <v>926</v>
      </c>
      <c r="G138" s="181"/>
      <c r="H138" s="171"/>
      <c r="I138" s="183">
        <v>1900</v>
      </c>
      <c r="J138" s="183">
        <v>1900</v>
      </c>
      <c r="K138" s="183">
        <f t="shared" si="76"/>
        <v>1900</v>
      </c>
      <c r="L138" s="171"/>
      <c r="M138" s="181" t="str">
        <f t="shared" si="77"/>
        <v>Actual</v>
      </c>
      <c r="N138" s="183">
        <f ca="1">IFERROR(INDEX(INDIRECT(E138),0,MATCH(F138,MO_Common_ColumnHeader,0)),"N/A")</f>
        <v>1838</v>
      </c>
      <c r="O138" s="171"/>
      <c r="P138" s="189">
        <f t="shared" ca="1" si="78"/>
        <v>-62</v>
      </c>
      <c r="Q138" s="190">
        <f t="shared" ca="1" si="79"/>
        <v>-3.2631578947368421E-2</v>
      </c>
      <c r="R138" s="171"/>
      <c r="S138" s="184">
        <v>45070</v>
      </c>
      <c r="T138" s="191" t="s">
        <v>622</v>
      </c>
      <c r="U138" s="171"/>
    </row>
    <row r="139" spans="1:21" x14ac:dyDescent="0.3">
      <c r="A139" s="154">
        <v>271</v>
      </c>
      <c r="B139" s="181" t="str">
        <f t="shared" si="75"/>
        <v>Historical</v>
      </c>
      <c r="C139" s="171"/>
      <c r="D139" s="188" t="s">
        <v>307</v>
      </c>
      <c r="E139" s="182"/>
      <c r="F139" s="181" t="s">
        <v>926</v>
      </c>
      <c r="G139" s="181"/>
      <c r="H139" s="171"/>
      <c r="I139" s="183">
        <v>-90</v>
      </c>
      <c r="J139" s="183">
        <v>-90</v>
      </c>
      <c r="K139" s="183">
        <f t="shared" si="76"/>
        <v>-90</v>
      </c>
      <c r="L139" s="171"/>
      <c r="M139" s="181" t="str">
        <f t="shared" si="77"/>
        <v>Actual</v>
      </c>
      <c r="N139" s="183" t="str">
        <f ca="1">IFERROR(INDEX(INDIRECT(E139),0,MATCH(F139,MO_Common_ColumnHeader,0)),"N/A")</f>
        <v>N/A</v>
      </c>
      <c r="O139" s="171"/>
      <c r="P139" s="189" t="str">
        <f t="shared" ca="1" si="78"/>
        <v>N/A</v>
      </c>
      <c r="Q139" s="190" t="str">
        <f t="shared" ca="1" si="79"/>
        <v>N/A</v>
      </c>
      <c r="R139" s="171"/>
      <c r="S139" s="184">
        <v>45070</v>
      </c>
      <c r="T139" s="191" t="s">
        <v>622</v>
      </c>
      <c r="U139" s="171"/>
    </row>
    <row r="140" spans="1:21" x14ac:dyDescent="0.3">
      <c r="A140" s="154">
        <v>270</v>
      </c>
      <c r="B140" s="181" t="str">
        <f t="shared" si="75"/>
        <v>Historical</v>
      </c>
      <c r="C140" s="171"/>
      <c r="D140" s="188" t="s">
        <v>308</v>
      </c>
      <c r="E140" s="182"/>
      <c r="F140" s="181" t="s">
        <v>926</v>
      </c>
      <c r="G140" s="181"/>
      <c r="H140" s="171"/>
      <c r="I140" s="183">
        <v>-90</v>
      </c>
      <c r="J140" s="183">
        <v>-90</v>
      </c>
      <c r="K140" s="183">
        <f t="shared" si="76"/>
        <v>-90</v>
      </c>
      <c r="L140" s="171"/>
      <c r="M140" s="181" t="str">
        <f t="shared" si="77"/>
        <v>Actual</v>
      </c>
      <c r="N140" s="183">
        <f>INDEX(MO_RIS_IE_Net_NONGAAP,0,MATCH(F140,MO_Common_ColumnHeader,0))+INDEX(MO_RIS_OI_NONGAAP,0,MATCH(F140,MO_Common_ColumnHeader,0))</f>
        <v>-120</v>
      </c>
      <c r="O140" s="171"/>
      <c r="P140" s="189">
        <f t="shared" si="78"/>
        <v>-30</v>
      </c>
      <c r="Q140" s="190">
        <f t="shared" si="79"/>
        <v>-0.33333333333333331</v>
      </c>
      <c r="R140" s="171"/>
      <c r="S140" s="184">
        <v>45070</v>
      </c>
      <c r="T140" s="191" t="s">
        <v>622</v>
      </c>
      <c r="U140" s="171"/>
    </row>
    <row r="141" spans="1:21" x14ac:dyDescent="0.3">
      <c r="A141" s="154">
        <v>269</v>
      </c>
      <c r="B141" s="181" t="str">
        <f t="shared" si="75"/>
        <v>Historical</v>
      </c>
      <c r="C141" s="171"/>
      <c r="D141" s="188" t="s">
        <v>309</v>
      </c>
      <c r="E141" s="182" t="s">
        <v>818</v>
      </c>
      <c r="F141" s="181" t="s">
        <v>926</v>
      </c>
      <c r="G141" s="181"/>
      <c r="H141" s="171"/>
      <c r="I141" s="185">
        <f>14%-1%</f>
        <v>0.13</v>
      </c>
      <c r="J141" s="185">
        <f>14%+1%</f>
        <v>0.15000000000000002</v>
      </c>
      <c r="K141" s="185">
        <f t="shared" si="76"/>
        <v>0.14000000000000001</v>
      </c>
      <c r="L141" s="171"/>
      <c r="M141" s="181" t="str">
        <f t="shared" si="77"/>
        <v>Actual</v>
      </c>
      <c r="N141" s="185">
        <f ca="1">IFERROR(INDEX(INDIRECT(E141),0,MATCH(F141,MO_Common_ColumnHeader,0)),"N/A")</f>
        <v>0.11359404096834265</v>
      </c>
      <c r="O141" s="171"/>
      <c r="P141" s="190">
        <f t="shared" ca="1" si="78"/>
        <v>-2.6405959031657364E-2</v>
      </c>
      <c r="Q141" s="190">
        <f t="shared" ca="1" si="79"/>
        <v>-0.18861399308326687</v>
      </c>
      <c r="R141" s="171"/>
      <c r="S141" s="184">
        <v>45070</v>
      </c>
      <c r="T141" s="191" t="s">
        <v>622</v>
      </c>
      <c r="U141" s="171"/>
    </row>
    <row r="142" spans="1:21" x14ac:dyDescent="0.3">
      <c r="A142" s="154">
        <v>268</v>
      </c>
      <c r="B142" s="181" t="str">
        <f t="shared" si="75"/>
        <v>Historical</v>
      </c>
      <c r="C142" s="171"/>
      <c r="D142" s="188" t="str">
        <f ca="1">INDEX(INDIRECT(E142),0,COLUMN(MO_Common_Column_A))</f>
        <v>Non-GAAP Tax Rate</v>
      </c>
      <c r="E142" s="182" t="s">
        <v>310</v>
      </c>
      <c r="F142" s="181" t="s">
        <v>926</v>
      </c>
      <c r="G142" s="181"/>
      <c r="H142" s="171"/>
      <c r="I142" s="185">
        <f>14%-1%</f>
        <v>0.13</v>
      </c>
      <c r="J142" s="185">
        <f>14%+1%</f>
        <v>0.15000000000000002</v>
      </c>
      <c r="K142" s="185">
        <f t="shared" si="76"/>
        <v>0.14000000000000001</v>
      </c>
      <c r="L142" s="171"/>
      <c r="M142" s="181" t="str">
        <f t="shared" si="77"/>
        <v>Actual</v>
      </c>
      <c r="N142" s="185">
        <f ca="1">IFERROR(INDEX(INDIRECT(E142),0,MATCH(F142,MO_Common_ColumnHeader,0)),"N/A")</f>
        <v>0.146403242147923</v>
      </c>
      <c r="O142" s="171"/>
      <c r="P142" s="190">
        <f t="shared" ca="1" si="78"/>
        <v>6.4032421479229829E-3</v>
      </c>
      <c r="Q142" s="190">
        <f t="shared" ca="1" si="79"/>
        <v>4.573744391373559E-2</v>
      </c>
      <c r="R142" s="171"/>
      <c r="S142" s="184">
        <v>45070</v>
      </c>
      <c r="T142" s="191" t="s">
        <v>622</v>
      </c>
      <c r="U142" s="171"/>
    </row>
    <row r="143" spans="1:21" x14ac:dyDescent="0.3">
      <c r="A143" s="154">
        <v>267</v>
      </c>
      <c r="B143" s="181" t="str">
        <f t="shared" si="75"/>
        <v>Historical</v>
      </c>
      <c r="C143" s="171"/>
      <c r="D143" s="188" t="str">
        <f ca="1">INDEX(INDIRECT(E143),0,COLUMN(MO_Common_Column_A))</f>
        <v>Capex</v>
      </c>
      <c r="E143" s="182" t="s">
        <v>560</v>
      </c>
      <c r="F143" s="181" t="s">
        <v>926</v>
      </c>
      <c r="G143" s="181"/>
      <c r="H143" s="171"/>
      <c r="I143" s="183">
        <v>-300</v>
      </c>
      <c r="J143" s="183">
        <v>-350</v>
      </c>
      <c r="K143" s="183">
        <f t="shared" si="76"/>
        <v>-325</v>
      </c>
      <c r="L143" s="171"/>
      <c r="M143" s="181" t="str">
        <f t="shared" si="77"/>
        <v>Actual</v>
      </c>
      <c r="N143" s="183">
        <f ca="1">IFERROR(INDEX(INDIRECT(E143),0,MATCH(F143,MO_Common_ColumnHeader,0)),"N/A")</f>
        <v>-289</v>
      </c>
      <c r="O143" s="171"/>
      <c r="P143" s="189">
        <f t="shared" ca="1" si="78"/>
        <v>36</v>
      </c>
      <c r="Q143" s="190">
        <f t="shared" ca="1" si="79"/>
        <v>0.11076923076923077</v>
      </c>
      <c r="R143" s="171"/>
      <c r="S143" s="184">
        <v>45070</v>
      </c>
      <c r="T143" s="191" t="s">
        <v>622</v>
      </c>
      <c r="U143" s="171"/>
    </row>
    <row r="144" spans="1:21" x14ac:dyDescent="0.3">
      <c r="A144" s="154">
        <v>266</v>
      </c>
      <c r="B144" s="171"/>
      <c r="C144" s="171"/>
      <c r="D144" s="168"/>
      <c r="E144" s="169"/>
      <c r="F144" s="171"/>
      <c r="G144" s="171"/>
      <c r="H144" s="171"/>
      <c r="I144" s="885"/>
      <c r="J144" s="885"/>
      <c r="K144" s="885"/>
      <c r="L144" s="171"/>
      <c r="M144" s="171"/>
      <c r="N144" s="885"/>
      <c r="O144" s="171"/>
      <c r="P144" s="172"/>
      <c r="Q144" s="134"/>
      <c r="R144" s="171"/>
      <c r="S144" s="173"/>
      <c r="T144" s="192"/>
      <c r="U144" s="171"/>
    </row>
    <row r="145" spans="1:21" x14ac:dyDescent="0.3">
      <c r="A145" s="154">
        <v>265</v>
      </c>
      <c r="B145" s="181" t="str">
        <f t="shared" ref="B145" si="80">IF(INDEX(MO_SNA_IsHistoricalPeriod,,MATCH(F145,MO_Common_ColumnHeader,0)),"Historical","Forward")</f>
        <v>Historical</v>
      </c>
      <c r="C145" s="171"/>
      <c r="D145" s="188" t="str">
        <f ca="1">INDEX(INDIRECT(E145),0,COLUMN(MO_Common_Column_A))</f>
        <v>Capex</v>
      </c>
      <c r="E145" s="182" t="s">
        <v>560</v>
      </c>
      <c r="F145" s="181" t="s">
        <v>868</v>
      </c>
      <c r="G145" s="181"/>
      <c r="H145" s="171"/>
      <c r="I145" s="183">
        <v>-1300</v>
      </c>
      <c r="J145" s="183">
        <v>-1100</v>
      </c>
      <c r="K145" s="183">
        <f t="shared" ref="K145" si="81">AVERAGE(I145:J145)</f>
        <v>-1200</v>
      </c>
      <c r="L145" s="171"/>
      <c r="M145" s="181" t="str">
        <f t="shared" ref="M145" si="82">IF(INDEX(MO_SNA_IsHistoricalPeriod,,MATCH(F145,MO_Common_ColumnHeader,0)),"Actual","Estimate")</f>
        <v>Actual</v>
      </c>
      <c r="N145" s="183">
        <f ca="1">IFERROR(INDEX(INDIRECT(E145),0,MATCH(F145,MO_Common_ColumnHeader,0)),"N/A")</f>
        <v>-1069</v>
      </c>
      <c r="O145" s="171"/>
      <c r="P145" s="189">
        <f t="shared" ref="P145" ca="1" si="83">IF(ISNUMBER(N145),N145-K145,"N/A")</f>
        <v>131</v>
      </c>
      <c r="Q145" s="190">
        <f t="shared" ref="Q145" ca="1" si="84">IFERROR(IF(ISNUMBER(N145),(N145-K145)/ABS(K145),"N/A"),"N/A")</f>
        <v>0.10916666666666666</v>
      </c>
      <c r="R145" s="171"/>
      <c r="S145" s="184">
        <v>44979</v>
      </c>
      <c r="T145" s="191" t="s">
        <v>622</v>
      </c>
      <c r="U145" s="171"/>
    </row>
    <row r="146" spans="1:21" x14ac:dyDescent="0.3">
      <c r="A146" s="154">
        <v>264</v>
      </c>
      <c r="B146" s="171"/>
      <c r="C146" s="171"/>
      <c r="D146" s="168"/>
      <c r="E146" s="169"/>
      <c r="F146" s="171"/>
      <c r="G146" s="171"/>
      <c r="H146" s="171"/>
      <c r="I146" s="885"/>
      <c r="J146" s="885"/>
      <c r="K146" s="885"/>
      <c r="L146" s="171"/>
      <c r="M146" s="171"/>
      <c r="N146" s="885"/>
      <c r="O146" s="171"/>
      <c r="P146" s="172"/>
      <c r="Q146" s="134"/>
      <c r="R146" s="171"/>
      <c r="S146" s="173"/>
      <c r="T146" s="192"/>
      <c r="U146" s="171"/>
    </row>
    <row r="147" spans="1:21" x14ac:dyDescent="0.3">
      <c r="A147" s="154">
        <v>263</v>
      </c>
      <c r="B147" s="181" t="str">
        <f t="shared" ref="B147:B156" si="85">IF(INDEX(MO_SNA_IsHistoricalPeriod,,MATCH(F147,MO_Common_ColumnHeader,0)),"Historical","Forward")</f>
        <v>Historical</v>
      </c>
      <c r="C147" s="171"/>
      <c r="D147" s="188" t="str">
        <f ca="1">INDEX(INDIRECT(E147),0,COLUMN(MO_Common_Column_A))</f>
        <v>Net Revenue</v>
      </c>
      <c r="E147" s="182" t="s">
        <v>300</v>
      </c>
      <c r="F147" s="181" t="s">
        <v>867</v>
      </c>
      <c r="G147" s="181"/>
      <c r="H147" s="171"/>
      <c r="I147" s="183">
        <f>6500*0.98</f>
        <v>6370</v>
      </c>
      <c r="J147" s="183">
        <f>6500*1.02</f>
        <v>6630</v>
      </c>
      <c r="K147" s="183">
        <f t="shared" ref="K147:K156" si="86">AVERAGE(I147:J147)</f>
        <v>6500</v>
      </c>
      <c r="L147" s="171"/>
      <c r="M147" s="181" t="str">
        <f t="shared" ref="M147:M156" si="87">IF(INDEX(MO_SNA_IsHistoricalPeriod,,MATCH(F147,MO_Common_ColumnHeader,0)),"Actual","Estimate")</f>
        <v>Actual</v>
      </c>
      <c r="N147" s="183">
        <f ca="1">IFERROR(INDEX(INDIRECT(E147),0,MATCH(F147,MO_Common_ColumnHeader,0)),"N/A")</f>
        <v>7192</v>
      </c>
      <c r="O147" s="171"/>
      <c r="P147" s="189">
        <f t="shared" ref="P147:P156" ca="1" si="88">IF(ISNUMBER(N147),N147-K147,"N/A")</f>
        <v>692</v>
      </c>
      <c r="Q147" s="190">
        <f t="shared" ref="Q147:Q156" ca="1" si="89">IFERROR(IF(ISNUMBER(N147),(N147-K147)/ABS(K147),"N/A"),"N/A")</f>
        <v>0.10646153846153845</v>
      </c>
      <c r="R147" s="171"/>
      <c r="S147" s="184">
        <v>44979</v>
      </c>
      <c r="T147" s="191" t="s">
        <v>622</v>
      </c>
      <c r="U147" s="171"/>
    </row>
    <row r="148" spans="1:21" x14ac:dyDescent="0.3">
      <c r="A148" s="154">
        <v>262</v>
      </c>
      <c r="B148" s="181" t="str">
        <f t="shared" si="85"/>
        <v>Historical</v>
      </c>
      <c r="C148" s="171"/>
      <c r="D148" s="188" t="str">
        <f ca="1">INDEX(INDIRECT(E148),0,COLUMN(MO_Common_Column_A))</f>
        <v>GAAP Gross Margin, %</v>
      </c>
      <c r="E148" s="182" t="s">
        <v>303</v>
      </c>
      <c r="F148" s="181" t="s">
        <v>867</v>
      </c>
      <c r="G148" s="181"/>
      <c r="H148" s="171"/>
      <c r="I148" s="185">
        <v>0.63600000000000001</v>
      </c>
      <c r="J148" s="185">
        <v>0.64600000000000002</v>
      </c>
      <c r="K148" s="185">
        <f t="shared" si="86"/>
        <v>0.64100000000000001</v>
      </c>
      <c r="L148" s="171"/>
      <c r="M148" s="181" t="str">
        <f t="shared" si="87"/>
        <v>Actual</v>
      </c>
      <c r="N148" s="185">
        <f ca="1">IFERROR(INDEX(INDIRECT(E148),0,MATCH(F148,MO_Common_ColumnHeader,0)),"N/A")</f>
        <v>0.64627363737486099</v>
      </c>
      <c r="O148" s="171"/>
      <c r="P148" s="190">
        <f t="shared" ca="1" si="88"/>
        <v>5.2736373748609733E-3</v>
      </c>
      <c r="Q148" s="190">
        <f t="shared" ca="1" si="89"/>
        <v>8.2272033929188353E-3</v>
      </c>
      <c r="R148" s="171"/>
      <c r="S148" s="184">
        <v>44979</v>
      </c>
      <c r="T148" s="191" t="s">
        <v>622</v>
      </c>
      <c r="U148" s="171"/>
    </row>
    <row r="149" spans="1:21" x14ac:dyDescent="0.3">
      <c r="A149" s="154">
        <v>261</v>
      </c>
      <c r="B149" s="181" t="str">
        <f t="shared" si="85"/>
        <v>Historical</v>
      </c>
      <c r="C149" s="171"/>
      <c r="D149" s="188" t="str">
        <f ca="1">INDEX(INDIRECT(E149),0,COLUMN(MO_Common_Column_A))</f>
        <v>Non-GAAP Gross Margin, %</v>
      </c>
      <c r="E149" s="182" t="s">
        <v>304</v>
      </c>
      <c r="F149" s="181" t="s">
        <v>867</v>
      </c>
      <c r="G149" s="181"/>
      <c r="H149" s="171"/>
      <c r="I149" s="185">
        <v>0.66</v>
      </c>
      <c r="J149" s="185">
        <v>0.67</v>
      </c>
      <c r="K149" s="185">
        <f t="shared" si="86"/>
        <v>0.66500000000000004</v>
      </c>
      <c r="L149" s="171"/>
      <c r="M149" s="181" t="str">
        <f t="shared" si="87"/>
        <v>Actual</v>
      </c>
      <c r="N149" s="185">
        <f ca="1">IFERROR(INDEX(INDIRECT(E149),0,MATCH(F149,MO_Common_ColumnHeader,0)),"N/A")</f>
        <v>0.6676863181312569</v>
      </c>
      <c r="O149" s="171"/>
      <c r="P149" s="190">
        <f t="shared" ca="1" si="88"/>
        <v>2.6863181312568596E-3</v>
      </c>
      <c r="Q149" s="190">
        <f t="shared" ca="1" si="89"/>
        <v>4.0395761372283602E-3</v>
      </c>
      <c r="R149" s="171"/>
      <c r="S149" s="184">
        <v>44979</v>
      </c>
      <c r="T149" s="191" t="s">
        <v>622</v>
      </c>
      <c r="U149" s="171"/>
    </row>
    <row r="150" spans="1:21" x14ac:dyDescent="0.3">
      <c r="A150" s="154">
        <v>260</v>
      </c>
      <c r="B150" s="181" t="str">
        <f t="shared" si="85"/>
        <v>Historical</v>
      </c>
      <c r="C150" s="171"/>
      <c r="D150" s="188" t="s">
        <v>305</v>
      </c>
      <c r="E150" s="182"/>
      <c r="F150" s="181" t="s">
        <v>867</v>
      </c>
      <c r="G150" s="181"/>
      <c r="H150" s="171"/>
      <c r="I150" s="183">
        <v>2530</v>
      </c>
      <c r="J150" s="183">
        <v>2530</v>
      </c>
      <c r="K150" s="183">
        <f t="shared" si="86"/>
        <v>2530</v>
      </c>
      <c r="L150" s="171"/>
      <c r="M150" s="181" t="str">
        <f t="shared" si="87"/>
        <v>Actual</v>
      </c>
      <c r="N150" s="183">
        <f>INDEX(MO_RIS_RD,0,MATCH(F150,MO_Common_ColumnHeader,0))+INDEX(MO_RIS_SGA,0,MATCH(F150,MO_Common_ColumnHeader,0))</f>
        <v>2508</v>
      </c>
      <c r="O150" s="171"/>
      <c r="P150" s="189">
        <f t="shared" si="88"/>
        <v>-22</v>
      </c>
      <c r="Q150" s="190">
        <f t="shared" si="89"/>
        <v>-8.6956521739130436E-3</v>
      </c>
      <c r="R150" s="171"/>
      <c r="S150" s="184">
        <v>44979</v>
      </c>
      <c r="T150" s="191" t="s">
        <v>622</v>
      </c>
      <c r="U150" s="171"/>
    </row>
    <row r="151" spans="1:21" x14ac:dyDescent="0.3">
      <c r="A151" s="154">
        <v>259</v>
      </c>
      <c r="B151" s="181" t="str">
        <f t="shared" si="85"/>
        <v>Historical</v>
      </c>
      <c r="C151" s="171"/>
      <c r="D151" s="188" t="str">
        <f ca="1">INDEX(INDIRECT(E151),0,COLUMN(MO_Common_Column_A))</f>
        <v>Total Non-GAAP Operating Expenses, mm</v>
      </c>
      <c r="E151" s="182" t="s">
        <v>939</v>
      </c>
      <c r="F151" s="181" t="s">
        <v>867</v>
      </c>
      <c r="G151" s="181"/>
      <c r="H151" s="171"/>
      <c r="I151" s="183">
        <v>1780</v>
      </c>
      <c r="J151" s="183">
        <v>1780</v>
      </c>
      <c r="K151" s="183">
        <f t="shared" si="86"/>
        <v>1780</v>
      </c>
      <c r="L151" s="171"/>
      <c r="M151" s="181" t="str">
        <f t="shared" si="87"/>
        <v>Actual</v>
      </c>
      <c r="N151" s="183">
        <f ca="1">IFERROR(INDEX(INDIRECT(E151),0,MATCH(F151,MO_Common_ColumnHeader,0)),"N/A")</f>
        <v>1750</v>
      </c>
      <c r="O151" s="171"/>
      <c r="P151" s="189">
        <f t="shared" ca="1" si="88"/>
        <v>-30</v>
      </c>
      <c r="Q151" s="190">
        <f t="shared" ca="1" si="89"/>
        <v>-1.6853932584269662E-2</v>
      </c>
      <c r="R151" s="171"/>
      <c r="S151" s="184">
        <v>44979</v>
      </c>
      <c r="T151" s="191" t="s">
        <v>622</v>
      </c>
      <c r="U151" s="171"/>
    </row>
    <row r="152" spans="1:21" x14ac:dyDescent="0.3">
      <c r="A152" s="154">
        <v>258</v>
      </c>
      <c r="B152" s="181" t="str">
        <f t="shared" si="85"/>
        <v>Historical</v>
      </c>
      <c r="C152" s="171"/>
      <c r="D152" s="188" t="s">
        <v>307</v>
      </c>
      <c r="E152" s="182"/>
      <c r="F152" s="181" t="s">
        <v>867</v>
      </c>
      <c r="G152" s="181"/>
      <c r="H152" s="171"/>
      <c r="I152" s="183">
        <v>50</v>
      </c>
      <c r="J152" s="183">
        <v>50</v>
      </c>
      <c r="K152" s="183">
        <f t="shared" si="86"/>
        <v>50</v>
      </c>
      <c r="L152" s="171"/>
      <c r="M152" s="181" t="str">
        <f t="shared" si="87"/>
        <v>Actual</v>
      </c>
      <c r="N152" s="183" t="str">
        <f ca="1">IFERROR(INDEX(INDIRECT(E152),0,MATCH(F152,MO_Common_ColumnHeader,0)),"N/A")</f>
        <v>N/A</v>
      </c>
      <c r="O152" s="171"/>
      <c r="P152" s="189" t="str">
        <f t="shared" ca="1" si="88"/>
        <v>N/A</v>
      </c>
      <c r="Q152" s="190" t="str">
        <f t="shared" ca="1" si="89"/>
        <v>N/A</v>
      </c>
      <c r="R152" s="171"/>
      <c r="S152" s="184">
        <v>44979</v>
      </c>
      <c r="T152" s="191" t="s">
        <v>622</v>
      </c>
      <c r="U152" s="171"/>
    </row>
    <row r="153" spans="1:21" x14ac:dyDescent="0.3">
      <c r="A153" s="154">
        <v>257</v>
      </c>
      <c r="B153" s="181" t="str">
        <f t="shared" si="85"/>
        <v>Historical</v>
      </c>
      <c r="C153" s="171"/>
      <c r="D153" s="188" t="s">
        <v>308</v>
      </c>
      <c r="E153" s="182"/>
      <c r="F153" s="181" t="s">
        <v>867</v>
      </c>
      <c r="G153" s="181"/>
      <c r="H153" s="171"/>
      <c r="I153" s="183">
        <v>50</v>
      </c>
      <c r="J153" s="183">
        <v>50</v>
      </c>
      <c r="K153" s="183">
        <f t="shared" si="86"/>
        <v>50</v>
      </c>
      <c r="L153" s="171"/>
      <c r="M153" s="181" t="str">
        <f t="shared" si="87"/>
        <v>Actual</v>
      </c>
      <c r="N153" s="183">
        <f>INDEX(MO_RIS_IE_Net_NONGAAP,0,MATCH(F153,MO_Common_ColumnHeader,0))+INDEX(MO_RIS_OI_NONGAAP,0,MATCH(F153,MO_Common_ColumnHeader,0))</f>
        <v>-84</v>
      </c>
      <c r="O153" s="171"/>
      <c r="P153" s="189">
        <f t="shared" si="88"/>
        <v>-134</v>
      </c>
      <c r="Q153" s="190">
        <f t="shared" si="89"/>
        <v>-2.68</v>
      </c>
      <c r="R153" s="171"/>
      <c r="S153" s="184">
        <v>44979</v>
      </c>
      <c r="T153" s="191" t="s">
        <v>622</v>
      </c>
      <c r="U153" s="171"/>
    </row>
    <row r="154" spans="1:21" x14ac:dyDescent="0.3">
      <c r="A154" s="154">
        <v>256</v>
      </c>
      <c r="B154" s="181" t="str">
        <f t="shared" si="85"/>
        <v>Historical</v>
      </c>
      <c r="C154" s="171"/>
      <c r="D154" s="188" t="s">
        <v>309</v>
      </c>
      <c r="E154" s="182" t="s">
        <v>818</v>
      </c>
      <c r="F154" s="181" t="s">
        <v>867</v>
      </c>
      <c r="G154" s="181"/>
      <c r="H154" s="171"/>
      <c r="I154" s="185">
        <v>0.12</v>
      </c>
      <c r="J154" s="185">
        <v>0.14000000000000001</v>
      </c>
      <c r="K154" s="185">
        <f t="shared" si="86"/>
        <v>0.13</v>
      </c>
      <c r="L154" s="171"/>
      <c r="M154" s="181" t="str">
        <f t="shared" si="87"/>
        <v>Actual</v>
      </c>
      <c r="N154" s="185">
        <f ca="1">IFERROR(INDEX(INDIRECT(E154),0,MATCH(F154,MO_Common_ColumnHeader,0)),"N/A")</f>
        <v>7.5147125396106837E-2</v>
      </c>
      <c r="O154" s="171"/>
      <c r="P154" s="190">
        <f t="shared" ca="1" si="88"/>
        <v>-5.4852874603893167E-2</v>
      </c>
      <c r="Q154" s="190">
        <f t="shared" ca="1" si="89"/>
        <v>-0.42194518926071667</v>
      </c>
      <c r="R154" s="171"/>
      <c r="S154" s="184">
        <v>44979</v>
      </c>
      <c r="T154" s="191" t="s">
        <v>622</v>
      </c>
      <c r="U154" s="171"/>
    </row>
    <row r="155" spans="1:21" x14ac:dyDescent="0.3">
      <c r="A155" s="154">
        <v>255</v>
      </c>
      <c r="B155" s="181" t="str">
        <f t="shared" si="85"/>
        <v>Historical</v>
      </c>
      <c r="C155" s="171"/>
      <c r="D155" s="188" t="str">
        <f ca="1">INDEX(INDIRECT(E155),0,COLUMN(MO_Common_Column_A))</f>
        <v>Non-GAAP Tax Rate</v>
      </c>
      <c r="E155" s="182" t="s">
        <v>310</v>
      </c>
      <c r="F155" s="181" t="s">
        <v>867</v>
      </c>
      <c r="G155" s="181"/>
      <c r="H155" s="171"/>
      <c r="I155" s="185">
        <v>0.12</v>
      </c>
      <c r="J155" s="185">
        <v>0.14000000000000001</v>
      </c>
      <c r="K155" s="185">
        <f t="shared" si="86"/>
        <v>0.13</v>
      </c>
      <c r="L155" s="171"/>
      <c r="M155" s="181" t="str">
        <f t="shared" si="87"/>
        <v>Actual</v>
      </c>
      <c r="N155" s="185">
        <f ca="1">IFERROR(INDEX(INDIRECT(E155),0,MATCH(F155,MO_Common_ColumnHeader,0)),"N/A")</f>
        <v>0.13488520408163265</v>
      </c>
      <c r="O155" s="171"/>
      <c r="P155" s="190">
        <f t="shared" ca="1" si="88"/>
        <v>4.8852040816326492E-3</v>
      </c>
      <c r="Q155" s="190">
        <f t="shared" ca="1" si="89"/>
        <v>3.7578492935635761E-2</v>
      </c>
      <c r="R155" s="171"/>
      <c r="S155" s="184">
        <v>44979</v>
      </c>
      <c r="T155" s="191" t="s">
        <v>622</v>
      </c>
      <c r="U155" s="171"/>
    </row>
    <row r="156" spans="1:21" x14ac:dyDescent="0.3">
      <c r="A156" s="154">
        <v>254</v>
      </c>
      <c r="B156" s="181" t="str">
        <f t="shared" si="85"/>
        <v>Historical</v>
      </c>
      <c r="C156" s="171"/>
      <c r="D156" s="188" t="str">
        <f ca="1">INDEX(INDIRECT(E156),0,COLUMN(MO_Common_Column_A))</f>
        <v>Capex</v>
      </c>
      <c r="E156" s="182" t="s">
        <v>560</v>
      </c>
      <c r="F156" s="181" t="s">
        <v>867</v>
      </c>
      <c r="G156" s="181"/>
      <c r="H156" s="171"/>
      <c r="I156" s="183">
        <v>-400</v>
      </c>
      <c r="J156" s="183">
        <v>-350</v>
      </c>
      <c r="K156" s="183">
        <f t="shared" si="86"/>
        <v>-375</v>
      </c>
      <c r="L156" s="171"/>
      <c r="M156" s="181" t="str">
        <f t="shared" si="87"/>
        <v>Actual</v>
      </c>
      <c r="N156" s="183">
        <f ca="1">IFERROR(INDEX(INDIRECT(E156),0,MATCH(F156,MO_Common_ColumnHeader,0)),"N/A")</f>
        <v>-248</v>
      </c>
      <c r="O156" s="171"/>
      <c r="P156" s="189">
        <f t="shared" ca="1" si="88"/>
        <v>127</v>
      </c>
      <c r="Q156" s="190">
        <f t="shared" ca="1" si="89"/>
        <v>0.33866666666666667</v>
      </c>
      <c r="R156" s="171"/>
      <c r="S156" s="184">
        <v>44979</v>
      </c>
      <c r="T156" s="191" t="s">
        <v>622</v>
      </c>
      <c r="U156" s="171"/>
    </row>
    <row r="157" spans="1:21" x14ac:dyDescent="0.3">
      <c r="A157" s="154">
        <v>253</v>
      </c>
      <c r="B157" s="171"/>
      <c r="C157" s="171"/>
      <c r="D157" s="168"/>
      <c r="E157" s="169"/>
      <c r="F157" s="171"/>
      <c r="G157" s="171"/>
      <c r="H157" s="171"/>
      <c r="I157" s="885"/>
      <c r="J157" s="885"/>
      <c r="K157" s="885"/>
      <c r="L157" s="171"/>
      <c r="M157" s="171"/>
      <c r="N157" s="885"/>
      <c r="O157" s="171"/>
      <c r="P157" s="172"/>
      <c r="Q157" s="134"/>
      <c r="R157" s="171"/>
      <c r="S157" s="173"/>
      <c r="T157" s="192"/>
      <c r="U157" s="171"/>
    </row>
    <row r="158" spans="1:21" x14ac:dyDescent="0.3">
      <c r="A158" s="154">
        <v>252</v>
      </c>
      <c r="B158" s="181" t="str">
        <f t="shared" ref="B158:B167" si="90">IF(INDEX(MO_SNA_IsHistoricalPeriod,,MATCH(F158,MO_Common_ColumnHeader,0)),"Historical","Forward")</f>
        <v>Historical</v>
      </c>
      <c r="C158" s="171"/>
      <c r="D158" s="188" t="str">
        <f ca="1">INDEX(INDIRECT(E158),0,COLUMN(MO_Common_Column_A))</f>
        <v>Net Revenue</v>
      </c>
      <c r="E158" s="182" t="s">
        <v>300</v>
      </c>
      <c r="F158" s="181" t="s">
        <v>843</v>
      </c>
      <c r="G158" s="181"/>
      <c r="H158" s="171"/>
      <c r="I158" s="183">
        <f>6000*0.98</f>
        <v>5880</v>
      </c>
      <c r="J158" s="183">
        <f>6000*1.02</f>
        <v>6120</v>
      </c>
      <c r="K158" s="183">
        <f t="shared" ref="K158:K167" si="91">AVERAGE(I158:J158)</f>
        <v>6000</v>
      </c>
      <c r="L158" s="171"/>
      <c r="M158" s="181" t="str">
        <f t="shared" ref="M158:M167" si="92">IF(INDEX(MO_SNA_IsHistoricalPeriod,,MATCH(F158,MO_Common_ColumnHeader,0)),"Actual","Estimate")</f>
        <v>Actual</v>
      </c>
      <c r="N158" s="183">
        <f ca="1">IFERROR(INDEX(INDIRECT(E158),0,MATCH(F158,MO_Common_ColumnHeader,0)),"N/A")</f>
        <v>6051</v>
      </c>
      <c r="O158" s="171"/>
      <c r="P158" s="189">
        <f t="shared" ref="P158:P167" ca="1" si="93">IF(ISNUMBER(N158),N158-K158,"N/A")</f>
        <v>51</v>
      </c>
      <c r="Q158" s="190">
        <f t="shared" ref="Q158:Q167" ca="1" si="94">IFERROR(IF(ISNUMBER(N158),(N158-K158)/ABS(K158),"N/A"),"N/A")</f>
        <v>8.5000000000000006E-3</v>
      </c>
      <c r="R158" s="171"/>
      <c r="S158" s="184">
        <v>44881</v>
      </c>
      <c r="T158" s="191" t="s">
        <v>302</v>
      </c>
      <c r="U158" s="171"/>
    </row>
    <row r="159" spans="1:21" x14ac:dyDescent="0.3">
      <c r="A159" s="154">
        <v>251</v>
      </c>
      <c r="B159" s="181" t="str">
        <f t="shared" si="90"/>
        <v>Historical</v>
      </c>
      <c r="C159" s="171"/>
      <c r="D159" s="188" t="str">
        <f ca="1">INDEX(INDIRECT(E159),0,COLUMN(MO_Common_Column_A))</f>
        <v>GAAP Gross Margin, %</v>
      </c>
      <c r="E159" s="182" t="s">
        <v>303</v>
      </c>
      <c r="F159" s="181" t="s">
        <v>843</v>
      </c>
      <c r="G159" s="181"/>
      <c r="H159" s="171"/>
      <c r="I159" s="185">
        <v>0.627</v>
      </c>
      <c r="J159" s="185">
        <v>0.63700000000000001</v>
      </c>
      <c r="K159" s="185">
        <f t="shared" si="91"/>
        <v>0.63200000000000001</v>
      </c>
      <c r="L159" s="171"/>
      <c r="M159" s="181" t="str">
        <f t="shared" si="92"/>
        <v>Actual</v>
      </c>
      <c r="N159" s="185">
        <f ca="1">IFERROR(INDEX(INDIRECT(E159),0,MATCH(F159,MO_Common_ColumnHeader,0)),"N/A")</f>
        <v>0.63344901669145592</v>
      </c>
      <c r="O159" s="171"/>
      <c r="P159" s="190">
        <f t="shared" ca="1" si="93"/>
        <v>1.4490166914559177E-3</v>
      </c>
      <c r="Q159" s="190">
        <f t="shared" ca="1" si="94"/>
        <v>2.2927479295188572E-3</v>
      </c>
      <c r="R159" s="171"/>
      <c r="S159" s="184">
        <v>44881</v>
      </c>
      <c r="T159" s="191" t="s">
        <v>302</v>
      </c>
      <c r="U159" s="171"/>
    </row>
    <row r="160" spans="1:21" x14ac:dyDescent="0.3">
      <c r="A160" s="154">
        <v>250</v>
      </c>
      <c r="B160" s="181" t="str">
        <f t="shared" si="90"/>
        <v>Historical</v>
      </c>
      <c r="C160" s="171"/>
      <c r="D160" s="188" t="str">
        <f ca="1">INDEX(INDIRECT(E160),0,COLUMN(MO_Common_Column_A))</f>
        <v>Non-GAAP Gross Margin, %</v>
      </c>
      <c r="E160" s="182" t="s">
        <v>304</v>
      </c>
      <c r="F160" s="181" t="s">
        <v>843</v>
      </c>
      <c r="G160" s="181"/>
      <c r="H160" s="171"/>
      <c r="I160" s="185">
        <v>0.65500000000000003</v>
      </c>
      <c r="J160" s="185">
        <v>0.66500000000000004</v>
      </c>
      <c r="K160" s="185">
        <f t="shared" si="91"/>
        <v>0.66</v>
      </c>
      <c r="L160" s="171"/>
      <c r="M160" s="181" t="str">
        <f t="shared" si="92"/>
        <v>Actual</v>
      </c>
      <c r="N160" s="185">
        <f ca="1">IFERROR(INDEX(INDIRECT(E160),0,MATCH(F160,MO_Common_ColumnHeader,0)),"N/A")</f>
        <v>0.66088249876053551</v>
      </c>
      <c r="O160" s="171"/>
      <c r="P160" s="190">
        <f t="shared" ca="1" si="93"/>
        <v>8.8249876053547727E-4</v>
      </c>
      <c r="Q160" s="190">
        <f t="shared" ca="1" si="94"/>
        <v>1.3371193341446624E-3</v>
      </c>
      <c r="R160" s="171"/>
      <c r="S160" s="184">
        <v>44881</v>
      </c>
      <c r="T160" s="191" t="s">
        <v>302</v>
      </c>
      <c r="U160" s="171"/>
    </row>
    <row r="161" spans="1:21" x14ac:dyDescent="0.3">
      <c r="A161" s="154">
        <v>249</v>
      </c>
      <c r="B161" s="181" t="str">
        <f t="shared" si="90"/>
        <v>Historical</v>
      </c>
      <c r="C161" s="171"/>
      <c r="D161" s="188" t="s">
        <v>305</v>
      </c>
      <c r="E161" s="182"/>
      <c r="F161" s="181" t="s">
        <v>843</v>
      </c>
      <c r="G161" s="181"/>
      <c r="H161" s="171"/>
      <c r="I161" s="183">
        <v>2560</v>
      </c>
      <c r="J161" s="183">
        <v>2560</v>
      </c>
      <c r="K161" s="183">
        <f t="shared" si="91"/>
        <v>2560</v>
      </c>
      <c r="L161" s="171"/>
      <c r="M161" s="181" t="str">
        <f t="shared" si="92"/>
        <v>Actual</v>
      </c>
      <c r="N161" s="183">
        <f>INDEX(MO_RIS_RD,0,MATCH(F161,MO_Common_ColumnHeader,0))+INDEX(MO_RIS_SGA,0,MATCH(F161,MO_Common_ColumnHeader,0))</f>
        <v>2576</v>
      </c>
      <c r="O161" s="171"/>
      <c r="P161" s="189">
        <f t="shared" si="93"/>
        <v>16</v>
      </c>
      <c r="Q161" s="190">
        <f t="shared" si="94"/>
        <v>6.2500000000000003E-3</v>
      </c>
      <c r="R161" s="171"/>
      <c r="S161" s="184">
        <v>44881</v>
      </c>
      <c r="T161" s="191" t="s">
        <v>302</v>
      </c>
      <c r="U161" s="171"/>
    </row>
    <row r="162" spans="1:21" x14ac:dyDescent="0.3">
      <c r="A162" s="154">
        <v>248</v>
      </c>
      <c r="B162" s="181" t="str">
        <f t="shared" si="90"/>
        <v>Historical</v>
      </c>
      <c r="C162" s="171"/>
      <c r="D162" s="188" t="str">
        <f ca="1">INDEX(INDIRECT(E162),0,COLUMN(MO_Common_Column_A))</f>
        <v>Total Non-GAAP Operating Expenses, mm</v>
      </c>
      <c r="E162" s="182" t="s">
        <v>939</v>
      </c>
      <c r="F162" s="181" t="s">
        <v>843</v>
      </c>
      <c r="G162" s="181"/>
      <c r="H162" s="171"/>
      <c r="I162" s="183">
        <v>1780</v>
      </c>
      <c r="J162" s="183">
        <v>1780</v>
      </c>
      <c r="K162" s="183">
        <f t="shared" si="91"/>
        <v>1780</v>
      </c>
      <c r="L162" s="171"/>
      <c r="M162" s="181" t="str">
        <f t="shared" si="92"/>
        <v>Actual</v>
      </c>
      <c r="N162" s="183">
        <f ca="1">IFERROR(INDEX(INDIRECT(E162),0,MATCH(F162,MO_Common_ColumnHeader,0)),"N/A")</f>
        <v>1775</v>
      </c>
      <c r="O162" s="171"/>
      <c r="P162" s="189">
        <f t="shared" ca="1" si="93"/>
        <v>-5</v>
      </c>
      <c r="Q162" s="190">
        <f t="shared" ca="1" si="94"/>
        <v>-2.8089887640449437E-3</v>
      </c>
      <c r="R162" s="171"/>
      <c r="S162" s="184">
        <v>44881</v>
      </c>
      <c r="T162" s="191" t="s">
        <v>302</v>
      </c>
      <c r="U162" s="171"/>
    </row>
    <row r="163" spans="1:21" x14ac:dyDescent="0.3">
      <c r="A163" s="154">
        <v>247</v>
      </c>
      <c r="B163" s="181" t="str">
        <f t="shared" si="90"/>
        <v>Historical</v>
      </c>
      <c r="C163" s="171"/>
      <c r="D163" s="188" t="s">
        <v>307</v>
      </c>
      <c r="E163" s="182"/>
      <c r="F163" s="181" t="s">
        <v>843</v>
      </c>
      <c r="G163" s="181"/>
      <c r="H163" s="171"/>
      <c r="I163" s="183">
        <v>40</v>
      </c>
      <c r="J163" s="183">
        <v>40</v>
      </c>
      <c r="K163" s="183">
        <f t="shared" si="91"/>
        <v>40</v>
      </c>
      <c r="L163" s="171"/>
      <c r="M163" s="181" t="str">
        <f t="shared" si="92"/>
        <v>Actual</v>
      </c>
      <c r="N163" s="183" t="str">
        <f ca="1">IFERROR(INDEX(INDIRECT(E163),0,MATCH(F163,MO_Common_ColumnHeader,0)),"N/A")</f>
        <v>N/A</v>
      </c>
      <c r="O163" s="171"/>
      <c r="P163" s="189" t="str">
        <f t="shared" ca="1" si="93"/>
        <v>N/A</v>
      </c>
      <c r="Q163" s="190" t="str">
        <f t="shared" ca="1" si="94"/>
        <v>N/A</v>
      </c>
      <c r="R163" s="171"/>
      <c r="S163" s="184">
        <v>44881</v>
      </c>
      <c r="T163" s="191" t="s">
        <v>302</v>
      </c>
      <c r="U163" s="171"/>
    </row>
    <row r="164" spans="1:21" x14ac:dyDescent="0.3">
      <c r="A164" s="154">
        <v>246</v>
      </c>
      <c r="B164" s="181" t="str">
        <f t="shared" si="90"/>
        <v>Historical</v>
      </c>
      <c r="C164" s="171"/>
      <c r="D164" s="188" t="s">
        <v>308</v>
      </c>
      <c r="E164" s="182"/>
      <c r="F164" s="181" t="s">
        <v>843</v>
      </c>
      <c r="G164" s="181"/>
      <c r="H164" s="171"/>
      <c r="I164" s="183">
        <v>40</v>
      </c>
      <c r="J164" s="183">
        <v>40</v>
      </c>
      <c r="K164" s="183">
        <f t="shared" si="91"/>
        <v>40</v>
      </c>
      <c r="L164" s="171"/>
      <c r="M164" s="181" t="str">
        <f t="shared" si="92"/>
        <v>Actual</v>
      </c>
      <c r="N164" s="183">
        <f>INDEX(MO_RIS_IE_Net_NONGAAP,0,MATCH(F164,MO_Common_ColumnHeader,0))+INDEX(MO_RIS_OI_NONGAAP,0,MATCH(F164,MO_Common_ColumnHeader,0))</f>
        <v>-43</v>
      </c>
      <c r="O164" s="171"/>
      <c r="P164" s="189">
        <f t="shared" si="93"/>
        <v>-83</v>
      </c>
      <c r="Q164" s="190">
        <f t="shared" si="94"/>
        <v>-2.0750000000000002</v>
      </c>
      <c r="R164" s="171"/>
      <c r="S164" s="184">
        <v>44881</v>
      </c>
      <c r="T164" s="191" t="s">
        <v>302</v>
      </c>
      <c r="U164" s="171"/>
    </row>
    <row r="165" spans="1:21" x14ac:dyDescent="0.3">
      <c r="A165" s="154">
        <v>245</v>
      </c>
      <c r="B165" s="181" t="str">
        <f t="shared" si="90"/>
        <v>Historical</v>
      </c>
      <c r="C165" s="171"/>
      <c r="D165" s="188" t="s">
        <v>309</v>
      </c>
      <c r="E165" s="182" t="s">
        <v>818</v>
      </c>
      <c r="F165" s="181" t="s">
        <v>843</v>
      </c>
      <c r="G165" s="181"/>
      <c r="H165" s="171"/>
      <c r="I165" s="185">
        <v>0.08</v>
      </c>
      <c r="J165" s="185">
        <v>0.1</v>
      </c>
      <c r="K165" s="185">
        <f t="shared" si="91"/>
        <v>0.09</v>
      </c>
      <c r="L165" s="171"/>
      <c r="M165" s="181" t="str">
        <f t="shared" si="92"/>
        <v>Actual</v>
      </c>
      <c r="N165" s="185">
        <f ca="1">IFERROR(INDEX(INDIRECT(E165),0,MATCH(F165,MO_Common_ColumnHeader,0)),"N/A")</f>
        <v>-9.6974398758727695E-2</v>
      </c>
      <c r="O165" s="171"/>
      <c r="P165" s="190">
        <f t="shared" ca="1" si="93"/>
        <v>-0.18697439875872768</v>
      </c>
      <c r="Q165" s="190">
        <f t="shared" ca="1" si="94"/>
        <v>-2.0774933195414187</v>
      </c>
      <c r="R165" s="171"/>
      <c r="S165" s="184">
        <v>44881</v>
      </c>
      <c r="T165" s="191" t="s">
        <v>302</v>
      </c>
      <c r="U165" s="171"/>
    </row>
    <row r="166" spans="1:21" x14ac:dyDescent="0.3">
      <c r="A166" s="154">
        <v>244</v>
      </c>
      <c r="B166" s="181" t="str">
        <f t="shared" si="90"/>
        <v>Historical</v>
      </c>
      <c r="C166" s="171"/>
      <c r="D166" s="188" t="str">
        <f ca="1">INDEX(INDIRECT(E166),0,COLUMN(MO_Common_Column_A))</f>
        <v>Non-GAAP Tax Rate</v>
      </c>
      <c r="E166" s="182" t="s">
        <v>310</v>
      </c>
      <c r="F166" s="181" t="s">
        <v>843</v>
      </c>
      <c r="G166" s="181"/>
      <c r="H166" s="171"/>
      <c r="I166" s="185">
        <v>0.08</v>
      </c>
      <c r="J166" s="185">
        <v>0.1</v>
      </c>
      <c r="K166" s="185">
        <f t="shared" si="91"/>
        <v>0.09</v>
      </c>
      <c r="L166" s="171"/>
      <c r="M166" s="181" t="str">
        <f t="shared" si="92"/>
        <v>Actual</v>
      </c>
      <c r="N166" s="185">
        <f ca="1">IFERROR(INDEX(INDIRECT(E166),0,MATCH(F166,MO_Common_ColumnHeader,0)),"N/A")</f>
        <v>4.102337891486546E-2</v>
      </c>
      <c r="O166" s="171"/>
      <c r="P166" s="190">
        <f t="shared" ca="1" si="93"/>
        <v>-4.8976621085134536E-2</v>
      </c>
      <c r="Q166" s="190">
        <f t="shared" ca="1" si="94"/>
        <v>-0.54418467872371712</v>
      </c>
      <c r="R166" s="171"/>
      <c r="S166" s="184">
        <v>44881</v>
      </c>
      <c r="T166" s="191" t="s">
        <v>302</v>
      </c>
      <c r="U166" s="171"/>
    </row>
    <row r="167" spans="1:21" x14ac:dyDescent="0.3">
      <c r="A167" s="154">
        <v>243</v>
      </c>
      <c r="B167" s="181" t="str">
        <f t="shared" si="90"/>
        <v>Historical</v>
      </c>
      <c r="C167" s="171"/>
      <c r="D167" s="188" t="str">
        <f ca="1">INDEX(INDIRECT(E167),0,COLUMN(MO_Common_Column_A))</f>
        <v>Capex</v>
      </c>
      <c r="E167" s="182" t="s">
        <v>560</v>
      </c>
      <c r="F167" s="181" t="s">
        <v>843</v>
      </c>
      <c r="G167" s="181"/>
      <c r="H167" s="171"/>
      <c r="I167" s="183">
        <v>-550</v>
      </c>
      <c r="J167" s="183">
        <v>-500</v>
      </c>
      <c r="K167" s="183">
        <f t="shared" si="91"/>
        <v>-525</v>
      </c>
      <c r="L167" s="171"/>
      <c r="M167" s="181" t="str">
        <f t="shared" si="92"/>
        <v>Actual</v>
      </c>
      <c r="N167" s="183">
        <f ca="1">IFERROR(INDEX(INDIRECT(E167),0,MATCH(F167,MO_Common_ColumnHeader,0)),"N/A")</f>
        <v>-509</v>
      </c>
      <c r="O167" s="171"/>
      <c r="P167" s="189">
        <f t="shared" ca="1" si="93"/>
        <v>16</v>
      </c>
      <c r="Q167" s="190">
        <f t="shared" ca="1" si="94"/>
        <v>3.0476190476190476E-2</v>
      </c>
      <c r="R167" s="171"/>
      <c r="S167" s="184">
        <v>44881</v>
      </c>
      <c r="T167" s="191" t="s">
        <v>622</v>
      </c>
      <c r="U167" s="171"/>
    </row>
    <row r="168" spans="1:21" x14ac:dyDescent="0.3">
      <c r="A168" s="154">
        <v>242</v>
      </c>
      <c r="B168" s="171"/>
      <c r="C168" s="171"/>
      <c r="D168" s="168"/>
      <c r="E168" s="169"/>
      <c r="F168" s="171"/>
      <c r="G168" s="171"/>
      <c r="H168" s="171"/>
      <c r="I168" s="885"/>
      <c r="J168" s="885"/>
      <c r="K168" s="885"/>
      <c r="L168" s="171"/>
      <c r="M168" s="171"/>
      <c r="N168" s="885"/>
      <c r="O168" s="171"/>
      <c r="P168" s="172"/>
      <c r="Q168" s="134"/>
      <c r="R168" s="171"/>
      <c r="S168" s="173"/>
      <c r="T168" s="192"/>
      <c r="U168" s="171"/>
    </row>
    <row r="169" spans="1:21" x14ac:dyDescent="0.3">
      <c r="A169" s="154">
        <v>241</v>
      </c>
      <c r="B169" s="181" t="str">
        <f t="shared" ref="B169:B178" si="95">IF(INDEX(MO_SNA_IsHistoricalPeriod,,MATCH(F169,MO_Common_ColumnHeader,0)),"Historical","Forward")</f>
        <v>Historical</v>
      </c>
      <c r="C169" s="171"/>
      <c r="D169" s="188" t="str">
        <f ca="1">INDEX(INDIRECT(E169),0,COLUMN(MO_Common_Column_A))</f>
        <v>Net Revenue</v>
      </c>
      <c r="E169" s="182" t="s">
        <v>300</v>
      </c>
      <c r="F169" s="181" t="s">
        <v>839</v>
      </c>
      <c r="G169" s="181"/>
      <c r="H169" s="171"/>
      <c r="I169" s="183">
        <f>5900*0.98</f>
        <v>5782</v>
      </c>
      <c r="J169" s="183">
        <f>5900*1.02</f>
        <v>6018</v>
      </c>
      <c r="K169" s="183">
        <f t="shared" ref="K169:K178" si="96">AVERAGE(I169:J169)</f>
        <v>5900</v>
      </c>
      <c r="L169" s="171"/>
      <c r="M169" s="181" t="str">
        <f t="shared" ref="M169:M178" si="97">IF(INDEX(MO_SNA_IsHistoricalPeriod,,MATCH(F169,MO_Common_ColumnHeader,0)),"Actual","Estimate")</f>
        <v>Actual</v>
      </c>
      <c r="N169" s="183">
        <f ca="1">IFERROR(INDEX(INDIRECT(E169),0,MATCH(F169,MO_Common_ColumnHeader,0)),"N/A")</f>
        <v>5931</v>
      </c>
      <c r="O169" s="171"/>
      <c r="P169" s="189">
        <f t="shared" ref="P169:P178" ca="1" si="98">IF(ISNUMBER(N169),N169-K169,"N/A")</f>
        <v>31</v>
      </c>
      <c r="Q169" s="190">
        <f t="shared" ref="Q169:Q178" ca="1" si="99">IFERROR(IF(ISNUMBER(N169),(N169-K169)/ABS(K169),"N/A"),"N/A")</f>
        <v>5.2542372881355937E-3</v>
      </c>
      <c r="R169" s="171"/>
      <c r="S169" s="184">
        <v>44797</v>
      </c>
      <c r="T169" s="191" t="s">
        <v>302</v>
      </c>
      <c r="U169" s="171"/>
    </row>
    <row r="170" spans="1:21" x14ac:dyDescent="0.3">
      <c r="A170" s="154">
        <v>240</v>
      </c>
      <c r="B170" s="181" t="str">
        <f t="shared" si="95"/>
        <v>Historical</v>
      </c>
      <c r="C170" s="171"/>
      <c r="D170" s="188" t="str">
        <f ca="1">INDEX(INDIRECT(E170),0,COLUMN(MO_Common_Column_A))</f>
        <v>GAAP Gross Margin, %</v>
      </c>
      <c r="E170" s="182" t="s">
        <v>303</v>
      </c>
      <c r="F170" s="181" t="s">
        <v>839</v>
      </c>
      <c r="G170" s="181"/>
      <c r="H170" s="171"/>
      <c r="I170" s="185">
        <v>0.624</v>
      </c>
      <c r="J170" s="185">
        <v>0.624</v>
      </c>
      <c r="K170" s="185">
        <f t="shared" si="96"/>
        <v>0.624</v>
      </c>
      <c r="L170" s="171"/>
      <c r="M170" s="181" t="str">
        <f t="shared" si="97"/>
        <v>Actual</v>
      </c>
      <c r="N170" s="185">
        <f ca="1">IFERROR(INDEX(INDIRECT(E170),0,MATCH(F170,MO_Common_ColumnHeader,0)),"N/A")</f>
        <v>0.53566009104704104</v>
      </c>
      <c r="O170" s="171"/>
      <c r="P170" s="190">
        <f t="shared" ca="1" si="98"/>
        <v>-8.8339908952958957E-2</v>
      </c>
      <c r="Q170" s="190">
        <f t="shared" ca="1" si="99"/>
        <v>-0.1415703669117932</v>
      </c>
      <c r="R170" s="171"/>
      <c r="S170" s="184">
        <v>44797</v>
      </c>
      <c r="T170" s="191" t="s">
        <v>302</v>
      </c>
      <c r="U170" s="171"/>
    </row>
    <row r="171" spans="1:21" x14ac:dyDescent="0.3">
      <c r="A171" s="154">
        <v>239</v>
      </c>
      <c r="B171" s="181" t="str">
        <f t="shared" si="95"/>
        <v>Historical</v>
      </c>
      <c r="C171" s="171"/>
      <c r="D171" s="188" t="str">
        <f ca="1">INDEX(INDIRECT(E171),0,COLUMN(MO_Common_Column_A))</f>
        <v>Non-GAAP Gross Margin, %</v>
      </c>
      <c r="E171" s="182" t="s">
        <v>304</v>
      </c>
      <c r="F171" s="181" t="s">
        <v>839</v>
      </c>
      <c r="G171" s="181"/>
      <c r="H171" s="171"/>
      <c r="I171" s="185">
        <v>0.65</v>
      </c>
      <c r="J171" s="185">
        <v>0.65</v>
      </c>
      <c r="K171" s="185">
        <f t="shared" si="96"/>
        <v>0.65</v>
      </c>
      <c r="L171" s="171"/>
      <c r="M171" s="181" t="str">
        <f t="shared" si="97"/>
        <v>Actual</v>
      </c>
      <c r="N171" s="185">
        <f ca="1">IFERROR(INDEX(INDIRECT(E171),0,MATCH(F171,MO_Common_ColumnHeader,0)),"N/A")</f>
        <v>0.56128814702411067</v>
      </c>
      <c r="O171" s="171"/>
      <c r="P171" s="190">
        <f t="shared" ca="1" si="98"/>
        <v>-8.8711852975889349E-2</v>
      </c>
      <c r="Q171" s="190">
        <f t="shared" ca="1" si="99"/>
        <v>-0.13647977380906054</v>
      </c>
      <c r="R171" s="171"/>
      <c r="S171" s="184">
        <v>44797</v>
      </c>
      <c r="T171" s="191" t="s">
        <v>302</v>
      </c>
      <c r="U171" s="171"/>
    </row>
    <row r="172" spans="1:21" x14ac:dyDescent="0.3">
      <c r="A172" s="154">
        <v>238</v>
      </c>
      <c r="B172" s="181" t="str">
        <f t="shared" si="95"/>
        <v>Historical</v>
      </c>
      <c r="C172" s="171"/>
      <c r="D172" s="188" t="s">
        <v>305</v>
      </c>
      <c r="E172" s="182"/>
      <c r="F172" s="181" t="s">
        <v>839</v>
      </c>
      <c r="G172" s="181"/>
      <c r="H172" s="171"/>
      <c r="I172" s="183">
        <v>2590</v>
      </c>
      <c r="J172" s="183">
        <v>2590</v>
      </c>
      <c r="K172" s="183">
        <f t="shared" si="96"/>
        <v>2590</v>
      </c>
      <c r="L172" s="171"/>
      <c r="M172" s="181" t="str">
        <f t="shared" si="97"/>
        <v>Actual</v>
      </c>
      <c r="N172" s="183">
        <f>INDEX(MO_RIS_RD,0,MATCH(F172,MO_Common_ColumnHeader,0))+INDEX(MO_RIS_SGA,0,MATCH(F172,MO_Common_ColumnHeader,0))</f>
        <v>2576</v>
      </c>
      <c r="O172" s="171"/>
      <c r="P172" s="189">
        <f t="shared" si="98"/>
        <v>-14</v>
      </c>
      <c r="Q172" s="190">
        <f t="shared" si="99"/>
        <v>-5.4054054054054057E-3</v>
      </c>
      <c r="R172" s="171"/>
      <c r="S172" s="184">
        <v>44797</v>
      </c>
      <c r="T172" s="191" t="s">
        <v>302</v>
      </c>
      <c r="U172" s="171"/>
    </row>
    <row r="173" spans="1:21" x14ac:dyDescent="0.3">
      <c r="A173" s="154">
        <v>237</v>
      </c>
      <c r="B173" s="181" t="str">
        <f t="shared" si="95"/>
        <v>Historical</v>
      </c>
      <c r="C173" s="171"/>
      <c r="D173" s="188" t="str">
        <f ca="1">INDEX(INDIRECT(E173),0,COLUMN(MO_Common_Column_A))</f>
        <v>Total Non-GAAP Operating Expenses, mm</v>
      </c>
      <c r="E173" s="182" t="s">
        <v>939</v>
      </c>
      <c r="F173" s="181" t="s">
        <v>839</v>
      </c>
      <c r="G173" s="181"/>
      <c r="H173" s="171"/>
      <c r="I173" s="183">
        <v>1820</v>
      </c>
      <c r="J173" s="183">
        <v>1820</v>
      </c>
      <c r="K173" s="183">
        <f t="shared" si="96"/>
        <v>1820</v>
      </c>
      <c r="L173" s="171"/>
      <c r="M173" s="181" t="str">
        <f t="shared" si="97"/>
        <v>Actual</v>
      </c>
      <c r="N173" s="183">
        <f ca="1">IFERROR(INDEX(INDIRECT(E173),0,MATCH(F173,MO_Common_ColumnHeader,0)),"N/A")</f>
        <v>1793</v>
      </c>
      <c r="O173" s="171"/>
      <c r="P173" s="189">
        <f t="shared" ca="1" si="98"/>
        <v>-27</v>
      </c>
      <c r="Q173" s="190">
        <f t="shared" ca="1" si="99"/>
        <v>-1.4835164835164835E-2</v>
      </c>
      <c r="R173" s="171"/>
      <c r="S173" s="184">
        <v>44797</v>
      </c>
      <c r="T173" s="191" t="s">
        <v>302</v>
      </c>
      <c r="U173" s="171"/>
    </row>
    <row r="174" spans="1:21" x14ac:dyDescent="0.3">
      <c r="A174" s="154">
        <v>236</v>
      </c>
      <c r="B174" s="181" t="str">
        <f t="shared" si="95"/>
        <v>Historical</v>
      </c>
      <c r="C174" s="171"/>
      <c r="D174" s="188" t="s">
        <v>307</v>
      </c>
      <c r="E174" s="182"/>
      <c r="F174" s="181" t="s">
        <v>839</v>
      </c>
      <c r="G174" s="181"/>
      <c r="H174" s="171"/>
      <c r="I174" s="183">
        <v>10</v>
      </c>
      <c r="J174" s="183">
        <v>10</v>
      </c>
      <c r="K174" s="183">
        <f t="shared" si="96"/>
        <v>10</v>
      </c>
      <c r="L174" s="171"/>
      <c r="M174" s="181" t="str">
        <f t="shared" si="97"/>
        <v>Actual</v>
      </c>
      <c r="N174" s="183" t="str">
        <f ca="1">IFERROR(INDEX(INDIRECT(E174),0,MATCH(F174,MO_Common_ColumnHeader,0)),"N/A")</f>
        <v>N/A</v>
      </c>
      <c r="O174" s="171"/>
      <c r="P174" s="189" t="str">
        <f t="shared" ca="1" si="98"/>
        <v>N/A</v>
      </c>
      <c r="Q174" s="190" t="str">
        <f t="shared" ca="1" si="99"/>
        <v>N/A</v>
      </c>
      <c r="R174" s="171"/>
      <c r="S174" s="184">
        <v>44797</v>
      </c>
      <c r="T174" s="191" t="s">
        <v>302</v>
      </c>
      <c r="U174" s="171"/>
    </row>
    <row r="175" spans="1:21" x14ac:dyDescent="0.3">
      <c r="A175" s="154">
        <v>235</v>
      </c>
      <c r="B175" s="181" t="str">
        <f t="shared" si="95"/>
        <v>Historical</v>
      </c>
      <c r="C175" s="171"/>
      <c r="D175" s="188" t="s">
        <v>308</v>
      </c>
      <c r="E175" s="182"/>
      <c r="F175" s="181" t="s">
        <v>839</v>
      </c>
      <c r="G175" s="181"/>
      <c r="H175" s="171"/>
      <c r="I175" s="183">
        <v>10</v>
      </c>
      <c r="J175" s="183">
        <v>10</v>
      </c>
      <c r="K175" s="183">
        <f t="shared" si="96"/>
        <v>10</v>
      </c>
      <c r="L175" s="171"/>
      <c r="M175" s="181" t="str">
        <f t="shared" si="97"/>
        <v>Actual</v>
      </c>
      <c r="N175" s="183">
        <f>INDEX(MO_RIS_IE_Net_NONGAAP,0,MATCH(F175,MO_Common_ColumnHeader,0))+INDEX(MO_RIS_OI_NONGAAP,0,MATCH(F175,MO_Common_ColumnHeader,0))</f>
        <v>-24</v>
      </c>
      <c r="O175" s="171"/>
      <c r="P175" s="189">
        <f t="shared" si="98"/>
        <v>-34</v>
      </c>
      <c r="Q175" s="190">
        <f t="shared" si="99"/>
        <v>-3.4</v>
      </c>
      <c r="R175" s="171"/>
      <c r="S175" s="184">
        <v>44797</v>
      </c>
      <c r="T175" s="191" t="s">
        <v>302</v>
      </c>
      <c r="U175" s="171"/>
    </row>
    <row r="176" spans="1:21" x14ac:dyDescent="0.3">
      <c r="A176" s="154">
        <v>234</v>
      </c>
      <c r="B176" s="181" t="str">
        <f t="shared" si="95"/>
        <v>Historical</v>
      </c>
      <c r="C176" s="171"/>
      <c r="D176" s="188" t="s">
        <v>309</v>
      </c>
      <c r="E176" s="182" t="s">
        <v>818</v>
      </c>
      <c r="F176" s="181" t="s">
        <v>839</v>
      </c>
      <c r="G176" s="181"/>
      <c r="H176" s="171"/>
      <c r="I176" s="185">
        <v>8.5000000000000006E-2</v>
      </c>
      <c r="J176" s="185">
        <v>0.105</v>
      </c>
      <c r="K176" s="185">
        <f t="shared" si="96"/>
        <v>9.5000000000000001E-2</v>
      </c>
      <c r="L176" s="171"/>
      <c r="M176" s="181" t="str">
        <f t="shared" si="97"/>
        <v>Actual</v>
      </c>
      <c r="N176" s="185">
        <f ca="1">IFERROR(INDEX(INDIRECT(E176),0,MATCH(F176,MO_Common_ColumnHeader,0)),"N/A")</f>
        <v>-0.10929853181076672</v>
      </c>
      <c r="O176" s="171"/>
      <c r="P176" s="190">
        <f t="shared" ca="1" si="98"/>
        <v>-0.20429853181076674</v>
      </c>
      <c r="Q176" s="190">
        <f t="shared" ca="1" si="99"/>
        <v>-2.1505108611659658</v>
      </c>
      <c r="R176" s="171"/>
      <c r="S176" s="184">
        <v>44797</v>
      </c>
      <c r="T176" s="191" t="s">
        <v>302</v>
      </c>
      <c r="U176" s="171"/>
    </row>
    <row r="177" spans="1:21" x14ac:dyDescent="0.3">
      <c r="A177" s="154">
        <v>233</v>
      </c>
      <c r="B177" s="181" t="str">
        <f t="shared" si="95"/>
        <v>Historical</v>
      </c>
      <c r="C177" s="171"/>
      <c r="D177" s="188" t="str">
        <f ca="1">INDEX(INDIRECT(E177),0,COLUMN(MO_Common_Column_A))</f>
        <v>Non-GAAP Tax Rate</v>
      </c>
      <c r="E177" s="182" t="s">
        <v>310</v>
      </c>
      <c r="F177" s="181" t="s">
        <v>839</v>
      </c>
      <c r="G177" s="181"/>
      <c r="H177" s="171"/>
      <c r="I177" s="185">
        <v>8.5000000000000006E-2</v>
      </c>
      <c r="J177" s="185">
        <v>0.105</v>
      </c>
      <c r="K177" s="185">
        <f t="shared" si="96"/>
        <v>9.5000000000000001E-2</v>
      </c>
      <c r="L177" s="171"/>
      <c r="M177" s="181" t="str">
        <f t="shared" si="97"/>
        <v>Actual</v>
      </c>
      <c r="N177" s="185">
        <f ca="1">IFERROR(INDEX(INDIRECT(E177),0,MATCH(F177,MO_Common_ColumnHeader,0)),"N/A")</f>
        <v>6.6666666666666666E-2</v>
      </c>
      <c r="O177" s="171"/>
      <c r="P177" s="190">
        <f t="shared" ca="1" si="98"/>
        <v>-2.8333333333333335E-2</v>
      </c>
      <c r="Q177" s="190">
        <f t="shared" ca="1" si="99"/>
        <v>-0.29824561403508776</v>
      </c>
      <c r="R177" s="171"/>
      <c r="S177" s="184">
        <v>44797</v>
      </c>
      <c r="T177" s="191" t="s">
        <v>302</v>
      </c>
      <c r="U177" s="171"/>
    </row>
    <row r="178" spans="1:21" x14ac:dyDescent="0.3">
      <c r="A178" s="154">
        <v>232</v>
      </c>
      <c r="B178" s="181" t="str">
        <f t="shared" si="95"/>
        <v>Historical</v>
      </c>
      <c r="C178" s="171"/>
      <c r="D178" s="188" t="str">
        <f ca="1">INDEX(INDIRECT(E178),0,COLUMN(MO_Common_Column_A))</f>
        <v>Capex</v>
      </c>
      <c r="E178" s="182" t="s">
        <v>560</v>
      </c>
      <c r="F178" s="181" t="s">
        <v>839</v>
      </c>
      <c r="G178" s="181"/>
      <c r="H178" s="171"/>
      <c r="I178" s="183">
        <v>-600</v>
      </c>
      <c r="J178" s="183">
        <v>-550</v>
      </c>
      <c r="K178" s="183">
        <f t="shared" si="96"/>
        <v>-575</v>
      </c>
      <c r="L178" s="171"/>
      <c r="M178" s="181" t="str">
        <f t="shared" si="97"/>
        <v>Actual</v>
      </c>
      <c r="N178" s="183">
        <f ca="1">IFERROR(INDEX(INDIRECT(E178),0,MATCH(F178,MO_Common_ColumnHeader,0)),"N/A")</f>
        <v>-530</v>
      </c>
      <c r="O178" s="171"/>
      <c r="P178" s="189">
        <f t="shared" ca="1" si="98"/>
        <v>45</v>
      </c>
      <c r="Q178" s="190">
        <f t="shared" ca="1" si="99"/>
        <v>7.8260869565217397E-2</v>
      </c>
      <c r="R178" s="171"/>
      <c r="S178" s="184">
        <v>44797</v>
      </c>
      <c r="T178" s="191" t="s">
        <v>622</v>
      </c>
      <c r="U178" s="171"/>
    </row>
    <row r="179" spans="1:21" x14ac:dyDescent="0.3">
      <c r="A179" s="154">
        <v>231</v>
      </c>
      <c r="B179" s="171"/>
      <c r="C179" s="171"/>
      <c r="D179" s="168"/>
      <c r="E179" s="169"/>
      <c r="F179" s="171"/>
      <c r="G179" s="171"/>
      <c r="H179" s="171"/>
      <c r="I179" s="885"/>
      <c r="J179" s="885"/>
      <c r="K179" s="885"/>
      <c r="L179" s="171"/>
      <c r="M179" s="171"/>
      <c r="N179" s="885"/>
      <c r="O179" s="171"/>
      <c r="P179" s="172"/>
      <c r="Q179" s="134"/>
      <c r="R179" s="171"/>
      <c r="S179" s="173"/>
      <c r="T179" s="192"/>
      <c r="U179" s="171"/>
    </row>
    <row r="180" spans="1:21" x14ac:dyDescent="0.3">
      <c r="A180" s="154">
        <v>230</v>
      </c>
      <c r="B180" s="181" t="str">
        <f t="shared" ref="B180:B189" si="100">IF(INDEX(MO_SNA_IsHistoricalPeriod,,MATCH(F180,MO_Common_ColumnHeader,0)),"Historical","Forward")</f>
        <v>Historical</v>
      </c>
      <c r="C180" s="171"/>
      <c r="D180" s="188" t="str">
        <f ca="1">INDEX(INDIRECT(E180),0,COLUMN(MO_Common_Column_A))</f>
        <v>Net Revenue</v>
      </c>
      <c r="E180" s="182" t="s">
        <v>300</v>
      </c>
      <c r="F180" s="181" t="s">
        <v>682</v>
      </c>
      <c r="G180" s="181"/>
      <c r="H180" s="171"/>
      <c r="I180" s="183">
        <f>8100*0.98</f>
        <v>7938</v>
      </c>
      <c r="J180" s="183">
        <f>8100*1.02</f>
        <v>8262</v>
      </c>
      <c r="K180" s="183">
        <f t="shared" ref="K180:K189" si="101">AVERAGE(I180:J180)</f>
        <v>8100</v>
      </c>
      <c r="L180" s="171"/>
      <c r="M180" s="181" t="str">
        <f t="shared" ref="M180:M189" si="102">IF(INDEX(MO_SNA_IsHistoricalPeriod,,MATCH(F180,MO_Common_ColumnHeader,0)),"Actual","Estimate")</f>
        <v>Actual</v>
      </c>
      <c r="N180" s="183">
        <f ca="1">IFERROR(INDEX(INDIRECT(E180),0,MATCH(F180,MO_Common_ColumnHeader,0)),"N/A")</f>
        <v>6704</v>
      </c>
      <c r="O180" s="171"/>
      <c r="P180" s="189">
        <f t="shared" ref="P180:P189" ca="1" si="103">IF(ISNUMBER(N180),N180-K180,"N/A")</f>
        <v>-1396</v>
      </c>
      <c r="Q180" s="190">
        <f t="shared" ref="Q180:Q189" ca="1" si="104">IFERROR(IF(ISNUMBER(N180),(N180-K180)/ABS(K180),"N/A"),"N/A")</f>
        <v>-0.17234567901234568</v>
      </c>
      <c r="R180" s="171"/>
      <c r="S180" s="184">
        <v>44706</v>
      </c>
      <c r="T180" s="191" t="s">
        <v>302</v>
      </c>
      <c r="U180" s="171"/>
    </row>
    <row r="181" spans="1:21" x14ac:dyDescent="0.3">
      <c r="A181" s="154">
        <v>229</v>
      </c>
      <c r="B181" s="181" t="str">
        <f t="shared" si="100"/>
        <v>Historical</v>
      </c>
      <c r="C181" s="171"/>
      <c r="D181" s="188" t="str">
        <f ca="1">INDEX(INDIRECT(E181),0,COLUMN(MO_Common_Column_A))</f>
        <v>GAAP Gross Margin, %</v>
      </c>
      <c r="E181" s="182" t="s">
        <v>303</v>
      </c>
      <c r="F181" s="181" t="s">
        <v>682</v>
      </c>
      <c r="G181" s="181"/>
      <c r="H181" s="171"/>
      <c r="I181" s="185">
        <f>65.1%-0.5%</f>
        <v>0.64599999999999991</v>
      </c>
      <c r="J181" s="185">
        <f>65.1%+0.5%</f>
        <v>0.65599999999999992</v>
      </c>
      <c r="K181" s="185">
        <f t="shared" si="101"/>
        <v>0.65099999999999991</v>
      </c>
      <c r="L181" s="171"/>
      <c r="M181" s="181" t="str">
        <f t="shared" si="102"/>
        <v>Actual</v>
      </c>
      <c r="N181" s="185">
        <f ca="1">IFERROR(INDEX(INDIRECT(E181),0,MATCH(F181,MO_Common_ColumnHeader,0)),"N/A")</f>
        <v>0.43481503579952263</v>
      </c>
      <c r="O181" s="171"/>
      <c r="P181" s="190">
        <f t="shared" ca="1" si="103"/>
        <v>-0.21618496420047728</v>
      </c>
      <c r="Q181" s="190">
        <f t="shared" ca="1" si="104"/>
        <v>-0.33208135821885915</v>
      </c>
      <c r="R181" s="171"/>
      <c r="S181" s="184">
        <v>44706</v>
      </c>
      <c r="T181" s="191" t="s">
        <v>302</v>
      </c>
      <c r="U181" s="171"/>
    </row>
    <row r="182" spans="1:21" x14ac:dyDescent="0.3">
      <c r="A182" s="154">
        <v>228</v>
      </c>
      <c r="B182" s="181" t="str">
        <f t="shared" si="100"/>
        <v>Historical</v>
      </c>
      <c r="C182" s="171"/>
      <c r="D182" s="188" t="str">
        <f ca="1">INDEX(INDIRECT(E182),0,COLUMN(MO_Common_Column_A))</f>
        <v>Non-GAAP Gross Margin, %</v>
      </c>
      <c r="E182" s="182" t="s">
        <v>304</v>
      </c>
      <c r="F182" s="181" t="s">
        <v>682</v>
      </c>
      <c r="G182" s="181"/>
      <c r="H182" s="171"/>
      <c r="I182" s="185">
        <f>67.1%-0.5%</f>
        <v>0.66599999999999993</v>
      </c>
      <c r="J182" s="185">
        <f>67.1%+0.5%</f>
        <v>0.67599999999999993</v>
      </c>
      <c r="K182" s="185">
        <f t="shared" si="101"/>
        <v>0.67099999999999993</v>
      </c>
      <c r="L182" s="171"/>
      <c r="M182" s="181" t="str">
        <f t="shared" si="102"/>
        <v>Actual</v>
      </c>
      <c r="N182" s="185">
        <f ca="1">IFERROR(INDEX(INDIRECT(E182),0,MATCH(F182,MO_Common_ColumnHeader,0)),"N/A")</f>
        <v>0.45853221957040569</v>
      </c>
      <c r="O182" s="171"/>
      <c r="P182" s="190">
        <f t="shared" ca="1" si="103"/>
        <v>-0.21246778042959424</v>
      </c>
      <c r="Q182" s="190">
        <f t="shared" ca="1" si="104"/>
        <v>-0.31664348797256969</v>
      </c>
      <c r="R182" s="171"/>
      <c r="S182" s="184">
        <v>44706</v>
      </c>
      <c r="T182" s="191" t="s">
        <v>302</v>
      </c>
      <c r="U182" s="171"/>
    </row>
    <row r="183" spans="1:21" x14ac:dyDescent="0.3">
      <c r="A183" s="154">
        <v>227</v>
      </c>
      <c r="B183" s="181" t="str">
        <f t="shared" si="100"/>
        <v>Historical</v>
      </c>
      <c r="C183" s="171"/>
      <c r="D183" s="188" t="s">
        <v>305</v>
      </c>
      <c r="E183" s="182"/>
      <c r="F183" s="181" t="s">
        <v>682</v>
      </c>
      <c r="G183" s="181"/>
      <c r="H183" s="171"/>
      <c r="I183" s="183">
        <v>2460</v>
      </c>
      <c r="J183" s="183">
        <v>2460</v>
      </c>
      <c r="K183" s="183">
        <f t="shared" si="101"/>
        <v>2460</v>
      </c>
      <c r="L183" s="171"/>
      <c r="M183" s="181" t="str">
        <f t="shared" si="102"/>
        <v>Actual</v>
      </c>
      <c r="N183" s="183">
        <f>INDEX(MO_RIS_RD,0,MATCH(F183,MO_Common_ColumnHeader,0))+INDEX(MO_RIS_SGA,0,MATCH(F183,MO_Common_ColumnHeader,0))</f>
        <v>2416</v>
      </c>
      <c r="O183" s="171"/>
      <c r="P183" s="189">
        <f t="shared" si="103"/>
        <v>-44</v>
      </c>
      <c r="Q183" s="190">
        <f t="shared" si="104"/>
        <v>-1.7886178861788619E-2</v>
      </c>
      <c r="R183" s="171"/>
      <c r="S183" s="184">
        <v>44706</v>
      </c>
      <c r="T183" s="191" t="s">
        <v>302</v>
      </c>
      <c r="U183" s="171"/>
    </row>
    <row r="184" spans="1:21" x14ac:dyDescent="0.3">
      <c r="A184" s="154">
        <v>226</v>
      </c>
      <c r="B184" s="181" t="str">
        <f t="shared" si="100"/>
        <v>Historical</v>
      </c>
      <c r="C184" s="171"/>
      <c r="D184" s="188" t="str">
        <f ca="1">INDEX(INDIRECT(E184),0,COLUMN(MO_Common_Column_A))</f>
        <v>Total Non-GAAP Operating Expenses, mm</v>
      </c>
      <c r="E184" s="182" t="s">
        <v>939</v>
      </c>
      <c r="F184" s="181" t="s">
        <v>682</v>
      </c>
      <c r="G184" s="181"/>
      <c r="H184" s="171"/>
      <c r="I184" s="183">
        <v>1750</v>
      </c>
      <c r="J184" s="183">
        <v>1750</v>
      </c>
      <c r="K184" s="183">
        <f t="shared" si="101"/>
        <v>1750</v>
      </c>
      <c r="L184" s="171"/>
      <c r="M184" s="181" t="str">
        <f t="shared" si="102"/>
        <v>Actual</v>
      </c>
      <c r="N184" s="183">
        <f ca="1">IFERROR(INDEX(INDIRECT(E184),0,MATCH(F184,MO_Common_ColumnHeader,0)),"N/A")</f>
        <v>1749</v>
      </c>
      <c r="O184" s="171"/>
      <c r="P184" s="189">
        <f t="shared" ca="1" si="103"/>
        <v>-1</v>
      </c>
      <c r="Q184" s="190">
        <f t="shared" ca="1" si="104"/>
        <v>-5.7142857142857147E-4</v>
      </c>
      <c r="R184" s="171"/>
      <c r="S184" s="184">
        <v>44706</v>
      </c>
      <c r="T184" s="191" t="s">
        <v>302</v>
      </c>
      <c r="U184" s="171"/>
    </row>
    <row r="185" spans="1:21" x14ac:dyDescent="0.3">
      <c r="A185" s="154">
        <v>225</v>
      </c>
      <c r="B185" s="181" t="str">
        <f t="shared" si="100"/>
        <v>Historical</v>
      </c>
      <c r="C185" s="171"/>
      <c r="D185" s="188" t="s">
        <v>307</v>
      </c>
      <c r="E185" s="182"/>
      <c r="F185" s="181" t="s">
        <v>682</v>
      </c>
      <c r="G185" s="181"/>
      <c r="H185" s="171"/>
      <c r="I185" s="183">
        <v>40</v>
      </c>
      <c r="J185" s="183">
        <v>40</v>
      </c>
      <c r="K185" s="183">
        <f t="shared" si="101"/>
        <v>40</v>
      </c>
      <c r="L185" s="171"/>
      <c r="M185" s="181" t="str">
        <f t="shared" si="102"/>
        <v>Actual</v>
      </c>
      <c r="N185" s="183" t="str">
        <f ca="1">IFERROR(INDEX(INDIRECT(E185),0,MATCH(F185,MO_Common_ColumnHeader,0)),"N/A")</f>
        <v>N/A</v>
      </c>
      <c r="O185" s="171"/>
      <c r="P185" s="189" t="str">
        <f t="shared" ca="1" si="103"/>
        <v>N/A</v>
      </c>
      <c r="Q185" s="190" t="str">
        <f t="shared" ca="1" si="104"/>
        <v>N/A</v>
      </c>
      <c r="R185" s="171"/>
      <c r="S185" s="184">
        <v>44706</v>
      </c>
      <c r="T185" s="191" t="s">
        <v>302</v>
      </c>
      <c r="U185" s="171"/>
    </row>
    <row r="186" spans="1:21" x14ac:dyDescent="0.3">
      <c r="A186" s="154">
        <v>224</v>
      </c>
      <c r="B186" s="181" t="str">
        <f t="shared" si="100"/>
        <v>Historical</v>
      </c>
      <c r="C186" s="171"/>
      <c r="D186" s="188" t="s">
        <v>308</v>
      </c>
      <c r="E186" s="182"/>
      <c r="F186" s="181" t="s">
        <v>682</v>
      </c>
      <c r="G186" s="181"/>
      <c r="H186" s="171"/>
      <c r="I186" s="183">
        <v>40</v>
      </c>
      <c r="J186" s="183">
        <v>40</v>
      </c>
      <c r="K186" s="183">
        <f t="shared" si="101"/>
        <v>40</v>
      </c>
      <c r="L186" s="171"/>
      <c r="M186" s="181" t="str">
        <f t="shared" si="102"/>
        <v>Actual</v>
      </c>
      <c r="N186" s="183">
        <f>INDEX(MO_RIS_IE_Net_NONGAAP,0,MATCH(F186,MO_Common_ColumnHeader,0))+INDEX(MO_RIS_OI_NONGAAP,0,MATCH(F186,MO_Common_ColumnHeader,0))</f>
        <v>17</v>
      </c>
      <c r="O186" s="171"/>
      <c r="P186" s="189">
        <f t="shared" si="103"/>
        <v>-23</v>
      </c>
      <c r="Q186" s="190">
        <f t="shared" si="104"/>
        <v>-0.57499999999999996</v>
      </c>
      <c r="R186" s="171"/>
      <c r="S186" s="184">
        <v>44706</v>
      </c>
      <c r="T186" s="191" t="s">
        <v>302</v>
      </c>
      <c r="U186" s="171"/>
    </row>
    <row r="187" spans="1:21" x14ac:dyDescent="0.3">
      <c r="A187" s="154">
        <v>223</v>
      </c>
      <c r="B187" s="181" t="str">
        <f t="shared" si="100"/>
        <v>Historical</v>
      </c>
      <c r="C187" s="171"/>
      <c r="D187" s="188" t="s">
        <v>309</v>
      </c>
      <c r="E187" s="182" t="s">
        <v>818</v>
      </c>
      <c r="F187" s="181" t="s">
        <v>682</v>
      </c>
      <c r="G187" s="181"/>
      <c r="H187" s="171"/>
      <c r="I187" s="185">
        <v>0.115</v>
      </c>
      <c r="J187" s="185">
        <v>0.13500000000000001</v>
      </c>
      <c r="K187" s="185">
        <f t="shared" si="101"/>
        <v>0.125</v>
      </c>
      <c r="L187" s="171"/>
      <c r="M187" s="181" t="str">
        <f t="shared" si="102"/>
        <v>Actual</v>
      </c>
      <c r="N187" s="185">
        <f ca="1">IFERROR(INDEX(INDIRECT(E187),0,MATCH(F187,MO_Common_ColumnHeader,0)),"N/A")</f>
        <v>-0.38105263157894737</v>
      </c>
      <c r="O187" s="171"/>
      <c r="P187" s="190">
        <f t="shared" ca="1" si="103"/>
        <v>-0.50605263157894731</v>
      </c>
      <c r="Q187" s="190">
        <f t="shared" ca="1" si="104"/>
        <v>-4.0484210526315785</v>
      </c>
      <c r="R187" s="171"/>
      <c r="S187" s="184">
        <v>44706</v>
      </c>
      <c r="T187" s="191" t="s">
        <v>302</v>
      </c>
      <c r="U187" s="171"/>
    </row>
    <row r="188" spans="1:21" x14ac:dyDescent="0.3">
      <c r="A188" s="154">
        <v>222</v>
      </c>
      <c r="B188" s="181" t="str">
        <f t="shared" si="100"/>
        <v>Historical</v>
      </c>
      <c r="C188" s="171"/>
      <c r="D188" s="188" t="str">
        <f ca="1">INDEX(INDIRECT(E188),0,COLUMN(MO_Common_Column_A))</f>
        <v>Non-GAAP Tax Rate</v>
      </c>
      <c r="E188" s="182" t="s">
        <v>310</v>
      </c>
      <c r="F188" s="181" t="s">
        <v>682</v>
      </c>
      <c r="G188" s="181"/>
      <c r="H188" s="171"/>
      <c r="I188" s="185">
        <v>0.115</v>
      </c>
      <c r="J188" s="185">
        <v>0.13500000000000001</v>
      </c>
      <c r="K188" s="185">
        <f t="shared" si="101"/>
        <v>0.125</v>
      </c>
      <c r="L188" s="171"/>
      <c r="M188" s="181" t="str">
        <f t="shared" si="102"/>
        <v>Actual</v>
      </c>
      <c r="N188" s="185">
        <f ca="1">IFERROR(INDEX(INDIRECT(E188),0,MATCH(F188,MO_Common_ColumnHeader,0)),"N/A")</f>
        <v>1.2232415902140673E-2</v>
      </c>
      <c r="O188" s="171"/>
      <c r="P188" s="190">
        <f t="shared" ca="1" si="103"/>
        <v>-0.11276758409785932</v>
      </c>
      <c r="Q188" s="190">
        <f t="shared" ca="1" si="104"/>
        <v>-0.90214067278287458</v>
      </c>
      <c r="R188" s="171"/>
      <c r="S188" s="184">
        <v>44706</v>
      </c>
      <c r="T188" s="191" t="s">
        <v>302</v>
      </c>
      <c r="U188" s="171"/>
    </row>
    <row r="189" spans="1:21" x14ac:dyDescent="0.3">
      <c r="A189" s="154">
        <v>221</v>
      </c>
      <c r="B189" s="181" t="str">
        <f t="shared" si="100"/>
        <v>Historical</v>
      </c>
      <c r="C189" s="171"/>
      <c r="D189" s="188" t="str">
        <f ca="1">INDEX(INDIRECT(E189),0,COLUMN(MO_Common_Column_A))</f>
        <v>Capex</v>
      </c>
      <c r="E189" s="182" t="s">
        <v>560</v>
      </c>
      <c r="F189" s="181" t="s">
        <v>682</v>
      </c>
      <c r="G189" s="181"/>
      <c r="H189" s="171"/>
      <c r="I189" s="183">
        <v>-450</v>
      </c>
      <c r="J189" s="183">
        <v>-400</v>
      </c>
      <c r="K189" s="183">
        <f t="shared" si="101"/>
        <v>-425</v>
      </c>
      <c r="L189" s="171"/>
      <c r="M189" s="181" t="str">
        <f t="shared" si="102"/>
        <v>Actual</v>
      </c>
      <c r="N189" s="183">
        <f ca="1">IFERROR(INDEX(INDIRECT(E189),0,MATCH(F189,MO_Common_ColumnHeader,0)),"N/A")</f>
        <v>-433</v>
      </c>
      <c r="O189" s="171"/>
      <c r="P189" s="189">
        <f t="shared" ca="1" si="103"/>
        <v>-8</v>
      </c>
      <c r="Q189" s="190">
        <f t="shared" ca="1" si="104"/>
        <v>-1.8823529411764704E-2</v>
      </c>
      <c r="R189" s="171"/>
      <c r="S189" s="184">
        <v>44706</v>
      </c>
      <c r="T189" s="191" t="s">
        <v>622</v>
      </c>
      <c r="U189" s="171"/>
    </row>
    <row r="190" spans="1:21" x14ac:dyDescent="0.3">
      <c r="A190" s="154">
        <v>220</v>
      </c>
      <c r="B190" s="171"/>
      <c r="C190" s="171"/>
      <c r="D190" s="168"/>
      <c r="E190" s="169"/>
      <c r="F190" s="171"/>
      <c r="G190" s="171"/>
      <c r="H190" s="171"/>
      <c r="I190" s="885"/>
      <c r="J190" s="885"/>
      <c r="K190" s="885"/>
      <c r="L190" s="171"/>
      <c r="M190" s="171"/>
      <c r="N190" s="885"/>
      <c r="O190" s="171"/>
      <c r="P190" s="172"/>
      <c r="Q190" s="134"/>
      <c r="R190" s="171"/>
      <c r="S190" s="173"/>
      <c r="T190" s="192"/>
      <c r="U190" s="171"/>
    </row>
    <row r="191" spans="1:21" x14ac:dyDescent="0.3">
      <c r="A191" s="154">
        <v>219</v>
      </c>
      <c r="B191" s="181" t="str">
        <f t="shared" ref="B191:B200" si="105">IF(INDEX(MO_SNA_IsHistoricalPeriod,,MATCH(F191,MO_Common_ColumnHeader,0)),"Historical","Forward")</f>
        <v>Historical</v>
      </c>
      <c r="C191" s="171"/>
      <c r="D191" s="188" t="str">
        <f ca="1">INDEX(INDIRECT(E191),0,COLUMN(MO_Common_Column_A))</f>
        <v>Net Revenue</v>
      </c>
      <c r="E191" s="182" t="s">
        <v>300</v>
      </c>
      <c r="F191" s="181" t="s">
        <v>677</v>
      </c>
      <c r="G191" s="181"/>
      <c r="H191" s="171"/>
      <c r="I191" s="183">
        <f>8100*0.98</f>
        <v>7938</v>
      </c>
      <c r="J191" s="183">
        <f>8100*1.02</f>
        <v>8262</v>
      </c>
      <c r="K191" s="183">
        <f t="shared" ref="K191:K200" si="106">AVERAGE(I191:J191)</f>
        <v>8100</v>
      </c>
      <c r="L191" s="171"/>
      <c r="M191" s="181" t="str">
        <f t="shared" ref="M191:M200" si="107">IF(INDEX(MO_SNA_IsHistoricalPeriod,,MATCH(F191,MO_Common_ColumnHeader,0)),"Actual","Estimate")</f>
        <v>Actual</v>
      </c>
      <c r="N191" s="183">
        <f ca="1">IFERROR(INDEX(INDIRECT(E191),0,MATCH(F191,MO_Common_ColumnHeader,0)),"N/A")</f>
        <v>8288</v>
      </c>
      <c r="O191" s="171"/>
      <c r="P191" s="189">
        <f t="shared" ref="P191:P200" ca="1" si="108">IF(ISNUMBER(N191),N191-K191,"N/A")</f>
        <v>188</v>
      </c>
      <c r="Q191" s="190">
        <f t="shared" ref="Q191:Q200" ca="1" si="109">IFERROR(IF(ISNUMBER(N191),(N191-K191)/ABS(K191),"N/A"),"N/A")</f>
        <v>2.3209876543209877E-2</v>
      </c>
      <c r="R191" s="171"/>
      <c r="S191" s="184">
        <v>44608</v>
      </c>
      <c r="T191" s="191" t="s">
        <v>302</v>
      </c>
      <c r="U191" s="171"/>
    </row>
    <row r="192" spans="1:21" x14ac:dyDescent="0.3">
      <c r="A192" s="154">
        <v>218</v>
      </c>
      <c r="B192" s="181" t="str">
        <f t="shared" si="105"/>
        <v>Historical</v>
      </c>
      <c r="C192" s="171"/>
      <c r="D192" s="188" t="str">
        <f ca="1">INDEX(INDIRECT(E192),0,COLUMN(MO_Common_Column_A))</f>
        <v>GAAP Gross Margin, %</v>
      </c>
      <c r="E192" s="182" t="s">
        <v>303</v>
      </c>
      <c r="F192" s="181" t="s">
        <v>677</v>
      </c>
      <c r="G192" s="181"/>
      <c r="H192" s="171"/>
      <c r="I192" s="185">
        <f>65.2%-0.5%</f>
        <v>0.64700000000000002</v>
      </c>
      <c r="J192" s="185">
        <f>65.2%+0.5%</f>
        <v>0.65700000000000003</v>
      </c>
      <c r="K192" s="185">
        <f t="shared" si="106"/>
        <v>0.65200000000000002</v>
      </c>
      <c r="L192" s="171"/>
      <c r="M192" s="181" t="str">
        <f t="shared" si="107"/>
        <v>Actual</v>
      </c>
      <c r="N192" s="185">
        <f ca="1">IFERROR(INDEX(INDIRECT(E192),0,MATCH(F192,MO_Common_ColumnHeader,0)),"N/A")</f>
        <v>0.65528474903474909</v>
      </c>
      <c r="O192" s="171"/>
      <c r="P192" s="190">
        <f t="shared" ca="1" si="108"/>
        <v>3.2847490347490682E-3</v>
      </c>
      <c r="Q192" s="190">
        <f t="shared" ca="1" si="109"/>
        <v>5.037958642253172E-3</v>
      </c>
      <c r="R192" s="171"/>
      <c r="S192" s="184">
        <v>44608</v>
      </c>
      <c r="T192" s="191" t="s">
        <v>302</v>
      </c>
      <c r="U192" s="171"/>
    </row>
    <row r="193" spans="1:21" x14ac:dyDescent="0.3">
      <c r="A193" s="154">
        <v>217</v>
      </c>
      <c r="B193" s="181" t="str">
        <f t="shared" si="105"/>
        <v>Historical</v>
      </c>
      <c r="C193" s="171"/>
      <c r="D193" s="188" t="str">
        <f ca="1">INDEX(INDIRECT(E193),0,COLUMN(MO_Common_Column_A))</f>
        <v>Non-GAAP Gross Margin, %</v>
      </c>
      <c r="E193" s="182" t="s">
        <v>304</v>
      </c>
      <c r="F193" s="181" t="s">
        <v>677</v>
      </c>
      <c r="G193" s="181"/>
      <c r="H193" s="171"/>
      <c r="I193" s="185">
        <f>67%-0.5%</f>
        <v>0.66500000000000004</v>
      </c>
      <c r="J193" s="185">
        <f>67%+0.5%</f>
        <v>0.67500000000000004</v>
      </c>
      <c r="K193" s="185">
        <f t="shared" si="106"/>
        <v>0.67</v>
      </c>
      <c r="L193" s="171"/>
      <c r="M193" s="181" t="str">
        <f t="shared" si="107"/>
        <v>Actual</v>
      </c>
      <c r="N193" s="185">
        <f ca="1">IFERROR(INDEX(INDIRECT(E193),0,MATCH(F193,MO_Common_ColumnHeader,0)),"N/A")</f>
        <v>0.67121138996138996</v>
      </c>
      <c r="O193" s="171"/>
      <c r="P193" s="190">
        <f t="shared" ca="1" si="108"/>
        <v>1.2113899613899193E-3</v>
      </c>
      <c r="Q193" s="190">
        <f t="shared" ca="1" si="109"/>
        <v>1.8080447184924168E-3</v>
      </c>
      <c r="R193" s="171"/>
      <c r="S193" s="184">
        <v>44608</v>
      </c>
      <c r="T193" s="191" t="s">
        <v>302</v>
      </c>
      <c r="U193" s="171"/>
    </row>
    <row r="194" spans="1:21" x14ac:dyDescent="0.3">
      <c r="A194" s="154">
        <v>216</v>
      </c>
      <c r="B194" s="181" t="str">
        <f t="shared" si="105"/>
        <v>Historical</v>
      </c>
      <c r="C194" s="171"/>
      <c r="D194" s="188" t="s">
        <v>305</v>
      </c>
      <c r="E194" s="182"/>
      <c r="F194" s="181" t="s">
        <v>677</v>
      </c>
      <c r="G194" s="181"/>
      <c r="H194" s="171"/>
      <c r="I194" s="183">
        <v>3550</v>
      </c>
      <c r="J194" s="183">
        <v>3550</v>
      </c>
      <c r="K194" s="183">
        <f t="shared" si="106"/>
        <v>3550</v>
      </c>
      <c r="L194" s="171"/>
      <c r="M194" s="181" t="str">
        <f t="shared" si="107"/>
        <v>Actual</v>
      </c>
      <c r="N194" s="183">
        <f>INDEX(MO_RIS_RD,0,MATCH(F194,MO_Common_ColumnHeader,0))+INDEX(MO_RIS_SGA,0,MATCH(F194,MO_Common_ColumnHeader,0))+1360</f>
        <v>3570</v>
      </c>
      <c r="O194" s="171"/>
      <c r="P194" s="189">
        <f t="shared" si="108"/>
        <v>20</v>
      </c>
      <c r="Q194" s="190">
        <f t="shared" si="109"/>
        <v>5.6338028169014088E-3</v>
      </c>
      <c r="R194" s="171"/>
      <c r="S194" s="184">
        <v>44608</v>
      </c>
      <c r="T194" s="191" t="s">
        <v>302</v>
      </c>
      <c r="U194" s="171"/>
    </row>
    <row r="195" spans="1:21" x14ac:dyDescent="0.3">
      <c r="A195" s="154">
        <v>215</v>
      </c>
      <c r="B195" s="181" t="str">
        <f t="shared" si="105"/>
        <v>Historical</v>
      </c>
      <c r="C195" s="171"/>
      <c r="D195" s="188" t="str">
        <f ca="1">INDEX(INDIRECT(E195),0,COLUMN(MO_Common_Column_A))</f>
        <v>Total Non-GAAP Operating Expenses, mm</v>
      </c>
      <c r="E195" s="182" t="s">
        <v>939</v>
      </c>
      <c r="F195" s="181" t="s">
        <v>677</v>
      </c>
      <c r="G195" s="181"/>
      <c r="H195" s="171"/>
      <c r="I195" s="183">
        <v>1600</v>
      </c>
      <c r="J195" s="183">
        <v>1600</v>
      </c>
      <c r="K195" s="183">
        <f t="shared" si="106"/>
        <v>1600</v>
      </c>
      <c r="L195" s="171"/>
      <c r="M195" s="181" t="str">
        <f t="shared" si="107"/>
        <v>Actual</v>
      </c>
      <c r="N195" s="183">
        <f ca="1">IFERROR(INDEX(INDIRECT(E195),0,MATCH(F195,MO_Common_ColumnHeader,0)),"N/A")</f>
        <v>1608</v>
      </c>
      <c r="O195" s="171"/>
      <c r="P195" s="189">
        <f t="shared" ca="1" si="108"/>
        <v>8</v>
      </c>
      <c r="Q195" s="190">
        <f t="shared" ca="1" si="109"/>
        <v>5.0000000000000001E-3</v>
      </c>
      <c r="R195" s="171"/>
      <c r="S195" s="184">
        <v>44608</v>
      </c>
      <c r="T195" s="191" t="s">
        <v>302</v>
      </c>
      <c r="U195" s="171"/>
    </row>
    <row r="196" spans="1:21" x14ac:dyDescent="0.3">
      <c r="A196" s="154">
        <v>214</v>
      </c>
      <c r="B196" s="181" t="str">
        <f t="shared" si="105"/>
        <v>Historical</v>
      </c>
      <c r="C196" s="171"/>
      <c r="D196" s="188" t="s">
        <v>307</v>
      </c>
      <c r="E196" s="182"/>
      <c r="F196" s="181" t="s">
        <v>677</v>
      </c>
      <c r="G196" s="181"/>
      <c r="H196" s="171"/>
      <c r="I196" s="183">
        <v>55</v>
      </c>
      <c r="J196" s="183">
        <v>55</v>
      </c>
      <c r="K196" s="183">
        <f t="shared" si="106"/>
        <v>55</v>
      </c>
      <c r="L196" s="171"/>
      <c r="M196" s="181" t="str">
        <f t="shared" si="107"/>
        <v>Actual</v>
      </c>
      <c r="N196" s="183" t="str">
        <f ca="1">IFERROR(INDEX(INDIRECT(E196),0,MATCH(F196,MO_Common_ColumnHeader,0)),"N/A")</f>
        <v>N/A</v>
      </c>
      <c r="O196" s="171"/>
      <c r="P196" s="189" t="str">
        <f t="shared" ca="1" si="108"/>
        <v>N/A</v>
      </c>
      <c r="Q196" s="190" t="str">
        <f t="shared" ca="1" si="109"/>
        <v>N/A</v>
      </c>
      <c r="R196" s="171"/>
      <c r="S196" s="184">
        <v>44608</v>
      </c>
      <c r="T196" s="191" t="s">
        <v>302</v>
      </c>
      <c r="U196" s="171"/>
    </row>
    <row r="197" spans="1:21" x14ac:dyDescent="0.3">
      <c r="A197" s="154">
        <v>213</v>
      </c>
      <c r="B197" s="181" t="str">
        <f t="shared" si="105"/>
        <v>Historical</v>
      </c>
      <c r="C197" s="171"/>
      <c r="D197" s="188" t="s">
        <v>308</v>
      </c>
      <c r="E197" s="182"/>
      <c r="F197" s="181" t="s">
        <v>677</v>
      </c>
      <c r="G197" s="181"/>
      <c r="H197" s="171"/>
      <c r="I197" s="183">
        <v>55</v>
      </c>
      <c r="J197" s="183">
        <v>55</v>
      </c>
      <c r="K197" s="183">
        <f t="shared" si="106"/>
        <v>55</v>
      </c>
      <c r="L197" s="171"/>
      <c r="M197" s="181" t="str">
        <f t="shared" si="107"/>
        <v>Actual</v>
      </c>
      <c r="N197" s="183">
        <f>INDEX(MO_RIS_IE_Net_NONGAAP,0,MATCH(F197,MO_Common_ColumnHeader,0))+INDEX(MO_RIS_OI_NONGAAP,0,MATCH(F197,MO_Common_ColumnHeader,0))</f>
        <v>45</v>
      </c>
      <c r="O197" s="171"/>
      <c r="P197" s="189">
        <f t="shared" si="108"/>
        <v>-10</v>
      </c>
      <c r="Q197" s="190">
        <f t="shared" si="109"/>
        <v>-0.18181818181818182</v>
      </c>
      <c r="R197" s="171"/>
      <c r="S197" s="184">
        <v>44608</v>
      </c>
      <c r="T197" s="191" t="s">
        <v>302</v>
      </c>
      <c r="U197" s="171"/>
    </row>
    <row r="198" spans="1:21" x14ac:dyDescent="0.3">
      <c r="A198" s="154">
        <v>212</v>
      </c>
      <c r="B198" s="181" t="str">
        <f t="shared" si="105"/>
        <v>Historical</v>
      </c>
      <c r="C198" s="171"/>
      <c r="D198" s="188" t="s">
        <v>309</v>
      </c>
      <c r="E198" s="182" t="s">
        <v>818</v>
      </c>
      <c r="F198" s="181" t="s">
        <v>677</v>
      </c>
      <c r="G198" s="181"/>
      <c r="H198" s="171"/>
      <c r="I198" s="185">
        <v>0.1</v>
      </c>
      <c r="J198" s="185">
        <v>0.12</v>
      </c>
      <c r="K198" s="185">
        <f t="shared" si="106"/>
        <v>0.11</v>
      </c>
      <c r="L198" s="171"/>
      <c r="M198" s="181" t="str">
        <f t="shared" si="107"/>
        <v>Actual</v>
      </c>
      <c r="N198" s="185">
        <f ca="1">IFERROR(INDEX(INDIRECT(E198),0,MATCH(F198,MO_Common_ColumnHeader,0)),"N/A")</f>
        <v>0.10360110803324099</v>
      </c>
      <c r="O198" s="171"/>
      <c r="P198" s="190">
        <f t="shared" ca="1" si="108"/>
        <v>-6.39889196675901E-3</v>
      </c>
      <c r="Q198" s="190">
        <f t="shared" ca="1" si="109"/>
        <v>-5.8171745152354633E-2</v>
      </c>
      <c r="R198" s="171"/>
      <c r="S198" s="184">
        <v>44608</v>
      </c>
      <c r="T198" s="191" t="s">
        <v>302</v>
      </c>
      <c r="U198" s="171"/>
    </row>
    <row r="199" spans="1:21" x14ac:dyDescent="0.3">
      <c r="A199" s="154">
        <v>211</v>
      </c>
      <c r="B199" s="181" t="str">
        <f t="shared" si="105"/>
        <v>Historical</v>
      </c>
      <c r="C199" s="171"/>
      <c r="D199" s="188" t="str">
        <f ca="1">INDEX(INDIRECT(E199),0,COLUMN(MO_Common_Column_A))</f>
        <v>Non-GAAP Tax Rate</v>
      </c>
      <c r="E199" s="182" t="s">
        <v>310</v>
      </c>
      <c r="F199" s="181" t="s">
        <v>677</v>
      </c>
      <c r="G199" s="181"/>
      <c r="H199" s="171"/>
      <c r="I199" s="185">
        <v>0.12</v>
      </c>
      <c r="J199" s="185">
        <v>0.14000000000000001</v>
      </c>
      <c r="K199" s="185">
        <f t="shared" si="106"/>
        <v>0.13</v>
      </c>
      <c r="L199" s="171"/>
      <c r="M199" s="181" t="str">
        <f t="shared" si="107"/>
        <v>Actual</v>
      </c>
      <c r="N199" s="185">
        <f ca="1">IFERROR(INDEX(INDIRECT(E199),0,MATCH(F199,MO_Common_ColumnHeader,0)),"N/A")</f>
        <v>0.11943734015345268</v>
      </c>
      <c r="O199" s="171"/>
      <c r="P199" s="190">
        <f t="shared" ca="1" si="108"/>
        <v>-1.056265984654732E-2</v>
      </c>
      <c r="Q199" s="190">
        <f t="shared" ca="1" si="109"/>
        <v>-8.1251229588825538E-2</v>
      </c>
      <c r="R199" s="171"/>
      <c r="S199" s="184">
        <v>44608</v>
      </c>
      <c r="T199" s="191" t="s">
        <v>302</v>
      </c>
      <c r="U199" s="171"/>
    </row>
    <row r="200" spans="1:21" x14ac:dyDescent="0.3">
      <c r="A200" s="154">
        <v>210</v>
      </c>
      <c r="B200" s="181" t="str">
        <f t="shared" si="105"/>
        <v>Historical</v>
      </c>
      <c r="C200" s="171"/>
      <c r="D200" s="188" t="str">
        <f ca="1">INDEX(INDIRECT(E200),0,COLUMN(MO_Common_Column_A))</f>
        <v>Capex</v>
      </c>
      <c r="E200" s="182" t="s">
        <v>560</v>
      </c>
      <c r="F200" s="181" t="s">
        <v>677</v>
      </c>
      <c r="G200" s="181"/>
      <c r="H200" s="171"/>
      <c r="I200" s="183">
        <v>-400</v>
      </c>
      <c r="J200" s="183">
        <v>-350</v>
      </c>
      <c r="K200" s="183">
        <f t="shared" si="106"/>
        <v>-375</v>
      </c>
      <c r="L200" s="171"/>
      <c r="M200" s="181" t="str">
        <f t="shared" si="107"/>
        <v>Actual</v>
      </c>
      <c r="N200" s="183">
        <f ca="1">IFERROR(INDEX(INDIRECT(E200),0,MATCH(F200,MO_Common_ColumnHeader,0)),"N/A")</f>
        <v>-361</v>
      </c>
      <c r="O200" s="171"/>
      <c r="P200" s="189">
        <f t="shared" ca="1" si="108"/>
        <v>14</v>
      </c>
      <c r="Q200" s="190">
        <f t="shared" ca="1" si="109"/>
        <v>3.7333333333333336E-2</v>
      </c>
      <c r="R200" s="171"/>
      <c r="S200" s="184">
        <v>44608</v>
      </c>
      <c r="T200" s="191" t="s">
        <v>622</v>
      </c>
      <c r="U200" s="171"/>
    </row>
    <row r="201" spans="1:21" x14ac:dyDescent="0.3">
      <c r="A201" s="154">
        <v>209</v>
      </c>
      <c r="B201" s="171"/>
      <c r="C201" s="171"/>
      <c r="D201" s="168"/>
      <c r="E201" s="169"/>
      <c r="F201" s="171"/>
      <c r="G201" s="171"/>
      <c r="H201" s="171"/>
      <c r="I201" s="885"/>
      <c r="J201" s="885"/>
      <c r="K201" s="885"/>
      <c r="L201" s="171"/>
      <c r="M201" s="171"/>
      <c r="N201" s="885"/>
      <c r="O201" s="171"/>
      <c r="P201" s="172"/>
      <c r="Q201" s="134"/>
      <c r="R201" s="171"/>
      <c r="S201" s="173"/>
      <c r="T201" s="192"/>
      <c r="U201" s="171"/>
    </row>
    <row r="202" spans="1:21" x14ac:dyDescent="0.3">
      <c r="A202" s="154">
        <v>208</v>
      </c>
      <c r="B202" s="181" t="str">
        <f t="shared" ref="B202:B213" si="110">IF(INDEX(MO_SNA_IsHistoricalPeriod,,MATCH(F202,MO_Common_ColumnHeader,0)),"Historical","Forward")</f>
        <v>Historical</v>
      </c>
      <c r="C202" s="171"/>
      <c r="D202" s="188" t="str">
        <f ca="1">INDEX(INDIRECT(E202),0,COLUMN(MO_Common_Column_A))</f>
        <v>Net Revenue</v>
      </c>
      <c r="E202" s="182" t="s">
        <v>300</v>
      </c>
      <c r="F202" s="181" t="s">
        <v>660</v>
      </c>
      <c r="G202" s="181"/>
      <c r="H202" s="171"/>
      <c r="I202" s="183">
        <f>7400*0.98</f>
        <v>7252</v>
      </c>
      <c r="J202" s="183">
        <f>7400*1.02</f>
        <v>7548</v>
      </c>
      <c r="K202" s="183">
        <f t="shared" ref="K202:K213" si="111">AVERAGE(I202:J202)</f>
        <v>7400</v>
      </c>
      <c r="L202" s="171"/>
      <c r="M202" s="181" t="str">
        <f t="shared" ref="M202:M213" si="112">IF(INDEX(MO_SNA_IsHistoricalPeriod,,MATCH(F202,MO_Common_ColumnHeader,0)),"Actual","Estimate")</f>
        <v>Actual</v>
      </c>
      <c r="N202" s="183">
        <f ca="1">IFERROR(INDEX(INDIRECT(E202),0,MATCH(F202,MO_Common_ColumnHeader,0)),"N/A")</f>
        <v>7643</v>
      </c>
      <c r="O202" s="171"/>
      <c r="P202" s="189">
        <f t="shared" ref="P202:P213" ca="1" si="113">IF(ISNUMBER(N202),N202-K202,"N/A")</f>
        <v>243</v>
      </c>
      <c r="Q202" s="190">
        <f t="shared" ref="Q202:Q213" ca="1" si="114">IFERROR(IF(ISNUMBER(N202),(N202-K202)/ABS(K202),"N/A"),"N/A")</f>
        <v>3.2837837837837835E-2</v>
      </c>
      <c r="R202" s="171"/>
      <c r="S202" s="184">
        <v>44517</v>
      </c>
      <c r="T202" s="191" t="s">
        <v>302</v>
      </c>
      <c r="U202" s="171"/>
    </row>
    <row r="203" spans="1:21" x14ac:dyDescent="0.3">
      <c r="A203" s="154">
        <v>207</v>
      </c>
      <c r="B203" s="181" t="str">
        <f t="shared" si="110"/>
        <v>Historical</v>
      </c>
      <c r="C203" s="171"/>
      <c r="D203" s="188" t="str">
        <f ca="1">INDEX(INDIRECT(E203),0,COLUMN(MO_Common_Column_A))</f>
        <v>GAAP Gross Margin, %</v>
      </c>
      <c r="E203" s="182" t="s">
        <v>303</v>
      </c>
      <c r="F203" s="181" t="s">
        <v>660</v>
      </c>
      <c r="G203" s="181"/>
      <c r="H203" s="171"/>
      <c r="I203" s="185">
        <v>0.64800000000000002</v>
      </c>
      <c r="J203" s="185">
        <v>0.65800000000000003</v>
      </c>
      <c r="K203" s="185">
        <f t="shared" si="111"/>
        <v>0.65300000000000002</v>
      </c>
      <c r="L203" s="171"/>
      <c r="M203" s="181" t="str">
        <f t="shared" si="112"/>
        <v>Actual</v>
      </c>
      <c r="N203" s="185">
        <f ca="1">IFERROR(INDEX(INDIRECT(E203),0,MATCH(F203,MO_Common_ColumnHeader,0)),"N/A")</f>
        <v>0.65406254088708615</v>
      </c>
      <c r="O203" s="171"/>
      <c r="P203" s="190">
        <f t="shared" ca="1" si="113"/>
        <v>1.0625408870861275E-3</v>
      </c>
      <c r="Q203" s="190">
        <f t="shared" ca="1" si="114"/>
        <v>1.6271682803769179E-3</v>
      </c>
      <c r="R203" s="171"/>
      <c r="S203" s="184">
        <v>44517</v>
      </c>
      <c r="T203" s="191" t="s">
        <v>302</v>
      </c>
      <c r="U203" s="171"/>
    </row>
    <row r="204" spans="1:21" x14ac:dyDescent="0.3">
      <c r="A204" s="154">
        <v>206</v>
      </c>
      <c r="B204" s="181" t="str">
        <f t="shared" si="110"/>
        <v>Historical</v>
      </c>
      <c r="C204" s="171"/>
      <c r="D204" s="188" t="str">
        <f ca="1">INDEX(INDIRECT(E204),0,COLUMN(MO_Common_Column_A))</f>
        <v>Non-GAAP Gross Margin, %</v>
      </c>
      <c r="E204" s="182" t="s">
        <v>304</v>
      </c>
      <c r="F204" s="181" t="s">
        <v>660</v>
      </c>
      <c r="G204" s="181"/>
      <c r="H204" s="171"/>
      <c r="I204" s="185">
        <v>0.66500000000000004</v>
      </c>
      <c r="J204" s="185">
        <v>0.67500000000000004</v>
      </c>
      <c r="K204" s="185">
        <f t="shared" si="111"/>
        <v>0.67</v>
      </c>
      <c r="L204" s="171"/>
      <c r="M204" s="181" t="str">
        <f t="shared" si="112"/>
        <v>Actual</v>
      </c>
      <c r="N204" s="185">
        <f ca="1">IFERROR(INDEX(INDIRECT(E204),0,MATCH(F204,MO_Common_ColumnHeader,0)),"N/A")</f>
        <v>0.6704173753761612</v>
      </c>
      <c r="O204" s="171"/>
      <c r="P204" s="190">
        <f t="shared" ca="1" si="113"/>
        <v>4.1737537616115539E-4</v>
      </c>
      <c r="Q204" s="190">
        <f t="shared" ca="1" si="114"/>
        <v>6.2294832262859009E-4</v>
      </c>
      <c r="R204" s="171"/>
      <c r="S204" s="184">
        <v>44517</v>
      </c>
      <c r="T204" s="191" t="s">
        <v>302</v>
      </c>
      <c r="U204" s="171"/>
    </row>
    <row r="205" spans="1:21" x14ac:dyDescent="0.3">
      <c r="A205" s="154">
        <v>205</v>
      </c>
      <c r="B205" s="181" t="str">
        <f t="shared" si="110"/>
        <v>Historical</v>
      </c>
      <c r="C205" s="171"/>
      <c r="D205" s="188" t="s">
        <v>305</v>
      </c>
      <c r="E205" s="182"/>
      <c r="F205" s="181" t="s">
        <v>660</v>
      </c>
      <c r="G205" s="181"/>
      <c r="H205" s="171"/>
      <c r="I205" s="183">
        <v>2020</v>
      </c>
      <c r="J205" s="183">
        <v>2020</v>
      </c>
      <c r="K205" s="183">
        <f t="shared" si="111"/>
        <v>2020</v>
      </c>
      <c r="L205" s="171"/>
      <c r="M205" s="181" t="str">
        <f t="shared" si="112"/>
        <v>Actual</v>
      </c>
      <c r="N205" s="183">
        <f>INDEX(MO_RIS_RD,0,MATCH(F205,MO_Common_ColumnHeader,0))+INDEX(MO_RIS_SGA,0,MATCH(F205,MO_Common_ColumnHeader,0))</f>
        <v>2029</v>
      </c>
      <c r="O205" s="171"/>
      <c r="P205" s="189">
        <f t="shared" si="113"/>
        <v>9</v>
      </c>
      <c r="Q205" s="190">
        <f t="shared" si="114"/>
        <v>4.4554455445544551E-3</v>
      </c>
      <c r="R205" s="171"/>
      <c r="S205" s="184">
        <v>44517</v>
      </c>
      <c r="T205" s="191" t="s">
        <v>302</v>
      </c>
      <c r="U205" s="171"/>
    </row>
    <row r="206" spans="1:21" x14ac:dyDescent="0.3">
      <c r="A206" s="154">
        <v>204</v>
      </c>
      <c r="B206" s="181" t="str">
        <f t="shared" si="110"/>
        <v>Historical</v>
      </c>
      <c r="C206" s="171"/>
      <c r="D206" s="188" t="str">
        <f ca="1">INDEX(INDIRECT(E206),0,COLUMN(MO_Common_Column_A))</f>
        <v>Total Non-GAAP Operating Expenses, mm</v>
      </c>
      <c r="E206" s="182" t="s">
        <v>939</v>
      </c>
      <c r="F206" s="181" t="s">
        <v>660</v>
      </c>
      <c r="G206" s="181"/>
      <c r="H206" s="171"/>
      <c r="I206" s="183">
        <v>1430</v>
      </c>
      <c r="J206" s="183">
        <v>1430</v>
      </c>
      <c r="K206" s="183">
        <f t="shared" si="111"/>
        <v>1430</v>
      </c>
      <c r="L206" s="171"/>
      <c r="M206" s="181" t="str">
        <f t="shared" si="112"/>
        <v>Actual</v>
      </c>
      <c r="N206" s="183">
        <f ca="1">IFERROR(INDEX(INDIRECT(E206),0,MATCH(F206,MO_Common_ColumnHeader,0)),"N/A")</f>
        <v>1447</v>
      </c>
      <c r="O206" s="171"/>
      <c r="P206" s="189">
        <f t="shared" ca="1" si="113"/>
        <v>17</v>
      </c>
      <c r="Q206" s="190">
        <f t="shared" ca="1" si="114"/>
        <v>1.1888111888111888E-2</v>
      </c>
      <c r="R206" s="171"/>
      <c r="S206" s="184">
        <v>44517</v>
      </c>
      <c r="T206" s="191" t="s">
        <v>302</v>
      </c>
      <c r="U206" s="171"/>
    </row>
    <row r="207" spans="1:21" x14ac:dyDescent="0.3">
      <c r="A207" s="154">
        <v>203</v>
      </c>
      <c r="B207" s="181" t="str">
        <f t="shared" si="110"/>
        <v>Historical</v>
      </c>
      <c r="C207" s="171"/>
      <c r="D207" s="188" t="s">
        <v>307</v>
      </c>
      <c r="E207" s="182"/>
      <c r="F207" s="181" t="s">
        <v>660</v>
      </c>
      <c r="G207" s="181"/>
      <c r="H207" s="171"/>
      <c r="I207" s="183">
        <v>60</v>
      </c>
      <c r="J207" s="183">
        <v>60</v>
      </c>
      <c r="K207" s="183">
        <f t="shared" si="111"/>
        <v>60</v>
      </c>
      <c r="L207" s="171"/>
      <c r="M207" s="181" t="str">
        <f t="shared" si="112"/>
        <v>Actual</v>
      </c>
      <c r="N207" s="183" t="str">
        <f ca="1">IFERROR(INDEX(INDIRECT(E207),0,MATCH(F207,MO_Common_ColumnHeader,0)),"N/A")</f>
        <v>N/A</v>
      </c>
      <c r="O207" s="171"/>
      <c r="P207" s="189" t="str">
        <f t="shared" ca="1" si="113"/>
        <v>N/A</v>
      </c>
      <c r="Q207" s="190" t="str">
        <f t="shared" ca="1" si="114"/>
        <v>N/A</v>
      </c>
      <c r="R207" s="171"/>
      <c r="S207" s="184">
        <v>44517</v>
      </c>
      <c r="T207" s="191" t="s">
        <v>302</v>
      </c>
      <c r="U207" s="171"/>
    </row>
    <row r="208" spans="1:21" x14ac:dyDescent="0.3">
      <c r="A208" s="154">
        <v>202</v>
      </c>
      <c r="B208" s="181" t="str">
        <f t="shared" si="110"/>
        <v>Historical</v>
      </c>
      <c r="C208" s="171"/>
      <c r="D208" s="188" t="s">
        <v>308</v>
      </c>
      <c r="E208" s="182"/>
      <c r="F208" s="181" t="s">
        <v>660</v>
      </c>
      <c r="G208" s="181"/>
      <c r="H208" s="171"/>
      <c r="I208" s="183">
        <v>60</v>
      </c>
      <c r="J208" s="183">
        <v>60</v>
      </c>
      <c r="K208" s="183">
        <f t="shared" si="111"/>
        <v>60</v>
      </c>
      <c r="L208" s="171"/>
      <c r="M208" s="181" t="str">
        <f t="shared" si="112"/>
        <v>Actual</v>
      </c>
      <c r="N208" s="183">
        <f>INDEX(MO_RIS_IE_Net_NONGAAP,0,MATCH(F208,MO_Common_ColumnHeader,0))+INDEX(MO_RIS_OI_NONGAAP,0,MATCH(F208,MO_Common_ColumnHeader,0))</f>
        <v>52</v>
      </c>
      <c r="O208" s="171"/>
      <c r="P208" s="189">
        <f t="shared" si="113"/>
        <v>-8</v>
      </c>
      <c r="Q208" s="190">
        <f t="shared" si="114"/>
        <v>-0.13333333333333333</v>
      </c>
      <c r="R208" s="171"/>
      <c r="S208" s="184">
        <v>44517</v>
      </c>
      <c r="T208" s="191" t="s">
        <v>302</v>
      </c>
      <c r="U208" s="171"/>
    </row>
    <row r="209" spans="1:21" x14ac:dyDescent="0.3">
      <c r="A209" s="154">
        <v>201</v>
      </c>
      <c r="B209" s="181" t="str">
        <f t="shared" si="110"/>
        <v>Historical</v>
      </c>
      <c r="C209" s="171"/>
      <c r="D209" s="188" t="s">
        <v>309</v>
      </c>
      <c r="E209" s="182" t="s">
        <v>818</v>
      </c>
      <c r="F209" s="181" t="s">
        <v>660</v>
      </c>
      <c r="G209" s="181"/>
      <c r="H209" s="171"/>
      <c r="I209" s="185">
        <v>0.1</v>
      </c>
      <c r="J209" s="185">
        <v>0.12</v>
      </c>
      <c r="K209" s="185">
        <f t="shared" si="111"/>
        <v>0.11</v>
      </c>
      <c r="L209" s="171"/>
      <c r="M209" s="181" t="str">
        <f t="shared" si="112"/>
        <v>Actual</v>
      </c>
      <c r="N209" s="185">
        <f ca="1">IFERROR(INDEX(INDIRECT(E209),0,MATCH(F209,MO_Common_ColumnHeader,0)),"N/A")</f>
        <v>-4.8167539267015703E-2</v>
      </c>
      <c r="O209" s="171"/>
      <c r="P209" s="190">
        <f t="shared" ca="1" si="113"/>
        <v>-0.15816753926701571</v>
      </c>
      <c r="Q209" s="190">
        <f t="shared" ca="1" si="114"/>
        <v>-1.4378867206092338</v>
      </c>
      <c r="R209" s="171"/>
      <c r="S209" s="184">
        <v>44517</v>
      </c>
      <c r="T209" s="191" t="s">
        <v>302</v>
      </c>
      <c r="U209" s="171"/>
    </row>
    <row r="210" spans="1:21" x14ac:dyDescent="0.3">
      <c r="A210" s="154">
        <v>200</v>
      </c>
      <c r="B210" s="181" t="str">
        <f t="shared" si="110"/>
        <v>Historical</v>
      </c>
      <c r="C210" s="171"/>
      <c r="D210" s="188" t="str">
        <f ca="1">INDEX(INDIRECT(E210),0,COLUMN(MO_Common_Column_A))</f>
        <v>Non-GAAP Tax Rate</v>
      </c>
      <c r="E210" s="182" t="s">
        <v>310</v>
      </c>
      <c r="F210" s="181" t="s">
        <v>660</v>
      </c>
      <c r="G210" s="181"/>
      <c r="H210" s="171"/>
      <c r="I210" s="185">
        <v>0.1</v>
      </c>
      <c r="J210" s="185">
        <v>0.12</v>
      </c>
      <c r="K210" s="185">
        <f t="shared" si="111"/>
        <v>0.11</v>
      </c>
      <c r="L210" s="171"/>
      <c r="M210" s="181" t="str">
        <f t="shared" si="112"/>
        <v>Actual</v>
      </c>
      <c r="N210" s="185">
        <f ca="1">IFERROR(INDEX(INDIRECT(E210),0,MATCH(F210,MO_Common_ColumnHeader,0)),"N/A")</f>
        <v>7.586206896551724E-2</v>
      </c>
      <c r="O210" s="171"/>
      <c r="P210" s="190">
        <f t="shared" ca="1" si="113"/>
        <v>-3.413793103448276E-2</v>
      </c>
      <c r="Q210" s="190">
        <f t="shared" ca="1" si="114"/>
        <v>-0.31034482758620691</v>
      </c>
      <c r="R210" s="171"/>
      <c r="S210" s="184">
        <v>44517</v>
      </c>
      <c r="T210" s="191" t="s">
        <v>302</v>
      </c>
      <c r="U210" s="171"/>
    </row>
    <row r="211" spans="1:21" x14ac:dyDescent="0.3">
      <c r="A211" s="154">
        <v>199</v>
      </c>
      <c r="B211" s="181" t="str">
        <f t="shared" si="110"/>
        <v>Historical</v>
      </c>
      <c r="C211" s="171"/>
      <c r="D211" s="188" t="s">
        <v>623</v>
      </c>
      <c r="E211" s="182"/>
      <c r="F211" s="181" t="s">
        <v>660</v>
      </c>
      <c r="G211" s="181"/>
      <c r="H211" s="171"/>
      <c r="I211" s="185">
        <v>-1.7000000000000001E-2</v>
      </c>
      <c r="J211" s="185">
        <v>-1.7000000000000001E-2</v>
      </c>
      <c r="K211" s="185">
        <f t="shared" si="111"/>
        <v>-1.7000000000000001E-2</v>
      </c>
      <c r="L211" s="171"/>
      <c r="M211" s="181" t="str">
        <f t="shared" si="112"/>
        <v>Actual</v>
      </c>
      <c r="N211" s="185">
        <f>(INDEX(MO_RIS_SBC_COGS,0,MATCH(F211,MO_Common_ColumnHeader,0))+INDEX(z_A7FLSL0150_MO_RIS_AcquisitionrelatedcostsCOGS,0,MATCH(F211,MO_Common_ColumnHeader,0))+INDEX(MO_RIS_COGS_Adjustments,0,MATCH(F211,MO_Common_ColumnHeader,0)))/INDEX(MO_RIS_REV,0,MATCH(F211,MO_Common_ColumnHeader,0))</f>
        <v>-1.635483448907497E-2</v>
      </c>
      <c r="O211" s="171"/>
      <c r="P211" s="190">
        <f t="shared" si="113"/>
        <v>6.4516551092503108E-4</v>
      </c>
      <c r="Q211" s="190">
        <f t="shared" si="114"/>
        <v>3.7950912407354764E-2</v>
      </c>
      <c r="R211" s="171"/>
      <c r="S211" s="184">
        <v>44517</v>
      </c>
      <c r="T211" s="191" t="s">
        <v>302</v>
      </c>
      <c r="U211" s="171"/>
    </row>
    <row r="212" spans="1:21" x14ac:dyDescent="0.3">
      <c r="A212" s="154">
        <v>198</v>
      </c>
      <c r="B212" s="181" t="str">
        <f t="shared" si="110"/>
        <v>Historical</v>
      </c>
      <c r="C212" s="171"/>
      <c r="D212" s="188" t="s">
        <v>312</v>
      </c>
      <c r="E212" s="182"/>
      <c r="F212" s="181" t="s">
        <v>660</v>
      </c>
      <c r="G212" s="181"/>
      <c r="H212" s="171"/>
      <c r="I212" s="183">
        <v>-585</v>
      </c>
      <c r="J212" s="183">
        <v>-585</v>
      </c>
      <c r="K212" s="183">
        <f t="shared" si="111"/>
        <v>-585</v>
      </c>
      <c r="L212" s="171"/>
      <c r="M212" s="181" t="str">
        <f t="shared" si="112"/>
        <v>Actual</v>
      </c>
      <c r="N212" s="183">
        <f>-(-INDEX(MO_RIS_OtherOperating_NONGAAP,0,MATCH(F212,MO_Common_ColumnHeader,0))+INDEX(z_A7FLSL0150_MO_RIS_SBC_2,0,MATCH(F212,MO_Common_ColumnHeader,0))+INDEX(z_A7FLSL0150_MO_RIS_sbc_1,0,MATCH(F212,MO_Common_ColumnHeader,0))+INDEX(z_A7FLSL0150_MO_RIS_AcquisitionrelatedcostsRD,0,MATCH(F212,MO_Common_ColumnHeader,0))+INDEX(z_A7FLSL0150_MO_RIS_AcquisitionrelatedcostsSGA,0,MATCH(F212,MO_Common_ColumnHeader,0)))</f>
        <v>-582</v>
      </c>
      <c r="O212" s="171"/>
      <c r="P212" s="189">
        <f t="shared" si="113"/>
        <v>3</v>
      </c>
      <c r="Q212" s="190">
        <f t="shared" si="114"/>
        <v>5.1282051282051282E-3</v>
      </c>
      <c r="R212" s="171"/>
      <c r="S212" s="184">
        <v>44517</v>
      </c>
      <c r="T212" s="191" t="s">
        <v>302</v>
      </c>
      <c r="U212" s="171"/>
    </row>
    <row r="213" spans="1:21" x14ac:dyDescent="0.3">
      <c r="A213" s="154">
        <v>197</v>
      </c>
      <c r="B213" s="181" t="str">
        <f t="shared" si="110"/>
        <v>Historical</v>
      </c>
      <c r="C213" s="171"/>
      <c r="D213" s="188" t="str">
        <f ca="1">INDEX(INDIRECT(E213),0,COLUMN(MO_Common_Column_A))</f>
        <v>Capex</v>
      </c>
      <c r="E213" s="182" t="s">
        <v>560</v>
      </c>
      <c r="F213" s="181" t="s">
        <v>660</v>
      </c>
      <c r="G213" s="181"/>
      <c r="H213" s="171"/>
      <c r="I213" s="183">
        <v>-275</v>
      </c>
      <c r="J213" s="183">
        <v>-250</v>
      </c>
      <c r="K213" s="183">
        <f t="shared" si="111"/>
        <v>-262.5</v>
      </c>
      <c r="L213" s="171"/>
      <c r="M213" s="181" t="str">
        <f t="shared" si="112"/>
        <v>Actual</v>
      </c>
      <c r="N213" s="183">
        <f ca="1">IFERROR(INDEX(INDIRECT(E213),0,MATCH(F213,MO_Common_ColumnHeader,0)),"N/A")</f>
        <v>-273</v>
      </c>
      <c r="O213" s="171"/>
      <c r="P213" s="189">
        <f t="shared" ca="1" si="113"/>
        <v>-10.5</v>
      </c>
      <c r="Q213" s="190">
        <f t="shared" ca="1" si="114"/>
        <v>-0.04</v>
      </c>
      <c r="R213" s="171"/>
      <c r="S213" s="184">
        <v>44517</v>
      </c>
      <c r="T213" s="191" t="s">
        <v>622</v>
      </c>
      <c r="U213" s="171"/>
    </row>
    <row r="214" spans="1:21" x14ac:dyDescent="0.3">
      <c r="A214" s="154">
        <v>196</v>
      </c>
      <c r="B214" s="171"/>
      <c r="C214" s="171"/>
      <c r="D214" s="168"/>
      <c r="E214" s="169"/>
      <c r="F214" s="171"/>
      <c r="G214" s="171"/>
      <c r="H214" s="171"/>
      <c r="I214" s="885"/>
      <c r="J214" s="885"/>
      <c r="K214" s="885"/>
      <c r="L214" s="171"/>
      <c r="M214" s="171"/>
      <c r="N214" s="885"/>
      <c r="O214" s="171"/>
      <c r="P214" s="172"/>
      <c r="Q214" s="134"/>
      <c r="R214" s="171"/>
      <c r="S214" s="173"/>
      <c r="T214" s="192"/>
      <c r="U214" s="171"/>
    </row>
    <row r="215" spans="1:21" x14ac:dyDescent="0.3">
      <c r="A215" s="154">
        <v>195</v>
      </c>
      <c r="B215" s="181" t="str">
        <f t="shared" ref="B215:B226" si="115">IF(INDEX(MO_SNA_IsHistoricalPeriod,,MATCH(F215,MO_Common_ColumnHeader,0)),"Historical","Forward")</f>
        <v>Historical</v>
      </c>
      <c r="C215" s="171"/>
      <c r="D215" s="188" t="str">
        <f ca="1">INDEX(INDIRECT(E215),0,COLUMN(MO_Common_Column_A))</f>
        <v>Net Revenue</v>
      </c>
      <c r="E215" s="182" t="s">
        <v>300</v>
      </c>
      <c r="F215" s="181" t="s">
        <v>653</v>
      </c>
      <c r="G215" s="181"/>
      <c r="H215" s="171"/>
      <c r="I215" s="183">
        <f>6800*0.98</f>
        <v>6664</v>
      </c>
      <c r="J215" s="183">
        <f>6800*1.02</f>
        <v>6936</v>
      </c>
      <c r="K215" s="183">
        <f t="shared" ref="K215:K226" si="116">AVERAGE(I215:J215)</f>
        <v>6800</v>
      </c>
      <c r="L215" s="171"/>
      <c r="M215" s="181" t="str">
        <f t="shared" ref="M215:M226" si="117">IF(INDEX(MO_SNA_IsHistoricalPeriod,,MATCH(F215,MO_Common_ColumnHeader,0)),"Actual","Estimate")</f>
        <v>Actual</v>
      </c>
      <c r="N215" s="183">
        <f ca="1">IFERROR(INDEX(INDIRECT(E215),0,MATCH(F215,MO_Common_ColumnHeader,0)),"N/A")</f>
        <v>7103</v>
      </c>
      <c r="O215" s="171"/>
      <c r="P215" s="189">
        <f t="shared" ref="P215:P226" ca="1" si="118">IF(ISNUMBER(N215),N215-K215,"N/A")</f>
        <v>303</v>
      </c>
      <c r="Q215" s="190">
        <f t="shared" ref="Q215:Q226" ca="1" si="119">IFERROR(IF(ISNUMBER(N215),(N215-K215)/ABS(K215),"N/A"),"N/A")</f>
        <v>4.4558823529411762E-2</v>
      </c>
      <c r="R215" s="171"/>
      <c r="S215" s="184">
        <v>44426</v>
      </c>
      <c r="T215" s="191" t="s">
        <v>302</v>
      </c>
      <c r="U215" s="171"/>
    </row>
    <row r="216" spans="1:21" x14ac:dyDescent="0.3">
      <c r="A216" s="154">
        <v>194</v>
      </c>
      <c r="B216" s="181" t="str">
        <f t="shared" si="115"/>
        <v>Historical</v>
      </c>
      <c r="C216" s="171"/>
      <c r="D216" s="188" t="str">
        <f ca="1">INDEX(INDIRECT(E216),0,COLUMN(MO_Common_Column_A))</f>
        <v>GAAP Gross Margin, %</v>
      </c>
      <c r="E216" s="182" t="s">
        <v>303</v>
      </c>
      <c r="F216" s="181" t="s">
        <v>653</v>
      </c>
      <c r="G216" s="181"/>
      <c r="H216" s="171"/>
      <c r="I216" s="185">
        <v>0.64700000000000002</v>
      </c>
      <c r="J216" s="185">
        <v>0.65700000000000003</v>
      </c>
      <c r="K216" s="185">
        <f t="shared" si="116"/>
        <v>0.65200000000000002</v>
      </c>
      <c r="L216" s="171"/>
      <c r="M216" s="181" t="str">
        <f t="shared" si="117"/>
        <v>Actual</v>
      </c>
      <c r="N216" s="185">
        <f ca="1">IFERROR(INDEX(INDIRECT(E216),0,MATCH(F216,MO_Common_ColumnHeader,0)),"N/A")</f>
        <v>0.65197803744896521</v>
      </c>
      <c r="O216" s="171"/>
      <c r="P216" s="190">
        <f t="shared" ca="1" si="118"/>
        <v>-2.196255103481537E-5</v>
      </c>
      <c r="Q216" s="190">
        <f t="shared" ca="1" si="119"/>
        <v>-3.3684894225176943E-5</v>
      </c>
      <c r="R216" s="171"/>
      <c r="S216" s="184">
        <v>44426</v>
      </c>
      <c r="T216" s="191" t="s">
        <v>302</v>
      </c>
      <c r="U216" s="171"/>
    </row>
    <row r="217" spans="1:21" x14ac:dyDescent="0.3">
      <c r="A217" s="154">
        <v>193</v>
      </c>
      <c r="B217" s="181" t="str">
        <f t="shared" si="115"/>
        <v>Historical</v>
      </c>
      <c r="C217" s="171"/>
      <c r="D217" s="188" t="str">
        <f ca="1">INDEX(INDIRECT(E217),0,COLUMN(MO_Common_Column_A))</f>
        <v>Non-GAAP Gross Margin, %</v>
      </c>
      <c r="E217" s="182" t="s">
        <v>304</v>
      </c>
      <c r="F217" s="181" t="s">
        <v>653</v>
      </c>
      <c r="G217" s="181"/>
      <c r="H217" s="171"/>
      <c r="I217" s="185">
        <v>0.66500000000000004</v>
      </c>
      <c r="J217" s="185">
        <v>0.67500000000000004</v>
      </c>
      <c r="K217" s="185">
        <f t="shared" si="116"/>
        <v>0.67</v>
      </c>
      <c r="L217" s="171"/>
      <c r="M217" s="181" t="str">
        <f t="shared" si="117"/>
        <v>Actual</v>
      </c>
      <c r="N217" s="185">
        <f ca="1">IFERROR(INDEX(INDIRECT(E217),0,MATCH(F217,MO_Common_ColumnHeader,0)),"N/A")</f>
        <v>0.67028016331127693</v>
      </c>
      <c r="O217" s="171"/>
      <c r="P217" s="190">
        <f t="shared" ca="1" si="118"/>
        <v>2.8016331127689309E-4</v>
      </c>
      <c r="Q217" s="190">
        <f t="shared" ca="1" si="119"/>
        <v>4.1815419593566131E-4</v>
      </c>
      <c r="R217" s="171"/>
      <c r="S217" s="184">
        <v>44426</v>
      </c>
      <c r="T217" s="191" t="s">
        <v>302</v>
      </c>
      <c r="U217" s="171"/>
    </row>
    <row r="218" spans="1:21" x14ac:dyDescent="0.3">
      <c r="A218" s="154">
        <v>192</v>
      </c>
      <c r="B218" s="181" t="str">
        <f t="shared" si="115"/>
        <v>Historical</v>
      </c>
      <c r="C218" s="171"/>
      <c r="D218" s="188" t="s">
        <v>305</v>
      </c>
      <c r="E218" s="182"/>
      <c r="F218" s="181" t="s">
        <v>653</v>
      </c>
      <c r="G218" s="181"/>
      <c r="H218" s="171"/>
      <c r="I218" s="183">
        <v>1960</v>
      </c>
      <c r="J218" s="183">
        <v>1960</v>
      </c>
      <c r="K218" s="183">
        <f t="shared" si="116"/>
        <v>1960</v>
      </c>
      <c r="L218" s="171"/>
      <c r="M218" s="181" t="str">
        <f t="shared" si="117"/>
        <v>Actual</v>
      </c>
      <c r="N218" s="183">
        <f>INDEX(MO_RIS_RD,0,MATCH(F218,MO_Common_ColumnHeader,0))+INDEX(MO_RIS_SGA,0,MATCH(F218,MO_Common_ColumnHeader,0))</f>
        <v>1960</v>
      </c>
      <c r="O218" s="171"/>
      <c r="P218" s="189">
        <f t="shared" si="118"/>
        <v>0</v>
      </c>
      <c r="Q218" s="190">
        <f t="shared" si="119"/>
        <v>0</v>
      </c>
      <c r="R218" s="171"/>
      <c r="S218" s="184">
        <v>44426</v>
      </c>
      <c r="T218" s="191" t="s">
        <v>302</v>
      </c>
      <c r="U218" s="171"/>
    </row>
    <row r="219" spans="1:21" x14ac:dyDescent="0.3">
      <c r="A219" s="154">
        <v>191</v>
      </c>
      <c r="B219" s="181" t="str">
        <f t="shared" si="115"/>
        <v>Historical</v>
      </c>
      <c r="C219" s="171"/>
      <c r="D219" s="188" t="str">
        <f ca="1">INDEX(INDIRECT(E219),0,COLUMN(MO_Common_Column_A))</f>
        <v>Total Non-GAAP Operating Expenses, mm</v>
      </c>
      <c r="E219" s="182" t="s">
        <v>939</v>
      </c>
      <c r="F219" s="181" t="s">
        <v>653</v>
      </c>
      <c r="G219" s="181"/>
      <c r="H219" s="171"/>
      <c r="I219" s="183">
        <v>1370</v>
      </c>
      <c r="J219" s="183">
        <v>1370</v>
      </c>
      <c r="K219" s="183">
        <f t="shared" si="116"/>
        <v>1370</v>
      </c>
      <c r="L219" s="171"/>
      <c r="M219" s="181" t="str">
        <f t="shared" si="117"/>
        <v>Actual</v>
      </c>
      <c r="N219" s="183">
        <f ca="1">IFERROR(INDEX(INDIRECT(E219),0,MATCH(F219,MO_Common_ColumnHeader,0)),"N/A")</f>
        <v>1375</v>
      </c>
      <c r="O219" s="171"/>
      <c r="P219" s="189">
        <f t="shared" ca="1" si="118"/>
        <v>5</v>
      </c>
      <c r="Q219" s="190">
        <f t="shared" ca="1" si="119"/>
        <v>3.6496350364963502E-3</v>
      </c>
      <c r="R219" s="171"/>
      <c r="S219" s="184">
        <v>44426</v>
      </c>
      <c r="T219" s="191" t="s">
        <v>302</v>
      </c>
      <c r="U219" s="171"/>
    </row>
    <row r="220" spans="1:21" x14ac:dyDescent="0.3">
      <c r="A220" s="154">
        <v>190</v>
      </c>
      <c r="B220" s="181" t="str">
        <f t="shared" si="115"/>
        <v>Historical</v>
      </c>
      <c r="C220" s="171"/>
      <c r="D220" s="188" t="s">
        <v>307</v>
      </c>
      <c r="E220" s="182"/>
      <c r="F220" s="181" t="s">
        <v>653</v>
      </c>
      <c r="G220" s="181"/>
      <c r="H220" s="171"/>
      <c r="I220" s="183">
        <v>60</v>
      </c>
      <c r="J220" s="183">
        <v>60</v>
      </c>
      <c r="K220" s="183">
        <f t="shared" si="116"/>
        <v>60</v>
      </c>
      <c r="L220" s="171"/>
      <c r="M220" s="181" t="str">
        <f t="shared" si="117"/>
        <v>Actual</v>
      </c>
      <c r="N220" s="183" t="str">
        <f ca="1">IFERROR(INDEX(INDIRECT(E220),0,MATCH(F220,MO_Common_ColumnHeader,0)),"N/A")</f>
        <v>N/A</v>
      </c>
      <c r="O220" s="171"/>
      <c r="P220" s="189" t="str">
        <f t="shared" ca="1" si="118"/>
        <v>N/A</v>
      </c>
      <c r="Q220" s="190" t="str">
        <f t="shared" ca="1" si="119"/>
        <v>N/A</v>
      </c>
      <c r="R220" s="171"/>
      <c r="S220" s="184">
        <v>44426</v>
      </c>
      <c r="T220" s="191" t="s">
        <v>302</v>
      </c>
      <c r="U220" s="171"/>
    </row>
    <row r="221" spans="1:21" x14ac:dyDescent="0.3">
      <c r="A221" s="154">
        <v>189</v>
      </c>
      <c r="B221" s="181" t="str">
        <f t="shared" si="115"/>
        <v>Historical</v>
      </c>
      <c r="C221" s="171"/>
      <c r="D221" s="188" t="s">
        <v>308</v>
      </c>
      <c r="E221" s="182"/>
      <c r="F221" s="181" t="s">
        <v>653</v>
      </c>
      <c r="G221" s="181"/>
      <c r="H221" s="171"/>
      <c r="I221" s="183">
        <v>60</v>
      </c>
      <c r="J221" s="183">
        <v>60</v>
      </c>
      <c r="K221" s="183">
        <f t="shared" si="116"/>
        <v>60</v>
      </c>
      <c r="L221" s="171"/>
      <c r="M221" s="181" t="str">
        <f t="shared" si="117"/>
        <v>Actual</v>
      </c>
      <c r="N221" s="183">
        <f>INDEX(MO_RIS_IE_Net_NONGAAP,0,MATCH(F221,MO_Common_ColumnHeader,0))+INDEX(MO_RIS_OI_NONGAAP,0,MATCH(F221,MO_Common_ColumnHeader,0))</f>
        <v>52</v>
      </c>
      <c r="O221" s="171"/>
      <c r="P221" s="189">
        <f t="shared" si="118"/>
        <v>-8</v>
      </c>
      <c r="Q221" s="190">
        <f t="shared" si="119"/>
        <v>-0.13333333333333333</v>
      </c>
      <c r="R221" s="171"/>
      <c r="S221" s="184">
        <v>44426</v>
      </c>
      <c r="T221" s="191" t="s">
        <v>302</v>
      </c>
      <c r="U221" s="171"/>
    </row>
    <row r="222" spans="1:21" x14ac:dyDescent="0.3">
      <c r="A222" s="154">
        <v>188</v>
      </c>
      <c r="B222" s="181" t="str">
        <f t="shared" si="115"/>
        <v>Historical</v>
      </c>
      <c r="C222" s="171"/>
      <c r="D222" s="188" t="s">
        <v>309</v>
      </c>
      <c r="E222" s="182" t="s">
        <v>818</v>
      </c>
      <c r="F222" s="181" t="s">
        <v>653</v>
      </c>
      <c r="G222" s="181"/>
      <c r="H222" s="171"/>
      <c r="I222" s="185">
        <v>0.1</v>
      </c>
      <c r="J222" s="185">
        <v>0.12</v>
      </c>
      <c r="K222" s="185">
        <f t="shared" si="116"/>
        <v>0.11</v>
      </c>
      <c r="L222" s="171"/>
      <c r="M222" s="181" t="str">
        <f t="shared" si="117"/>
        <v>Actual</v>
      </c>
      <c r="N222" s="185">
        <f ca="1">IFERROR(INDEX(INDIRECT(E222),0,MATCH(F222,MO_Common_ColumnHeader,0)),"N/A")</f>
        <v>6.5959059893858987E-2</v>
      </c>
      <c r="O222" s="171"/>
      <c r="P222" s="190">
        <f t="shared" ca="1" si="118"/>
        <v>-4.4040940106141013E-2</v>
      </c>
      <c r="Q222" s="190">
        <f t="shared" ca="1" si="119"/>
        <v>-0.40037218278310011</v>
      </c>
      <c r="R222" s="171"/>
      <c r="S222" s="184">
        <v>44426</v>
      </c>
      <c r="T222" s="191" t="s">
        <v>302</v>
      </c>
      <c r="U222" s="171"/>
    </row>
    <row r="223" spans="1:21" x14ac:dyDescent="0.3">
      <c r="A223" s="154">
        <v>187</v>
      </c>
      <c r="B223" s="181" t="str">
        <f t="shared" si="115"/>
        <v>Historical</v>
      </c>
      <c r="C223" s="171"/>
      <c r="D223" s="188" t="str">
        <f ca="1">INDEX(INDIRECT(E223),0,COLUMN(MO_Common_Column_A))</f>
        <v>Non-GAAP Tax Rate</v>
      </c>
      <c r="E223" s="182" t="s">
        <v>310</v>
      </c>
      <c r="F223" s="181" t="s">
        <v>653</v>
      </c>
      <c r="G223" s="181"/>
      <c r="H223" s="171"/>
      <c r="I223" s="185">
        <v>0.1</v>
      </c>
      <c r="J223" s="185">
        <v>0.12</v>
      </c>
      <c r="K223" s="185">
        <f t="shared" si="116"/>
        <v>0.11</v>
      </c>
      <c r="L223" s="171"/>
      <c r="M223" s="181" t="str">
        <f t="shared" si="117"/>
        <v>Actual</v>
      </c>
      <c r="N223" s="185">
        <f ca="1">IFERROR(INDEX(INDIRECT(E223),0,MATCH(F223,MO_Common_ColumnHeader,0)),"N/A")</f>
        <v>0.10827834433113377</v>
      </c>
      <c r="O223" s="171"/>
      <c r="P223" s="190">
        <f t="shared" ca="1" si="118"/>
        <v>-1.7216556688662288E-3</v>
      </c>
      <c r="Q223" s="190">
        <f t="shared" ca="1" si="119"/>
        <v>-1.5651415171511172E-2</v>
      </c>
      <c r="R223" s="171"/>
      <c r="S223" s="184">
        <v>44426</v>
      </c>
      <c r="T223" s="191" t="s">
        <v>302</v>
      </c>
      <c r="U223" s="171"/>
    </row>
    <row r="224" spans="1:21" x14ac:dyDescent="0.3">
      <c r="A224" s="154">
        <v>186</v>
      </c>
      <c r="B224" s="181" t="str">
        <f t="shared" si="115"/>
        <v>Historical</v>
      </c>
      <c r="C224" s="171"/>
      <c r="D224" s="188" t="s">
        <v>623</v>
      </c>
      <c r="E224" s="182"/>
      <c r="F224" s="181" t="s">
        <v>653</v>
      </c>
      <c r="G224" s="181"/>
      <c r="H224" s="171"/>
      <c r="I224" s="185">
        <v>-1.7999999999999999E-2</v>
      </c>
      <c r="J224" s="185">
        <v>-1.7999999999999999E-2</v>
      </c>
      <c r="K224" s="185">
        <f t="shared" si="116"/>
        <v>-1.7999999999999999E-2</v>
      </c>
      <c r="L224" s="171"/>
      <c r="M224" s="181" t="str">
        <f t="shared" si="117"/>
        <v>Actual</v>
      </c>
      <c r="N224" s="185">
        <f>(INDEX(MO_RIS_SBC_COGS,0,MATCH(F224,MO_Common_ColumnHeader,0))+INDEX(z_A7FLSL0150_MO_RIS_AcquisitionrelatedcostsCOGS,0,MATCH(F224,MO_Common_ColumnHeader,0))+INDEX(MO_RIS_COGS_Adjustments,0,MATCH(F224,MO_Common_ColumnHeader,0)))/INDEX(MO_RIS_REV,0,MATCH(F224,MO_Common_ColumnHeader,0))</f>
        <v>-1.83021258623117E-2</v>
      </c>
      <c r="O224" s="171"/>
      <c r="P224" s="190">
        <f t="shared" si="118"/>
        <v>-3.0212586231170152E-4</v>
      </c>
      <c r="Q224" s="190">
        <f t="shared" si="119"/>
        <v>-1.6784770128427863E-2</v>
      </c>
      <c r="R224" s="171"/>
      <c r="S224" s="184">
        <v>44426</v>
      </c>
      <c r="T224" s="191" t="s">
        <v>302</v>
      </c>
      <c r="U224" s="171"/>
    </row>
    <row r="225" spans="1:21" x14ac:dyDescent="0.3">
      <c r="A225" s="154">
        <v>185</v>
      </c>
      <c r="B225" s="181" t="str">
        <f t="shared" si="115"/>
        <v>Historical</v>
      </c>
      <c r="C225" s="171"/>
      <c r="D225" s="188" t="s">
        <v>312</v>
      </c>
      <c r="E225" s="182"/>
      <c r="F225" s="181" t="s">
        <v>653</v>
      </c>
      <c r="G225" s="181"/>
      <c r="H225" s="171"/>
      <c r="I225" s="183">
        <v>-590</v>
      </c>
      <c r="J225" s="183">
        <v>-590</v>
      </c>
      <c r="K225" s="183">
        <f t="shared" si="116"/>
        <v>-590</v>
      </c>
      <c r="L225" s="171"/>
      <c r="M225" s="181" t="str">
        <f t="shared" si="117"/>
        <v>Actual</v>
      </c>
      <c r="N225" s="183">
        <f>-(-INDEX(MO_RIS_OtherOperating_NONGAAP,0,MATCH(F225,MO_Common_ColumnHeader,0))+INDEX(z_A7FLSL0150_MO_RIS_SBC_2,0,MATCH(F225,MO_Common_ColumnHeader,0))+INDEX(z_A7FLSL0150_MO_RIS_sbc_1,0,MATCH(F225,MO_Common_ColumnHeader,0))+INDEX(z_A7FLSL0150_MO_RIS_AcquisitionrelatedcostsRD,0,MATCH(F225,MO_Common_ColumnHeader,0))+INDEX(z_A7FLSL0150_MO_RIS_AcquisitionrelatedcostsSGA,0,MATCH(F225,MO_Common_ColumnHeader,0)))</f>
        <v>-585</v>
      </c>
      <c r="O225" s="171"/>
      <c r="P225" s="189">
        <f t="shared" si="118"/>
        <v>5</v>
      </c>
      <c r="Q225" s="190">
        <f t="shared" si="119"/>
        <v>8.4745762711864406E-3</v>
      </c>
      <c r="R225" s="171"/>
      <c r="S225" s="184">
        <v>44426</v>
      </c>
      <c r="T225" s="191" t="s">
        <v>302</v>
      </c>
      <c r="U225" s="171"/>
    </row>
    <row r="226" spans="1:21" x14ac:dyDescent="0.3">
      <c r="A226" s="154">
        <v>184</v>
      </c>
      <c r="B226" s="181" t="str">
        <f t="shared" si="115"/>
        <v>Historical</v>
      </c>
      <c r="C226" s="171"/>
      <c r="D226" s="188" t="str">
        <f ca="1">INDEX(INDIRECT(E226),0,COLUMN(MO_Common_Column_A))</f>
        <v>Capex</v>
      </c>
      <c r="E226" s="182" t="s">
        <v>560</v>
      </c>
      <c r="F226" s="181" t="s">
        <v>653</v>
      </c>
      <c r="G226" s="181"/>
      <c r="H226" s="171"/>
      <c r="I226" s="183">
        <v>-200</v>
      </c>
      <c r="J226" s="183">
        <v>-225</v>
      </c>
      <c r="K226" s="183">
        <f t="shared" si="116"/>
        <v>-212.5</v>
      </c>
      <c r="L226" s="171"/>
      <c r="M226" s="181" t="str">
        <f t="shared" si="117"/>
        <v>Actual</v>
      </c>
      <c r="N226" s="183">
        <f ca="1">IFERROR(INDEX(INDIRECT(E226),0,MATCH(F226,MO_Common_ColumnHeader,0)),"N/A")</f>
        <v>-222</v>
      </c>
      <c r="O226" s="171"/>
      <c r="P226" s="189">
        <f t="shared" ca="1" si="118"/>
        <v>-9.5</v>
      </c>
      <c r="Q226" s="190">
        <f t="shared" ca="1" si="119"/>
        <v>-4.4705882352941179E-2</v>
      </c>
      <c r="R226" s="171"/>
      <c r="S226" s="184">
        <v>44426</v>
      </c>
      <c r="T226" s="191" t="s">
        <v>622</v>
      </c>
      <c r="U226" s="171"/>
    </row>
    <row r="227" spans="1:21" x14ac:dyDescent="0.3">
      <c r="A227" s="154">
        <v>183</v>
      </c>
      <c r="B227" s="171"/>
      <c r="C227" s="171"/>
      <c r="D227" s="168"/>
      <c r="E227" s="169"/>
      <c r="F227" s="171"/>
      <c r="G227" s="171"/>
      <c r="H227" s="171"/>
      <c r="I227" s="885"/>
      <c r="J227" s="885"/>
      <c r="K227" s="885"/>
      <c r="L227" s="171"/>
      <c r="M227" s="171"/>
      <c r="N227" s="885"/>
      <c r="O227" s="171"/>
      <c r="P227" s="172"/>
      <c r="Q227" s="134"/>
      <c r="R227" s="171"/>
      <c r="S227" s="173"/>
      <c r="T227" s="192"/>
      <c r="U227" s="171"/>
    </row>
    <row r="228" spans="1:21" x14ac:dyDescent="0.3">
      <c r="A228" s="154">
        <v>182</v>
      </c>
      <c r="B228" s="181" t="str">
        <f t="shared" ref="B228:B239" si="120">IF(INDEX(MO_SNA_IsHistoricalPeriod,,MATCH(F228,MO_Common_ColumnHeader,0)),"Historical","Forward")</f>
        <v>Historical</v>
      </c>
      <c r="C228" s="171"/>
      <c r="D228" s="188" t="str">
        <f ca="1">INDEX(INDIRECT(E228),0,COLUMN(MO_Common_Column_A))</f>
        <v>Net Revenue</v>
      </c>
      <c r="E228" s="182" t="s">
        <v>300</v>
      </c>
      <c r="F228" s="181" t="s">
        <v>625</v>
      </c>
      <c r="G228" s="181"/>
      <c r="H228" s="171"/>
      <c r="I228" s="183">
        <f>6300*0.98</f>
        <v>6174</v>
      </c>
      <c r="J228" s="183">
        <f>6300*1.02</f>
        <v>6426</v>
      </c>
      <c r="K228" s="183">
        <f t="shared" ref="K228:K239" si="121">AVERAGE(I228:J228)</f>
        <v>6300</v>
      </c>
      <c r="L228" s="171"/>
      <c r="M228" s="181" t="str">
        <f t="shared" ref="M228:M239" si="122">IF(INDEX(MO_SNA_IsHistoricalPeriod,,MATCH(F228,MO_Common_ColumnHeader,0)),"Actual","Estimate")</f>
        <v>Actual</v>
      </c>
      <c r="N228" s="183">
        <f ca="1">IFERROR(INDEX(INDIRECT(E228),0,MATCH(F228,MO_Common_ColumnHeader,0)),"N/A")</f>
        <v>6507</v>
      </c>
      <c r="O228" s="171"/>
      <c r="P228" s="189">
        <f t="shared" ref="P228:P239" ca="1" si="123">IF(ISNUMBER(N228),N228-K228,"N/A")</f>
        <v>207</v>
      </c>
      <c r="Q228" s="190">
        <f t="shared" ref="Q228:Q239" ca="1" si="124">IFERROR(IF(ISNUMBER(N228),(N228-K228)/ABS(K228),"N/A"),"N/A")</f>
        <v>3.2857142857142856E-2</v>
      </c>
      <c r="R228" s="171"/>
      <c r="S228" s="184">
        <v>44342</v>
      </c>
      <c r="T228" s="191" t="s">
        <v>302</v>
      </c>
      <c r="U228" s="171"/>
    </row>
    <row r="229" spans="1:21" x14ac:dyDescent="0.3">
      <c r="A229" s="154">
        <v>181</v>
      </c>
      <c r="B229" s="181" t="str">
        <f t="shared" si="120"/>
        <v>Historical</v>
      </c>
      <c r="C229" s="171"/>
      <c r="D229" s="188" t="str">
        <f ca="1">INDEX(INDIRECT(E229),0,COLUMN(MO_Common_Column_A))</f>
        <v>GAAP Gross Margin, %</v>
      </c>
      <c r="E229" s="182" t="s">
        <v>303</v>
      </c>
      <c r="F229" s="181" t="s">
        <v>625</v>
      </c>
      <c r="G229" s="181"/>
      <c r="H229" s="171"/>
      <c r="I229" s="185">
        <v>0.64100000000000001</v>
      </c>
      <c r="J229" s="185">
        <v>0.65100000000000002</v>
      </c>
      <c r="K229" s="185">
        <f t="shared" si="121"/>
        <v>0.64600000000000002</v>
      </c>
      <c r="L229" s="171"/>
      <c r="M229" s="181" t="str">
        <f t="shared" si="122"/>
        <v>Actual</v>
      </c>
      <c r="N229" s="185">
        <f ca="1">IFERROR(INDEX(INDIRECT(E229),0,MATCH(F229,MO_Common_ColumnHeader,0)),"N/A")</f>
        <v>0.64776394651913316</v>
      </c>
      <c r="O229" s="171"/>
      <c r="P229" s="190">
        <f t="shared" ca="1" si="123"/>
        <v>1.7639465191331416E-3</v>
      </c>
      <c r="Q229" s="190">
        <f t="shared" ca="1" si="124"/>
        <v>2.7305673670791667E-3</v>
      </c>
      <c r="R229" s="171"/>
      <c r="S229" s="184">
        <v>44342</v>
      </c>
      <c r="T229" s="191" t="s">
        <v>302</v>
      </c>
      <c r="U229" s="171"/>
    </row>
    <row r="230" spans="1:21" x14ac:dyDescent="0.3">
      <c r="A230" s="154">
        <v>180</v>
      </c>
      <c r="B230" s="181" t="str">
        <f t="shared" si="120"/>
        <v>Historical</v>
      </c>
      <c r="C230" s="171"/>
      <c r="D230" s="188" t="str">
        <f ca="1">INDEX(INDIRECT(E230),0,COLUMN(MO_Common_Column_A))</f>
        <v>Non-GAAP Gross Margin, %</v>
      </c>
      <c r="E230" s="182" t="s">
        <v>304</v>
      </c>
      <c r="F230" s="181" t="s">
        <v>625</v>
      </c>
      <c r="G230" s="181"/>
      <c r="H230" s="171"/>
      <c r="I230" s="185">
        <v>0.66</v>
      </c>
      <c r="J230" s="185">
        <v>0.67</v>
      </c>
      <c r="K230" s="185">
        <f t="shared" si="121"/>
        <v>0.66500000000000004</v>
      </c>
      <c r="L230" s="171"/>
      <c r="M230" s="181" t="str">
        <f t="shared" si="122"/>
        <v>Actual</v>
      </c>
      <c r="N230" s="185">
        <f ca="1">IFERROR(INDEX(INDIRECT(E230),0,MATCH(F230,MO_Common_ColumnHeader,0)),"N/A")</f>
        <v>0.6665129860150607</v>
      </c>
      <c r="O230" s="171"/>
      <c r="P230" s="190">
        <f t="shared" ca="1" si="123"/>
        <v>1.5129860150606689E-3</v>
      </c>
      <c r="Q230" s="190">
        <f t="shared" ca="1" si="124"/>
        <v>2.2751669399408555E-3</v>
      </c>
      <c r="R230" s="171"/>
      <c r="S230" s="184">
        <v>44342</v>
      </c>
      <c r="T230" s="191" t="s">
        <v>302</v>
      </c>
      <c r="U230" s="171"/>
    </row>
    <row r="231" spans="1:21" x14ac:dyDescent="0.3">
      <c r="A231" s="154">
        <v>179</v>
      </c>
      <c r="B231" s="181" t="str">
        <f t="shared" si="120"/>
        <v>Historical</v>
      </c>
      <c r="C231" s="171"/>
      <c r="D231" s="188" t="s">
        <v>305</v>
      </c>
      <c r="E231" s="182"/>
      <c r="F231" s="181" t="s">
        <v>625</v>
      </c>
      <c r="G231" s="181"/>
      <c r="H231" s="171"/>
      <c r="I231" s="183">
        <v>1760</v>
      </c>
      <c r="J231" s="183">
        <v>1760</v>
      </c>
      <c r="K231" s="183">
        <f t="shared" si="121"/>
        <v>1760</v>
      </c>
      <c r="L231" s="171"/>
      <c r="M231" s="181" t="str">
        <f t="shared" si="122"/>
        <v>Actual</v>
      </c>
      <c r="N231" s="183">
        <f>INDEX(MO_RIS_RD,0,MATCH(F231,MO_Common_ColumnHeader,0))+INDEX(MO_RIS_SGA,0,MATCH(F231,MO_Common_ColumnHeader,0))</f>
        <v>1771</v>
      </c>
      <c r="O231" s="171"/>
      <c r="P231" s="189">
        <f t="shared" si="123"/>
        <v>11</v>
      </c>
      <c r="Q231" s="190">
        <f t="shared" si="124"/>
        <v>6.2500000000000003E-3</v>
      </c>
      <c r="R231" s="171"/>
      <c r="S231" s="184">
        <v>44342</v>
      </c>
      <c r="T231" s="191" t="s">
        <v>302</v>
      </c>
      <c r="U231" s="171"/>
    </row>
    <row r="232" spans="1:21" x14ac:dyDescent="0.3">
      <c r="A232" s="154">
        <v>178</v>
      </c>
      <c r="B232" s="181" t="str">
        <f t="shared" si="120"/>
        <v>Historical</v>
      </c>
      <c r="C232" s="171"/>
      <c r="D232" s="188" t="str">
        <f ca="1">INDEX(INDIRECT(E232),0,COLUMN(MO_Common_Column_A))</f>
        <v>Total Non-GAAP Operating Expenses, mm</v>
      </c>
      <c r="E232" s="182" t="s">
        <v>939</v>
      </c>
      <c r="F232" s="181" t="s">
        <v>625</v>
      </c>
      <c r="G232" s="181"/>
      <c r="H232" s="171"/>
      <c r="I232" s="183">
        <v>1260</v>
      </c>
      <c r="J232" s="183">
        <v>1260</v>
      </c>
      <c r="K232" s="183">
        <f t="shared" si="121"/>
        <v>1260</v>
      </c>
      <c r="L232" s="171"/>
      <c r="M232" s="181" t="str">
        <f t="shared" si="122"/>
        <v>Actual</v>
      </c>
      <c r="N232" s="183">
        <f ca="1">IFERROR(INDEX(INDIRECT(E232),0,MATCH(F232,MO_Common_ColumnHeader,0)),"N/A")</f>
        <v>1266</v>
      </c>
      <c r="O232" s="171"/>
      <c r="P232" s="189">
        <f t="shared" ca="1" si="123"/>
        <v>6</v>
      </c>
      <c r="Q232" s="190">
        <f t="shared" ca="1" si="124"/>
        <v>4.7619047619047623E-3</v>
      </c>
      <c r="R232" s="171"/>
      <c r="S232" s="184">
        <v>44342</v>
      </c>
      <c r="T232" s="191" t="s">
        <v>302</v>
      </c>
      <c r="U232" s="171"/>
    </row>
    <row r="233" spans="1:21" x14ac:dyDescent="0.3">
      <c r="A233" s="154">
        <v>177</v>
      </c>
      <c r="B233" s="181" t="str">
        <f t="shared" si="120"/>
        <v>Historical</v>
      </c>
      <c r="C233" s="171"/>
      <c r="D233" s="188" t="s">
        <v>307</v>
      </c>
      <c r="E233" s="182"/>
      <c r="F233" s="181" t="s">
        <v>625</v>
      </c>
      <c r="G233" s="181"/>
      <c r="H233" s="171"/>
      <c r="I233" s="183">
        <v>50</v>
      </c>
      <c r="J233" s="183">
        <v>50</v>
      </c>
      <c r="K233" s="183">
        <f t="shared" si="121"/>
        <v>50</v>
      </c>
      <c r="L233" s="171"/>
      <c r="M233" s="181" t="str">
        <f t="shared" si="122"/>
        <v>Actual</v>
      </c>
      <c r="N233" s="183" t="str">
        <f ca="1">IFERROR(INDEX(INDIRECT(E233),0,MATCH(F233,MO_Common_ColumnHeader,0)),"N/A")</f>
        <v>N/A</v>
      </c>
      <c r="O233" s="171"/>
      <c r="P233" s="189" t="str">
        <f t="shared" ca="1" si="123"/>
        <v>N/A</v>
      </c>
      <c r="Q233" s="190" t="str">
        <f t="shared" ca="1" si="124"/>
        <v>N/A</v>
      </c>
      <c r="R233" s="171"/>
      <c r="S233" s="184">
        <v>44342</v>
      </c>
      <c r="T233" s="191" t="s">
        <v>302</v>
      </c>
      <c r="U233" s="171"/>
    </row>
    <row r="234" spans="1:21" x14ac:dyDescent="0.3">
      <c r="A234" s="154">
        <v>176</v>
      </c>
      <c r="B234" s="181" t="str">
        <f t="shared" si="120"/>
        <v>Historical</v>
      </c>
      <c r="C234" s="171"/>
      <c r="D234" s="188" t="s">
        <v>308</v>
      </c>
      <c r="E234" s="182"/>
      <c r="F234" s="181" t="s">
        <v>625</v>
      </c>
      <c r="G234" s="181"/>
      <c r="H234" s="171"/>
      <c r="I234" s="183">
        <v>50</v>
      </c>
      <c r="J234" s="183">
        <v>50</v>
      </c>
      <c r="K234" s="183">
        <f t="shared" si="121"/>
        <v>50</v>
      </c>
      <c r="L234" s="171"/>
      <c r="M234" s="181" t="str">
        <f t="shared" si="122"/>
        <v>Actual</v>
      </c>
      <c r="N234" s="183">
        <f>INDEX(MO_RIS_IE_Net_NONGAAP,0,MATCH(F234,MO_Common_ColumnHeader,0))+INDEX(MO_RIS_OI_NONGAAP,0,MATCH(F234,MO_Common_ColumnHeader,0))</f>
        <v>49</v>
      </c>
      <c r="O234" s="171"/>
      <c r="P234" s="189">
        <f t="shared" si="123"/>
        <v>-1</v>
      </c>
      <c r="Q234" s="190">
        <f t="shared" si="124"/>
        <v>-0.02</v>
      </c>
      <c r="R234" s="171"/>
      <c r="S234" s="184">
        <v>44342</v>
      </c>
      <c r="T234" s="191" t="s">
        <v>302</v>
      </c>
      <c r="U234" s="171"/>
    </row>
    <row r="235" spans="1:21" x14ac:dyDescent="0.3">
      <c r="A235" s="154">
        <v>175</v>
      </c>
      <c r="B235" s="181" t="str">
        <f t="shared" si="120"/>
        <v>Historical</v>
      </c>
      <c r="C235" s="171"/>
      <c r="D235" s="188" t="s">
        <v>309</v>
      </c>
      <c r="E235" s="182" t="s">
        <v>818</v>
      </c>
      <c r="F235" s="181" t="s">
        <v>625</v>
      </c>
      <c r="G235" s="181"/>
      <c r="H235" s="171"/>
      <c r="I235" s="185">
        <v>0.09</v>
      </c>
      <c r="J235" s="185">
        <v>0.11</v>
      </c>
      <c r="K235" s="185">
        <f t="shared" si="121"/>
        <v>0.1</v>
      </c>
      <c r="L235" s="171"/>
      <c r="M235" s="181" t="str">
        <f t="shared" si="122"/>
        <v>Actual</v>
      </c>
      <c r="N235" s="185">
        <f ca="1">IFERROR(INDEX(INDIRECT(E235),0,MATCH(F235,MO_Common_ColumnHeader,0)),"N/A")</f>
        <v>8.3542188805346695E-3</v>
      </c>
      <c r="O235" s="171"/>
      <c r="P235" s="190">
        <f t="shared" ca="1" si="123"/>
        <v>-9.1645781119465336E-2</v>
      </c>
      <c r="Q235" s="190">
        <f t="shared" ca="1" si="124"/>
        <v>-0.9164578111946533</v>
      </c>
      <c r="R235" s="171"/>
      <c r="S235" s="184">
        <v>44342</v>
      </c>
      <c r="T235" s="191" t="s">
        <v>302</v>
      </c>
      <c r="U235" s="171"/>
    </row>
    <row r="236" spans="1:21" x14ac:dyDescent="0.3">
      <c r="A236" s="154">
        <v>174</v>
      </c>
      <c r="B236" s="181" t="str">
        <f t="shared" si="120"/>
        <v>Historical</v>
      </c>
      <c r="C236" s="171"/>
      <c r="D236" s="188" t="str">
        <f ca="1">INDEX(INDIRECT(E236),0,COLUMN(MO_Common_Column_A))</f>
        <v>Non-GAAP Tax Rate</v>
      </c>
      <c r="E236" s="182" t="s">
        <v>310</v>
      </c>
      <c r="F236" s="181" t="s">
        <v>625</v>
      </c>
      <c r="G236" s="181"/>
      <c r="H236" s="171"/>
      <c r="I236" s="185">
        <v>0.09</v>
      </c>
      <c r="J236" s="185">
        <v>0.11</v>
      </c>
      <c r="K236" s="185">
        <f t="shared" si="121"/>
        <v>0.1</v>
      </c>
      <c r="L236" s="171"/>
      <c r="M236" s="181" t="str">
        <f t="shared" si="122"/>
        <v>Actual</v>
      </c>
      <c r="N236" s="185">
        <f ca="1">IFERROR(INDEX(INDIRECT(E236),0,MATCH(F236,MO_Common_ColumnHeader,0)),"N/A")</f>
        <v>0.13203176704169425</v>
      </c>
      <c r="O236" s="171"/>
      <c r="P236" s="190">
        <f t="shared" ca="1" si="123"/>
        <v>3.2031767041694248E-2</v>
      </c>
      <c r="Q236" s="190">
        <f t="shared" ca="1" si="124"/>
        <v>0.32031767041694248</v>
      </c>
      <c r="R236" s="171"/>
      <c r="S236" s="184">
        <v>44342</v>
      </c>
      <c r="T236" s="191" t="s">
        <v>302</v>
      </c>
      <c r="U236" s="171"/>
    </row>
    <row r="237" spans="1:21" x14ac:dyDescent="0.3">
      <c r="A237" s="154">
        <v>173</v>
      </c>
      <c r="B237" s="181" t="str">
        <f t="shared" si="120"/>
        <v>Historical</v>
      </c>
      <c r="C237" s="171"/>
      <c r="D237" s="188" t="s">
        <v>623</v>
      </c>
      <c r="E237" s="182"/>
      <c r="F237" s="181" t="s">
        <v>625</v>
      </c>
      <c r="G237" s="181"/>
      <c r="H237" s="171"/>
      <c r="I237" s="185">
        <v>-1.9E-2</v>
      </c>
      <c r="J237" s="185">
        <v>-1.9E-2</v>
      </c>
      <c r="K237" s="185">
        <f t="shared" si="121"/>
        <v>-1.9E-2</v>
      </c>
      <c r="L237" s="171"/>
      <c r="M237" s="181" t="str">
        <f t="shared" si="122"/>
        <v>Actual</v>
      </c>
      <c r="N237" s="185">
        <f>(INDEX(MO_RIS_SBC_COGS,0,MATCH(F237,MO_Common_ColumnHeader,0))+INDEX(z_A7FLSL0150_MO_RIS_AcquisitionrelatedcostsCOGS,0,MATCH(F237,MO_Common_ColumnHeader,0))+INDEX(MO_RIS_COGS_Adjustments,0,MATCH(F237,MO_Common_ColumnHeader,0)))/INDEX(MO_RIS_REV,0,MATCH(F237,MO_Common_ColumnHeader,0))</f>
        <v>-1.8749039495927464E-2</v>
      </c>
      <c r="O237" s="171"/>
      <c r="P237" s="190">
        <f t="shared" si="123"/>
        <v>2.5096050407253517E-4</v>
      </c>
      <c r="Q237" s="190">
        <f t="shared" si="124"/>
        <v>1.320844758276501E-2</v>
      </c>
      <c r="R237" s="171"/>
      <c r="S237" s="184">
        <v>44342</v>
      </c>
      <c r="T237" s="191" t="s">
        <v>302</v>
      </c>
      <c r="U237" s="171"/>
    </row>
    <row r="238" spans="1:21" x14ac:dyDescent="0.3">
      <c r="A238" s="154">
        <v>172</v>
      </c>
      <c r="B238" s="181" t="str">
        <f t="shared" si="120"/>
        <v>Historical</v>
      </c>
      <c r="C238" s="171"/>
      <c r="D238" s="188" t="s">
        <v>312</v>
      </c>
      <c r="E238" s="182"/>
      <c r="F238" s="181" t="s">
        <v>625</v>
      </c>
      <c r="G238" s="181"/>
      <c r="H238" s="171"/>
      <c r="I238" s="183">
        <v>-500</v>
      </c>
      <c r="J238" s="183">
        <v>-500</v>
      </c>
      <c r="K238" s="183">
        <f t="shared" si="121"/>
        <v>-500</v>
      </c>
      <c r="L238" s="171"/>
      <c r="M238" s="181" t="str">
        <f t="shared" si="122"/>
        <v>Actual</v>
      </c>
      <c r="N238" s="183">
        <f>-(-INDEX(MO_RIS_OtherOperating_NONGAAP,0,MATCH(F238,MO_Common_ColumnHeader,0))+INDEX(z_A7FLSL0150_MO_RIS_SBC_2,0,MATCH(F238,MO_Common_ColumnHeader,0))+INDEX(z_A7FLSL0150_MO_RIS_sbc_1,0,MATCH(F238,MO_Common_ColumnHeader,0))+INDEX(z_A7FLSL0150_MO_RIS_AcquisitionrelatedcostsRD,0,MATCH(F238,MO_Common_ColumnHeader,0))+INDEX(z_A7FLSL0150_MO_RIS_AcquisitionrelatedcostsSGA,0,MATCH(F238,MO_Common_ColumnHeader,0)))</f>
        <v>-505</v>
      </c>
      <c r="O238" s="171"/>
      <c r="P238" s="189">
        <f t="shared" si="123"/>
        <v>-5</v>
      </c>
      <c r="Q238" s="190">
        <f t="shared" si="124"/>
        <v>-0.01</v>
      </c>
      <c r="R238" s="171"/>
      <c r="S238" s="184">
        <v>44342</v>
      </c>
      <c r="T238" s="191" t="s">
        <v>302</v>
      </c>
      <c r="U238" s="171"/>
    </row>
    <row r="239" spans="1:21" x14ac:dyDescent="0.3">
      <c r="A239" s="154">
        <v>171</v>
      </c>
      <c r="B239" s="181" t="str">
        <f t="shared" si="120"/>
        <v>Historical</v>
      </c>
      <c r="C239" s="171"/>
      <c r="D239" s="188" t="str">
        <f ca="1">INDEX(INDIRECT(E239),0,COLUMN(MO_Common_Column_A))</f>
        <v>Capex</v>
      </c>
      <c r="E239" s="182" t="s">
        <v>560</v>
      </c>
      <c r="F239" s="181" t="s">
        <v>625</v>
      </c>
      <c r="G239" s="181"/>
      <c r="H239" s="171"/>
      <c r="I239" s="183">
        <v>-325</v>
      </c>
      <c r="J239" s="183">
        <v>-300</v>
      </c>
      <c r="K239" s="183">
        <f t="shared" si="121"/>
        <v>-312.5</v>
      </c>
      <c r="L239" s="171"/>
      <c r="M239" s="181" t="str">
        <f t="shared" si="122"/>
        <v>Actual</v>
      </c>
      <c r="N239" s="183">
        <f ca="1">IFERROR(INDEX(INDIRECT(E239),0,MATCH(F239,MO_Common_ColumnHeader,0)),"N/A")</f>
        <v>-183</v>
      </c>
      <c r="O239" s="171"/>
      <c r="P239" s="189">
        <f t="shared" ca="1" si="123"/>
        <v>129.5</v>
      </c>
      <c r="Q239" s="190">
        <f t="shared" ca="1" si="124"/>
        <v>0.41439999999999999</v>
      </c>
      <c r="R239" s="171"/>
      <c r="S239" s="184">
        <v>44342</v>
      </c>
      <c r="T239" s="191" t="s">
        <v>622</v>
      </c>
      <c r="U239" s="171"/>
    </row>
    <row r="240" spans="1:21" x14ac:dyDescent="0.3">
      <c r="A240" s="154">
        <v>170</v>
      </c>
      <c r="B240" s="171"/>
      <c r="C240" s="171"/>
      <c r="D240" s="168"/>
      <c r="E240" s="169"/>
      <c r="F240" s="171"/>
      <c r="G240" s="171"/>
      <c r="H240" s="171"/>
      <c r="I240" s="885"/>
      <c r="J240" s="885"/>
      <c r="K240" s="885"/>
      <c r="L240" s="171"/>
      <c r="M240" s="171"/>
      <c r="N240" s="885"/>
      <c r="O240" s="171"/>
      <c r="P240" s="172"/>
      <c r="Q240" s="134"/>
      <c r="R240" s="171"/>
      <c r="S240" s="173"/>
      <c r="T240" s="192"/>
      <c r="U240" s="171"/>
    </row>
    <row r="241" spans="1:21" x14ac:dyDescent="0.3">
      <c r="A241" s="154">
        <v>169</v>
      </c>
      <c r="B241" s="181" t="str">
        <f t="shared" ref="B241:B252" si="125">IF(INDEX(MO_SNA_IsHistoricalPeriod,,MATCH(F241,MO_Common_ColumnHeader,0)),"Historical","Forward")</f>
        <v>Historical</v>
      </c>
      <c r="C241" s="171"/>
      <c r="D241" s="188" t="str">
        <f ca="1">INDEX(INDIRECT(E241),0,COLUMN(MO_Common_Column_A))</f>
        <v>Net Revenue</v>
      </c>
      <c r="E241" s="182" t="s">
        <v>300</v>
      </c>
      <c r="F241" s="181" t="s">
        <v>621</v>
      </c>
      <c r="G241" s="181"/>
      <c r="H241" s="171"/>
      <c r="I241" s="183">
        <f>5300*0.98</f>
        <v>5194</v>
      </c>
      <c r="J241" s="183">
        <f>5300*1.02</f>
        <v>5406</v>
      </c>
      <c r="K241" s="183">
        <f t="shared" ref="K241:K251" si="126">AVERAGE(I241:J241)</f>
        <v>5300</v>
      </c>
      <c r="L241" s="171"/>
      <c r="M241" s="181" t="str">
        <f t="shared" ref="M241:M252" si="127">IF(INDEX(MO_SNA_IsHistoricalPeriod,,MATCH(F241,MO_Common_ColumnHeader,0)),"Actual","Estimate")</f>
        <v>Actual</v>
      </c>
      <c r="N241" s="183">
        <f ca="1">IFERROR(INDEX(INDIRECT(E241),0,MATCH(F241,MO_Common_ColumnHeader,0)),"N/A")</f>
        <v>5661</v>
      </c>
      <c r="O241" s="171"/>
      <c r="P241" s="189">
        <f t="shared" ref="P241:P251" ca="1" si="128">IF(ISNUMBER(N241),N241-K241,"N/A")</f>
        <v>361</v>
      </c>
      <c r="Q241" s="190">
        <f t="shared" ref="Q241:Q252" ca="1" si="129">IFERROR(IF(ISNUMBER(N241),(N241-K241)/ABS(K241),"N/A"),"N/A")</f>
        <v>6.8113207547169805E-2</v>
      </c>
      <c r="R241" s="171"/>
      <c r="S241" s="184">
        <v>44251</v>
      </c>
      <c r="T241" s="191" t="s">
        <v>302</v>
      </c>
      <c r="U241" s="171"/>
    </row>
    <row r="242" spans="1:21" x14ac:dyDescent="0.3">
      <c r="A242" s="154">
        <v>168</v>
      </c>
      <c r="B242" s="181" t="str">
        <f t="shared" si="125"/>
        <v>Historical</v>
      </c>
      <c r="C242" s="171"/>
      <c r="D242" s="188" t="str">
        <f ca="1">INDEX(INDIRECT(E242),0,COLUMN(MO_Common_Column_A))</f>
        <v>GAAP Gross Margin, %</v>
      </c>
      <c r="E242" s="182" t="s">
        <v>303</v>
      </c>
      <c r="F242" s="181" t="s">
        <v>621</v>
      </c>
      <c r="G242" s="181"/>
      <c r="H242" s="171"/>
      <c r="I242" s="185">
        <v>0.63300000000000001</v>
      </c>
      <c r="J242" s="185">
        <v>0.64300000000000002</v>
      </c>
      <c r="K242" s="185">
        <f t="shared" si="126"/>
        <v>0.63800000000000001</v>
      </c>
      <c r="L242" s="171"/>
      <c r="M242" s="181" t="str">
        <f t="shared" si="127"/>
        <v>Actual</v>
      </c>
      <c r="N242" s="185">
        <f ca="1">IFERROR(INDEX(INDIRECT(E242),0,MATCH(F242,MO_Common_ColumnHeader,0)),"N/A")</f>
        <v>0.64105281752340582</v>
      </c>
      <c r="O242" s="171"/>
      <c r="P242" s="190">
        <f t="shared" ca="1" si="128"/>
        <v>3.0528175234058041E-3</v>
      </c>
      <c r="Q242" s="190">
        <f t="shared" ca="1" si="129"/>
        <v>4.784980444209724E-3</v>
      </c>
      <c r="R242" s="171"/>
      <c r="S242" s="184">
        <v>44251</v>
      </c>
      <c r="T242" s="191" t="s">
        <v>302</v>
      </c>
      <c r="U242" s="171"/>
    </row>
    <row r="243" spans="1:21" x14ac:dyDescent="0.3">
      <c r="A243" s="154">
        <v>167</v>
      </c>
      <c r="B243" s="181" t="str">
        <f t="shared" si="125"/>
        <v>Historical</v>
      </c>
      <c r="C243" s="171"/>
      <c r="D243" s="188" t="str">
        <f ca="1">INDEX(INDIRECT(E243),0,COLUMN(MO_Common_Column_A))</f>
        <v>Non-GAAP Gross Margin, %</v>
      </c>
      <c r="E243" s="182" t="s">
        <v>304</v>
      </c>
      <c r="F243" s="181" t="s">
        <v>621</v>
      </c>
      <c r="G243" s="181"/>
      <c r="H243" s="171"/>
      <c r="I243" s="185">
        <v>0.65500000000000003</v>
      </c>
      <c r="J243" s="185">
        <v>0.66500000000000004</v>
      </c>
      <c r="K243" s="185">
        <f t="shared" si="126"/>
        <v>0.66</v>
      </c>
      <c r="L243" s="171"/>
      <c r="M243" s="181" t="str">
        <f t="shared" si="127"/>
        <v>Actual</v>
      </c>
      <c r="N243" s="185">
        <f ca="1">IFERROR(INDEX(INDIRECT(E243),0,MATCH(F243,MO_Common_ColumnHeader,0)),"N/A")</f>
        <v>0.66172054407348524</v>
      </c>
      <c r="O243" s="171"/>
      <c r="P243" s="190">
        <f t="shared" ca="1" si="128"/>
        <v>1.7205440734852084E-3</v>
      </c>
      <c r="Q243" s="190">
        <f t="shared" ca="1" si="129"/>
        <v>2.6068849598260731E-3</v>
      </c>
      <c r="R243" s="171"/>
      <c r="S243" s="184">
        <v>44251</v>
      </c>
      <c r="T243" s="191" t="s">
        <v>302</v>
      </c>
      <c r="U243" s="171"/>
    </row>
    <row r="244" spans="1:21" x14ac:dyDescent="0.3">
      <c r="A244" s="154">
        <v>166</v>
      </c>
      <c r="B244" s="181" t="str">
        <f t="shared" si="125"/>
        <v>Historical</v>
      </c>
      <c r="C244" s="171"/>
      <c r="D244" s="188" t="s">
        <v>305</v>
      </c>
      <c r="E244" s="182"/>
      <c r="F244" s="181" t="s">
        <v>621</v>
      </c>
      <c r="G244" s="181"/>
      <c r="H244" s="171"/>
      <c r="I244" s="183">
        <v>1670</v>
      </c>
      <c r="J244" s="183">
        <v>1670</v>
      </c>
      <c r="K244" s="183">
        <f t="shared" si="126"/>
        <v>1670</v>
      </c>
      <c r="L244" s="171"/>
      <c r="M244" s="181" t="str">
        <f t="shared" si="127"/>
        <v>Actual</v>
      </c>
      <c r="N244" s="183">
        <f>INDEX(MO_RIS_RD,0,MATCH(F244,MO_Common_ColumnHeader,0))+INDEX(MO_RIS_SGA,0,MATCH(F244,MO_Common_ColumnHeader,0))</f>
        <v>1673</v>
      </c>
      <c r="O244" s="171"/>
      <c r="P244" s="189">
        <f t="shared" si="128"/>
        <v>3</v>
      </c>
      <c r="Q244" s="190">
        <f t="shared" si="129"/>
        <v>1.7964071856287425E-3</v>
      </c>
      <c r="R244" s="171"/>
      <c r="S244" s="184">
        <v>44251</v>
      </c>
      <c r="T244" s="191" t="s">
        <v>302</v>
      </c>
      <c r="U244" s="171"/>
    </row>
    <row r="245" spans="1:21" x14ac:dyDescent="0.3">
      <c r="A245" s="154">
        <v>165</v>
      </c>
      <c r="B245" s="181" t="str">
        <f t="shared" si="125"/>
        <v>Historical</v>
      </c>
      <c r="C245" s="171"/>
      <c r="D245" s="188" t="str">
        <f ca="1">INDEX(INDIRECT(E245),0,COLUMN(MO_Common_Column_A))</f>
        <v>Total Non-GAAP Operating Expenses, mm</v>
      </c>
      <c r="E245" s="182" t="s">
        <v>939</v>
      </c>
      <c r="F245" s="181" t="s">
        <v>621</v>
      </c>
      <c r="G245" s="181"/>
      <c r="H245" s="171"/>
      <c r="I245" s="183">
        <v>1200</v>
      </c>
      <c r="J245" s="183">
        <v>1200</v>
      </c>
      <c r="K245" s="183">
        <f t="shared" si="126"/>
        <v>1200</v>
      </c>
      <c r="L245" s="171"/>
      <c r="M245" s="181" t="str">
        <f t="shared" si="127"/>
        <v>Actual</v>
      </c>
      <c r="N245" s="183">
        <f ca="1">IFERROR(INDEX(INDIRECT(E245),0,MATCH(F245,MO_Common_ColumnHeader,0)),"N/A")</f>
        <v>1189</v>
      </c>
      <c r="O245" s="171"/>
      <c r="P245" s="189">
        <f t="shared" ca="1" si="128"/>
        <v>-11</v>
      </c>
      <c r="Q245" s="190">
        <f t="shared" ca="1" si="129"/>
        <v>-9.1666666666666667E-3</v>
      </c>
      <c r="R245" s="171"/>
      <c r="S245" s="184">
        <v>44251</v>
      </c>
      <c r="T245" s="191" t="s">
        <v>302</v>
      </c>
      <c r="U245" s="171"/>
    </row>
    <row r="246" spans="1:21" x14ac:dyDescent="0.3">
      <c r="A246" s="154">
        <v>164</v>
      </c>
      <c r="B246" s="181" t="str">
        <f t="shared" si="125"/>
        <v>Historical</v>
      </c>
      <c r="C246" s="171"/>
      <c r="D246" s="188" t="s">
        <v>307</v>
      </c>
      <c r="E246" s="182"/>
      <c r="F246" s="181" t="s">
        <v>621</v>
      </c>
      <c r="G246" s="181"/>
      <c r="H246" s="171"/>
      <c r="I246" s="183">
        <v>50</v>
      </c>
      <c r="J246" s="183">
        <v>50</v>
      </c>
      <c r="K246" s="183">
        <f t="shared" si="126"/>
        <v>50</v>
      </c>
      <c r="L246" s="171"/>
      <c r="M246" s="181" t="str">
        <f t="shared" si="127"/>
        <v>Actual</v>
      </c>
      <c r="N246" s="183" t="str">
        <f ca="1">IFERROR(INDEX(INDIRECT(E246),0,MATCH(F246,MO_Common_ColumnHeader,0)),"N/A")</f>
        <v>N/A</v>
      </c>
      <c r="O246" s="171"/>
      <c r="P246" s="189" t="str">
        <f t="shared" ca="1" si="128"/>
        <v>N/A</v>
      </c>
      <c r="Q246" s="190" t="str">
        <f t="shared" ca="1" si="129"/>
        <v>N/A</v>
      </c>
      <c r="R246" s="171"/>
      <c r="S246" s="184">
        <v>44251</v>
      </c>
      <c r="T246" s="191" t="s">
        <v>302</v>
      </c>
      <c r="U246" s="171"/>
    </row>
    <row r="247" spans="1:21" x14ac:dyDescent="0.3">
      <c r="A247" s="154">
        <v>163</v>
      </c>
      <c r="B247" s="181" t="str">
        <f t="shared" si="125"/>
        <v>Historical</v>
      </c>
      <c r="C247" s="171"/>
      <c r="D247" s="188" t="s">
        <v>308</v>
      </c>
      <c r="E247" s="182"/>
      <c r="F247" s="181" t="s">
        <v>621</v>
      </c>
      <c r="G247" s="181"/>
      <c r="H247" s="171"/>
      <c r="I247" s="183">
        <v>50</v>
      </c>
      <c r="J247" s="183">
        <v>50</v>
      </c>
      <c r="K247" s="183">
        <f t="shared" si="126"/>
        <v>50</v>
      </c>
      <c r="L247" s="171"/>
      <c r="M247" s="181" t="str">
        <f t="shared" si="127"/>
        <v>Actual</v>
      </c>
      <c r="N247" s="183">
        <f>INDEX(MO_RIS_IE_Net_NONGAAP,0,MATCH(F247,MO_Common_ColumnHeader,0))+INDEX(MO_RIS_OI_NONGAAP,0,MATCH(F247,MO_Common_ColumnHeader,0))</f>
        <v>45</v>
      </c>
      <c r="O247" s="171"/>
      <c r="P247" s="189">
        <f t="shared" si="128"/>
        <v>-5</v>
      </c>
      <c r="Q247" s="190">
        <f t="shared" si="129"/>
        <v>-0.1</v>
      </c>
      <c r="R247" s="171"/>
      <c r="S247" s="184">
        <v>44251</v>
      </c>
      <c r="T247" s="191" t="s">
        <v>302</v>
      </c>
      <c r="U247" s="171"/>
    </row>
    <row r="248" spans="1:21" x14ac:dyDescent="0.3">
      <c r="A248" s="154">
        <v>162</v>
      </c>
      <c r="B248" s="181" t="str">
        <f t="shared" si="125"/>
        <v>Historical</v>
      </c>
      <c r="C248" s="171"/>
      <c r="D248" s="188" t="s">
        <v>309</v>
      </c>
      <c r="E248" s="182" t="s">
        <v>818</v>
      </c>
      <c r="F248" s="181" t="s">
        <v>621</v>
      </c>
      <c r="G248" s="181"/>
      <c r="H248" s="171"/>
      <c r="I248" s="185">
        <v>0.09</v>
      </c>
      <c r="J248" s="185">
        <v>0.11</v>
      </c>
      <c r="K248" s="185">
        <f t="shared" si="126"/>
        <v>0.1</v>
      </c>
      <c r="L248" s="171"/>
      <c r="M248" s="181" t="str">
        <f t="shared" si="127"/>
        <v>Actual</v>
      </c>
      <c r="N248" s="185">
        <f ca="1">IFERROR(INDEX(INDIRECT(E248),0,MATCH(F248,MO_Common_ColumnHeader,0)),"N/A")</f>
        <v>6.4579256360078274E-2</v>
      </c>
      <c r="O248" s="171"/>
      <c r="P248" s="190">
        <f t="shared" ca="1" si="128"/>
        <v>-3.5420743639921731E-2</v>
      </c>
      <c r="Q248" s="190">
        <f t="shared" ca="1" si="129"/>
        <v>-0.35420743639921731</v>
      </c>
      <c r="R248" s="171"/>
      <c r="S248" s="184">
        <v>44251</v>
      </c>
      <c r="T248" s="191" t="s">
        <v>302</v>
      </c>
      <c r="U248" s="171"/>
    </row>
    <row r="249" spans="1:21" x14ac:dyDescent="0.3">
      <c r="A249" s="154">
        <v>161</v>
      </c>
      <c r="B249" s="181" t="str">
        <f t="shared" si="125"/>
        <v>Historical</v>
      </c>
      <c r="C249" s="171"/>
      <c r="D249" s="188" t="str">
        <f ca="1">INDEX(INDIRECT(E249),0,COLUMN(MO_Common_Column_A))</f>
        <v>Non-GAAP Tax Rate</v>
      </c>
      <c r="E249" s="182" t="s">
        <v>310</v>
      </c>
      <c r="F249" s="181" t="s">
        <v>621</v>
      </c>
      <c r="G249" s="181"/>
      <c r="H249" s="171"/>
      <c r="I249" s="185">
        <v>0.09</v>
      </c>
      <c r="J249" s="185">
        <v>0.11</v>
      </c>
      <c r="K249" s="185">
        <f t="shared" si="126"/>
        <v>0.1</v>
      </c>
      <c r="L249" s="171"/>
      <c r="M249" s="181" t="str">
        <f t="shared" si="127"/>
        <v>Actual</v>
      </c>
      <c r="N249" s="185">
        <f ca="1">IFERROR(INDEX(INDIRECT(E249),0,MATCH(F249,MO_Common_ColumnHeader,0)),"N/A")</f>
        <v>7.9219745222929933E-2</v>
      </c>
      <c r="O249" s="171"/>
      <c r="P249" s="190">
        <f t="shared" ca="1" si="128"/>
        <v>-2.0780254777070073E-2</v>
      </c>
      <c r="Q249" s="190">
        <f t="shared" ca="1" si="129"/>
        <v>-0.20780254777070073</v>
      </c>
      <c r="R249" s="171"/>
      <c r="S249" s="184">
        <v>44251</v>
      </c>
      <c r="T249" s="191" t="s">
        <v>302</v>
      </c>
      <c r="U249" s="171"/>
    </row>
    <row r="250" spans="1:21" x14ac:dyDescent="0.3">
      <c r="A250" s="154">
        <v>160</v>
      </c>
      <c r="B250" s="181" t="str">
        <f t="shared" si="125"/>
        <v>Historical</v>
      </c>
      <c r="C250" s="171"/>
      <c r="D250" s="188" t="s">
        <v>623</v>
      </c>
      <c r="E250" s="182"/>
      <c r="F250" s="181" t="s">
        <v>621</v>
      </c>
      <c r="G250" s="181"/>
      <c r="H250" s="171"/>
      <c r="I250" s="185">
        <v>-2.1999999999999999E-2</v>
      </c>
      <c r="J250" s="185">
        <v>-2.1999999999999999E-2</v>
      </c>
      <c r="K250" s="185">
        <f t="shared" si="126"/>
        <v>-2.1999999999999999E-2</v>
      </c>
      <c r="L250" s="171"/>
      <c r="M250" s="181" t="str">
        <f t="shared" si="127"/>
        <v>Actual</v>
      </c>
      <c r="N250" s="185">
        <f>(INDEX(MO_RIS_SBC_COGS,0,MATCH(F250,MO_Common_ColumnHeader,0))+INDEX(z_A7FLSL0150_MO_RIS_AcquisitionrelatedcostsCOGS,0,MATCH(F250,MO_Common_ColumnHeader,0))+INDEX(MO_RIS_COGS_Adjustments,0,MATCH(F250,MO_Common_ColumnHeader,0)))/INDEX(MO_RIS_REV,0,MATCH(F250,MO_Common_ColumnHeader,0))</f>
        <v>-2.066772655007949E-2</v>
      </c>
      <c r="O250" s="171"/>
      <c r="P250" s="190">
        <f t="shared" si="128"/>
        <v>1.332273449920509E-3</v>
      </c>
      <c r="Q250" s="190">
        <f t="shared" si="129"/>
        <v>6.0557884087295864E-2</v>
      </c>
      <c r="R250" s="171"/>
      <c r="S250" s="184">
        <v>44251</v>
      </c>
      <c r="T250" s="191" t="s">
        <v>302</v>
      </c>
      <c r="U250" s="171"/>
    </row>
    <row r="251" spans="1:21" x14ac:dyDescent="0.3">
      <c r="A251" s="154">
        <v>159</v>
      </c>
      <c r="B251" s="181" t="str">
        <f t="shared" si="125"/>
        <v>Historical</v>
      </c>
      <c r="C251" s="171"/>
      <c r="D251" s="188" t="s">
        <v>312</v>
      </c>
      <c r="E251" s="182"/>
      <c r="F251" s="181" t="s">
        <v>621</v>
      </c>
      <c r="G251" s="181"/>
      <c r="H251" s="171"/>
      <c r="I251" s="183">
        <v>-470</v>
      </c>
      <c r="J251" s="183">
        <v>-470</v>
      </c>
      <c r="K251" s="183">
        <f t="shared" si="126"/>
        <v>-470</v>
      </c>
      <c r="L251" s="171"/>
      <c r="M251" s="181" t="str">
        <f t="shared" si="127"/>
        <v>Actual</v>
      </c>
      <c r="N251" s="183">
        <f>-(-INDEX(MO_RIS_OtherOperating_NONGAAP,0,MATCH(F251,MO_Common_ColumnHeader,0))+INDEX(z_A7FLSL0150_MO_RIS_SBC_2,0,MATCH(F251,MO_Common_ColumnHeader,0))+INDEX(z_A7FLSL0150_MO_RIS_sbc_1,0,MATCH(F251,MO_Common_ColumnHeader,0))+INDEX(z_A7FLSL0150_MO_RIS_AcquisitionrelatedcostsRD,0,MATCH(F251,MO_Common_ColumnHeader,0))+INDEX(z_A7FLSL0150_MO_RIS_AcquisitionrelatedcostsSGA,0,MATCH(F251,MO_Common_ColumnHeader,0)))</f>
        <v>-484</v>
      </c>
      <c r="O251" s="171"/>
      <c r="P251" s="189">
        <f t="shared" si="128"/>
        <v>-14</v>
      </c>
      <c r="Q251" s="190">
        <f t="shared" si="129"/>
        <v>-2.9787234042553193E-2</v>
      </c>
      <c r="R251" s="171"/>
      <c r="S251" s="184">
        <v>44251</v>
      </c>
      <c r="T251" s="191" t="s">
        <v>302</v>
      </c>
      <c r="U251" s="171"/>
    </row>
    <row r="252" spans="1:21" x14ac:dyDescent="0.3">
      <c r="A252" s="154">
        <v>158</v>
      </c>
      <c r="B252" s="181" t="str">
        <f t="shared" si="125"/>
        <v>Historical</v>
      </c>
      <c r="C252" s="171"/>
      <c r="D252" s="188" t="str">
        <f ca="1">INDEX(INDIRECT(E252),0,COLUMN(MO_Common_Column_A))</f>
        <v>Capex</v>
      </c>
      <c r="E252" s="182" t="s">
        <v>560</v>
      </c>
      <c r="F252" s="181" t="s">
        <v>621</v>
      </c>
      <c r="G252" s="181"/>
      <c r="H252" s="171"/>
      <c r="I252" s="183">
        <v>-325</v>
      </c>
      <c r="J252" s="183">
        <v>-300</v>
      </c>
      <c r="K252" s="183">
        <f>AVERAGE(I252:J252)</f>
        <v>-312.5</v>
      </c>
      <c r="L252" s="171"/>
      <c r="M252" s="181" t="str">
        <f t="shared" si="127"/>
        <v>Actual</v>
      </c>
      <c r="N252" s="183">
        <f ca="1">IFERROR(INDEX(INDIRECT(E252),0,MATCH(F252,MO_Common_ColumnHeader,0)),"N/A")</f>
        <v>-298</v>
      </c>
      <c r="O252" s="171"/>
      <c r="P252" s="189">
        <f ca="1">IF(ISNUMBER(N252),N252-K252,"N/A")</f>
        <v>14.5</v>
      </c>
      <c r="Q252" s="190">
        <f t="shared" ca="1" si="129"/>
        <v>4.6399999999999997E-2</v>
      </c>
      <c r="R252" s="171"/>
      <c r="S252" s="184">
        <v>44251</v>
      </c>
      <c r="T252" s="191" t="s">
        <v>622</v>
      </c>
      <c r="U252" s="171"/>
    </row>
    <row r="253" spans="1:21" x14ac:dyDescent="0.3">
      <c r="A253" s="154">
        <v>157</v>
      </c>
      <c r="B253" s="171"/>
      <c r="C253" s="171"/>
      <c r="D253" s="168"/>
      <c r="E253" s="169"/>
      <c r="F253" s="171"/>
      <c r="G253" s="171"/>
      <c r="H253" s="171"/>
      <c r="I253" s="885"/>
      <c r="J253" s="885"/>
      <c r="K253" s="885"/>
      <c r="L253" s="171"/>
      <c r="M253" s="171"/>
      <c r="N253" s="885"/>
      <c r="O253" s="171"/>
      <c r="P253" s="172"/>
      <c r="Q253" s="134"/>
      <c r="R253" s="171"/>
      <c r="S253" s="173"/>
      <c r="T253" s="192"/>
      <c r="U253" s="171"/>
    </row>
    <row r="254" spans="1:21" x14ac:dyDescent="0.3">
      <c r="A254" s="154">
        <v>156</v>
      </c>
      <c r="B254" s="181" t="str">
        <f t="shared" ref="B254:B264" si="130">IF(INDEX(MO_SNA_IsHistoricalPeriod,,MATCH(F254,MO_Common_ColumnHeader,0)),"Historical","Forward")</f>
        <v>Historical</v>
      </c>
      <c r="C254" s="171"/>
      <c r="D254" s="188" t="str">
        <f ca="1">INDEX(INDIRECT(E254),0,COLUMN(MO_Common_Column_A))</f>
        <v>Net Revenue</v>
      </c>
      <c r="E254" s="182" t="s">
        <v>300</v>
      </c>
      <c r="F254" s="181" t="s">
        <v>612</v>
      </c>
      <c r="G254" s="181"/>
      <c r="H254" s="171"/>
      <c r="I254" s="183">
        <f>4800*0.98</f>
        <v>4704</v>
      </c>
      <c r="J254" s="183">
        <f>4800*1.02</f>
        <v>4896</v>
      </c>
      <c r="K254" s="183">
        <f t="shared" ref="K254:K264" si="131">AVERAGE(I254:J254)</f>
        <v>4800</v>
      </c>
      <c r="L254" s="171"/>
      <c r="M254" s="181" t="str">
        <f t="shared" ref="M254:M264" si="132">IF(INDEX(MO_SNA_IsHistoricalPeriod,,MATCH(F254,MO_Common_ColumnHeader,0)),"Actual","Estimate")</f>
        <v>Actual</v>
      </c>
      <c r="N254" s="183">
        <f ca="1">IFERROR(INDEX(INDIRECT(E254),0,MATCH(F254,MO_Common_ColumnHeader,0)),"N/A")</f>
        <v>5003</v>
      </c>
      <c r="O254" s="171"/>
      <c r="P254" s="189">
        <f t="shared" ref="P254:P264" ca="1" si="133">IF(ISNUMBER(N254),N254-K254,"N/A")</f>
        <v>203</v>
      </c>
      <c r="Q254" s="190">
        <f t="shared" ref="Q254:Q264" ca="1" si="134">IFERROR(IF(ISNUMBER(N254),(N254-K254)/ABS(K254),"N/A"),"N/A")</f>
        <v>4.2291666666666665E-2</v>
      </c>
      <c r="R254" s="171"/>
      <c r="S254" s="184">
        <v>44153</v>
      </c>
      <c r="T254" s="191" t="s">
        <v>302</v>
      </c>
      <c r="U254" s="171"/>
    </row>
    <row r="255" spans="1:21" x14ac:dyDescent="0.3">
      <c r="A255" s="154">
        <v>155</v>
      </c>
      <c r="B255" s="181" t="str">
        <f t="shared" si="130"/>
        <v>Historical</v>
      </c>
      <c r="C255" s="171"/>
      <c r="D255" s="188" t="str">
        <f ca="1">INDEX(INDIRECT(E255),0,COLUMN(MO_Common_Column_A))</f>
        <v>GAAP Gross Margin, %</v>
      </c>
      <c r="E255" s="182" t="s">
        <v>303</v>
      </c>
      <c r="F255" s="181" t="s">
        <v>612</v>
      </c>
      <c r="G255" s="181"/>
      <c r="H255" s="171"/>
      <c r="I255" s="185">
        <v>0.623</v>
      </c>
      <c r="J255" s="185">
        <v>0.63300000000000001</v>
      </c>
      <c r="K255" s="185">
        <f t="shared" si="131"/>
        <v>0.628</v>
      </c>
      <c r="L255" s="171"/>
      <c r="M255" s="181" t="str">
        <f t="shared" si="132"/>
        <v>Actual</v>
      </c>
      <c r="N255" s="185">
        <f ca="1">IFERROR(INDEX(INDIRECT(E255),0,MATCH(F255,MO_Common_ColumnHeader,0)),"N/A")</f>
        <v>0.6310213871676994</v>
      </c>
      <c r="O255" s="171"/>
      <c r="P255" s="190">
        <f t="shared" ca="1" si="133"/>
        <v>3.0213871676993964E-3</v>
      </c>
      <c r="Q255" s="190">
        <f t="shared" ca="1" si="134"/>
        <v>4.8111260632155992E-3</v>
      </c>
      <c r="R255" s="171"/>
      <c r="S255" s="184">
        <v>44153</v>
      </c>
      <c r="T255" s="191" t="s">
        <v>302</v>
      </c>
      <c r="U255" s="171"/>
    </row>
    <row r="256" spans="1:21" x14ac:dyDescent="0.3">
      <c r="A256" s="154">
        <v>154</v>
      </c>
      <c r="B256" s="181" t="str">
        <f t="shared" si="130"/>
        <v>Historical</v>
      </c>
      <c r="C256" s="171"/>
      <c r="D256" s="188" t="str">
        <f ca="1">INDEX(INDIRECT(E256),0,COLUMN(MO_Common_Column_A))</f>
        <v>Non-GAAP Gross Margin, %</v>
      </c>
      <c r="E256" s="182" t="s">
        <v>304</v>
      </c>
      <c r="F256" s="181" t="s">
        <v>612</v>
      </c>
      <c r="G256" s="181"/>
      <c r="H256" s="171"/>
      <c r="I256" s="185">
        <v>0.65</v>
      </c>
      <c r="J256" s="185">
        <v>0.66</v>
      </c>
      <c r="K256" s="185">
        <f t="shared" si="131"/>
        <v>0.65500000000000003</v>
      </c>
      <c r="L256" s="171"/>
      <c r="M256" s="181" t="str">
        <f t="shared" si="132"/>
        <v>Actual</v>
      </c>
      <c r="N256" s="185">
        <f ca="1">IFERROR(INDEX(INDIRECT(E256),0,MATCH(F256,MO_Common_ColumnHeader,0)),"N/A")</f>
        <v>0.65480711573056172</v>
      </c>
      <c r="O256" s="171"/>
      <c r="P256" s="190">
        <f t="shared" ca="1" si="133"/>
        <v>-1.9288426943830927E-4</v>
      </c>
      <c r="Q256" s="190">
        <f t="shared" ca="1" si="134"/>
        <v>-2.9447980066917446E-4</v>
      </c>
      <c r="R256" s="171"/>
      <c r="S256" s="184">
        <v>44153</v>
      </c>
      <c r="T256" s="191" t="s">
        <v>302</v>
      </c>
      <c r="U256" s="171"/>
    </row>
    <row r="257" spans="1:21" x14ac:dyDescent="0.3">
      <c r="A257" s="154">
        <v>153</v>
      </c>
      <c r="B257" s="181" t="str">
        <f t="shared" si="130"/>
        <v>Historical</v>
      </c>
      <c r="C257" s="171"/>
      <c r="D257" s="188" t="s">
        <v>305</v>
      </c>
      <c r="E257" s="182"/>
      <c r="F257" s="181" t="s">
        <v>612</v>
      </c>
      <c r="G257" s="181"/>
      <c r="H257" s="171"/>
      <c r="I257" s="183">
        <v>1640</v>
      </c>
      <c r="J257" s="183">
        <v>1640</v>
      </c>
      <c r="K257" s="183">
        <f t="shared" si="131"/>
        <v>1640</v>
      </c>
      <c r="L257" s="171"/>
      <c r="M257" s="181" t="str">
        <f t="shared" si="132"/>
        <v>Actual</v>
      </c>
      <c r="N257" s="183">
        <f>INDEX(MO_RIS_RD,0,MATCH(F257,MO_Common_ColumnHeader,0))+INDEX(MO_RIS_SGA,0,MATCH(F257,MO_Common_ColumnHeader,0))</f>
        <v>1650</v>
      </c>
      <c r="O257" s="171"/>
      <c r="P257" s="189">
        <f t="shared" si="133"/>
        <v>10</v>
      </c>
      <c r="Q257" s="190">
        <f t="shared" si="134"/>
        <v>6.0975609756097563E-3</v>
      </c>
      <c r="R257" s="171"/>
      <c r="S257" s="184">
        <v>44153</v>
      </c>
      <c r="T257" s="191" t="s">
        <v>302</v>
      </c>
      <c r="U257" s="171"/>
    </row>
    <row r="258" spans="1:21" x14ac:dyDescent="0.3">
      <c r="A258" s="154">
        <v>152</v>
      </c>
      <c r="B258" s="181" t="str">
        <f t="shared" si="130"/>
        <v>Historical</v>
      </c>
      <c r="C258" s="171"/>
      <c r="D258" s="188" t="str">
        <f ca="1">INDEX(INDIRECT(E258),0,COLUMN(MO_Common_Column_A))</f>
        <v>Total Non-GAAP Operating Expenses, mm</v>
      </c>
      <c r="E258" s="182" t="s">
        <v>939</v>
      </c>
      <c r="F258" s="181" t="s">
        <v>612</v>
      </c>
      <c r="G258" s="181"/>
      <c r="H258" s="171"/>
      <c r="I258" s="183">
        <v>1180</v>
      </c>
      <c r="J258" s="183">
        <v>1180</v>
      </c>
      <c r="K258" s="183">
        <f t="shared" si="131"/>
        <v>1180</v>
      </c>
      <c r="L258" s="171"/>
      <c r="M258" s="181" t="str">
        <f t="shared" si="132"/>
        <v>Actual</v>
      </c>
      <c r="N258" s="183">
        <f ca="1">IFERROR(INDEX(INDIRECT(E258),0,MATCH(F258,MO_Common_ColumnHeader,0)),"N/A")</f>
        <v>1187</v>
      </c>
      <c r="O258" s="171"/>
      <c r="P258" s="189">
        <f t="shared" ca="1" si="133"/>
        <v>7</v>
      </c>
      <c r="Q258" s="190">
        <f t="shared" ca="1" si="134"/>
        <v>5.9322033898305086E-3</v>
      </c>
      <c r="R258" s="171"/>
      <c r="S258" s="184">
        <v>44153</v>
      </c>
      <c r="T258" s="191" t="s">
        <v>302</v>
      </c>
      <c r="U258" s="171"/>
    </row>
    <row r="259" spans="1:21" x14ac:dyDescent="0.3">
      <c r="A259" s="154">
        <v>151</v>
      </c>
      <c r="B259" s="181" t="str">
        <f t="shared" si="130"/>
        <v>Historical</v>
      </c>
      <c r="C259" s="171"/>
      <c r="D259" s="188" t="s">
        <v>307</v>
      </c>
      <c r="E259" s="182"/>
      <c r="F259" s="181" t="s">
        <v>612</v>
      </c>
      <c r="G259" s="181"/>
      <c r="H259" s="171"/>
      <c r="I259" s="183">
        <v>55</v>
      </c>
      <c r="J259" s="183">
        <v>55</v>
      </c>
      <c r="K259" s="183">
        <f t="shared" si="131"/>
        <v>55</v>
      </c>
      <c r="L259" s="171"/>
      <c r="M259" s="181" t="str">
        <f t="shared" si="132"/>
        <v>Actual</v>
      </c>
      <c r="N259" s="183" t="str">
        <f ca="1">IFERROR(INDEX(INDIRECT(E259),0,MATCH(F259,MO_Common_ColumnHeader,0)),"N/A")</f>
        <v>N/A</v>
      </c>
      <c r="O259" s="171"/>
      <c r="P259" s="189" t="str">
        <f t="shared" ca="1" si="133"/>
        <v>N/A</v>
      </c>
      <c r="Q259" s="190" t="str">
        <f t="shared" ca="1" si="134"/>
        <v>N/A</v>
      </c>
      <c r="R259" s="171"/>
      <c r="S259" s="184">
        <v>44153</v>
      </c>
      <c r="T259" s="191" t="s">
        <v>302</v>
      </c>
      <c r="U259" s="171"/>
    </row>
    <row r="260" spans="1:21" x14ac:dyDescent="0.3">
      <c r="A260" s="154">
        <v>150</v>
      </c>
      <c r="B260" s="181" t="str">
        <f t="shared" si="130"/>
        <v>Historical</v>
      </c>
      <c r="C260" s="171"/>
      <c r="D260" s="188" t="s">
        <v>308</v>
      </c>
      <c r="E260" s="182"/>
      <c r="F260" s="181" t="s">
        <v>612</v>
      </c>
      <c r="G260" s="181"/>
      <c r="H260" s="171"/>
      <c r="I260" s="183">
        <v>55</v>
      </c>
      <c r="J260" s="183">
        <v>55</v>
      </c>
      <c r="K260" s="183">
        <f t="shared" si="131"/>
        <v>55</v>
      </c>
      <c r="L260" s="171"/>
      <c r="M260" s="181" t="str">
        <f t="shared" si="132"/>
        <v>Actual</v>
      </c>
      <c r="N260" s="183">
        <f>INDEX(MO_RIS_IE_Net_NONGAAP,0,MATCH(F260,MO_Common_ColumnHeader,0))+INDEX(MO_RIS_OI_NONGAAP,0,MATCH(F260,MO_Common_ColumnHeader,0))</f>
        <v>45</v>
      </c>
      <c r="O260" s="171"/>
      <c r="P260" s="189">
        <f t="shared" si="133"/>
        <v>-10</v>
      </c>
      <c r="Q260" s="190">
        <f t="shared" si="134"/>
        <v>-0.18181818181818182</v>
      </c>
      <c r="R260" s="171"/>
      <c r="S260" s="184">
        <v>44153</v>
      </c>
      <c r="T260" s="191" t="s">
        <v>302</v>
      </c>
      <c r="U260" s="171"/>
    </row>
    <row r="261" spans="1:21" x14ac:dyDescent="0.3">
      <c r="A261" s="154">
        <v>149</v>
      </c>
      <c r="B261" s="181" t="str">
        <f t="shared" si="130"/>
        <v>Historical</v>
      </c>
      <c r="C261" s="171"/>
      <c r="D261" s="188" t="s">
        <v>309</v>
      </c>
      <c r="E261" s="182" t="s">
        <v>818</v>
      </c>
      <c r="F261" s="181" t="s">
        <v>612</v>
      </c>
      <c r="G261" s="181"/>
      <c r="H261" s="171"/>
      <c r="I261" s="185">
        <v>7.0000000000000007E-2</v>
      </c>
      <c r="J261" s="185">
        <v>0.09</v>
      </c>
      <c r="K261" s="185">
        <f t="shared" si="131"/>
        <v>0.08</v>
      </c>
      <c r="L261" s="171"/>
      <c r="M261" s="181" t="str">
        <f t="shared" si="132"/>
        <v>Actual</v>
      </c>
      <c r="N261" s="185">
        <f ca="1">IFERROR(INDEX(INDIRECT(E261),0,MATCH(F261,MO_Common_ColumnHeader,0)),"N/A")</f>
        <v>8.8435374149659872E-3</v>
      </c>
      <c r="O261" s="171"/>
      <c r="P261" s="190">
        <f t="shared" ca="1" si="133"/>
        <v>-7.1156462585034011E-2</v>
      </c>
      <c r="Q261" s="190">
        <f t="shared" ca="1" si="134"/>
        <v>-0.8894557823129251</v>
      </c>
      <c r="R261" s="171"/>
      <c r="S261" s="184">
        <v>44153</v>
      </c>
      <c r="T261" s="191" t="s">
        <v>302</v>
      </c>
      <c r="U261" s="171"/>
    </row>
    <row r="262" spans="1:21" x14ac:dyDescent="0.3">
      <c r="A262" s="154">
        <v>148</v>
      </c>
      <c r="B262" s="181" t="str">
        <f t="shared" si="130"/>
        <v>Historical</v>
      </c>
      <c r="C262" s="171"/>
      <c r="D262" s="188" t="str">
        <f ca="1">INDEX(INDIRECT(E262),0,COLUMN(MO_Common_Column_A))</f>
        <v>Non-GAAP Tax Rate</v>
      </c>
      <c r="E262" s="182" t="s">
        <v>310</v>
      </c>
      <c r="F262" s="181" t="s">
        <v>612</v>
      </c>
      <c r="G262" s="181"/>
      <c r="H262" s="171"/>
      <c r="I262" s="185">
        <v>7.0000000000000007E-2</v>
      </c>
      <c r="J262" s="185">
        <v>0.09</v>
      </c>
      <c r="K262" s="185">
        <f t="shared" si="131"/>
        <v>0.08</v>
      </c>
      <c r="L262" s="171"/>
      <c r="M262" s="181" t="str">
        <f t="shared" si="132"/>
        <v>Actual</v>
      </c>
      <c r="N262" s="185">
        <f ca="1">IFERROR(INDEX(INDIRECT(E262),0,MATCH(F262,MO_Common_ColumnHeader,0)),"N/A")</f>
        <v>4.2563600782778863E-2</v>
      </c>
      <c r="O262" s="171"/>
      <c r="P262" s="190">
        <f t="shared" ca="1" si="133"/>
        <v>-3.7436399217221139E-2</v>
      </c>
      <c r="Q262" s="190">
        <f t="shared" ca="1" si="134"/>
        <v>-0.46795499021526421</v>
      </c>
      <c r="R262" s="171"/>
      <c r="S262" s="184">
        <v>44153</v>
      </c>
      <c r="T262" s="191" t="s">
        <v>302</v>
      </c>
      <c r="U262" s="171"/>
    </row>
    <row r="263" spans="1:21" x14ac:dyDescent="0.3">
      <c r="A263" s="154">
        <v>147</v>
      </c>
      <c r="B263" s="181" t="str">
        <f t="shared" si="130"/>
        <v>Historical</v>
      </c>
      <c r="C263" s="171"/>
      <c r="D263" s="188" t="s">
        <v>609</v>
      </c>
      <c r="E263" s="182"/>
      <c r="F263" s="181" t="s">
        <v>612</v>
      </c>
      <c r="G263" s="181"/>
      <c r="H263" s="171"/>
      <c r="I263" s="185">
        <v>-2.7E-2</v>
      </c>
      <c r="J263" s="185">
        <v>-2.7E-2</v>
      </c>
      <c r="K263" s="185">
        <f t="shared" si="131"/>
        <v>-2.7E-2</v>
      </c>
      <c r="L263" s="171"/>
      <c r="M263" s="181" t="str">
        <f t="shared" si="132"/>
        <v>Actual</v>
      </c>
      <c r="N263" s="185">
        <f>(INDEX(MO_RIS_SBC_COGS,0,MATCH(F263,MO_Common_ColumnHeader,0))+INDEX(z_A7FLSL0150_MO_RIS_AcquisitionrelatedcostsCOGS,0,MATCH(F263,MO_Common_ColumnHeader,0))+INDEX(MO_RIS_COGS_Adjustments,0,MATCH(F263,MO_Common_ColumnHeader,0)))/INDEX(MO_RIS_REV,0,MATCH(F263,MO_Common_ColumnHeader,0))</f>
        <v>-2.3785728562862284E-2</v>
      </c>
      <c r="O263" s="171"/>
      <c r="P263" s="190">
        <f t="shared" si="133"/>
        <v>3.2142714371377161E-3</v>
      </c>
      <c r="Q263" s="190">
        <f t="shared" si="134"/>
        <v>0.11904709026435986</v>
      </c>
      <c r="R263" s="171"/>
      <c r="S263" s="184">
        <v>44153</v>
      </c>
      <c r="T263" s="191" t="s">
        <v>302</v>
      </c>
      <c r="U263" s="171"/>
    </row>
    <row r="264" spans="1:21" x14ac:dyDescent="0.3">
      <c r="A264" s="154">
        <v>146</v>
      </c>
      <c r="B264" s="181" t="str">
        <f t="shared" si="130"/>
        <v>Historical</v>
      </c>
      <c r="C264" s="171"/>
      <c r="D264" s="188" t="s">
        <v>312</v>
      </c>
      <c r="E264" s="182"/>
      <c r="F264" s="181" t="s">
        <v>612</v>
      </c>
      <c r="G264" s="181"/>
      <c r="H264" s="171"/>
      <c r="I264" s="183">
        <v>-460</v>
      </c>
      <c r="J264" s="183">
        <v>-460</v>
      </c>
      <c r="K264" s="183">
        <f t="shared" si="131"/>
        <v>-460</v>
      </c>
      <c r="L264" s="171"/>
      <c r="M264" s="181" t="str">
        <f t="shared" si="132"/>
        <v>Actual</v>
      </c>
      <c r="N264" s="183">
        <f>-(-INDEX(MO_RIS_OtherOperating_NONGAAP,0,MATCH(F264,MO_Common_ColumnHeader,0))+INDEX(z_A7FLSL0150_MO_RIS_SBC_2,0,MATCH(F264,MO_Common_ColumnHeader,0))+INDEX(z_A7FLSL0150_MO_RIS_sbc_1,0,MATCH(F264,MO_Common_ColumnHeader,0))+INDEX(z_A7FLSL0150_MO_RIS_AcquisitionrelatedcostsRD,0,MATCH(F264,MO_Common_ColumnHeader,0))+INDEX(z_A7FLSL0150_MO_RIS_AcquisitionrelatedcostsSGA,0,MATCH(F264,MO_Common_ColumnHeader,0)))</f>
        <v>-463</v>
      </c>
      <c r="O264" s="171"/>
      <c r="P264" s="189">
        <f t="shared" si="133"/>
        <v>-3</v>
      </c>
      <c r="Q264" s="190">
        <f t="shared" si="134"/>
        <v>-6.5217391304347823E-3</v>
      </c>
      <c r="R264" s="171"/>
      <c r="S264" s="184">
        <v>44153</v>
      </c>
      <c r="T264" s="191" t="s">
        <v>302</v>
      </c>
      <c r="U264" s="171"/>
    </row>
    <row r="265" spans="1:21" x14ac:dyDescent="0.3">
      <c r="A265" s="154">
        <v>145</v>
      </c>
      <c r="B265" s="171"/>
      <c r="C265" s="171"/>
      <c r="D265" s="168"/>
      <c r="E265" s="169"/>
      <c r="F265" s="171"/>
      <c r="G265" s="171"/>
      <c r="H265" s="171"/>
      <c r="I265" s="885"/>
      <c r="J265" s="885"/>
      <c r="K265" s="885"/>
      <c r="L265" s="171"/>
      <c r="M265" s="171"/>
      <c r="N265" s="885"/>
      <c r="O265" s="171"/>
      <c r="P265" s="172"/>
      <c r="Q265" s="134"/>
      <c r="R265" s="171"/>
      <c r="S265" s="173"/>
      <c r="T265" s="192"/>
      <c r="U265" s="171"/>
    </row>
    <row r="266" spans="1:21" x14ac:dyDescent="0.3">
      <c r="A266" s="154">
        <v>144</v>
      </c>
      <c r="B266" s="181" t="str">
        <f t="shared" ref="B266:B277" si="135">IF(INDEX(MO_SNA_IsHistoricalPeriod,,MATCH(F266,MO_Common_ColumnHeader,0)),"Historical","Forward")</f>
        <v>Historical</v>
      </c>
      <c r="C266" s="171"/>
      <c r="D266" s="188" t="str">
        <f ca="1">INDEX(INDIRECT(E266),0,COLUMN(MO_Common_Column_A))</f>
        <v>Net Revenue</v>
      </c>
      <c r="E266" s="182" t="s">
        <v>300</v>
      </c>
      <c r="F266" s="181" t="s">
        <v>608</v>
      </c>
      <c r="G266" s="181"/>
      <c r="H266" s="171"/>
      <c r="I266" s="183">
        <f>4400*0.98</f>
        <v>4312</v>
      </c>
      <c r="J266" s="183">
        <f>4400*1.02</f>
        <v>4488</v>
      </c>
      <c r="K266" s="183">
        <f t="shared" ref="K266:K277" si="136">AVERAGE(I266:J266)</f>
        <v>4400</v>
      </c>
      <c r="L266" s="171"/>
      <c r="M266" s="181" t="str">
        <f t="shared" ref="M266:M277" si="137">IF(INDEX(MO_SNA_IsHistoricalPeriod,,MATCH(F266,MO_Common_ColumnHeader,0)),"Actual","Estimate")</f>
        <v>Actual</v>
      </c>
      <c r="N266" s="183">
        <f ca="1">IFERROR(INDEX(INDIRECT(E266),0,MATCH(F266,MO_Common_ColumnHeader,0)),"N/A")</f>
        <v>4726</v>
      </c>
      <c r="O266" s="171"/>
      <c r="P266" s="189">
        <f t="shared" ref="P266:P277" ca="1" si="138">IF(ISNUMBER(N266),N266-K266,"N/A")</f>
        <v>326</v>
      </c>
      <c r="Q266" s="190">
        <f t="shared" ref="Q266:Q277" ca="1" si="139">IFERROR(IF(ISNUMBER(N266),(N266-K266)/ABS(K266),"N/A"),"N/A")</f>
        <v>7.4090909090909096E-2</v>
      </c>
      <c r="R266" s="171"/>
      <c r="S266" s="184">
        <v>44062</v>
      </c>
      <c r="T266" s="191" t="s">
        <v>302</v>
      </c>
      <c r="U266" s="171"/>
    </row>
    <row r="267" spans="1:21" x14ac:dyDescent="0.3">
      <c r="A267" s="154">
        <v>143</v>
      </c>
      <c r="B267" s="181" t="str">
        <f t="shared" si="135"/>
        <v>Historical</v>
      </c>
      <c r="C267" s="171"/>
      <c r="D267" s="188" t="str">
        <f ca="1">INDEX(INDIRECT(E267),0,COLUMN(MO_Common_Column_A))</f>
        <v>GAAP Gross Margin, %</v>
      </c>
      <c r="E267" s="182" t="s">
        <v>303</v>
      </c>
      <c r="F267" s="181" t="s">
        <v>608</v>
      </c>
      <c r="G267" s="181"/>
      <c r="H267" s="171"/>
      <c r="I267" s="185">
        <v>0.62</v>
      </c>
      <c r="J267" s="185">
        <v>0.63</v>
      </c>
      <c r="K267" s="185">
        <f t="shared" si="136"/>
        <v>0.625</v>
      </c>
      <c r="L267" s="171"/>
      <c r="M267" s="181" t="str">
        <f t="shared" si="137"/>
        <v>Actual</v>
      </c>
      <c r="N267" s="185">
        <f ca="1">IFERROR(INDEX(INDIRECT(E267),0,MATCH(F267,MO_Common_ColumnHeader,0)),"N/A")</f>
        <v>0.62632247143461695</v>
      </c>
      <c r="O267" s="171"/>
      <c r="P267" s="190">
        <f t="shared" ca="1" si="138"/>
        <v>1.3224714346169453E-3</v>
      </c>
      <c r="Q267" s="190">
        <f t="shared" ca="1" si="139"/>
        <v>2.1159542953871125E-3</v>
      </c>
      <c r="R267" s="171"/>
      <c r="S267" s="184">
        <v>44062</v>
      </c>
      <c r="T267" s="191" t="s">
        <v>302</v>
      </c>
      <c r="U267" s="171"/>
    </row>
    <row r="268" spans="1:21" x14ac:dyDescent="0.3">
      <c r="A268" s="154">
        <v>142</v>
      </c>
      <c r="B268" s="181" t="str">
        <f t="shared" si="135"/>
        <v>Historical</v>
      </c>
      <c r="C268" s="171"/>
      <c r="D268" s="188" t="str">
        <f ca="1">INDEX(INDIRECT(E268),0,COLUMN(MO_Common_Column_A))</f>
        <v>Non-GAAP Gross Margin, %</v>
      </c>
      <c r="E268" s="182" t="s">
        <v>304</v>
      </c>
      <c r="F268" s="181" t="s">
        <v>608</v>
      </c>
      <c r="G268" s="181"/>
      <c r="H268" s="171"/>
      <c r="I268" s="185">
        <v>0.65</v>
      </c>
      <c r="J268" s="185">
        <v>0.66</v>
      </c>
      <c r="K268" s="185">
        <f t="shared" si="136"/>
        <v>0.65500000000000003</v>
      </c>
      <c r="L268" s="171"/>
      <c r="M268" s="181" t="str">
        <f t="shared" si="137"/>
        <v>Actual</v>
      </c>
      <c r="N268" s="185">
        <f ca="1">IFERROR(INDEX(INDIRECT(E268),0,MATCH(F268,MO_Common_ColumnHeader,0)),"N/A")</f>
        <v>0.65488785442234443</v>
      </c>
      <c r="O268" s="171"/>
      <c r="P268" s="190">
        <f t="shared" ca="1" si="138"/>
        <v>-1.1214557765559796E-4</v>
      </c>
      <c r="Q268" s="190">
        <f t="shared" ca="1" si="139"/>
        <v>-1.7121462237495872E-4</v>
      </c>
      <c r="R268" s="171"/>
      <c r="S268" s="184">
        <v>44062</v>
      </c>
      <c r="T268" s="191" t="s">
        <v>302</v>
      </c>
      <c r="U268" s="171"/>
    </row>
    <row r="269" spans="1:21" x14ac:dyDescent="0.3">
      <c r="A269" s="154">
        <v>141</v>
      </c>
      <c r="B269" s="181" t="str">
        <f t="shared" si="135"/>
        <v>Historical</v>
      </c>
      <c r="C269" s="171"/>
      <c r="D269" s="188" t="s">
        <v>305</v>
      </c>
      <c r="E269" s="182"/>
      <c r="F269" s="181" t="s">
        <v>608</v>
      </c>
      <c r="G269" s="181"/>
      <c r="H269" s="171"/>
      <c r="I269" s="183">
        <v>1540</v>
      </c>
      <c r="J269" s="183">
        <v>1540</v>
      </c>
      <c r="K269" s="183">
        <f t="shared" si="136"/>
        <v>1540</v>
      </c>
      <c r="L269" s="171"/>
      <c r="M269" s="181" t="str">
        <f t="shared" si="137"/>
        <v>Actual</v>
      </c>
      <c r="N269" s="183">
        <f>INDEX(MO_RIS_RD,0,MATCH(F269,MO_Common_ColumnHeader,0))+INDEX(MO_RIS_SGA,0,MATCH(F269,MO_Common_ColumnHeader,0))</f>
        <v>1562</v>
      </c>
      <c r="O269" s="171"/>
      <c r="P269" s="189">
        <f t="shared" si="138"/>
        <v>22</v>
      </c>
      <c r="Q269" s="190">
        <f t="shared" si="139"/>
        <v>1.4285714285714285E-2</v>
      </c>
      <c r="R269" s="171"/>
      <c r="S269" s="184">
        <v>44062</v>
      </c>
      <c r="T269" s="191" t="s">
        <v>302</v>
      </c>
      <c r="U269" s="171"/>
    </row>
    <row r="270" spans="1:21" x14ac:dyDescent="0.3">
      <c r="A270" s="154">
        <v>140</v>
      </c>
      <c r="B270" s="181" t="str">
        <f t="shared" si="135"/>
        <v>Historical</v>
      </c>
      <c r="C270" s="171"/>
      <c r="D270" s="188" t="str">
        <f ca="1">INDEX(INDIRECT(E270),0,COLUMN(MO_Common_Column_A))</f>
        <v>Total Non-GAAP Operating Expenses, mm</v>
      </c>
      <c r="E270" s="182" t="s">
        <v>939</v>
      </c>
      <c r="F270" s="181" t="s">
        <v>608</v>
      </c>
      <c r="G270" s="181"/>
      <c r="H270" s="171"/>
      <c r="I270" s="183">
        <v>1090</v>
      </c>
      <c r="J270" s="183">
        <v>1090</v>
      </c>
      <c r="K270" s="183">
        <f t="shared" si="136"/>
        <v>1090</v>
      </c>
      <c r="L270" s="171"/>
      <c r="M270" s="181" t="str">
        <f t="shared" si="137"/>
        <v>Actual</v>
      </c>
      <c r="N270" s="183">
        <f ca="1">IFERROR(INDEX(INDIRECT(E270),0,MATCH(F270,MO_Common_ColumnHeader,0)),"N/A")</f>
        <v>1101</v>
      </c>
      <c r="O270" s="171"/>
      <c r="P270" s="189">
        <f t="shared" ca="1" si="138"/>
        <v>11</v>
      </c>
      <c r="Q270" s="190">
        <f t="shared" ca="1" si="139"/>
        <v>1.0091743119266056E-2</v>
      </c>
      <c r="R270" s="171"/>
      <c r="S270" s="184">
        <v>44062</v>
      </c>
      <c r="T270" s="191" t="s">
        <v>302</v>
      </c>
      <c r="U270" s="171"/>
    </row>
    <row r="271" spans="1:21" x14ac:dyDescent="0.3">
      <c r="A271" s="154">
        <v>139</v>
      </c>
      <c r="B271" s="181" t="str">
        <f t="shared" si="135"/>
        <v>Historical</v>
      </c>
      <c r="C271" s="171"/>
      <c r="D271" s="188" t="s">
        <v>307</v>
      </c>
      <c r="E271" s="182"/>
      <c r="F271" s="181" t="s">
        <v>608</v>
      </c>
      <c r="G271" s="181"/>
      <c r="H271" s="171"/>
      <c r="I271" s="183">
        <v>55</v>
      </c>
      <c r="J271" s="183">
        <v>55</v>
      </c>
      <c r="K271" s="183">
        <f t="shared" si="136"/>
        <v>55</v>
      </c>
      <c r="L271" s="171"/>
      <c r="M271" s="181" t="str">
        <f t="shared" si="137"/>
        <v>Actual</v>
      </c>
      <c r="N271" s="183" t="str">
        <f ca="1">IFERROR(INDEX(INDIRECT(E271),0,MATCH(F271,MO_Common_ColumnHeader,0)),"N/A")</f>
        <v>N/A</v>
      </c>
      <c r="O271" s="171"/>
      <c r="P271" s="189" t="str">
        <f t="shared" ca="1" si="138"/>
        <v>N/A</v>
      </c>
      <c r="Q271" s="190" t="str">
        <f t="shared" ca="1" si="139"/>
        <v>N/A</v>
      </c>
      <c r="R271" s="171"/>
      <c r="S271" s="184">
        <v>44062</v>
      </c>
      <c r="T271" s="191" t="s">
        <v>302</v>
      </c>
      <c r="U271" s="171"/>
    </row>
    <row r="272" spans="1:21" x14ac:dyDescent="0.3">
      <c r="A272" s="154">
        <v>138</v>
      </c>
      <c r="B272" s="181" t="str">
        <f t="shared" si="135"/>
        <v>Historical</v>
      </c>
      <c r="C272" s="171"/>
      <c r="D272" s="188" t="s">
        <v>308</v>
      </c>
      <c r="E272" s="182"/>
      <c r="F272" s="181" t="s">
        <v>608</v>
      </c>
      <c r="G272" s="181"/>
      <c r="H272" s="171"/>
      <c r="I272" s="183">
        <v>55</v>
      </c>
      <c r="J272" s="183">
        <v>55</v>
      </c>
      <c r="K272" s="183">
        <f t="shared" si="136"/>
        <v>55</v>
      </c>
      <c r="L272" s="171"/>
      <c r="M272" s="181" t="str">
        <f t="shared" si="137"/>
        <v>Actual</v>
      </c>
      <c r="N272" s="183">
        <f>INDEX(MO_RIS_IE_Net_NONGAAP,0,MATCH(F272,MO_Common_ColumnHeader,0))+INDEX(MO_RIS_OI_NONGAAP,0,MATCH(F272,MO_Common_ColumnHeader,0))</f>
        <v>45</v>
      </c>
      <c r="O272" s="171"/>
      <c r="P272" s="189">
        <f t="shared" si="138"/>
        <v>-10</v>
      </c>
      <c r="Q272" s="190">
        <f t="shared" si="139"/>
        <v>-0.18181818181818182</v>
      </c>
      <c r="R272" s="171"/>
      <c r="S272" s="184">
        <v>44062</v>
      </c>
      <c r="T272" s="191" t="s">
        <v>302</v>
      </c>
      <c r="U272" s="171"/>
    </row>
    <row r="273" spans="1:21" x14ac:dyDescent="0.3">
      <c r="A273" s="154">
        <v>137</v>
      </c>
      <c r="B273" s="181" t="str">
        <f t="shared" si="135"/>
        <v>Historical</v>
      </c>
      <c r="C273" s="171"/>
      <c r="D273" s="188" t="s">
        <v>309</v>
      </c>
      <c r="E273" s="182" t="s">
        <v>818</v>
      </c>
      <c r="F273" s="181" t="s">
        <v>608</v>
      </c>
      <c r="G273" s="181"/>
      <c r="H273" s="171"/>
      <c r="I273" s="185">
        <v>7.0000000000000007E-2</v>
      </c>
      <c r="J273" s="185">
        <v>0.09</v>
      </c>
      <c r="K273" s="185">
        <f t="shared" si="136"/>
        <v>0.08</v>
      </c>
      <c r="L273" s="171"/>
      <c r="M273" s="181" t="str">
        <f t="shared" si="137"/>
        <v>Actual</v>
      </c>
      <c r="N273" s="185">
        <f ca="1">IFERROR(INDEX(INDIRECT(E273),0,MATCH(F273,MO_Common_ColumnHeader,0)),"N/A")</f>
        <v>8.9020771513353119E-3</v>
      </c>
      <c r="O273" s="171"/>
      <c r="P273" s="190">
        <f t="shared" ca="1" si="138"/>
        <v>-7.1097922848664688E-2</v>
      </c>
      <c r="Q273" s="190">
        <f t="shared" ca="1" si="139"/>
        <v>-0.88872403560830859</v>
      </c>
      <c r="R273" s="171"/>
      <c r="S273" s="184">
        <v>44062</v>
      </c>
      <c r="T273" s="191" t="s">
        <v>302</v>
      </c>
      <c r="U273" s="171"/>
    </row>
    <row r="274" spans="1:21" x14ac:dyDescent="0.3">
      <c r="A274" s="154">
        <v>136</v>
      </c>
      <c r="B274" s="181" t="str">
        <f t="shared" si="135"/>
        <v>Historical</v>
      </c>
      <c r="C274" s="171"/>
      <c r="D274" s="188" t="str">
        <f ca="1">INDEX(INDIRECT(E274),0,COLUMN(MO_Common_Column_A))</f>
        <v>Non-GAAP Tax Rate</v>
      </c>
      <c r="E274" s="182" t="s">
        <v>310</v>
      </c>
      <c r="F274" s="181" t="s">
        <v>608</v>
      </c>
      <c r="G274" s="181"/>
      <c r="H274" s="171"/>
      <c r="I274" s="185">
        <v>7.0000000000000007E-2</v>
      </c>
      <c r="J274" s="185">
        <v>0.09</v>
      </c>
      <c r="K274" s="185">
        <f t="shared" si="136"/>
        <v>0.08</v>
      </c>
      <c r="L274" s="171"/>
      <c r="M274" s="181" t="str">
        <f t="shared" si="137"/>
        <v>Actual</v>
      </c>
      <c r="N274" s="185">
        <f ca="1">IFERROR(INDEX(INDIRECT(E274),0,MATCH(F274,MO_Common_ColumnHeader,0)),"N/A")</f>
        <v>5.8521560574948665E-2</v>
      </c>
      <c r="O274" s="171"/>
      <c r="P274" s="190">
        <f t="shared" ca="1" si="138"/>
        <v>-2.1478439425051336E-2</v>
      </c>
      <c r="Q274" s="190">
        <f t="shared" ca="1" si="139"/>
        <v>-0.26848049281314168</v>
      </c>
      <c r="R274" s="171"/>
      <c r="S274" s="184">
        <v>44062</v>
      </c>
      <c r="T274" s="191" t="s">
        <v>302</v>
      </c>
      <c r="U274" s="171"/>
    </row>
    <row r="275" spans="1:21" x14ac:dyDescent="0.3">
      <c r="A275" s="154">
        <v>135</v>
      </c>
      <c r="B275" s="181" t="str">
        <f t="shared" si="135"/>
        <v>Historical</v>
      </c>
      <c r="C275" s="171"/>
      <c r="D275" s="188" t="str">
        <f ca="1">INDEX(INDIRECT(E275),0,COLUMN(MO_Common_Column_A))</f>
        <v>Capex</v>
      </c>
      <c r="E275" s="182" t="s">
        <v>560</v>
      </c>
      <c r="F275" s="181" t="s">
        <v>608</v>
      </c>
      <c r="G275" s="181"/>
      <c r="H275" s="171"/>
      <c r="I275" s="183">
        <v>-225</v>
      </c>
      <c r="J275" s="183">
        <v>-250</v>
      </c>
      <c r="K275" s="183">
        <f t="shared" si="136"/>
        <v>-237.5</v>
      </c>
      <c r="L275" s="171"/>
      <c r="M275" s="181" t="str">
        <f t="shared" si="137"/>
        <v>Actual</v>
      </c>
      <c r="N275" s="183">
        <f ca="1">IFERROR(INDEX(INDIRECT(E275),0,MATCH(F275,MO_Common_ColumnHeader,0)),"N/A")</f>
        <v>-473</v>
      </c>
      <c r="O275" s="171"/>
      <c r="P275" s="189">
        <f t="shared" ca="1" si="138"/>
        <v>-235.5</v>
      </c>
      <c r="Q275" s="190">
        <f t="shared" ca="1" si="139"/>
        <v>-0.991578947368421</v>
      </c>
      <c r="R275" s="171"/>
      <c r="S275" s="184">
        <v>44062</v>
      </c>
      <c r="T275" s="191" t="s">
        <v>302</v>
      </c>
      <c r="U275" s="171"/>
    </row>
    <row r="276" spans="1:21" x14ac:dyDescent="0.3">
      <c r="A276" s="154">
        <v>134</v>
      </c>
      <c r="B276" s="181" t="str">
        <f t="shared" si="135"/>
        <v>Historical</v>
      </c>
      <c r="C276" s="171"/>
      <c r="D276" s="188" t="s">
        <v>609</v>
      </c>
      <c r="E276" s="182"/>
      <c r="F276" s="181" t="s">
        <v>608</v>
      </c>
      <c r="G276" s="181"/>
      <c r="H276" s="171"/>
      <c r="I276" s="185">
        <v>-0.03</v>
      </c>
      <c r="J276" s="185">
        <v>-0.03</v>
      </c>
      <c r="K276" s="185">
        <f t="shared" si="136"/>
        <v>-0.03</v>
      </c>
      <c r="L276" s="171"/>
      <c r="M276" s="181" t="str">
        <f t="shared" si="137"/>
        <v>Actual</v>
      </c>
      <c r="N276" s="185">
        <f>(INDEX(MO_RIS_SBC_COGS,0,MATCH(F276,MO_Common_ColumnHeader,0))+INDEX(z_A7FLSL0150_MO_RIS_AcquisitionrelatedcostsCOGS,0,MATCH(F276,MO_Common_ColumnHeader,0))+INDEX(MO_RIS_COGS_Adjustments,0,MATCH(F276,MO_Common_ColumnHeader,0)))/INDEX(MO_RIS_REV,0,MATCH(F276,MO_Common_ColumnHeader,0))</f>
        <v>-2.8565382987727466E-2</v>
      </c>
      <c r="O276" s="171"/>
      <c r="P276" s="190">
        <f t="shared" si="138"/>
        <v>1.4346170122725328E-3</v>
      </c>
      <c r="Q276" s="190">
        <f t="shared" si="139"/>
        <v>4.7820567075751094E-2</v>
      </c>
      <c r="R276" s="171"/>
      <c r="S276" s="184">
        <v>44062</v>
      </c>
      <c r="T276" s="191" t="s">
        <v>302</v>
      </c>
      <c r="U276" s="171"/>
    </row>
    <row r="277" spans="1:21" x14ac:dyDescent="0.3">
      <c r="A277" s="154">
        <v>133</v>
      </c>
      <c r="B277" s="181" t="str">
        <f t="shared" si="135"/>
        <v>Historical</v>
      </c>
      <c r="C277" s="171"/>
      <c r="D277" s="188" t="s">
        <v>312</v>
      </c>
      <c r="E277" s="182"/>
      <c r="F277" s="181" t="s">
        <v>608</v>
      </c>
      <c r="G277" s="181"/>
      <c r="H277" s="171"/>
      <c r="I277" s="183">
        <v>-445</v>
      </c>
      <c r="J277" s="183">
        <v>-445</v>
      </c>
      <c r="K277" s="183">
        <f t="shared" si="136"/>
        <v>-445</v>
      </c>
      <c r="L277" s="171"/>
      <c r="M277" s="181" t="str">
        <f t="shared" si="137"/>
        <v>Actual</v>
      </c>
      <c r="N277" s="183">
        <f>-(-INDEX(MO_RIS_OtherOperating_NONGAAP,0,MATCH(F277,MO_Common_ColumnHeader,0))+INDEX(z_A7FLSL0150_MO_RIS_SBC_2,0,MATCH(F277,MO_Common_ColumnHeader,0))+INDEX(z_A7FLSL0150_MO_RIS_sbc_1,0,MATCH(F277,MO_Common_ColumnHeader,0))+INDEX(z_A7FLSL0150_MO_RIS_AcquisitionrelatedcostsRD,0,MATCH(F277,MO_Common_ColumnHeader,0))+INDEX(z_A7FLSL0150_MO_RIS_AcquisitionrelatedcostsSGA,0,MATCH(F277,MO_Common_ColumnHeader,0)))</f>
        <v>-460</v>
      </c>
      <c r="O277" s="171"/>
      <c r="P277" s="189">
        <f t="shared" si="138"/>
        <v>-15</v>
      </c>
      <c r="Q277" s="190">
        <f t="shared" si="139"/>
        <v>-3.3707865168539325E-2</v>
      </c>
      <c r="R277" s="171"/>
      <c r="S277" s="184">
        <v>44062</v>
      </c>
      <c r="T277" s="191" t="s">
        <v>302</v>
      </c>
      <c r="U277" s="171"/>
    </row>
    <row r="278" spans="1:21" x14ac:dyDescent="0.3">
      <c r="A278" s="154">
        <v>132</v>
      </c>
      <c r="B278" s="171"/>
      <c r="C278" s="171"/>
      <c r="D278" s="168"/>
      <c r="E278" s="169"/>
      <c r="F278" s="171"/>
      <c r="G278" s="171"/>
      <c r="H278" s="171"/>
      <c r="I278" s="885"/>
      <c r="J278" s="885"/>
      <c r="K278" s="885"/>
      <c r="L278" s="171"/>
      <c r="M278" s="171"/>
      <c r="N278" s="885"/>
      <c r="O278" s="171"/>
      <c r="P278" s="172"/>
      <c r="Q278" s="134"/>
      <c r="R278" s="171"/>
      <c r="S278" s="173"/>
      <c r="T278" s="192"/>
      <c r="U278" s="171"/>
    </row>
    <row r="279" spans="1:21" x14ac:dyDescent="0.3">
      <c r="A279" s="154">
        <v>131</v>
      </c>
      <c r="B279" s="181" t="str">
        <f>IF(INDEX(MO_SNA_IsHistoricalPeriod,,MATCH(F279,MO_Common_ColumnHeader,0)),"Historical","Forward")</f>
        <v>Historical</v>
      </c>
      <c r="C279" s="171"/>
      <c r="D279" s="188" t="s">
        <v>305</v>
      </c>
      <c r="E279" s="182"/>
      <c r="F279" s="181" t="s">
        <v>585</v>
      </c>
      <c r="G279" s="181"/>
      <c r="H279" s="171"/>
      <c r="I279" s="183">
        <v>5700</v>
      </c>
      <c r="J279" s="183">
        <v>5700</v>
      </c>
      <c r="K279" s="183">
        <f>AVERAGE(I279:J279)</f>
        <v>5700</v>
      </c>
      <c r="L279" s="171"/>
      <c r="M279" s="181" t="str">
        <f>IF(INDEX(MO_SNA_IsHistoricalPeriod,,MATCH(F279,MO_Common_ColumnHeader,0)),"Actual","Estimate")</f>
        <v>Actual</v>
      </c>
      <c r="N279" s="183">
        <f>INDEX(MO_RIS_RD,0,MATCH(F279,MO_Common_ColumnHeader,0))+INDEX(MO_RIS_SGA,0,MATCH(F279,MO_Common_ColumnHeader,0))</f>
        <v>5864</v>
      </c>
      <c r="O279" s="171"/>
      <c r="P279" s="189">
        <f>IF(ISNUMBER(N279),N279-K279,"N/A")</f>
        <v>164</v>
      </c>
      <c r="Q279" s="190">
        <f>IFERROR(IF(ISNUMBER(N279),(N279-K279)/ABS(K279),"N/A"),"N/A")</f>
        <v>2.8771929824561403E-2</v>
      </c>
      <c r="R279" s="171"/>
      <c r="S279" s="184">
        <v>43972</v>
      </c>
      <c r="T279" s="191" t="s">
        <v>302</v>
      </c>
      <c r="U279" s="171"/>
    </row>
    <row r="280" spans="1:21" x14ac:dyDescent="0.3">
      <c r="A280" s="154">
        <v>130</v>
      </c>
      <c r="B280" s="181" t="str">
        <f>IF(INDEX(MO_SNA_IsHistoricalPeriod,,MATCH(F280,MO_Common_ColumnHeader,0)),"Historical","Forward")</f>
        <v>Historical</v>
      </c>
      <c r="C280" s="171"/>
      <c r="D280" s="188" t="str">
        <f ca="1">INDEX(INDIRECT(E280),0,COLUMN(MO_Common_Column_A))</f>
        <v>Total Non-GAAP Operating Expenses, mm</v>
      </c>
      <c r="E280" s="182" t="s">
        <v>939</v>
      </c>
      <c r="F280" s="181" t="s">
        <v>585</v>
      </c>
      <c r="G280" s="181"/>
      <c r="H280" s="171"/>
      <c r="I280" s="183">
        <v>4100</v>
      </c>
      <c r="J280" s="183">
        <v>4100</v>
      </c>
      <c r="K280" s="183">
        <f>AVERAGE(I280:J280)</f>
        <v>4100</v>
      </c>
      <c r="L280" s="171"/>
      <c r="M280" s="181" t="str">
        <f>IF(INDEX(MO_SNA_IsHistoricalPeriod,,MATCH(F280,MO_Common_ColumnHeader,0)),"Actual","Estimate")</f>
        <v>Actual</v>
      </c>
      <c r="N280" s="183">
        <f ca="1">IFERROR(INDEX(INDIRECT(E280),0,MATCH(F280,MO_Common_ColumnHeader,0)),"N/A")</f>
        <v>4144</v>
      </c>
      <c r="O280" s="171"/>
      <c r="P280" s="189">
        <f ca="1">IF(ISNUMBER(N280),N280-K280,"N/A")</f>
        <v>44</v>
      </c>
      <c r="Q280" s="190">
        <f ca="1">IFERROR(IF(ISNUMBER(N280),(N280-K280)/ABS(K280),"N/A"),"N/A")</f>
        <v>1.0731707317073172E-2</v>
      </c>
      <c r="R280" s="171"/>
      <c r="S280" s="184">
        <v>43972</v>
      </c>
      <c r="T280" s="191" t="s">
        <v>302</v>
      </c>
      <c r="U280" s="171"/>
    </row>
    <row r="281" spans="1:21" x14ac:dyDescent="0.3">
      <c r="A281" s="154">
        <v>129</v>
      </c>
      <c r="B281" s="181" t="str">
        <f>IF(INDEX(MO_SNA_IsHistoricalPeriod,,MATCH(F281,MO_Common_ColumnHeader,0)),"Historical","Forward")</f>
        <v>Historical</v>
      </c>
      <c r="C281" s="171"/>
      <c r="D281" s="188" t="s">
        <v>312</v>
      </c>
      <c r="E281" s="182"/>
      <c r="F281" s="181" t="s">
        <v>585</v>
      </c>
      <c r="G281" s="181"/>
      <c r="H281" s="171"/>
      <c r="I281" s="183">
        <v>-1600</v>
      </c>
      <c r="J281" s="183">
        <v>-1600</v>
      </c>
      <c r="K281" s="183">
        <f>AVERAGE(I281:J281)</f>
        <v>-1600</v>
      </c>
      <c r="L281" s="171"/>
      <c r="M281" s="181" t="str">
        <f>IF(INDEX(MO_SNA_IsHistoricalPeriod,,MATCH(F281,MO_Common_ColumnHeader,0)),"Actual","Estimate")</f>
        <v>Actual</v>
      </c>
      <c r="N281" s="183">
        <f>-(-INDEX(MO_RIS_OtherOperating_NONGAAP,0,MATCH(F281,MO_Common_ColumnHeader,0))+INDEX(z_A7FLSL0150_MO_RIS_SBC_2,0,MATCH(F281,MO_Common_ColumnHeader,0))+INDEX(z_A7FLSL0150_MO_RIS_sbc_1,0,MATCH(F281,MO_Common_ColumnHeader,0))+INDEX(z_A7FLSL0150_MO_RIS_AcquisitionrelatedcostsRD,0,MATCH(F281,MO_Common_ColumnHeader,0))+INDEX(z_A7FLSL0150_MO_RIS_AcquisitionrelatedcostsSGA,0,MATCH(F281,MO_Common_ColumnHeader,0)))</f>
        <v>-1720</v>
      </c>
      <c r="O281" s="171"/>
      <c r="P281" s="189">
        <f>IF(ISNUMBER(N281),N281-K281,"N/A")</f>
        <v>-120</v>
      </c>
      <c r="Q281" s="190">
        <f>IFERROR(IF(ISNUMBER(N281),(N281-K281)/ABS(K281),"N/A"),"N/A")</f>
        <v>-7.4999999999999997E-2</v>
      </c>
      <c r="R281" s="171"/>
      <c r="S281" s="184">
        <v>43972</v>
      </c>
      <c r="T281" s="191" t="s">
        <v>302</v>
      </c>
      <c r="U281" s="171"/>
    </row>
    <row r="282" spans="1:21" x14ac:dyDescent="0.3">
      <c r="A282" s="154">
        <v>128</v>
      </c>
      <c r="B282" s="171"/>
      <c r="C282" s="171"/>
      <c r="D282" s="168"/>
      <c r="E282" s="169"/>
      <c r="F282" s="171"/>
      <c r="G282" s="171"/>
      <c r="H282" s="171"/>
      <c r="I282" s="885"/>
      <c r="J282" s="885"/>
      <c r="K282" s="885"/>
      <c r="L282" s="171"/>
      <c r="M282" s="171"/>
      <c r="N282" s="885"/>
      <c r="O282" s="171"/>
      <c r="P282" s="172"/>
      <c r="Q282" s="134"/>
      <c r="R282" s="171"/>
      <c r="S282" s="173"/>
      <c r="T282" s="192"/>
      <c r="U282" s="171"/>
    </row>
    <row r="283" spans="1:21" x14ac:dyDescent="0.3">
      <c r="A283" s="154">
        <v>127</v>
      </c>
      <c r="B283" s="181" t="str">
        <f t="shared" ref="B283:B295" si="140">IF(INDEX(MO_SNA_IsHistoricalPeriod,,MATCH(F283,MO_Common_ColumnHeader,0)),"Historical","Forward")</f>
        <v>Historical</v>
      </c>
      <c r="C283" s="171"/>
      <c r="D283" s="188" t="str">
        <f ca="1">INDEX(INDIRECT(E283),0,COLUMN(MO_Common_Column_A))</f>
        <v>Net Revenue</v>
      </c>
      <c r="E283" s="182" t="s">
        <v>300</v>
      </c>
      <c r="F283" s="181" t="s">
        <v>586</v>
      </c>
      <c r="G283" s="181"/>
      <c r="H283" s="171"/>
      <c r="I283" s="183">
        <v>3577</v>
      </c>
      <c r="J283" s="183">
        <v>3723</v>
      </c>
      <c r="K283" s="183">
        <f t="shared" ref="K283:K295" si="141">AVERAGE(I283:J283)</f>
        <v>3650</v>
      </c>
      <c r="L283" s="171"/>
      <c r="M283" s="181" t="str">
        <f t="shared" ref="M283:M295" si="142">IF(INDEX(MO_SNA_IsHistoricalPeriod,,MATCH(F283,MO_Common_ColumnHeader,0)),"Actual","Estimate")</f>
        <v>Actual</v>
      </c>
      <c r="N283" s="183">
        <f ca="1">IFERROR(INDEX(INDIRECT(E283),0,MATCH(F283,MO_Common_ColumnHeader,0)),"N/A")</f>
        <v>3866</v>
      </c>
      <c r="O283" s="171"/>
      <c r="P283" s="189">
        <f t="shared" ref="P283:P295" ca="1" si="143">IF(ISNUMBER(N283),N283-K283,"N/A")</f>
        <v>216</v>
      </c>
      <c r="Q283" s="190">
        <f t="shared" ref="Q283:Q295" ca="1" si="144">IFERROR(IF(ISNUMBER(N283),(N283-K283)/ABS(K283),"N/A"),"N/A")</f>
        <v>5.917808219178082E-2</v>
      </c>
      <c r="R283" s="171"/>
      <c r="S283" s="184">
        <v>43972</v>
      </c>
      <c r="T283" s="191" t="s">
        <v>302</v>
      </c>
      <c r="U283" s="171"/>
    </row>
    <row r="284" spans="1:21" x14ac:dyDescent="0.3">
      <c r="A284" s="154">
        <v>126</v>
      </c>
      <c r="B284" s="181" t="str">
        <f t="shared" si="140"/>
        <v>Historical</v>
      </c>
      <c r="C284" s="171"/>
      <c r="D284" s="188" t="str">
        <f ca="1">INDEX(INDIRECT(E284),0,COLUMN(MO_Common_Column_A))</f>
        <v>GAAP Gross Margin, %</v>
      </c>
      <c r="E284" s="182" t="s">
        <v>303</v>
      </c>
      <c r="F284" s="181" t="s">
        <v>586</v>
      </c>
      <c r="G284" s="181"/>
      <c r="H284" s="171"/>
      <c r="I284" s="185">
        <v>0.58099999999999996</v>
      </c>
      <c r="J284" s="185">
        <v>0.59099999999999997</v>
      </c>
      <c r="K284" s="185">
        <f t="shared" si="141"/>
        <v>0.58599999999999997</v>
      </c>
      <c r="L284" s="171"/>
      <c r="M284" s="181" t="str">
        <f t="shared" si="142"/>
        <v>Actual</v>
      </c>
      <c r="N284" s="185">
        <f ca="1">IFERROR(INDEX(INDIRECT(E284),0,MATCH(F284,MO_Common_ColumnHeader,0)),"N/A")</f>
        <v>0.58846352819451631</v>
      </c>
      <c r="O284" s="171"/>
      <c r="P284" s="190">
        <f t="shared" ca="1" si="143"/>
        <v>2.4635281945163401E-3</v>
      </c>
      <c r="Q284" s="190">
        <f t="shared" ca="1" si="144"/>
        <v>4.2039730281848812E-3</v>
      </c>
      <c r="R284" s="171"/>
      <c r="S284" s="184">
        <v>43972</v>
      </c>
      <c r="T284" s="191" t="s">
        <v>302</v>
      </c>
      <c r="U284" s="171"/>
    </row>
    <row r="285" spans="1:21" x14ac:dyDescent="0.3">
      <c r="A285" s="154">
        <v>125</v>
      </c>
      <c r="B285" s="181" t="str">
        <f t="shared" si="140"/>
        <v>Historical</v>
      </c>
      <c r="C285" s="171"/>
      <c r="D285" s="188" t="str">
        <f ca="1">INDEX(INDIRECT(E285),0,COLUMN(MO_Common_Column_A))</f>
        <v>Non-GAAP Gross Margin, %</v>
      </c>
      <c r="E285" s="182" t="s">
        <v>304</v>
      </c>
      <c r="F285" s="181" t="s">
        <v>586</v>
      </c>
      <c r="G285" s="181"/>
      <c r="H285" s="171"/>
      <c r="I285" s="185">
        <v>0.65500000000000003</v>
      </c>
      <c r="J285" s="185">
        <v>0.66500000000000004</v>
      </c>
      <c r="K285" s="185">
        <f t="shared" si="141"/>
        <v>0.66</v>
      </c>
      <c r="L285" s="171"/>
      <c r="M285" s="181" t="str">
        <f t="shared" si="142"/>
        <v>Actual</v>
      </c>
      <c r="N285" s="185">
        <f ca="1">IFERROR(INDEX(INDIRECT(E285),0,MATCH(F285,MO_Common_ColumnHeader,0)),"N/A")</f>
        <v>0.65985514743921359</v>
      </c>
      <c r="O285" s="171"/>
      <c r="P285" s="190">
        <f t="shared" ca="1" si="143"/>
        <v>-1.4485256078644593E-4</v>
      </c>
      <c r="Q285" s="190">
        <f t="shared" ca="1" si="144"/>
        <v>-2.1947357694916049E-4</v>
      </c>
      <c r="R285" s="171"/>
      <c r="S285" s="184">
        <v>43972</v>
      </c>
      <c r="T285" s="191" t="s">
        <v>302</v>
      </c>
      <c r="U285" s="171"/>
    </row>
    <row r="286" spans="1:21" x14ac:dyDescent="0.3">
      <c r="A286" s="154">
        <v>124</v>
      </c>
      <c r="B286" s="181" t="str">
        <f t="shared" si="140"/>
        <v>Historical</v>
      </c>
      <c r="C286" s="171"/>
      <c r="D286" s="188" t="s">
        <v>305</v>
      </c>
      <c r="E286" s="182"/>
      <c r="F286" s="181" t="s">
        <v>586</v>
      </c>
      <c r="G286" s="181"/>
      <c r="H286" s="171"/>
      <c r="I286" s="183">
        <v>1520</v>
      </c>
      <c r="J286" s="183">
        <v>1520</v>
      </c>
      <c r="K286" s="183">
        <f t="shared" si="141"/>
        <v>1520</v>
      </c>
      <c r="L286" s="171"/>
      <c r="M286" s="181" t="str">
        <f t="shared" si="142"/>
        <v>Actual</v>
      </c>
      <c r="N286" s="183">
        <f>INDEX(MO_RIS_RD,0,MATCH(F286,MO_Common_ColumnHeader,0))+INDEX(MO_RIS_SGA,0,MATCH(F286,MO_Common_ColumnHeader,0))</f>
        <v>1624</v>
      </c>
      <c r="O286" s="171"/>
      <c r="P286" s="189">
        <f t="shared" si="143"/>
        <v>104</v>
      </c>
      <c r="Q286" s="190">
        <f t="shared" si="144"/>
        <v>6.8421052631578952E-2</v>
      </c>
      <c r="R286" s="171"/>
      <c r="S286" s="184">
        <v>43972</v>
      </c>
      <c r="T286" s="191" t="s">
        <v>302</v>
      </c>
      <c r="U286" s="171"/>
    </row>
    <row r="287" spans="1:21" x14ac:dyDescent="0.3">
      <c r="A287" s="154">
        <v>123</v>
      </c>
      <c r="B287" s="181" t="str">
        <f t="shared" si="140"/>
        <v>Historical</v>
      </c>
      <c r="C287" s="171"/>
      <c r="D287" s="188" t="str">
        <f ca="1">INDEX(INDIRECT(E287),0,COLUMN(MO_Common_Column_A))</f>
        <v>Total Non-GAAP Operating Expenses, mm</v>
      </c>
      <c r="E287" s="182" t="s">
        <v>939</v>
      </c>
      <c r="F287" s="181" t="s">
        <v>586</v>
      </c>
      <c r="G287" s="181"/>
      <c r="H287" s="171"/>
      <c r="I287" s="183">
        <v>1040</v>
      </c>
      <c r="J287" s="183">
        <v>1040</v>
      </c>
      <c r="K287" s="183">
        <f t="shared" si="141"/>
        <v>1040</v>
      </c>
      <c r="L287" s="171"/>
      <c r="M287" s="181" t="str">
        <f t="shared" si="142"/>
        <v>Actual</v>
      </c>
      <c r="N287" s="183">
        <f ca="1">IFERROR(INDEX(INDIRECT(E287),0,MATCH(F287,MO_Common_ColumnHeader,0)),"N/A")</f>
        <v>1035</v>
      </c>
      <c r="O287" s="171"/>
      <c r="P287" s="189">
        <f t="shared" ca="1" si="143"/>
        <v>-5</v>
      </c>
      <c r="Q287" s="190">
        <f t="shared" ca="1" si="144"/>
        <v>-4.807692307692308E-3</v>
      </c>
      <c r="R287" s="171"/>
      <c r="S287" s="184">
        <v>43972</v>
      </c>
      <c r="T287" s="191" t="s">
        <v>302</v>
      </c>
      <c r="U287" s="171"/>
    </row>
    <row r="288" spans="1:21" x14ac:dyDescent="0.3">
      <c r="A288" s="154">
        <v>122</v>
      </c>
      <c r="B288" s="181" t="str">
        <f t="shared" si="140"/>
        <v>Historical</v>
      </c>
      <c r="C288" s="171"/>
      <c r="D288" s="188" t="s">
        <v>307</v>
      </c>
      <c r="E288" s="182"/>
      <c r="F288" s="181" t="s">
        <v>586</v>
      </c>
      <c r="G288" s="181"/>
      <c r="H288" s="171"/>
      <c r="I288" s="183">
        <v>50</v>
      </c>
      <c r="J288" s="183">
        <v>50</v>
      </c>
      <c r="K288" s="183">
        <f t="shared" si="141"/>
        <v>50</v>
      </c>
      <c r="L288" s="171"/>
      <c r="M288" s="181" t="str">
        <f t="shared" si="142"/>
        <v>Actual</v>
      </c>
      <c r="N288" s="183" t="str">
        <f ca="1">IFERROR(INDEX(INDIRECT(E288),0,MATCH(F288,MO_Common_ColumnHeader,0)),"N/A")</f>
        <v>N/A</v>
      </c>
      <c r="O288" s="171"/>
      <c r="P288" s="189" t="str">
        <f t="shared" ca="1" si="143"/>
        <v>N/A</v>
      </c>
      <c r="Q288" s="190" t="str">
        <f t="shared" ca="1" si="144"/>
        <v>N/A</v>
      </c>
      <c r="R288" s="171"/>
      <c r="S288" s="184">
        <v>43972</v>
      </c>
      <c r="T288" s="191" t="s">
        <v>302</v>
      </c>
      <c r="U288" s="171"/>
    </row>
    <row r="289" spans="1:21" x14ac:dyDescent="0.3">
      <c r="A289" s="154">
        <v>121</v>
      </c>
      <c r="B289" s="181" t="str">
        <f t="shared" si="140"/>
        <v>Historical</v>
      </c>
      <c r="C289" s="171"/>
      <c r="D289" s="188" t="s">
        <v>308</v>
      </c>
      <c r="E289" s="182"/>
      <c r="F289" s="181" t="s">
        <v>586</v>
      </c>
      <c r="G289" s="181"/>
      <c r="H289" s="171"/>
      <c r="I289" s="183">
        <v>45</v>
      </c>
      <c r="J289" s="183">
        <v>45</v>
      </c>
      <c r="K289" s="183">
        <f t="shared" si="141"/>
        <v>45</v>
      </c>
      <c r="L289" s="171"/>
      <c r="M289" s="181" t="str">
        <f t="shared" si="142"/>
        <v>Actual</v>
      </c>
      <c r="N289" s="183">
        <f>INDEX(MO_RIS_IE_Net_NONGAAP,0,MATCH(F289,MO_Common_ColumnHeader,0))+INDEX(MO_RIS_OI_NONGAAP,0,MATCH(F289,MO_Common_ColumnHeader,0))</f>
        <v>39</v>
      </c>
      <c r="O289" s="171"/>
      <c r="P289" s="189">
        <f t="shared" si="143"/>
        <v>-6</v>
      </c>
      <c r="Q289" s="190">
        <f t="shared" si="144"/>
        <v>-0.13333333333333333</v>
      </c>
      <c r="R289" s="171"/>
      <c r="S289" s="184">
        <v>43972</v>
      </c>
      <c r="T289" s="191" t="s">
        <v>302</v>
      </c>
      <c r="U289" s="171"/>
    </row>
    <row r="290" spans="1:21" x14ac:dyDescent="0.3">
      <c r="A290" s="154">
        <v>120</v>
      </c>
      <c r="B290" s="181" t="str">
        <f t="shared" si="140"/>
        <v>Historical</v>
      </c>
      <c r="C290" s="171"/>
      <c r="D290" s="188" t="s">
        <v>309</v>
      </c>
      <c r="E290" s="182" t="s">
        <v>818</v>
      </c>
      <c r="F290" s="181" t="s">
        <v>586</v>
      </c>
      <c r="G290" s="181"/>
      <c r="H290" s="171"/>
      <c r="I290" s="185">
        <v>0.08</v>
      </c>
      <c r="J290" s="185">
        <v>0.1</v>
      </c>
      <c r="K290" s="185">
        <f t="shared" si="141"/>
        <v>0.09</v>
      </c>
      <c r="L290" s="171"/>
      <c r="M290" s="181" t="str">
        <f t="shared" si="142"/>
        <v>Actual</v>
      </c>
      <c r="N290" s="185">
        <f ca="1">IFERROR(INDEX(INDIRECT(E290),0,MATCH(F290,MO_Common_ColumnHeader,0)),"N/A")</f>
        <v>-2.1346469622331693E-2</v>
      </c>
      <c r="O290" s="171"/>
      <c r="P290" s="190">
        <f t="shared" ca="1" si="143"/>
        <v>-0.11134646962233169</v>
      </c>
      <c r="Q290" s="190">
        <f t="shared" ca="1" si="144"/>
        <v>-1.2371829958036855</v>
      </c>
      <c r="R290" s="171"/>
      <c r="S290" s="184">
        <v>43972</v>
      </c>
      <c r="T290" s="191" t="s">
        <v>302</v>
      </c>
      <c r="U290" s="171"/>
    </row>
    <row r="291" spans="1:21" x14ac:dyDescent="0.3">
      <c r="A291" s="154">
        <v>119</v>
      </c>
      <c r="B291" s="181" t="str">
        <f t="shared" si="140"/>
        <v>Historical</v>
      </c>
      <c r="C291" s="171"/>
      <c r="D291" s="188" t="str">
        <f ca="1">INDEX(INDIRECT(E291),0,COLUMN(MO_Common_Column_A))</f>
        <v>Non-GAAP Tax Rate</v>
      </c>
      <c r="E291" s="182" t="s">
        <v>310</v>
      </c>
      <c r="F291" s="181" t="s">
        <v>586</v>
      </c>
      <c r="G291" s="181"/>
      <c r="H291" s="171"/>
      <c r="I291" s="185">
        <v>0.08</v>
      </c>
      <c r="J291" s="185">
        <v>0.1</v>
      </c>
      <c r="K291" s="185">
        <f t="shared" si="141"/>
        <v>0.09</v>
      </c>
      <c r="L291" s="171"/>
      <c r="M291" s="181" t="str">
        <f t="shared" si="142"/>
        <v>Actual</v>
      </c>
      <c r="N291" s="185">
        <f ca="1">IFERROR(INDEX(INDIRECT(E291),0,MATCH(F291,MO_Common_ColumnHeader,0)),"N/A")</f>
        <v>7.5152335815842922E-2</v>
      </c>
      <c r="O291" s="171"/>
      <c r="P291" s="190">
        <f t="shared" ca="1" si="143"/>
        <v>-1.4847664184157075E-2</v>
      </c>
      <c r="Q291" s="190">
        <f t="shared" ca="1" si="144"/>
        <v>-0.16497404649063419</v>
      </c>
      <c r="R291" s="171"/>
      <c r="S291" s="184">
        <v>43972</v>
      </c>
      <c r="T291" s="191" t="s">
        <v>302</v>
      </c>
      <c r="U291" s="171"/>
    </row>
    <row r="292" spans="1:21" x14ac:dyDescent="0.3">
      <c r="A292" s="154">
        <v>118</v>
      </c>
      <c r="B292" s="181" t="str">
        <f t="shared" si="140"/>
        <v>Historical</v>
      </c>
      <c r="C292" s="171"/>
      <c r="D292" s="188" t="str">
        <f ca="1">INDEX(INDIRECT(E292),0,COLUMN(MO_Common_Column_A))</f>
        <v>Capex</v>
      </c>
      <c r="E292" s="182" t="s">
        <v>560</v>
      </c>
      <c r="F292" s="181" t="s">
        <v>586</v>
      </c>
      <c r="G292" s="181"/>
      <c r="H292" s="171"/>
      <c r="I292" s="183">
        <v>-225</v>
      </c>
      <c r="J292" s="183">
        <v>-250</v>
      </c>
      <c r="K292" s="183">
        <f t="shared" si="141"/>
        <v>-237.5</v>
      </c>
      <c r="L292" s="171"/>
      <c r="M292" s="181" t="str">
        <f t="shared" si="142"/>
        <v>Actual</v>
      </c>
      <c r="N292" s="183">
        <f ca="1">IFERROR(INDEX(INDIRECT(E292),0,MATCH(F292,MO_Common_ColumnHeader,0)),"N/A")</f>
        <v>-217</v>
      </c>
      <c r="O292" s="171"/>
      <c r="P292" s="189">
        <f t="shared" ca="1" si="143"/>
        <v>20.5</v>
      </c>
      <c r="Q292" s="190">
        <f t="shared" ca="1" si="144"/>
        <v>8.6315789473684207E-2</v>
      </c>
      <c r="R292" s="171"/>
      <c r="S292" s="184">
        <v>43972</v>
      </c>
      <c r="T292" s="191" t="s">
        <v>302</v>
      </c>
      <c r="U292" s="171"/>
    </row>
    <row r="293" spans="1:21" x14ac:dyDescent="0.3">
      <c r="A293" s="154">
        <v>117</v>
      </c>
      <c r="B293" s="181" t="str">
        <f t="shared" si="140"/>
        <v>Historical</v>
      </c>
      <c r="C293" s="171"/>
      <c r="D293" s="188" t="s">
        <v>311</v>
      </c>
      <c r="E293" s="182"/>
      <c r="F293" s="181" t="s">
        <v>586</v>
      </c>
      <c r="G293" s="181"/>
      <c r="H293" s="171"/>
      <c r="I293" s="185">
        <v>-7.3999999999999996E-2</v>
      </c>
      <c r="J293" s="185">
        <v>-7.3999999999999996E-2</v>
      </c>
      <c r="K293" s="185">
        <f t="shared" si="141"/>
        <v>-7.3999999999999996E-2</v>
      </c>
      <c r="L293" s="171"/>
      <c r="M293" s="181" t="str">
        <f t="shared" si="142"/>
        <v>Actual</v>
      </c>
      <c r="N293" s="185">
        <f>(INDEX(MO_RIS_SBC_COGS,0,MATCH(F293,MO_Common_ColumnHeader,0))+INDEX(z_A7FLSL0150_MO_RIS_AcquisitionrelatedcostsCOGS,0,MATCH(F293,MO_Common_ColumnHeader,0))+INDEX(MO_RIS_COGS_Adjustments,0,MATCH(F293,MO_Common_ColumnHeader,0)))/INDEX(MO_RIS_REV,0,MATCH(F293,MO_Common_ColumnHeader,0))</f>
        <v>-7.1391619244697363E-2</v>
      </c>
      <c r="O293" s="171"/>
      <c r="P293" s="190">
        <f t="shared" si="143"/>
        <v>2.6083807553026334E-3</v>
      </c>
      <c r="Q293" s="190">
        <f t="shared" si="144"/>
        <v>3.5248388585170723E-2</v>
      </c>
      <c r="R293" s="171"/>
      <c r="S293" s="184">
        <v>43972</v>
      </c>
      <c r="T293" s="191" t="s">
        <v>302</v>
      </c>
      <c r="U293" s="171"/>
    </row>
    <row r="294" spans="1:21" x14ac:dyDescent="0.3">
      <c r="A294" s="154">
        <v>116</v>
      </c>
      <c r="B294" s="181" t="str">
        <f t="shared" si="140"/>
        <v>Historical</v>
      </c>
      <c r="C294" s="171"/>
      <c r="D294" s="188" t="s">
        <v>312</v>
      </c>
      <c r="E294" s="182"/>
      <c r="F294" s="181" t="s">
        <v>586</v>
      </c>
      <c r="G294" s="181"/>
      <c r="H294" s="171"/>
      <c r="I294" s="183">
        <v>-475</v>
      </c>
      <c r="J294" s="183">
        <v>-475</v>
      </c>
      <c r="K294" s="183">
        <f t="shared" si="141"/>
        <v>-475</v>
      </c>
      <c r="L294" s="171"/>
      <c r="M294" s="181" t="str">
        <f t="shared" si="142"/>
        <v>Actual</v>
      </c>
      <c r="N294" s="183">
        <f>-(-INDEX(MO_RIS_OtherOperating_NONGAAP,0,MATCH(F294,MO_Common_ColumnHeader,0))+INDEX(z_A7FLSL0150_MO_RIS_SBC_2,0,MATCH(F294,MO_Common_ColumnHeader,0))+INDEX(z_A7FLSL0150_MO_RIS_sbc_1,0,MATCH(F294,MO_Common_ColumnHeader,0))+INDEX(z_A7FLSL0150_MO_RIS_AcquisitionrelatedcostsRD,0,MATCH(F294,MO_Common_ColumnHeader,0))+INDEX(z_A7FLSL0150_MO_RIS_AcquisitionrelatedcostsSGA,0,MATCH(F294,MO_Common_ColumnHeader,0)))</f>
        <v>-589</v>
      </c>
      <c r="O294" s="171"/>
      <c r="P294" s="189">
        <f t="shared" si="143"/>
        <v>-114</v>
      </c>
      <c r="Q294" s="190">
        <f t="shared" si="144"/>
        <v>-0.24</v>
      </c>
      <c r="R294" s="171"/>
      <c r="S294" s="184">
        <v>43972</v>
      </c>
      <c r="T294" s="191" t="s">
        <v>302</v>
      </c>
      <c r="U294" s="171"/>
    </row>
    <row r="295" spans="1:21" x14ac:dyDescent="0.3">
      <c r="A295" s="154">
        <v>115</v>
      </c>
      <c r="B295" s="181" t="str">
        <f t="shared" si="140"/>
        <v>Historical</v>
      </c>
      <c r="C295" s="171"/>
      <c r="D295" s="188" t="s">
        <v>587</v>
      </c>
      <c r="E295" s="182"/>
      <c r="F295" s="181" t="s">
        <v>586</v>
      </c>
      <c r="G295" s="181"/>
      <c r="H295" s="171"/>
      <c r="I295" s="183">
        <v>-5</v>
      </c>
      <c r="J295" s="183">
        <v>-5</v>
      </c>
      <c r="K295" s="183">
        <f t="shared" si="141"/>
        <v>-5</v>
      </c>
      <c r="L295" s="171"/>
      <c r="M295" s="181" t="str">
        <f t="shared" si="142"/>
        <v>Actual</v>
      </c>
      <c r="N295" s="183" t="str">
        <f ca="1">IFERROR(INDEX(INDIRECT(E295),0,MATCH(F295,MO_Common_ColumnHeader,0)),"N/A")</f>
        <v>N/A</v>
      </c>
      <c r="O295" s="171"/>
      <c r="P295" s="189" t="str">
        <f t="shared" ca="1" si="143"/>
        <v>N/A</v>
      </c>
      <c r="Q295" s="190" t="str">
        <f t="shared" ca="1" si="144"/>
        <v>N/A</v>
      </c>
      <c r="R295" s="171"/>
      <c r="S295" s="184">
        <v>43972</v>
      </c>
      <c r="T295" s="191" t="s">
        <v>302</v>
      </c>
      <c r="U295" s="171"/>
    </row>
    <row r="296" spans="1:21" x14ac:dyDescent="0.3">
      <c r="A296" s="154">
        <v>114</v>
      </c>
      <c r="B296" s="171"/>
      <c r="C296" s="171"/>
      <c r="D296" s="168"/>
      <c r="E296" s="169"/>
      <c r="F296" s="171"/>
      <c r="G296" s="171"/>
      <c r="H296" s="171"/>
      <c r="I296" s="885"/>
      <c r="J296" s="885"/>
      <c r="K296" s="885"/>
      <c r="L296" s="171"/>
      <c r="M296" s="171"/>
      <c r="N296" s="885"/>
      <c r="O296" s="171"/>
      <c r="P296" s="172"/>
      <c r="Q296" s="134"/>
      <c r="R296" s="171"/>
      <c r="S296" s="173"/>
      <c r="T296" s="192"/>
      <c r="U296" s="171"/>
    </row>
    <row r="297" spans="1:21" x14ac:dyDescent="0.3">
      <c r="A297" s="154">
        <v>113</v>
      </c>
      <c r="B297" s="181" t="str">
        <f t="shared" ref="B297:B307" si="145">IF(INDEX(MO_SNA_IsHistoricalPeriod,,MATCH(F297,MO_Common_ColumnHeader,0)),"Historical","Forward")</f>
        <v>Historical</v>
      </c>
      <c r="C297" s="171"/>
      <c r="D297" s="188" t="str">
        <f ca="1">INDEX(INDIRECT(E297),0,COLUMN(MO_Common_Column_A))</f>
        <v>Net Revenue</v>
      </c>
      <c r="E297" s="182" t="s">
        <v>300</v>
      </c>
      <c r="F297" s="181" t="s">
        <v>571</v>
      </c>
      <c r="G297" s="181"/>
      <c r="H297" s="171"/>
      <c r="I297" s="183">
        <f>3000*0.98</f>
        <v>2940</v>
      </c>
      <c r="J297" s="183">
        <f>3000*1.02</f>
        <v>3060</v>
      </c>
      <c r="K297" s="183">
        <f t="shared" ref="K297:K307" si="146">AVERAGE(I297:J297)</f>
        <v>3000</v>
      </c>
      <c r="L297" s="171"/>
      <c r="M297" s="181" t="str">
        <f t="shared" ref="M297:M307" si="147">IF(INDEX(MO_SNA_IsHistoricalPeriod,,MATCH(F297,MO_Common_ColumnHeader,0)),"Actual","Estimate")</f>
        <v>Actual</v>
      </c>
      <c r="N297" s="183">
        <f ca="1">IFERROR(INDEX(INDIRECT(E297),0,MATCH(F297,MO_Common_ColumnHeader,0)),"N/A")</f>
        <v>3080</v>
      </c>
      <c r="O297" s="171"/>
      <c r="P297" s="189">
        <f t="shared" ref="P297:P307" ca="1" si="148">IF(ISNUMBER(N297),N297-K297,"N/A")</f>
        <v>80</v>
      </c>
      <c r="Q297" s="190">
        <f t="shared" ref="Q297:Q307" ca="1" si="149">IFERROR(IF(ISNUMBER(N297),(N297-K297)/ABS(K297),"N/A"),"N/A")</f>
        <v>2.6666666666666668E-2</v>
      </c>
      <c r="R297" s="171"/>
      <c r="S297" s="184">
        <v>43874</v>
      </c>
      <c r="T297" s="191" t="s">
        <v>302</v>
      </c>
      <c r="U297" s="171"/>
    </row>
    <row r="298" spans="1:21" x14ac:dyDescent="0.3">
      <c r="A298" s="154">
        <v>112</v>
      </c>
      <c r="B298" s="181" t="str">
        <f t="shared" si="145"/>
        <v>Historical</v>
      </c>
      <c r="C298" s="171"/>
      <c r="D298" s="188" t="str">
        <f ca="1">INDEX(INDIRECT(E298),0,COLUMN(MO_Common_Column_A))</f>
        <v>GAAP Gross Margin, %</v>
      </c>
      <c r="E298" s="182" t="s">
        <v>303</v>
      </c>
      <c r="F298" s="181" t="s">
        <v>571</v>
      </c>
      <c r="G298" s="181"/>
      <c r="H298" s="171"/>
      <c r="I298" s="185">
        <v>0.64500000000000002</v>
      </c>
      <c r="J298" s="185">
        <v>0.65500000000000003</v>
      </c>
      <c r="K298" s="185">
        <f t="shared" si="146"/>
        <v>0.65</v>
      </c>
      <c r="L298" s="171"/>
      <c r="M298" s="181" t="str">
        <f t="shared" si="147"/>
        <v>Actual</v>
      </c>
      <c r="N298" s="185">
        <f ca="1">IFERROR(INDEX(INDIRECT(E298),0,MATCH(F298,MO_Common_ColumnHeader,0)),"N/A")</f>
        <v>0.6506493506493507</v>
      </c>
      <c r="O298" s="171"/>
      <c r="P298" s="190">
        <f t="shared" ca="1" si="148"/>
        <v>6.4935064935067732E-4</v>
      </c>
      <c r="Q298" s="190">
        <f t="shared" ca="1" si="149"/>
        <v>9.9900099900104193E-4</v>
      </c>
      <c r="R298" s="171"/>
      <c r="S298" s="184">
        <v>43874</v>
      </c>
      <c r="T298" s="191" t="s">
        <v>302</v>
      </c>
      <c r="U298" s="171"/>
    </row>
    <row r="299" spans="1:21" x14ac:dyDescent="0.3">
      <c r="A299" s="154">
        <v>111</v>
      </c>
      <c r="B299" s="181" t="str">
        <f t="shared" si="145"/>
        <v>Historical</v>
      </c>
      <c r="C299" s="171"/>
      <c r="D299" s="188" t="str">
        <f ca="1">INDEX(INDIRECT(E299),0,COLUMN(MO_Common_Column_A))</f>
        <v>Non-GAAP Gross Margin, %</v>
      </c>
      <c r="E299" s="182" t="s">
        <v>304</v>
      </c>
      <c r="F299" s="181" t="s">
        <v>571</v>
      </c>
      <c r="G299" s="181"/>
      <c r="H299" s="171"/>
      <c r="I299" s="185">
        <v>0.64900000000000002</v>
      </c>
      <c r="J299" s="185">
        <v>0.65900000000000003</v>
      </c>
      <c r="K299" s="185">
        <f t="shared" si="146"/>
        <v>0.65400000000000003</v>
      </c>
      <c r="L299" s="171"/>
      <c r="M299" s="181" t="str">
        <f t="shared" si="147"/>
        <v>Actual</v>
      </c>
      <c r="N299" s="185">
        <f ca="1">IFERROR(INDEX(INDIRECT(E299),0,MATCH(F299,MO_Common_ColumnHeader,0)),"N/A")</f>
        <v>0.65779220779220782</v>
      </c>
      <c r="O299" s="171"/>
      <c r="P299" s="190">
        <f t="shared" ca="1" si="148"/>
        <v>3.7922077922077913E-3</v>
      </c>
      <c r="Q299" s="190">
        <f t="shared" ca="1" si="149"/>
        <v>5.7984828627030442E-3</v>
      </c>
      <c r="R299" s="171"/>
      <c r="S299" s="184">
        <v>43874</v>
      </c>
      <c r="T299" s="191" t="s">
        <v>302</v>
      </c>
      <c r="U299" s="171"/>
    </row>
    <row r="300" spans="1:21" x14ac:dyDescent="0.3">
      <c r="A300" s="154">
        <v>110</v>
      </c>
      <c r="B300" s="181" t="str">
        <f t="shared" si="145"/>
        <v>Historical</v>
      </c>
      <c r="C300" s="171"/>
      <c r="D300" s="188" t="s">
        <v>305</v>
      </c>
      <c r="E300" s="182"/>
      <c r="F300" s="181" t="s">
        <v>571</v>
      </c>
      <c r="G300" s="181"/>
      <c r="H300" s="171"/>
      <c r="I300" s="183">
        <v>1045</v>
      </c>
      <c r="J300" s="183">
        <v>1045</v>
      </c>
      <c r="K300" s="183">
        <f t="shared" si="146"/>
        <v>1045</v>
      </c>
      <c r="L300" s="171"/>
      <c r="M300" s="181" t="str">
        <f t="shared" si="147"/>
        <v>Actual</v>
      </c>
      <c r="N300" s="183">
        <f>INDEX(MO_RIS_RD,0,MATCH(F300,MO_Common_ColumnHeader,0))+INDEX(MO_RIS_SGA,0,MATCH(F300,MO_Common_ColumnHeader,0))</f>
        <v>1028</v>
      </c>
      <c r="O300" s="171"/>
      <c r="P300" s="189">
        <f t="shared" si="148"/>
        <v>-17</v>
      </c>
      <c r="Q300" s="190">
        <f t="shared" si="149"/>
        <v>-1.6267942583732056E-2</v>
      </c>
      <c r="R300" s="171"/>
      <c r="S300" s="184">
        <v>43874</v>
      </c>
      <c r="T300" s="191" t="s">
        <v>302</v>
      </c>
      <c r="U300" s="171"/>
    </row>
    <row r="301" spans="1:21" x14ac:dyDescent="0.3">
      <c r="A301" s="154">
        <v>109</v>
      </c>
      <c r="B301" s="181" t="str">
        <f t="shared" si="145"/>
        <v>Historical</v>
      </c>
      <c r="C301" s="171"/>
      <c r="D301" s="188" t="str">
        <f ca="1">INDEX(INDIRECT(E301),0,COLUMN(MO_Common_Column_A))</f>
        <v>Total Non-GAAP Operating Expenses, mm</v>
      </c>
      <c r="E301" s="182" t="s">
        <v>939</v>
      </c>
      <c r="F301" s="181" t="s">
        <v>571</v>
      </c>
      <c r="G301" s="181"/>
      <c r="H301" s="171"/>
      <c r="I301" s="183">
        <v>835</v>
      </c>
      <c r="J301" s="183">
        <v>835</v>
      </c>
      <c r="K301" s="183">
        <f t="shared" si="146"/>
        <v>835</v>
      </c>
      <c r="L301" s="171"/>
      <c r="M301" s="181" t="str">
        <f t="shared" si="147"/>
        <v>Actual</v>
      </c>
      <c r="N301" s="183">
        <f ca="1">IFERROR(INDEX(INDIRECT(E301),0,MATCH(F301,MO_Common_ColumnHeader,0)),"N/A")</f>
        <v>821</v>
      </c>
      <c r="O301" s="171"/>
      <c r="P301" s="189">
        <f t="shared" ca="1" si="148"/>
        <v>-14</v>
      </c>
      <c r="Q301" s="190">
        <f t="shared" ca="1" si="149"/>
        <v>-1.6766467065868262E-2</v>
      </c>
      <c r="R301" s="171"/>
      <c r="S301" s="184">
        <v>43874</v>
      </c>
      <c r="T301" s="191" t="s">
        <v>302</v>
      </c>
      <c r="U301" s="171"/>
    </row>
    <row r="302" spans="1:21" x14ac:dyDescent="0.3">
      <c r="A302" s="154">
        <v>108</v>
      </c>
      <c r="B302" s="181" t="str">
        <f t="shared" si="145"/>
        <v>Historical</v>
      </c>
      <c r="C302" s="171"/>
      <c r="D302" s="188" t="s">
        <v>307</v>
      </c>
      <c r="E302" s="182"/>
      <c r="F302" s="181" t="s">
        <v>571</v>
      </c>
      <c r="G302" s="181"/>
      <c r="H302" s="171"/>
      <c r="I302" s="183">
        <v>25</v>
      </c>
      <c r="J302" s="183">
        <v>25</v>
      </c>
      <c r="K302" s="183">
        <f t="shared" si="146"/>
        <v>25</v>
      </c>
      <c r="L302" s="171"/>
      <c r="M302" s="181" t="str">
        <f t="shared" si="147"/>
        <v>Actual</v>
      </c>
      <c r="N302" s="183" t="str">
        <f ca="1">IFERROR(INDEX(INDIRECT(E302),0,MATCH(F302,MO_Common_ColumnHeader,0)),"N/A")</f>
        <v>N/A</v>
      </c>
      <c r="O302" s="171"/>
      <c r="P302" s="189" t="str">
        <f t="shared" ca="1" si="148"/>
        <v>N/A</v>
      </c>
      <c r="Q302" s="190" t="str">
        <f t="shared" ca="1" si="149"/>
        <v>N/A</v>
      </c>
      <c r="R302" s="171"/>
      <c r="S302" s="184">
        <v>43874</v>
      </c>
      <c r="T302" s="191" t="s">
        <v>302</v>
      </c>
      <c r="U302" s="171"/>
    </row>
    <row r="303" spans="1:21" x14ac:dyDescent="0.3">
      <c r="A303" s="154">
        <v>107</v>
      </c>
      <c r="B303" s="181" t="str">
        <f t="shared" si="145"/>
        <v>Historical</v>
      </c>
      <c r="C303" s="171"/>
      <c r="D303" s="188" t="s">
        <v>308</v>
      </c>
      <c r="E303" s="182"/>
      <c r="F303" s="181" t="s">
        <v>571</v>
      </c>
      <c r="G303" s="181"/>
      <c r="H303" s="171"/>
      <c r="I303" s="183">
        <v>25</v>
      </c>
      <c r="J303" s="183">
        <v>25</v>
      </c>
      <c r="K303" s="183">
        <f t="shared" si="146"/>
        <v>25</v>
      </c>
      <c r="L303" s="171"/>
      <c r="M303" s="181" t="str">
        <f t="shared" si="147"/>
        <v>Actual</v>
      </c>
      <c r="N303" s="183">
        <f>INDEX(MO_RIS_IE_Net_NONGAAP,0,MATCH(F303,MO_Common_ColumnHeader,0))+INDEX(MO_RIS_OI_NONGAAP,0,MATCH(F303,MO_Common_ColumnHeader,0))</f>
        <v>-8</v>
      </c>
      <c r="O303" s="171"/>
      <c r="P303" s="189">
        <f t="shared" si="148"/>
        <v>-33</v>
      </c>
      <c r="Q303" s="190">
        <f t="shared" si="149"/>
        <v>-1.32</v>
      </c>
      <c r="R303" s="171"/>
      <c r="S303" s="184">
        <v>43874</v>
      </c>
      <c r="T303" s="191" t="s">
        <v>302</v>
      </c>
      <c r="U303" s="171"/>
    </row>
    <row r="304" spans="1:21" x14ac:dyDescent="0.3">
      <c r="A304" s="154">
        <v>106</v>
      </c>
      <c r="B304" s="181" t="str">
        <f t="shared" si="145"/>
        <v>Historical</v>
      </c>
      <c r="C304" s="171"/>
      <c r="D304" s="188" t="s">
        <v>309</v>
      </c>
      <c r="E304" s="182" t="s">
        <v>818</v>
      </c>
      <c r="F304" s="181" t="s">
        <v>571</v>
      </c>
      <c r="G304" s="181"/>
      <c r="H304" s="171"/>
      <c r="I304" s="185">
        <v>0.08</v>
      </c>
      <c r="J304" s="185">
        <v>0.1</v>
      </c>
      <c r="K304" s="185">
        <f t="shared" si="146"/>
        <v>0.09</v>
      </c>
      <c r="L304" s="171"/>
      <c r="M304" s="181" t="str">
        <f t="shared" si="147"/>
        <v>Actual</v>
      </c>
      <c r="N304" s="185">
        <f ca="1">IFERROR(INDEX(INDIRECT(E304),0,MATCH(F304,MO_Common_ColumnHeader,0)),"N/A")</f>
        <v>6.5239551478083593E-2</v>
      </c>
      <c r="O304" s="171"/>
      <c r="P304" s="190">
        <f t="shared" ca="1" si="148"/>
        <v>-2.4760448521916403E-2</v>
      </c>
      <c r="Q304" s="190">
        <f t="shared" ca="1" si="149"/>
        <v>-0.27511609468796006</v>
      </c>
      <c r="R304" s="171"/>
      <c r="S304" s="184">
        <v>43874</v>
      </c>
      <c r="T304" s="191" t="s">
        <v>302</v>
      </c>
      <c r="U304" s="171"/>
    </row>
    <row r="305" spans="1:21" x14ac:dyDescent="0.3">
      <c r="A305" s="154">
        <v>105</v>
      </c>
      <c r="B305" s="181" t="str">
        <f t="shared" si="145"/>
        <v>Historical</v>
      </c>
      <c r="C305" s="171"/>
      <c r="D305" s="188" t="str">
        <f ca="1">INDEX(INDIRECT(E305),0,COLUMN(MO_Common_Column_A))</f>
        <v>Non-GAAP Tax Rate</v>
      </c>
      <c r="E305" s="182" t="s">
        <v>310</v>
      </c>
      <c r="F305" s="181" t="s">
        <v>571</v>
      </c>
      <c r="G305" s="181"/>
      <c r="H305" s="171"/>
      <c r="I305" s="185">
        <v>0.08</v>
      </c>
      <c r="J305" s="185">
        <v>0.1</v>
      </c>
      <c r="K305" s="185">
        <f t="shared" si="146"/>
        <v>0.09</v>
      </c>
      <c r="L305" s="171"/>
      <c r="M305" s="181" t="str">
        <f t="shared" si="147"/>
        <v>Actual</v>
      </c>
      <c r="N305" s="185">
        <f ca="1">IFERROR(INDEX(INDIRECT(E305),0,MATCH(F305,MO_Common_ColumnHeader,0)),"N/A")</f>
        <v>7.6669414674361086E-2</v>
      </c>
      <c r="O305" s="171"/>
      <c r="P305" s="190">
        <f t="shared" ca="1" si="148"/>
        <v>-1.3330585325638911E-2</v>
      </c>
      <c r="Q305" s="190">
        <f t="shared" ca="1" si="149"/>
        <v>-0.14811761472932122</v>
      </c>
      <c r="R305" s="171"/>
      <c r="S305" s="184">
        <v>43874</v>
      </c>
      <c r="T305" s="191" t="s">
        <v>302</v>
      </c>
      <c r="U305" s="171"/>
    </row>
    <row r="306" spans="1:21" x14ac:dyDescent="0.3">
      <c r="A306" s="154">
        <v>104</v>
      </c>
      <c r="B306" s="181" t="str">
        <f t="shared" si="145"/>
        <v>Historical</v>
      </c>
      <c r="C306" s="171"/>
      <c r="D306" s="188" t="s">
        <v>311</v>
      </c>
      <c r="E306" s="182"/>
      <c r="F306" s="181" t="s">
        <v>571</v>
      </c>
      <c r="G306" s="181"/>
      <c r="H306" s="171"/>
      <c r="I306" s="185">
        <v>-4.0000000000000001E-3</v>
      </c>
      <c r="J306" s="185">
        <v>-4.0000000000000001E-3</v>
      </c>
      <c r="K306" s="185">
        <f t="shared" si="146"/>
        <v>-4.0000000000000001E-3</v>
      </c>
      <c r="L306" s="171"/>
      <c r="M306" s="181" t="str">
        <f t="shared" si="147"/>
        <v>Actual</v>
      </c>
      <c r="N306" s="185">
        <f>(INDEX(MO_RIS_SBC_COGS,0,MATCH(F306,MO_Common_ColumnHeader,0))+INDEX(z_A7FLSL0150_MO_RIS_AcquisitionrelatedcostsCOGS,0,MATCH(F306,MO_Common_ColumnHeader,0))+INDEX(MO_RIS_COGS_Adjustments,0,MATCH(F306,MO_Common_ColumnHeader,0)))/INDEX(MO_RIS_REV,0,MATCH(F306,MO_Common_ColumnHeader,0))</f>
        <v>-7.1428571428571426E-3</v>
      </c>
      <c r="O306" s="171"/>
      <c r="P306" s="190">
        <f t="shared" si="148"/>
        <v>-3.1428571428571426E-3</v>
      </c>
      <c r="Q306" s="190">
        <f t="shared" si="149"/>
        <v>-0.78571428571428559</v>
      </c>
      <c r="R306" s="171"/>
      <c r="S306" s="184">
        <v>43874</v>
      </c>
      <c r="T306" s="191" t="s">
        <v>302</v>
      </c>
      <c r="U306" s="171"/>
    </row>
    <row r="307" spans="1:21" x14ac:dyDescent="0.3">
      <c r="A307" s="154">
        <v>103</v>
      </c>
      <c r="B307" s="181" t="str">
        <f t="shared" si="145"/>
        <v>Historical</v>
      </c>
      <c r="C307" s="171"/>
      <c r="D307" s="188" t="s">
        <v>312</v>
      </c>
      <c r="E307" s="182"/>
      <c r="F307" s="181" t="s">
        <v>571</v>
      </c>
      <c r="G307" s="181"/>
      <c r="H307" s="171"/>
      <c r="I307" s="183">
        <v>-210</v>
      </c>
      <c r="J307" s="183">
        <v>-210</v>
      </c>
      <c r="K307" s="183">
        <f t="shared" si="146"/>
        <v>-210</v>
      </c>
      <c r="L307" s="171"/>
      <c r="M307" s="181" t="str">
        <f t="shared" si="147"/>
        <v>Actual</v>
      </c>
      <c r="N307" s="183">
        <f>-(-INDEX(MO_RIS_OtherOperating_NONGAAP,0,MATCH(F307,MO_Common_ColumnHeader,0))+INDEX(z_A7FLSL0150_MO_RIS_SBC_2,0,MATCH(F307,MO_Common_ColumnHeader,0))+INDEX(z_A7FLSL0150_MO_RIS_sbc_1,0,MATCH(F307,MO_Common_ColumnHeader,0))+INDEX(z_A7FLSL0150_MO_RIS_AcquisitionrelatedcostsRD,0,MATCH(F307,MO_Common_ColumnHeader,0))+INDEX(z_A7FLSL0150_MO_RIS_AcquisitionrelatedcostsSGA,0,MATCH(F307,MO_Common_ColumnHeader,0)))</f>
        <v>-207</v>
      </c>
      <c r="O307" s="171"/>
      <c r="P307" s="189">
        <f t="shared" si="148"/>
        <v>3</v>
      </c>
      <c r="Q307" s="190">
        <f t="shared" si="149"/>
        <v>1.4285714285714285E-2</v>
      </c>
      <c r="R307" s="171"/>
      <c r="S307" s="184">
        <v>43874</v>
      </c>
      <c r="T307" s="191" t="s">
        <v>302</v>
      </c>
      <c r="U307" s="171"/>
    </row>
    <row r="308" spans="1:21" x14ac:dyDescent="0.3">
      <c r="A308" s="154">
        <v>102</v>
      </c>
      <c r="B308" s="171"/>
      <c r="C308" s="171"/>
      <c r="D308" s="168"/>
      <c r="E308" s="169"/>
      <c r="F308" s="171"/>
      <c r="G308" s="171"/>
      <c r="H308" s="171"/>
      <c r="I308" s="885"/>
      <c r="J308" s="885"/>
      <c r="K308" s="885"/>
      <c r="L308" s="171"/>
      <c r="M308" s="171"/>
      <c r="N308" s="885"/>
      <c r="O308" s="171"/>
      <c r="P308" s="172"/>
      <c r="Q308" s="134"/>
      <c r="R308" s="171"/>
      <c r="S308" s="173"/>
      <c r="T308" s="192"/>
      <c r="U308" s="171"/>
    </row>
    <row r="309" spans="1:21" x14ac:dyDescent="0.3">
      <c r="A309" s="154">
        <v>101</v>
      </c>
      <c r="B309" s="181" t="str">
        <f t="shared" ref="B309:B320" si="150">IF(INDEX(MO_SNA_IsHistoricalPeriod,,MATCH(F309,MO_Common_ColumnHeader,0)),"Historical","Forward")</f>
        <v>Historical</v>
      </c>
      <c r="C309" s="171"/>
      <c r="D309" s="188" t="str">
        <f ca="1">INDEX(INDIRECT(E309),0,COLUMN(MO_Common_Column_A))</f>
        <v>Net Revenue</v>
      </c>
      <c r="E309" s="182" t="s">
        <v>300</v>
      </c>
      <c r="F309" s="181" t="s">
        <v>561</v>
      </c>
      <c r="G309" s="181"/>
      <c r="H309" s="171"/>
      <c r="I309" s="183">
        <f>0.98*2950</f>
        <v>2891</v>
      </c>
      <c r="J309" s="183">
        <f>1.02*2950</f>
        <v>3009</v>
      </c>
      <c r="K309" s="183">
        <f t="shared" ref="K309:K320" si="151">AVERAGE(I309:J309)</f>
        <v>2950</v>
      </c>
      <c r="L309" s="171"/>
      <c r="M309" s="181" t="str">
        <f t="shared" ref="M309:M320" si="152">IF(INDEX(MO_SNA_IsHistoricalPeriod,,MATCH(F309,MO_Common_ColumnHeader,0)),"Actual","Estimate")</f>
        <v>Actual</v>
      </c>
      <c r="N309" s="183">
        <f ca="1">IFERROR(INDEX(INDIRECT(E309),0,MATCH(F309,MO_Common_ColumnHeader,0)),"N/A")</f>
        <v>3105</v>
      </c>
      <c r="O309" s="171"/>
      <c r="P309" s="189">
        <f t="shared" ref="P309:P320" ca="1" si="153">IF(ISNUMBER(N309),N309-K309,"N/A")</f>
        <v>155</v>
      </c>
      <c r="Q309" s="190">
        <f t="shared" ref="Q309:Q320" ca="1" si="154">IFERROR(IF(ISNUMBER(N309),(N309-K309)/ABS(K309),"N/A"),"N/A")</f>
        <v>5.254237288135593E-2</v>
      </c>
      <c r="R309" s="171"/>
      <c r="S309" s="184">
        <v>43783</v>
      </c>
      <c r="T309" s="191" t="s">
        <v>302</v>
      </c>
      <c r="U309" s="171"/>
    </row>
    <row r="310" spans="1:21" x14ac:dyDescent="0.3">
      <c r="A310" s="154">
        <v>100</v>
      </c>
      <c r="B310" s="181" t="str">
        <f t="shared" si="150"/>
        <v>Historical</v>
      </c>
      <c r="C310" s="171"/>
      <c r="D310" s="188" t="str">
        <f ca="1">INDEX(INDIRECT(E310),0,COLUMN(MO_Common_Column_A))</f>
        <v>GAAP Gross Margin, %</v>
      </c>
      <c r="E310" s="182" t="s">
        <v>303</v>
      </c>
      <c r="F310" s="181" t="s">
        <v>561</v>
      </c>
      <c r="G310" s="181"/>
      <c r="H310" s="171"/>
      <c r="I310" s="185">
        <v>0.63600000000000001</v>
      </c>
      <c r="J310" s="185">
        <v>0.64600000000000002</v>
      </c>
      <c r="K310" s="185">
        <f t="shared" si="151"/>
        <v>0.64100000000000001</v>
      </c>
      <c r="L310" s="171"/>
      <c r="M310" s="181" t="str">
        <f t="shared" si="152"/>
        <v>Actual</v>
      </c>
      <c r="N310" s="185">
        <f ca="1">IFERROR(INDEX(INDIRECT(E310),0,MATCH(F310,MO_Common_ColumnHeader,0)),"N/A")</f>
        <v>0.64895330112721417</v>
      </c>
      <c r="O310" s="171"/>
      <c r="P310" s="190">
        <f t="shared" ca="1" si="153"/>
        <v>7.9533011272141518E-3</v>
      </c>
      <c r="Q310" s="190">
        <f t="shared" ca="1" si="154"/>
        <v>1.2407646064296649E-2</v>
      </c>
      <c r="R310" s="171"/>
      <c r="S310" s="184">
        <v>43783</v>
      </c>
      <c r="T310" s="191" t="s">
        <v>302</v>
      </c>
      <c r="U310" s="171"/>
    </row>
    <row r="311" spans="1:21" x14ac:dyDescent="0.3">
      <c r="A311" s="154">
        <v>99</v>
      </c>
      <c r="B311" s="181" t="str">
        <f t="shared" si="150"/>
        <v>Historical</v>
      </c>
      <c r="C311" s="171"/>
      <c r="D311" s="188" t="str">
        <f ca="1">INDEX(INDIRECT(E311),0,COLUMN(MO_Common_Column_A))</f>
        <v>Non-GAAP Gross Margin, %</v>
      </c>
      <c r="E311" s="182" t="s">
        <v>304</v>
      </c>
      <c r="F311" s="181" t="s">
        <v>561</v>
      </c>
      <c r="G311" s="181"/>
      <c r="H311" s="171"/>
      <c r="I311" s="185">
        <v>0.64</v>
      </c>
      <c r="J311" s="185">
        <v>0.65</v>
      </c>
      <c r="K311" s="185">
        <f t="shared" si="151"/>
        <v>0.64500000000000002</v>
      </c>
      <c r="L311" s="171"/>
      <c r="M311" s="181" t="str">
        <f t="shared" si="152"/>
        <v>Actual</v>
      </c>
      <c r="N311" s="185">
        <f ca="1">IFERROR(INDEX(INDIRECT(E311),0,MATCH(F311,MO_Common_ColumnHeader,0)),"N/A")</f>
        <v>0.65378421900161032</v>
      </c>
      <c r="O311" s="171"/>
      <c r="P311" s="190">
        <f t="shared" ca="1" si="153"/>
        <v>8.784219001610305E-3</v>
      </c>
      <c r="Q311" s="190">
        <f t="shared" ca="1" si="154"/>
        <v>1.3618944188543107E-2</v>
      </c>
      <c r="R311" s="171"/>
      <c r="S311" s="184">
        <v>43783</v>
      </c>
      <c r="T311" s="191" t="s">
        <v>302</v>
      </c>
      <c r="U311" s="171"/>
    </row>
    <row r="312" spans="1:21" x14ac:dyDescent="0.3">
      <c r="A312" s="154">
        <v>98</v>
      </c>
      <c r="B312" s="181" t="str">
        <f t="shared" si="150"/>
        <v>Historical</v>
      </c>
      <c r="C312" s="171"/>
      <c r="D312" s="188" t="s">
        <v>305</v>
      </c>
      <c r="E312" s="182"/>
      <c r="F312" s="181" t="s">
        <v>561</v>
      </c>
      <c r="G312" s="181"/>
      <c r="H312" s="171"/>
      <c r="I312" s="183">
        <v>1020</v>
      </c>
      <c r="J312" s="183">
        <v>1020</v>
      </c>
      <c r="K312" s="183">
        <f t="shared" si="151"/>
        <v>1020</v>
      </c>
      <c r="L312" s="171"/>
      <c r="M312" s="181" t="str">
        <f t="shared" si="152"/>
        <v>Actual</v>
      </c>
      <c r="N312" s="183">
        <f>INDEX(MO_RIS_RD,0,MATCH(F312,MO_Common_ColumnHeader,0))+INDEX(MO_RIS_SGA,0,MATCH(F312,MO_Common_ColumnHeader,0))</f>
        <v>1025</v>
      </c>
      <c r="O312" s="171"/>
      <c r="P312" s="189">
        <f t="shared" si="153"/>
        <v>5</v>
      </c>
      <c r="Q312" s="190">
        <f t="shared" si="154"/>
        <v>4.9019607843137254E-3</v>
      </c>
      <c r="R312" s="171"/>
      <c r="S312" s="184">
        <v>43783</v>
      </c>
      <c r="T312" s="191" t="s">
        <v>302</v>
      </c>
      <c r="U312" s="171"/>
    </row>
    <row r="313" spans="1:21" x14ac:dyDescent="0.3">
      <c r="A313" s="154">
        <v>97</v>
      </c>
      <c r="B313" s="181" t="str">
        <f t="shared" si="150"/>
        <v>Historical</v>
      </c>
      <c r="C313" s="171"/>
      <c r="D313" s="188" t="str">
        <f ca="1">INDEX(INDIRECT(E313),0,COLUMN(MO_Common_Column_A))</f>
        <v>Total Non-GAAP Operating Expenses, mm</v>
      </c>
      <c r="E313" s="182" t="s">
        <v>939</v>
      </c>
      <c r="F313" s="181" t="s">
        <v>561</v>
      </c>
      <c r="G313" s="181"/>
      <c r="H313" s="171"/>
      <c r="I313" s="183">
        <v>805</v>
      </c>
      <c r="J313" s="183">
        <v>805</v>
      </c>
      <c r="K313" s="183">
        <f t="shared" si="151"/>
        <v>805</v>
      </c>
      <c r="L313" s="171"/>
      <c r="M313" s="181" t="str">
        <f t="shared" si="152"/>
        <v>Actual</v>
      </c>
      <c r="N313" s="183">
        <f ca="1">IFERROR(INDEX(INDIRECT(E313),0,MATCH(F313,MO_Common_ColumnHeader,0)),"N/A")</f>
        <v>810</v>
      </c>
      <c r="O313" s="171"/>
      <c r="P313" s="189">
        <f t="shared" ca="1" si="153"/>
        <v>5</v>
      </c>
      <c r="Q313" s="190">
        <f t="shared" ca="1" si="154"/>
        <v>6.2111801242236021E-3</v>
      </c>
      <c r="R313" s="171"/>
      <c r="S313" s="184">
        <v>43783</v>
      </c>
      <c r="T313" s="191" t="s">
        <v>302</v>
      </c>
      <c r="U313" s="171"/>
    </row>
    <row r="314" spans="1:21" x14ac:dyDescent="0.3">
      <c r="A314" s="154">
        <v>96</v>
      </c>
      <c r="B314" s="181" t="str">
        <f t="shared" si="150"/>
        <v>Historical</v>
      </c>
      <c r="C314" s="171"/>
      <c r="D314" s="188" t="s">
        <v>307</v>
      </c>
      <c r="E314" s="182"/>
      <c r="F314" s="181" t="s">
        <v>561</v>
      </c>
      <c r="G314" s="181"/>
      <c r="H314" s="171"/>
      <c r="I314" s="183">
        <v>25</v>
      </c>
      <c r="J314" s="183">
        <v>25</v>
      </c>
      <c r="K314" s="183">
        <f t="shared" si="151"/>
        <v>25</v>
      </c>
      <c r="L314" s="171"/>
      <c r="M314" s="181" t="str">
        <f t="shared" si="152"/>
        <v>Actual</v>
      </c>
      <c r="N314" s="183" t="str">
        <f ca="1">IFERROR(INDEX(INDIRECT(E314),0,MATCH(F314,MO_Common_ColumnHeader,0)),"N/A")</f>
        <v>N/A</v>
      </c>
      <c r="O314" s="171"/>
      <c r="P314" s="189" t="str">
        <f t="shared" ca="1" si="153"/>
        <v>N/A</v>
      </c>
      <c r="Q314" s="190" t="str">
        <f t="shared" ca="1" si="154"/>
        <v>N/A</v>
      </c>
      <c r="R314" s="171"/>
      <c r="S314" s="184">
        <v>43783</v>
      </c>
      <c r="T314" s="191" t="s">
        <v>302</v>
      </c>
      <c r="U314" s="171"/>
    </row>
    <row r="315" spans="1:21" x14ac:dyDescent="0.3">
      <c r="A315" s="154">
        <v>95</v>
      </c>
      <c r="B315" s="181" t="str">
        <f t="shared" si="150"/>
        <v>Historical</v>
      </c>
      <c r="C315" s="171"/>
      <c r="D315" s="188" t="s">
        <v>308</v>
      </c>
      <c r="E315" s="182"/>
      <c r="F315" s="181" t="s">
        <v>561</v>
      </c>
      <c r="G315" s="181"/>
      <c r="H315" s="171"/>
      <c r="I315" s="183">
        <v>25</v>
      </c>
      <c r="J315" s="183">
        <v>25</v>
      </c>
      <c r="K315" s="183">
        <f t="shared" si="151"/>
        <v>25</v>
      </c>
      <c r="L315" s="171"/>
      <c r="M315" s="181" t="str">
        <f t="shared" si="152"/>
        <v>Actual</v>
      </c>
      <c r="N315" s="183">
        <f>INDEX(MO_RIS_IE_Net_NONGAAP,0,MATCH(F315,MO_Common_ColumnHeader,0))+INDEX(MO_RIS_OI_NONGAAP,0,MATCH(F315,MO_Common_ColumnHeader,0))</f>
        <v>-26</v>
      </c>
      <c r="O315" s="171"/>
      <c r="P315" s="189">
        <f t="shared" si="153"/>
        <v>-51</v>
      </c>
      <c r="Q315" s="190">
        <f t="shared" si="154"/>
        <v>-2.04</v>
      </c>
      <c r="R315" s="171"/>
      <c r="S315" s="184">
        <v>43783</v>
      </c>
      <c r="T315" s="191" t="s">
        <v>302</v>
      </c>
      <c r="U315" s="171"/>
    </row>
    <row r="316" spans="1:21" x14ac:dyDescent="0.3">
      <c r="A316" s="154">
        <v>94</v>
      </c>
      <c r="B316" s="181" t="str">
        <f t="shared" si="150"/>
        <v>Historical</v>
      </c>
      <c r="C316" s="171"/>
      <c r="D316" s="188" t="s">
        <v>309</v>
      </c>
      <c r="E316" s="182" t="s">
        <v>818</v>
      </c>
      <c r="F316" s="181" t="s">
        <v>561</v>
      </c>
      <c r="G316" s="181"/>
      <c r="H316" s="171"/>
      <c r="I316" s="185">
        <v>0.08</v>
      </c>
      <c r="J316" s="185">
        <v>0.1</v>
      </c>
      <c r="K316" s="185">
        <f t="shared" si="151"/>
        <v>0.09</v>
      </c>
      <c r="L316" s="171"/>
      <c r="M316" s="181" t="str">
        <f t="shared" si="152"/>
        <v>Actual</v>
      </c>
      <c r="N316" s="185">
        <f ca="1">IFERROR(INDEX(INDIRECT(E316),0,MATCH(F316,MO_Common_ColumnHeader,0)),"N/A")</f>
        <v>6.4960629921259838E-2</v>
      </c>
      <c r="O316" s="171"/>
      <c r="P316" s="190">
        <f t="shared" ca="1" si="153"/>
        <v>-2.5039370078740159E-2</v>
      </c>
      <c r="Q316" s="190">
        <f t="shared" ca="1" si="154"/>
        <v>-0.27821522309711288</v>
      </c>
      <c r="R316" s="171"/>
      <c r="S316" s="184">
        <v>43783</v>
      </c>
      <c r="T316" s="191" t="s">
        <v>302</v>
      </c>
      <c r="U316" s="171"/>
    </row>
    <row r="317" spans="1:21" x14ac:dyDescent="0.3">
      <c r="A317" s="154">
        <v>93</v>
      </c>
      <c r="B317" s="181" t="str">
        <f t="shared" si="150"/>
        <v>Historical</v>
      </c>
      <c r="C317" s="171"/>
      <c r="D317" s="188" t="str">
        <f ca="1">INDEX(INDIRECT(E317),0,COLUMN(MO_Common_Column_A))</f>
        <v>Non-GAAP Tax Rate</v>
      </c>
      <c r="E317" s="182" t="s">
        <v>310</v>
      </c>
      <c r="F317" s="181" t="s">
        <v>561</v>
      </c>
      <c r="G317" s="181"/>
      <c r="H317" s="171"/>
      <c r="I317" s="185">
        <v>0.08</v>
      </c>
      <c r="J317" s="185">
        <v>0.1</v>
      </c>
      <c r="K317" s="185">
        <f t="shared" si="151"/>
        <v>0.09</v>
      </c>
      <c r="L317" s="171"/>
      <c r="M317" s="181" t="str">
        <f t="shared" si="152"/>
        <v>Actual</v>
      </c>
      <c r="N317" s="185">
        <f ca="1">IFERROR(INDEX(INDIRECT(E317),0,MATCH(F317,MO_Common_ColumnHeader,0)),"N/A")</f>
        <v>5.93900481540931E-2</v>
      </c>
      <c r="O317" s="171"/>
      <c r="P317" s="190">
        <f t="shared" ca="1" si="153"/>
        <v>-3.0609951845906896E-2</v>
      </c>
      <c r="Q317" s="190">
        <f t="shared" ca="1" si="154"/>
        <v>-0.34011057606563222</v>
      </c>
      <c r="R317" s="171"/>
      <c r="S317" s="184">
        <v>43783</v>
      </c>
      <c r="T317" s="191" t="s">
        <v>302</v>
      </c>
      <c r="U317" s="171"/>
    </row>
    <row r="318" spans="1:21" x14ac:dyDescent="0.3">
      <c r="A318" s="154">
        <v>92</v>
      </c>
      <c r="B318" s="181" t="str">
        <f t="shared" si="150"/>
        <v>Historical</v>
      </c>
      <c r="C318" s="171"/>
      <c r="D318" s="188" t="str">
        <f ca="1">INDEX(INDIRECT(E318),0,COLUMN(MO_Common_Column_A))</f>
        <v>Capex</v>
      </c>
      <c r="E318" s="182" t="s">
        <v>560</v>
      </c>
      <c r="F318" s="181" t="s">
        <v>561</v>
      </c>
      <c r="G318" s="181"/>
      <c r="H318" s="171"/>
      <c r="I318" s="183">
        <v>-150</v>
      </c>
      <c r="J318" s="183">
        <v>-130</v>
      </c>
      <c r="K318" s="183">
        <f t="shared" si="151"/>
        <v>-140</v>
      </c>
      <c r="L318" s="171"/>
      <c r="M318" s="181" t="str">
        <f t="shared" si="152"/>
        <v>Actual</v>
      </c>
      <c r="N318" s="183">
        <f ca="1">IFERROR(INDEX(INDIRECT(E318),0,MATCH(F318,MO_Common_ColumnHeader,0)),"N/A")</f>
        <v>-145</v>
      </c>
      <c r="O318" s="171"/>
      <c r="P318" s="189">
        <f t="shared" ca="1" si="153"/>
        <v>-5</v>
      </c>
      <c r="Q318" s="190">
        <f t="shared" ca="1" si="154"/>
        <v>-3.5714285714285712E-2</v>
      </c>
      <c r="R318" s="171"/>
      <c r="S318" s="184">
        <v>43783</v>
      </c>
      <c r="T318" s="191" t="s">
        <v>302</v>
      </c>
      <c r="U318" s="171"/>
    </row>
    <row r="319" spans="1:21" x14ac:dyDescent="0.3">
      <c r="A319" s="154">
        <v>91</v>
      </c>
      <c r="B319" s="181" t="str">
        <f t="shared" si="150"/>
        <v>Historical</v>
      </c>
      <c r="C319" s="171"/>
      <c r="D319" s="188" t="s">
        <v>311</v>
      </c>
      <c r="E319" s="182"/>
      <c r="F319" s="181" t="s">
        <v>561</v>
      </c>
      <c r="G319" s="181"/>
      <c r="H319" s="171"/>
      <c r="I319" s="185">
        <v>-4.0000000000000001E-3</v>
      </c>
      <c r="J319" s="185">
        <v>-4.0000000000000001E-3</v>
      </c>
      <c r="K319" s="185">
        <f t="shared" si="151"/>
        <v>-4.0000000000000001E-3</v>
      </c>
      <c r="L319" s="171"/>
      <c r="M319" s="181" t="str">
        <f t="shared" si="152"/>
        <v>Actual</v>
      </c>
      <c r="N319" s="185">
        <f>(INDEX(MO_RIS_SBC_COGS,0,MATCH(F319,MO_Common_ColumnHeader,0))+INDEX(z_A7FLSL0150_MO_RIS_AcquisitionrelatedcostsCOGS,0,MATCH(F319,MO_Common_ColumnHeader,0))+INDEX(MO_RIS_COGS_Adjustments,0,MATCH(F319,MO_Common_ColumnHeader,0)))/INDEX(MO_RIS_REV,0,MATCH(F319,MO_Common_ColumnHeader,0))</f>
        <v>-4.830917874396135E-3</v>
      </c>
      <c r="O319" s="171"/>
      <c r="P319" s="190">
        <f t="shared" si="153"/>
        <v>-8.3091787439613495E-4</v>
      </c>
      <c r="Q319" s="190">
        <f t="shared" si="154"/>
        <v>-0.20772946859903374</v>
      </c>
      <c r="R319" s="171"/>
      <c r="S319" s="184">
        <v>43783</v>
      </c>
      <c r="T319" s="191" t="s">
        <v>302</v>
      </c>
      <c r="U319" s="171"/>
    </row>
    <row r="320" spans="1:21" x14ac:dyDescent="0.3">
      <c r="A320" s="154">
        <v>90</v>
      </c>
      <c r="B320" s="181" t="str">
        <f t="shared" si="150"/>
        <v>Historical</v>
      </c>
      <c r="C320" s="171"/>
      <c r="D320" s="188" t="s">
        <v>312</v>
      </c>
      <c r="E320" s="182"/>
      <c r="F320" s="181" t="s">
        <v>561</v>
      </c>
      <c r="G320" s="181"/>
      <c r="H320" s="171"/>
      <c r="I320" s="183">
        <v>-210</v>
      </c>
      <c r="J320" s="183">
        <v>-210</v>
      </c>
      <c r="K320" s="183">
        <f t="shared" si="151"/>
        <v>-210</v>
      </c>
      <c r="L320" s="171"/>
      <c r="M320" s="181" t="str">
        <f t="shared" si="152"/>
        <v>Actual</v>
      </c>
      <c r="N320" s="183">
        <f>-(-INDEX(MO_RIS_OtherOperating_NONGAAP,0,MATCH(F320,MO_Common_ColumnHeader,0))+INDEX(z_A7FLSL0150_MO_RIS_SBC_2,0,MATCH(F320,MO_Common_ColumnHeader,0))+INDEX(z_A7FLSL0150_MO_RIS_sbc_1,0,MATCH(F320,MO_Common_ColumnHeader,0))+INDEX(z_A7FLSL0150_MO_RIS_AcquisitionrelatedcostsRD,0,MATCH(F320,MO_Common_ColumnHeader,0))+INDEX(z_A7FLSL0150_MO_RIS_AcquisitionrelatedcostsSGA,0,MATCH(F320,MO_Common_ColumnHeader,0)))</f>
        <v>-215</v>
      </c>
      <c r="O320" s="171"/>
      <c r="P320" s="189">
        <f t="shared" si="153"/>
        <v>-5</v>
      </c>
      <c r="Q320" s="190">
        <f t="shared" si="154"/>
        <v>-2.3809523809523808E-2</v>
      </c>
      <c r="R320" s="171"/>
      <c r="S320" s="184">
        <v>43783</v>
      </c>
      <c r="T320" s="191" t="s">
        <v>302</v>
      </c>
      <c r="U320" s="171"/>
    </row>
    <row r="321" spans="1:21" x14ac:dyDescent="0.3">
      <c r="A321" s="154">
        <v>89</v>
      </c>
      <c r="B321" s="171"/>
      <c r="C321" s="171"/>
      <c r="D321" s="168"/>
      <c r="E321" s="169"/>
      <c r="F321" s="171"/>
      <c r="G321" s="171"/>
      <c r="H321" s="171"/>
      <c r="I321" s="885"/>
      <c r="J321" s="885"/>
      <c r="K321" s="885"/>
      <c r="L321" s="171"/>
      <c r="M321" s="171"/>
      <c r="N321" s="885"/>
      <c r="O321" s="171"/>
      <c r="P321" s="172"/>
      <c r="Q321" s="134"/>
      <c r="R321" s="171"/>
      <c r="S321" s="173"/>
      <c r="T321" s="192"/>
      <c r="U321" s="171"/>
    </row>
    <row r="322" spans="1:21" x14ac:dyDescent="0.3">
      <c r="A322" s="154">
        <v>88</v>
      </c>
      <c r="B322" s="181" t="str">
        <f t="shared" ref="B322:B332" si="155">IF(INDEX(MO_SNA_IsHistoricalPeriod,,MATCH(F322,MO_Common_ColumnHeader,0)),"Historical","Forward")</f>
        <v>Historical</v>
      </c>
      <c r="C322" s="171"/>
      <c r="D322" s="188" t="str">
        <f ca="1">INDEX(INDIRECT(E322),0,COLUMN(MO_Common_Column_A))</f>
        <v>Net Revenue</v>
      </c>
      <c r="E322" s="182" t="s">
        <v>300</v>
      </c>
      <c r="F322" s="181" t="s">
        <v>412</v>
      </c>
      <c r="G322" s="181"/>
      <c r="H322" s="171"/>
      <c r="I322" s="183">
        <f>0.98*2900</f>
        <v>2842</v>
      </c>
      <c r="J322" s="183">
        <f>1.02*2900</f>
        <v>2958</v>
      </c>
      <c r="K322" s="183">
        <f t="shared" ref="K322:K332" si="156">AVERAGE(I322:J322)</f>
        <v>2900</v>
      </c>
      <c r="L322" s="171"/>
      <c r="M322" s="181" t="str">
        <f t="shared" ref="M322:M332" si="157">IF(INDEX(MO_SNA_IsHistoricalPeriod,,MATCH(F322,MO_Common_ColumnHeader,0)),"Actual","Estimate")</f>
        <v>Actual</v>
      </c>
      <c r="N322" s="183">
        <f ca="1">IFERROR(INDEX(INDIRECT(E322),0,MATCH(F322,MO_Common_ColumnHeader,0)),"N/A")</f>
        <v>3014</v>
      </c>
      <c r="O322" s="171"/>
      <c r="P322" s="189">
        <f t="shared" ref="P322:P332" ca="1" si="158">IF(ISNUMBER(N322),N322-K322,"N/A")</f>
        <v>114</v>
      </c>
      <c r="Q322" s="190">
        <f t="shared" ref="Q322:Q332" ca="1" si="159">IFERROR(IF(ISNUMBER(N322),(N322-K322)/ABS(K322),"N/A"),"N/A")</f>
        <v>3.9310344827586205E-2</v>
      </c>
      <c r="R322" s="171"/>
      <c r="S322" s="184">
        <v>43692</v>
      </c>
      <c r="T322" s="191" t="s">
        <v>302</v>
      </c>
      <c r="U322" s="171"/>
    </row>
    <row r="323" spans="1:21" x14ac:dyDescent="0.3">
      <c r="A323" s="154">
        <v>87</v>
      </c>
      <c r="B323" s="181" t="str">
        <f t="shared" si="155"/>
        <v>Historical</v>
      </c>
      <c r="C323" s="171"/>
      <c r="D323" s="188" t="str">
        <f ca="1">INDEX(INDIRECT(E323),0,COLUMN(MO_Common_Column_A))</f>
        <v>GAAP Gross Margin, %</v>
      </c>
      <c r="E323" s="182" t="s">
        <v>303</v>
      </c>
      <c r="F323" s="181" t="s">
        <v>412</v>
      </c>
      <c r="G323" s="181"/>
      <c r="H323" s="171"/>
      <c r="I323" s="185">
        <v>0.61499999999999999</v>
      </c>
      <c r="J323" s="185">
        <v>0.625</v>
      </c>
      <c r="K323" s="185">
        <f t="shared" si="156"/>
        <v>0.62</v>
      </c>
      <c r="L323" s="171"/>
      <c r="M323" s="181" t="str">
        <f t="shared" si="157"/>
        <v>Actual</v>
      </c>
      <c r="N323" s="185">
        <f ca="1">IFERROR(INDEX(INDIRECT(E323),0,MATCH(F323,MO_Common_ColumnHeader,0)),"N/A")</f>
        <v>0.63570006635700071</v>
      </c>
      <c r="O323" s="171"/>
      <c r="P323" s="190">
        <f t="shared" ca="1" si="158"/>
        <v>1.5700066357000719E-2</v>
      </c>
      <c r="Q323" s="190">
        <f t="shared" ca="1" si="159"/>
        <v>2.5322687672581806E-2</v>
      </c>
      <c r="R323" s="171"/>
      <c r="S323" s="184">
        <v>43692</v>
      </c>
      <c r="T323" s="191" t="s">
        <v>302</v>
      </c>
      <c r="U323" s="171"/>
    </row>
    <row r="324" spans="1:21" x14ac:dyDescent="0.3">
      <c r="A324" s="154">
        <v>86</v>
      </c>
      <c r="B324" s="181" t="str">
        <f t="shared" si="155"/>
        <v>Historical</v>
      </c>
      <c r="C324" s="171"/>
      <c r="D324" s="188" t="str">
        <f ca="1">INDEX(INDIRECT(E324),0,COLUMN(MO_Common_Column_A))</f>
        <v>Non-GAAP Gross Margin, %</v>
      </c>
      <c r="E324" s="182" t="s">
        <v>304</v>
      </c>
      <c r="F324" s="181" t="s">
        <v>412</v>
      </c>
      <c r="G324" s="181"/>
      <c r="H324" s="171"/>
      <c r="I324" s="185">
        <v>0.62</v>
      </c>
      <c r="J324" s="185">
        <v>0.63</v>
      </c>
      <c r="K324" s="185">
        <f t="shared" si="156"/>
        <v>0.625</v>
      </c>
      <c r="L324" s="171"/>
      <c r="M324" s="181" t="str">
        <f t="shared" si="157"/>
        <v>Actual</v>
      </c>
      <c r="N324" s="185">
        <f ca="1">IFERROR(INDEX(INDIRECT(E324),0,MATCH(F324,MO_Common_ColumnHeader,0)),"N/A")</f>
        <v>0.64067684140676839</v>
      </c>
      <c r="O324" s="171"/>
      <c r="P324" s="190">
        <f t="shared" ca="1" si="158"/>
        <v>1.5676841406768394E-2</v>
      </c>
      <c r="Q324" s="190">
        <f t="shared" ca="1" si="159"/>
        <v>2.5082946250829428E-2</v>
      </c>
      <c r="R324" s="171"/>
      <c r="S324" s="184">
        <v>43692</v>
      </c>
      <c r="T324" s="191" t="s">
        <v>302</v>
      </c>
      <c r="U324" s="171"/>
    </row>
    <row r="325" spans="1:21" x14ac:dyDescent="0.3">
      <c r="A325" s="154">
        <v>85</v>
      </c>
      <c r="B325" s="181" t="str">
        <f t="shared" si="155"/>
        <v>Historical</v>
      </c>
      <c r="C325" s="171"/>
      <c r="D325" s="188" t="s">
        <v>305</v>
      </c>
      <c r="E325" s="182"/>
      <c r="F325" s="181" t="s">
        <v>412</v>
      </c>
      <c r="G325" s="181"/>
      <c r="H325" s="171"/>
      <c r="I325" s="183">
        <v>980</v>
      </c>
      <c r="J325" s="183">
        <v>980</v>
      </c>
      <c r="K325" s="183">
        <f t="shared" si="156"/>
        <v>980</v>
      </c>
      <c r="L325" s="171"/>
      <c r="M325" s="181" t="str">
        <f t="shared" si="157"/>
        <v>Actual</v>
      </c>
      <c r="N325" s="183">
        <f>INDEX(MO_RIS_RD,0,MATCH(F325,MO_Common_ColumnHeader,0))+INDEX(MO_RIS_SGA,0,MATCH(F325,MO_Common_ColumnHeader,0))</f>
        <v>989</v>
      </c>
      <c r="O325" s="171"/>
      <c r="P325" s="189">
        <f t="shared" si="158"/>
        <v>9</v>
      </c>
      <c r="Q325" s="190">
        <f t="shared" si="159"/>
        <v>9.1836734693877559E-3</v>
      </c>
      <c r="R325" s="171"/>
      <c r="S325" s="184">
        <v>43692</v>
      </c>
      <c r="T325" s="191" t="s">
        <v>302</v>
      </c>
      <c r="U325" s="171"/>
    </row>
    <row r="326" spans="1:21" x14ac:dyDescent="0.3">
      <c r="A326" s="154">
        <v>84</v>
      </c>
      <c r="B326" s="181" t="str">
        <f t="shared" si="155"/>
        <v>Historical</v>
      </c>
      <c r="C326" s="171"/>
      <c r="D326" s="188" t="str">
        <f ca="1">INDEX(INDIRECT(E326),0,COLUMN(MO_Common_Column_A))</f>
        <v>Total Non-GAAP Operating Expenses, mm</v>
      </c>
      <c r="E326" s="182" t="s">
        <v>939</v>
      </c>
      <c r="F326" s="181" t="s">
        <v>412</v>
      </c>
      <c r="G326" s="181"/>
      <c r="H326" s="171"/>
      <c r="I326" s="183">
        <v>765</v>
      </c>
      <c r="J326" s="183">
        <v>765</v>
      </c>
      <c r="K326" s="183">
        <f t="shared" si="156"/>
        <v>765</v>
      </c>
      <c r="L326" s="171"/>
      <c r="M326" s="181" t="str">
        <f t="shared" si="157"/>
        <v>Actual</v>
      </c>
      <c r="N326" s="183">
        <f ca="1">IFERROR(INDEX(INDIRECT(E326),0,MATCH(F326,MO_Common_ColumnHeader,0)),"N/A")</f>
        <v>774</v>
      </c>
      <c r="O326" s="171"/>
      <c r="P326" s="189">
        <f t="shared" ca="1" si="158"/>
        <v>9</v>
      </c>
      <c r="Q326" s="190">
        <f t="shared" ca="1" si="159"/>
        <v>1.1764705882352941E-2</v>
      </c>
      <c r="R326" s="171"/>
      <c r="S326" s="184">
        <v>43692</v>
      </c>
      <c r="T326" s="191" t="s">
        <v>302</v>
      </c>
      <c r="U326" s="171"/>
    </row>
    <row r="327" spans="1:21" x14ac:dyDescent="0.3">
      <c r="A327" s="154">
        <v>83</v>
      </c>
      <c r="B327" s="181" t="str">
        <f t="shared" si="155"/>
        <v>Historical</v>
      </c>
      <c r="C327" s="171"/>
      <c r="D327" s="188" t="s">
        <v>307</v>
      </c>
      <c r="E327" s="182"/>
      <c r="F327" s="181" t="s">
        <v>412</v>
      </c>
      <c r="G327" s="181"/>
      <c r="H327" s="171"/>
      <c r="I327" s="183">
        <v>25</v>
      </c>
      <c r="J327" s="183">
        <v>25</v>
      </c>
      <c r="K327" s="183">
        <f t="shared" si="156"/>
        <v>25</v>
      </c>
      <c r="L327" s="171"/>
      <c r="M327" s="181" t="str">
        <f t="shared" si="157"/>
        <v>Actual</v>
      </c>
      <c r="N327" s="183" t="str">
        <f ca="1">IFERROR(INDEX(INDIRECT(E327),0,MATCH(F327,MO_Common_ColumnHeader,0)),"N/A")</f>
        <v>N/A</v>
      </c>
      <c r="O327" s="171"/>
      <c r="P327" s="189" t="str">
        <f t="shared" ca="1" si="158"/>
        <v>N/A</v>
      </c>
      <c r="Q327" s="190" t="str">
        <f t="shared" ca="1" si="159"/>
        <v>N/A</v>
      </c>
      <c r="R327" s="171"/>
      <c r="S327" s="184">
        <v>43692</v>
      </c>
      <c r="T327" s="191" t="s">
        <v>302</v>
      </c>
      <c r="U327" s="171"/>
    </row>
    <row r="328" spans="1:21" x14ac:dyDescent="0.3">
      <c r="A328" s="154">
        <v>82</v>
      </c>
      <c r="B328" s="181" t="str">
        <f t="shared" si="155"/>
        <v>Historical</v>
      </c>
      <c r="C328" s="171"/>
      <c r="D328" s="188" t="s">
        <v>308</v>
      </c>
      <c r="E328" s="182"/>
      <c r="F328" s="181" t="s">
        <v>412</v>
      </c>
      <c r="G328" s="181"/>
      <c r="H328" s="171"/>
      <c r="I328" s="183">
        <v>25</v>
      </c>
      <c r="J328" s="183">
        <v>25</v>
      </c>
      <c r="K328" s="183">
        <f t="shared" si="156"/>
        <v>25</v>
      </c>
      <c r="L328" s="171"/>
      <c r="M328" s="181" t="str">
        <f t="shared" si="157"/>
        <v>Actual</v>
      </c>
      <c r="N328" s="183">
        <f>INDEX(MO_RIS_IE_Net_NONGAAP,0,MATCH(F328,MO_Common_ColumnHeader,0))+INDEX(MO_RIS_OI_NONGAAP,0,MATCH(F328,MO_Common_ColumnHeader,0))</f>
        <v>-33</v>
      </c>
      <c r="O328" s="171"/>
      <c r="P328" s="189">
        <f t="shared" si="158"/>
        <v>-58</v>
      </c>
      <c r="Q328" s="190">
        <f t="shared" si="159"/>
        <v>-2.3199999999999998</v>
      </c>
      <c r="R328" s="171"/>
      <c r="S328" s="184">
        <v>43692</v>
      </c>
      <c r="T328" s="191" t="s">
        <v>302</v>
      </c>
      <c r="U328" s="171"/>
    </row>
    <row r="329" spans="1:21" x14ac:dyDescent="0.3">
      <c r="A329" s="154">
        <v>81</v>
      </c>
      <c r="B329" s="181" t="str">
        <f t="shared" si="155"/>
        <v>Historical</v>
      </c>
      <c r="C329" s="171"/>
      <c r="D329" s="188" t="s">
        <v>309</v>
      </c>
      <c r="E329" s="182" t="s">
        <v>818</v>
      </c>
      <c r="F329" s="181" t="s">
        <v>412</v>
      </c>
      <c r="G329" s="181"/>
      <c r="H329" s="171"/>
      <c r="I329" s="185">
        <v>0.09</v>
      </c>
      <c r="J329" s="185">
        <v>0.11</v>
      </c>
      <c r="K329" s="185">
        <f t="shared" si="156"/>
        <v>0.1</v>
      </c>
      <c r="L329" s="171"/>
      <c r="M329" s="181" t="str">
        <f t="shared" si="157"/>
        <v>Actual</v>
      </c>
      <c r="N329" s="185">
        <f ca="1">IFERROR(INDEX(INDIRECT(E329),0,MATCH(F329,MO_Common_ColumnHeader,0)),"N/A")</f>
        <v>6.2565172054223156E-2</v>
      </c>
      <c r="O329" s="171"/>
      <c r="P329" s="190">
        <f t="shared" ca="1" si="158"/>
        <v>-3.743482794577685E-2</v>
      </c>
      <c r="Q329" s="190">
        <f t="shared" ca="1" si="159"/>
        <v>-0.3743482794577685</v>
      </c>
      <c r="R329" s="171"/>
      <c r="S329" s="184">
        <v>43692</v>
      </c>
      <c r="T329" s="191" t="s">
        <v>302</v>
      </c>
      <c r="U329" s="171"/>
    </row>
    <row r="330" spans="1:21" x14ac:dyDescent="0.3">
      <c r="A330" s="154">
        <v>80</v>
      </c>
      <c r="B330" s="181" t="str">
        <f t="shared" si="155"/>
        <v>Historical</v>
      </c>
      <c r="C330" s="171"/>
      <c r="D330" s="188" t="str">
        <f ca="1">INDEX(INDIRECT(E330),0,COLUMN(MO_Common_Column_A))</f>
        <v>Non-GAAP Tax Rate</v>
      </c>
      <c r="E330" s="182" t="s">
        <v>310</v>
      </c>
      <c r="F330" s="181" t="s">
        <v>412</v>
      </c>
      <c r="G330" s="181"/>
      <c r="H330" s="171"/>
      <c r="I330" s="185">
        <v>0.09</v>
      </c>
      <c r="J330" s="185">
        <v>0.11</v>
      </c>
      <c r="K330" s="185">
        <f t="shared" si="156"/>
        <v>0.1</v>
      </c>
      <c r="L330" s="171"/>
      <c r="M330" s="181" t="str">
        <f t="shared" si="157"/>
        <v>Actual</v>
      </c>
      <c r="N330" s="185">
        <f ca="1">IFERROR(INDEX(INDIRECT(E330),0,MATCH(F330,MO_Common_ColumnHeader,0)),"N/A")</f>
        <v>7.2329688814129517E-2</v>
      </c>
      <c r="O330" s="171"/>
      <c r="P330" s="190">
        <f t="shared" ca="1" si="158"/>
        <v>-2.7670311185870489E-2</v>
      </c>
      <c r="Q330" s="190">
        <f t="shared" ca="1" si="159"/>
        <v>-0.27670311185870489</v>
      </c>
      <c r="R330" s="171"/>
      <c r="S330" s="184">
        <v>43692</v>
      </c>
      <c r="T330" s="191" t="s">
        <v>302</v>
      </c>
      <c r="U330" s="171"/>
    </row>
    <row r="331" spans="1:21" x14ac:dyDescent="0.3">
      <c r="A331" s="154">
        <v>79</v>
      </c>
      <c r="B331" s="181" t="str">
        <f t="shared" si="155"/>
        <v>Historical</v>
      </c>
      <c r="C331" s="171"/>
      <c r="D331" s="188" t="s">
        <v>311</v>
      </c>
      <c r="E331" s="182"/>
      <c r="F331" s="181" t="s">
        <v>412</v>
      </c>
      <c r="G331" s="181"/>
      <c r="H331" s="171"/>
      <c r="I331" s="185">
        <v>-5.0000000000000001E-3</v>
      </c>
      <c r="J331" s="185">
        <v>-5.0000000000000001E-3</v>
      </c>
      <c r="K331" s="185">
        <f t="shared" si="156"/>
        <v>-5.0000000000000001E-3</v>
      </c>
      <c r="L331" s="171"/>
      <c r="M331" s="181" t="str">
        <f t="shared" si="157"/>
        <v>Actual</v>
      </c>
      <c r="N331" s="185">
        <f>(INDEX(MO_RIS_SBC_COGS,0,MATCH(F331,MO_Common_ColumnHeader,0))+INDEX(z_A7FLSL0150_MO_RIS_AcquisitionrelatedcostsCOGS,0,MATCH(F331,MO_Common_ColumnHeader,0))+INDEX(MO_RIS_COGS_Adjustments,0,MATCH(F331,MO_Common_ColumnHeader,0)))/INDEX(MO_RIS_REV,0,MATCH(F331,MO_Common_ColumnHeader,0))</f>
        <v>-4.9767750497677508E-3</v>
      </c>
      <c r="O331" s="171"/>
      <c r="P331" s="190">
        <f t="shared" si="158"/>
        <v>2.3224950232249297E-5</v>
      </c>
      <c r="Q331" s="190">
        <f t="shared" si="159"/>
        <v>4.6449900464498595E-3</v>
      </c>
      <c r="R331" s="171"/>
      <c r="S331" s="184">
        <v>43692</v>
      </c>
      <c r="T331" s="191" t="s">
        <v>302</v>
      </c>
      <c r="U331" s="171"/>
    </row>
    <row r="332" spans="1:21" x14ac:dyDescent="0.3">
      <c r="A332" s="154">
        <v>78</v>
      </c>
      <c r="B332" s="181" t="str">
        <f t="shared" si="155"/>
        <v>Historical</v>
      </c>
      <c r="C332" s="171"/>
      <c r="D332" s="188" t="s">
        <v>312</v>
      </c>
      <c r="E332" s="182"/>
      <c r="F332" s="181" t="s">
        <v>412</v>
      </c>
      <c r="G332" s="181"/>
      <c r="H332" s="171"/>
      <c r="I332" s="183">
        <v>-215</v>
      </c>
      <c r="J332" s="183">
        <v>-215</v>
      </c>
      <c r="K332" s="183">
        <f t="shared" si="156"/>
        <v>-215</v>
      </c>
      <c r="L332" s="171"/>
      <c r="M332" s="181" t="str">
        <f t="shared" si="157"/>
        <v>Actual</v>
      </c>
      <c r="N332" s="183">
        <f>-(-INDEX(MO_RIS_OtherOperating_NONGAAP,0,MATCH(F332,MO_Common_ColumnHeader,0))+INDEX(z_A7FLSL0150_MO_RIS_SBC_2,0,MATCH(F332,MO_Common_ColumnHeader,0))+INDEX(z_A7FLSL0150_MO_RIS_sbc_1,0,MATCH(F332,MO_Common_ColumnHeader,0))+INDEX(z_A7FLSL0150_MO_RIS_AcquisitionrelatedcostsRD,0,MATCH(F332,MO_Common_ColumnHeader,0))+INDEX(z_A7FLSL0150_MO_RIS_AcquisitionrelatedcostsSGA,0,MATCH(F332,MO_Common_ColumnHeader,0)))</f>
        <v>-214</v>
      </c>
      <c r="O332" s="171"/>
      <c r="P332" s="189">
        <f t="shared" si="158"/>
        <v>1</v>
      </c>
      <c r="Q332" s="190">
        <f t="shared" si="159"/>
        <v>4.6511627906976744E-3</v>
      </c>
      <c r="R332" s="171"/>
      <c r="S332" s="184">
        <v>43692</v>
      </c>
      <c r="T332" s="191" t="s">
        <v>302</v>
      </c>
      <c r="U332" s="171"/>
    </row>
    <row r="333" spans="1:21" x14ac:dyDescent="0.3">
      <c r="A333" s="154">
        <v>77</v>
      </c>
      <c r="B333" s="171"/>
      <c r="C333" s="171"/>
      <c r="D333" s="168"/>
      <c r="E333" s="169"/>
      <c r="F333" s="171"/>
      <c r="G333" s="171"/>
      <c r="H333" s="171"/>
      <c r="I333" s="885"/>
      <c r="J333" s="885"/>
      <c r="K333" s="885"/>
      <c r="L333" s="171"/>
      <c r="M333" s="171"/>
      <c r="N333" s="885"/>
      <c r="O333" s="171"/>
      <c r="P333" s="172"/>
      <c r="Q333" s="134"/>
      <c r="R333" s="171"/>
      <c r="S333" s="173"/>
      <c r="T333" s="192"/>
      <c r="U333" s="171"/>
    </row>
    <row r="334" spans="1:21" x14ac:dyDescent="0.3">
      <c r="A334" s="154">
        <v>76</v>
      </c>
      <c r="B334" s="181" t="str">
        <f t="shared" ref="B334:B344" si="160">IF(INDEX(MO_SNA_IsHistoricalPeriod,,MATCH(F334,MO_Common_ColumnHeader,0)),"Historical","Forward")</f>
        <v>Historical</v>
      </c>
      <c r="C334" s="171"/>
      <c r="D334" s="188" t="str">
        <f ca="1">INDEX(INDIRECT(E334),0,COLUMN(MO_Common_Column_A))</f>
        <v>Net Revenue</v>
      </c>
      <c r="E334" s="182" t="s">
        <v>300</v>
      </c>
      <c r="F334" s="181" t="s">
        <v>408</v>
      </c>
      <c r="G334" s="181"/>
      <c r="H334" s="171"/>
      <c r="I334" s="183">
        <f>0.98*2550</f>
        <v>2499</v>
      </c>
      <c r="J334" s="183">
        <f>1.02*2550</f>
        <v>2601</v>
      </c>
      <c r="K334" s="183">
        <f t="shared" ref="K334:K344" si="161">AVERAGE(I334:J334)</f>
        <v>2550</v>
      </c>
      <c r="L334" s="171"/>
      <c r="M334" s="181" t="str">
        <f t="shared" ref="M334:M344" si="162">IF(INDEX(MO_SNA_IsHistoricalPeriod,,MATCH(F334,MO_Common_ColumnHeader,0)),"Actual","Estimate")</f>
        <v>Actual</v>
      </c>
      <c r="N334" s="183">
        <f ca="1">IFERROR(INDEX(INDIRECT(E334),0,MATCH(F334,MO_Common_ColumnHeader,0)),"N/A")</f>
        <v>2579</v>
      </c>
      <c r="O334" s="171"/>
      <c r="P334" s="189">
        <f t="shared" ref="P334:P344" ca="1" si="163">IF(ISNUMBER(N334),N334-K334,"N/A")</f>
        <v>29</v>
      </c>
      <c r="Q334" s="190">
        <f t="shared" ref="Q334:Q344" ca="1" si="164">IFERROR(IF(ISNUMBER(N334),(N334-K334)/ABS(K334),"N/A"),"N/A")</f>
        <v>1.1372549019607842E-2</v>
      </c>
      <c r="R334" s="171"/>
      <c r="S334" s="184">
        <v>43601</v>
      </c>
      <c r="T334" s="191" t="s">
        <v>302</v>
      </c>
      <c r="U334" s="171"/>
    </row>
    <row r="335" spans="1:21" x14ac:dyDescent="0.3">
      <c r="A335" s="154">
        <v>75</v>
      </c>
      <c r="B335" s="181" t="str">
        <f t="shared" si="160"/>
        <v>Historical</v>
      </c>
      <c r="C335" s="171"/>
      <c r="D335" s="188" t="str">
        <f ca="1">INDEX(INDIRECT(E335),0,COLUMN(MO_Common_Column_A))</f>
        <v>GAAP Gross Margin, %</v>
      </c>
      <c r="E335" s="182" t="s">
        <v>303</v>
      </c>
      <c r="F335" s="181" t="s">
        <v>408</v>
      </c>
      <c r="G335" s="181"/>
      <c r="H335" s="171"/>
      <c r="I335" s="185">
        <v>0.58699999999999997</v>
      </c>
      <c r="J335" s="185">
        <v>0.59699999999999998</v>
      </c>
      <c r="K335" s="185">
        <f t="shared" si="161"/>
        <v>0.59199999999999997</v>
      </c>
      <c r="L335" s="171"/>
      <c r="M335" s="181" t="str">
        <f t="shared" si="162"/>
        <v>Actual</v>
      </c>
      <c r="N335" s="185">
        <f ca="1">IFERROR(INDEX(INDIRECT(E335),0,MATCH(F335,MO_Common_ColumnHeader,0)),"N/A")</f>
        <v>0.59751841799146954</v>
      </c>
      <c r="O335" s="171"/>
      <c r="P335" s="190">
        <f t="shared" ca="1" si="163"/>
        <v>5.5184179914695708E-3</v>
      </c>
      <c r="Q335" s="190">
        <f t="shared" ca="1" si="164"/>
        <v>9.3216520126175179E-3</v>
      </c>
      <c r="R335" s="171"/>
      <c r="S335" s="184">
        <v>43601</v>
      </c>
      <c r="T335" s="191" t="s">
        <v>302</v>
      </c>
      <c r="U335" s="171"/>
    </row>
    <row r="336" spans="1:21" x14ac:dyDescent="0.3">
      <c r="A336" s="154">
        <v>74</v>
      </c>
      <c r="B336" s="181" t="str">
        <f t="shared" si="160"/>
        <v>Historical</v>
      </c>
      <c r="C336" s="171"/>
      <c r="D336" s="188" t="str">
        <f ca="1">INDEX(INDIRECT(E336),0,COLUMN(MO_Common_Column_A))</f>
        <v>Non-GAAP Gross Margin, %</v>
      </c>
      <c r="E336" s="182" t="s">
        <v>304</v>
      </c>
      <c r="F336" s="181" t="s">
        <v>408</v>
      </c>
      <c r="G336" s="181"/>
      <c r="H336" s="171"/>
      <c r="I336" s="185">
        <v>0.59</v>
      </c>
      <c r="J336" s="185">
        <v>0.6</v>
      </c>
      <c r="K336" s="185">
        <f t="shared" si="161"/>
        <v>0.59499999999999997</v>
      </c>
      <c r="L336" s="171"/>
      <c r="M336" s="181" t="str">
        <f t="shared" si="162"/>
        <v>Actual</v>
      </c>
      <c r="N336" s="185">
        <f ca="1">IFERROR(INDEX(INDIRECT(E336),0,MATCH(F336,MO_Common_ColumnHeader,0)),"N/A")</f>
        <v>0.60139588987979842</v>
      </c>
      <c r="O336" s="171"/>
      <c r="P336" s="190">
        <f t="shared" ca="1" si="163"/>
        <v>6.3958898797984443E-3</v>
      </c>
      <c r="Q336" s="190">
        <f t="shared" ca="1" si="164"/>
        <v>1.0749394755963773E-2</v>
      </c>
      <c r="R336" s="171"/>
      <c r="S336" s="184">
        <v>43601</v>
      </c>
      <c r="T336" s="191" t="s">
        <v>302</v>
      </c>
      <c r="U336" s="171"/>
    </row>
    <row r="337" spans="1:21" x14ac:dyDescent="0.3">
      <c r="A337" s="154">
        <v>73</v>
      </c>
      <c r="B337" s="181" t="str">
        <f t="shared" si="160"/>
        <v>Historical</v>
      </c>
      <c r="C337" s="171"/>
      <c r="D337" s="188" t="s">
        <v>305</v>
      </c>
      <c r="E337" s="182"/>
      <c r="F337" s="181" t="s">
        <v>408</v>
      </c>
      <c r="G337" s="181"/>
      <c r="H337" s="171"/>
      <c r="I337" s="183">
        <v>985</v>
      </c>
      <c r="J337" s="183">
        <v>985</v>
      </c>
      <c r="K337" s="183">
        <f t="shared" si="161"/>
        <v>985</v>
      </c>
      <c r="L337" s="171"/>
      <c r="M337" s="181" t="str">
        <f t="shared" si="162"/>
        <v>Actual</v>
      </c>
      <c r="N337" s="183">
        <f>INDEX(MO_RIS_RD,0,MATCH(F337,MO_Common_ColumnHeader,0))+INDEX(MO_RIS_SGA,0,MATCH(F337,MO_Common_ColumnHeader,0))</f>
        <v>970</v>
      </c>
      <c r="O337" s="171"/>
      <c r="P337" s="189">
        <f t="shared" si="163"/>
        <v>-15</v>
      </c>
      <c r="Q337" s="190">
        <f t="shared" si="164"/>
        <v>-1.5228426395939087E-2</v>
      </c>
      <c r="R337" s="171"/>
      <c r="S337" s="184">
        <v>43601</v>
      </c>
      <c r="T337" s="191" t="s">
        <v>302</v>
      </c>
      <c r="U337" s="171"/>
    </row>
    <row r="338" spans="1:21" x14ac:dyDescent="0.3">
      <c r="A338" s="154">
        <v>72</v>
      </c>
      <c r="B338" s="181" t="str">
        <f t="shared" si="160"/>
        <v>Historical</v>
      </c>
      <c r="C338" s="171"/>
      <c r="D338" s="188" t="str">
        <f ca="1">INDEX(INDIRECT(E338),0,COLUMN(MO_Common_Column_A))</f>
        <v>Total Non-GAAP Operating Expenses, mm</v>
      </c>
      <c r="E338" s="182" t="s">
        <v>939</v>
      </c>
      <c r="F338" s="181" t="s">
        <v>408</v>
      </c>
      <c r="G338" s="181"/>
      <c r="H338" s="171"/>
      <c r="I338" s="183">
        <v>765</v>
      </c>
      <c r="J338" s="183">
        <v>765</v>
      </c>
      <c r="K338" s="183">
        <f t="shared" si="161"/>
        <v>765</v>
      </c>
      <c r="L338" s="171"/>
      <c r="M338" s="181" t="str">
        <f t="shared" si="162"/>
        <v>Actual</v>
      </c>
      <c r="N338" s="183">
        <f ca="1">IFERROR(INDEX(INDIRECT(E338),0,MATCH(F338,MO_Common_ColumnHeader,0)),"N/A")</f>
        <v>749</v>
      </c>
      <c r="O338" s="171"/>
      <c r="P338" s="189">
        <f t="shared" ca="1" si="163"/>
        <v>-16</v>
      </c>
      <c r="Q338" s="190">
        <f t="shared" ca="1" si="164"/>
        <v>-2.0915032679738561E-2</v>
      </c>
      <c r="R338" s="171"/>
      <c r="S338" s="184">
        <v>43601</v>
      </c>
      <c r="T338" s="191" t="s">
        <v>302</v>
      </c>
      <c r="U338" s="171"/>
    </row>
    <row r="339" spans="1:21" x14ac:dyDescent="0.3">
      <c r="A339" s="154">
        <v>71</v>
      </c>
      <c r="B339" s="181" t="str">
        <f t="shared" si="160"/>
        <v>Historical</v>
      </c>
      <c r="C339" s="171"/>
      <c r="D339" s="188" t="s">
        <v>307</v>
      </c>
      <c r="E339" s="182"/>
      <c r="F339" s="181" t="s">
        <v>408</v>
      </c>
      <c r="G339" s="181"/>
      <c r="H339" s="171"/>
      <c r="I339" s="183">
        <v>27</v>
      </c>
      <c r="J339" s="183">
        <v>27</v>
      </c>
      <c r="K339" s="183">
        <f t="shared" si="161"/>
        <v>27</v>
      </c>
      <c r="L339" s="171"/>
      <c r="M339" s="181" t="str">
        <f t="shared" si="162"/>
        <v>Actual</v>
      </c>
      <c r="N339" s="183" t="str">
        <f ca="1">IFERROR(INDEX(INDIRECT(E339),0,MATCH(F339,MO_Common_ColumnHeader,0)),"N/A")</f>
        <v>N/A</v>
      </c>
      <c r="O339" s="171"/>
      <c r="P339" s="189" t="str">
        <f t="shared" ca="1" si="163"/>
        <v>N/A</v>
      </c>
      <c r="Q339" s="190" t="str">
        <f t="shared" ca="1" si="164"/>
        <v>N/A</v>
      </c>
      <c r="R339" s="171"/>
      <c r="S339" s="184">
        <v>43601</v>
      </c>
      <c r="T339" s="191" t="s">
        <v>302</v>
      </c>
      <c r="U339" s="171"/>
    </row>
    <row r="340" spans="1:21" x14ac:dyDescent="0.3">
      <c r="A340" s="154">
        <v>70</v>
      </c>
      <c r="B340" s="181" t="str">
        <f t="shared" si="160"/>
        <v>Historical</v>
      </c>
      <c r="C340" s="171"/>
      <c r="D340" s="188" t="s">
        <v>308</v>
      </c>
      <c r="E340" s="182"/>
      <c r="F340" s="181" t="s">
        <v>408</v>
      </c>
      <c r="G340" s="181"/>
      <c r="H340" s="171"/>
      <c r="I340" s="183">
        <v>27</v>
      </c>
      <c r="J340" s="183">
        <v>27</v>
      </c>
      <c r="K340" s="183">
        <f t="shared" si="161"/>
        <v>27</v>
      </c>
      <c r="L340" s="171"/>
      <c r="M340" s="181" t="str">
        <f t="shared" si="162"/>
        <v>Actual</v>
      </c>
      <c r="N340" s="183">
        <f>INDEX(MO_RIS_IE_Net_NONGAAP,0,MATCH(F340,MO_Common_ColumnHeader,0))+INDEX(MO_RIS_OI_NONGAAP,0,MATCH(F340,MO_Common_ColumnHeader,0))</f>
        <v>-35</v>
      </c>
      <c r="O340" s="171"/>
      <c r="P340" s="189">
        <f t="shared" si="163"/>
        <v>-62</v>
      </c>
      <c r="Q340" s="190">
        <f t="shared" si="164"/>
        <v>-2.2962962962962963</v>
      </c>
      <c r="R340" s="171"/>
      <c r="S340" s="184">
        <v>43601</v>
      </c>
      <c r="T340" s="191" t="s">
        <v>302</v>
      </c>
      <c r="U340" s="171"/>
    </row>
    <row r="341" spans="1:21" x14ac:dyDescent="0.3">
      <c r="A341" s="154">
        <v>69</v>
      </c>
      <c r="B341" s="181" t="str">
        <f t="shared" si="160"/>
        <v>Historical</v>
      </c>
      <c r="C341" s="171"/>
      <c r="D341" s="188" t="s">
        <v>309</v>
      </c>
      <c r="E341" s="182" t="s">
        <v>818</v>
      </c>
      <c r="F341" s="181" t="s">
        <v>408</v>
      </c>
      <c r="G341" s="181"/>
      <c r="H341" s="171"/>
      <c r="I341" s="185">
        <v>0.1</v>
      </c>
      <c r="J341" s="185">
        <v>0.1</v>
      </c>
      <c r="K341" s="185">
        <f t="shared" si="161"/>
        <v>0.1</v>
      </c>
      <c r="L341" s="171"/>
      <c r="M341" s="181" t="str">
        <f t="shared" si="162"/>
        <v>Actual</v>
      </c>
      <c r="N341" s="185">
        <f ca="1">IFERROR(INDEX(INDIRECT(E341),0,MATCH(F341,MO_Common_ColumnHeader,0)),"N/A")</f>
        <v>8.9108910891089105E-2</v>
      </c>
      <c r="O341" s="171"/>
      <c r="P341" s="190">
        <f t="shared" ca="1" si="163"/>
        <v>-1.0891089108910901E-2</v>
      </c>
      <c r="Q341" s="190">
        <f t="shared" ca="1" si="164"/>
        <v>-0.10891089108910901</v>
      </c>
      <c r="R341" s="171"/>
      <c r="S341" s="184">
        <v>43601</v>
      </c>
      <c r="T341" s="191" t="s">
        <v>302</v>
      </c>
      <c r="U341" s="171"/>
    </row>
    <row r="342" spans="1:21" x14ac:dyDescent="0.3">
      <c r="A342" s="154">
        <v>68</v>
      </c>
      <c r="B342" s="181" t="str">
        <f t="shared" si="160"/>
        <v>Historical</v>
      </c>
      <c r="C342" s="171"/>
      <c r="D342" s="188" t="str">
        <f ca="1">INDEX(INDIRECT(E342),0,COLUMN(MO_Common_Column_A))</f>
        <v>Non-GAAP Tax Rate</v>
      </c>
      <c r="E342" s="182" t="s">
        <v>310</v>
      </c>
      <c r="F342" s="181" t="s">
        <v>408</v>
      </c>
      <c r="G342" s="181"/>
      <c r="H342" s="171"/>
      <c r="I342" s="185">
        <v>0.1</v>
      </c>
      <c r="J342" s="185">
        <v>0.1</v>
      </c>
      <c r="K342" s="185">
        <f t="shared" si="161"/>
        <v>0.1</v>
      </c>
      <c r="L342" s="171"/>
      <c r="M342" s="181" t="str">
        <f t="shared" si="162"/>
        <v>Actual</v>
      </c>
      <c r="N342" s="185">
        <f ca="1">IFERROR(INDEX(INDIRECT(E342),0,MATCH(F342,MO_Common_ColumnHeader,0)),"N/A")</f>
        <v>8.9605734767025089E-2</v>
      </c>
      <c r="O342" s="171"/>
      <c r="P342" s="190">
        <f t="shared" ca="1" si="163"/>
        <v>-1.0394265232974917E-2</v>
      </c>
      <c r="Q342" s="190">
        <f t="shared" ca="1" si="164"/>
        <v>-0.10394265232974917</v>
      </c>
      <c r="R342" s="171"/>
      <c r="S342" s="184">
        <v>43601</v>
      </c>
      <c r="T342" s="191" t="s">
        <v>302</v>
      </c>
      <c r="U342" s="171"/>
    </row>
    <row r="343" spans="1:21" x14ac:dyDescent="0.3">
      <c r="A343" s="154">
        <v>67</v>
      </c>
      <c r="B343" s="181" t="str">
        <f t="shared" si="160"/>
        <v>Historical</v>
      </c>
      <c r="C343" s="171"/>
      <c r="D343" s="188" t="s">
        <v>311</v>
      </c>
      <c r="E343" s="182"/>
      <c r="F343" s="181" t="s">
        <v>408</v>
      </c>
      <c r="G343" s="181"/>
      <c r="H343" s="171"/>
      <c r="I343" s="185">
        <v>-3.0000000000000001E-3</v>
      </c>
      <c r="J343" s="185">
        <v>-3.0000000000000001E-3</v>
      </c>
      <c r="K343" s="185">
        <f t="shared" si="161"/>
        <v>-3.0000000000000001E-3</v>
      </c>
      <c r="L343" s="171"/>
      <c r="M343" s="181" t="str">
        <f t="shared" si="162"/>
        <v>Actual</v>
      </c>
      <c r="N343" s="185">
        <f>(INDEX(MO_RIS_SBC_COGS,0,MATCH(F343,MO_Common_ColumnHeader,0))+INDEX(z_A7FLSL0150_MO_RIS_AcquisitionrelatedcostsCOGS,0,MATCH(F343,MO_Common_ColumnHeader,0))+INDEX(MO_RIS_COGS_Adjustments,0,MATCH(F343,MO_Common_ColumnHeader,0)))/INDEX(MO_RIS_REV,0,MATCH(F343,MO_Common_ColumnHeader,0))</f>
        <v>-3.8774718883288098E-3</v>
      </c>
      <c r="O343" s="171"/>
      <c r="P343" s="190">
        <f t="shared" si="163"/>
        <v>-8.7747188832880971E-4</v>
      </c>
      <c r="Q343" s="190">
        <f t="shared" si="164"/>
        <v>-0.29249062944293658</v>
      </c>
      <c r="R343" s="171"/>
      <c r="S343" s="184">
        <v>43601</v>
      </c>
      <c r="T343" s="191" t="s">
        <v>302</v>
      </c>
      <c r="U343" s="171"/>
    </row>
    <row r="344" spans="1:21" x14ac:dyDescent="0.3">
      <c r="A344" s="154">
        <v>66</v>
      </c>
      <c r="B344" s="181" t="str">
        <f t="shared" si="160"/>
        <v>Historical</v>
      </c>
      <c r="C344" s="171"/>
      <c r="D344" s="188" t="s">
        <v>312</v>
      </c>
      <c r="E344" s="182"/>
      <c r="F344" s="181" t="s">
        <v>408</v>
      </c>
      <c r="G344" s="181"/>
      <c r="H344" s="171"/>
      <c r="I344" s="183">
        <v>-220</v>
      </c>
      <c r="J344" s="183">
        <v>-220</v>
      </c>
      <c r="K344" s="183">
        <f t="shared" si="161"/>
        <v>-220</v>
      </c>
      <c r="L344" s="171"/>
      <c r="M344" s="181" t="str">
        <f t="shared" si="162"/>
        <v>Actual</v>
      </c>
      <c r="N344" s="183">
        <f>-(-INDEX(MO_RIS_OtherOperating_NONGAAP,0,MATCH(F344,MO_Common_ColumnHeader,0))+INDEX(z_A7FLSL0150_MO_RIS_SBC_2,0,MATCH(F344,MO_Common_ColumnHeader,0))+INDEX(z_A7FLSL0150_MO_RIS_sbc_1,0,MATCH(F344,MO_Common_ColumnHeader,0))+INDEX(z_A7FLSL0150_MO_RIS_AcquisitionrelatedcostsRD,0,MATCH(F344,MO_Common_ColumnHeader,0))+INDEX(z_A7FLSL0150_MO_RIS_AcquisitionrelatedcostsSGA,0,MATCH(F344,MO_Common_ColumnHeader,0)))</f>
        <v>-221</v>
      </c>
      <c r="O344" s="171"/>
      <c r="P344" s="189">
        <f t="shared" si="163"/>
        <v>-1</v>
      </c>
      <c r="Q344" s="190">
        <f t="shared" si="164"/>
        <v>-4.5454545454545452E-3</v>
      </c>
      <c r="R344" s="171"/>
      <c r="S344" s="184">
        <v>43601</v>
      </c>
      <c r="T344" s="191" t="s">
        <v>302</v>
      </c>
      <c r="U344" s="171"/>
    </row>
    <row r="345" spans="1:21" x14ac:dyDescent="0.3">
      <c r="A345" s="154">
        <v>65</v>
      </c>
      <c r="B345" s="171"/>
      <c r="C345" s="171"/>
      <c r="D345" s="168"/>
      <c r="E345" s="169"/>
      <c r="F345" s="171"/>
      <c r="G345" s="171"/>
      <c r="H345" s="171"/>
      <c r="I345" s="885"/>
      <c r="J345" s="885"/>
      <c r="K345" s="885"/>
      <c r="L345" s="171"/>
      <c r="M345" s="171"/>
      <c r="N345" s="885"/>
      <c r="O345" s="171"/>
      <c r="P345" s="172"/>
      <c r="Q345" s="134"/>
      <c r="R345" s="171"/>
      <c r="S345" s="173"/>
      <c r="T345" s="192"/>
      <c r="U345" s="171"/>
    </row>
    <row r="346" spans="1:21" x14ac:dyDescent="0.3">
      <c r="A346" s="154">
        <v>64</v>
      </c>
      <c r="B346" s="181" t="str">
        <f t="shared" ref="B346:B356" si="165">IF(INDEX(MO_SNA_IsHistoricalPeriod,,MATCH(F346,MO_Common_ColumnHeader,0)),"Historical","Forward")</f>
        <v>Historical</v>
      </c>
      <c r="C346" s="171"/>
      <c r="D346" s="188" t="str">
        <f ca="1">INDEX(INDIRECT(E346),0,COLUMN(MO_Common_Column_A))</f>
        <v>Net Revenue</v>
      </c>
      <c r="E346" s="182" t="s">
        <v>300</v>
      </c>
      <c r="F346" s="181" t="s">
        <v>301</v>
      </c>
      <c r="G346" s="181"/>
      <c r="H346" s="171"/>
      <c r="I346" s="183">
        <v>2156</v>
      </c>
      <c r="J346" s="183">
        <v>2244</v>
      </c>
      <c r="K346" s="183">
        <f t="shared" ref="K346:K356" si="166">AVERAGE(I346:J346)</f>
        <v>2200</v>
      </c>
      <c r="L346" s="171"/>
      <c r="M346" s="181" t="str">
        <f t="shared" ref="M346:M356" si="167">IF(INDEX(MO_SNA_IsHistoricalPeriod,,MATCH(F346,MO_Common_ColumnHeader,0)),"Actual","Estimate")</f>
        <v>Actual</v>
      </c>
      <c r="N346" s="183">
        <f ca="1">IFERROR(INDEX(INDIRECT(E346),0,MATCH(F346,MO_Common_ColumnHeader,0)),"N/A")</f>
        <v>2220</v>
      </c>
      <c r="O346" s="171"/>
      <c r="P346" s="189">
        <f t="shared" ref="P346:P356" ca="1" si="168">IF(ISNUMBER(N346),N346-K346,"N/A")</f>
        <v>20</v>
      </c>
      <c r="Q346" s="190">
        <f t="shared" ref="Q346:Q356" ca="1" si="169">IFERROR(IF(ISNUMBER(N346),(N346-K346)/ABS(K346),"N/A"),"N/A")</f>
        <v>9.0909090909090905E-3</v>
      </c>
      <c r="R346" s="171"/>
      <c r="S346" s="184">
        <v>43510</v>
      </c>
      <c r="T346" s="191" t="s">
        <v>302</v>
      </c>
      <c r="U346" s="171"/>
    </row>
    <row r="347" spans="1:21" x14ac:dyDescent="0.3">
      <c r="A347" s="154">
        <v>63</v>
      </c>
      <c r="B347" s="181" t="str">
        <f t="shared" si="165"/>
        <v>Historical</v>
      </c>
      <c r="C347" s="171"/>
      <c r="D347" s="188" t="str">
        <f ca="1">INDEX(INDIRECT(E347),0,COLUMN(MO_Common_Column_A))</f>
        <v>GAAP Gross Margin, %</v>
      </c>
      <c r="E347" s="182" t="s">
        <v>303</v>
      </c>
      <c r="F347" s="181" t="s">
        <v>301</v>
      </c>
      <c r="G347" s="181"/>
      <c r="H347" s="171"/>
      <c r="I347" s="185">
        <v>0.58299999999999996</v>
      </c>
      <c r="J347" s="185">
        <v>0.59299999999999997</v>
      </c>
      <c r="K347" s="185">
        <f t="shared" si="166"/>
        <v>0.58799999999999997</v>
      </c>
      <c r="L347" s="171"/>
      <c r="M347" s="181" t="str">
        <f t="shared" si="167"/>
        <v>Actual</v>
      </c>
      <c r="N347" s="185">
        <f ca="1">IFERROR(INDEX(INDIRECT(E347),0,MATCH(F347,MO_Common_ColumnHeader,0)),"N/A")</f>
        <v>0.58378378378378382</v>
      </c>
      <c r="O347" s="171"/>
      <c r="P347" s="190">
        <f t="shared" ca="1" si="168"/>
        <v>-4.2162162162161509E-3</v>
      </c>
      <c r="Q347" s="190">
        <f t="shared" ca="1" si="169"/>
        <v>-7.1704357418642031E-3</v>
      </c>
      <c r="R347" s="171"/>
      <c r="S347" s="184">
        <v>43510</v>
      </c>
      <c r="T347" s="191" t="s">
        <v>302</v>
      </c>
      <c r="U347" s="171"/>
    </row>
    <row r="348" spans="1:21" x14ac:dyDescent="0.3">
      <c r="A348" s="154">
        <v>62</v>
      </c>
      <c r="B348" s="181" t="str">
        <f t="shared" si="165"/>
        <v>Historical</v>
      </c>
      <c r="C348" s="171"/>
      <c r="D348" s="188" t="str">
        <f ca="1">INDEX(INDIRECT(E348),0,COLUMN(MO_Common_Column_A))</f>
        <v>Non-GAAP Gross Margin, %</v>
      </c>
      <c r="E348" s="182" t="s">
        <v>304</v>
      </c>
      <c r="F348" s="181" t="s">
        <v>301</v>
      </c>
      <c r="G348" s="181"/>
      <c r="H348" s="171"/>
      <c r="I348" s="185">
        <v>0.58499999999999996</v>
      </c>
      <c r="J348" s="185">
        <v>0.59499999999999997</v>
      </c>
      <c r="K348" s="185">
        <f t="shared" si="166"/>
        <v>0.59</v>
      </c>
      <c r="L348" s="171"/>
      <c r="M348" s="181" t="str">
        <f t="shared" si="167"/>
        <v>Actual</v>
      </c>
      <c r="N348" s="185">
        <f ca="1">IFERROR(INDEX(INDIRECT(E348),0,MATCH(F348,MO_Common_ColumnHeader,0)),"N/A")</f>
        <v>0.59009009009009006</v>
      </c>
      <c r="O348" s="171"/>
      <c r="P348" s="190">
        <f t="shared" ca="1" si="168"/>
        <v>9.009009009008917E-5</v>
      </c>
      <c r="Q348" s="190">
        <f t="shared" ca="1" si="169"/>
        <v>1.5269506794930368E-4</v>
      </c>
      <c r="R348" s="171"/>
      <c r="S348" s="184">
        <v>43510</v>
      </c>
      <c r="T348" s="191" t="s">
        <v>302</v>
      </c>
      <c r="U348" s="171"/>
    </row>
    <row r="349" spans="1:21" x14ac:dyDescent="0.3">
      <c r="A349" s="154">
        <v>61</v>
      </c>
      <c r="B349" s="181" t="str">
        <f t="shared" si="165"/>
        <v>Historical</v>
      </c>
      <c r="C349" s="171"/>
      <c r="D349" s="188" t="s">
        <v>305</v>
      </c>
      <c r="E349" s="182"/>
      <c r="F349" s="181" t="s">
        <v>301</v>
      </c>
      <c r="G349" s="181"/>
      <c r="H349" s="171"/>
      <c r="I349" s="183">
        <v>930</v>
      </c>
      <c r="J349" s="183">
        <v>930</v>
      </c>
      <c r="K349" s="183">
        <f t="shared" si="166"/>
        <v>930</v>
      </c>
      <c r="L349" s="171"/>
      <c r="M349" s="181" t="str">
        <f t="shared" si="167"/>
        <v>Actual</v>
      </c>
      <c r="N349" s="183">
        <f>INDEX(MO_RIS_RD,0,MATCH(F349,MO_Common_ColumnHeader,0))+INDEX(MO_RIS_SGA,0,MATCH(F349,MO_Common_ColumnHeader,0))</f>
        <v>938</v>
      </c>
      <c r="O349" s="171"/>
      <c r="P349" s="189">
        <f t="shared" si="168"/>
        <v>8</v>
      </c>
      <c r="Q349" s="190">
        <f t="shared" si="169"/>
        <v>8.6021505376344086E-3</v>
      </c>
      <c r="R349" s="171"/>
      <c r="S349" s="184">
        <v>43510</v>
      </c>
      <c r="T349" s="191" t="s">
        <v>302</v>
      </c>
      <c r="U349" s="171"/>
    </row>
    <row r="350" spans="1:21" x14ac:dyDescent="0.3">
      <c r="A350" s="154">
        <v>60</v>
      </c>
      <c r="B350" s="181" t="str">
        <f t="shared" si="165"/>
        <v>Historical</v>
      </c>
      <c r="C350" s="171"/>
      <c r="D350" s="188" t="str">
        <f ca="1">INDEX(INDIRECT(E350),0,COLUMN(MO_Common_Column_A))</f>
        <v>Total Non-GAAP Operating Expenses, mm</v>
      </c>
      <c r="E350" s="182" t="s">
        <v>939</v>
      </c>
      <c r="F350" s="181" t="s">
        <v>301</v>
      </c>
      <c r="G350" s="181"/>
      <c r="H350" s="171"/>
      <c r="I350" s="183">
        <v>755</v>
      </c>
      <c r="J350" s="183">
        <v>755</v>
      </c>
      <c r="K350" s="183">
        <f t="shared" si="166"/>
        <v>755</v>
      </c>
      <c r="L350" s="171"/>
      <c r="M350" s="181" t="str">
        <f t="shared" si="167"/>
        <v>Actual</v>
      </c>
      <c r="N350" s="183">
        <f ca="1">IFERROR(INDEX(INDIRECT(E350),0,MATCH(F350,MO_Common_ColumnHeader,0)),"N/A")</f>
        <v>753</v>
      </c>
      <c r="O350" s="171"/>
      <c r="P350" s="189">
        <f t="shared" ca="1" si="168"/>
        <v>-2</v>
      </c>
      <c r="Q350" s="190">
        <f t="shared" ca="1" si="169"/>
        <v>-2.6490066225165563E-3</v>
      </c>
      <c r="R350" s="171"/>
      <c r="S350" s="184">
        <v>43510</v>
      </c>
      <c r="T350" s="191" t="s">
        <v>302</v>
      </c>
      <c r="U350" s="171"/>
    </row>
    <row r="351" spans="1:21" x14ac:dyDescent="0.3">
      <c r="A351" s="154">
        <v>59</v>
      </c>
      <c r="B351" s="181" t="str">
        <f t="shared" si="165"/>
        <v>Historical</v>
      </c>
      <c r="C351" s="171"/>
      <c r="D351" s="188" t="s">
        <v>307</v>
      </c>
      <c r="E351" s="182"/>
      <c r="F351" s="181" t="s">
        <v>301</v>
      </c>
      <c r="G351" s="181"/>
      <c r="H351" s="171"/>
      <c r="I351" s="183">
        <v>20</v>
      </c>
      <c r="J351" s="183">
        <v>20</v>
      </c>
      <c r="K351" s="183">
        <f t="shared" si="166"/>
        <v>20</v>
      </c>
      <c r="L351" s="171"/>
      <c r="M351" s="181" t="str">
        <f t="shared" si="167"/>
        <v>Actual</v>
      </c>
      <c r="N351" s="183" t="str">
        <f ca="1">IFERROR(INDEX(INDIRECT(E351),0,MATCH(F351,MO_Common_ColumnHeader,0)),"N/A")</f>
        <v>N/A</v>
      </c>
      <c r="O351" s="171"/>
      <c r="P351" s="189" t="str">
        <f t="shared" ca="1" si="168"/>
        <v>N/A</v>
      </c>
      <c r="Q351" s="190" t="str">
        <f t="shared" ca="1" si="169"/>
        <v>N/A</v>
      </c>
      <c r="R351" s="171"/>
      <c r="S351" s="184">
        <v>43510</v>
      </c>
      <c r="T351" s="191" t="s">
        <v>302</v>
      </c>
      <c r="U351" s="171"/>
    </row>
    <row r="352" spans="1:21" x14ac:dyDescent="0.3">
      <c r="A352" s="154">
        <v>58</v>
      </c>
      <c r="B352" s="181" t="str">
        <f t="shared" si="165"/>
        <v>Historical</v>
      </c>
      <c r="C352" s="171"/>
      <c r="D352" s="188" t="s">
        <v>308</v>
      </c>
      <c r="E352" s="182"/>
      <c r="F352" s="181" t="s">
        <v>301</v>
      </c>
      <c r="G352" s="181"/>
      <c r="H352" s="171"/>
      <c r="I352" s="183">
        <v>21</v>
      </c>
      <c r="J352" s="183">
        <v>21</v>
      </c>
      <c r="K352" s="183">
        <f t="shared" si="166"/>
        <v>21</v>
      </c>
      <c r="L352" s="171"/>
      <c r="M352" s="181" t="str">
        <f t="shared" si="167"/>
        <v>Actual</v>
      </c>
      <c r="N352" s="183">
        <f>INDEX(MO_RIS_IE_Net_NONGAAP,0,MATCH(F352,MO_Common_ColumnHeader,0))+INDEX(MO_RIS_OI_NONGAAP,0,MATCH(F352,MO_Common_ColumnHeader,0))</f>
        <v>-31</v>
      </c>
      <c r="O352" s="171"/>
      <c r="P352" s="189">
        <f t="shared" si="168"/>
        <v>-52</v>
      </c>
      <c r="Q352" s="190">
        <f t="shared" si="169"/>
        <v>-2.4761904761904763</v>
      </c>
      <c r="R352" s="171"/>
      <c r="S352" s="184">
        <v>43510</v>
      </c>
      <c r="T352" s="191" t="s">
        <v>302</v>
      </c>
      <c r="U352" s="171"/>
    </row>
    <row r="353" spans="1:21" x14ac:dyDescent="0.3">
      <c r="A353" s="154">
        <v>57</v>
      </c>
      <c r="B353" s="181" t="str">
        <f t="shared" si="165"/>
        <v>Historical</v>
      </c>
      <c r="C353" s="171"/>
      <c r="D353" s="188" t="s">
        <v>309</v>
      </c>
      <c r="E353" s="182" t="s">
        <v>818</v>
      </c>
      <c r="F353" s="181" t="s">
        <v>301</v>
      </c>
      <c r="G353" s="181"/>
      <c r="H353" s="171"/>
      <c r="I353" s="185">
        <v>0.09</v>
      </c>
      <c r="J353" s="185">
        <v>0.11</v>
      </c>
      <c r="K353" s="185">
        <f t="shared" si="166"/>
        <v>0.1</v>
      </c>
      <c r="L353" s="171"/>
      <c r="M353" s="181" t="str">
        <f t="shared" si="167"/>
        <v>Actual</v>
      </c>
      <c r="N353" s="185">
        <f ca="1">IFERROR(INDEX(INDIRECT(E353),0,MATCH(F353,MO_Common_ColumnHeader,0)),"N/A")</f>
        <v>-1.2853470437017995E-2</v>
      </c>
      <c r="O353" s="171"/>
      <c r="P353" s="190">
        <f t="shared" ca="1" si="168"/>
        <v>-0.112853470437018</v>
      </c>
      <c r="Q353" s="190">
        <f t="shared" ca="1" si="169"/>
        <v>-1.1285347043701799</v>
      </c>
      <c r="R353" s="171"/>
      <c r="S353" s="184">
        <v>43510</v>
      </c>
      <c r="T353" s="191" t="s">
        <v>302</v>
      </c>
      <c r="U353" s="171"/>
    </row>
    <row r="354" spans="1:21" x14ac:dyDescent="0.3">
      <c r="A354" s="154">
        <v>56</v>
      </c>
      <c r="B354" s="181" t="str">
        <f t="shared" si="165"/>
        <v>Historical</v>
      </c>
      <c r="C354" s="171"/>
      <c r="D354" s="188" t="str">
        <f ca="1">INDEX(INDIRECT(E354),0,COLUMN(MO_Common_Column_A))</f>
        <v>Non-GAAP Tax Rate</v>
      </c>
      <c r="E354" s="182" t="s">
        <v>310</v>
      </c>
      <c r="F354" s="181" t="s">
        <v>301</v>
      </c>
      <c r="G354" s="181"/>
      <c r="H354" s="171"/>
      <c r="I354" s="185">
        <v>0.09</v>
      </c>
      <c r="J354" s="185">
        <v>0.11</v>
      </c>
      <c r="K354" s="185">
        <f t="shared" si="166"/>
        <v>0.1</v>
      </c>
      <c r="L354" s="171"/>
      <c r="M354" s="181" t="str">
        <f t="shared" si="167"/>
        <v>Actual</v>
      </c>
      <c r="N354" s="185">
        <f ca="1">IFERROR(INDEX(INDIRECT(E354),0,MATCH(F354,MO_Common_ColumnHeader,0)),"N/A")</f>
        <v>7.6530612244897961E-2</v>
      </c>
      <c r="O354" s="171"/>
      <c r="P354" s="190">
        <f t="shared" ca="1" si="168"/>
        <v>-2.3469387755102045E-2</v>
      </c>
      <c r="Q354" s="190">
        <f t="shared" ca="1" si="169"/>
        <v>-0.23469387755102045</v>
      </c>
      <c r="R354" s="171"/>
      <c r="S354" s="184">
        <v>43510</v>
      </c>
      <c r="T354" s="191" t="s">
        <v>302</v>
      </c>
      <c r="U354" s="171"/>
    </row>
    <row r="355" spans="1:21" x14ac:dyDescent="0.3">
      <c r="A355" s="154">
        <v>55</v>
      </c>
      <c r="B355" s="181" t="str">
        <f t="shared" si="165"/>
        <v>Historical</v>
      </c>
      <c r="C355" s="171"/>
      <c r="D355" s="188" t="s">
        <v>311</v>
      </c>
      <c r="E355" s="182"/>
      <c r="F355" s="181" t="s">
        <v>301</v>
      </c>
      <c r="G355" s="181"/>
      <c r="H355" s="171"/>
      <c r="I355" s="185">
        <v>-2E-3</v>
      </c>
      <c r="J355" s="185">
        <v>-2E-3</v>
      </c>
      <c r="K355" s="185">
        <f t="shared" si="166"/>
        <v>-2E-3</v>
      </c>
      <c r="L355" s="171"/>
      <c r="M355" s="181" t="str">
        <f t="shared" si="167"/>
        <v>Actual</v>
      </c>
      <c r="N355" s="185">
        <f>(INDEX(MO_RIS_SBC_COGS,0,MATCH(F355,MO_Common_ColumnHeader,0))+INDEX(z_A7FLSL0150_MO_RIS_AcquisitionrelatedcostsCOGS,0,MATCH(F355,MO_Common_ColumnHeader,0))+INDEX(MO_RIS_COGS_Adjustments,0,MATCH(F355,MO_Common_ColumnHeader,0)))/INDEX(MO_RIS_REV,0,MATCH(F355,MO_Common_ColumnHeader,0))</f>
        <v>-6.3063063063063061E-3</v>
      </c>
      <c r="O355" s="171"/>
      <c r="P355" s="190">
        <f t="shared" si="168"/>
        <v>-4.306306306306306E-3</v>
      </c>
      <c r="Q355" s="190">
        <f t="shared" si="169"/>
        <v>-2.1531531531531529</v>
      </c>
      <c r="R355" s="171"/>
      <c r="S355" s="184">
        <v>43510</v>
      </c>
      <c r="T355" s="191" t="s">
        <v>302</v>
      </c>
      <c r="U355" s="171"/>
    </row>
    <row r="356" spans="1:21" x14ac:dyDescent="0.3">
      <c r="A356" s="154">
        <v>54</v>
      </c>
      <c r="B356" s="181" t="str">
        <f t="shared" si="165"/>
        <v>Historical</v>
      </c>
      <c r="C356" s="171"/>
      <c r="D356" s="188" t="s">
        <v>312</v>
      </c>
      <c r="E356" s="182"/>
      <c r="F356" s="181" t="s">
        <v>301</v>
      </c>
      <c r="G356" s="181"/>
      <c r="H356" s="171"/>
      <c r="I356" s="183">
        <v>-175</v>
      </c>
      <c r="J356" s="183">
        <v>-175</v>
      </c>
      <c r="K356" s="183">
        <f t="shared" si="166"/>
        <v>-175</v>
      </c>
      <c r="L356" s="171"/>
      <c r="M356" s="181" t="str">
        <f t="shared" si="167"/>
        <v>Actual</v>
      </c>
      <c r="N356" s="183">
        <f>-(-INDEX(MO_RIS_OtherOperating_NONGAAP,0,MATCH(F356,MO_Common_ColumnHeader,0))+INDEX(z_A7FLSL0150_MO_RIS_SBC_2,0,MATCH(F356,MO_Common_ColumnHeader,0))+INDEX(z_A7FLSL0150_MO_RIS_sbc_1,0,MATCH(F356,MO_Common_ColumnHeader,0))+INDEX(z_A7FLSL0150_MO_RIS_AcquisitionrelatedcostsRD,0,MATCH(F356,MO_Common_ColumnHeader,0))+INDEX(z_A7FLSL0150_MO_RIS_AcquisitionrelatedcostsSGA,0,MATCH(F356,MO_Common_ColumnHeader,0)))</f>
        <v>-184</v>
      </c>
      <c r="O356" s="171"/>
      <c r="P356" s="189">
        <f t="shared" si="168"/>
        <v>-9</v>
      </c>
      <c r="Q356" s="190">
        <f t="shared" si="169"/>
        <v>-5.1428571428571428E-2</v>
      </c>
      <c r="R356" s="171"/>
      <c r="S356" s="184">
        <v>43510</v>
      </c>
      <c r="T356" s="191" t="s">
        <v>302</v>
      </c>
      <c r="U356" s="171"/>
    </row>
    <row r="357" spans="1:21" x14ac:dyDescent="0.3">
      <c r="A357" s="154">
        <v>53</v>
      </c>
      <c r="B357" s="171"/>
      <c r="C357" s="171"/>
      <c r="D357" s="168"/>
      <c r="E357" s="169"/>
      <c r="F357" s="171"/>
      <c r="G357" s="171"/>
      <c r="H357" s="171"/>
      <c r="I357" s="885"/>
      <c r="J357" s="885"/>
      <c r="K357" s="885"/>
      <c r="L357" s="171"/>
      <c r="M357" s="171"/>
      <c r="N357" s="885"/>
      <c r="O357" s="171"/>
      <c r="P357" s="172"/>
      <c r="Q357" s="134"/>
      <c r="R357" s="171"/>
      <c r="S357" s="173"/>
      <c r="T357" s="192"/>
      <c r="U357" s="171"/>
    </row>
    <row r="358" spans="1:21" x14ac:dyDescent="0.3">
      <c r="A358" s="154">
        <v>52</v>
      </c>
      <c r="B358" s="181" t="str">
        <f t="shared" ref="B358:B368" si="170">IF(INDEX(MO_SNA_IsHistoricalPeriod,,MATCH(F358,MO_Common_ColumnHeader,0)),"Historical","Forward")</f>
        <v>Historical</v>
      </c>
      <c r="C358" s="171"/>
      <c r="D358" s="188" t="str">
        <f ca="1">INDEX(INDIRECT(E358),0,COLUMN(MO_Common_Column_A))</f>
        <v>Net Revenue</v>
      </c>
      <c r="E358" s="182" t="s">
        <v>300</v>
      </c>
      <c r="F358" s="181" t="s">
        <v>313</v>
      </c>
      <c r="G358" s="181"/>
      <c r="H358" s="171"/>
      <c r="I358" s="183">
        <v>2646</v>
      </c>
      <c r="J358" s="183">
        <v>2754</v>
      </c>
      <c r="K358" s="183">
        <f t="shared" ref="K358:K368" si="171">AVERAGE(I358:J358)</f>
        <v>2700</v>
      </c>
      <c r="L358" s="171"/>
      <c r="M358" s="181" t="str">
        <f t="shared" ref="M358:M368" si="172">IF(INDEX(MO_SNA_IsHistoricalPeriod,,MATCH(F358,MO_Common_ColumnHeader,0)),"Actual","Estimate")</f>
        <v>Actual</v>
      </c>
      <c r="N358" s="183">
        <f ca="1">IFERROR(INDEX(INDIRECT(E358),0,MATCH(F358,MO_Common_ColumnHeader,0)),"N/A")</f>
        <v>2205</v>
      </c>
      <c r="O358" s="171"/>
      <c r="P358" s="189">
        <f t="shared" ref="P358:P368" ca="1" si="173">IF(ISNUMBER(N358),N358-K358,"N/A")</f>
        <v>-495</v>
      </c>
      <c r="Q358" s="190">
        <f t="shared" ref="Q358:Q368" ca="1" si="174">IFERROR(IF(ISNUMBER(N358),(N358-K358)/ABS(K358),"N/A"),"N/A")</f>
        <v>-0.18333333333333332</v>
      </c>
      <c r="R358" s="171"/>
      <c r="S358" s="184">
        <v>43419</v>
      </c>
      <c r="T358" s="191" t="s">
        <v>302</v>
      </c>
      <c r="U358" s="171"/>
    </row>
    <row r="359" spans="1:21" x14ac:dyDescent="0.3">
      <c r="A359" s="154">
        <v>51</v>
      </c>
      <c r="B359" s="181" t="str">
        <f t="shared" si="170"/>
        <v>Historical</v>
      </c>
      <c r="C359" s="171"/>
      <c r="D359" s="188" t="str">
        <f ca="1">INDEX(INDIRECT(E359),0,COLUMN(MO_Common_Column_A))</f>
        <v>GAAP Gross Margin, %</v>
      </c>
      <c r="E359" s="182" t="s">
        <v>303</v>
      </c>
      <c r="F359" s="181" t="s">
        <v>313</v>
      </c>
      <c r="G359" s="181"/>
      <c r="H359" s="171"/>
      <c r="I359" s="185">
        <v>0.61799999999999999</v>
      </c>
      <c r="J359" s="185">
        <v>0.628</v>
      </c>
      <c r="K359" s="185">
        <f t="shared" si="171"/>
        <v>0.623</v>
      </c>
      <c r="L359" s="171"/>
      <c r="M359" s="181" t="str">
        <f t="shared" si="172"/>
        <v>Actual</v>
      </c>
      <c r="N359" s="185">
        <f ca="1">IFERROR(INDEX(INDIRECT(E359),0,MATCH(F359,MO_Common_ColumnHeader,0)),"N/A")</f>
        <v>0.54739229024943303</v>
      </c>
      <c r="O359" s="171"/>
      <c r="P359" s="190">
        <f t="shared" ca="1" si="173"/>
        <v>-7.5607709750566965E-2</v>
      </c>
      <c r="Q359" s="190">
        <f t="shared" ca="1" si="174"/>
        <v>-0.12136068980829369</v>
      </c>
      <c r="R359" s="171"/>
      <c r="S359" s="184">
        <v>43419</v>
      </c>
      <c r="T359" s="191" t="s">
        <v>302</v>
      </c>
      <c r="U359" s="171"/>
    </row>
    <row r="360" spans="1:21" x14ac:dyDescent="0.3">
      <c r="A360" s="154">
        <v>50</v>
      </c>
      <c r="B360" s="181" t="str">
        <f t="shared" si="170"/>
        <v>Historical</v>
      </c>
      <c r="C360" s="171"/>
      <c r="D360" s="188" t="str">
        <f ca="1">INDEX(INDIRECT(E360),0,COLUMN(MO_Common_Column_A))</f>
        <v>Non-GAAP Gross Margin, %</v>
      </c>
      <c r="E360" s="182" t="s">
        <v>304</v>
      </c>
      <c r="F360" s="181" t="s">
        <v>313</v>
      </c>
      <c r="G360" s="181"/>
      <c r="H360" s="171"/>
      <c r="I360" s="185">
        <v>0.62</v>
      </c>
      <c r="J360" s="185">
        <v>0.63</v>
      </c>
      <c r="K360" s="185">
        <f t="shared" si="171"/>
        <v>0.625</v>
      </c>
      <c r="L360" s="171"/>
      <c r="M360" s="181" t="str">
        <f t="shared" si="172"/>
        <v>Actual</v>
      </c>
      <c r="N360" s="185">
        <f ca="1">IFERROR(INDEX(INDIRECT(E360),0,MATCH(F360,MO_Common_ColumnHeader,0)),"N/A")</f>
        <v>0.55963718820861685</v>
      </c>
      <c r="O360" s="171"/>
      <c r="P360" s="190">
        <f t="shared" ca="1" si="173"/>
        <v>-6.5362811791383146E-2</v>
      </c>
      <c r="Q360" s="190">
        <f t="shared" ca="1" si="174"/>
        <v>-0.10458049886621304</v>
      </c>
      <c r="R360" s="171"/>
      <c r="S360" s="184">
        <v>43419</v>
      </c>
      <c r="T360" s="191" t="s">
        <v>302</v>
      </c>
      <c r="U360" s="171"/>
    </row>
    <row r="361" spans="1:21" x14ac:dyDescent="0.3">
      <c r="A361" s="154">
        <v>49</v>
      </c>
      <c r="B361" s="181" t="str">
        <f t="shared" si="170"/>
        <v>Historical</v>
      </c>
      <c r="C361" s="171"/>
      <c r="D361" s="188" t="s">
        <v>305</v>
      </c>
      <c r="E361" s="182"/>
      <c r="F361" s="181" t="s">
        <v>313</v>
      </c>
      <c r="G361" s="181"/>
      <c r="H361" s="171"/>
      <c r="I361" s="183">
        <v>915</v>
      </c>
      <c r="J361" s="183">
        <v>915</v>
      </c>
      <c r="K361" s="183">
        <f t="shared" si="171"/>
        <v>915</v>
      </c>
      <c r="L361" s="171"/>
      <c r="M361" s="181" t="str">
        <f t="shared" si="172"/>
        <v>Actual</v>
      </c>
      <c r="N361" s="183">
        <f>INDEX(MO_RIS_RD,0,MATCH(F361,MO_Common_ColumnHeader,0))+INDEX(MO_RIS_SGA,0,MATCH(F361,MO_Common_ColumnHeader,0))</f>
        <v>913</v>
      </c>
      <c r="O361" s="171"/>
      <c r="P361" s="189">
        <f t="shared" si="173"/>
        <v>-2</v>
      </c>
      <c r="Q361" s="190">
        <f t="shared" si="174"/>
        <v>-2.185792349726776E-3</v>
      </c>
      <c r="R361" s="171"/>
      <c r="S361" s="184">
        <v>43419</v>
      </c>
      <c r="T361" s="191" t="s">
        <v>302</v>
      </c>
      <c r="U361" s="171"/>
    </row>
    <row r="362" spans="1:21" x14ac:dyDescent="0.3">
      <c r="A362" s="154">
        <v>48</v>
      </c>
      <c r="B362" s="181" t="str">
        <f t="shared" si="170"/>
        <v>Historical</v>
      </c>
      <c r="C362" s="171"/>
      <c r="D362" s="188" t="str">
        <f ca="1">INDEX(INDIRECT(E362),0,COLUMN(MO_Common_Column_A))</f>
        <v>Total Non-GAAP Operating Expenses, mm</v>
      </c>
      <c r="E362" s="182" t="s">
        <v>939</v>
      </c>
      <c r="F362" s="181" t="s">
        <v>313</v>
      </c>
      <c r="G362" s="181"/>
      <c r="H362" s="171"/>
      <c r="I362" s="183">
        <v>755</v>
      </c>
      <c r="J362" s="183">
        <v>755</v>
      </c>
      <c r="K362" s="183">
        <f t="shared" si="171"/>
        <v>755</v>
      </c>
      <c r="L362" s="171"/>
      <c r="M362" s="181" t="str">
        <f t="shared" si="172"/>
        <v>Actual</v>
      </c>
      <c r="N362" s="183">
        <f ca="1">IFERROR(INDEX(INDIRECT(E362),0,MATCH(F362,MO_Common_ColumnHeader,0)),"N/A")</f>
        <v>755</v>
      </c>
      <c r="O362" s="171"/>
      <c r="P362" s="189">
        <f t="shared" ca="1" si="173"/>
        <v>0</v>
      </c>
      <c r="Q362" s="190">
        <f t="shared" ca="1" si="174"/>
        <v>0</v>
      </c>
      <c r="R362" s="171"/>
      <c r="S362" s="184">
        <v>43419</v>
      </c>
      <c r="T362" s="191" t="s">
        <v>302</v>
      </c>
      <c r="U362" s="171"/>
    </row>
    <row r="363" spans="1:21" x14ac:dyDescent="0.3">
      <c r="A363" s="154">
        <v>47</v>
      </c>
      <c r="B363" s="181" t="str">
        <f t="shared" si="170"/>
        <v>Historical</v>
      </c>
      <c r="C363" s="171"/>
      <c r="D363" s="188" t="s">
        <v>307</v>
      </c>
      <c r="E363" s="182"/>
      <c r="F363" s="181" t="s">
        <v>313</v>
      </c>
      <c r="G363" s="181"/>
      <c r="H363" s="171"/>
      <c r="I363" s="183">
        <v>21</v>
      </c>
      <c r="J363" s="183">
        <v>21</v>
      </c>
      <c r="K363" s="183">
        <f t="shared" si="171"/>
        <v>21</v>
      </c>
      <c r="L363" s="171"/>
      <c r="M363" s="181" t="str">
        <f t="shared" si="172"/>
        <v>Actual</v>
      </c>
      <c r="N363" s="183" t="str">
        <f ca="1">IFERROR(INDEX(INDIRECT(E363),0,MATCH(F363,MO_Common_ColumnHeader,0)),"N/A")</f>
        <v>N/A</v>
      </c>
      <c r="O363" s="171"/>
      <c r="P363" s="189" t="str">
        <f t="shared" ca="1" si="173"/>
        <v>N/A</v>
      </c>
      <c r="Q363" s="190" t="str">
        <f t="shared" ca="1" si="174"/>
        <v>N/A</v>
      </c>
      <c r="R363" s="171"/>
      <c r="S363" s="184">
        <v>43419</v>
      </c>
      <c r="T363" s="191" t="s">
        <v>302</v>
      </c>
      <c r="U363" s="171"/>
    </row>
    <row r="364" spans="1:21" x14ac:dyDescent="0.3">
      <c r="A364" s="154">
        <v>46</v>
      </c>
      <c r="B364" s="181" t="str">
        <f t="shared" si="170"/>
        <v>Historical</v>
      </c>
      <c r="C364" s="171"/>
      <c r="D364" s="188" t="s">
        <v>308</v>
      </c>
      <c r="E364" s="182"/>
      <c r="F364" s="181" t="s">
        <v>313</v>
      </c>
      <c r="G364" s="181"/>
      <c r="H364" s="171"/>
      <c r="I364" s="183">
        <v>21</v>
      </c>
      <c r="J364" s="183">
        <v>21</v>
      </c>
      <c r="K364" s="183">
        <f t="shared" si="171"/>
        <v>21</v>
      </c>
      <c r="L364" s="171"/>
      <c r="M364" s="181" t="str">
        <f t="shared" si="172"/>
        <v>Actual</v>
      </c>
      <c r="N364" s="183">
        <f>INDEX(MO_RIS_IE_Net_NONGAAP,0,MATCH(F364,MO_Common_ColumnHeader,0))+INDEX(MO_RIS_OI_NONGAAP,0,MATCH(F364,MO_Common_ColumnHeader,0))</f>
        <v>-29</v>
      </c>
      <c r="O364" s="171"/>
      <c r="P364" s="189">
        <f t="shared" si="173"/>
        <v>-50</v>
      </c>
      <c r="Q364" s="190">
        <f t="shared" si="174"/>
        <v>-2.3809523809523809</v>
      </c>
      <c r="R364" s="171"/>
      <c r="S364" s="184">
        <v>43419</v>
      </c>
      <c r="T364" s="191" t="s">
        <v>302</v>
      </c>
      <c r="U364" s="171"/>
    </row>
    <row r="365" spans="1:21" x14ac:dyDescent="0.3">
      <c r="A365" s="154">
        <v>45</v>
      </c>
      <c r="B365" s="181" t="str">
        <f t="shared" si="170"/>
        <v>Historical</v>
      </c>
      <c r="C365" s="171"/>
      <c r="D365" s="188" t="s">
        <v>309</v>
      </c>
      <c r="E365" s="182" t="s">
        <v>818</v>
      </c>
      <c r="F365" s="181" t="s">
        <v>313</v>
      </c>
      <c r="G365" s="181"/>
      <c r="H365" s="171"/>
      <c r="I365" s="185">
        <v>7.0000000000000007E-2</v>
      </c>
      <c r="J365" s="185">
        <v>0.09</v>
      </c>
      <c r="K365" s="185">
        <f t="shared" si="171"/>
        <v>0.08</v>
      </c>
      <c r="L365" s="171"/>
      <c r="M365" s="181" t="str">
        <f t="shared" si="172"/>
        <v>Actual</v>
      </c>
      <c r="N365" s="185">
        <f ca="1">IFERROR(INDEX(INDIRECT(E365),0,MATCH(F365,MO_Common_ColumnHeader,0)),"N/A")</f>
        <v>-0.75</v>
      </c>
      <c r="O365" s="171"/>
      <c r="P365" s="190">
        <f t="shared" ca="1" si="173"/>
        <v>-0.83</v>
      </c>
      <c r="Q365" s="190">
        <f t="shared" ca="1" si="174"/>
        <v>-10.375</v>
      </c>
      <c r="R365" s="171"/>
      <c r="S365" s="184">
        <v>43419</v>
      </c>
      <c r="T365" s="191" t="s">
        <v>302</v>
      </c>
      <c r="U365" s="171"/>
    </row>
    <row r="366" spans="1:21" x14ac:dyDescent="0.3">
      <c r="A366" s="154">
        <v>44</v>
      </c>
      <c r="B366" s="181" t="str">
        <f t="shared" si="170"/>
        <v>Historical</v>
      </c>
      <c r="C366" s="171"/>
      <c r="D366" s="188" t="str">
        <f ca="1">INDEX(INDIRECT(E366),0,COLUMN(MO_Common_Column_A))</f>
        <v>Non-GAAP Tax Rate</v>
      </c>
      <c r="E366" s="182" t="s">
        <v>310</v>
      </c>
      <c r="F366" s="181" t="s">
        <v>313</v>
      </c>
      <c r="G366" s="181"/>
      <c r="H366" s="171"/>
      <c r="I366" s="185">
        <v>7.0000000000000007E-2</v>
      </c>
      <c r="J366" s="185">
        <v>0.09</v>
      </c>
      <c r="K366" s="185">
        <f t="shared" si="171"/>
        <v>0.08</v>
      </c>
      <c r="L366" s="171"/>
      <c r="M366" s="181" t="str">
        <f t="shared" si="172"/>
        <v>Actual</v>
      </c>
      <c r="N366" s="185">
        <f ca="1">IFERROR(INDEX(INDIRECT(E366),0,MATCH(F366,MO_Common_ColumnHeader,0)),"N/A")</f>
        <v>2.3622047244094488E-2</v>
      </c>
      <c r="O366" s="171"/>
      <c r="P366" s="190">
        <f t="shared" ca="1" si="173"/>
        <v>-5.6377952755905514E-2</v>
      </c>
      <c r="Q366" s="190">
        <f t="shared" ca="1" si="174"/>
        <v>-0.70472440944881887</v>
      </c>
      <c r="R366" s="171"/>
      <c r="S366" s="184">
        <v>43419</v>
      </c>
      <c r="T366" s="191" t="s">
        <v>302</v>
      </c>
      <c r="U366" s="171"/>
    </row>
    <row r="367" spans="1:21" x14ac:dyDescent="0.3">
      <c r="A367" s="154">
        <v>43</v>
      </c>
      <c r="B367" s="181" t="str">
        <f t="shared" si="170"/>
        <v>Historical</v>
      </c>
      <c r="C367" s="171"/>
      <c r="D367" s="188" t="s">
        <v>311</v>
      </c>
      <c r="E367" s="182"/>
      <c r="F367" s="181" t="s">
        <v>313</v>
      </c>
      <c r="G367" s="181"/>
      <c r="H367" s="171"/>
      <c r="I367" s="185">
        <v>-2E-3</v>
      </c>
      <c r="J367" s="185">
        <v>-2E-3</v>
      </c>
      <c r="K367" s="185">
        <f t="shared" si="171"/>
        <v>-2E-3</v>
      </c>
      <c r="L367" s="171"/>
      <c r="M367" s="181" t="str">
        <f t="shared" si="172"/>
        <v>Actual</v>
      </c>
      <c r="N367" s="185">
        <f>(INDEX(MO_RIS_SBC_COGS,0,MATCH(F367,MO_Common_ColumnHeader,0))+INDEX(z_A7FLSL0150_MO_RIS_AcquisitionrelatedcostsCOGS,0,MATCH(F367,MO_Common_ColumnHeader,0))+INDEX(MO_RIS_COGS_Adjustments,0,MATCH(F367,MO_Common_ColumnHeader,0)))/INDEX(MO_RIS_REV,0,MATCH(F367,MO_Common_ColumnHeader,0))</f>
        <v>-1.2244897959183673E-2</v>
      </c>
      <c r="O367" s="171"/>
      <c r="P367" s="190">
        <f t="shared" si="173"/>
        <v>-1.0244897959183673E-2</v>
      </c>
      <c r="Q367" s="190">
        <f t="shared" si="174"/>
        <v>-5.1224489795918364</v>
      </c>
      <c r="R367" s="171"/>
      <c r="S367" s="184">
        <v>43419</v>
      </c>
      <c r="T367" s="191" t="s">
        <v>302</v>
      </c>
      <c r="U367" s="171"/>
    </row>
    <row r="368" spans="1:21" x14ac:dyDescent="0.3">
      <c r="A368" s="154">
        <v>42</v>
      </c>
      <c r="B368" s="181" t="str">
        <f t="shared" si="170"/>
        <v>Historical</v>
      </c>
      <c r="C368" s="171"/>
      <c r="D368" s="188" t="s">
        <v>312</v>
      </c>
      <c r="E368" s="182"/>
      <c r="F368" s="181" t="s">
        <v>313</v>
      </c>
      <c r="G368" s="181"/>
      <c r="H368" s="171"/>
      <c r="I368" s="183">
        <v>-160</v>
      </c>
      <c r="J368" s="183">
        <v>-160</v>
      </c>
      <c r="K368" s="183">
        <f t="shared" si="171"/>
        <v>-160</v>
      </c>
      <c r="L368" s="171"/>
      <c r="M368" s="181" t="str">
        <f t="shared" si="172"/>
        <v>Actual</v>
      </c>
      <c r="N368" s="183">
        <f>-(-INDEX(MO_RIS_OtherOperating_NONGAAP,0,MATCH(F368,MO_Common_ColumnHeader,0))+INDEX(z_A7FLSL0150_MO_RIS_SBC_2,0,MATCH(F368,MO_Common_ColumnHeader,0))+INDEX(z_A7FLSL0150_MO_RIS_sbc_1,0,MATCH(F368,MO_Common_ColumnHeader,0))+INDEX(z_A7FLSL0150_MO_RIS_AcquisitionrelatedcostsRD,0,MATCH(F368,MO_Common_ColumnHeader,0))+INDEX(z_A7FLSL0150_MO_RIS_AcquisitionrelatedcostsSGA,0,MATCH(F368,MO_Common_ColumnHeader,0)))</f>
        <v>-151</v>
      </c>
      <c r="O368" s="171"/>
      <c r="P368" s="189">
        <f t="shared" si="173"/>
        <v>9</v>
      </c>
      <c r="Q368" s="190">
        <f t="shared" si="174"/>
        <v>5.6250000000000001E-2</v>
      </c>
      <c r="R368" s="171"/>
      <c r="S368" s="184">
        <v>43419</v>
      </c>
      <c r="T368" s="191" t="s">
        <v>302</v>
      </c>
      <c r="U368" s="171"/>
    </row>
    <row r="369" spans="1:21" x14ac:dyDescent="0.3">
      <c r="A369" s="154">
        <v>41</v>
      </c>
      <c r="B369" s="171"/>
      <c r="C369" s="171"/>
      <c r="D369" s="168"/>
      <c r="E369" s="169"/>
      <c r="F369" s="171"/>
      <c r="G369" s="171"/>
      <c r="H369" s="171"/>
      <c r="I369" s="885"/>
      <c r="J369" s="885"/>
      <c r="K369" s="885"/>
      <c r="L369" s="171"/>
      <c r="M369" s="171"/>
      <c r="N369" s="885"/>
      <c r="O369" s="171"/>
      <c r="P369" s="172"/>
      <c r="Q369" s="134"/>
      <c r="R369" s="171"/>
      <c r="S369" s="173"/>
      <c r="T369" s="192"/>
      <c r="U369" s="171"/>
    </row>
    <row r="370" spans="1:21" x14ac:dyDescent="0.3">
      <c r="A370" s="154">
        <v>40</v>
      </c>
      <c r="B370" s="181" t="str">
        <f t="shared" ref="B370:B380" si="175">IF(INDEX(MO_SNA_IsHistoricalPeriod,,MATCH(F370,MO_Common_ColumnHeader,0)),"Historical","Forward")</f>
        <v>Historical</v>
      </c>
      <c r="C370" s="171"/>
      <c r="D370" s="188" t="str">
        <f ca="1">INDEX(INDIRECT(E370),0,COLUMN(MO_Common_Column_A))</f>
        <v>Net Revenue</v>
      </c>
      <c r="E370" s="182" t="s">
        <v>300</v>
      </c>
      <c r="F370" s="181" t="s">
        <v>314</v>
      </c>
      <c r="G370" s="181"/>
      <c r="H370" s="171"/>
      <c r="I370" s="183">
        <v>3185</v>
      </c>
      <c r="J370" s="183">
        <v>3315</v>
      </c>
      <c r="K370" s="183">
        <f t="shared" ref="K370:K380" si="176">AVERAGE(I370:J370)</f>
        <v>3250</v>
      </c>
      <c r="L370" s="171"/>
      <c r="M370" s="181" t="str">
        <f t="shared" ref="M370:M380" si="177">IF(INDEX(MO_SNA_IsHistoricalPeriod,,MATCH(F370,MO_Common_ColumnHeader,0)),"Actual","Estimate")</f>
        <v>Actual</v>
      </c>
      <c r="N370" s="183">
        <f ca="1">IFERROR(INDEX(INDIRECT(E370),0,MATCH(F370,MO_Common_ColumnHeader,0)),"N/A")</f>
        <v>3181</v>
      </c>
      <c r="O370" s="171"/>
      <c r="P370" s="189">
        <f t="shared" ref="P370:P380" ca="1" si="178">IF(ISNUMBER(N370),N370-K370,"N/A")</f>
        <v>-69</v>
      </c>
      <c r="Q370" s="190">
        <f t="shared" ref="Q370:Q380" ca="1" si="179">IFERROR(IF(ISNUMBER(N370),(N370-K370)/ABS(K370),"N/A"),"N/A")</f>
        <v>-2.123076923076923E-2</v>
      </c>
      <c r="R370" s="171"/>
      <c r="S370" s="184">
        <v>43328</v>
      </c>
      <c r="T370" s="191" t="s">
        <v>302</v>
      </c>
      <c r="U370" s="171"/>
    </row>
    <row r="371" spans="1:21" x14ac:dyDescent="0.3">
      <c r="A371" s="154">
        <v>39</v>
      </c>
      <c r="B371" s="181" t="str">
        <f t="shared" si="175"/>
        <v>Historical</v>
      </c>
      <c r="C371" s="171"/>
      <c r="D371" s="188" t="str">
        <f ca="1">INDEX(INDIRECT(E371),0,COLUMN(MO_Common_Column_A))</f>
        <v>GAAP Gross Margin, %</v>
      </c>
      <c r="E371" s="182" t="s">
        <v>303</v>
      </c>
      <c r="F371" s="181" t="s">
        <v>314</v>
      </c>
      <c r="G371" s="181"/>
      <c r="H371" s="171"/>
      <c r="I371" s="185">
        <v>0.621</v>
      </c>
      <c r="J371" s="185">
        <v>0.63100000000000001</v>
      </c>
      <c r="K371" s="185">
        <f t="shared" si="176"/>
        <v>0.626</v>
      </c>
      <c r="L371" s="171"/>
      <c r="M371" s="181" t="str">
        <f t="shared" si="177"/>
        <v>Actual</v>
      </c>
      <c r="N371" s="185">
        <f ca="1">IFERROR(INDEX(INDIRECT(E371),0,MATCH(F371,MO_Common_ColumnHeader,0)),"N/A")</f>
        <v>0.60389814523734675</v>
      </c>
      <c r="O371" s="171"/>
      <c r="P371" s="190">
        <f t="shared" ca="1" si="178"/>
        <v>-2.210185476265325E-2</v>
      </c>
      <c r="Q371" s="190">
        <f t="shared" ca="1" si="179"/>
        <v>-3.5306477256634584E-2</v>
      </c>
      <c r="R371" s="171"/>
      <c r="S371" s="184">
        <v>43328</v>
      </c>
      <c r="T371" s="191" t="s">
        <v>302</v>
      </c>
      <c r="U371" s="171"/>
    </row>
    <row r="372" spans="1:21" x14ac:dyDescent="0.3">
      <c r="A372" s="154">
        <v>38</v>
      </c>
      <c r="B372" s="181" t="str">
        <f t="shared" si="175"/>
        <v>Historical</v>
      </c>
      <c r="C372" s="171"/>
      <c r="D372" s="188" t="str">
        <f ca="1">INDEX(INDIRECT(E372),0,COLUMN(MO_Common_Column_A))</f>
        <v>Non-GAAP Gross Margin, %</v>
      </c>
      <c r="E372" s="182" t="s">
        <v>304</v>
      </c>
      <c r="F372" s="181" t="s">
        <v>314</v>
      </c>
      <c r="G372" s="181"/>
      <c r="H372" s="171"/>
      <c r="I372" s="185">
        <v>0.623</v>
      </c>
      <c r="J372" s="185">
        <v>0.63300000000000001</v>
      </c>
      <c r="K372" s="185">
        <f t="shared" si="176"/>
        <v>0.628</v>
      </c>
      <c r="L372" s="171"/>
      <c r="M372" s="181" t="str">
        <f t="shared" si="177"/>
        <v>Actual</v>
      </c>
      <c r="N372" s="185">
        <f ca="1">IFERROR(INDEX(INDIRECT(E372),0,MATCH(F372,MO_Common_ColumnHeader,0)),"N/A")</f>
        <v>0.60987110971392644</v>
      </c>
      <c r="O372" s="171"/>
      <c r="P372" s="190">
        <f t="shared" ca="1" si="178"/>
        <v>-1.8128890286073562E-2</v>
      </c>
      <c r="Q372" s="190">
        <f t="shared" ca="1" si="179"/>
        <v>-2.8867659691199941E-2</v>
      </c>
      <c r="R372" s="171"/>
      <c r="S372" s="184">
        <v>43328</v>
      </c>
      <c r="T372" s="191" t="s">
        <v>302</v>
      </c>
      <c r="U372" s="171"/>
    </row>
    <row r="373" spans="1:21" x14ac:dyDescent="0.3">
      <c r="A373" s="154">
        <v>37</v>
      </c>
      <c r="B373" s="181" t="str">
        <f t="shared" si="175"/>
        <v>Historical</v>
      </c>
      <c r="C373" s="171"/>
      <c r="D373" s="188" t="s">
        <v>305</v>
      </c>
      <c r="E373" s="182"/>
      <c r="F373" s="181" t="s">
        <v>314</v>
      </c>
      <c r="G373" s="181"/>
      <c r="H373" s="171"/>
      <c r="I373" s="183">
        <v>870</v>
      </c>
      <c r="J373" s="183">
        <v>870</v>
      </c>
      <c r="K373" s="183">
        <f t="shared" si="176"/>
        <v>870</v>
      </c>
      <c r="L373" s="171"/>
      <c r="M373" s="181" t="str">
        <f t="shared" si="177"/>
        <v>Actual</v>
      </c>
      <c r="N373" s="183">
        <f>INDEX(MO_RIS_RD,0,MATCH(F373,MO_Common_ColumnHeader,0))+INDEX(MO_RIS_SGA,0,MATCH(F373,MO_Common_ColumnHeader,0))</f>
        <v>863</v>
      </c>
      <c r="O373" s="171"/>
      <c r="P373" s="189">
        <f t="shared" si="178"/>
        <v>-7</v>
      </c>
      <c r="Q373" s="190">
        <f t="shared" si="179"/>
        <v>-8.0459770114942528E-3</v>
      </c>
      <c r="R373" s="171"/>
      <c r="S373" s="184">
        <v>43328</v>
      </c>
      <c r="T373" s="191" t="s">
        <v>302</v>
      </c>
      <c r="U373" s="171"/>
    </row>
    <row r="374" spans="1:21" x14ac:dyDescent="0.3">
      <c r="A374" s="154">
        <v>36</v>
      </c>
      <c r="B374" s="181" t="str">
        <f t="shared" si="175"/>
        <v>Historical</v>
      </c>
      <c r="C374" s="171"/>
      <c r="D374" s="188" t="str">
        <f ca="1">INDEX(INDIRECT(E374),0,COLUMN(MO_Common_Column_A))</f>
        <v>Total Non-GAAP Operating Expenses, mm</v>
      </c>
      <c r="E374" s="182" t="s">
        <v>939</v>
      </c>
      <c r="F374" s="181" t="s">
        <v>314</v>
      </c>
      <c r="G374" s="181"/>
      <c r="H374" s="171"/>
      <c r="I374" s="183">
        <v>730</v>
      </c>
      <c r="J374" s="183">
        <v>730</v>
      </c>
      <c r="K374" s="183">
        <f t="shared" si="176"/>
        <v>730</v>
      </c>
      <c r="L374" s="171"/>
      <c r="M374" s="181" t="str">
        <f t="shared" si="177"/>
        <v>Actual</v>
      </c>
      <c r="N374" s="183">
        <f ca="1">IFERROR(INDEX(INDIRECT(E374),0,MATCH(F374,MO_Common_ColumnHeader,0)),"N/A")</f>
        <v>730</v>
      </c>
      <c r="O374" s="171"/>
      <c r="P374" s="189">
        <f t="shared" ca="1" si="178"/>
        <v>0</v>
      </c>
      <c r="Q374" s="190">
        <f t="shared" ca="1" si="179"/>
        <v>0</v>
      </c>
      <c r="R374" s="171"/>
      <c r="S374" s="184">
        <v>43328</v>
      </c>
      <c r="T374" s="191" t="s">
        <v>302</v>
      </c>
      <c r="U374" s="171"/>
    </row>
    <row r="375" spans="1:21" x14ac:dyDescent="0.3">
      <c r="A375" s="154">
        <v>35</v>
      </c>
      <c r="B375" s="181" t="str">
        <f t="shared" si="175"/>
        <v>Historical</v>
      </c>
      <c r="C375" s="171"/>
      <c r="D375" s="188" t="s">
        <v>307</v>
      </c>
      <c r="E375" s="182"/>
      <c r="F375" s="181" t="s">
        <v>314</v>
      </c>
      <c r="G375" s="181"/>
      <c r="H375" s="171"/>
      <c r="I375" s="183">
        <v>20</v>
      </c>
      <c r="J375" s="183">
        <v>20</v>
      </c>
      <c r="K375" s="183">
        <f t="shared" si="176"/>
        <v>20</v>
      </c>
      <c r="L375" s="171"/>
      <c r="M375" s="181" t="str">
        <f t="shared" si="177"/>
        <v>Actual</v>
      </c>
      <c r="N375" s="183" t="str">
        <f ca="1">IFERROR(INDEX(INDIRECT(E375),0,MATCH(F375,MO_Common_ColumnHeader,0)),"N/A")</f>
        <v>N/A</v>
      </c>
      <c r="O375" s="171"/>
      <c r="P375" s="189" t="str">
        <f t="shared" ca="1" si="178"/>
        <v>N/A</v>
      </c>
      <c r="Q375" s="190" t="str">
        <f t="shared" ca="1" si="179"/>
        <v>N/A</v>
      </c>
      <c r="R375" s="171"/>
      <c r="S375" s="184">
        <v>43328</v>
      </c>
      <c r="T375" s="191" t="s">
        <v>302</v>
      </c>
      <c r="U375" s="171"/>
    </row>
    <row r="376" spans="1:21" x14ac:dyDescent="0.3">
      <c r="A376" s="154">
        <v>34</v>
      </c>
      <c r="B376" s="181" t="str">
        <f t="shared" si="175"/>
        <v>Historical</v>
      </c>
      <c r="C376" s="171"/>
      <c r="D376" s="188" t="s">
        <v>308</v>
      </c>
      <c r="E376" s="182"/>
      <c r="F376" s="181" t="s">
        <v>314</v>
      </c>
      <c r="G376" s="181"/>
      <c r="H376" s="171"/>
      <c r="I376" s="183">
        <v>20</v>
      </c>
      <c r="J376" s="183">
        <v>20</v>
      </c>
      <c r="K376" s="183">
        <f t="shared" si="176"/>
        <v>20</v>
      </c>
      <c r="L376" s="171"/>
      <c r="M376" s="181" t="str">
        <f t="shared" si="177"/>
        <v>Actual</v>
      </c>
      <c r="N376" s="183">
        <f>INDEX(MO_RIS_IE_Net_NONGAAP,0,MATCH(F376,MO_Common_ColumnHeader,0))+INDEX(MO_RIS_OI_NONGAAP,0,MATCH(F376,MO_Common_ColumnHeader,0))</f>
        <v>-21</v>
      </c>
      <c r="O376" s="171"/>
      <c r="P376" s="189">
        <f t="shared" si="178"/>
        <v>-41</v>
      </c>
      <c r="Q376" s="190">
        <f t="shared" si="179"/>
        <v>-2.0499999999999998</v>
      </c>
      <c r="R376" s="171"/>
      <c r="S376" s="184">
        <v>43328</v>
      </c>
      <c r="T376" s="191" t="s">
        <v>302</v>
      </c>
      <c r="U376" s="171"/>
    </row>
    <row r="377" spans="1:21" x14ac:dyDescent="0.3">
      <c r="A377" s="154">
        <v>33</v>
      </c>
      <c r="B377" s="181" t="str">
        <f t="shared" si="175"/>
        <v>Historical</v>
      </c>
      <c r="C377" s="171"/>
      <c r="D377" s="188" t="s">
        <v>309</v>
      </c>
      <c r="E377" s="182" t="s">
        <v>818</v>
      </c>
      <c r="F377" s="181" t="s">
        <v>314</v>
      </c>
      <c r="G377" s="181"/>
      <c r="H377" s="171"/>
      <c r="I377" s="185">
        <v>0.08</v>
      </c>
      <c r="J377" s="185">
        <v>0.1</v>
      </c>
      <c r="K377" s="185">
        <f t="shared" si="176"/>
        <v>0.09</v>
      </c>
      <c r="L377" s="171"/>
      <c r="M377" s="181" t="str">
        <f t="shared" si="177"/>
        <v>Actual</v>
      </c>
      <c r="N377" s="185">
        <f ca="1">IFERROR(INDEX(INDIRECT(E377),0,MATCH(F377,MO_Common_ColumnHeader,0)),"N/A")</f>
        <v>-0.13783533765032377</v>
      </c>
      <c r="O377" s="171"/>
      <c r="P377" s="190">
        <f t="shared" ca="1" si="178"/>
        <v>-0.22783533765032377</v>
      </c>
      <c r="Q377" s="190">
        <f t="shared" ca="1" si="179"/>
        <v>-2.5315037516702641</v>
      </c>
      <c r="R377" s="171"/>
      <c r="S377" s="184">
        <v>43328</v>
      </c>
      <c r="T377" s="191" t="s">
        <v>302</v>
      </c>
      <c r="U377" s="171"/>
    </row>
    <row r="378" spans="1:21" x14ac:dyDescent="0.3">
      <c r="A378" s="154">
        <v>32</v>
      </c>
      <c r="B378" s="181" t="str">
        <f t="shared" si="175"/>
        <v>Historical</v>
      </c>
      <c r="C378" s="171"/>
      <c r="D378" s="188" t="str">
        <f ca="1">INDEX(INDIRECT(E378),0,COLUMN(MO_Common_Column_A))</f>
        <v>Non-GAAP Tax Rate</v>
      </c>
      <c r="E378" s="182" t="s">
        <v>310</v>
      </c>
      <c r="F378" s="181" t="s">
        <v>314</v>
      </c>
      <c r="G378" s="181"/>
      <c r="H378" s="171"/>
      <c r="I378" s="185">
        <v>0.08</v>
      </c>
      <c r="J378" s="185">
        <v>0.1</v>
      </c>
      <c r="K378" s="185">
        <f t="shared" si="176"/>
        <v>0.09</v>
      </c>
      <c r="L378" s="171"/>
      <c r="M378" s="181" t="str">
        <f t="shared" si="177"/>
        <v>Actual</v>
      </c>
      <c r="N378" s="185">
        <f ca="1">IFERROR(INDEX(INDIRECT(E378),0,MATCH(F378,MO_Common_ColumnHeader,0)),"N/A")</f>
        <v>6.4987814784727857E-2</v>
      </c>
      <c r="O378" s="171"/>
      <c r="P378" s="190">
        <f t="shared" ca="1" si="178"/>
        <v>-2.501218521527214E-2</v>
      </c>
      <c r="Q378" s="190">
        <f t="shared" ca="1" si="179"/>
        <v>-0.27791316905857932</v>
      </c>
      <c r="R378" s="171"/>
      <c r="S378" s="184">
        <v>43328</v>
      </c>
      <c r="T378" s="191" t="s">
        <v>302</v>
      </c>
      <c r="U378" s="171"/>
    </row>
    <row r="379" spans="1:21" x14ac:dyDescent="0.3">
      <c r="A379" s="154">
        <v>31</v>
      </c>
      <c r="B379" s="181" t="str">
        <f t="shared" si="175"/>
        <v>Historical</v>
      </c>
      <c r="C379" s="171"/>
      <c r="D379" s="188" t="s">
        <v>311</v>
      </c>
      <c r="E379" s="182"/>
      <c r="F379" s="181" t="s">
        <v>314</v>
      </c>
      <c r="G379" s="181"/>
      <c r="H379" s="171"/>
      <c r="I379" s="185">
        <v>-2E-3</v>
      </c>
      <c r="J379" s="185">
        <v>-2E-3</v>
      </c>
      <c r="K379" s="185">
        <f t="shared" si="176"/>
        <v>-2E-3</v>
      </c>
      <c r="L379" s="171"/>
      <c r="M379" s="181" t="str">
        <f t="shared" si="177"/>
        <v>Actual</v>
      </c>
      <c r="N379" s="185">
        <f>(INDEX(MO_RIS_SBC_COGS,0,MATCH(F379,MO_Common_ColumnHeader,0))+INDEX(z_A7FLSL0150_MO_RIS_AcquisitionrelatedcostsCOGS,0,MATCH(F379,MO_Common_ColumnHeader,0))+INDEX(MO_RIS_COGS_Adjustments,0,MATCH(F379,MO_Common_ColumnHeader,0)))/INDEX(MO_RIS_REV,0,MATCH(F379,MO_Common_ColumnHeader,0))</f>
        <v>-5.9729644765796923E-3</v>
      </c>
      <c r="O379" s="171"/>
      <c r="P379" s="190">
        <f t="shared" si="178"/>
        <v>-3.9729644765796922E-3</v>
      </c>
      <c r="Q379" s="190">
        <f t="shared" si="179"/>
        <v>-1.9864822382898462</v>
      </c>
      <c r="R379" s="171"/>
      <c r="S379" s="184">
        <v>43328</v>
      </c>
      <c r="T379" s="191" t="s">
        <v>302</v>
      </c>
      <c r="U379" s="171"/>
    </row>
    <row r="380" spans="1:21" x14ac:dyDescent="0.3">
      <c r="A380" s="154">
        <v>30</v>
      </c>
      <c r="B380" s="181" t="str">
        <f t="shared" si="175"/>
        <v>Historical</v>
      </c>
      <c r="C380" s="171"/>
      <c r="D380" s="188" t="s">
        <v>312</v>
      </c>
      <c r="E380" s="182"/>
      <c r="F380" s="181" t="s">
        <v>314</v>
      </c>
      <c r="G380" s="181"/>
      <c r="H380" s="171"/>
      <c r="I380" s="183">
        <v>-140</v>
      </c>
      <c r="J380" s="183">
        <v>-140</v>
      </c>
      <c r="K380" s="183">
        <f t="shared" si="176"/>
        <v>-140</v>
      </c>
      <c r="L380" s="171"/>
      <c r="M380" s="181" t="str">
        <f t="shared" si="177"/>
        <v>Actual</v>
      </c>
      <c r="N380" s="183">
        <f>-(-INDEX(MO_RIS_OtherOperating_NONGAAP,0,MATCH(F380,MO_Common_ColumnHeader,0))+INDEX(z_A7FLSL0150_MO_RIS_SBC_2,0,MATCH(F380,MO_Common_ColumnHeader,0))+INDEX(z_A7FLSL0150_MO_RIS_sbc_1,0,MATCH(F380,MO_Common_ColumnHeader,0))+INDEX(z_A7FLSL0150_MO_RIS_AcquisitionrelatedcostsRD,0,MATCH(F380,MO_Common_ColumnHeader,0))+INDEX(z_A7FLSL0150_MO_RIS_AcquisitionrelatedcostsSGA,0,MATCH(F380,MO_Common_ColumnHeader,0)))</f>
        <v>-136</v>
      </c>
      <c r="O380" s="171"/>
      <c r="P380" s="189">
        <f t="shared" si="178"/>
        <v>4</v>
      </c>
      <c r="Q380" s="190">
        <f t="shared" si="179"/>
        <v>2.8571428571428571E-2</v>
      </c>
      <c r="R380" s="171"/>
      <c r="S380" s="184">
        <v>43328</v>
      </c>
      <c r="T380" s="191" t="s">
        <v>302</v>
      </c>
      <c r="U380" s="171"/>
    </row>
    <row r="381" spans="1:21" x14ac:dyDescent="0.3">
      <c r="A381" s="154">
        <v>29</v>
      </c>
      <c r="B381" s="171"/>
      <c r="C381" s="171"/>
      <c r="D381" s="168"/>
      <c r="E381" s="169"/>
      <c r="F381" s="171"/>
      <c r="G381" s="171"/>
      <c r="H381" s="171"/>
      <c r="I381" s="885"/>
      <c r="J381" s="885"/>
      <c r="K381" s="885"/>
      <c r="L381" s="171"/>
      <c r="M381" s="171"/>
      <c r="N381" s="885"/>
      <c r="O381" s="171"/>
      <c r="P381" s="172"/>
      <c r="Q381" s="134"/>
      <c r="R381" s="171"/>
      <c r="S381" s="173"/>
      <c r="T381" s="192"/>
      <c r="U381" s="171"/>
    </row>
    <row r="382" spans="1:21" x14ac:dyDescent="0.3">
      <c r="A382" s="154">
        <v>28</v>
      </c>
      <c r="B382" s="181" t="str">
        <f t="shared" ref="B382:B390" si="180">IF(INDEX(MO_SNA_IsHistoricalPeriod,,MATCH(F382,MO_Common_ColumnHeader,0)),"Historical","Forward")</f>
        <v>Historical</v>
      </c>
      <c r="C382" s="171"/>
      <c r="D382" s="188" t="str">
        <f ca="1">INDEX(INDIRECT(E382),0,COLUMN(MO_Common_Column_A))</f>
        <v>Net Revenue</v>
      </c>
      <c r="E382" s="182" t="s">
        <v>300</v>
      </c>
      <c r="F382" s="181" t="s">
        <v>315</v>
      </c>
      <c r="G382" s="181"/>
      <c r="H382" s="171"/>
      <c r="I382" s="183">
        <v>3038</v>
      </c>
      <c r="J382" s="183">
        <v>3162</v>
      </c>
      <c r="K382" s="183">
        <f t="shared" ref="K382:K390" si="181">AVERAGE(I382:J382)</f>
        <v>3100</v>
      </c>
      <c r="L382" s="171"/>
      <c r="M382" s="181" t="str">
        <f t="shared" ref="M382:M390" si="182">IF(INDEX(MO_SNA_IsHistoricalPeriod,,MATCH(F382,MO_Common_ColumnHeader,0)),"Actual","Estimate")</f>
        <v>Actual</v>
      </c>
      <c r="N382" s="183">
        <f ca="1">IFERROR(INDEX(INDIRECT(E382),0,MATCH(F382,MO_Common_ColumnHeader,0)),"N/A")</f>
        <v>3123</v>
      </c>
      <c r="O382" s="171"/>
      <c r="P382" s="189">
        <f t="shared" ref="P382:P390" ca="1" si="183">IF(ISNUMBER(N382),N382-K382,"N/A")</f>
        <v>23</v>
      </c>
      <c r="Q382" s="190">
        <f t="shared" ref="Q382:Q390" ca="1" si="184">IFERROR(IF(ISNUMBER(N382),(N382-K382)/ABS(K382),"N/A"),"N/A")</f>
        <v>7.4193548387096776E-3</v>
      </c>
      <c r="R382" s="171"/>
      <c r="S382" s="184">
        <v>43230</v>
      </c>
      <c r="T382" s="191" t="s">
        <v>302</v>
      </c>
      <c r="U382" s="171"/>
    </row>
    <row r="383" spans="1:21" x14ac:dyDescent="0.3">
      <c r="A383" s="154">
        <v>27</v>
      </c>
      <c r="B383" s="181" t="str">
        <f t="shared" si="180"/>
        <v>Historical</v>
      </c>
      <c r="C383" s="171"/>
      <c r="D383" s="188" t="str">
        <f ca="1">INDEX(INDIRECT(E383),0,COLUMN(MO_Common_Column_A))</f>
        <v>GAAP Gross Margin, %</v>
      </c>
      <c r="E383" s="182" t="s">
        <v>303</v>
      </c>
      <c r="F383" s="181" t="s">
        <v>315</v>
      </c>
      <c r="G383" s="181"/>
      <c r="H383" s="171"/>
      <c r="I383" s="185">
        <v>0.628</v>
      </c>
      <c r="J383" s="185">
        <v>0.63800000000000001</v>
      </c>
      <c r="K383" s="185">
        <f t="shared" si="181"/>
        <v>0.63300000000000001</v>
      </c>
      <c r="L383" s="171"/>
      <c r="M383" s="181" t="str">
        <f t="shared" si="182"/>
        <v>Actual</v>
      </c>
      <c r="N383" s="185">
        <f ca="1">IFERROR(INDEX(INDIRECT(E383),0,MATCH(F383,MO_Common_ColumnHeader,0)),"N/A")</f>
        <v>0.63240473903298111</v>
      </c>
      <c r="O383" s="171"/>
      <c r="P383" s="190">
        <f t="shared" ca="1" si="183"/>
        <v>-5.9526096701889575E-4</v>
      </c>
      <c r="Q383" s="190">
        <f t="shared" ca="1" si="184"/>
        <v>-9.4038067459541197E-4</v>
      </c>
      <c r="R383" s="171"/>
      <c r="S383" s="184">
        <v>43230</v>
      </c>
      <c r="T383" s="191" t="s">
        <v>302</v>
      </c>
      <c r="U383" s="171"/>
    </row>
    <row r="384" spans="1:21" x14ac:dyDescent="0.3">
      <c r="A384" s="154">
        <v>26</v>
      </c>
      <c r="B384" s="181" t="str">
        <f t="shared" si="180"/>
        <v>Historical</v>
      </c>
      <c r="C384" s="171"/>
      <c r="D384" s="188" t="str">
        <f ca="1">INDEX(INDIRECT(E384),0,COLUMN(MO_Common_Column_A))</f>
        <v>Non-GAAP Gross Margin, %</v>
      </c>
      <c r="E384" s="182" t="s">
        <v>304</v>
      </c>
      <c r="F384" s="181" t="s">
        <v>315</v>
      </c>
      <c r="G384" s="181"/>
      <c r="H384" s="171"/>
      <c r="I384" s="185">
        <v>0.63</v>
      </c>
      <c r="J384" s="185">
        <v>0.64</v>
      </c>
      <c r="K384" s="185">
        <f t="shared" si="181"/>
        <v>0.63500000000000001</v>
      </c>
      <c r="L384" s="171"/>
      <c r="M384" s="181" t="str">
        <f t="shared" si="182"/>
        <v>Actual</v>
      </c>
      <c r="N384" s="185">
        <f ca="1">IFERROR(INDEX(INDIRECT(E384),0,MATCH(F384,MO_Common_ColumnHeader,0)),"N/A")</f>
        <v>0.63496637848222859</v>
      </c>
      <c r="O384" s="171"/>
      <c r="P384" s="190">
        <f t="shared" ca="1" si="183"/>
        <v>-3.3621517771420528E-5</v>
      </c>
      <c r="Q384" s="190">
        <f t="shared" ca="1" si="184"/>
        <v>-5.2947272080977207E-5</v>
      </c>
      <c r="R384" s="171"/>
      <c r="S384" s="184">
        <v>43230</v>
      </c>
      <c r="T384" s="191" t="s">
        <v>302</v>
      </c>
      <c r="U384" s="171"/>
    </row>
    <row r="385" spans="1:21" x14ac:dyDescent="0.3">
      <c r="A385" s="154">
        <v>25</v>
      </c>
      <c r="B385" s="181" t="str">
        <f t="shared" si="180"/>
        <v>Historical</v>
      </c>
      <c r="C385" s="171"/>
      <c r="D385" s="188" t="s">
        <v>305</v>
      </c>
      <c r="E385" s="182"/>
      <c r="F385" s="181" t="s">
        <v>315</v>
      </c>
      <c r="G385" s="181"/>
      <c r="H385" s="171"/>
      <c r="I385" s="183">
        <v>810</v>
      </c>
      <c r="J385" s="183">
        <v>810</v>
      </c>
      <c r="K385" s="183">
        <f t="shared" si="181"/>
        <v>810</v>
      </c>
      <c r="L385" s="171"/>
      <c r="M385" s="181" t="str">
        <f t="shared" si="182"/>
        <v>Actual</v>
      </c>
      <c r="N385" s="183">
        <f>INDEX(MO_RIS_RD,0,MATCH(F385,MO_Common_ColumnHeader,0))+INDEX(MO_RIS_SGA,0,MATCH(F385,MO_Common_ColumnHeader,0))</f>
        <v>818</v>
      </c>
      <c r="O385" s="171"/>
      <c r="P385" s="189">
        <f t="shared" si="183"/>
        <v>8</v>
      </c>
      <c r="Q385" s="190">
        <f t="shared" si="184"/>
        <v>9.876543209876543E-3</v>
      </c>
      <c r="R385" s="171"/>
      <c r="S385" s="184">
        <v>43230</v>
      </c>
      <c r="T385" s="191" t="s">
        <v>302</v>
      </c>
      <c r="U385" s="171"/>
    </row>
    <row r="386" spans="1:21" x14ac:dyDescent="0.3">
      <c r="A386" s="154">
        <v>24</v>
      </c>
      <c r="B386" s="181" t="str">
        <f t="shared" si="180"/>
        <v>Historical</v>
      </c>
      <c r="C386" s="171"/>
      <c r="D386" s="188" t="str">
        <f ca="1">INDEX(INDIRECT(E386),0,COLUMN(MO_Common_Column_A))</f>
        <v>Total Non-GAAP Operating Expenses, mm</v>
      </c>
      <c r="E386" s="182" t="s">
        <v>939</v>
      </c>
      <c r="F386" s="181" t="s">
        <v>315</v>
      </c>
      <c r="G386" s="181"/>
      <c r="H386" s="171"/>
      <c r="I386" s="183">
        <v>685</v>
      </c>
      <c r="J386" s="183">
        <v>685</v>
      </c>
      <c r="K386" s="183">
        <f t="shared" si="181"/>
        <v>685</v>
      </c>
      <c r="L386" s="171"/>
      <c r="M386" s="181" t="str">
        <f t="shared" si="182"/>
        <v>Actual</v>
      </c>
      <c r="N386" s="183">
        <f ca="1">IFERROR(INDEX(INDIRECT(E386),0,MATCH(F386,MO_Common_ColumnHeader,0)),"N/A")</f>
        <v>692</v>
      </c>
      <c r="O386" s="171"/>
      <c r="P386" s="189">
        <f t="shared" ca="1" si="183"/>
        <v>7</v>
      </c>
      <c r="Q386" s="190">
        <f t="shared" ca="1" si="184"/>
        <v>1.0218978102189781E-2</v>
      </c>
      <c r="R386" s="171"/>
      <c r="S386" s="184">
        <v>43230</v>
      </c>
      <c r="T386" s="191" t="s">
        <v>302</v>
      </c>
      <c r="U386" s="171"/>
    </row>
    <row r="387" spans="1:21" x14ac:dyDescent="0.3">
      <c r="A387" s="154">
        <v>23</v>
      </c>
      <c r="B387" s="181" t="str">
        <f t="shared" si="180"/>
        <v>Historical</v>
      </c>
      <c r="C387" s="171"/>
      <c r="D387" s="188" t="s">
        <v>309</v>
      </c>
      <c r="E387" s="182" t="s">
        <v>818</v>
      </c>
      <c r="F387" s="181" t="s">
        <v>315</v>
      </c>
      <c r="G387" s="181"/>
      <c r="H387" s="171"/>
      <c r="I387" s="185">
        <v>0.1</v>
      </c>
      <c r="J387" s="185">
        <v>0.12</v>
      </c>
      <c r="K387" s="185">
        <f t="shared" si="181"/>
        <v>0.11</v>
      </c>
      <c r="L387" s="171"/>
      <c r="M387" s="181" t="str">
        <f t="shared" si="182"/>
        <v>Actual</v>
      </c>
      <c r="N387" s="185">
        <f ca="1">IFERROR(INDEX(INDIRECT(E387),0,MATCH(F387,MO_Common_ColumnHeader,0)),"N/A")</f>
        <v>6.6949152542372881E-2</v>
      </c>
      <c r="O387" s="171"/>
      <c r="P387" s="190">
        <f t="shared" ca="1" si="183"/>
        <v>-4.305084745762712E-2</v>
      </c>
      <c r="Q387" s="190">
        <f t="shared" ca="1" si="184"/>
        <v>-0.39137134052388289</v>
      </c>
      <c r="R387" s="171"/>
      <c r="S387" s="184">
        <v>43230</v>
      </c>
      <c r="T387" s="191" t="s">
        <v>302</v>
      </c>
      <c r="U387" s="171"/>
    </row>
    <row r="388" spans="1:21" x14ac:dyDescent="0.3">
      <c r="A388" s="154">
        <v>22</v>
      </c>
      <c r="B388" s="181" t="str">
        <f t="shared" si="180"/>
        <v>Historical</v>
      </c>
      <c r="C388" s="171"/>
      <c r="D388" s="188" t="str">
        <f ca="1">INDEX(INDIRECT(E388),0,COLUMN(MO_Common_Column_A))</f>
        <v>Non-GAAP Tax Rate</v>
      </c>
      <c r="E388" s="182" t="s">
        <v>310</v>
      </c>
      <c r="F388" s="181" t="s">
        <v>315</v>
      </c>
      <c r="G388" s="181"/>
      <c r="H388" s="171"/>
      <c r="I388" s="185">
        <v>0.1</v>
      </c>
      <c r="J388" s="185">
        <v>0.12</v>
      </c>
      <c r="K388" s="185">
        <f t="shared" si="181"/>
        <v>0.11</v>
      </c>
      <c r="L388" s="171"/>
      <c r="M388" s="181" t="str">
        <f t="shared" si="182"/>
        <v>Actual</v>
      </c>
      <c r="N388" s="185">
        <f ca="1">IFERROR(INDEX(INDIRECT(E388),0,MATCH(F388,MO_Common_ColumnHeader,0)),"N/A")</f>
        <v>7.7040427154843633E-2</v>
      </c>
      <c r="O388" s="171"/>
      <c r="P388" s="190">
        <f t="shared" ca="1" si="183"/>
        <v>-3.2959572845156368E-2</v>
      </c>
      <c r="Q388" s="190">
        <f t="shared" ca="1" si="184"/>
        <v>-0.29963248041051244</v>
      </c>
      <c r="R388" s="171"/>
      <c r="S388" s="184">
        <v>43230</v>
      </c>
      <c r="T388" s="191" t="s">
        <v>302</v>
      </c>
      <c r="U388" s="171"/>
    </row>
    <row r="389" spans="1:21" x14ac:dyDescent="0.3">
      <c r="A389" s="154">
        <v>21</v>
      </c>
      <c r="B389" s="181" t="str">
        <f t="shared" si="180"/>
        <v>Historical</v>
      </c>
      <c r="C389" s="171"/>
      <c r="D389" s="188" t="s">
        <v>311</v>
      </c>
      <c r="E389" s="182"/>
      <c r="F389" s="181" t="s">
        <v>315</v>
      </c>
      <c r="G389" s="181"/>
      <c r="H389" s="171"/>
      <c r="I389" s="185">
        <v>-2E-3</v>
      </c>
      <c r="J389" s="185">
        <v>-2E-3</v>
      </c>
      <c r="K389" s="185">
        <f t="shared" si="181"/>
        <v>-2E-3</v>
      </c>
      <c r="L389" s="171"/>
      <c r="M389" s="181" t="str">
        <f t="shared" si="182"/>
        <v>Actual</v>
      </c>
      <c r="N389" s="185">
        <f>(INDEX(MO_RIS_SBC_COGS,0,MATCH(F389,MO_Common_ColumnHeader,0))+INDEX(z_A7FLSL0150_MO_RIS_AcquisitionrelatedcostsCOGS,0,MATCH(F389,MO_Common_ColumnHeader,0))+INDEX(MO_RIS_COGS_Adjustments,0,MATCH(F389,MO_Common_ColumnHeader,0)))/INDEX(MO_RIS_REV,0,MATCH(F389,MO_Common_ColumnHeader,0))</f>
        <v>-2.5616394492475182E-3</v>
      </c>
      <c r="O389" s="171"/>
      <c r="P389" s="190">
        <f t="shared" si="183"/>
        <v>-5.6163944924751815E-4</v>
      </c>
      <c r="Q389" s="190">
        <f t="shared" si="184"/>
        <v>-0.28081972462375909</v>
      </c>
      <c r="R389" s="171"/>
      <c r="S389" s="184">
        <v>43230</v>
      </c>
      <c r="T389" s="191" t="s">
        <v>302</v>
      </c>
      <c r="U389" s="171"/>
    </row>
    <row r="390" spans="1:21" x14ac:dyDescent="0.3">
      <c r="A390" s="154">
        <v>20</v>
      </c>
      <c r="B390" s="181" t="str">
        <f t="shared" si="180"/>
        <v>Historical</v>
      </c>
      <c r="C390" s="171"/>
      <c r="D390" s="188" t="s">
        <v>312</v>
      </c>
      <c r="E390" s="182"/>
      <c r="F390" s="181" t="s">
        <v>315</v>
      </c>
      <c r="G390" s="181"/>
      <c r="H390" s="171"/>
      <c r="I390" s="183">
        <v>-125</v>
      </c>
      <c r="J390" s="183">
        <v>-125</v>
      </c>
      <c r="K390" s="183">
        <f t="shared" si="181"/>
        <v>-125</v>
      </c>
      <c r="L390" s="171"/>
      <c r="M390" s="181" t="str">
        <f t="shared" si="182"/>
        <v>Actual</v>
      </c>
      <c r="N390" s="183">
        <f>-(-INDEX(MO_RIS_OtherOperating_NONGAAP,0,MATCH(F390,MO_Common_ColumnHeader,0))+INDEX(z_A7FLSL0150_MO_RIS_SBC_2,0,MATCH(F390,MO_Common_ColumnHeader,0))+INDEX(z_A7FLSL0150_MO_RIS_sbc_1,0,MATCH(F390,MO_Common_ColumnHeader,0))+INDEX(z_A7FLSL0150_MO_RIS_AcquisitionrelatedcostsRD,0,MATCH(F390,MO_Common_ColumnHeader,0))+INDEX(z_A7FLSL0150_MO_RIS_AcquisitionrelatedcostsSGA,0,MATCH(F390,MO_Common_ColumnHeader,0)))</f>
        <v>-125</v>
      </c>
      <c r="O390" s="171"/>
      <c r="P390" s="189">
        <f t="shared" si="183"/>
        <v>0</v>
      </c>
      <c r="Q390" s="190">
        <f t="shared" si="184"/>
        <v>0</v>
      </c>
      <c r="R390" s="171"/>
      <c r="S390" s="184">
        <v>43230</v>
      </c>
      <c r="T390" s="191" t="s">
        <v>302</v>
      </c>
      <c r="U390" s="171"/>
    </row>
    <row r="391" spans="1:21" x14ac:dyDescent="0.3">
      <c r="A391" s="154">
        <v>19</v>
      </c>
      <c r="B391" s="171"/>
      <c r="C391" s="171"/>
      <c r="D391" s="168"/>
      <c r="E391" s="169"/>
      <c r="F391" s="171"/>
      <c r="G391" s="171"/>
      <c r="H391" s="171"/>
      <c r="I391" s="885"/>
      <c r="J391" s="885"/>
      <c r="K391" s="885"/>
      <c r="L391" s="171"/>
      <c r="M391" s="171"/>
      <c r="N391" s="885"/>
      <c r="O391" s="171"/>
      <c r="P391" s="172"/>
      <c r="Q391" s="134"/>
      <c r="R391" s="171"/>
      <c r="S391" s="173"/>
      <c r="T391" s="192"/>
      <c r="U391" s="171"/>
    </row>
    <row r="392" spans="1:21" x14ac:dyDescent="0.3">
      <c r="A392" s="154">
        <v>18</v>
      </c>
      <c r="B392" s="181" t="str">
        <f t="shared" ref="B392:B401" si="185">IF(INDEX(MO_SNA_IsHistoricalPeriod,,MATCH(F392,MO_Common_ColumnHeader,0)),"Historical","Forward")</f>
        <v>Historical</v>
      </c>
      <c r="C392" s="171"/>
      <c r="D392" s="188" t="s">
        <v>316</v>
      </c>
      <c r="E392" s="182"/>
      <c r="F392" s="181" t="s">
        <v>317</v>
      </c>
      <c r="G392" s="181"/>
      <c r="H392" s="171"/>
      <c r="I392" s="183">
        <v>-1250</v>
      </c>
      <c r="J392" s="183">
        <v>-1250</v>
      </c>
      <c r="K392" s="183">
        <f t="shared" ref="K392:K401" si="186">AVERAGE(I392:J392)</f>
        <v>-1250</v>
      </c>
      <c r="L392" s="171"/>
      <c r="M392" s="181" t="str">
        <f t="shared" ref="M392:M401" si="187">IF(INDEX(MO_SNA_IsHistoricalPeriod,,MATCH(F392,MO_Common_ColumnHeader,0)),"Actual","Estimate")</f>
        <v>Actual</v>
      </c>
      <c r="N392" s="183">
        <f>INDEX(MO_CFSum_Dividend,0,MATCH(F392,MO_Common_ColumnHeader,0))+INDEX(MO_CFS_Buyback,0,MATCH(F392,MO_Common_ColumnHeader,0))</f>
        <v>-1950</v>
      </c>
      <c r="O392" s="171"/>
      <c r="P392" s="189">
        <f t="shared" ref="P392:P401" si="188">IF(ISNUMBER(N392),N392-K392,"N/A")</f>
        <v>-700</v>
      </c>
      <c r="Q392" s="190">
        <f t="shared" ref="Q392:Q401" si="189">IFERROR(IF(ISNUMBER(N392),(N392-K392)/ABS(K392),"N/A"),"N/A")</f>
        <v>-0.56000000000000005</v>
      </c>
      <c r="R392" s="171"/>
      <c r="S392" s="184">
        <v>43139</v>
      </c>
      <c r="T392" s="191" t="s">
        <v>302</v>
      </c>
      <c r="U392" s="171"/>
    </row>
    <row r="393" spans="1:21" x14ac:dyDescent="0.3">
      <c r="A393" s="154">
        <v>17</v>
      </c>
      <c r="B393" s="181" t="str">
        <f t="shared" si="185"/>
        <v>Historical</v>
      </c>
      <c r="C393" s="171"/>
      <c r="D393" s="188" t="str">
        <f ca="1">INDEX(INDIRECT(E393),0,COLUMN(MO_Common_Column_A))</f>
        <v>Net Revenue</v>
      </c>
      <c r="E393" s="182" t="s">
        <v>300</v>
      </c>
      <c r="F393" s="181" t="s">
        <v>318</v>
      </c>
      <c r="G393" s="181"/>
      <c r="H393" s="171"/>
      <c r="I393" s="183">
        <v>2842</v>
      </c>
      <c r="J393" s="183">
        <v>2958</v>
      </c>
      <c r="K393" s="183">
        <f t="shared" si="186"/>
        <v>2900</v>
      </c>
      <c r="L393" s="171"/>
      <c r="M393" s="181" t="str">
        <f t="shared" si="187"/>
        <v>Actual</v>
      </c>
      <c r="N393" s="183">
        <f ca="1">IFERROR(INDEX(INDIRECT(E393),0,MATCH(F393,MO_Common_ColumnHeader,0)),"N/A")</f>
        <v>3207</v>
      </c>
      <c r="O393" s="171"/>
      <c r="P393" s="189">
        <f t="shared" ca="1" si="188"/>
        <v>307</v>
      </c>
      <c r="Q393" s="190">
        <f t="shared" ca="1" si="189"/>
        <v>0.10586206896551724</v>
      </c>
      <c r="R393" s="171"/>
      <c r="S393" s="184">
        <v>43139</v>
      </c>
      <c r="T393" s="191" t="s">
        <v>302</v>
      </c>
      <c r="U393" s="171"/>
    </row>
    <row r="394" spans="1:21" x14ac:dyDescent="0.3">
      <c r="A394" s="154">
        <v>16</v>
      </c>
      <c r="B394" s="181" t="str">
        <f t="shared" si="185"/>
        <v>Historical</v>
      </c>
      <c r="C394" s="171"/>
      <c r="D394" s="188" t="str">
        <f ca="1">INDEX(INDIRECT(E394),0,COLUMN(MO_Common_Column_A))</f>
        <v>GAAP Gross Margin, %</v>
      </c>
      <c r="E394" s="182" t="s">
        <v>303</v>
      </c>
      <c r="F394" s="181" t="s">
        <v>318</v>
      </c>
      <c r="G394" s="181"/>
      <c r="H394" s="171"/>
      <c r="I394" s="185">
        <v>0.622</v>
      </c>
      <c r="J394" s="185">
        <v>0.63200000000000001</v>
      </c>
      <c r="K394" s="185">
        <f t="shared" si="186"/>
        <v>0.627</v>
      </c>
      <c r="L394" s="171"/>
      <c r="M394" s="181" t="str">
        <f t="shared" si="187"/>
        <v>Actual</v>
      </c>
      <c r="N394" s="185">
        <f ca="1">IFERROR(INDEX(INDIRECT(E394),0,MATCH(F394,MO_Common_ColumnHeader,0)),"N/A")</f>
        <v>0.6448394137823511</v>
      </c>
      <c r="O394" s="171"/>
      <c r="P394" s="190">
        <f t="shared" ca="1" si="188"/>
        <v>1.7839413782351099E-2</v>
      </c>
      <c r="Q394" s="190">
        <f t="shared" ca="1" si="189"/>
        <v>2.8452015601835884E-2</v>
      </c>
      <c r="R394" s="171"/>
      <c r="S394" s="184">
        <v>43139</v>
      </c>
      <c r="T394" s="191" t="s">
        <v>302</v>
      </c>
      <c r="U394" s="171"/>
    </row>
    <row r="395" spans="1:21" x14ac:dyDescent="0.3">
      <c r="A395" s="154">
        <v>15</v>
      </c>
      <c r="B395" s="181" t="str">
        <f t="shared" si="185"/>
        <v>Historical</v>
      </c>
      <c r="C395" s="171"/>
      <c r="D395" s="188" t="str">
        <f ca="1">INDEX(INDIRECT(E395),0,COLUMN(MO_Common_Column_A))</f>
        <v>Non-GAAP Gross Margin, %</v>
      </c>
      <c r="E395" s="182" t="s">
        <v>304</v>
      </c>
      <c r="F395" s="181" t="s">
        <v>318</v>
      </c>
      <c r="G395" s="181"/>
      <c r="H395" s="171"/>
      <c r="I395" s="185">
        <v>0.625</v>
      </c>
      <c r="J395" s="185">
        <v>0.63500000000000001</v>
      </c>
      <c r="K395" s="185">
        <f t="shared" si="186"/>
        <v>0.63</v>
      </c>
      <c r="L395" s="171"/>
      <c r="M395" s="181" t="str">
        <f t="shared" si="187"/>
        <v>Actual</v>
      </c>
      <c r="N395" s="185">
        <f ca="1">IFERROR(INDEX(INDIRECT(E395),0,MATCH(F395,MO_Common_ColumnHeader,0)),"N/A")</f>
        <v>0.6473339569691301</v>
      </c>
      <c r="O395" s="171"/>
      <c r="P395" s="190">
        <f t="shared" ca="1" si="188"/>
        <v>1.7333956969130093E-2</v>
      </c>
      <c r="Q395" s="190">
        <f t="shared" ca="1" si="189"/>
        <v>2.7514217411317609E-2</v>
      </c>
      <c r="R395" s="171"/>
      <c r="S395" s="184">
        <v>43139</v>
      </c>
      <c r="T395" s="191" t="s">
        <v>302</v>
      </c>
      <c r="U395" s="171"/>
    </row>
    <row r="396" spans="1:21" x14ac:dyDescent="0.3">
      <c r="A396" s="154">
        <v>14</v>
      </c>
      <c r="B396" s="181" t="str">
        <f t="shared" si="185"/>
        <v>Historical</v>
      </c>
      <c r="C396" s="171"/>
      <c r="D396" s="188" t="s">
        <v>305</v>
      </c>
      <c r="E396" s="182"/>
      <c r="F396" s="181" t="s">
        <v>318</v>
      </c>
      <c r="G396" s="181"/>
      <c r="H396" s="171"/>
      <c r="I396" s="183">
        <v>770</v>
      </c>
      <c r="J396" s="183">
        <v>770</v>
      </c>
      <c r="K396" s="183">
        <f t="shared" si="186"/>
        <v>770</v>
      </c>
      <c r="L396" s="171"/>
      <c r="M396" s="181" t="str">
        <f t="shared" si="187"/>
        <v>Actual</v>
      </c>
      <c r="N396" s="183">
        <f>INDEX(MO_RIS_RD,0,MATCH(F396,MO_Common_ColumnHeader,0))+INDEX(MO_RIS_SGA,0,MATCH(F396,MO_Common_ColumnHeader,0))</f>
        <v>773</v>
      </c>
      <c r="O396" s="171"/>
      <c r="P396" s="189">
        <f t="shared" si="188"/>
        <v>3</v>
      </c>
      <c r="Q396" s="190">
        <f t="shared" si="189"/>
        <v>3.8961038961038961E-3</v>
      </c>
      <c r="R396" s="171"/>
      <c r="S396" s="184">
        <v>43139</v>
      </c>
      <c r="T396" s="191" t="s">
        <v>302</v>
      </c>
      <c r="U396" s="171"/>
    </row>
    <row r="397" spans="1:21" x14ac:dyDescent="0.3">
      <c r="A397" s="154">
        <v>13</v>
      </c>
      <c r="B397" s="181" t="str">
        <f t="shared" si="185"/>
        <v>Historical</v>
      </c>
      <c r="C397" s="171"/>
      <c r="D397" s="188" t="str">
        <f ca="1">INDEX(INDIRECT(E397),0,COLUMN(MO_Common_Column_A))</f>
        <v>Total Non-GAAP Operating Expenses, mm</v>
      </c>
      <c r="E397" s="182" t="s">
        <v>939</v>
      </c>
      <c r="F397" s="181" t="s">
        <v>318</v>
      </c>
      <c r="G397" s="181"/>
      <c r="H397" s="171"/>
      <c r="I397" s="183">
        <v>645</v>
      </c>
      <c r="J397" s="183">
        <v>645</v>
      </c>
      <c r="K397" s="183">
        <f t="shared" si="186"/>
        <v>645</v>
      </c>
      <c r="L397" s="171"/>
      <c r="M397" s="181" t="str">
        <f t="shared" si="187"/>
        <v>Actual</v>
      </c>
      <c r="N397" s="183">
        <f ca="1">IFERROR(INDEX(INDIRECT(E397),0,MATCH(F397,MO_Common_ColumnHeader,0)),"N/A")</f>
        <v>648</v>
      </c>
      <c r="O397" s="171"/>
      <c r="P397" s="189">
        <f t="shared" ca="1" si="188"/>
        <v>3</v>
      </c>
      <c r="Q397" s="190">
        <f t="shared" ca="1" si="189"/>
        <v>4.6511627906976744E-3</v>
      </c>
      <c r="R397" s="171"/>
      <c r="S397" s="184">
        <v>43139</v>
      </c>
      <c r="T397" s="191" t="s">
        <v>302</v>
      </c>
      <c r="U397" s="171"/>
    </row>
    <row r="398" spans="1:21" x14ac:dyDescent="0.3">
      <c r="A398" s="154">
        <v>12</v>
      </c>
      <c r="B398" s="181" t="str">
        <f t="shared" si="185"/>
        <v>Historical</v>
      </c>
      <c r="C398" s="171"/>
      <c r="D398" s="188" t="s">
        <v>309</v>
      </c>
      <c r="E398" s="182" t="s">
        <v>818</v>
      </c>
      <c r="F398" s="181" t="s">
        <v>318</v>
      </c>
      <c r="G398" s="181"/>
      <c r="H398" s="171"/>
      <c r="I398" s="185">
        <v>0.11</v>
      </c>
      <c r="J398" s="185">
        <v>0.13</v>
      </c>
      <c r="K398" s="185">
        <f t="shared" si="186"/>
        <v>0.12</v>
      </c>
      <c r="L398" s="171"/>
      <c r="M398" s="181" t="str">
        <f t="shared" si="187"/>
        <v>Actual</v>
      </c>
      <c r="N398" s="185">
        <f ca="1">IFERROR(INDEX(INDIRECT(E398),0,MATCH(F398,MO_Common_ColumnHeader,0)),"N/A")</f>
        <v>5.1106025934401222E-2</v>
      </c>
      <c r="O398" s="171"/>
      <c r="P398" s="190">
        <f t="shared" ca="1" si="188"/>
        <v>-6.8893974065598773E-2</v>
      </c>
      <c r="Q398" s="190">
        <f t="shared" ca="1" si="189"/>
        <v>-0.5741164505466565</v>
      </c>
      <c r="R398" s="171"/>
      <c r="S398" s="184">
        <v>43139</v>
      </c>
      <c r="T398" s="191" t="s">
        <v>302</v>
      </c>
      <c r="U398" s="171"/>
    </row>
    <row r="399" spans="1:21" x14ac:dyDescent="0.3">
      <c r="A399" s="154">
        <v>11</v>
      </c>
      <c r="B399" s="181" t="str">
        <f t="shared" si="185"/>
        <v>Historical</v>
      </c>
      <c r="C399" s="171"/>
      <c r="D399" s="188" t="str">
        <f ca="1">INDEX(INDIRECT(E399),0,COLUMN(MO_Common_Column_A))</f>
        <v>Non-GAAP Tax Rate</v>
      </c>
      <c r="E399" s="182" t="s">
        <v>310</v>
      </c>
      <c r="F399" s="181" t="s">
        <v>318</v>
      </c>
      <c r="G399" s="181"/>
      <c r="H399" s="171"/>
      <c r="I399" s="185">
        <v>0.11</v>
      </c>
      <c r="J399" s="185">
        <v>0.13</v>
      </c>
      <c r="K399" s="185">
        <f t="shared" si="186"/>
        <v>0.12</v>
      </c>
      <c r="L399" s="171"/>
      <c r="M399" s="181" t="str">
        <f t="shared" si="187"/>
        <v>Actual</v>
      </c>
      <c r="N399" s="185">
        <f ca="1">IFERROR(INDEX(INDIRECT(E399),0,MATCH(F399,MO_Common_ColumnHeader,0)),"N/A")</f>
        <v>0.10701876302988186</v>
      </c>
      <c r="O399" s="171"/>
      <c r="P399" s="190">
        <f t="shared" ca="1" si="188"/>
        <v>-1.2981236970118132E-2</v>
      </c>
      <c r="Q399" s="190">
        <f t="shared" ca="1" si="189"/>
        <v>-0.10817697475098444</v>
      </c>
      <c r="R399" s="171"/>
      <c r="S399" s="184">
        <v>43139</v>
      </c>
      <c r="T399" s="191" t="s">
        <v>302</v>
      </c>
      <c r="U399" s="171"/>
    </row>
    <row r="400" spans="1:21" x14ac:dyDescent="0.3">
      <c r="A400" s="154">
        <v>10</v>
      </c>
      <c r="B400" s="181" t="str">
        <f t="shared" si="185"/>
        <v>Historical</v>
      </c>
      <c r="C400" s="171"/>
      <c r="D400" s="188" t="s">
        <v>311</v>
      </c>
      <c r="E400" s="182"/>
      <c r="F400" s="181" t="s">
        <v>318</v>
      </c>
      <c r="G400" s="181"/>
      <c r="H400" s="171"/>
      <c r="I400" s="185">
        <v>-3.0000000000000001E-3</v>
      </c>
      <c r="J400" s="185">
        <v>-3.0000000000000001E-3</v>
      </c>
      <c r="K400" s="185">
        <f t="shared" si="186"/>
        <v>-3.0000000000000001E-3</v>
      </c>
      <c r="L400" s="171"/>
      <c r="M400" s="181" t="str">
        <f t="shared" si="187"/>
        <v>Actual</v>
      </c>
      <c r="N400" s="185">
        <f>(INDEX(MO_RIS_SBC_COGS,0,MATCH(F400,MO_Common_ColumnHeader,0))+INDEX(z_A7FLSL0150_MO_RIS_AcquisitionrelatedcostsCOGS,0,MATCH(F400,MO_Common_ColumnHeader,0))+INDEX(MO_RIS_COGS_Adjustments,0,MATCH(F400,MO_Common_ColumnHeader,0)))/INDEX(MO_RIS_REV,0,MATCH(F400,MO_Common_ColumnHeader,0))</f>
        <v>-2.494543186778921E-3</v>
      </c>
      <c r="O400" s="171"/>
      <c r="P400" s="190">
        <f t="shared" si="188"/>
        <v>5.0545681322107907E-4</v>
      </c>
      <c r="Q400" s="190">
        <f t="shared" si="189"/>
        <v>0.16848560440702634</v>
      </c>
      <c r="R400" s="171"/>
      <c r="S400" s="184">
        <v>43139</v>
      </c>
      <c r="T400" s="191" t="s">
        <v>302</v>
      </c>
      <c r="U400" s="171"/>
    </row>
    <row r="401" spans="1:21" x14ac:dyDescent="0.3">
      <c r="A401" s="154">
        <v>9</v>
      </c>
      <c r="B401" s="181" t="str">
        <f t="shared" si="185"/>
        <v>Historical</v>
      </c>
      <c r="C401" s="171"/>
      <c r="D401" s="188" t="s">
        <v>312</v>
      </c>
      <c r="E401" s="182"/>
      <c r="F401" s="181" t="s">
        <v>318</v>
      </c>
      <c r="G401" s="181"/>
      <c r="H401" s="171"/>
      <c r="I401" s="183">
        <v>-125</v>
      </c>
      <c r="J401" s="183">
        <v>-125</v>
      </c>
      <c r="K401" s="183">
        <f t="shared" si="186"/>
        <v>-125</v>
      </c>
      <c r="L401" s="171"/>
      <c r="M401" s="181" t="str">
        <f t="shared" si="187"/>
        <v>Actual</v>
      </c>
      <c r="N401" s="183">
        <f>-(-INDEX(MO_RIS_OtherOperating_NONGAAP,0,MATCH(F401,MO_Common_ColumnHeader,0))+INDEX(z_A7FLSL0150_MO_RIS_SBC_2,0,MATCH(F401,MO_Common_ColumnHeader,0))+INDEX(z_A7FLSL0150_MO_RIS_sbc_1,0,MATCH(F401,MO_Common_ColumnHeader,0))+INDEX(z_A7FLSL0150_MO_RIS_AcquisitionrelatedcostsRD,0,MATCH(F401,MO_Common_ColumnHeader,0))+INDEX(z_A7FLSL0150_MO_RIS_AcquisitionrelatedcostsSGA,0,MATCH(F401,MO_Common_ColumnHeader,0)))</f>
        <v>-123</v>
      </c>
      <c r="O401" s="171"/>
      <c r="P401" s="189">
        <f t="shared" si="188"/>
        <v>2</v>
      </c>
      <c r="Q401" s="190">
        <f t="shared" si="189"/>
        <v>1.6E-2</v>
      </c>
      <c r="R401" s="171"/>
      <c r="S401" s="184">
        <v>43139</v>
      </c>
      <c r="T401" s="191" t="s">
        <v>302</v>
      </c>
      <c r="U401" s="171"/>
    </row>
    <row r="402" spans="1:21" x14ac:dyDescent="0.3">
      <c r="A402" s="154">
        <v>8</v>
      </c>
      <c r="B402" s="171"/>
      <c r="C402" s="171"/>
      <c r="D402" s="168"/>
      <c r="E402" s="169"/>
      <c r="F402" s="171"/>
      <c r="G402" s="171"/>
      <c r="H402" s="171"/>
      <c r="I402" s="885"/>
      <c r="J402" s="885"/>
      <c r="K402" s="885"/>
      <c r="L402" s="171"/>
      <c r="M402" s="171"/>
      <c r="N402" s="885"/>
      <c r="O402" s="171"/>
      <c r="P402" s="172"/>
      <c r="Q402" s="134"/>
      <c r="R402" s="171"/>
      <c r="S402" s="173"/>
      <c r="T402" s="192"/>
      <c r="U402" s="171"/>
    </row>
    <row r="403" spans="1:21" x14ac:dyDescent="0.3">
      <c r="A403" s="154">
        <v>7</v>
      </c>
      <c r="B403" s="181" t="str">
        <f t="shared" ref="B403:B409" si="190">IF(INDEX(MO_SNA_IsHistoricalPeriod,,MATCH(F403,MO_Common_ColumnHeader,0)),"Historical","Forward")</f>
        <v>Historical</v>
      </c>
      <c r="C403" s="171"/>
      <c r="D403" s="188" t="str">
        <f ca="1">INDEX(INDIRECT(E403),0,COLUMN(MO_Common_Column_A))</f>
        <v>Net Revenue</v>
      </c>
      <c r="E403" s="182" t="s">
        <v>300</v>
      </c>
      <c r="F403" s="181" t="s">
        <v>319</v>
      </c>
      <c r="G403" s="181"/>
      <c r="H403" s="171"/>
      <c r="I403" s="183">
        <v>2597</v>
      </c>
      <c r="J403" s="183">
        <v>2703</v>
      </c>
      <c r="K403" s="183">
        <f t="shared" ref="K403:K409" si="191">AVERAGE(I403:J403)</f>
        <v>2650</v>
      </c>
      <c r="L403" s="171"/>
      <c r="M403" s="181" t="str">
        <f t="shared" ref="M403:M409" si="192">IF(INDEX(MO_SNA_IsHistoricalPeriod,,MATCH(F403,MO_Common_ColumnHeader,0)),"Actual","Estimate")</f>
        <v>Actual</v>
      </c>
      <c r="N403" s="183">
        <f ca="1">IFERROR(INDEX(INDIRECT(E403),0,MATCH(F403,MO_Common_ColumnHeader,0)),"N/A")</f>
        <v>2911</v>
      </c>
      <c r="O403" s="171"/>
      <c r="P403" s="189">
        <f t="shared" ref="P403:P409" ca="1" si="193">IF(ISNUMBER(N403),N403-K403,"N/A")</f>
        <v>261</v>
      </c>
      <c r="Q403" s="190">
        <f t="shared" ref="Q403:Q409" ca="1" si="194">IFERROR(IF(ISNUMBER(N403),(N403-K403)/ABS(K403),"N/A"),"N/A")</f>
        <v>9.8490566037735844E-2</v>
      </c>
      <c r="R403" s="171"/>
      <c r="S403" s="184">
        <v>43048</v>
      </c>
      <c r="T403" s="191" t="s">
        <v>302</v>
      </c>
      <c r="U403" s="171"/>
    </row>
    <row r="404" spans="1:21" x14ac:dyDescent="0.3">
      <c r="A404" s="154">
        <v>6</v>
      </c>
      <c r="B404" s="181" t="str">
        <f t="shared" si="190"/>
        <v>Historical</v>
      </c>
      <c r="C404" s="171"/>
      <c r="D404" s="188" t="str">
        <f ca="1">INDEX(INDIRECT(E404),0,COLUMN(MO_Common_Column_A))</f>
        <v>GAAP Gross Margin, %</v>
      </c>
      <c r="E404" s="182" t="s">
        <v>303</v>
      </c>
      <c r="F404" s="181" t="s">
        <v>319</v>
      </c>
      <c r="G404" s="181"/>
      <c r="H404" s="171"/>
      <c r="I404" s="185">
        <v>0.59699999999999998</v>
      </c>
      <c r="J404" s="185">
        <v>0.59699999999999998</v>
      </c>
      <c r="K404" s="185">
        <f t="shared" si="191"/>
        <v>0.59699999999999998</v>
      </c>
      <c r="L404" s="171"/>
      <c r="M404" s="181" t="str">
        <f t="shared" si="192"/>
        <v>Actual</v>
      </c>
      <c r="N404" s="185">
        <f ca="1">IFERROR(INDEX(INDIRECT(E404),0,MATCH(F404,MO_Common_ColumnHeader,0)),"N/A")</f>
        <v>0.61868773617313644</v>
      </c>
      <c r="O404" s="171"/>
      <c r="P404" s="190">
        <f t="shared" ca="1" si="193"/>
        <v>2.1687736173136463E-2</v>
      </c>
      <c r="Q404" s="190">
        <f t="shared" ca="1" si="194"/>
        <v>3.6327866286660744E-2</v>
      </c>
      <c r="R404" s="171"/>
      <c r="S404" s="184">
        <v>43048</v>
      </c>
      <c r="T404" s="191" t="s">
        <v>302</v>
      </c>
      <c r="U404" s="171"/>
    </row>
    <row r="405" spans="1:21" x14ac:dyDescent="0.3">
      <c r="A405" s="154">
        <v>5</v>
      </c>
      <c r="B405" s="181" t="str">
        <f t="shared" si="190"/>
        <v>Historical</v>
      </c>
      <c r="C405" s="171"/>
      <c r="D405" s="188" t="str">
        <f ca="1">INDEX(INDIRECT(E405),0,COLUMN(MO_Common_Column_A))</f>
        <v>Non-GAAP Gross Margin, %</v>
      </c>
      <c r="E405" s="182" t="s">
        <v>304</v>
      </c>
      <c r="F405" s="181" t="s">
        <v>319</v>
      </c>
      <c r="G405" s="181"/>
      <c r="H405" s="171"/>
      <c r="I405" s="185">
        <v>0.6</v>
      </c>
      <c r="J405" s="185">
        <v>0.6</v>
      </c>
      <c r="K405" s="185">
        <f t="shared" si="191"/>
        <v>0.6</v>
      </c>
      <c r="L405" s="171"/>
      <c r="M405" s="181" t="str">
        <f t="shared" si="192"/>
        <v>Actual</v>
      </c>
      <c r="N405" s="185">
        <f ca="1">IFERROR(INDEX(INDIRECT(E405),0,MATCH(F405,MO_Common_ColumnHeader,0)),"N/A")</f>
        <v>0.62143593266918584</v>
      </c>
      <c r="O405" s="171"/>
      <c r="P405" s="190">
        <f t="shared" ca="1" si="193"/>
        <v>2.1435932669185864E-2</v>
      </c>
      <c r="Q405" s="190">
        <f t="shared" ca="1" si="194"/>
        <v>3.5726554448643109E-2</v>
      </c>
      <c r="R405" s="171"/>
      <c r="S405" s="184">
        <v>43048</v>
      </c>
      <c r="T405" s="191" t="s">
        <v>302</v>
      </c>
      <c r="U405" s="171"/>
    </row>
    <row r="406" spans="1:21" x14ac:dyDescent="0.3">
      <c r="A406" s="154">
        <v>4</v>
      </c>
      <c r="B406" s="181" t="str">
        <f t="shared" si="190"/>
        <v>Historical</v>
      </c>
      <c r="C406" s="171"/>
      <c r="D406" s="188" t="s">
        <v>305</v>
      </c>
      <c r="E406" s="182"/>
      <c r="F406" s="181" t="s">
        <v>319</v>
      </c>
      <c r="G406" s="181"/>
      <c r="H406" s="171"/>
      <c r="I406" s="183">
        <v>722</v>
      </c>
      <c r="J406" s="183">
        <v>722</v>
      </c>
      <c r="K406" s="183">
        <f t="shared" si="191"/>
        <v>722</v>
      </c>
      <c r="L406" s="171"/>
      <c r="M406" s="181" t="str">
        <f t="shared" si="192"/>
        <v>Actual</v>
      </c>
      <c r="N406" s="183">
        <f>INDEX(MO_RIS_RD,0,MATCH(F406,MO_Common_ColumnHeader,0))+INDEX(MO_RIS_SGA,0,MATCH(F406,MO_Common_ColumnHeader,0))</f>
        <v>728</v>
      </c>
      <c r="O406" s="171"/>
      <c r="P406" s="189">
        <f t="shared" si="193"/>
        <v>6</v>
      </c>
      <c r="Q406" s="190">
        <f t="shared" si="194"/>
        <v>8.3102493074792248E-3</v>
      </c>
      <c r="R406" s="171"/>
      <c r="S406" s="184">
        <v>43048</v>
      </c>
      <c r="T406" s="191" t="s">
        <v>302</v>
      </c>
      <c r="U406" s="171"/>
    </row>
    <row r="407" spans="1:21" x14ac:dyDescent="0.3">
      <c r="A407" s="154">
        <v>3</v>
      </c>
      <c r="B407" s="181" t="str">
        <f t="shared" si="190"/>
        <v>Historical</v>
      </c>
      <c r="C407" s="171"/>
      <c r="D407" s="188" t="str">
        <f ca="1">INDEX(INDIRECT(E407),0,COLUMN(MO_Common_Column_A))</f>
        <v>Total Non-GAAP Operating Expenses, mm</v>
      </c>
      <c r="E407" s="182" t="s">
        <v>939</v>
      </c>
      <c r="F407" s="181" t="s">
        <v>319</v>
      </c>
      <c r="G407" s="181"/>
      <c r="H407" s="171"/>
      <c r="I407" s="183">
        <v>600</v>
      </c>
      <c r="J407" s="183">
        <v>600</v>
      </c>
      <c r="K407" s="183">
        <f t="shared" si="191"/>
        <v>600</v>
      </c>
      <c r="L407" s="171"/>
      <c r="M407" s="181" t="str">
        <f t="shared" si="192"/>
        <v>Actual</v>
      </c>
      <c r="N407" s="183">
        <f ca="1">IFERROR(INDEX(INDIRECT(E407),0,MATCH(F407,MO_Common_ColumnHeader,0)),"N/A")</f>
        <v>607</v>
      </c>
      <c r="O407" s="171"/>
      <c r="P407" s="189">
        <f t="shared" ca="1" si="193"/>
        <v>7</v>
      </c>
      <c r="Q407" s="190">
        <f t="shared" ca="1" si="194"/>
        <v>1.1666666666666667E-2</v>
      </c>
      <c r="R407" s="171"/>
      <c r="S407" s="184">
        <v>43048</v>
      </c>
      <c r="T407" s="191" t="s">
        <v>302</v>
      </c>
      <c r="U407" s="171"/>
    </row>
    <row r="408" spans="1:21" x14ac:dyDescent="0.3">
      <c r="A408" s="154">
        <v>2</v>
      </c>
      <c r="B408" s="181" t="str">
        <f t="shared" si="190"/>
        <v>Historical</v>
      </c>
      <c r="C408" s="171"/>
      <c r="D408" s="188" t="s">
        <v>309</v>
      </c>
      <c r="E408" s="182" t="s">
        <v>818</v>
      </c>
      <c r="F408" s="181" t="s">
        <v>319</v>
      </c>
      <c r="G408" s="181"/>
      <c r="H408" s="171"/>
      <c r="I408" s="185">
        <v>0.17499999999999999</v>
      </c>
      <c r="J408" s="185">
        <v>0.17499999999999999</v>
      </c>
      <c r="K408" s="185">
        <f t="shared" si="191"/>
        <v>0.17499999999999999</v>
      </c>
      <c r="L408" s="171"/>
      <c r="M408" s="181" t="str">
        <f t="shared" si="192"/>
        <v>Actual</v>
      </c>
      <c r="N408" s="185">
        <f ca="1">IFERROR(INDEX(INDIRECT(E408),0,MATCH(F408,MO_Common_ColumnHeader,0)),"N/A")</f>
        <v>-3.7105751391465679E-2</v>
      </c>
      <c r="O408" s="171"/>
      <c r="P408" s="190">
        <f t="shared" ca="1" si="193"/>
        <v>-0.21210575139146567</v>
      </c>
      <c r="Q408" s="190">
        <f t="shared" ca="1" si="194"/>
        <v>-1.2120328650940897</v>
      </c>
      <c r="R408" s="171"/>
      <c r="S408" s="184">
        <v>43048</v>
      </c>
      <c r="T408" s="191" t="s">
        <v>302</v>
      </c>
      <c r="U408" s="171"/>
    </row>
    <row r="409" spans="1:21" x14ac:dyDescent="0.3">
      <c r="A409" s="154">
        <v>1</v>
      </c>
      <c r="B409" s="181" t="str">
        <f t="shared" si="190"/>
        <v>Historical</v>
      </c>
      <c r="C409" s="171"/>
      <c r="D409" s="188" t="str">
        <f ca="1">INDEX(INDIRECT(E409),0,COLUMN(MO_Common_Column_A))</f>
        <v>Non-GAAP Tax Rate</v>
      </c>
      <c r="E409" s="182" t="s">
        <v>310</v>
      </c>
      <c r="F409" s="181" t="s">
        <v>319</v>
      </c>
      <c r="G409" s="181"/>
      <c r="H409" s="171"/>
      <c r="I409" s="185">
        <v>0.17499999999999999</v>
      </c>
      <c r="J409" s="185">
        <v>0.17499999999999999</v>
      </c>
      <c r="K409" s="185">
        <f t="shared" si="191"/>
        <v>0.17499999999999999</v>
      </c>
      <c r="L409" s="171"/>
      <c r="M409" s="181" t="str">
        <f t="shared" si="192"/>
        <v>Actual</v>
      </c>
      <c r="N409" s="185">
        <f ca="1">IFERROR(INDEX(INDIRECT(E409),0,MATCH(F409,MO_Common_ColumnHeader,0)),"N/A")</f>
        <v>0.10439105219552609</v>
      </c>
      <c r="O409" s="171"/>
      <c r="P409" s="190">
        <f t="shared" ca="1" si="193"/>
        <v>-7.0608947804473896E-2</v>
      </c>
      <c r="Q409" s="190">
        <f t="shared" ca="1" si="194"/>
        <v>-0.40347970173985087</v>
      </c>
      <c r="R409" s="171"/>
      <c r="S409" s="184">
        <v>43048</v>
      </c>
      <c r="T409" s="191" t="s">
        <v>302</v>
      </c>
      <c r="U409" s="171"/>
    </row>
    <row r="410" spans="1:21" x14ac:dyDescent="0.3">
      <c r="A410" s="154">
        <v>0</v>
      </c>
      <c r="B410" s="171"/>
      <c r="C410" s="171"/>
      <c r="D410" s="171"/>
      <c r="E410" s="169"/>
      <c r="F410" s="171"/>
      <c r="G410" s="171"/>
      <c r="H410" s="171"/>
      <c r="I410" s="885"/>
      <c r="J410" s="885"/>
      <c r="K410" s="885"/>
      <c r="L410" s="171"/>
      <c r="M410" s="171"/>
      <c r="N410" s="885"/>
      <c r="O410" s="171"/>
      <c r="P410" s="176"/>
      <c r="Q410" s="140"/>
      <c r="R410" s="171"/>
      <c r="S410" s="173"/>
      <c r="T410" s="174"/>
      <c r="U410" s="171"/>
    </row>
  </sheetData>
  <autoFilter ref="A5:U5" xr:uid="{00000000-0009-0000-0000-000003000000}"/>
  <conditionalFormatting sqref="Q1:Q3 Q5 Q121 Q131 Q200:Q201 Q382:Q387 Q392:Q398 Q410:Q412">
    <cfRule type="colorScale" priority="217">
      <colorScale>
        <cfvo type="num" val="-0.1"/>
        <cfvo type="num" val="0"/>
        <cfvo type="num" val="0.1"/>
        <color rgb="FFF8696B"/>
        <color rgb="FFFFEB84"/>
        <color rgb="FF63BE7B"/>
      </colorScale>
    </cfRule>
  </conditionalFormatting>
  <conditionalFormatting sqref="Q6:Q11">
    <cfRule type="colorScale" priority="2">
      <colorScale>
        <cfvo type="num" val="-0.1"/>
        <cfvo type="num" val="0"/>
        <cfvo type="num" val="0.1"/>
        <color rgb="FFF8696B"/>
        <color rgb="FFFFEB84"/>
        <color rgb="FF63BE7B"/>
      </colorScale>
    </cfRule>
  </conditionalFormatting>
  <conditionalFormatting sqref="Q12">
    <cfRule type="colorScale" priority="1">
      <colorScale>
        <cfvo type="num" val="-0.1"/>
        <cfvo type="num" val="0"/>
        <cfvo type="num" val="0.1"/>
        <color rgb="FFF8696B"/>
        <color rgb="FFFFEB84"/>
        <color rgb="FF63BE7B"/>
      </colorScale>
    </cfRule>
  </conditionalFormatting>
  <conditionalFormatting sqref="Q13">
    <cfRule type="colorScale" priority="3">
      <colorScale>
        <cfvo type="num" val="-0.1"/>
        <cfvo type="num" val="0"/>
        <cfvo type="num" val="0.1"/>
        <color rgb="FFF8696B"/>
        <color rgb="FFFFEB84"/>
        <color rgb="FF63BE7B"/>
      </colorScale>
    </cfRule>
  </conditionalFormatting>
  <conditionalFormatting sqref="Q14:Q19">
    <cfRule type="colorScale" priority="7">
      <colorScale>
        <cfvo type="num" val="-0.1"/>
        <cfvo type="num" val="0"/>
        <cfvo type="num" val="0.1"/>
        <color rgb="FFF8696B"/>
        <color rgb="FFFFEB84"/>
        <color rgb="FF63BE7B"/>
      </colorScale>
    </cfRule>
  </conditionalFormatting>
  <conditionalFormatting sqref="Q20">
    <cfRule type="colorScale" priority="6">
      <colorScale>
        <cfvo type="num" val="-0.1"/>
        <cfvo type="num" val="0"/>
        <cfvo type="num" val="0.1"/>
        <color rgb="FFF8696B"/>
        <color rgb="FFFFEB84"/>
        <color rgb="FF63BE7B"/>
      </colorScale>
    </cfRule>
  </conditionalFormatting>
  <conditionalFormatting sqref="Q21">
    <cfRule type="colorScale" priority="8">
      <colorScale>
        <cfvo type="num" val="-0.1"/>
        <cfvo type="num" val="0"/>
        <cfvo type="num" val="0.1"/>
        <color rgb="FFF8696B"/>
        <color rgb="FFFFEB84"/>
        <color rgb="FF63BE7B"/>
      </colorScale>
    </cfRule>
  </conditionalFormatting>
  <conditionalFormatting sqref="Q22:Q26 Q29">
    <cfRule type="colorScale" priority="12">
      <colorScale>
        <cfvo type="num" val="-0.1"/>
        <cfvo type="num" val="0"/>
        <cfvo type="num" val="0.1"/>
        <color rgb="FFF8696B"/>
        <color rgb="FFFFEB84"/>
        <color rgb="FF63BE7B"/>
      </colorScale>
    </cfRule>
  </conditionalFormatting>
  <conditionalFormatting sqref="Q27">
    <cfRule type="colorScale" priority="9">
      <colorScale>
        <cfvo type="num" val="-0.1"/>
        <cfvo type="num" val="0"/>
        <cfvo type="num" val="0.1"/>
        <color rgb="FFF8696B"/>
        <color rgb="FFFFEB84"/>
        <color rgb="FF63BE7B"/>
      </colorScale>
    </cfRule>
  </conditionalFormatting>
  <conditionalFormatting sqref="Q28">
    <cfRule type="colorScale" priority="10">
      <colorScale>
        <cfvo type="num" val="-0.1"/>
        <cfvo type="num" val="0"/>
        <cfvo type="num" val="0.1"/>
        <color rgb="FFF8696B"/>
        <color rgb="FFFFEB84"/>
        <color rgb="FF63BE7B"/>
      </colorScale>
    </cfRule>
  </conditionalFormatting>
  <conditionalFormatting sqref="Q30">
    <cfRule type="colorScale" priority="11">
      <colorScale>
        <cfvo type="num" val="-0.1"/>
        <cfvo type="num" val="0"/>
        <cfvo type="num" val="0.1"/>
        <color rgb="FFF8696B"/>
        <color rgb="FFFFEB84"/>
        <color rgb="FF63BE7B"/>
      </colorScale>
    </cfRule>
  </conditionalFormatting>
  <conditionalFormatting sqref="Q31">
    <cfRule type="colorScale" priority="13">
      <colorScale>
        <cfvo type="num" val="-0.1"/>
        <cfvo type="num" val="0"/>
        <cfvo type="num" val="0.1"/>
        <color rgb="FFF8696B"/>
        <color rgb="FFFFEB84"/>
        <color rgb="FF63BE7B"/>
      </colorScale>
    </cfRule>
  </conditionalFormatting>
  <conditionalFormatting sqref="Q32:Q36 Q39">
    <cfRule type="colorScale" priority="17">
      <colorScale>
        <cfvo type="num" val="-0.1"/>
        <cfvo type="num" val="0"/>
        <cfvo type="num" val="0.1"/>
        <color rgb="FFF8696B"/>
        <color rgb="FFFFEB84"/>
        <color rgb="FF63BE7B"/>
      </colorScale>
    </cfRule>
  </conditionalFormatting>
  <conditionalFormatting sqref="Q37">
    <cfRule type="colorScale" priority="14">
      <colorScale>
        <cfvo type="num" val="-0.1"/>
        <cfvo type="num" val="0"/>
        <cfvo type="num" val="0.1"/>
        <color rgb="FFF8696B"/>
        <color rgb="FFFFEB84"/>
        <color rgb="FF63BE7B"/>
      </colorScale>
    </cfRule>
  </conditionalFormatting>
  <conditionalFormatting sqref="Q38">
    <cfRule type="colorScale" priority="15">
      <colorScale>
        <cfvo type="num" val="-0.1"/>
        <cfvo type="num" val="0"/>
        <cfvo type="num" val="0.1"/>
        <color rgb="FFF8696B"/>
        <color rgb="FFFFEB84"/>
        <color rgb="FF63BE7B"/>
      </colorScale>
    </cfRule>
  </conditionalFormatting>
  <conditionalFormatting sqref="Q40">
    <cfRule type="colorScale" priority="16">
      <colorScale>
        <cfvo type="num" val="-0.1"/>
        <cfvo type="num" val="0"/>
        <cfvo type="num" val="0.1"/>
        <color rgb="FFF8696B"/>
        <color rgb="FFFFEB84"/>
        <color rgb="FF63BE7B"/>
      </colorScale>
    </cfRule>
  </conditionalFormatting>
  <conditionalFormatting sqref="Q41">
    <cfRule type="colorScale" priority="18">
      <colorScale>
        <cfvo type="num" val="-0.1"/>
        <cfvo type="num" val="0"/>
        <cfvo type="num" val="0.1"/>
        <color rgb="FFF8696B"/>
        <color rgb="FFFFEB84"/>
        <color rgb="FF63BE7B"/>
      </colorScale>
    </cfRule>
  </conditionalFormatting>
  <conditionalFormatting sqref="Q42:Q46 Q49">
    <cfRule type="colorScale" priority="22">
      <colorScale>
        <cfvo type="num" val="-0.1"/>
        <cfvo type="num" val="0"/>
        <cfvo type="num" val="0.1"/>
        <color rgb="FFF8696B"/>
        <color rgb="FFFFEB84"/>
        <color rgb="FF63BE7B"/>
      </colorScale>
    </cfRule>
  </conditionalFormatting>
  <conditionalFormatting sqref="Q47">
    <cfRule type="colorScale" priority="19">
      <colorScale>
        <cfvo type="num" val="-0.1"/>
        <cfvo type="num" val="0"/>
        <cfvo type="num" val="0.1"/>
        <color rgb="FFF8696B"/>
        <color rgb="FFFFEB84"/>
        <color rgb="FF63BE7B"/>
      </colorScale>
    </cfRule>
  </conditionalFormatting>
  <conditionalFormatting sqref="Q48">
    <cfRule type="colorScale" priority="20">
      <colorScale>
        <cfvo type="num" val="-0.1"/>
        <cfvo type="num" val="0"/>
        <cfvo type="num" val="0.1"/>
        <color rgb="FFF8696B"/>
        <color rgb="FFFFEB84"/>
        <color rgb="FF63BE7B"/>
      </colorScale>
    </cfRule>
  </conditionalFormatting>
  <conditionalFormatting sqref="Q50">
    <cfRule type="colorScale" priority="21">
      <colorScale>
        <cfvo type="num" val="-0.1"/>
        <cfvo type="num" val="0"/>
        <cfvo type="num" val="0.1"/>
        <color rgb="FFF8696B"/>
        <color rgb="FFFFEB84"/>
        <color rgb="FF63BE7B"/>
      </colorScale>
    </cfRule>
  </conditionalFormatting>
  <conditionalFormatting sqref="Q51">
    <cfRule type="colorScale" priority="23">
      <colorScale>
        <cfvo type="num" val="-0.1"/>
        <cfvo type="num" val="0"/>
        <cfvo type="num" val="0.1"/>
        <color rgb="FFF8696B"/>
        <color rgb="FFFFEB84"/>
        <color rgb="FF63BE7B"/>
      </colorScale>
    </cfRule>
  </conditionalFormatting>
  <conditionalFormatting sqref="Q52:Q56 Q59">
    <cfRule type="colorScale" priority="27">
      <colorScale>
        <cfvo type="num" val="-0.1"/>
        <cfvo type="num" val="0"/>
        <cfvo type="num" val="0.1"/>
        <color rgb="FFF8696B"/>
        <color rgb="FFFFEB84"/>
        <color rgb="FF63BE7B"/>
      </colorScale>
    </cfRule>
  </conditionalFormatting>
  <conditionalFormatting sqref="Q57">
    <cfRule type="colorScale" priority="24">
      <colorScale>
        <cfvo type="num" val="-0.1"/>
        <cfvo type="num" val="0"/>
        <cfvo type="num" val="0.1"/>
        <color rgb="FFF8696B"/>
        <color rgb="FFFFEB84"/>
        <color rgb="FF63BE7B"/>
      </colorScale>
    </cfRule>
  </conditionalFormatting>
  <conditionalFormatting sqref="Q58">
    <cfRule type="colorScale" priority="25">
      <colorScale>
        <cfvo type="num" val="-0.1"/>
        <cfvo type="num" val="0"/>
        <cfvo type="num" val="0.1"/>
        <color rgb="FFF8696B"/>
        <color rgb="FFFFEB84"/>
        <color rgb="FF63BE7B"/>
      </colorScale>
    </cfRule>
  </conditionalFormatting>
  <conditionalFormatting sqref="Q60">
    <cfRule type="colorScale" priority="26">
      <colorScale>
        <cfvo type="num" val="-0.1"/>
        <cfvo type="num" val="0"/>
        <cfvo type="num" val="0.1"/>
        <color rgb="FFF8696B"/>
        <color rgb="FFFFEB84"/>
        <color rgb="FF63BE7B"/>
      </colorScale>
    </cfRule>
  </conditionalFormatting>
  <conditionalFormatting sqref="Q61">
    <cfRule type="colorScale" priority="28">
      <colorScale>
        <cfvo type="num" val="-0.1"/>
        <cfvo type="num" val="0"/>
        <cfvo type="num" val="0.1"/>
        <color rgb="FFF8696B"/>
        <color rgb="FFFFEB84"/>
        <color rgb="FF63BE7B"/>
      </colorScale>
    </cfRule>
  </conditionalFormatting>
  <conditionalFormatting sqref="Q62:Q66 Q69">
    <cfRule type="colorScale" priority="33">
      <colorScale>
        <cfvo type="num" val="-0.1"/>
        <cfvo type="num" val="0"/>
        <cfvo type="num" val="0.1"/>
        <color rgb="FFF8696B"/>
        <color rgb="FFFFEB84"/>
        <color rgb="FF63BE7B"/>
      </colorScale>
    </cfRule>
  </conditionalFormatting>
  <conditionalFormatting sqref="Q67">
    <cfRule type="colorScale" priority="30">
      <colorScale>
        <cfvo type="num" val="-0.1"/>
        <cfvo type="num" val="0"/>
        <cfvo type="num" val="0.1"/>
        <color rgb="FFF8696B"/>
        <color rgb="FFFFEB84"/>
        <color rgb="FF63BE7B"/>
      </colorScale>
    </cfRule>
  </conditionalFormatting>
  <conditionalFormatting sqref="Q68">
    <cfRule type="colorScale" priority="31">
      <colorScale>
        <cfvo type="num" val="-0.1"/>
        <cfvo type="num" val="0"/>
        <cfvo type="num" val="0.1"/>
        <color rgb="FFF8696B"/>
        <color rgb="FFFFEB84"/>
        <color rgb="FF63BE7B"/>
      </colorScale>
    </cfRule>
  </conditionalFormatting>
  <conditionalFormatting sqref="Q70">
    <cfRule type="colorScale" priority="32">
      <colorScale>
        <cfvo type="num" val="-0.1"/>
        <cfvo type="num" val="0"/>
        <cfvo type="num" val="0.1"/>
        <color rgb="FFF8696B"/>
        <color rgb="FFFFEB84"/>
        <color rgb="FF63BE7B"/>
      </colorScale>
    </cfRule>
  </conditionalFormatting>
  <conditionalFormatting sqref="Q71">
    <cfRule type="colorScale" priority="34">
      <colorScale>
        <cfvo type="num" val="-0.1"/>
        <cfvo type="num" val="0"/>
        <cfvo type="num" val="0.1"/>
        <color rgb="FFF8696B"/>
        <color rgb="FFFFEB84"/>
        <color rgb="FF63BE7B"/>
      </colorScale>
    </cfRule>
  </conditionalFormatting>
  <conditionalFormatting sqref="Q72:Q75 Q77:Q81 Q84">
    <cfRule type="colorScale" priority="39">
      <colorScale>
        <cfvo type="num" val="-0.1"/>
        <cfvo type="num" val="0"/>
        <cfvo type="num" val="0.1"/>
        <color rgb="FFF8696B"/>
        <color rgb="FFFFEB84"/>
        <color rgb="FF63BE7B"/>
      </colorScale>
    </cfRule>
  </conditionalFormatting>
  <conditionalFormatting sqref="Q76">
    <cfRule type="colorScale" priority="35">
      <colorScale>
        <cfvo type="num" val="-0.1"/>
        <cfvo type="num" val="0"/>
        <cfvo type="num" val="0.1"/>
        <color rgb="FFF8696B"/>
        <color rgb="FFFFEB84"/>
        <color rgb="FF63BE7B"/>
      </colorScale>
    </cfRule>
  </conditionalFormatting>
  <conditionalFormatting sqref="Q82">
    <cfRule type="colorScale" priority="36">
      <colorScale>
        <cfvo type="num" val="-0.1"/>
        <cfvo type="num" val="0"/>
        <cfvo type="num" val="0.1"/>
        <color rgb="FFF8696B"/>
        <color rgb="FFFFEB84"/>
        <color rgb="FF63BE7B"/>
      </colorScale>
    </cfRule>
  </conditionalFormatting>
  <conditionalFormatting sqref="Q83">
    <cfRule type="colorScale" priority="37">
      <colorScale>
        <cfvo type="num" val="-0.1"/>
        <cfvo type="num" val="0"/>
        <cfvo type="num" val="0.1"/>
        <color rgb="FFF8696B"/>
        <color rgb="FFFFEB84"/>
        <color rgb="FF63BE7B"/>
      </colorScale>
    </cfRule>
  </conditionalFormatting>
  <conditionalFormatting sqref="Q85">
    <cfRule type="colorScale" priority="38">
      <colorScale>
        <cfvo type="num" val="-0.1"/>
        <cfvo type="num" val="0"/>
        <cfvo type="num" val="0.1"/>
        <color rgb="FFF8696B"/>
        <color rgb="FFFFEB84"/>
        <color rgb="FF63BE7B"/>
      </colorScale>
    </cfRule>
  </conditionalFormatting>
  <conditionalFormatting sqref="Q86">
    <cfRule type="colorScale" priority="40">
      <colorScale>
        <cfvo type="num" val="-0.1"/>
        <cfvo type="num" val="0"/>
        <cfvo type="num" val="0.1"/>
        <color rgb="FFF8696B"/>
        <color rgb="FFFFEB84"/>
        <color rgb="FF63BE7B"/>
      </colorScale>
    </cfRule>
  </conditionalFormatting>
  <conditionalFormatting sqref="Q87:Q90 Q92:Q96 Q99">
    <cfRule type="colorScale" priority="45">
      <colorScale>
        <cfvo type="num" val="-0.1"/>
        <cfvo type="num" val="0"/>
        <cfvo type="num" val="0.1"/>
        <color rgb="FFF8696B"/>
        <color rgb="FFFFEB84"/>
        <color rgb="FF63BE7B"/>
      </colorScale>
    </cfRule>
  </conditionalFormatting>
  <conditionalFormatting sqref="Q91">
    <cfRule type="colorScale" priority="41">
      <colorScale>
        <cfvo type="num" val="-0.1"/>
        <cfvo type="num" val="0"/>
        <cfvo type="num" val="0.1"/>
        <color rgb="FFF8696B"/>
        <color rgb="FFFFEB84"/>
        <color rgb="FF63BE7B"/>
      </colorScale>
    </cfRule>
  </conditionalFormatting>
  <conditionalFormatting sqref="Q97">
    <cfRule type="colorScale" priority="42">
      <colorScale>
        <cfvo type="num" val="-0.1"/>
        <cfvo type="num" val="0"/>
        <cfvo type="num" val="0.1"/>
        <color rgb="FFF8696B"/>
        <color rgb="FFFFEB84"/>
        <color rgb="FF63BE7B"/>
      </colorScale>
    </cfRule>
  </conditionalFormatting>
  <conditionalFormatting sqref="Q98">
    <cfRule type="colorScale" priority="43">
      <colorScale>
        <cfvo type="num" val="-0.1"/>
        <cfvo type="num" val="0"/>
        <cfvo type="num" val="0.1"/>
        <color rgb="FFF8696B"/>
        <color rgb="FFFFEB84"/>
        <color rgb="FF63BE7B"/>
      </colorScale>
    </cfRule>
  </conditionalFormatting>
  <conditionalFormatting sqref="Q100">
    <cfRule type="colorScale" priority="44">
      <colorScale>
        <cfvo type="num" val="-0.1"/>
        <cfvo type="num" val="0"/>
        <cfvo type="num" val="0.1"/>
        <color rgb="FFF8696B"/>
        <color rgb="FFFFEB84"/>
        <color rgb="FF63BE7B"/>
      </colorScale>
    </cfRule>
  </conditionalFormatting>
  <conditionalFormatting sqref="Q101">
    <cfRule type="colorScale" priority="46">
      <colorScale>
        <cfvo type="num" val="-0.1"/>
        <cfvo type="num" val="0"/>
        <cfvo type="num" val="0.1"/>
        <color rgb="FFF8696B"/>
        <color rgb="FFFFEB84"/>
        <color rgb="FF63BE7B"/>
      </colorScale>
    </cfRule>
  </conditionalFormatting>
  <conditionalFormatting sqref="Q102:Q106 Q109">
    <cfRule type="colorScale" priority="50">
      <colorScale>
        <cfvo type="num" val="-0.1"/>
        <cfvo type="num" val="0"/>
        <cfvo type="num" val="0.1"/>
        <color rgb="FFF8696B"/>
        <color rgb="FFFFEB84"/>
        <color rgb="FF63BE7B"/>
      </colorScale>
    </cfRule>
  </conditionalFormatting>
  <conditionalFormatting sqref="Q107">
    <cfRule type="colorScale" priority="47">
      <colorScale>
        <cfvo type="num" val="-0.1"/>
        <cfvo type="num" val="0"/>
        <cfvo type="num" val="0.1"/>
        <color rgb="FFF8696B"/>
        <color rgb="FFFFEB84"/>
        <color rgb="FF63BE7B"/>
      </colorScale>
    </cfRule>
  </conditionalFormatting>
  <conditionalFormatting sqref="Q108">
    <cfRule type="colorScale" priority="48">
      <colorScale>
        <cfvo type="num" val="-0.1"/>
        <cfvo type="num" val="0"/>
        <cfvo type="num" val="0.1"/>
        <color rgb="FFF8696B"/>
        <color rgb="FFFFEB84"/>
        <color rgb="FF63BE7B"/>
      </colorScale>
    </cfRule>
  </conditionalFormatting>
  <conditionalFormatting sqref="Q110">
    <cfRule type="colorScale" priority="49">
      <colorScale>
        <cfvo type="num" val="-0.1"/>
        <cfvo type="num" val="0"/>
        <cfvo type="num" val="0.1"/>
        <color rgb="FFF8696B"/>
        <color rgb="FFFFEB84"/>
        <color rgb="FF63BE7B"/>
      </colorScale>
    </cfRule>
  </conditionalFormatting>
  <conditionalFormatting sqref="Q111">
    <cfRule type="colorScale" priority="51">
      <colorScale>
        <cfvo type="num" val="-0.1"/>
        <cfvo type="num" val="0"/>
        <cfvo type="num" val="0.1"/>
        <color rgb="FFF8696B"/>
        <color rgb="FFFFEB84"/>
        <color rgb="FF63BE7B"/>
      </colorScale>
    </cfRule>
  </conditionalFormatting>
  <conditionalFormatting sqref="Q112:Q116 Q119">
    <cfRule type="colorScale" priority="55">
      <colorScale>
        <cfvo type="num" val="-0.1"/>
        <cfvo type="num" val="0"/>
        <cfvo type="num" val="0.1"/>
        <color rgb="FFF8696B"/>
        <color rgb="FFFFEB84"/>
        <color rgb="FF63BE7B"/>
      </colorScale>
    </cfRule>
  </conditionalFormatting>
  <conditionalFormatting sqref="Q117">
    <cfRule type="colorScale" priority="52">
      <colorScale>
        <cfvo type="num" val="-0.1"/>
        <cfvo type="num" val="0"/>
        <cfvo type="num" val="0.1"/>
        <color rgb="FFF8696B"/>
        <color rgb="FFFFEB84"/>
        <color rgb="FF63BE7B"/>
      </colorScale>
    </cfRule>
  </conditionalFormatting>
  <conditionalFormatting sqref="Q118">
    <cfRule type="colorScale" priority="53">
      <colorScale>
        <cfvo type="num" val="-0.1"/>
        <cfvo type="num" val="0"/>
        <cfvo type="num" val="0.1"/>
        <color rgb="FFF8696B"/>
        <color rgb="FFFFEB84"/>
        <color rgb="FF63BE7B"/>
      </colorScale>
    </cfRule>
  </conditionalFormatting>
  <conditionalFormatting sqref="Q120">
    <cfRule type="colorScale" priority="54">
      <colorScale>
        <cfvo type="num" val="-0.1"/>
        <cfvo type="num" val="0"/>
        <cfvo type="num" val="0.1"/>
        <color rgb="FFF8696B"/>
        <color rgb="FFFFEB84"/>
        <color rgb="FF63BE7B"/>
      </colorScale>
    </cfRule>
  </conditionalFormatting>
  <conditionalFormatting sqref="Q122:Q126 Q129">
    <cfRule type="colorScale" priority="62">
      <colorScale>
        <cfvo type="num" val="-0.1"/>
        <cfvo type="num" val="0"/>
        <cfvo type="num" val="0.1"/>
        <color rgb="FFF8696B"/>
        <color rgb="FFFFEB84"/>
        <color rgb="FF63BE7B"/>
      </colorScale>
    </cfRule>
  </conditionalFormatting>
  <conditionalFormatting sqref="Q127">
    <cfRule type="colorScale" priority="59">
      <colorScale>
        <cfvo type="num" val="-0.1"/>
        <cfvo type="num" val="0"/>
        <cfvo type="num" val="0.1"/>
        <color rgb="FFF8696B"/>
        <color rgb="FFFFEB84"/>
        <color rgb="FF63BE7B"/>
      </colorScale>
    </cfRule>
  </conditionalFormatting>
  <conditionalFormatting sqref="Q128">
    <cfRule type="colorScale" priority="60">
      <colorScale>
        <cfvo type="num" val="-0.1"/>
        <cfvo type="num" val="0"/>
        <cfvo type="num" val="0.1"/>
        <color rgb="FFF8696B"/>
        <color rgb="FFFFEB84"/>
        <color rgb="FF63BE7B"/>
      </colorScale>
    </cfRule>
  </conditionalFormatting>
  <conditionalFormatting sqref="Q130">
    <cfRule type="colorScale" priority="61">
      <colorScale>
        <cfvo type="num" val="-0.1"/>
        <cfvo type="num" val="0"/>
        <cfvo type="num" val="0.1"/>
        <color rgb="FFF8696B"/>
        <color rgb="FFFFEB84"/>
        <color rgb="FF63BE7B"/>
      </colorScale>
    </cfRule>
  </conditionalFormatting>
  <conditionalFormatting sqref="Q132">
    <cfRule type="colorScale" priority="64">
      <colorScale>
        <cfvo type="num" val="-0.1"/>
        <cfvo type="num" val="0"/>
        <cfvo type="num" val="0.1"/>
        <color rgb="FFF8696B"/>
        <color rgb="FFFFEB84"/>
        <color rgb="FF63BE7B"/>
      </colorScale>
    </cfRule>
  </conditionalFormatting>
  <conditionalFormatting sqref="Q132:Q133">
    <cfRule type="colorScale" priority="65">
      <colorScale>
        <cfvo type="num" val="-0.1"/>
        <cfvo type="num" val="0"/>
        <cfvo type="num" val="0.1"/>
        <color rgb="FFF8696B"/>
        <color rgb="FFFFEB84"/>
        <color rgb="FF63BE7B"/>
      </colorScale>
    </cfRule>
  </conditionalFormatting>
  <conditionalFormatting sqref="Q134:Q138 Q141">
    <cfRule type="colorScale" priority="70">
      <colorScale>
        <cfvo type="num" val="-0.1"/>
        <cfvo type="num" val="0"/>
        <cfvo type="num" val="0.1"/>
        <color rgb="FFF8696B"/>
        <color rgb="FFFFEB84"/>
        <color rgb="FF63BE7B"/>
      </colorScale>
    </cfRule>
  </conditionalFormatting>
  <conditionalFormatting sqref="Q139">
    <cfRule type="colorScale" priority="67">
      <colorScale>
        <cfvo type="num" val="-0.1"/>
        <cfvo type="num" val="0"/>
        <cfvo type="num" val="0.1"/>
        <color rgb="FFF8696B"/>
        <color rgb="FFFFEB84"/>
        <color rgb="FF63BE7B"/>
      </colorScale>
    </cfRule>
  </conditionalFormatting>
  <conditionalFormatting sqref="Q140">
    <cfRule type="colorScale" priority="68">
      <colorScale>
        <cfvo type="num" val="-0.1"/>
        <cfvo type="num" val="0"/>
        <cfvo type="num" val="0.1"/>
        <color rgb="FFF8696B"/>
        <color rgb="FFFFEB84"/>
        <color rgb="FF63BE7B"/>
      </colorScale>
    </cfRule>
  </conditionalFormatting>
  <conditionalFormatting sqref="Q142">
    <cfRule type="colorScale" priority="69">
      <colorScale>
        <cfvo type="num" val="-0.1"/>
        <cfvo type="num" val="0"/>
        <cfvo type="num" val="0.1"/>
        <color rgb="FFF8696B"/>
        <color rgb="FFFFEB84"/>
        <color rgb="FF63BE7B"/>
      </colorScale>
    </cfRule>
  </conditionalFormatting>
  <conditionalFormatting sqref="Q143">
    <cfRule type="colorScale" priority="66">
      <colorScale>
        <cfvo type="num" val="-0.1"/>
        <cfvo type="num" val="0"/>
        <cfvo type="num" val="0.1"/>
        <color rgb="FFF8696B"/>
        <color rgb="FFFFEB84"/>
        <color rgb="FF63BE7B"/>
      </colorScale>
    </cfRule>
  </conditionalFormatting>
  <conditionalFormatting sqref="Q143:Q144">
    <cfRule type="colorScale" priority="71">
      <colorScale>
        <cfvo type="num" val="-0.1"/>
        <cfvo type="num" val="0"/>
        <cfvo type="num" val="0.1"/>
        <color rgb="FFF8696B"/>
        <color rgb="FFFFEB84"/>
        <color rgb="FF63BE7B"/>
      </colorScale>
    </cfRule>
  </conditionalFormatting>
  <conditionalFormatting sqref="Q145">
    <cfRule type="colorScale" priority="72">
      <colorScale>
        <cfvo type="num" val="-0.1"/>
        <cfvo type="num" val="0"/>
        <cfvo type="num" val="0.1"/>
        <color rgb="FFF8696B"/>
        <color rgb="FFFFEB84"/>
        <color rgb="FF63BE7B"/>
      </colorScale>
    </cfRule>
  </conditionalFormatting>
  <conditionalFormatting sqref="Q145:Q146">
    <cfRule type="colorScale" priority="73">
      <colorScale>
        <cfvo type="num" val="-0.1"/>
        <cfvo type="num" val="0"/>
        <cfvo type="num" val="0.1"/>
        <color rgb="FFF8696B"/>
        <color rgb="FFFFEB84"/>
        <color rgb="FF63BE7B"/>
      </colorScale>
    </cfRule>
  </conditionalFormatting>
  <conditionalFormatting sqref="Q147:Q151 Q154">
    <cfRule type="colorScale" priority="78">
      <colorScale>
        <cfvo type="num" val="-0.1"/>
        <cfvo type="num" val="0"/>
        <cfvo type="num" val="0.1"/>
        <color rgb="FFF8696B"/>
        <color rgb="FFFFEB84"/>
        <color rgb="FF63BE7B"/>
      </colorScale>
    </cfRule>
  </conditionalFormatting>
  <conditionalFormatting sqref="Q152">
    <cfRule type="colorScale" priority="75">
      <colorScale>
        <cfvo type="num" val="-0.1"/>
        <cfvo type="num" val="0"/>
        <cfvo type="num" val="0.1"/>
        <color rgb="FFF8696B"/>
        <color rgb="FFFFEB84"/>
        <color rgb="FF63BE7B"/>
      </colorScale>
    </cfRule>
  </conditionalFormatting>
  <conditionalFormatting sqref="Q153">
    <cfRule type="colorScale" priority="76">
      <colorScale>
        <cfvo type="num" val="-0.1"/>
        <cfvo type="num" val="0"/>
        <cfvo type="num" val="0.1"/>
        <color rgb="FFF8696B"/>
        <color rgb="FFFFEB84"/>
        <color rgb="FF63BE7B"/>
      </colorScale>
    </cfRule>
  </conditionalFormatting>
  <conditionalFormatting sqref="Q155">
    <cfRule type="colorScale" priority="77">
      <colorScale>
        <cfvo type="num" val="-0.1"/>
        <cfvo type="num" val="0"/>
        <cfvo type="num" val="0.1"/>
        <color rgb="FFF8696B"/>
        <color rgb="FFFFEB84"/>
        <color rgb="FF63BE7B"/>
      </colorScale>
    </cfRule>
  </conditionalFormatting>
  <conditionalFormatting sqref="Q156">
    <cfRule type="colorScale" priority="74">
      <colorScale>
        <cfvo type="num" val="-0.1"/>
        <cfvo type="num" val="0"/>
        <cfvo type="num" val="0.1"/>
        <color rgb="FFF8696B"/>
        <color rgb="FFFFEB84"/>
        <color rgb="FF63BE7B"/>
      </colorScale>
    </cfRule>
  </conditionalFormatting>
  <conditionalFormatting sqref="Q156:Q157">
    <cfRule type="colorScale" priority="79">
      <colorScale>
        <cfvo type="num" val="-0.1"/>
        <cfvo type="num" val="0"/>
        <cfvo type="num" val="0.1"/>
        <color rgb="FFF8696B"/>
        <color rgb="FFFFEB84"/>
        <color rgb="FF63BE7B"/>
      </colorScale>
    </cfRule>
  </conditionalFormatting>
  <conditionalFormatting sqref="Q158:Q162 Q165">
    <cfRule type="colorScale" priority="84">
      <colorScale>
        <cfvo type="num" val="-0.1"/>
        <cfvo type="num" val="0"/>
        <cfvo type="num" val="0.1"/>
        <color rgb="FFF8696B"/>
        <color rgb="FFFFEB84"/>
        <color rgb="FF63BE7B"/>
      </colorScale>
    </cfRule>
  </conditionalFormatting>
  <conditionalFormatting sqref="Q163">
    <cfRule type="colorScale" priority="81">
      <colorScale>
        <cfvo type="num" val="-0.1"/>
        <cfvo type="num" val="0"/>
        <cfvo type="num" val="0.1"/>
        <color rgb="FFF8696B"/>
        <color rgb="FFFFEB84"/>
        <color rgb="FF63BE7B"/>
      </colorScale>
    </cfRule>
  </conditionalFormatting>
  <conditionalFormatting sqref="Q164">
    <cfRule type="colorScale" priority="82">
      <colorScale>
        <cfvo type="num" val="-0.1"/>
        <cfvo type="num" val="0"/>
        <cfvo type="num" val="0.1"/>
        <color rgb="FFF8696B"/>
        <color rgb="FFFFEB84"/>
        <color rgb="FF63BE7B"/>
      </colorScale>
    </cfRule>
  </conditionalFormatting>
  <conditionalFormatting sqref="Q166">
    <cfRule type="colorScale" priority="83">
      <colorScale>
        <cfvo type="num" val="-0.1"/>
        <cfvo type="num" val="0"/>
        <cfvo type="num" val="0.1"/>
        <color rgb="FFF8696B"/>
        <color rgb="FFFFEB84"/>
        <color rgb="FF63BE7B"/>
      </colorScale>
    </cfRule>
  </conditionalFormatting>
  <conditionalFormatting sqref="Q167">
    <cfRule type="colorScale" priority="80">
      <colorScale>
        <cfvo type="num" val="-0.1"/>
        <cfvo type="num" val="0"/>
        <cfvo type="num" val="0.1"/>
        <color rgb="FFF8696B"/>
        <color rgb="FFFFEB84"/>
        <color rgb="FF63BE7B"/>
      </colorScale>
    </cfRule>
  </conditionalFormatting>
  <conditionalFormatting sqref="Q167:Q168">
    <cfRule type="colorScale" priority="85">
      <colorScale>
        <cfvo type="num" val="-0.1"/>
        <cfvo type="num" val="0"/>
        <cfvo type="num" val="0.1"/>
        <color rgb="FFF8696B"/>
        <color rgb="FFFFEB84"/>
        <color rgb="FF63BE7B"/>
      </colorScale>
    </cfRule>
  </conditionalFormatting>
  <conditionalFormatting sqref="Q169:Q173 Q176">
    <cfRule type="colorScale" priority="90">
      <colorScale>
        <cfvo type="num" val="-0.1"/>
        <cfvo type="num" val="0"/>
        <cfvo type="num" val="0.1"/>
        <color rgb="FFF8696B"/>
        <color rgb="FFFFEB84"/>
        <color rgb="FF63BE7B"/>
      </colorScale>
    </cfRule>
  </conditionalFormatting>
  <conditionalFormatting sqref="Q174">
    <cfRule type="colorScale" priority="87">
      <colorScale>
        <cfvo type="num" val="-0.1"/>
        <cfvo type="num" val="0"/>
        <cfvo type="num" val="0.1"/>
        <color rgb="FFF8696B"/>
        <color rgb="FFFFEB84"/>
        <color rgb="FF63BE7B"/>
      </colorScale>
    </cfRule>
  </conditionalFormatting>
  <conditionalFormatting sqref="Q175">
    <cfRule type="colorScale" priority="88">
      <colorScale>
        <cfvo type="num" val="-0.1"/>
        <cfvo type="num" val="0"/>
        <cfvo type="num" val="0.1"/>
        <color rgb="FFF8696B"/>
        <color rgb="FFFFEB84"/>
        <color rgb="FF63BE7B"/>
      </colorScale>
    </cfRule>
  </conditionalFormatting>
  <conditionalFormatting sqref="Q177">
    <cfRule type="colorScale" priority="89">
      <colorScale>
        <cfvo type="num" val="-0.1"/>
        <cfvo type="num" val="0"/>
        <cfvo type="num" val="0.1"/>
        <color rgb="FFF8696B"/>
        <color rgb="FFFFEB84"/>
        <color rgb="FF63BE7B"/>
      </colorScale>
    </cfRule>
  </conditionalFormatting>
  <conditionalFormatting sqref="Q178">
    <cfRule type="colorScale" priority="86">
      <colorScale>
        <cfvo type="num" val="-0.1"/>
        <cfvo type="num" val="0"/>
        <cfvo type="num" val="0.1"/>
        <color rgb="FFF8696B"/>
        <color rgb="FFFFEB84"/>
        <color rgb="FF63BE7B"/>
      </colorScale>
    </cfRule>
  </conditionalFormatting>
  <conditionalFormatting sqref="Q178:Q179">
    <cfRule type="colorScale" priority="91">
      <colorScale>
        <cfvo type="num" val="-0.1"/>
        <cfvo type="num" val="0"/>
        <cfvo type="num" val="0.1"/>
        <color rgb="FFF8696B"/>
        <color rgb="FFFFEB84"/>
        <color rgb="FF63BE7B"/>
      </colorScale>
    </cfRule>
  </conditionalFormatting>
  <conditionalFormatting sqref="Q180:Q184 Q187">
    <cfRule type="colorScale" priority="96">
      <colorScale>
        <cfvo type="num" val="-0.1"/>
        <cfvo type="num" val="0"/>
        <cfvo type="num" val="0.1"/>
        <color rgb="FFF8696B"/>
        <color rgb="FFFFEB84"/>
        <color rgb="FF63BE7B"/>
      </colorScale>
    </cfRule>
  </conditionalFormatting>
  <conditionalFormatting sqref="Q185">
    <cfRule type="colorScale" priority="93">
      <colorScale>
        <cfvo type="num" val="-0.1"/>
        <cfvo type="num" val="0"/>
        <cfvo type="num" val="0.1"/>
        <color rgb="FFF8696B"/>
        <color rgb="FFFFEB84"/>
        <color rgb="FF63BE7B"/>
      </colorScale>
    </cfRule>
  </conditionalFormatting>
  <conditionalFormatting sqref="Q186">
    <cfRule type="colorScale" priority="94">
      <colorScale>
        <cfvo type="num" val="-0.1"/>
        <cfvo type="num" val="0"/>
        <cfvo type="num" val="0.1"/>
        <color rgb="FFF8696B"/>
        <color rgb="FFFFEB84"/>
        <color rgb="FF63BE7B"/>
      </colorScale>
    </cfRule>
  </conditionalFormatting>
  <conditionalFormatting sqref="Q188">
    <cfRule type="colorScale" priority="95">
      <colorScale>
        <cfvo type="num" val="-0.1"/>
        <cfvo type="num" val="0"/>
        <cfvo type="num" val="0.1"/>
        <color rgb="FFF8696B"/>
        <color rgb="FFFFEB84"/>
        <color rgb="FF63BE7B"/>
      </colorScale>
    </cfRule>
  </conditionalFormatting>
  <conditionalFormatting sqref="Q189">
    <cfRule type="colorScale" priority="92">
      <colorScale>
        <cfvo type="num" val="-0.1"/>
        <cfvo type="num" val="0"/>
        <cfvo type="num" val="0.1"/>
        <color rgb="FFF8696B"/>
        <color rgb="FFFFEB84"/>
        <color rgb="FF63BE7B"/>
      </colorScale>
    </cfRule>
  </conditionalFormatting>
  <conditionalFormatting sqref="Q189:Q190">
    <cfRule type="colorScale" priority="97">
      <colorScale>
        <cfvo type="num" val="-0.1"/>
        <cfvo type="num" val="0"/>
        <cfvo type="num" val="0.1"/>
        <color rgb="FFF8696B"/>
        <color rgb="FFFFEB84"/>
        <color rgb="FF63BE7B"/>
      </colorScale>
    </cfRule>
  </conditionalFormatting>
  <conditionalFormatting sqref="Q191:Q195 Q198">
    <cfRule type="colorScale" priority="104">
      <colorScale>
        <cfvo type="num" val="-0.1"/>
        <cfvo type="num" val="0"/>
        <cfvo type="num" val="0.1"/>
        <color rgb="FFF8696B"/>
        <color rgb="FFFFEB84"/>
        <color rgb="FF63BE7B"/>
      </colorScale>
    </cfRule>
  </conditionalFormatting>
  <conditionalFormatting sqref="Q196">
    <cfRule type="colorScale" priority="100">
      <colorScale>
        <cfvo type="num" val="-0.1"/>
        <cfvo type="num" val="0"/>
        <cfvo type="num" val="0.1"/>
        <color rgb="FFF8696B"/>
        <color rgb="FFFFEB84"/>
        <color rgb="FF63BE7B"/>
      </colorScale>
    </cfRule>
  </conditionalFormatting>
  <conditionalFormatting sqref="Q197">
    <cfRule type="colorScale" priority="101">
      <colorScale>
        <cfvo type="num" val="-0.1"/>
        <cfvo type="num" val="0"/>
        <cfvo type="num" val="0.1"/>
        <color rgb="FFF8696B"/>
        <color rgb="FFFFEB84"/>
        <color rgb="FF63BE7B"/>
      </colorScale>
    </cfRule>
  </conditionalFormatting>
  <conditionalFormatting sqref="Q199">
    <cfRule type="colorScale" priority="102">
      <colorScale>
        <cfvo type="num" val="-0.1"/>
        <cfvo type="num" val="0"/>
        <cfvo type="num" val="0.1"/>
        <color rgb="FFF8696B"/>
        <color rgb="FFFFEB84"/>
        <color rgb="FF63BE7B"/>
      </colorScale>
    </cfRule>
  </conditionalFormatting>
  <conditionalFormatting sqref="Q200">
    <cfRule type="colorScale" priority="98">
      <colorScale>
        <cfvo type="num" val="-0.1"/>
        <cfvo type="num" val="0"/>
        <cfvo type="num" val="0.1"/>
        <color rgb="FFF8696B"/>
        <color rgb="FFFFEB84"/>
        <color rgb="FF63BE7B"/>
      </colorScale>
    </cfRule>
  </conditionalFormatting>
  <conditionalFormatting sqref="Q202:Q206 Q209">
    <cfRule type="colorScale" priority="111">
      <colorScale>
        <cfvo type="num" val="-0.1"/>
        <cfvo type="num" val="0"/>
        <cfvo type="num" val="0.1"/>
        <color rgb="FFF8696B"/>
        <color rgb="FFFFEB84"/>
        <color rgb="FF63BE7B"/>
      </colorScale>
    </cfRule>
  </conditionalFormatting>
  <conditionalFormatting sqref="Q207">
    <cfRule type="colorScale" priority="107">
      <colorScale>
        <cfvo type="num" val="-0.1"/>
        <cfvo type="num" val="0"/>
        <cfvo type="num" val="0.1"/>
        <color rgb="FFF8696B"/>
        <color rgb="FFFFEB84"/>
        <color rgb="FF63BE7B"/>
      </colorScale>
    </cfRule>
  </conditionalFormatting>
  <conditionalFormatting sqref="Q208">
    <cfRule type="colorScale" priority="108">
      <colorScale>
        <cfvo type="num" val="-0.1"/>
        <cfvo type="num" val="0"/>
        <cfvo type="num" val="0.1"/>
        <color rgb="FFF8696B"/>
        <color rgb="FFFFEB84"/>
        <color rgb="FF63BE7B"/>
      </colorScale>
    </cfRule>
  </conditionalFormatting>
  <conditionalFormatting sqref="Q210">
    <cfRule type="colorScale" priority="109">
      <colorScale>
        <cfvo type="num" val="-0.1"/>
        <cfvo type="num" val="0"/>
        <cfvo type="num" val="0.1"/>
        <color rgb="FFF8696B"/>
        <color rgb="FFFFEB84"/>
        <color rgb="FF63BE7B"/>
      </colorScale>
    </cfRule>
  </conditionalFormatting>
  <conditionalFormatting sqref="Q211">
    <cfRule type="colorScale" priority="106">
      <colorScale>
        <cfvo type="num" val="-0.1"/>
        <cfvo type="num" val="0"/>
        <cfvo type="num" val="0.1"/>
        <color rgb="FFF8696B"/>
        <color rgb="FFFFEB84"/>
        <color rgb="FF63BE7B"/>
      </colorScale>
    </cfRule>
  </conditionalFormatting>
  <conditionalFormatting sqref="Q212:Q214">
    <cfRule type="colorScale" priority="110">
      <colorScale>
        <cfvo type="num" val="-0.1"/>
        <cfvo type="num" val="0"/>
        <cfvo type="num" val="0.1"/>
        <color rgb="FFF8696B"/>
        <color rgb="FFFFEB84"/>
        <color rgb="FF63BE7B"/>
      </colorScale>
    </cfRule>
  </conditionalFormatting>
  <conditionalFormatting sqref="Q213">
    <cfRule type="colorScale" priority="105">
      <colorScale>
        <cfvo type="num" val="-0.1"/>
        <cfvo type="num" val="0"/>
        <cfvo type="num" val="0.1"/>
        <color rgb="FFF8696B"/>
        <color rgb="FFFFEB84"/>
        <color rgb="FF63BE7B"/>
      </colorScale>
    </cfRule>
  </conditionalFormatting>
  <conditionalFormatting sqref="Q215:Q219 Q222">
    <cfRule type="colorScale" priority="118">
      <colorScale>
        <cfvo type="num" val="-0.1"/>
        <cfvo type="num" val="0"/>
        <cfvo type="num" val="0.1"/>
        <color rgb="FFF8696B"/>
        <color rgb="FFFFEB84"/>
        <color rgb="FF63BE7B"/>
      </colorScale>
    </cfRule>
  </conditionalFormatting>
  <conditionalFormatting sqref="Q220">
    <cfRule type="colorScale" priority="114">
      <colorScale>
        <cfvo type="num" val="-0.1"/>
        <cfvo type="num" val="0"/>
        <cfvo type="num" val="0.1"/>
        <color rgb="FFF8696B"/>
        <color rgb="FFFFEB84"/>
        <color rgb="FF63BE7B"/>
      </colorScale>
    </cfRule>
  </conditionalFormatting>
  <conditionalFormatting sqref="Q221">
    <cfRule type="colorScale" priority="115">
      <colorScale>
        <cfvo type="num" val="-0.1"/>
        <cfvo type="num" val="0"/>
        <cfvo type="num" val="0.1"/>
        <color rgb="FFF8696B"/>
        <color rgb="FFFFEB84"/>
        <color rgb="FF63BE7B"/>
      </colorScale>
    </cfRule>
  </conditionalFormatting>
  <conditionalFormatting sqref="Q223">
    <cfRule type="colorScale" priority="116">
      <colorScale>
        <cfvo type="num" val="-0.1"/>
        <cfvo type="num" val="0"/>
        <cfvo type="num" val="0.1"/>
        <color rgb="FFF8696B"/>
        <color rgb="FFFFEB84"/>
        <color rgb="FF63BE7B"/>
      </colorScale>
    </cfRule>
  </conditionalFormatting>
  <conditionalFormatting sqref="Q224">
    <cfRule type="colorScale" priority="113">
      <colorScale>
        <cfvo type="num" val="-0.1"/>
        <cfvo type="num" val="0"/>
        <cfvo type="num" val="0.1"/>
        <color rgb="FFF8696B"/>
        <color rgb="FFFFEB84"/>
        <color rgb="FF63BE7B"/>
      </colorScale>
    </cfRule>
  </conditionalFormatting>
  <conditionalFormatting sqref="Q225:Q227">
    <cfRule type="colorScale" priority="117">
      <colorScale>
        <cfvo type="num" val="-0.1"/>
        <cfvo type="num" val="0"/>
        <cfvo type="num" val="0.1"/>
        <color rgb="FFF8696B"/>
        <color rgb="FFFFEB84"/>
        <color rgb="FF63BE7B"/>
      </colorScale>
    </cfRule>
  </conditionalFormatting>
  <conditionalFormatting sqref="Q226">
    <cfRule type="colorScale" priority="112">
      <colorScale>
        <cfvo type="num" val="-0.1"/>
        <cfvo type="num" val="0"/>
        <cfvo type="num" val="0.1"/>
        <color rgb="FFF8696B"/>
        <color rgb="FFFFEB84"/>
        <color rgb="FF63BE7B"/>
      </colorScale>
    </cfRule>
  </conditionalFormatting>
  <conditionalFormatting sqref="Q228:Q232 Q235">
    <cfRule type="colorScale" priority="125">
      <colorScale>
        <cfvo type="num" val="-0.1"/>
        <cfvo type="num" val="0"/>
        <cfvo type="num" val="0.1"/>
        <color rgb="FFF8696B"/>
        <color rgb="FFFFEB84"/>
        <color rgb="FF63BE7B"/>
      </colorScale>
    </cfRule>
  </conditionalFormatting>
  <conditionalFormatting sqref="Q233">
    <cfRule type="colorScale" priority="121">
      <colorScale>
        <cfvo type="num" val="-0.1"/>
        <cfvo type="num" val="0"/>
        <cfvo type="num" val="0.1"/>
        <color rgb="FFF8696B"/>
        <color rgb="FFFFEB84"/>
        <color rgb="FF63BE7B"/>
      </colorScale>
    </cfRule>
  </conditionalFormatting>
  <conditionalFormatting sqref="Q234">
    <cfRule type="colorScale" priority="122">
      <colorScale>
        <cfvo type="num" val="-0.1"/>
        <cfvo type="num" val="0"/>
        <cfvo type="num" val="0.1"/>
        <color rgb="FFF8696B"/>
        <color rgb="FFFFEB84"/>
        <color rgb="FF63BE7B"/>
      </colorScale>
    </cfRule>
  </conditionalFormatting>
  <conditionalFormatting sqref="Q236">
    <cfRule type="colorScale" priority="123">
      <colorScale>
        <cfvo type="num" val="-0.1"/>
        <cfvo type="num" val="0"/>
        <cfvo type="num" val="0.1"/>
        <color rgb="FFF8696B"/>
        <color rgb="FFFFEB84"/>
        <color rgb="FF63BE7B"/>
      </colorScale>
    </cfRule>
  </conditionalFormatting>
  <conditionalFormatting sqref="Q237">
    <cfRule type="colorScale" priority="120">
      <colorScale>
        <cfvo type="num" val="-0.1"/>
        <cfvo type="num" val="0"/>
        <cfvo type="num" val="0.1"/>
        <color rgb="FFF8696B"/>
        <color rgb="FFFFEB84"/>
        <color rgb="FF63BE7B"/>
      </colorScale>
    </cfRule>
  </conditionalFormatting>
  <conditionalFormatting sqref="Q238:Q240">
    <cfRule type="colorScale" priority="124">
      <colorScale>
        <cfvo type="num" val="-0.1"/>
        <cfvo type="num" val="0"/>
        <cfvo type="num" val="0.1"/>
        <color rgb="FFF8696B"/>
        <color rgb="FFFFEB84"/>
        <color rgb="FF63BE7B"/>
      </colorScale>
    </cfRule>
  </conditionalFormatting>
  <conditionalFormatting sqref="Q239">
    <cfRule type="colorScale" priority="119">
      <colorScale>
        <cfvo type="num" val="-0.1"/>
        <cfvo type="num" val="0"/>
        <cfvo type="num" val="0.1"/>
        <color rgb="FFF8696B"/>
        <color rgb="FFFFEB84"/>
        <color rgb="FF63BE7B"/>
      </colorScale>
    </cfRule>
  </conditionalFormatting>
  <conditionalFormatting sqref="Q241:Q245 Q248">
    <cfRule type="colorScale" priority="132">
      <colorScale>
        <cfvo type="num" val="-0.1"/>
        <cfvo type="num" val="0"/>
        <cfvo type="num" val="0.1"/>
        <color rgb="FFF8696B"/>
        <color rgb="FFFFEB84"/>
        <color rgb="FF63BE7B"/>
      </colorScale>
    </cfRule>
  </conditionalFormatting>
  <conditionalFormatting sqref="Q246">
    <cfRule type="colorScale" priority="128">
      <colorScale>
        <cfvo type="num" val="-0.1"/>
        <cfvo type="num" val="0"/>
        <cfvo type="num" val="0.1"/>
        <color rgb="FFF8696B"/>
        <color rgb="FFFFEB84"/>
        <color rgb="FF63BE7B"/>
      </colorScale>
    </cfRule>
  </conditionalFormatting>
  <conditionalFormatting sqref="Q247">
    <cfRule type="colorScale" priority="129">
      <colorScale>
        <cfvo type="num" val="-0.1"/>
        <cfvo type="num" val="0"/>
        <cfvo type="num" val="0.1"/>
        <color rgb="FFF8696B"/>
        <color rgb="FFFFEB84"/>
        <color rgb="FF63BE7B"/>
      </colorScale>
    </cfRule>
  </conditionalFormatting>
  <conditionalFormatting sqref="Q249">
    <cfRule type="colorScale" priority="130">
      <colorScale>
        <cfvo type="num" val="-0.1"/>
        <cfvo type="num" val="0"/>
        <cfvo type="num" val="0.1"/>
        <color rgb="FFF8696B"/>
        <color rgb="FFFFEB84"/>
        <color rgb="FF63BE7B"/>
      </colorScale>
    </cfRule>
  </conditionalFormatting>
  <conditionalFormatting sqref="Q250">
    <cfRule type="colorScale" priority="127">
      <colorScale>
        <cfvo type="num" val="-0.1"/>
        <cfvo type="num" val="0"/>
        <cfvo type="num" val="0.1"/>
        <color rgb="FFF8696B"/>
        <color rgb="FFFFEB84"/>
        <color rgb="FF63BE7B"/>
      </colorScale>
    </cfRule>
  </conditionalFormatting>
  <conditionalFormatting sqref="Q251:Q253">
    <cfRule type="colorScale" priority="131">
      <colorScale>
        <cfvo type="num" val="-0.1"/>
        <cfvo type="num" val="0"/>
        <cfvo type="num" val="0.1"/>
        <color rgb="FFF8696B"/>
        <color rgb="FFFFEB84"/>
        <color rgb="FF63BE7B"/>
      </colorScale>
    </cfRule>
  </conditionalFormatting>
  <conditionalFormatting sqref="Q252">
    <cfRule type="colorScale" priority="126">
      <colorScale>
        <cfvo type="num" val="-0.1"/>
        <cfvo type="num" val="0"/>
        <cfvo type="num" val="0.1"/>
        <color rgb="FFF8696B"/>
        <color rgb="FFFFEB84"/>
        <color rgb="FF63BE7B"/>
      </colorScale>
    </cfRule>
  </conditionalFormatting>
  <conditionalFormatting sqref="Q254:Q258 Q261">
    <cfRule type="colorScale" priority="139">
      <colorScale>
        <cfvo type="num" val="-0.1"/>
        <cfvo type="num" val="0"/>
        <cfvo type="num" val="0.1"/>
        <color rgb="FFF8696B"/>
        <color rgb="FFFFEB84"/>
        <color rgb="FF63BE7B"/>
      </colorScale>
    </cfRule>
  </conditionalFormatting>
  <conditionalFormatting sqref="Q259">
    <cfRule type="colorScale" priority="135">
      <colorScale>
        <cfvo type="num" val="-0.1"/>
        <cfvo type="num" val="0"/>
        <cfvo type="num" val="0.1"/>
        <color rgb="FFF8696B"/>
        <color rgb="FFFFEB84"/>
        <color rgb="FF63BE7B"/>
      </colorScale>
    </cfRule>
  </conditionalFormatting>
  <conditionalFormatting sqref="Q260">
    <cfRule type="colorScale" priority="136">
      <colorScale>
        <cfvo type="num" val="-0.1"/>
        <cfvo type="num" val="0"/>
        <cfvo type="num" val="0.1"/>
        <color rgb="FFF8696B"/>
        <color rgb="FFFFEB84"/>
        <color rgb="FF63BE7B"/>
      </colorScale>
    </cfRule>
  </conditionalFormatting>
  <conditionalFormatting sqref="Q262">
    <cfRule type="colorScale" priority="137">
      <colorScale>
        <cfvo type="num" val="-0.1"/>
        <cfvo type="num" val="0"/>
        <cfvo type="num" val="0.1"/>
        <color rgb="FFF8696B"/>
        <color rgb="FFFFEB84"/>
        <color rgb="FF63BE7B"/>
      </colorScale>
    </cfRule>
  </conditionalFormatting>
  <conditionalFormatting sqref="Q263">
    <cfRule type="colorScale" priority="133">
      <colorScale>
        <cfvo type="num" val="-0.1"/>
        <cfvo type="num" val="0"/>
        <cfvo type="num" val="0.1"/>
        <color rgb="FFF8696B"/>
        <color rgb="FFFFEB84"/>
        <color rgb="FF63BE7B"/>
      </colorScale>
    </cfRule>
  </conditionalFormatting>
  <conditionalFormatting sqref="Q264:Q265">
    <cfRule type="colorScale" priority="138">
      <colorScale>
        <cfvo type="num" val="-0.1"/>
        <cfvo type="num" val="0"/>
        <cfvo type="num" val="0.1"/>
        <color rgb="FFF8696B"/>
        <color rgb="FFFFEB84"/>
        <color rgb="FF63BE7B"/>
      </colorScale>
    </cfRule>
  </conditionalFormatting>
  <conditionalFormatting sqref="Q266:Q270 Q273">
    <cfRule type="colorScale" priority="150">
      <colorScale>
        <cfvo type="num" val="-0.1"/>
        <cfvo type="num" val="0"/>
        <cfvo type="num" val="0.1"/>
        <color rgb="FFF8696B"/>
        <color rgb="FFFFEB84"/>
        <color rgb="FF63BE7B"/>
      </colorScale>
    </cfRule>
  </conditionalFormatting>
  <conditionalFormatting sqref="Q271">
    <cfRule type="colorScale" priority="146">
      <colorScale>
        <cfvo type="num" val="-0.1"/>
        <cfvo type="num" val="0"/>
        <cfvo type="num" val="0.1"/>
        <color rgb="FFF8696B"/>
        <color rgb="FFFFEB84"/>
        <color rgb="FF63BE7B"/>
      </colorScale>
    </cfRule>
  </conditionalFormatting>
  <conditionalFormatting sqref="Q272">
    <cfRule type="colorScale" priority="147">
      <colorScale>
        <cfvo type="num" val="-0.1"/>
        <cfvo type="num" val="0"/>
        <cfvo type="num" val="0.1"/>
        <color rgb="FFF8696B"/>
        <color rgb="FFFFEB84"/>
        <color rgb="FF63BE7B"/>
      </colorScale>
    </cfRule>
  </conditionalFormatting>
  <conditionalFormatting sqref="Q274:Q275">
    <cfRule type="colorScale" priority="148">
      <colorScale>
        <cfvo type="num" val="-0.1"/>
        <cfvo type="num" val="0"/>
        <cfvo type="num" val="0.1"/>
        <color rgb="FFF8696B"/>
        <color rgb="FFFFEB84"/>
        <color rgb="FF63BE7B"/>
      </colorScale>
    </cfRule>
  </conditionalFormatting>
  <conditionalFormatting sqref="Q275">
    <cfRule type="colorScale" priority="143">
      <colorScale>
        <cfvo type="num" val="-0.1"/>
        <cfvo type="num" val="0"/>
        <cfvo type="num" val="0.1"/>
        <color rgb="FFF8696B"/>
        <color rgb="FFFFEB84"/>
        <color rgb="FF63BE7B"/>
      </colorScale>
    </cfRule>
  </conditionalFormatting>
  <conditionalFormatting sqref="Q276">
    <cfRule type="colorScale" priority="140">
      <colorScale>
        <cfvo type="num" val="-0.1"/>
        <cfvo type="num" val="0"/>
        <cfvo type="num" val="0.1"/>
        <color rgb="FFF8696B"/>
        <color rgb="FFFFEB84"/>
        <color rgb="FF63BE7B"/>
      </colorScale>
    </cfRule>
  </conditionalFormatting>
  <conditionalFormatting sqref="Q277:Q278">
    <cfRule type="colorScale" priority="149">
      <colorScale>
        <cfvo type="num" val="-0.1"/>
        <cfvo type="num" val="0"/>
        <cfvo type="num" val="0.1"/>
        <color rgb="FFF8696B"/>
        <color rgb="FFFFEB84"/>
        <color rgb="FF63BE7B"/>
      </colorScale>
    </cfRule>
  </conditionalFormatting>
  <conditionalFormatting sqref="Q279:Q280">
    <cfRule type="colorScale" priority="156">
      <colorScale>
        <cfvo type="num" val="-0.1"/>
        <cfvo type="num" val="0"/>
        <cfvo type="num" val="0.1"/>
        <color rgb="FFF8696B"/>
        <color rgb="FFFFEB84"/>
        <color rgb="FF63BE7B"/>
      </colorScale>
    </cfRule>
  </conditionalFormatting>
  <conditionalFormatting sqref="Q281">
    <cfRule type="colorScale" priority="153">
      <colorScale>
        <cfvo type="num" val="-0.1"/>
        <cfvo type="num" val="0"/>
        <cfvo type="num" val="0.1"/>
        <color rgb="FFF8696B"/>
        <color rgb="FFFFEB84"/>
        <color rgb="FF63BE7B"/>
      </colorScale>
    </cfRule>
  </conditionalFormatting>
  <conditionalFormatting sqref="Q282">
    <cfRule type="colorScale" priority="155">
      <colorScale>
        <cfvo type="num" val="-0.1"/>
        <cfvo type="num" val="0"/>
        <cfvo type="num" val="0.1"/>
        <color rgb="FFF8696B"/>
        <color rgb="FFFFEB84"/>
        <color rgb="FF63BE7B"/>
      </colorScale>
    </cfRule>
  </conditionalFormatting>
  <conditionalFormatting sqref="Q283:Q287 Q290">
    <cfRule type="colorScale" priority="162">
      <colorScale>
        <cfvo type="num" val="-0.1"/>
        <cfvo type="num" val="0"/>
        <cfvo type="num" val="0.1"/>
        <color rgb="FFF8696B"/>
        <color rgb="FFFFEB84"/>
        <color rgb="FF63BE7B"/>
      </colorScale>
    </cfRule>
  </conditionalFormatting>
  <conditionalFormatting sqref="Q288">
    <cfRule type="colorScale" priority="157">
      <colorScale>
        <cfvo type="num" val="-0.1"/>
        <cfvo type="num" val="0"/>
        <cfvo type="num" val="0.1"/>
        <color rgb="FFF8696B"/>
        <color rgb="FFFFEB84"/>
        <color rgb="FF63BE7B"/>
      </colorScale>
    </cfRule>
  </conditionalFormatting>
  <conditionalFormatting sqref="Q289">
    <cfRule type="colorScale" priority="158">
      <colorScale>
        <cfvo type="num" val="-0.1"/>
        <cfvo type="num" val="0"/>
        <cfvo type="num" val="0.1"/>
        <color rgb="FFF8696B"/>
        <color rgb="FFFFEB84"/>
        <color rgb="FF63BE7B"/>
      </colorScale>
    </cfRule>
  </conditionalFormatting>
  <conditionalFormatting sqref="Q291:Q292">
    <cfRule type="colorScale" priority="160">
      <colorScale>
        <cfvo type="num" val="-0.1"/>
        <cfvo type="num" val="0"/>
        <cfvo type="num" val="0.1"/>
        <color rgb="FFF8696B"/>
        <color rgb="FFFFEB84"/>
        <color rgb="FF63BE7B"/>
      </colorScale>
    </cfRule>
  </conditionalFormatting>
  <conditionalFormatting sqref="Q292">
    <cfRule type="colorScale" priority="154">
      <colorScale>
        <cfvo type="num" val="-0.1"/>
        <cfvo type="num" val="0"/>
        <cfvo type="num" val="0.1"/>
        <color rgb="FFF8696B"/>
        <color rgb="FFFFEB84"/>
        <color rgb="FF63BE7B"/>
      </colorScale>
    </cfRule>
  </conditionalFormatting>
  <conditionalFormatting sqref="Q293">
    <cfRule type="colorScale" priority="151">
      <colorScale>
        <cfvo type="num" val="-0.1"/>
        <cfvo type="num" val="0"/>
        <cfvo type="num" val="0.1"/>
        <color rgb="FFF8696B"/>
        <color rgb="FFFFEB84"/>
        <color rgb="FF63BE7B"/>
      </colorScale>
    </cfRule>
  </conditionalFormatting>
  <conditionalFormatting sqref="Q294 Q296">
    <cfRule type="colorScale" priority="161">
      <colorScale>
        <cfvo type="num" val="-0.1"/>
        <cfvo type="num" val="0"/>
        <cfvo type="num" val="0.1"/>
        <color rgb="FFF8696B"/>
        <color rgb="FFFFEB84"/>
        <color rgb="FF63BE7B"/>
      </colorScale>
    </cfRule>
  </conditionalFormatting>
  <conditionalFormatting sqref="Q295">
    <cfRule type="colorScale" priority="152">
      <colorScale>
        <cfvo type="num" val="-0.1"/>
        <cfvo type="num" val="0"/>
        <cfvo type="num" val="0.1"/>
        <color rgb="FFF8696B"/>
        <color rgb="FFFFEB84"/>
        <color rgb="FF63BE7B"/>
      </colorScale>
    </cfRule>
  </conditionalFormatting>
  <conditionalFormatting sqref="Q297:Q301 Q304">
    <cfRule type="colorScale" priority="169">
      <colorScale>
        <cfvo type="num" val="-0.1"/>
        <cfvo type="num" val="0"/>
        <cfvo type="num" val="0.1"/>
        <color rgb="FFF8696B"/>
        <color rgb="FFFFEB84"/>
        <color rgb="FF63BE7B"/>
      </colorScale>
    </cfRule>
  </conditionalFormatting>
  <conditionalFormatting sqref="Q302">
    <cfRule type="colorScale" priority="164">
      <colorScale>
        <cfvo type="num" val="-0.1"/>
        <cfvo type="num" val="0"/>
        <cfvo type="num" val="0.1"/>
        <color rgb="FFF8696B"/>
        <color rgb="FFFFEB84"/>
        <color rgb="FF63BE7B"/>
      </colorScale>
    </cfRule>
  </conditionalFormatting>
  <conditionalFormatting sqref="Q303">
    <cfRule type="colorScale" priority="165">
      <colorScale>
        <cfvo type="num" val="-0.1"/>
        <cfvo type="num" val="0"/>
        <cfvo type="num" val="0.1"/>
        <color rgb="FFF8696B"/>
        <color rgb="FFFFEB84"/>
        <color rgb="FF63BE7B"/>
      </colorScale>
    </cfRule>
  </conditionalFormatting>
  <conditionalFormatting sqref="Q305">
    <cfRule type="colorScale" priority="167">
      <colorScale>
        <cfvo type="num" val="-0.1"/>
        <cfvo type="num" val="0"/>
        <cfvo type="num" val="0.1"/>
        <color rgb="FFF8696B"/>
        <color rgb="FFFFEB84"/>
        <color rgb="FF63BE7B"/>
      </colorScale>
    </cfRule>
  </conditionalFormatting>
  <conditionalFormatting sqref="Q306">
    <cfRule type="colorScale" priority="166">
      <colorScale>
        <cfvo type="num" val="-0.1"/>
        <cfvo type="num" val="0"/>
        <cfvo type="num" val="0.1"/>
        <color rgb="FFF8696B"/>
        <color rgb="FFFFEB84"/>
        <color rgb="FF63BE7B"/>
      </colorScale>
    </cfRule>
  </conditionalFormatting>
  <conditionalFormatting sqref="Q307:Q308">
    <cfRule type="colorScale" priority="168">
      <colorScale>
        <cfvo type="num" val="-0.1"/>
        <cfvo type="num" val="0"/>
        <cfvo type="num" val="0.1"/>
        <color rgb="FFF8696B"/>
        <color rgb="FFFFEB84"/>
        <color rgb="FF63BE7B"/>
      </colorScale>
    </cfRule>
  </conditionalFormatting>
  <conditionalFormatting sqref="Q309:Q313 Q316">
    <cfRule type="colorScale" priority="176">
      <colorScale>
        <cfvo type="num" val="-0.1"/>
        <cfvo type="num" val="0"/>
        <cfvo type="num" val="0.1"/>
        <color rgb="FFF8696B"/>
        <color rgb="FFFFEB84"/>
        <color rgb="FF63BE7B"/>
      </colorScale>
    </cfRule>
  </conditionalFormatting>
  <conditionalFormatting sqref="Q314">
    <cfRule type="colorScale" priority="171">
      <colorScale>
        <cfvo type="num" val="-0.1"/>
        <cfvo type="num" val="0"/>
        <cfvo type="num" val="0.1"/>
        <color rgb="FFF8696B"/>
        <color rgb="FFFFEB84"/>
        <color rgb="FF63BE7B"/>
      </colorScale>
    </cfRule>
  </conditionalFormatting>
  <conditionalFormatting sqref="Q315">
    <cfRule type="colorScale" priority="172">
      <colorScale>
        <cfvo type="num" val="-0.1"/>
        <cfvo type="num" val="0"/>
        <cfvo type="num" val="0.1"/>
        <color rgb="FFF8696B"/>
        <color rgb="FFFFEB84"/>
        <color rgb="FF63BE7B"/>
      </colorScale>
    </cfRule>
  </conditionalFormatting>
  <conditionalFormatting sqref="Q317">
    <cfRule type="colorScale" priority="174">
      <colorScale>
        <cfvo type="num" val="-0.1"/>
        <cfvo type="num" val="0"/>
        <cfvo type="num" val="0.1"/>
        <color rgb="FFF8696B"/>
        <color rgb="FFFFEB84"/>
        <color rgb="FF63BE7B"/>
      </colorScale>
    </cfRule>
  </conditionalFormatting>
  <conditionalFormatting sqref="Q318">
    <cfRule type="colorScale" priority="170">
      <colorScale>
        <cfvo type="num" val="-0.1"/>
        <cfvo type="num" val="0"/>
        <cfvo type="num" val="0.1"/>
        <color rgb="FFF8696B"/>
        <color rgb="FFFFEB84"/>
        <color rgb="FF63BE7B"/>
      </colorScale>
    </cfRule>
  </conditionalFormatting>
  <conditionalFormatting sqref="Q319">
    <cfRule type="colorScale" priority="173">
      <colorScale>
        <cfvo type="num" val="-0.1"/>
        <cfvo type="num" val="0"/>
        <cfvo type="num" val="0.1"/>
        <color rgb="FFF8696B"/>
        <color rgb="FFFFEB84"/>
        <color rgb="FF63BE7B"/>
      </colorScale>
    </cfRule>
  </conditionalFormatting>
  <conditionalFormatting sqref="Q320:Q321">
    <cfRule type="colorScale" priority="175">
      <colorScale>
        <cfvo type="num" val="-0.1"/>
        <cfvo type="num" val="0"/>
        <cfvo type="num" val="0.1"/>
        <color rgb="FFF8696B"/>
        <color rgb="FFFFEB84"/>
        <color rgb="FF63BE7B"/>
      </colorScale>
    </cfRule>
  </conditionalFormatting>
  <conditionalFormatting sqref="Q322:Q326 Q329">
    <cfRule type="colorScale" priority="182">
      <colorScale>
        <cfvo type="num" val="-0.1"/>
        <cfvo type="num" val="0"/>
        <cfvo type="num" val="0.1"/>
        <color rgb="FFF8696B"/>
        <color rgb="FFFFEB84"/>
        <color rgb="FF63BE7B"/>
      </colorScale>
    </cfRule>
  </conditionalFormatting>
  <conditionalFormatting sqref="Q327">
    <cfRule type="colorScale" priority="177">
      <colorScale>
        <cfvo type="num" val="-0.1"/>
        <cfvo type="num" val="0"/>
        <cfvo type="num" val="0.1"/>
        <color rgb="FFF8696B"/>
        <color rgb="FFFFEB84"/>
        <color rgb="FF63BE7B"/>
      </colorScale>
    </cfRule>
  </conditionalFormatting>
  <conditionalFormatting sqref="Q328">
    <cfRule type="colorScale" priority="178">
      <colorScale>
        <cfvo type="num" val="-0.1"/>
        <cfvo type="num" val="0"/>
        <cfvo type="num" val="0.1"/>
        <color rgb="FFF8696B"/>
        <color rgb="FFFFEB84"/>
        <color rgb="FF63BE7B"/>
      </colorScale>
    </cfRule>
  </conditionalFormatting>
  <conditionalFormatting sqref="Q330">
    <cfRule type="colorScale" priority="180">
      <colorScale>
        <cfvo type="num" val="-0.1"/>
        <cfvo type="num" val="0"/>
        <cfvo type="num" val="0.1"/>
        <color rgb="FFF8696B"/>
        <color rgb="FFFFEB84"/>
        <color rgb="FF63BE7B"/>
      </colorScale>
    </cfRule>
  </conditionalFormatting>
  <conditionalFormatting sqref="Q331">
    <cfRule type="colorScale" priority="179">
      <colorScale>
        <cfvo type="num" val="-0.1"/>
        <cfvo type="num" val="0"/>
        <cfvo type="num" val="0.1"/>
        <color rgb="FFF8696B"/>
        <color rgb="FFFFEB84"/>
        <color rgb="FF63BE7B"/>
      </colorScale>
    </cfRule>
  </conditionalFormatting>
  <conditionalFormatting sqref="Q332:Q333">
    <cfRule type="colorScale" priority="181">
      <colorScale>
        <cfvo type="num" val="-0.1"/>
        <cfvo type="num" val="0"/>
        <cfvo type="num" val="0.1"/>
        <color rgb="FFF8696B"/>
        <color rgb="FFFFEB84"/>
        <color rgb="FF63BE7B"/>
      </colorScale>
    </cfRule>
  </conditionalFormatting>
  <conditionalFormatting sqref="Q334:Q338 Q341">
    <cfRule type="colorScale" priority="188">
      <colorScale>
        <cfvo type="num" val="-0.1"/>
        <cfvo type="num" val="0"/>
        <cfvo type="num" val="0.1"/>
        <color rgb="FFF8696B"/>
        <color rgb="FFFFEB84"/>
        <color rgb="FF63BE7B"/>
      </colorScale>
    </cfRule>
  </conditionalFormatting>
  <conditionalFormatting sqref="Q339">
    <cfRule type="colorScale" priority="183">
      <colorScale>
        <cfvo type="num" val="-0.1"/>
        <cfvo type="num" val="0"/>
        <cfvo type="num" val="0.1"/>
        <color rgb="FFF8696B"/>
        <color rgb="FFFFEB84"/>
        <color rgb="FF63BE7B"/>
      </colorScale>
    </cfRule>
  </conditionalFormatting>
  <conditionalFormatting sqref="Q340">
    <cfRule type="colorScale" priority="184">
      <colorScale>
        <cfvo type="num" val="-0.1"/>
        <cfvo type="num" val="0"/>
        <cfvo type="num" val="0.1"/>
        <color rgb="FFF8696B"/>
        <color rgb="FFFFEB84"/>
        <color rgb="FF63BE7B"/>
      </colorScale>
    </cfRule>
  </conditionalFormatting>
  <conditionalFormatting sqref="Q342">
    <cfRule type="colorScale" priority="186">
      <colorScale>
        <cfvo type="num" val="-0.1"/>
        <cfvo type="num" val="0"/>
        <cfvo type="num" val="0.1"/>
        <color rgb="FFF8696B"/>
        <color rgb="FFFFEB84"/>
        <color rgb="FF63BE7B"/>
      </colorScale>
    </cfRule>
  </conditionalFormatting>
  <conditionalFormatting sqref="Q343">
    <cfRule type="colorScale" priority="185">
      <colorScale>
        <cfvo type="num" val="-0.1"/>
        <cfvo type="num" val="0"/>
        <cfvo type="num" val="0.1"/>
        <color rgb="FFF8696B"/>
        <color rgb="FFFFEB84"/>
        <color rgb="FF63BE7B"/>
      </colorScale>
    </cfRule>
  </conditionalFormatting>
  <conditionalFormatting sqref="Q344:Q345">
    <cfRule type="colorScale" priority="187">
      <colorScale>
        <cfvo type="num" val="-0.1"/>
        <cfvo type="num" val="0"/>
        <cfvo type="num" val="0.1"/>
        <color rgb="FFF8696B"/>
        <color rgb="FFFFEB84"/>
        <color rgb="FF63BE7B"/>
      </colorScale>
    </cfRule>
  </conditionalFormatting>
  <conditionalFormatting sqref="Q346:Q350 Q353">
    <cfRule type="colorScale" priority="194">
      <colorScale>
        <cfvo type="num" val="-0.1"/>
        <cfvo type="num" val="0"/>
        <cfvo type="num" val="0.1"/>
        <color rgb="FFF8696B"/>
        <color rgb="FFFFEB84"/>
        <color rgb="FF63BE7B"/>
      </colorScale>
    </cfRule>
  </conditionalFormatting>
  <conditionalFormatting sqref="Q351">
    <cfRule type="colorScale" priority="189">
      <colorScale>
        <cfvo type="num" val="-0.1"/>
        <cfvo type="num" val="0"/>
        <cfvo type="num" val="0.1"/>
        <color rgb="FFF8696B"/>
        <color rgb="FFFFEB84"/>
        <color rgb="FF63BE7B"/>
      </colorScale>
    </cfRule>
  </conditionalFormatting>
  <conditionalFormatting sqref="Q352">
    <cfRule type="colorScale" priority="190">
      <colorScale>
        <cfvo type="num" val="-0.1"/>
        <cfvo type="num" val="0"/>
        <cfvo type="num" val="0.1"/>
        <color rgb="FFF8696B"/>
        <color rgb="FFFFEB84"/>
        <color rgb="FF63BE7B"/>
      </colorScale>
    </cfRule>
  </conditionalFormatting>
  <conditionalFormatting sqref="Q354">
    <cfRule type="colorScale" priority="192">
      <colorScale>
        <cfvo type="num" val="-0.1"/>
        <cfvo type="num" val="0"/>
        <cfvo type="num" val="0.1"/>
        <color rgb="FFF8696B"/>
        <color rgb="FFFFEB84"/>
        <color rgb="FF63BE7B"/>
      </colorScale>
    </cfRule>
  </conditionalFormatting>
  <conditionalFormatting sqref="Q355">
    <cfRule type="colorScale" priority="191">
      <colorScale>
        <cfvo type="num" val="-0.1"/>
        <cfvo type="num" val="0"/>
        <cfvo type="num" val="0.1"/>
        <color rgb="FFF8696B"/>
        <color rgb="FFFFEB84"/>
        <color rgb="FF63BE7B"/>
      </colorScale>
    </cfRule>
  </conditionalFormatting>
  <conditionalFormatting sqref="Q356:Q357">
    <cfRule type="colorScale" priority="193">
      <colorScale>
        <cfvo type="num" val="-0.1"/>
        <cfvo type="num" val="0"/>
        <cfvo type="num" val="0.1"/>
        <color rgb="FFF8696B"/>
        <color rgb="FFFFEB84"/>
        <color rgb="FF63BE7B"/>
      </colorScale>
    </cfRule>
  </conditionalFormatting>
  <conditionalFormatting sqref="Q358:Q362 Q365">
    <cfRule type="colorScale" priority="200">
      <colorScale>
        <cfvo type="num" val="-0.1"/>
        <cfvo type="num" val="0"/>
        <cfvo type="num" val="0.1"/>
        <color rgb="FFF8696B"/>
        <color rgb="FFFFEB84"/>
        <color rgb="FF63BE7B"/>
      </colorScale>
    </cfRule>
  </conditionalFormatting>
  <conditionalFormatting sqref="Q363">
    <cfRule type="colorScale" priority="195">
      <colorScale>
        <cfvo type="num" val="-0.1"/>
        <cfvo type="num" val="0"/>
        <cfvo type="num" val="0.1"/>
        <color rgb="FFF8696B"/>
        <color rgb="FFFFEB84"/>
        <color rgb="FF63BE7B"/>
      </colorScale>
    </cfRule>
  </conditionalFormatting>
  <conditionalFormatting sqref="Q364">
    <cfRule type="colorScale" priority="196">
      <colorScale>
        <cfvo type="num" val="-0.1"/>
        <cfvo type="num" val="0"/>
        <cfvo type="num" val="0.1"/>
        <color rgb="FFF8696B"/>
        <color rgb="FFFFEB84"/>
        <color rgb="FF63BE7B"/>
      </colorScale>
    </cfRule>
  </conditionalFormatting>
  <conditionalFormatting sqref="Q366">
    <cfRule type="colorScale" priority="198">
      <colorScale>
        <cfvo type="num" val="-0.1"/>
        <cfvo type="num" val="0"/>
        <cfvo type="num" val="0.1"/>
        <color rgb="FFF8696B"/>
        <color rgb="FFFFEB84"/>
        <color rgb="FF63BE7B"/>
      </colorScale>
    </cfRule>
  </conditionalFormatting>
  <conditionalFormatting sqref="Q367">
    <cfRule type="colorScale" priority="197">
      <colorScale>
        <cfvo type="num" val="-0.1"/>
        <cfvo type="num" val="0"/>
        <cfvo type="num" val="0.1"/>
        <color rgb="FFF8696B"/>
        <color rgb="FFFFEB84"/>
        <color rgb="FF63BE7B"/>
      </colorScale>
    </cfRule>
  </conditionalFormatting>
  <conditionalFormatting sqref="Q368:Q369">
    <cfRule type="colorScale" priority="199">
      <colorScale>
        <cfvo type="num" val="-0.1"/>
        <cfvo type="num" val="0"/>
        <cfvo type="num" val="0.1"/>
        <color rgb="FFF8696B"/>
        <color rgb="FFFFEB84"/>
        <color rgb="FF63BE7B"/>
      </colorScale>
    </cfRule>
  </conditionalFormatting>
  <conditionalFormatting sqref="Q370:Q374 Q377">
    <cfRule type="colorScale" priority="206">
      <colorScale>
        <cfvo type="num" val="-0.1"/>
        <cfvo type="num" val="0"/>
        <cfvo type="num" val="0.1"/>
        <color rgb="FFF8696B"/>
        <color rgb="FFFFEB84"/>
        <color rgb="FF63BE7B"/>
      </colorScale>
    </cfRule>
  </conditionalFormatting>
  <conditionalFormatting sqref="Q375">
    <cfRule type="colorScale" priority="201">
      <colorScale>
        <cfvo type="num" val="-0.1"/>
        <cfvo type="num" val="0"/>
        <cfvo type="num" val="0.1"/>
        <color rgb="FFF8696B"/>
        <color rgb="FFFFEB84"/>
        <color rgb="FF63BE7B"/>
      </colorScale>
    </cfRule>
  </conditionalFormatting>
  <conditionalFormatting sqref="Q376">
    <cfRule type="colorScale" priority="202">
      <colorScale>
        <cfvo type="num" val="-0.1"/>
        <cfvo type="num" val="0"/>
        <cfvo type="num" val="0.1"/>
        <color rgb="FFF8696B"/>
        <color rgb="FFFFEB84"/>
        <color rgb="FF63BE7B"/>
      </colorScale>
    </cfRule>
  </conditionalFormatting>
  <conditionalFormatting sqref="Q378">
    <cfRule type="colorScale" priority="204">
      <colorScale>
        <cfvo type="num" val="-0.1"/>
        <cfvo type="num" val="0"/>
        <cfvo type="num" val="0.1"/>
        <color rgb="FFF8696B"/>
        <color rgb="FFFFEB84"/>
        <color rgb="FF63BE7B"/>
      </colorScale>
    </cfRule>
  </conditionalFormatting>
  <conditionalFormatting sqref="Q379">
    <cfRule type="colorScale" priority="203">
      <colorScale>
        <cfvo type="num" val="-0.1"/>
        <cfvo type="num" val="0"/>
        <cfvo type="num" val="0.1"/>
        <color rgb="FFF8696B"/>
        <color rgb="FFFFEB84"/>
        <color rgb="FF63BE7B"/>
      </colorScale>
    </cfRule>
  </conditionalFormatting>
  <conditionalFormatting sqref="Q380:Q381">
    <cfRule type="colorScale" priority="205">
      <colorScale>
        <cfvo type="num" val="-0.1"/>
        <cfvo type="num" val="0"/>
        <cfvo type="num" val="0.1"/>
        <color rgb="FFF8696B"/>
        <color rgb="FFFFEB84"/>
        <color rgb="FF63BE7B"/>
      </colorScale>
    </cfRule>
  </conditionalFormatting>
  <conditionalFormatting sqref="Q388">
    <cfRule type="colorScale" priority="208">
      <colorScale>
        <cfvo type="num" val="-0.1"/>
        <cfvo type="num" val="0"/>
        <cfvo type="num" val="0.1"/>
        <color rgb="FFF8696B"/>
        <color rgb="FFFFEB84"/>
        <color rgb="FF63BE7B"/>
      </colorScale>
    </cfRule>
  </conditionalFormatting>
  <conditionalFormatting sqref="Q389">
    <cfRule type="colorScale" priority="207">
      <colorScale>
        <cfvo type="num" val="-0.1"/>
        <cfvo type="num" val="0"/>
        <cfvo type="num" val="0.1"/>
        <color rgb="FFF8696B"/>
        <color rgb="FFFFEB84"/>
        <color rgb="FF63BE7B"/>
      </colorScale>
    </cfRule>
  </conditionalFormatting>
  <conditionalFormatting sqref="Q390:Q391">
    <cfRule type="colorScale" priority="209">
      <colorScale>
        <cfvo type="num" val="-0.1"/>
        <cfvo type="num" val="0"/>
        <cfvo type="num" val="0.1"/>
        <color rgb="FFF8696B"/>
        <color rgb="FFFFEB84"/>
        <color rgb="FF63BE7B"/>
      </colorScale>
    </cfRule>
  </conditionalFormatting>
  <conditionalFormatting sqref="Q399">
    <cfRule type="colorScale" priority="214">
      <colorScale>
        <cfvo type="num" val="-0.1"/>
        <cfvo type="num" val="0"/>
        <cfvo type="num" val="0.1"/>
        <color rgb="FFF8696B"/>
        <color rgb="FFFFEB84"/>
        <color rgb="FF63BE7B"/>
      </colorScale>
    </cfRule>
  </conditionalFormatting>
  <conditionalFormatting sqref="Q400">
    <cfRule type="colorScale" priority="213">
      <colorScale>
        <cfvo type="num" val="-0.1"/>
        <cfvo type="num" val="0"/>
        <cfvo type="num" val="0.1"/>
        <color rgb="FFF8696B"/>
        <color rgb="FFFFEB84"/>
        <color rgb="FF63BE7B"/>
      </colorScale>
    </cfRule>
  </conditionalFormatting>
  <conditionalFormatting sqref="Q401:Q407">
    <cfRule type="colorScale" priority="215">
      <colorScale>
        <cfvo type="num" val="-0.1"/>
        <cfvo type="num" val="0"/>
        <cfvo type="num" val="0.1"/>
        <color rgb="FFF8696B"/>
        <color rgb="FFFFEB84"/>
        <color rgb="FF63BE7B"/>
      </colorScale>
    </cfRule>
  </conditionalFormatting>
  <conditionalFormatting sqref="Q408">
    <cfRule type="colorScale" priority="212">
      <colorScale>
        <cfvo type="num" val="-0.1"/>
        <cfvo type="num" val="0"/>
        <cfvo type="num" val="0.1"/>
        <color rgb="FFF8696B"/>
        <color rgb="FFFFEB84"/>
        <color rgb="FF63BE7B"/>
      </colorScale>
    </cfRule>
  </conditionalFormatting>
  <conditionalFormatting sqref="Q409">
    <cfRule type="colorScale" priority="211">
      <colorScale>
        <cfvo type="num" val="-0.1"/>
        <cfvo type="num" val="0"/>
        <cfvo type="num" val="0.1"/>
        <color rgb="FFF8696B"/>
        <color rgb="FFFFEB84"/>
        <color rgb="FF63BE7B"/>
      </colorScale>
    </cfRule>
  </conditionalFormatting>
  <hyperlinks>
    <hyperlink ref="T336" r:id="rId1" xr:uid="{00000000-0004-0000-0300-000000000000}"/>
    <hyperlink ref="T337" r:id="rId2" xr:uid="{00000000-0004-0000-0300-000001000000}"/>
    <hyperlink ref="T338" r:id="rId3" xr:uid="{00000000-0004-0000-0300-000002000000}"/>
    <hyperlink ref="T339" r:id="rId4" xr:uid="{00000000-0004-0000-0300-000003000000}"/>
    <hyperlink ref="T340" r:id="rId5" xr:uid="{00000000-0004-0000-0300-000004000000}"/>
    <hyperlink ref="T341" r:id="rId6" xr:uid="{00000000-0004-0000-0300-000005000000}"/>
    <hyperlink ref="T342" r:id="rId7" xr:uid="{00000000-0004-0000-0300-000006000000}"/>
    <hyperlink ref="T343" r:id="rId8" xr:uid="{00000000-0004-0000-0300-000007000000}"/>
    <hyperlink ref="T344" r:id="rId9" xr:uid="{00000000-0004-0000-0300-000008000000}"/>
    <hyperlink ref="T345" r:id="rId10" display="Press Release" xr:uid="{00000000-0004-0000-0300-000009000000}"/>
    <hyperlink ref="T346" r:id="rId11" xr:uid="{00000000-0004-0000-0300-00000A000000}"/>
    <hyperlink ref="T348" r:id="rId12" xr:uid="{00000000-0004-0000-0300-00000B000000}"/>
    <hyperlink ref="T349" r:id="rId13" xr:uid="{00000000-0004-0000-0300-00000C000000}"/>
    <hyperlink ref="T350" r:id="rId14" xr:uid="{00000000-0004-0000-0300-00000D000000}"/>
    <hyperlink ref="T351" r:id="rId15" xr:uid="{00000000-0004-0000-0300-00000E000000}"/>
    <hyperlink ref="T352" r:id="rId16" xr:uid="{00000000-0004-0000-0300-00000F000000}"/>
    <hyperlink ref="T353" r:id="rId17" xr:uid="{00000000-0004-0000-0300-000010000000}"/>
    <hyperlink ref="T354" r:id="rId18" xr:uid="{00000000-0004-0000-0300-000011000000}"/>
    <hyperlink ref="T355" r:id="rId19" xr:uid="{00000000-0004-0000-0300-000012000000}"/>
    <hyperlink ref="T356" r:id="rId20" xr:uid="{00000000-0004-0000-0300-000013000000}"/>
    <hyperlink ref="T357" r:id="rId21" display="Press Release" xr:uid="{00000000-0004-0000-0300-000014000000}"/>
    <hyperlink ref="T358" r:id="rId22" xr:uid="{00000000-0004-0000-0300-000015000000}"/>
    <hyperlink ref="T360" r:id="rId23" xr:uid="{00000000-0004-0000-0300-000016000000}"/>
    <hyperlink ref="T361" r:id="rId24" xr:uid="{00000000-0004-0000-0300-000017000000}"/>
    <hyperlink ref="T362" r:id="rId25" xr:uid="{00000000-0004-0000-0300-000018000000}"/>
    <hyperlink ref="T363" r:id="rId26" xr:uid="{00000000-0004-0000-0300-000019000000}"/>
    <hyperlink ref="T364" r:id="rId27" xr:uid="{00000000-0004-0000-0300-00001A000000}"/>
    <hyperlink ref="T365" r:id="rId28" xr:uid="{00000000-0004-0000-0300-00001B000000}"/>
    <hyperlink ref="T366" r:id="rId29" xr:uid="{00000000-0004-0000-0300-00001C000000}"/>
    <hyperlink ref="T367" r:id="rId30" xr:uid="{00000000-0004-0000-0300-00001D000000}"/>
    <hyperlink ref="T368" r:id="rId31" xr:uid="{00000000-0004-0000-0300-00001E000000}"/>
    <hyperlink ref="T369" r:id="rId32" display="Press Release" xr:uid="{00000000-0004-0000-0300-00001F000000}"/>
    <hyperlink ref="T370" r:id="rId33" xr:uid="{00000000-0004-0000-0300-000020000000}"/>
    <hyperlink ref="T372" r:id="rId34" xr:uid="{00000000-0004-0000-0300-000021000000}"/>
    <hyperlink ref="T373" r:id="rId35" xr:uid="{00000000-0004-0000-0300-000022000000}"/>
    <hyperlink ref="T374" r:id="rId36" xr:uid="{00000000-0004-0000-0300-000023000000}"/>
    <hyperlink ref="T375" r:id="rId37" xr:uid="{00000000-0004-0000-0300-000024000000}"/>
    <hyperlink ref="T376" r:id="rId38" xr:uid="{00000000-0004-0000-0300-000025000000}"/>
    <hyperlink ref="T377" r:id="rId39" xr:uid="{00000000-0004-0000-0300-000026000000}"/>
    <hyperlink ref="T378" r:id="rId40" xr:uid="{00000000-0004-0000-0300-000027000000}"/>
    <hyperlink ref="T379" r:id="rId41" xr:uid="{00000000-0004-0000-0300-000028000000}"/>
    <hyperlink ref="T380" r:id="rId42" xr:uid="{00000000-0004-0000-0300-000029000000}"/>
    <hyperlink ref="T382" r:id="rId43" xr:uid="{00000000-0004-0000-0300-00002A000000}"/>
    <hyperlink ref="T383" r:id="rId44" xr:uid="{00000000-0004-0000-0300-00002B000000}"/>
    <hyperlink ref="T384" r:id="rId45" xr:uid="{00000000-0004-0000-0300-00002C000000}"/>
    <hyperlink ref="T385" r:id="rId46" xr:uid="{00000000-0004-0000-0300-00002D000000}"/>
    <hyperlink ref="T386" r:id="rId47" xr:uid="{00000000-0004-0000-0300-00002E000000}"/>
    <hyperlink ref="T387" r:id="rId48" xr:uid="{00000000-0004-0000-0300-00002F000000}"/>
    <hyperlink ref="T388" r:id="rId49" xr:uid="{00000000-0004-0000-0300-000030000000}"/>
    <hyperlink ref="T389" r:id="rId50" xr:uid="{00000000-0004-0000-0300-000031000000}"/>
    <hyperlink ref="T390" r:id="rId51" xr:uid="{00000000-0004-0000-0300-000032000000}"/>
    <hyperlink ref="T391" r:id="rId52" display="Press Release" xr:uid="{00000000-0004-0000-0300-000033000000}"/>
    <hyperlink ref="T393" r:id="rId53" xr:uid="{00000000-0004-0000-0300-000034000000}"/>
    <hyperlink ref="T394" r:id="rId54" xr:uid="{00000000-0004-0000-0300-000035000000}"/>
    <hyperlink ref="T395" r:id="rId55" xr:uid="{00000000-0004-0000-0300-000036000000}"/>
    <hyperlink ref="T396" r:id="rId56" xr:uid="{00000000-0004-0000-0300-000037000000}"/>
    <hyperlink ref="T397" r:id="rId57" xr:uid="{00000000-0004-0000-0300-000038000000}"/>
    <hyperlink ref="T398" r:id="rId58" xr:uid="{00000000-0004-0000-0300-000039000000}"/>
    <hyperlink ref="T399" r:id="rId59" xr:uid="{00000000-0004-0000-0300-00003A000000}"/>
    <hyperlink ref="T324" r:id="rId60" xr:uid="{00000000-0004-0000-0300-00003B000000}"/>
    <hyperlink ref="T325" r:id="rId61" xr:uid="{00000000-0004-0000-0300-00003C000000}"/>
    <hyperlink ref="T326" r:id="rId62" xr:uid="{00000000-0004-0000-0300-00003D000000}"/>
    <hyperlink ref="T327" r:id="rId63" xr:uid="{00000000-0004-0000-0300-00003E000000}"/>
    <hyperlink ref="T328" r:id="rId64" xr:uid="{00000000-0004-0000-0300-00003F000000}"/>
    <hyperlink ref="T329" r:id="rId65" xr:uid="{00000000-0004-0000-0300-000040000000}"/>
    <hyperlink ref="T330" r:id="rId66" xr:uid="{00000000-0004-0000-0300-000041000000}"/>
    <hyperlink ref="T331" r:id="rId67" xr:uid="{00000000-0004-0000-0300-000042000000}"/>
    <hyperlink ref="T332" r:id="rId68" xr:uid="{00000000-0004-0000-0300-000043000000}"/>
    <hyperlink ref="T333" r:id="rId69" display="Press Release" xr:uid="{00000000-0004-0000-0300-000044000000}"/>
    <hyperlink ref="T334" r:id="rId70" xr:uid="{00000000-0004-0000-0300-000045000000}"/>
    <hyperlink ref="T324:T334" r:id="rId71" display="Press Release" xr:uid="{00000000-0004-0000-0300-000046000000}"/>
    <hyperlink ref="T312" r:id="rId72" xr:uid="{00000000-0004-0000-0300-000047000000}"/>
    <hyperlink ref="T313" r:id="rId73" xr:uid="{00000000-0004-0000-0300-000048000000}"/>
    <hyperlink ref="T314" r:id="rId74" xr:uid="{00000000-0004-0000-0300-000049000000}"/>
    <hyperlink ref="T315" r:id="rId75" xr:uid="{00000000-0004-0000-0300-00004A000000}"/>
    <hyperlink ref="T316" r:id="rId76" xr:uid="{00000000-0004-0000-0300-00004B000000}"/>
    <hyperlink ref="T317" r:id="rId77" xr:uid="{00000000-0004-0000-0300-00004C000000}"/>
    <hyperlink ref="T318" r:id="rId78" xr:uid="{00000000-0004-0000-0300-00004D000000}"/>
    <hyperlink ref="T319" r:id="rId79" xr:uid="{00000000-0004-0000-0300-00004E000000}"/>
    <hyperlink ref="T320" r:id="rId80" xr:uid="{00000000-0004-0000-0300-00004F000000}"/>
    <hyperlink ref="T321" r:id="rId81" display="Press Release" xr:uid="{00000000-0004-0000-0300-000050000000}"/>
    <hyperlink ref="T322" r:id="rId82" xr:uid="{00000000-0004-0000-0300-000051000000}"/>
    <hyperlink ref="T312:T322" r:id="rId83" display="Press Release" xr:uid="{00000000-0004-0000-0300-000052000000}"/>
    <hyperlink ref="T299" r:id="rId84" xr:uid="{00000000-0004-0000-0300-000053000000}"/>
    <hyperlink ref="T300" r:id="rId85" xr:uid="{00000000-0004-0000-0300-000054000000}"/>
    <hyperlink ref="T301" r:id="rId86" xr:uid="{00000000-0004-0000-0300-000055000000}"/>
    <hyperlink ref="T302" r:id="rId87" xr:uid="{00000000-0004-0000-0300-000056000000}"/>
    <hyperlink ref="T303" r:id="rId88" xr:uid="{00000000-0004-0000-0300-000057000000}"/>
    <hyperlink ref="T304" r:id="rId89" xr:uid="{00000000-0004-0000-0300-000058000000}"/>
    <hyperlink ref="T305" r:id="rId90" xr:uid="{00000000-0004-0000-0300-000059000000}"/>
    <hyperlink ref="T306" r:id="rId91" xr:uid="{00000000-0004-0000-0300-00005A000000}"/>
    <hyperlink ref="T307" r:id="rId92" xr:uid="{00000000-0004-0000-0300-00005B000000}"/>
    <hyperlink ref="T309" r:id="rId93" xr:uid="{00000000-0004-0000-0300-00005C000000}"/>
    <hyperlink ref="T310" r:id="rId94" xr:uid="{00000000-0004-0000-0300-00005D000000}"/>
    <hyperlink ref="T299:T310" r:id="rId95" display="Press Release" xr:uid="{00000000-0004-0000-0300-00005E000000}"/>
    <hyperlink ref="T308" r:id="rId96" display="Press Release" xr:uid="{00000000-0004-0000-0300-00005F000000}"/>
    <hyperlink ref="T288:T297" r:id="rId97" display="Press Release" xr:uid="{00000000-0004-0000-0300-000060000000}"/>
    <hyperlink ref="T287" r:id="rId98" xr:uid="{00000000-0004-0000-0300-000061000000}"/>
    <hyperlink ref="T269:T270" r:id="rId99" display="Press Release" xr:uid="{00000000-0004-0000-0300-000062000000}"/>
    <hyperlink ref="T269" r:id="rId100" xr:uid="{00000000-0004-0000-0300-000063000000}"/>
    <hyperlink ref="T270:T271" r:id="rId101" display="Press Release" xr:uid="{00000000-0004-0000-0300-000064000000}"/>
    <hyperlink ref="T273" r:id="rId102" xr:uid="{00000000-0004-0000-0300-000065000000}"/>
    <hyperlink ref="T274" r:id="rId103" xr:uid="{00000000-0004-0000-0300-000066000000}"/>
    <hyperlink ref="T275" r:id="rId104" xr:uid="{00000000-0004-0000-0300-000067000000}"/>
    <hyperlink ref="T276" r:id="rId105" xr:uid="{00000000-0004-0000-0300-000068000000}"/>
    <hyperlink ref="T277" r:id="rId106" xr:uid="{00000000-0004-0000-0300-000069000000}"/>
    <hyperlink ref="T278" r:id="rId107" display="Press Release" xr:uid="{00000000-0004-0000-0300-00006A000000}"/>
    <hyperlink ref="T279" r:id="rId108" xr:uid="{00000000-0004-0000-0300-00006B000000}"/>
    <hyperlink ref="T280" r:id="rId109" xr:uid="{00000000-0004-0000-0300-00006C000000}"/>
    <hyperlink ref="T281" r:id="rId110" xr:uid="{00000000-0004-0000-0300-00006D000000}"/>
    <hyperlink ref="T282" r:id="rId111" display="Press Release" xr:uid="{00000000-0004-0000-0300-00006E000000}"/>
    <hyperlink ref="T284" r:id="rId112" xr:uid="{00000000-0004-0000-0300-00006F000000}"/>
    <hyperlink ref="T285" r:id="rId113" xr:uid="{00000000-0004-0000-0300-000070000000}"/>
    <hyperlink ref="T283" r:id="rId114" xr:uid="{00000000-0004-0000-0300-000071000000}"/>
    <hyperlink ref="T256:T257" r:id="rId115" display="Press Release" xr:uid="{00000000-0004-0000-0300-000072000000}"/>
    <hyperlink ref="T256" r:id="rId116" xr:uid="{00000000-0004-0000-0300-000073000000}"/>
    <hyperlink ref="T257:T258" r:id="rId117" display="Press Release" xr:uid="{00000000-0004-0000-0300-000074000000}"/>
    <hyperlink ref="T256:T258" r:id="rId118" display="Press Release" xr:uid="{00000000-0004-0000-0300-000075000000}"/>
    <hyperlink ref="T259:T260" r:id="rId119" display="Press Release" xr:uid="{00000000-0004-0000-0300-000076000000}"/>
    <hyperlink ref="T262:T263" r:id="rId120" display="Press Release" xr:uid="{00000000-0004-0000-0300-000077000000}"/>
    <hyperlink ref="T265:T266" r:id="rId121" display="Press Release" xr:uid="{00000000-0004-0000-0300-000078000000}"/>
    <hyperlink ref="T259" r:id="rId122" xr:uid="{00000000-0004-0000-0300-000079000000}"/>
    <hyperlink ref="T262" r:id="rId123" xr:uid="{00000000-0004-0000-0300-00007A000000}"/>
    <hyperlink ref="T265" r:id="rId124" display="Press Release" xr:uid="{00000000-0004-0000-0300-00007B000000}"/>
    <hyperlink ref="T260:T261" r:id="rId125" display="Press Release" xr:uid="{00000000-0004-0000-0300-00007C000000}"/>
    <hyperlink ref="T263:T264" r:id="rId126" display="Press Release" xr:uid="{00000000-0004-0000-0300-00007D000000}"/>
    <hyperlink ref="T266:T267" r:id="rId127" display="Press Release" xr:uid="{00000000-0004-0000-0300-00007E000000}"/>
    <hyperlink ref="T259:T267" r:id="rId128" display="Press Release" xr:uid="{00000000-0004-0000-0300-00007F000000}"/>
    <hyperlink ref="T244:T245" r:id="rId129" display="Press Release" xr:uid="{00000000-0004-0000-0300-000080000000}"/>
    <hyperlink ref="T244" r:id="rId130" xr:uid="{00000000-0004-0000-0300-000081000000}"/>
    <hyperlink ref="T245:T246" r:id="rId131" display="Press Release" xr:uid="{00000000-0004-0000-0300-000082000000}"/>
    <hyperlink ref="T244:T246" r:id="rId132" display="Press Release" xr:uid="{00000000-0004-0000-0300-000083000000}"/>
    <hyperlink ref="T247:T248" r:id="rId133" display="Press Release" xr:uid="{00000000-0004-0000-0300-000084000000}"/>
    <hyperlink ref="T250:T251" r:id="rId134" display="Press Release" xr:uid="{00000000-0004-0000-0300-000085000000}"/>
    <hyperlink ref="T253" r:id="rId135" display="Press Release" xr:uid="{00000000-0004-0000-0300-000086000000}"/>
    <hyperlink ref="T247" r:id="rId136" xr:uid="{00000000-0004-0000-0300-000087000000}"/>
    <hyperlink ref="T250" r:id="rId137" xr:uid="{00000000-0004-0000-0300-000088000000}"/>
    <hyperlink ref="T248:T249" r:id="rId138" display="Press Release" xr:uid="{00000000-0004-0000-0300-000089000000}"/>
    <hyperlink ref="T251:T252" r:id="rId139" display="Press Release" xr:uid="{00000000-0004-0000-0300-00008A000000}"/>
    <hyperlink ref="T253:T254" r:id="rId140" display="Press Release" xr:uid="{00000000-0004-0000-0300-00008B000000}"/>
    <hyperlink ref="T247:T254" r:id="rId141" display="Press Release" xr:uid="{00000000-0004-0000-0300-00008C000000}"/>
    <hyperlink ref="T244:T254" r:id="rId142" display="Press Release" xr:uid="{00000000-0004-0000-0300-00008D000000}"/>
    <hyperlink ref="T231:T232" r:id="rId143" display="Press Release" xr:uid="{00000000-0004-0000-0300-00008E000000}"/>
    <hyperlink ref="T231" r:id="rId144" xr:uid="{00000000-0004-0000-0300-00008F000000}"/>
    <hyperlink ref="T232:T233" r:id="rId145" display="Press Release" xr:uid="{00000000-0004-0000-0300-000090000000}"/>
    <hyperlink ref="T231:T233" r:id="rId146" display="Press Release" xr:uid="{00000000-0004-0000-0300-000091000000}"/>
    <hyperlink ref="T234:T235" r:id="rId147" display="Press Release" xr:uid="{00000000-0004-0000-0300-000092000000}"/>
    <hyperlink ref="T237:T238" r:id="rId148" display="Press Release" xr:uid="{00000000-0004-0000-0300-000093000000}"/>
    <hyperlink ref="T240" r:id="rId149" display="Press Release" xr:uid="{00000000-0004-0000-0300-000094000000}"/>
    <hyperlink ref="T234" r:id="rId150" xr:uid="{00000000-0004-0000-0300-000095000000}"/>
    <hyperlink ref="T237" r:id="rId151" xr:uid="{00000000-0004-0000-0300-000096000000}"/>
    <hyperlink ref="T235:T236" r:id="rId152" display="Press Release" xr:uid="{00000000-0004-0000-0300-000097000000}"/>
    <hyperlink ref="T238:T239" r:id="rId153" display="Press Release" xr:uid="{00000000-0004-0000-0300-000098000000}"/>
    <hyperlink ref="T240:T241" r:id="rId154" display="Press Release" xr:uid="{00000000-0004-0000-0300-000099000000}"/>
    <hyperlink ref="T234:T241" r:id="rId155" display="Press Release" xr:uid="{00000000-0004-0000-0300-00009A000000}"/>
    <hyperlink ref="T231:T241" r:id="rId156" display="Press Release" xr:uid="{00000000-0004-0000-0300-00009B000000}"/>
    <hyperlink ref="T242" r:id="rId157" xr:uid="{00000000-0004-0000-0300-00009C000000}"/>
    <hyperlink ref="T218:T219" r:id="rId158" display="Press Release" xr:uid="{00000000-0004-0000-0300-00009D000000}"/>
    <hyperlink ref="T218" r:id="rId159" xr:uid="{00000000-0004-0000-0300-00009E000000}"/>
    <hyperlink ref="T219:T220" r:id="rId160" display="Press Release" xr:uid="{00000000-0004-0000-0300-00009F000000}"/>
    <hyperlink ref="T218:T220" r:id="rId161" display="Press Release" xr:uid="{00000000-0004-0000-0300-0000A0000000}"/>
    <hyperlink ref="T221:T222" r:id="rId162" display="Press Release" xr:uid="{00000000-0004-0000-0300-0000A1000000}"/>
    <hyperlink ref="T224:T225" r:id="rId163" display="Press Release" xr:uid="{00000000-0004-0000-0300-0000A2000000}"/>
    <hyperlink ref="T227" r:id="rId164" display="Press Release" xr:uid="{00000000-0004-0000-0300-0000A3000000}"/>
    <hyperlink ref="T221" r:id="rId165" xr:uid="{00000000-0004-0000-0300-0000A4000000}"/>
    <hyperlink ref="T224" r:id="rId166" xr:uid="{00000000-0004-0000-0300-0000A5000000}"/>
    <hyperlink ref="T222:T223" r:id="rId167" display="Press Release" xr:uid="{00000000-0004-0000-0300-0000A6000000}"/>
    <hyperlink ref="T225:T226" r:id="rId168" display="Press Release" xr:uid="{00000000-0004-0000-0300-0000A7000000}"/>
    <hyperlink ref="T227:T228" r:id="rId169" display="Press Release" xr:uid="{00000000-0004-0000-0300-0000A8000000}"/>
    <hyperlink ref="T221:T228" r:id="rId170" display="Press Release" xr:uid="{00000000-0004-0000-0300-0000A9000000}"/>
    <hyperlink ref="T218:T228" r:id="rId171" display="Press Release" xr:uid="{00000000-0004-0000-0300-0000AA000000}"/>
    <hyperlink ref="T229" r:id="rId172" xr:uid="{00000000-0004-0000-0300-0000AB000000}"/>
    <hyperlink ref="T273:T285" r:id="rId173" display="Press Release" xr:uid="{00000000-0004-0000-0300-0000AC000000}"/>
    <hyperlink ref="T205:T206" r:id="rId174" display="Press Release" xr:uid="{00000000-0004-0000-0300-0000AD000000}"/>
    <hyperlink ref="T205" r:id="rId175" xr:uid="{00000000-0004-0000-0300-0000AE000000}"/>
    <hyperlink ref="T205:T207" r:id="rId176" display="Press Release" xr:uid="{00000000-0004-0000-0300-0000AF000000}"/>
    <hyperlink ref="T216" r:id="rId177" xr:uid="{00000000-0004-0000-0300-0000B0000000}"/>
    <hyperlink ref="T206:T215" r:id="rId178" display="Press Release" xr:uid="{00000000-0004-0000-0300-0000B1000000}"/>
    <hyperlink ref="T205:T215" r:id="rId179" display="Press Release" xr:uid="{00000000-0004-0000-0300-0000B2000000}"/>
    <hyperlink ref="T192" r:id="rId180" xr:uid="{00000000-0004-0000-0300-0000B3000000}"/>
    <hyperlink ref="T203" r:id="rId181" xr:uid="{00000000-0004-0000-0300-0000B4000000}"/>
    <hyperlink ref="T193" r:id="rId182" xr:uid="{00000000-0004-0000-0300-0000B5000000}"/>
    <hyperlink ref="T194" r:id="rId183" xr:uid="{00000000-0004-0000-0300-0000B6000000}"/>
    <hyperlink ref="T195" r:id="rId184" xr:uid="{00000000-0004-0000-0300-0000B7000000}"/>
    <hyperlink ref="T196" r:id="rId185" xr:uid="{00000000-0004-0000-0300-0000B8000000}"/>
    <hyperlink ref="T197" r:id="rId186" xr:uid="{00000000-0004-0000-0300-0000B9000000}"/>
    <hyperlink ref="T198" r:id="rId187" xr:uid="{00000000-0004-0000-0300-0000BA000000}"/>
    <hyperlink ref="T199" r:id="rId188" xr:uid="{00000000-0004-0000-0300-0000BB000000}"/>
    <hyperlink ref="T200" r:id="rId189" xr:uid="{00000000-0004-0000-0300-0000BC000000}"/>
    <hyperlink ref="T201" r:id="rId190" display="Press Release" xr:uid="{00000000-0004-0000-0300-0000BD000000}"/>
    <hyperlink ref="T202" r:id="rId191" xr:uid="{00000000-0004-0000-0300-0000BE000000}"/>
    <hyperlink ref="T181" r:id="rId192" xr:uid="{00000000-0004-0000-0300-0000BF000000}"/>
    <hyperlink ref="T190" r:id="rId193" display="CFO Commentary" xr:uid="{00000000-0004-0000-0300-0000C0000000}"/>
    <hyperlink ref="T182" r:id="rId194" xr:uid="{00000000-0004-0000-0300-0000C1000000}"/>
    <hyperlink ref="T183" r:id="rId195" xr:uid="{00000000-0004-0000-0300-0000C2000000}"/>
    <hyperlink ref="T184" r:id="rId196" xr:uid="{00000000-0004-0000-0300-0000C3000000}"/>
    <hyperlink ref="T185" r:id="rId197" xr:uid="{00000000-0004-0000-0300-0000C4000000}"/>
    <hyperlink ref="T186" r:id="rId198" xr:uid="{00000000-0004-0000-0300-0000C5000000}"/>
    <hyperlink ref="T187" r:id="rId199" xr:uid="{00000000-0004-0000-0300-0000C6000000}"/>
    <hyperlink ref="T188" r:id="rId200" xr:uid="{00000000-0004-0000-0300-0000C7000000}"/>
    <hyperlink ref="T189" r:id="rId201" xr:uid="{00000000-0004-0000-0300-0000C8000000}"/>
    <hyperlink ref="T170" r:id="rId202" xr:uid="{00000000-0004-0000-0300-0000C9000000}"/>
    <hyperlink ref="T179" r:id="rId203" display="CFO Commentary" xr:uid="{00000000-0004-0000-0300-0000CA000000}"/>
    <hyperlink ref="T171" r:id="rId204" xr:uid="{00000000-0004-0000-0300-0000CB000000}"/>
    <hyperlink ref="T172" r:id="rId205" xr:uid="{00000000-0004-0000-0300-0000CC000000}"/>
    <hyperlink ref="T173" r:id="rId206" xr:uid="{00000000-0004-0000-0300-0000CD000000}"/>
    <hyperlink ref="T174" r:id="rId207" xr:uid="{00000000-0004-0000-0300-0000CE000000}"/>
    <hyperlink ref="T175" r:id="rId208" xr:uid="{00000000-0004-0000-0300-0000CF000000}"/>
    <hyperlink ref="T176" r:id="rId209" xr:uid="{00000000-0004-0000-0300-0000D0000000}"/>
    <hyperlink ref="T177" r:id="rId210" xr:uid="{00000000-0004-0000-0300-0000D1000000}"/>
    <hyperlink ref="T178" r:id="rId211" xr:uid="{00000000-0004-0000-0300-0000D2000000}"/>
    <hyperlink ref="T170:T178" r:id="rId212" display="Press Release" xr:uid="{00000000-0004-0000-0300-0000D3000000}"/>
    <hyperlink ref="T159" r:id="rId213" xr:uid="{00000000-0004-0000-0300-0000D4000000}"/>
    <hyperlink ref="T168" r:id="rId214" display="CFO Commentary" xr:uid="{00000000-0004-0000-0300-0000D5000000}"/>
    <hyperlink ref="T160" r:id="rId215" xr:uid="{00000000-0004-0000-0300-0000D6000000}"/>
    <hyperlink ref="T161" r:id="rId216" xr:uid="{00000000-0004-0000-0300-0000D7000000}"/>
    <hyperlink ref="T162" r:id="rId217" xr:uid="{00000000-0004-0000-0300-0000D8000000}"/>
    <hyperlink ref="T163" r:id="rId218" xr:uid="{00000000-0004-0000-0300-0000D9000000}"/>
    <hyperlink ref="T164" r:id="rId219" xr:uid="{00000000-0004-0000-0300-0000DA000000}"/>
    <hyperlink ref="T165" r:id="rId220" xr:uid="{00000000-0004-0000-0300-0000DB000000}"/>
    <hyperlink ref="T166" r:id="rId221" xr:uid="{00000000-0004-0000-0300-0000DC000000}"/>
    <hyperlink ref="T167" r:id="rId222" xr:uid="{00000000-0004-0000-0300-0000DD000000}"/>
    <hyperlink ref="T159:T167" r:id="rId223" display="Press Release" xr:uid="{00000000-0004-0000-0300-0000DE000000}"/>
    <hyperlink ref="T148" r:id="rId224" xr:uid="{00000000-0004-0000-0300-0000DF000000}"/>
    <hyperlink ref="T157" r:id="rId225" display="CFO Commentary" xr:uid="{00000000-0004-0000-0300-0000E0000000}"/>
    <hyperlink ref="T149" r:id="rId226" xr:uid="{00000000-0004-0000-0300-0000E1000000}"/>
    <hyperlink ref="T150" r:id="rId227" xr:uid="{00000000-0004-0000-0300-0000E2000000}"/>
    <hyperlink ref="T151" r:id="rId228" xr:uid="{00000000-0004-0000-0300-0000E3000000}"/>
    <hyperlink ref="T152" r:id="rId229" xr:uid="{00000000-0004-0000-0300-0000E4000000}"/>
    <hyperlink ref="T153" r:id="rId230" xr:uid="{00000000-0004-0000-0300-0000E5000000}"/>
    <hyperlink ref="T154" r:id="rId231" xr:uid="{00000000-0004-0000-0300-0000E6000000}"/>
    <hyperlink ref="T155" r:id="rId232" xr:uid="{00000000-0004-0000-0300-0000E7000000}"/>
    <hyperlink ref="T156" r:id="rId233" xr:uid="{00000000-0004-0000-0300-0000E8000000}"/>
    <hyperlink ref="T148:T156" r:id="rId234" display="CFO Commentary" xr:uid="{00000000-0004-0000-0300-0000E9000000}"/>
    <hyperlink ref="T146" r:id="rId235" display="CFO Commentary" xr:uid="{00000000-0004-0000-0300-0000EA000000}"/>
    <hyperlink ref="T137" r:id="rId236" xr:uid="{00000000-0004-0000-0300-0000EB000000}"/>
    <hyperlink ref="T138" r:id="rId237" xr:uid="{00000000-0004-0000-0300-0000EC000000}"/>
    <hyperlink ref="T139" r:id="rId238" xr:uid="{00000000-0004-0000-0300-0000ED000000}"/>
    <hyperlink ref="T140" r:id="rId239" xr:uid="{00000000-0004-0000-0300-0000EE000000}"/>
    <hyperlink ref="T141" r:id="rId240" xr:uid="{00000000-0004-0000-0300-0000EF000000}"/>
    <hyperlink ref="T142" r:id="rId241" xr:uid="{00000000-0004-0000-0300-0000F0000000}"/>
    <hyperlink ref="T143" r:id="rId242" xr:uid="{00000000-0004-0000-0300-0000F1000000}"/>
    <hyperlink ref="T144" r:id="rId243" display="CFO Commentary" xr:uid="{00000000-0004-0000-0300-0000F2000000}"/>
    <hyperlink ref="T145" r:id="rId244" xr:uid="{00000000-0004-0000-0300-0000F3000000}"/>
    <hyperlink ref="T135" r:id="rId245" xr:uid="{00000000-0004-0000-0300-0000F4000000}"/>
    <hyperlink ref="T122" r:id="rId246" xr:uid="{00000000-0004-0000-0300-0000F5000000}"/>
    <hyperlink ref="T124" r:id="rId247" xr:uid="{00000000-0004-0000-0300-0000F6000000}"/>
    <hyperlink ref="T125" r:id="rId248" xr:uid="{00000000-0004-0000-0300-0000F7000000}"/>
    <hyperlink ref="T126" r:id="rId249" xr:uid="{00000000-0004-0000-0300-0000F8000000}"/>
    <hyperlink ref="T127" r:id="rId250" xr:uid="{00000000-0004-0000-0300-0000F9000000}"/>
    <hyperlink ref="T128" r:id="rId251" xr:uid="{00000000-0004-0000-0300-0000FA000000}"/>
    <hyperlink ref="T129" r:id="rId252" xr:uid="{00000000-0004-0000-0300-0000FB000000}"/>
    <hyperlink ref="T130" r:id="rId253" xr:uid="{00000000-0004-0000-0300-0000FC000000}"/>
    <hyperlink ref="T131" r:id="rId254" display="CFO Commentary" xr:uid="{00000000-0004-0000-0300-0000FD000000}"/>
    <hyperlink ref="T132" r:id="rId255" xr:uid="{00000000-0004-0000-0300-0000FE000000}"/>
    <hyperlink ref="T133" r:id="rId256" display="CFO Commentary" xr:uid="{00000000-0004-0000-0300-0000FF000000}"/>
    <hyperlink ref="T112" r:id="rId257" xr:uid="{00000000-0004-0000-0300-000000010000}"/>
    <hyperlink ref="T113" r:id="rId258" xr:uid="{00000000-0004-0000-0300-000001010000}"/>
    <hyperlink ref="T114" r:id="rId259" xr:uid="{00000000-0004-0000-0300-000002010000}"/>
    <hyperlink ref="T115" r:id="rId260" xr:uid="{00000000-0004-0000-0300-000003010000}"/>
    <hyperlink ref="T116" r:id="rId261" xr:uid="{00000000-0004-0000-0300-000004010000}"/>
    <hyperlink ref="T117" r:id="rId262" xr:uid="{00000000-0004-0000-0300-000005010000}"/>
    <hyperlink ref="T118" r:id="rId263" xr:uid="{00000000-0004-0000-0300-000006010000}"/>
    <hyperlink ref="T119" r:id="rId264" xr:uid="{00000000-0004-0000-0300-000007010000}"/>
    <hyperlink ref="T120" r:id="rId265" xr:uid="{00000000-0004-0000-0300-000008010000}"/>
    <hyperlink ref="T112:T120" r:id="rId266" display="CFO Commentary" xr:uid="{00000000-0004-0000-0300-000009010000}"/>
    <hyperlink ref="T102" r:id="rId267" xr:uid="{00000000-0004-0000-0300-00000A010000}"/>
    <hyperlink ref="T102:T110" r:id="rId268" display="CFO Commentary" xr:uid="{00000000-0004-0000-0300-00000B010000}"/>
    <hyperlink ref="T103" r:id="rId269" xr:uid="{00000000-0004-0000-0300-00000C010000}"/>
    <hyperlink ref="T104" r:id="rId270" xr:uid="{00000000-0004-0000-0300-00000D010000}"/>
    <hyperlink ref="T105" r:id="rId271" xr:uid="{00000000-0004-0000-0300-00000E010000}"/>
    <hyperlink ref="T106" r:id="rId272" xr:uid="{00000000-0004-0000-0300-00000F010000}"/>
    <hyperlink ref="T107" r:id="rId273" xr:uid="{00000000-0004-0000-0300-000010010000}"/>
    <hyperlink ref="T108" r:id="rId274" xr:uid="{00000000-0004-0000-0300-000011010000}"/>
    <hyperlink ref="T109" r:id="rId275" xr:uid="{00000000-0004-0000-0300-000012010000}"/>
    <hyperlink ref="T110" r:id="rId276" xr:uid="{00000000-0004-0000-0300-000013010000}"/>
    <hyperlink ref="T92" r:id="rId277" xr:uid="{00000000-0004-0000-0300-000014010000}"/>
    <hyperlink ref="T93:T100" r:id="rId278" display="CFO Commentary" xr:uid="{00000000-0004-0000-0300-000015010000}"/>
    <hyperlink ref="T82" r:id="rId279" xr:uid="{00000000-0004-0000-0300-000016010000}"/>
    <hyperlink ref="T83:T90" r:id="rId280" display="CFO Commentary" xr:uid="{00000000-0004-0000-0300-000017010000}"/>
    <hyperlink ref="T77:T80" r:id="rId281" display="CFO Commentary" xr:uid="{00000000-0004-0000-0300-000018010000}"/>
    <hyperlink ref="T82:T90" r:id="rId282" display="CFO Commentary" xr:uid="{00000000-0004-0000-0300-000019010000}"/>
    <hyperlink ref="T67" r:id="rId283" xr:uid="{00000000-0004-0000-0300-00001A010000}"/>
    <hyperlink ref="T68:T75" r:id="rId284" display="CFO Commentary" xr:uid="{00000000-0004-0000-0300-00001B010000}"/>
    <hyperlink ref="T62:T65" r:id="rId285" display="CFO Commentary" xr:uid="{00000000-0004-0000-0300-00001C010000}"/>
    <hyperlink ref="T67:T75" r:id="rId286" display="CFO Commentary" xr:uid="{00000000-0004-0000-0300-00001D010000}"/>
    <hyperlink ref="T52:T60" r:id="rId287" display="CFO Commentary" xr:uid="{00000000-0004-0000-0300-00001E010000}"/>
    <hyperlink ref="T42:T50" r:id="rId288" display="CFO Commentary" xr:uid="{00000000-0004-0000-0300-00001F010000}"/>
    <hyperlink ref="T32:T40" r:id="rId289" display="CFO Commentary" xr:uid="{00000000-0004-0000-0300-000020010000}"/>
    <hyperlink ref="T22:T30" r:id="rId290" display="CFO Commentary" xr:uid="{00000000-0004-0000-0300-000021010000}"/>
    <hyperlink ref="T22" r:id="rId291" xr:uid="{00000000-0004-0000-0300-000022010000}"/>
    <hyperlink ref="T23" r:id="rId292" xr:uid="{00000000-0004-0000-0300-000023010000}"/>
    <hyperlink ref="T24" r:id="rId293" xr:uid="{00000000-0004-0000-0300-000024010000}"/>
    <hyperlink ref="T25" r:id="rId294" xr:uid="{00000000-0004-0000-0300-000025010000}"/>
    <hyperlink ref="T26" r:id="rId295" xr:uid="{00000000-0004-0000-0300-000026010000}"/>
    <hyperlink ref="T27" r:id="rId296" xr:uid="{00000000-0004-0000-0300-000027010000}"/>
    <hyperlink ref="T28" r:id="rId297" xr:uid="{00000000-0004-0000-0300-000028010000}"/>
    <hyperlink ref="T29" r:id="rId298" xr:uid="{00000000-0004-0000-0300-000029010000}"/>
    <hyperlink ref="T30" r:id="rId299" xr:uid="{00000000-0004-0000-0300-00002A010000}"/>
    <hyperlink ref="T14:T20" r:id="rId300" display="CFO Commentary" xr:uid="{00000000-0004-0000-0300-00002B010000}"/>
    <hyperlink ref="T14" r:id="rId301" xr:uid="{00000000-0004-0000-0300-00002C010000}"/>
    <hyperlink ref="T15" r:id="rId302" xr:uid="{00000000-0004-0000-0300-00002D010000}"/>
    <hyperlink ref="T16" r:id="rId303" xr:uid="{00000000-0004-0000-0300-00002E010000}"/>
    <hyperlink ref="T17" r:id="rId304" xr:uid="{00000000-0004-0000-0300-00002F010000}"/>
    <hyperlink ref="T18" r:id="rId305" xr:uid="{00000000-0004-0000-0300-000030010000}"/>
    <hyperlink ref="T19" r:id="rId306" xr:uid="{00000000-0004-0000-0300-000031010000}"/>
    <hyperlink ref="T20" r:id="rId307" xr:uid="{00000000-0004-0000-0300-000032010000}"/>
    <hyperlink ref="T6:T12" r:id="rId308" display="CFO Commentary" xr:uid="{00000000-0004-0000-0300-000033010000}"/>
    <hyperlink ref="T6" r:id="rId309" xr:uid="{00000000-0004-0000-0300-000034010000}"/>
    <hyperlink ref="T7" r:id="rId310" xr:uid="{00000000-0004-0000-0300-000035010000}"/>
    <hyperlink ref="T8" r:id="rId311" xr:uid="{00000000-0004-0000-0300-000036010000}"/>
    <hyperlink ref="T9" r:id="rId312" xr:uid="{00000000-0004-0000-0300-000037010000}"/>
    <hyperlink ref="T10" r:id="rId313" xr:uid="{00000000-0004-0000-0300-000038010000}"/>
    <hyperlink ref="T11" r:id="rId314" xr:uid="{00000000-0004-0000-0300-000039010000}"/>
    <hyperlink ref="T12" r:id="rId315" xr:uid="{00000000-0004-0000-0300-00003A010000}"/>
  </hyperlinks>
  <pageMargins left="0.7" right="0.7" top="0.75" bottom="0.75" header="0.3" footer="0.3"/>
  <pageSetup orientation="portrait"/>
  <legacyDrawing r:id="rId3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9D7EB-DF71-4871-8387-B426AE961AD0}">
  <sheetPr codeName="Sheet1">
    <pageSetUpPr fitToPage="1"/>
  </sheetPr>
  <dimension ref="A1:CL135"/>
  <sheetViews>
    <sheetView workbookViewId="0">
      <pane xSplit="2" ySplit="2" topLeftCell="C3" activePane="bottomRight" state="frozenSplit"/>
      <selection pane="topRight" activeCell="C1" sqref="C1"/>
      <selection pane="bottomLeft" activeCell="A3" sqref="A3"/>
      <selection pane="bottomRight"/>
    </sheetView>
  </sheetViews>
  <sheetFormatPr defaultColWidth="9.33203125" defaultRowHeight="14.4" outlineLevelRow="1" outlineLevelCol="1" x14ac:dyDescent="0.3"/>
  <cols>
    <col min="1" max="1" width="41.33203125" style="982" customWidth="1"/>
    <col min="2" max="6" width="9.6640625" style="982" customWidth="1"/>
    <col min="7" max="10" width="9.6640625" style="982" hidden="1" customWidth="1" outlineLevel="1"/>
    <col min="11" max="11" width="9.6640625" style="982" customWidth="1" collapsed="1"/>
    <col min="12" max="15" width="9.6640625" style="982" hidden="1" customWidth="1" outlineLevel="1"/>
    <col min="16" max="16" width="9.6640625" style="982" customWidth="1" collapsed="1"/>
    <col min="17" max="20" width="9.6640625" style="982" hidden="1" customWidth="1" outlineLevel="1"/>
    <col min="21" max="21" width="9.6640625" style="982" customWidth="1" collapsed="1"/>
    <col min="22" max="25" width="9.6640625" style="982" hidden="1" customWidth="1" outlineLevel="1"/>
    <col min="26" max="26" width="9.6640625" style="982" customWidth="1" collapsed="1"/>
    <col min="27" max="30" width="9.6640625" style="982" hidden="1" customWidth="1" outlineLevel="1"/>
    <col min="31" max="31" width="9.6640625" style="982" customWidth="1" collapsed="1"/>
    <col min="32" max="35" width="9.6640625" style="982" hidden="1" customWidth="1" outlineLevel="1"/>
    <col min="36" max="36" width="9.6640625" style="982" customWidth="1" collapsed="1"/>
    <col min="37" max="40" width="9.6640625" style="982" hidden="1" customWidth="1" outlineLevel="1"/>
    <col min="41" max="41" width="9.6640625" style="982" customWidth="1" collapsed="1"/>
    <col min="42" max="45" width="9.6640625" style="982" hidden="1" customWidth="1" outlineLevel="1"/>
    <col min="46" max="46" width="9.6640625" style="982" customWidth="1" collapsed="1"/>
    <col min="47" max="50" width="9.6640625" style="982" hidden="1" customWidth="1" outlineLevel="1"/>
    <col min="51" max="51" width="9.6640625" style="982" customWidth="1" collapsed="1"/>
    <col min="52" max="55" width="9.6640625" style="982" hidden="1" customWidth="1" outlineLevel="1"/>
    <col min="56" max="56" width="9.6640625" style="982" collapsed="1"/>
    <col min="57" max="59" width="9.6640625" style="982" hidden="1" customWidth="1" outlineLevel="1" collapsed="1"/>
    <col min="60" max="60" width="9.6640625" style="982" hidden="1" customWidth="1" outlineLevel="1"/>
    <col min="61" max="61" width="9.6640625" style="982" customWidth="1" collapsed="1"/>
    <col min="62" max="64" width="9.6640625" style="982" hidden="1" customWidth="1" outlineLevel="1" collapsed="1"/>
    <col min="65" max="65" width="9.6640625" style="982" hidden="1" customWidth="1" outlineLevel="1"/>
    <col min="66" max="66" width="9.6640625" style="982" customWidth="1" collapsed="1"/>
    <col min="67" max="69" width="9.6640625" style="982" hidden="1" customWidth="1" outlineLevel="1" collapsed="1"/>
    <col min="70" max="70" width="9.6640625" style="982" hidden="1" customWidth="1" outlineLevel="1"/>
    <col min="71" max="71" width="9.6640625" style="982" customWidth="1" collapsed="1"/>
    <col min="72" max="74" width="9.6640625" style="982" hidden="1" customWidth="1" outlineLevel="1" collapsed="1"/>
    <col min="75" max="75" width="9.6640625" style="982" hidden="1" customWidth="1" outlineLevel="1"/>
    <col min="76" max="76" width="9.6640625" style="982" customWidth="1" collapsed="1"/>
    <col min="77" max="79" width="9.6640625" style="982" customWidth="1" outlineLevel="1" collapsed="1"/>
    <col min="80" max="80" width="9.6640625" style="982" customWidth="1" outlineLevel="1"/>
    <col min="81" max="81" width="9.6640625" style="982" customWidth="1"/>
    <col min="82" max="84" width="9.6640625" style="982" hidden="1" customWidth="1" outlineLevel="1" collapsed="1"/>
    <col min="85" max="85" width="9.6640625" style="982" hidden="1" customWidth="1" outlineLevel="1"/>
    <col min="86" max="86" width="9.6640625" style="982" customWidth="1" collapsed="1"/>
    <col min="87" max="89" width="9.6640625" style="982" customWidth="1"/>
    <col min="90" max="90" width="8.6640625" style="982" customWidth="1"/>
    <col min="91" max="95" width="9.33203125" style="982" customWidth="1"/>
    <col min="96" max="16384" width="9.33203125" style="982"/>
  </cols>
  <sheetData>
    <row r="1" spans="1:90" ht="28.8" x14ac:dyDescent="0.55000000000000004">
      <c r="A1" s="167" t="str">
        <f>MO.CompanyName</f>
        <v>Company1915 Company0697</v>
      </c>
      <c r="B1" s="885"/>
      <c r="C1" s="1236">
        <f t="shared" ref="C1:AH1" si="0">INDEX(MO_Common_QEndDate,0,COLUMN())</f>
        <v>39838</v>
      </c>
      <c r="D1" s="1237">
        <f t="shared" si="0"/>
        <v>40209</v>
      </c>
      <c r="E1" s="1237">
        <f t="shared" si="0"/>
        <v>40573</v>
      </c>
      <c r="F1" s="1237">
        <f t="shared" si="0"/>
        <v>40937</v>
      </c>
      <c r="G1" s="153">
        <f t="shared" si="0"/>
        <v>41028</v>
      </c>
      <c r="H1" s="153">
        <f t="shared" si="0"/>
        <v>41119</v>
      </c>
      <c r="I1" s="153">
        <f t="shared" si="0"/>
        <v>41210</v>
      </c>
      <c r="J1" s="153">
        <f t="shared" si="0"/>
        <v>41301</v>
      </c>
      <c r="K1" s="1237">
        <f t="shared" si="0"/>
        <v>41301</v>
      </c>
      <c r="L1" s="153">
        <f t="shared" si="0"/>
        <v>41392</v>
      </c>
      <c r="M1" s="153">
        <f t="shared" si="0"/>
        <v>41483</v>
      </c>
      <c r="N1" s="153">
        <f t="shared" si="0"/>
        <v>41574</v>
      </c>
      <c r="O1" s="153">
        <f t="shared" si="0"/>
        <v>41665</v>
      </c>
      <c r="P1" s="1237">
        <f t="shared" si="0"/>
        <v>41665</v>
      </c>
      <c r="Q1" s="153">
        <f t="shared" si="0"/>
        <v>41756</v>
      </c>
      <c r="R1" s="153">
        <f t="shared" si="0"/>
        <v>41847</v>
      </c>
      <c r="S1" s="153">
        <f t="shared" si="0"/>
        <v>41938</v>
      </c>
      <c r="T1" s="153">
        <f t="shared" si="0"/>
        <v>42029</v>
      </c>
      <c r="U1" s="1237">
        <f t="shared" si="0"/>
        <v>42029</v>
      </c>
      <c r="V1" s="153">
        <f t="shared" si="0"/>
        <v>42120</v>
      </c>
      <c r="W1" s="153">
        <f t="shared" si="0"/>
        <v>42211</v>
      </c>
      <c r="X1" s="153">
        <f t="shared" si="0"/>
        <v>42302</v>
      </c>
      <c r="Y1" s="153">
        <f t="shared" si="0"/>
        <v>42400</v>
      </c>
      <c r="Z1" s="1237">
        <f t="shared" si="0"/>
        <v>42400</v>
      </c>
      <c r="AA1" s="153">
        <f t="shared" si="0"/>
        <v>42491</v>
      </c>
      <c r="AB1" s="153">
        <f t="shared" si="0"/>
        <v>42582</v>
      </c>
      <c r="AC1" s="153">
        <f t="shared" si="0"/>
        <v>42673</v>
      </c>
      <c r="AD1" s="153">
        <f t="shared" si="0"/>
        <v>42764</v>
      </c>
      <c r="AE1" s="1237">
        <f t="shared" si="0"/>
        <v>42764</v>
      </c>
      <c r="AF1" s="153">
        <f t="shared" si="0"/>
        <v>42855</v>
      </c>
      <c r="AG1" s="153">
        <f t="shared" si="0"/>
        <v>42946</v>
      </c>
      <c r="AH1" s="153">
        <f t="shared" si="0"/>
        <v>43037</v>
      </c>
      <c r="AI1" s="153">
        <f t="shared" ref="AI1:BG1" si="1">INDEX(MO_Common_QEndDate,0,COLUMN())</f>
        <v>43128</v>
      </c>
      <c r="AJ1" s="1237">
        <f t="shared" si="1"/>
        <v>43128</v>
      </c>
      <c r="AK1" s="153">
        <f t="shared" si="1"/>
        <v>43219</v>
      </c>
      <c r="AL1" s="153">
        <f t="shared" si="1"/>
        <v>43310</v>
      </c>
      <c r="AM1" s="153">
        <f t="shared" si="1"/>
        <v>43401</v>
      </c>
      <c r="AN1" s="153">
        <f t="shared" si="1"/>
        <v>43492</v>
      </c>
      <c r="AO1" s="1237">
        <f t="shared" si="1"/>
        <v>43492</v>
      </c>
      <c r="AP1" s="153">
        <f t="shared" si="1"/>
        <v>43583</v>
      </c>
      <c r="AQ1" s="153">
        <f t="shared" si="1"/>
        <v>43674</v>
      </c>
      <c r="AR1" s="153">
        <f t="shared" si="1"/>
        <v>43765</v>
      </c>
      <c r="AS1" s="153">
        <f t="shared" si="1"/>
        <v>43856</v>
      </c>
      <c r="AT1" s="1237">
        <f t="shared" si="1"/>
        <v>43856</v>
      </c>
      <c r="AU1" s="153">
        <f t="shared" si="1"/>
        <v>43947</v>
      </c>
      <c r="AV1" s="153">
        <f t="shared" si="1"/>
        <v>44038</v>
      </c>
      <c r="AW1" s="153">
        <f t="shared" si="1"/>
        <v>44129</v>
      </c>
      <c r="AX1" s="153">
        <f t="shared" si="1"/>
        <v>44227</v>
      </c>
      <c r="AY1" s="1237">
        <f t="shared" si="1"/>
        <v>44227</v>
      </c>
      <c r="AZ1" s="153">
        <f t="shared" si="1"/>
        <v>44318</v>
      </c>
      <c r="BA1" s="153">
        <f t="shared" si="1"/>
        <v>44409</v>
      </c>
      <c r="BB1" s="153">
        <f t="shared" si="1"/>
        <v>44500</v>
      </c>
      <c r="BC1" s="153">
        <f t="shared" si="1"/>
        <v>44591</v>
      </c>
      <c r="BD1" s="1237">
        <f t="shared" si="1"/>
        <v>44591</v>
      </c>
      <c r="BE1" s="153">
        <f t="shared" si="1"/>
        <v>44682</v>
      </c>
      <c r="BF1" s="153">
        <f t="shared" si="1"/>
        <v>44773</v>
      </c>
      <c r="BG1" s="153">
        <f t="shared" si="1"/>
        <v>44864</v>
      </c>
      <c r="BH1" s="153">
        <f t="shared" ref="BH1:BN1" si="2">INDEX(MO_Common_QEndDate,0,COLUMN())</f>
        <v>44955</v>
      </c>
      <c r="BI1" s="1237">
        <f t="shared" si="2"/>
        <v>44955</v>
      </c>
      <c r="BJ1" s="153">
        <f t="shared" si="2"/>
        <v>45046</v>
      </c>
      <c r="BK1" s="153">
        <f t="shared" si="2"/>
        <v>45137</v>
      </c>
      <c r="BL1" s="153">
        <f t="shared" si="2"/>
        <v>45228</v>
      </c>
      <c r="BM1" s="153">
        <f t="shared" si="2"/>
        <v>45319</v>
      </c>
      <c r="BN1" s="1237">
        <f t="shared" si="2"/>
        <v>45319</v>
      </c>
      <c r="BO1" s="153">
        <f t="shared" ref="BO1:BT1" si="3">INDEX(MO_Common_QEndDate,0,COLUMN())</f>
        <v>45410</v>
      </c>
      <c r="BP1" s="153">
        <f t="shared" si="3"/>
        <v>45501</v>
      </c>
      <c r="BQ1" s="153">
        <f t="shared" si="3"/>
        <v>45592</v>
      </c>
      <c r="BR1" s="153">
        <f t="shared" si="3"/>
        <v>45683</v>
      </c>
      <c r="BS1" s="1237">
        <f t="shared" si="3"/>
        <v>45683</v>
      </c>
      <c r="BT1" s="153">
        <f t="shared" si="3"/>
        <v>45774</v>
      </c>
      <c r="BU1" s="153">
        <f>INDEX(MO_Common_QEndDate,0,COLUMN())</f>
        <v>45865</v>
      </c>
      <c r="BV1" s="153">
        <f>INDEX(MO_Common_QEndDate,0,COLUMN())</f>
        <v>45956</v>
      </c>
      <c r="BW1" s="153">
        <f>INDEX(MO_Common_QEndDate,0,COLUMN())</f>
        <v>46047</v>
      </c>
      <c r="BX1" s="1237">
        <f>INDEX(MO_Common_QEndDate,0,COLUMN())</f>
        <v>46047</v>
      </c>
      <c r="BY1" s="961">
        <f>INDEX(MO_Common_QEndDate,0,COLUMN())</f>
        <v>46138</v>
      </c>
      <c r="BZ1" s="153">
        <f t="shared" ref="BZ1:CC1" si="4">INDEX(MO_Common_QEndDate,0,COLUMN())</f>
        <v>46229</v>
      </c>
      <c r="CA1" s="153">
        <f t="shared" si="4"/>
        <v>46321</v>
      </c>
      <c r="CB1" s="153">
        <f t="shared" si="4"/>
        <v>46418</v>
      </c>
      <c r="CC1" s="1237">
        <f t="shared" si="4"/>
        <v>46418</v>
      </c>
      <c r="CD1" s="153">
        <f t="shared" ref="CD1:CK1" si="5">INDEX(MO_Common_QEndDate,0,COLUMN())</f>
        <v>46507</v>
      </c>
      <c r="CE1" s="153">
        <f t="shared" si="5"/>
        <v>46598</v>
      </c>
      <c r="CF1" s="153">
        <f t="shared" si="5"/>
        <v>46690</v>
      </c>
      <c r="CG1" s="153">
        <f t="shared" si="5"/>
        <v>46783</v>
      </c>
      <c r="CH1" s="1237">
        <f t="shared" si="5"/>
        <v>46783</v>
      </c>
      <c r="CI1" s="1237">
        <f t="shared" si="5"/>
        <v>47149</v>
      </c>
      <c r="CJ1" s="1237">
        <f t="shared" si="5"/>
        <v>47514</v>
      </c>
      <c r="CK1" s="1237">
        <f t="shared" si="5"/>
        <v>47879</v>
      </c>
      <c r="CL1" s="885"/>
    </row>
    <row r="2" spans="1:90" s="990" customFormat="1" x14ac:dyDescent="0.3">
      <c r="A2" s="193" t="s">
        <v>320</v>
      </c>
      <c r="B2" s="194" t="str">
        <f>MO.ReportFX</f>
        <v>USD</v>
      </c>
      <c r="C2" s="189" t="str">
        <f t="shared" ref="C2:AH2" si="6">INDEX(MO_Common_ColumnHeader,0,COLUMN())</f>
        <v>FY2009</v>
      </c>
      <c r="D2" s="1238" t="str">
        <f t="shared" si="6"/>
        <v>FY2010</v>
      </c>
      <c r="E2" s="1238" t="str">
        <f t="shared" si="6"/>
        <v>FY2011</v>
      </c>
      <c r="F2" s="1238" t="str">
        <f t="shared" si="6"/>
        <v>FY2012</v>
      </c>
      <c r="G2" s="128" t="str">
        <f t="shared" si="6"/>
        <v>Q1-2013</v>
      </c>
      <c r="H2" s="128" t="str">
        <f t="shared" si="6"/>
        <v>Q2-2013</v>
      </c>
      <c r="I2" s="128" t="str">
        <f t="shared" si="6"/>
        <v>Q3-2013</v>
      </c>
      <c r="J2" s="128" t="str">
        <f t="shared" si="6"/>
        <v>Q4-2013</v>
      </c>
      <c r="K2" s="1238" t="str">
        <f t="shared" si="6"/>
        <v>FY2013</v>
      </c>
      <c r="L2" s="128" t="str">
        <f t="shared" si="6"/>
        <v>Q1-2014</v>
      </c>
      <c r="M2" s="128" t="str">
        <f t="shared" si="6"/>
        <v>Q2-2014</v>
      </c>
      <c r="N2" s="128" t="str">
        <f t="shared" si="6"/>
        <v>Q3-2014</v>
      </c>
      <c r="O2" s="128" t="str">
        <f t="shared" si="6"/>
        <v>Q4-2014</v>
      </c>
      <c r="P2" s="1238" t="str">
        <f t="shared" si="6"/>
        <v>FY2014</v>
      </c>
      <c r="Q2" s="128" t="str">
        <f t="shared" si="6"/>
        <v>Q1-2015</v>
      </c>
      <c r="R2" s="128" t="str">
        <f t="shared" si="6"/>
        <v>Q2-2015</v>
      </c>
      <c r="S2" s="128" t="str">
        <f t="shared" si="6"/>
        <v>Q3-2015</v>
      </c>
      <c r="T2" s="128" t="str">
        <f t="shared" si="6"/>
        <v>Q4-2015</v>
      </c>
      <c r="U2" s="1238" t="str">
        <f t="shared" si="6"/>
        <v>FY2015</v>
      </c>
      <c r="V2" s="128" t="str">
        <f t="shared" si="6"/>
        <v>Q1-2016</v>
      </c>
      <c r="W2" s="128" t="str">
        <f t="shared" si="6"/>
        <v>Q2-2016</v>
      </c>
      <c r="X2" s="128" t="str">
        <f t="shared" si="6"/>
        <v>Q3-2016</v>
      </c>
      <c r="Y2" s="128" t="str">
        <f t="shared" si="6"/>
        <v>Q4-2016</v>
      </c>
      <c r="Z2" s="1238" t="str">
        <f t="shared" si="6"/>
        <v>FY2016</v>
      </c>
      <c r="AA2" s="128" t="str">
        <f t="shared" si="6"/>
        <v>Q1-2017</v>
      </c>
      <c r="AB2" s="128" t="str">
        <f t="shared" si="6"/>
        <v>Q2-2017</v>
      </c>
      <c r="AC2" s="128" t="str">
        <f t="shared" si="6"/>
        <v>Q3-2017</v>
      </c>
      <c r="AD2" s="128" t="str">
        <f t="shared" si="6"/>
        <v>Q4-2017</v>
      </c>
      <c r="AE2" s="1238" t="str">
        <f t="shared" si="6"/>
        <v>FY2017</v>
      </c>
      <c r="AF2" s="128" t="str">
        <f t="shared" si="6"/>
        <v>Q1-2018</v>
      </c>
      <c r="AG2" s="128" t="str">
        <f t="shared" si="6"/>
        <v>Q2-2018</v>
      </c>
      <c r="AH2" s="128" t="str">
        <f t="shared" si="6"/>
        <v>Q3-2018</v>
      </c>
      <c r="AI2" s="128" t="str">
        <f t="shared" ref="AI2:BG2" si="7">INDEX(MO_Common_ColumnHeader,0,COLUMN())</f>
        <v>Q4-2018</v>
      </c>
      <c r="AJ2" s="1238" t="str">
        <f t="shared" si="7"/>
        <v>FY2018</v>
      </c>
      <c r="AK2" s="128" t="str">
        <f t="shared" si="7"/>
        <v>Q1-2019</v>
      </c>
      <c r="AL2" s="128" t="str">
        <f t="shared" si="7"/>
        <v>Q2-2019</v>
      </c>
      <c r="AM2" s="128" t="str">
        <f t="shared" si="7"/>
        <v>Q3-2019</v>
      </c>
      <c r="AN2" s="128" t="str">
        <f t="shared" si="7"/>
        <v>Q4-2019</v>
      </c>
      <c r="AO2" s="1238" t="str">
        <f t="shared" si="7"/>
        <v>FY2019</v>
      </c>
      <c r="AP2" s="128" t="str">
        <f t="shared" si="7"/>
        <v>Q1-2020</v>
      </c>
      <c r="AQ2" s="128" t="str">
        <f t="shared" si="7"/>
        <v>Q2-2020</v>
      </c>
      <c r="AR2" s="128" t="str">
        <f t="shared" si="7"/>
        <v>Q3-2020</v>
      </c>
      <c r="AS2" s="128" t="str">
        <f t="shared" si="7"/>
        <v>Q4-2020</v>
      </c>
      <c r="AT2" s="1238" t="str">
        <f t="shared" si="7"/>
        <v>FY2020</v>
      </c>
      <c r="AU2" s="128" t="str">
        <f t="shared" si="7"/>
        <v>Q1-2021</v>
      </c>
      <c r="AV2" s="128" t="str">
        <f t="shared" si="7"/>
        <v>Q2-2021</v>
      </c>
      <c r="AW2" s="128" t="str">
        <f t="shared" si="7"/>
        <v>Q3-2021</v>
      </c>
      <c r="AX2" s="128" t="str">
        <f t="shared" si="7"/>
        <v>Q4-2021</v>
      </c>
      <c r="AY2" s="1238" t="str">
        <f t="shared" si="7"/>
        <v>FY2021</v>
      </c>
      <c r="AZ2" s="128" t="str">
        <f t="shared" si="7"/>
        <v>Q1-2022</v>
      </c>
      <c r="BA2" s="128" t="str">
        <f t="shared" si="7"/>
        <v>Q2-2022</v>
      </c>
      <c r="BB2" s="128" t="str">
        <f t="shared" si="7"/>
        <v>Q3-2022</v>
      </c>
      <c r="BC2" s="128" t="str">
        <f t="shared" si="7"/>
        <v>Q4-2022</v>
      </c>
      <c r="BD2" s="1238" t="str">
        <f t="shared" si="7"/>
        <v>FY2022</v>
      </c>
      <c r="BE2" s="128" t="str">
        <f t="shared" si="7"/>
        <v>Q1-2023</v>
      </c>
      <c r="BF2" s="128" t="str">
        <f t="shared" si="7"/>
        <v>Q2-2023</v>
      </c>
      <c r="BG2" s="128" t="str">
        <f t="shared" si="7"/>
        <v>Q3-2023</v>
      </c>
      <c r="BH2" s="128" t="str">
        <f t="shared" ref="BH2:BN2" si="8">INDEX(MO_Common_ColumnHeader,0,COLUMN())</f>
        <v>Q4-2023</v>
      </c>
      <c r="BI2" s="1238" t="str">
        <f t="shared" si="8"/>
        <v>FY2023</v>
      </c>
      <c r="BJ2" s="128" t="str">
        <f t="shared" si="8"/>
        <v>Q1-2024</v>
      </c>
      <c r="BK2" s="128" t="str">
        <f t="shared" si="8"/>
        <v>Q2-2024</v>
      </c>
      <c r="BL2" s="128" t="str">
        <f t="shared" si="8"/>
        <v>Q3-2024</v>
      </c>
      <c r="BM2" s="128" t="str">
        <f t="shared" si="8"/>
        <v>Q4-2024</v>
      </c>
      <c r="BN2" s="1238" t="str">
        <f t="shared" si="8"/>
        <v>FY2024</v>
      </c>
      <c r="BO2" s="128" t="str">
        <f t="shared" ref="BO2:BT2" si="9">INDEX(MO_Common_ColumnHeader,0,COLUMN())</f>
        <v>Q1-2025</v>
      </c>
      <c r="BP2" s="128" t="str">
        <f t="shared" si="9"/>
        <v>Q2-2025</v>
      </c>
      <c r="BQ2" s="128" t="str">
        <f t="shared" si="9"/>
        <v>Q3-2025</v>
      </c>
      <c r="BR2" s="128" t="str">
        <f t="shared" si="9"/>
        <v>Q4-2025</v>
      </c>
      <c r="BS2" s="1238" t="str">
        <f t="shared" si="9"/>
        <v>FY2025</v>
      </c>
      <c r="BT2" s="128" t="str">
        <f t="shared" si="9"/>
        <v>Q1-2026</v>
      </c>
      <c r="BU2" s="128" t="str">
        <f>INDEX(MO_Common_ColumnHeader,0,COLUMN())</f>
        <v>Q2-2026</v>
      </c>
      <c r="BV2" s="128" t="str">
        <f>INDEX(MO_Common_ColumnHeader,0,COLUMN())</f>
        <v>Q3-2026</v>
      </c>
      <c r="BW2" s="128" t="str">
        <f>INDEX(MO_Common_ColumnHeader,0,COLUMN())</f>
        <v>Q4-2026</v>
      </c>
      <c r="BX2" s="1238" t="str">
        <f>INDEX(MO_Common_ColumnHeader,0,COLUMN())</f>
        <v>FY2026</v>
      </c>
      <c r="BY2" s="962" t="str">
        <f>INDEX(MO_Common_ColumnHeader,0,COLUMN())</f>
        <v>Q1-2027</v>
      </c>
      <c r="BZ2" s="128" t="str">
        <f t="shared" ref="BZ2:CC2" si="10">INDEX(MO_Common_ColumnHeader,0,COLUMN())</f>
        <v>Q2-2027</v>
      </c>
      <c r="CA2" s="128" t="str">
        <f t="shared" si="10"/>
        <v>Q3-2027</v>
      </c>
      <c r="CB2" s="128" t="str">
        <f t="shared" si="10"/>
        <v>Q4-2027</v>
      </c>
      <c r="CC2" s="1238" t="str">
        <f t="shared" si="10"/>
        <v>FY2027</v>
      </c>
      <c r="CD2" s="128" t="str">
        <f t="shared" ref="CD2:CK2" si="11">INDEX(MO_Common_ColumnHeader,0,COLUMN())</f>
        <v>Q1-2028</v>
      </c>
      <c r="CE2" s="128" t="str">
        <f t="shared" si="11"/>
        <v>Q2-2028</v>
      </c>
      <c r="CF2" s="128" t="str">
        <f t="shared" si="11"/>
        <v>Q3-2028</v>
      </c>
      <c r="CG2" s="128" t="str">
        <f t="shared" si="11"/>
        <v>Q4-2028</v>
      </c>
      <c r="CH2" s="1238" t="str">
        <f t="shared" si="11"/>
        <v>FY2028</v>
      </c>
      <c r="CI2" s="1238" t="str">
        <f t="shared" si="11"/>
        <v>FY2029</v>
      </c>
      <c r="CJ2" s="1238" t="str">
        <f t="shared" si="11"/>
        <v>FY2030</v>
      </c>
      <c r="CK2" s="1238" t="str">
        <f t="shared" si="11"/>
        <v>FY2031</v>
      </c>
      <c r="CL2" s="885"/>
    </row>
    <row r="3" spans="1:90" x14ac:dyDescent="0.3">
      <c r="A3" s="126" t="s">
        <v>321</v>
      </c>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126"/>
      <c r="AF3" s="126"/>
      <c r="AG3" s="126"/>
      <c r="AH3" s="126"/>
      <c r="AI3" s="126"/>
      <c r="AJ3" s="126"/>
      <c r="AK3" s="126"/>
      <c r="AL3" s="126"/>
      <c r="AM3" s="126"/>
      <c r="AN3" s="126"/>
      <c r="AO3" s="126"/>
      <c r="AP3" s="126"/>
      <c r="AQ3" s="126"/>
      <c r="AR3" s="126"/>
      <c r="AS3" s="126"/>
      <c r="AT3" s="126"/>
      <c r="AU3" s="126"/>
      <c r="AV3" s="126"/>
      <c r="AW3" s="126"/>
      <c r="AX3" s="126"/>
      <c r="AY3" s="126"/>
      <c r="AZ3" s="126"/>
      <c r="BA3" s="126"/>
      <c r="BB3" s="126"/>
      <c r="BC3" s="126"/>
      <c r="BD3" s="126"/>
      <c r="BE3" s="126"/>
      <c r="BF3" s="126"/>
      <c r="BG3" s="126"/>
      <c r="BH3" s="126"/>
      <c r="BI3" s="126"/>
      <c r="BJ3" s="126"/>
      <c r="BK3" s="126"/>
      <c r="BL3" s="126"/>
      <c r="BM3" s="126"/>
      <c r="BN3" s="126"/>
      <c r="BO3" s="126"/>
      <c r="BP3" s="126"/>
      <c r="BQ3" s="126"/>
      <c r="BR3" s="126"/>
      <c r="BS3" s="126"/>
      <c r="BT3" s="126"/>
      <c r="BU3" s="126"/>
      <c r="BV3" s="126"/>
      <c r="BW3" s="126"/>
      <c r="BX3" s="126"/>
      <c r="BY3" s="543"/>
      <c r="BZ3" s="126"/>
      <c r="CA3" s="126"/>
      <c r="CB3" s="126"/>
      <c r="CC3" s="126"/>
      <c r="CD3" s="126"/>
      <c r="CE3" s="126"/>
      <c r="CF3" s="126"/>
      <c r="CG3" s="126"/>
      <c r="CH3" s="126"/>
      <c r="CI3" s="126"/>
      <c r="CJ3" s="126"/>
      <c r="CK3" s="126"/>
      <c r="CL3" s="130"/>
    </row>
    <row r="4" spans="1:90" s="991" customFormat="1" x14ac:dyDescent="0.3">
      <c r="A4" s="195" t="str">
        <f>"Stock Price - "&amp;SP.ValuationToggle</f>
        <v>Stock Price - EoP</v>
      </c>
      <c r="B4" s="196" t="s">
        <v>854</v>
      </c>
      <c r="C4" s="1239">
        <f t="shared" ref="C4:AH4" si="12">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0.19875000000000001</v>
      </c>
      <c r="D4" s="1239">
        <f t="shared" si="12"/>
        <v>0.38475000000000004</v>
      </c>
      <c r="E4" s="1239">
        <f t="shared" si="12"/>
        <v>0.59400000000000008</v>
      </c>
      <c r="F4" s="1239">
        <f t="shared" si="12"/>
        <v>0.37</v>
      </c>
      <c r="G4" s="586">
        <f t="shared" si="12"/>
        <v>0.32450000000000001</v>
      </c>
      <c r="H4" s="586">
        <f t="shared" si="12"/>
        <v>0.33324999999999999</v>
      </c>
      <c r="I4" s="586">
        <f t="shared" si="12"/>
        <v>0.30125000000000002</v>
      </c>
      <c r="J4" s="586">
        <f t="shared" si="12"/>
        <v>0.308</v>
      </c>
      <c r="K4" s="1239">
        <f t="shared" si="12"/>
        <v>0.308</v>
      </c>
      <c r="L4" s="586">
        <f t="shared" si="12"/>
        <v>0.33925</v>
      </c>
      <c r="M4" s="586">
        <f t="shared" si="12"/>
        <v>0.36025000000000001</v>
      </c>
      <c r="N4" s="586">
        <f t="shared" si="12"/>
        <v>0.3805</v>
      </c>
      <c r="O4" s="586">
        <f t="shared" si="12"/>
        <v>0.39300000000000002</v>
      </c>
      <c r="P4" s="1239">
        <f t="shared" si="12"/>
        <v>0.39300000000000002</v>
      </c>
      <c r="Q4" s="586">
        <f t="shared" si="12"/>
        <v>0.46725000000000005</v>
      </c>
      <c r="R4" s="586">
        <f t="shared" si="12"/>
        <v>0.45199999999999996</v>
      </c>
      <c r="S4" s="586">
        <f t="shared" si="12"/>
        <v>0.46725000000000005</v>
      </c>
      <c r="T4" s="586">
        <f t="shared" si="12"/>
        <v>0.48011999999999999</v>
      </c>
      <c r="U4" s="1239">
        <f t="shared" si="12"/>
        <v>0.48011999999999999</v>
      </c>
      <c r="V4" s="586">
        <f t="shared" si="12"/>
        <v>0.55349999999999999</v>
      </c>
      <c r="W4" s="586">
        <f t="shared" si="12"/>
        <v>0.50049999999999994</v>
      </c>
      <c r="X4" s="586">
        <f t="shared" si="12"/>
        <v>0.70925000000000005</v>
      </c>
      <c r="Y4" s="586">
        <f t="shared" si="12"/>
        <v>0.73224999999999996</v>
      </c>
      <c r="Z4" s="1240">
        <f t="shared" si="12"/>
        <v>0.73224999999999996</v>
      </c>
      <c r="AA4" s="586">
        <f t="shared" si="12"/>
        <v>0.88824999999999998</v>
      </c>
      <c r="AB4" s="586">
        <f t="shared" si="12"/>
        <v>1.4275</v>
      </c>
      <c r="AC4" s="586">
        <f t="shared" si="12"/>
        <v>1.764</v>
      </c>
      <c r="AD4" s="586">
        <f t="shared" si="12"/>
        <v>2.7504999999999997</v>
      </c>
      <c r="AE4" s="1240">
        <f t="shared" si="12"/>
        <v>2.7504999999999997</v>
      </c>
      <c r="AF4" s="586">
        <f t="shared" si="12"/>
        <v>2.6074999999999999</v>
      </c>
      <c r="AG4" s="586">
        <f t="shared" si="12"/>
        <v>4.10975</v>
      </c>
      <c r="AH4" s="586">
        <f t="shared" si="12"/>
        <v>5.0960000000000001</v>
      </c>
      <c r="AI4" s="586">
        <f t="shared" ref="AI4:BG4" si="13">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6.0679999999999996</v>
      </c>
      <c r="AJ4" s="1240">
        <f t="shared" si="13"/>
        <v>6.0679999999999996</v>
      </c>
      <c r="AK4" s="586">
        <f t="shared" si="13"/>
        <v>5.6582500000000007</v>
      </c>
      <c r="AL4" s="586">
        <f t="shared" si="13"/>
        <v>6.1032500000000001</v>
      </c>
      <c r="AM4" s="586">
        <f t="shared" si="13"/>
        <v>5.0750000000000002</v>
      </c>
      <c r="AN4" s="586">
        <f t="shared" si="13"/>
        <v>3.4347499999999997</v>
      </c>
      <c r="AO4" s="1240">
        <f t="shared" si="13"/>
        <v>3.4347499999999997</v>
      </c>
      <c r="AP4" s="586">
        <f t="shared" si="13"/>
        <v>4.48325</v>
      </c>
      <c r="AQ4" s="586">
        <f t="shared" si="13"/>
        <v>4.3862499999999995</v>
      </c>
      <c r="AR4" s="586">
        <f t="shared" si="13"/>
        <v>5.0750000000000002</v>
      </c>
      <c r="AS4" s="586">
        <f t="shared" si="13"/>
        <v>6.1452499999999999</v>
      </c>
      <c r="AT4" s="1240">
        <f t="shared" si="13"/>
        <v>6.1452499999999999</v>
      </c>
      <c r="AU4" s="586">
        <f t="shared" si="13"/>
        <v>7.4614999999999991</v>
      </c>
      <c r="AV4" s="586">
        <f t="shared" si="13"/>
        <v>10.614000000000001</v>
      </c>
      <c r="AW4" s="586">
        <f t="shared" si="13"/>
        <v>12.534000000000001</v>
      </c>
      <c r="AX4" s="586">
        <f t="shared" si="13"/>
        <v>12.989750000000001</v>
      </c>
      <c r="AY4" s="1240">
        <f t="shared" si="13"/>
        <v>12.989750000000001</v>
      </c>
      <c r="AZ4" s="586">
        <f t="shared" si="13"/>
        <v>15.32475</v>
      </c>
      <c r="BA4" s="586">
        <f t="shared" si="13"/>
        <v>19.499000000000002</v>
      </c>
      <c r="BB4" s="586">
        <f t="shared" si="13"/>
        <v>25.567</v>
      </c>
      <c r="BC4" s="586">
        <f t="shared" si="13"/>
        <v>22.84</v>
      </c>
      <c r="BD4" s="124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22.84</v>
      </c>
      <c r="BE4" s="586">
        <f t="shared" si="13"/>
        <v>18.547000000000001</v>
      </c>
      <c r="BF4" s="586">
        <f t="shared" si="13"/>
        <v>18.163</v>
      </c>
      <c r="BG4" s="586">
        <f t="shared" si="13"/>
        <v>13.834</v>
      </c>
      <c r="BH4" s="586">
        <f t="shared" ref="BH4:BN4" si="14">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19.161999999999999</v>
      </c>
      <c r="BI4" s="1240">
        <f t="shared" si="14"/>
        <v>19.161999999999999</v>
      </c>
      <c r="BJ4" s="586">
        <f t="shared" si="14"/>
        <v>27.749000000000002</v>
      </c>
      <c r="BK4" s="586">
        <f t="shared" si="14"/>
        <v>46.75</v>
      </c>
      <c r="BL4" s="586">
        <f t="shared" si="14"/>
        <v>40.5</v>
      </c>
      <c r="BM4" s="586">
        <f t="shared" si="14"/>
        <v>61.030999999999992</v>
      </c>
      <c r="BN4" s="1240">
        <f t="shared" si="14"/>
        <v>61.030999999999992</v>
      </c>
      <c r="BO4" s="586">
        <f t="shared" ref="BO4:BT4" si="15">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87.734999999999999</v>
      </c>
      <c r="BP4" s="586">
        <f t="shared" si="15"/>
        <v>113.06</v>
      </c>
      <c r="BQ4" s="586">
        <f t="shared" si="15"/>
        <v>141.54</v>
      </c>
      <c r="BR4" s="586">
        <f t="shared" si="15"/>
        <v>142.62</v>
      </c>
      <c r="BS4" s="1240">
        <f t="shared" si="15"/>
        <v>142.62</v>
      </c>
      <c r="BT4" s="586">
        <f t="shared" si="15"/>
        <v>87.734999999999999</v>
      </c>
      <c r="BU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173.5</v>
      </c>
      <c r="BV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186.26</v>
      </c>
      <c r="BW4" s="586">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187.67</v>
      </c>
      <c r="BX4" s="1240">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187.67</v>
      </c>
      <c r="BY4" s="96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208.27</v>
      </c>
      <c r="BZ4" s="586">
        <f t="shared" ref="BZ4:CC4" si="16">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222.82</v>
      </c>
      <c r="CA4" s="586">
        <f t="shared" si="16"/>
        <v>222.82</v>
      </c>
      <c r="CB4" s="586">
        <f t="shared" si="16"/>
        <v>222.82</v>
      </c>
      <c r="CC4" s="1240">
        <f t="shared" si="16"/>
        <v>222.82</v>
      </c>
      <c r="CD4" s="586">
        <f t="shared" ref="CD4:CK4" si="17">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222.82</v>
      </c>
      <c r="CE4" s="586">
        <f t="shared" si="17"/>
        <v>222.82</v>
      </c>
      <c r="CF4" s="586">
        <f t="shared" si="17"/>
        <v>222.82</v>
      </c>
      <c r="CG4" s="586">
        <f t="shared" si="17"/>
        <v>222.82</v>
      </c>
      <c r="CH4" s="1240">
        <f t="shared" si="17"/>
        <v>222.82</v>
      </c>
      <c r="CI4" s="1240">
        <f t="shared" si="17"/>
        <v>222.82</v>
      </c>
      <c r="CJ4" s="1240">
        <f t="shared" si="17"/>
        <v>222.82</v>
      </c>
      <c r="CK4" s="1240">
        <f t="shared" si="17"/>
        <v>222.82</v>
      </c>
      <c r="CL4" s="133"/>
    </row>
    <row r="5" spans="1:90" s="991" customFormat="1" x14ac:dyDescent="0.3">
      <c r="A5" s="706" t="str">
        <f>INDEX(MO_SCA_ShareCount_EoP_Diluted,0,COLUMN())</f>
        <v>EoP Total Diluted Common Stock Outstanding, mm shares</v>
      </c>
      <c r="B5" s="720"/>
      <c r="C5" s="1241">
        <f t="shared" ref="C5:AH5" si="18">INDEX(MO_SCA_ShareCount_EoP_Diluted,0,COLUMN())</f>
        <v>21538.430640000002</v>
      </c>
      <c r="D5" s="1241">
        <f t="shared" si="18"/>
        <v>22458.634040000001</v>
      </c>
      <c r="E5" s="1241">
        <f t="shared" si="18"/>
        <v>24082.508040000001</v>
      </c>
      <c r="F5" s="1241">
        <f t="shared" si="18"/>
        <v>24996.656480000005</v>
      </c>
      <c r="G5" s="1042">
        <f t="shared" si="18"/>
        <v>25094.983519999994</v>
      </c>
      <c r="H5" s="1042">
        <f t="shared" si="18"/>
        <v>24910.816480000009</v>
      </c>
      <c r="I5" s="1042">
        <f t="shared" si="18"/>
        <v>25302.943519999993</v>
      </c>
      <c r="J5" s="1042">
        <f t="shared" si="18"/>
        <v>24744.205360000004</v>
      </c>
      <c r="K5" s="1241">
        <f t="shared" si="18"/>
        <v>24895.565360000001</v>
      </c>
      <c r="L5" s="1042">
        <f t="shared" si="18"/>
        <v>24776.714639999998</v>
      </c>
      <c r="M5" s="1042">
        <f t="shared" si="18"/>
        <v>22414.525360000007</v>
      </c>
      <c r="N5" s="1042">
        <f t="shared" si="18"/>
        <v>24636.794639999986</v>
      </c>
      <c r="O5" s="1042">
        <f t="shared" si="18"/>
        <v>23074.789359999995</v>
      </c>
      <c r="P5" s="1241">
        <f t="shared" si="18"/>
        <v>22984.829359999996</v>
      </c>
      <c r="Q5" s="1042">
        <f t="shared" si="18"/>
        <v>22440.130640000003</v>
      </c>
      <c r="R5" s="1042">
        <f t="shared" si="18"/>
        <v>23159.869359999997</v>
      </c>
      <c r="S5" s="1042">
        <f t="shared" si="18"/>
        <v>21600.130640000003</v>
      </c>
      <c r="T5" s="1042">
        <f t="shared" si="18"/>
        <v>22316.52</v>
      </c>
      <c r="U5" s="1241">
        <f t="shared" si="18"/>
        <v>22236.52</v>
      </c>
      <c r="V5" s="1042">
        <f t="shared" si="18"/>
        <v>22883.48</v>
      </c>
      <c r="W5" s="1042">
        <f t="shared" si="18"/>
        <v>21756.52</v>
      </c>
      <c r="X5" s="1042">
        <f t="shared" si="18"/>
        <v>23123.48</v>
      </c>
      <c r="Y5" s="1042">
        <f t="shared" si="18"/>
        <v>23720</v>
      </c>
      <c r="Z5" s="1242">
        <f t="shared" si="18"/>
        <v>22600</v>
      </c>
      <c r="AA5" s="1042">
        <f t="shared" si="18"/>
        <v>23800</v>
      </c>
      <c r="AB5" s="1042">
        <f t="shared" si="18"/>
        <v>25200</v>
      </c>
      <c r="AC5" s="1042">
        <f t="shared" si="18"/>
        <v>26320</v>
      </c>
      <c r="AD5" s="1042">
        <f t="shared" si="18"/>
        <v>27680</v>
      </c>
      <c r="AE5" s="1242">
        <f t="shared" si="18"/>
        <v>27720</v>
      </c>
      <c r="AF5" s="1042">
        <f t="shared" si="18"/>
        <v>25920</v>
      </c>
      <c r="AG5" s="1042">
        <f t="shared" si="18"/>
        <v>25240</v>
      </c>
      <c r="AH5" s="1042">
        <f t="shared" si="18"/>
        <v>25440</v>
      </c>
      <c r="AI5" s="1042">
        <f t="shared" ref="AI5:BG5" si="19">INDEX(MO_SCA_ShareCount_EoP_Diluted,0,COLUMN())</f>
        <v>25120</v>
      </c>
      <c r="AJ5" s="1242">
        <f t="shared" si="19"/>
        <v>25560</v>
      </c>
      <c r="AK5" s="1042">
        <f t="shared" si="19"/>
        <v>25120</v>
      </c>
      <c r="AL5" s="1042">
        <f t="shared" si="19"/>
        <v>25080</v>
      </c>
      <c r="AM5" s="1042">
        <f t="shared" si="19"/>
        <v>25080</v>
      </c>
      <c r="AN5" s="1042">
        <f t="shared" si="19"/>
        <v>24640</v>
      </c>
      <c r="AO5" s="1242">
        <f t="shared" si="19"/>
        <v>24920</v>
      </c>
      <c r="AP5" s="1042">
        <f t="shared" si="19"/>
        <v>24720</v>
      </c>
      <c r="AQ5" s="1042">
        <f t="shared" si="19"/>
        <v>24640</v>
      </c>
      <c r="AR5" s="1042">
        <f t="shared" si="19"/>
        <v>24800</v>
      </c>
      <c r="AS5" s="1042">
        <f t="shared" si="19"/>
        <v>24840</v>
      </c>
      <c r="AT5" s="1242">
        <f t="shared" si="19"/>
        <v>24840</v>
      </c>
      <c r="AU5" s="1042">
        <f t="shared" si="19"/>
        <v>24920</v>
      </c>
      <c r="AV5" s="1042">
        <f t="shared" si="19"/>
        <v>25080</v>
      </c>
      <c r="AW5" s="1042">
        <f t="shared" si="19"/>
        <v>25240</v>
      </c>
      <c r="AX5" s="1042">
        <f t="shared" si="19"/>
        <v>25280</v>
      </c>
      <c r="AY5" s="1242">
        <f t="shared" si="19"/>
        <v>25240</v>
      </c>
      <c r="AZ5" s="1042">
        <f t="shared" si="19"/>
        <v>25360</v>
      </c>
      <c r="BA5" s="1042">
        <f t="shared" si="19"/>
        <v>25350</v>
      </c>
      <c r="BB5" s="1042">
        <f t="shared" si="19"/>
        <v>25410</v>
      </c>
      <c r="BC5" s="1042">
        <f t="shared" si="19"/>
        <v>25470</v>
      </c>
      <c r="BD5" s="1242">
        <f t="shared" si="19"/>
        <v>25450</v>
      </c>
      <c r="BE5" s="1042">
        <f t="shared" si="19"/>
        <v>25350</v>
      </c>
      <c r="BF5" s="1042">
        <f t="shared" si="19"/>
        <v>25100</v>
      </c>
      <c r="BG5" s="1042">
        <f t="shared" si="19"/>
        <v>24840</v>
      </c>
      <c r="BH5" s="1042">
        <f t="shared" ref="BH5:BN5" si="20">INDEX(MO_SCA_ShareCount_EoP_Diluted,0,COLUMN())</f>
        <v>24790</v>
      </c>
      <c r="BI5" s="1242">
        <f t="shared" si="20"/>
        <v>24790</v>
      </c>
      <c r="BJ5" s="1042">
        <f t="shared" si="20"/>
        <v>24930</v>
      </c>
      <c r="BK5" s="1042">
        <f t="shared" si="20"/>
        <v>24950</v>
      </c>
      <c r="BL5" s="1042">
        <f t="shared" si="20"/>
        <v>24920</v>
      </c>
      <c r="BM5" s="1042">
        <f t="shared" si="20"/>
        <v>24880</v>
      </c>
      <c r="BN5" s="1242">
        <f t="shared" si="20"/>
        <v>24880</v>
      </c>
      <c r="BO5" s="1042">
        <f t="shared" ref="BO5:BT5" si="21">INDEX(MO_SCA_ShareCount_EoP_Diluted,0,COLUMN())</f>
        <v>24860</v>
      </c>
      <c r="BP5" s="1042">
        <f t="shared" si="21"/>
        <v>24832</v>
      </c>
      <c r="BQ5" s="1042">
        <f t="shared" si="21"/>
        <v>24749</v>
      </c>
      <c r="BR5" s="1042">
        <f t="shared" si="21"/>
        <v>24694</v>
      </c>
      <c r="BS5" s="1242">
        <f t="shared" si="21"/>
        <v>24694</v>
      </c>
      <c r="BT5" s="1042">
        <f t="shared" si="21"/>
        <v>24558</v>
      </c>
      <c r="BU5" s="1042">
        <f>INDEX(MO_SCA_ShareCount_EoP_Diluted,0,COLUMN())</f>
        <v>24513</v>
      </c>
      <c r="BV5" s="1042">
        <f>INDEX(MO_SCA_ShareCount_EoP_Diluted,0,COLUMN())</f>
        <v>24461</v>
      </c>
      <c r="BW5" s="1042">
        <f>INDEX(MO_SCA_ShareCount_EoP_Diluted,0,COLUMN())</f>
        <v>24432</v>
      </c>
      <c r="BX5" s="1242">
        <f>INDEX(MO_SCA_ShareCount_EoP_Diluted,0,COLUMN())</f>
        <v>24432</v>
      </c>
      <c r="BY5" s="1043">
        <f>INDEX(MO_SCA_ShareCount_EoP_Diluted,0,COLUMN())</f>
        <v>24326</v>
      </c>
      <c r="BZ5" s="1042">
        <f t="shared" ref="BZ5:CC5" si="22">INDEX(MO_SCA_ShareCount_EoP_Diluted,0,COLUMN())</f>
        <v>24459.177778684563</v>
      </c>
      <c r="CA5" s="1042">
        <f t="shared" si="22"/>
        <v>24459.177778684563</v>
      </c>
      <c r="CB5" s="1042">
        <f t="shared" si="22"/>
        <v>24459.177778684563</v>
      </c>
      <c r="CC5" s="1242">
        <f t="shared" si="22"/>
        <v>24459.177778684563</v>
      </c>
      <c r="CD5" s="1042">
        <f t="shared" ref="CD5:CK5" si="23">INDEX(MO_SCA_ShareCount_EoP_Diluted,0,COLUMN())</f>
        <v>24459.177778684563</v>
      </c>
      <c r="CE5" s="1042">
        <f t="shared" si="23"/>
        <v>24459.177778684563</v>
      </c>
      <c r="CF5" s="1042">
        <f t="shared" si="23"/>
        <v>24459.177778684563</v>
      </c>
      <c r="CG5" s="1042">
        <f t="shared" si="23"/>
        <v>24459.177778684563</v>
      </c>
      <c r="CH5" s="1242">
        <f t="shared" si="23"/>
        <v>24459.177778684563</v>
      </c>
      <c r="CI5" s="1242">
        <f t="shared" si="23"/>
        <v>24459.177778684563</v>
      </c>
      <c r="CJ5" s="1242">
        <f t="shared" si="23"/>
        <v>24459.177778684563</v>
      </c>
      <c r="CK5" s="1242">
        <f t="shared" si="23"/>
        <v>24459.177778684563</v>
      </c>
      <c r="CL5" s="133"/>
    </row>
    <row r="6" spans="1:90" s="992" customFormat="1" x14ac:dyDescent="0.3">
      <c r="A6" s="682" t="str">
        <f>"Market Cap - "&amp;SP.ValuationToggle</f>
        <v>Market Cap - EoP</v>
      </c>
      <c r="B6" s="684"/>
      <c r="C6" s="1243">
        <f t="shared" ref="C6:AH6" si="24">INDEX(SP_CS_StockPrice,0,COLUMN())*INDEX(SP_CS_ShareCount_EoP_Diluted,0,COLUMN())</f>
        <v>4280.7630897000008</v>
      </c>
      <c r="D6" s="1243">
        <f t="shared" si="24"/>
        <v>8640.9594468900013</v>
      </c>
      <c r="E6" s="1243">
        <f t="shared" si="24"/>
        <v>14305.009775760002</v>
      </c>
      <c r="F6" s="1243">
        <f t="shared" si="24"/>
        <v>9248.7628976000015</v>
      </c>
      <c r="G6" s="574">
        <f t="shared" si="24"/>
        <v>8143.3221522399981</v>
      </c>
      <c r="H6" s="574">
        <f t="shared" si="24"/>
        <v>8301.529591960003</v>
      </c>
      <c r="I6" s="574">
        <f t="shared" si="24"/>
        <v>7622.5117353999985</v>
      </c>
      <c r="J6" s="574">
        <f t="shared" si="24"/>
        <v>7621.2152508800009</v>
      </c>
      <c r="K6" s="1243">
        <f t="shared" si="24"/>
        <v>7667.83413088</v>
      </c>
      <c r="L6" s="574">
        <f t="shared" si="24"/>
        <v>8405.500441619999</v>
      </c>
      <c r="M6" s="574">
        <f t="shared" si="24"/>
        <v>8074.832760940003</v>
      </c>
      <c r="N6" s="574">
        <f t="shared" si="24"/>
        <v>9374.3003605199938</v>
      </c>
      <c r="O6" s="574">
        <f t="shared" si="24"/>
        <v>9068.3922184799976</v>
      </c>
      <c r="P6" s="1243">
        <f t="shared" si="24"/>
        <v>9033.037938479998</v>
      </c>
      <c r="Q6" s="574">
        <f t="shared" si="24"/>
        <v>10485.151041540003</v>
      </c>
      <c r="R6" s="574">
        <f t="shared" si="24"/>
        <v>10468.260950719998</v>
      </c>
      <c r="S6" s="574">
        <f t="shared" si="24"/>
        <v>10092.661041540003</v>
      </c>
      <c r="T6" s="574">
        <f t="shared" si="24"/>
        <v>10714.6075824</v>
      </c>
      <c r="U6" s="1243">
        <f t="shared" si="24"/>
        <v>10676.197982400001</v>
      </c>
      <c r="V6" s="574">
        <f t="shared" si="24"/>
        <v>12666.00618</v>
      </c>
      <c r="W6" s="574">
        <f t="shared" si="24"/>
        <v>10889.13826</v>
      </c>
      <c r="X6" s="574">
        <f t="shared" si="24"/>
        <v>16400.32819</v>
      </c>
      <c r="Y6" s="574">
        <f t="shared" si="24"/>
        <v>17368.969999999998</v>
      </c>
      <c r="Z6" s="1243">
        <f t="shared" si="24"/>
        <v>16548.849999999999</v>
      </c>
      <c r="AA6" s="574">
        <f t="shared" si="24"/>
        <v>21140.35</v>
      </c>
      <c r="AB6" s="574">
        <f t="shared" si="24"/>
        <v>35973</v>
      </c>
      <c r="AC6" s="574">
        <f t="shared" si="24"/>
        <v>46428.480000000003</v>
      </c>
      <c r="AD6" s="574">
        <f t="shared" si="24"/>
        <v>76133.84</v>
      </c>
      <c r="AE6" s="1243">
        <f t="shared" si="24"/>
        <v>76243.859999999986</v>
      </c>
      <c r="AF6" s="574">
        <f t="shared" si="24"/>
        <v>67586.399999999994</v>
      </c>
      <c r="AG6" s="574">
        <f t="shared" si="24"/>
        <v>103730.09</v>
      </c>
      <c r="AH6" s="574">
        <f t="shared" si="24"/>
        <v>129642.24000000001</v>
      </c>
      <c r="AI6" s="574">
        <f t="shared" ref="AI6:BG6" si="25">INDEX(SP_CS_StockPrice,0,COLUMN())*INDEX(SP_CS_ShareCount_EoP_Diluted,0,COLUMN())</f>
        <v>152428.16</v>
      </c>
      <c r="AJ6" s="1243">
        <f t="shared" si="25"/>
        <v>155098.07999999999</v>
      </c>
      <c r="AK6" s="574">
        <f t="shared" si="25"/>
        <v>142135.24000000002</v>
      </c>
      <c r="AL6" s="574">
        <f t="shared" si="25"/>
        <v>153069.51</v>
      </c>
      <c r="AM6" s="574">
        <f t="shared" si="25"/>
        <v>127281</v>
      </c>
      <c r="AN6" s="574">
        <f t="shared" si="25"/>
        <v>84632.239999999991</v>
      </c>
      <c r="AO6" s="1243">
        <f t="shared" si="25"/>
        <v>85593.969999999987</v>
      </c>
      <c r="AP6" s="574">
        <f t="shared" si="25"/>
        <v>110825.94</v>
      </c>
      <c r="AQ6" s="574">
        <f t="shared" si="25"/>
        <v>108077.19999999998</v>
      </c>
      <c r="AR6" s="574">
        <f t="shared" si="25"/>
        <v>125860</v>
      </c>
      <c r="AS6" s="574">
        <f t="shared" si="25"/>
        <v>152648.01</v>
      </c>
      <c r="AT6" s="1243">
        <f t="shared" si="25"/>
        <v>152648.01</v>
      </c>
      <c r="AU6" s="574">
        <f t="shared" si="25"/>
        <v>185940.58</v>
      </c>
      <c r="AV6" s="574">
        <f t="shared" si="25"/>
        <v>266199.12</v>
      </c>
      <c r="AW6" s="574">
        <f t="shared" si="25"/>
        <v>316358.16000000003</v>
      </c>
      <c r="AX6" s="574">
        <f t="shared" si="25"/>
        <v>328380.88</v>
      </c>
      <c r="AY6" s="1243">
        <f t="shared" si="25"/>
        <v>327861.29000000004</v>
      </c>
      <c r="AZ6" s="574">
        <f t="shared" si="25"/>
        <v>388635.66</v>
      </c>
      <c r="BA6" s="574">
        <f t="shared" si="25"/>
        <v>494299.65000000008</v>
      </c>
      <c r="BB6" s="574">
        <f t="shared" si="25"/>
        <v>649657.47</v>
      </c>
      <c r="BC6" s="574">
        <f t="shared" si="25"/>
        <v>581734.80000000005</v>
      </c>
      <c r="BD6" s="1243">
        <f t="shared" si="25"/>
        <v>581278</v>
      </c>
      <c r="BE6" s="574">
        <f t="shared" si="25"/>
        <v>470166.45</v>
      </c>
      <c r="BF6" s="574">
        <f t="shared" si="25"/>
        <v>455891.3</v>
      </c>
      <c r="BG6" s="574">
        <f t="shared" si="25"/>
        <v>343636.56</v>
      </c>
      <c r="BH6" s="574">
        <f t="shared" ref="BH6:BN6" si="26">INDEX(SP_CS_StockPrice,0,COLUMN())*INDEX(SP_CS_ShareCount_EoP_Diluted,0,COLUMN())</f>
        <v>475025.98</v>
      </c>
      <c r="BI6" s="1243">
        <f t="shared" si="26"/>
        <v>475025.98</v>
      </c>
      <c r="BJ6" s="574">
        <f t="shared" si="26"/>
        <v>691782.57000000007</v>
      </c>
      <c r="BK6" s="574">
        <f t="shared" si="26"/>
        <v>1166412.5</v>
      </c>
      <c r="BL6" s="574">
        <f t="shared" si="26"/>
        <v>1009260</v>
      </c>
      <c r="BM6" s="574">
        <f t="shared" si="26"/>
        <v>1518451.2799999998</v>
      </c>
      <c r="BN6" s="1243">
        <f t="shared" si="26"/>
        <v>1518451.2799999998</v>
      </c>
      <c r="BO6" s="574">
        <f t="shared" ref="BO6:BT6" si="27">INDEX(SP_CS_StockPrice,0,COLUMN())*INDEX(SP_CS_ShareCount_EoP_Diluted,0,COLUMN())</f>
        <v>2181092.1</v>
      </c>
      <c r="BP6" s="574">
        <f t="shared" si="27"/>
        <v>2807505.92</v>
      </c>
      <c r="BQ6" s="574">
        <f t="shared" si="27"/>
        <v>3502973.46</v>
      </c>
      <c r="BR6" s="574">
        <f t="shared" si="27"/>
        <v>3521858.2800000003</v>
      </c>
      <c r="BS6" s="1243">
        <f t="shared" si="27"/>
        <v>3521858.2800000003</v>
      </c>
      <c r="BT6" s="574">
        <f t="shared" si="27"/>
        <v>2154596.13</v>
      </c>
      <c r="BU6" s="574">
        <f>INDEX(SP_CS_StockPrice,0,COLUMN())*INDEX(SP_CS_ShareCount_EoP_Diluted,0,COLUMN())</f>
        <v>4253005.5</v>
      </c>
      <c r="BV6" s="574">
        <f>INDEX(SP_CS_StockPrice,0,COLUMN())*INDEX(SP_CS_ShareCount_EoP_Diluted,0,COLUMN())</f>
        <v>4556105.8599999994</v>
      </c>
      <c r="BW6" s="574">
        <f>INDEX(SP_CS_StockPrice,0,COLUMN())*INDEX(SP_CS_ShareCount_EoP_Diluted,0,COLUMN())</f>
        <v>4585153.4399999995</v>
      </c>
      <c r="BX6" s="1243">
        <f>INDEX(SP_CS_StockPrice,0,COLUMN())*INDEX(SP_CS_ShareCount_EoP_Diluted,0,COLUMN())</f>
        <v>4585153.4399999995</v>
      </c>
      <c r="BY6" s="955">
        <f>INDEX(SP_CS_StockPrice,0,COLUMN())*INDEX(SP_CS_ShareCount_EoP_Diluted,0,COLUMN())</f>
        <v>5066376.0200000005</v>
      </c>
      <c r="BZ6" s="574">
        <f t="shared" ref="BZ6:CC6" si="28">INDEX(SP_CS_StockPrice,0,COLUMN())*INDEX(SP_CS_ShareCount_EoP_Diluted,0,COLUMN())</f>
        <v>5449993.9926464939</v>
      </c>
      <c r="CA6" s="574">
        <f t="shared" si="28"/>
        <v>5449993.9926464939</v>
      </c>
      <c r="CB6" s="574">
        <f t="shared" si="28"/>
        <v>5449993.9926464939</v>
      </c>
      <c r="CC6" s="1243">
        <f t="shared" si="28"/>
        <v>5449993.9926464939</v>
      </c>
      <c r="CD6" s="574">
        <f t="shared" ref="CD6:CK6" si="29">INDEX(SP_CS_StockPrice,0,COLUMN())*INDEX(SP_CS_ShareCount_EoP_Diluted,0,COLUMN())</f>
        <v>5449993.9926464939</v>
      </c>
      <c r="CE6" s="574">
        <f t="shared" si="29"/>
        <v>5449993.9926464939</v>
      </c>
      <c r="CF6" s="574">
        <f t="shared" si="29"/>
        <v>5449993.9926464939</v>
      </c>
      <c r="CG6" s="574">
        <f t="shared" si="29"/>
        <v>5449993.9926464939</v>
      </c>
      <c r="CH6" s="1243">
        <f t="shared" si="29"/>
        <v>5449993.9926464939</v>
      </c>
      <c r="CI6" s="1243">
        <f t="shared" si="29"/>
        <v>5449993.9926464939</v>
      </c>
      <c r="CJ6" s="1243">
        <f t="shared" si="29"/>
        <v>5449993.9926464939</v>
      </c>
      <c r="CK6" s="1243">
        <f t="shared" si="29"/>
        <v>5449993.9926464939</v>
      </c>
      <c r="CL6" s="574"/>
    </row>
    <row r="7" spans="1:90" s="993" customFormat="1" x14ac:dyDescent="0.3">
      <c r="A7" s="676" t="str">
        <f>INDEX(MO_BSS_Cash,0,COLUMN())</f>
        <v>Cash</v>
      </c>
      <c r="B7" s="685"/>
      <c r="C7" s="1244">
        <f t="shared" ref="C7:AH7" si="30">INDEX(MO_BSS_Cash,0,COLUMN())</f>
        <v>1255.3899999999999</v>
      </c>
      <c r="D7" s="1244">
        <f t="shared" si="30"/>
        <v>1728.2270000000001</v>
      </c>
      <c r="E7" s="1244">
        <f t="shared" si="30"/>
        <v>2490.5630000000001</v>
      </c>
      <c r="F7" s="1244">
        <f t="shared" si="30"/>
        <v>3129.576</v>
      </c>
      <c r="G7" s="678">
        <f t="shared" si="30"/>
        <v>3130.8119999999999</v>
      </c>
      <c r="H7" s="678">
        <f t="shared" si="30"/>
        <v>3278.1</v>
      </c>
      <c r="I7" s="678">
        <f t="shared" si="30"/>
        <v>3434.7719999999999</v>
      </c>
      <c r="J7" s="678">
        <f t="shared" si="30"/>
        <v>3727.8830000000003</v>
      </c>
      <c r="K7" s="1244">
        <f t="shared" si="30"/>
        <v>3727.8830000000003</v>
      </c>
      <c r="L7" s="678">
        <f t="shared" si="30"/>
        <v>3713.3509999999997</v>
      </c>
      <c r="M7" s="678">
        <f t="shared" si="30"/>
        <v>2935.893</v>
      </c>
      <c r="N7" s="678">
        <f t="shared" si="30"/>
        <v>3032.9539999999997</v>
      </c>
      <c r="O7" s="678">
        <f t="shared" si="30"/>
        <v>4671.8099999999995</v>
      </c>
      <c r="P7" s="1244">
        <f t="shared" si="30"/>
        <v>4671.8099999999995</v>
      </c>
      <c r="Q7" s="678">
        <f t="shared" si="30"/>
        <v>4347.817</v>
      </c>
      <c r="R7" s="678">
        <f t="shared" si="30"/>
        <v>4386.0540000000001</v>
      </c>
      <c r="S7" s="678">
        <f t="shared" si="30"/>
        <v>4240.7970000000005</v>
      </c>
      <c r="T7" s="678">
        <f t="shared" si="30"/>
        <v>4623</v>
      </c>
      <c r="U7" s="1244">
        <f t="shared" si="30"/>
        <v>4623</v>
      </c>
      <c r="V7" s="678">
        <f t="shared" si="30"/>
        <v>4792</v>
      </c>
      <c r="W7" s="678">
        <f t="shared" si="30"/>
        <v>4505</v>
      </c>
      <c r="X7" s="678">
        <f t="shared" si="30"/>
        <v>4728</v>
      </c>
      <c r="Y7" s="678">
        <f t="shared" si="30"/>
        <v>5037</v>
      </c>
      <c r="Z7" s="1244">
        <f t="shared" si="30"/>
        <v>5037</v>
      </c>
      <c r="AA7" s="678">
        <f t="shared" si="30"/>
        <v>4754</v>
      </c>
      <c r="AB7" s="678">
        <f t="shared" si="30"/>
        <v>4879</v>
      </c>
      <c r="AC7" s="678">
        <f t="shared" si="30"/>
        <v>6671</v>
      </c>
      <c r="AD7" s="678">
        <f t="shared" si="30"/>
        <v>6798</v>
      </c>
      <c r="AE7" s="1244">
        <f t="shared" si="30"/>
        <v>6798</v>
      </c>
      <c r="AF7" s="678">
        <f t="shared" si="30"/>
        <v>6206</v>
      </c>
      <c r="AG7" s="678">
        <f t="shared" si="30"/>
        <v>5877</v>
      </c>
      <c r="AH7" s="678">
        <f t="shared" si="30"/>
        <v>6320</v>
      </c>
      <c r="AI7" s="678">
        <f t="shared" ref="AI7:BG7" si="31">INDEX(MO_BSS_Cash,0,COLUMN())</f>
        <v>7108</v>
      </c>
      <c r="AJ7" s="1244">
        <f t="shared" si="31"/>
        <v>7108</v>
      </c>
      <c r="AK7" s="678">
        <f t="shared" si="31"/>
        <v>7300</v>
      </c>
      <c r="AL7" s="678">
        <f t="shared" si="31"/>
        <v>7943</v>
      </c>
      <c r="AM7" s="678">
        <f t="shared" si="31"/>
        <v>7591</v>
      </c>
      <c r="AN7" s="678">
        <f t="shared" si="31"/>
        <v>7422</v>
      </c>
      <c r="AO7" s="1244">
        <f t="shared" si="31"/>
        <v>7422</v>
      </c>
      <c r="AP7" s="678">
        <f t="shared" si="31"/>
        <v>7802</v>
      </c>
      <c r="AQ7" s="678">
        <f t="shared" si="31"/>
        <v>8475</v>
      </c>
      <c r="AR7" s="678">
        <f t="shared" si="31"/>
        <v>9769</v>
      </c>
      <c r="AS7" s="678">
        <f t="shared" si="31"/>
        <v>10897</v>
      </c>
      <c r="AT7" s="1244">
        <f t="shared" si="31"/>
        <v>10897</v>
      </c>
      <c r="AU7" s="678">
        <f t="shared" si="31"/>
        <v>16354</v>
      </c>
      <c r="AV7" s="678">
        <f t="shared" si="31"/>
        <v>10981</v>
      </c>
      <c r="AW7" s="678">
        <f t="shared" si="31"/>
        <v>10139</v>
      </c>
      <c r="AX7" s="678">
        <f t="shared" si="31"/>
        <v>11561</v>
      </c>
      <c r="AY7" s="1244">
        <f t="shared" si="31"/>
        <v>11561</v>
      </c>
      <c r="AZ7" s="678">
        <f t="shared" si="31"/>
        <v>12667</v>
      </c>
      <c r="BA7" s="678">
        <f t="shared" si="31"/>
        <v>19654</v>
      </c>
      <c r="BB7" s="678">
        <f t="shared" si="31"/>
        <v>19298</v>
      </c>
      <c r="BC7" s="678">
        <f t="shared" si="31"/>
        <v>21208</v>
      </c>
      <c r="BD7" s="1244">
        <f t="shared" si="31"/>
        <v>21208</v>
      </c>
      <c r="BE7" s="678">
        <f t="shared" si="31"/>
        <v>20338</v>
      </c>
      <c r="BF7" s="678">
        <f t="shared" si="31"/>
        <v>17037</v>
      </c>
      <c r="BG7" s="678">
        <f t="shared" si="31"/>
        <v>13143</v>
      </c>
      <c r="BH7" s="678">
        <f t="shared" ref="BH7:BN7" si="32">INDEX(MO_BSS_Cash,0,COLUMN())</f>
        <v>13296</v>
      </c>
      <c r="BI7" s="1244">
        <f t="shared" si="32"/>
        <v>13296</v>
      </c>
      <c r="BJ7" s="678">
        <f t="shared" si="32"/>
        <v>15320</v>
      </c>
      <c r="BK7" s="678">
        <f t="shared" si="32"/>
        <v>16023</v>
      </c>
      <c r="BL7" s="678">
        <f t="shared" si="32"/>
        <v>18281</v>
      </c>
      <c r="BM7" s="678">
        <f t="shared" si="32"/>
        <v>25984</v>
      </c>
      <c r="BN7" s="1244">
        <f t="shared" si="32"/>
        <v>25984</v>
      </c>
      <c r="BO7" s="678">
        <f t="shared" ref="BO7:BT7" si="33">INDEX(MO_BSS_Cash,0,COLUMN())</f>
        <v>31438</v>
      </c>
      <c r="BP7" s="678">
        <f t="shared" si="33"/>
        <v>34800</v>
      </c>
      <c r="BQ7" s="678">
        <f t="shared" si="33"/>
        <v>38487</v>
      </c>
      <c r="BR7" s="678">
        <f t="shared" si="33"/>
        <v>43210</v>
      </c>
      <c r="BS7" s="1244">
        <f t="shared" si="33"/>
        <v>43210</v>
      </c>
      <c r="BT7" s="678">
        <f t="shared" si="33"/>
        <v>53691</v>
      </c>
      <c r="BU7" s="678">
        <f>INDEX(MO_BSS_Cash,0,COLUMN())</f>
        <v>56791</v>
      </c>
      <c r="BV7" s="678">
        <f>INDEX(MO_BSS_Cash,0,COLUMN())</f>
        <v>60608</v>
      </c>
      <c r="BW7" s="678">
        <f>INDEX(MO_BSS_Cash,0,COLUMN())</f>
        <v>62556</v>
      </c>
      <c r="BX7" s="1244">
        <f>INDEX(MO_BSS_Cash,0,COLUMN())</f>
        <v>62556</v>
      </c>
      <c r="BY7" s="954">
        <f>INDEX(MO_BSS_Cash,0,COLUMN())</f>
        <v>80572</v>
      </c>
      <c r="BZ7" s="678">
        <f t="shared" ref="BZ7:CC7" si="34">INDEX(MO_BSS_Cash,0,COLUMN())</f>
        <v>116395.31468233501</v>
      </c>
      <c r="CA7" s="678">
        <f t="shared" si="34"/>
        <v>148117.22705731812</v>
      </c>
      <c r="CB7" s="678">
        <f t="shared" si="34"/>
        <v>198134.1235826051</v>
      </c>
      <c r="CC7" s="1244">
        <f t="shared" si="34"/>
        <v>198134.1235826051</v>
      </c>
      <c r="CD7" s="678">
        <f t="shared" ref="CD7:CK7" si="35">INDEX(MO_BSS_Cash,0,COLUMN())</f>
        <v>262687.14632876753</v>
      </c>
      <c r="CE7" s="678">
        <f t="shared" si="35"/>
        <v>316063.56395822798</v>
      </c>
      <c r="CF7" s="678">
        <f t="shared" si="35"/>
        <v>360443.52571381885</v>
      </c>
      <c r="CG7" s="678">
        <f t="shared" si="35"/>
        <v>427422.13414168917</v>
      </c>
      <c r="CH7" s="1244">
        <f t="shared" si="35"/>
        <v>427422.13414168917</v>
      </c>
      <c r="CI7" s="1244">
        <f t="shared" si="35"/>
        <v>715034.25075622206</v>
      </c>
      <c r="CJ7" s="1244">
        <f t="shared" si="35"/>
        <v>1065020.2428366775</v>
      </c>
      <c r="CK7" s="1244">
        <f t="shared" si="35"/>
        <v>1487894.0785187618</v>
      </c>
      <c r="CL7" s="678"/>
    </row>
    <row r="8" spans="1:90" s="993" customFormat="1" x14ac:dyDescent="0.3">
      <c r="A8" s="676" t="str">
        <f>INDEX(MO_BSS_Debt,0,COLUMN())</f>
        <v>Debt</v>
      </c>
      <c r="B8" s="685"/>
      <c r="C8" s="1244">
        <f t="shared" ref="C8:AH8" si="36">INDEX(MO_BSS_Debt,0,COLUMN())</f>
        <v>25.634</v>
      </c>
      <c r="D8" s="1244">
        <f t="shared" si="36"/>
        <v>24.45</v>
      </c>
      <c r="E8" s="1244">
        <f t="shared" si="36"/>
        <v>23.388999999999999</v>
      </c>
      <c r="F8" s="1244">
        <f t="shared" si="36"/>
        <v>21.439</v>
      </c>
      <c r="G8" s="678">
        <f t="shared" si="36"/>
        <v>20.83</v>
      </c>
      <c r="H8" s="678">
        <f t="shared" si="36"/>
        <v>20.236999999999998</v>
      </c>
      <c r="I8" s="678">
        <f t="shared" si="36"/>
        <v>19.626999999999999</v>
      </c>
      <c r="J8" s="678">
        <f t="shared" si="36"/>
        <v>18.998000000000001</v>
      </c>
      <c r="K8" s="1244">
        <f t="shared" si="36"/>
        <v>18.998000000000001</v>
      </c>
      <c r="L8" s="678">
        <f t="shared" si="36"/>
        <v>18.332999999999998</v>
      </c>
      <c r="M8" s="678">
        <f t="shared" si="36"/>
        <v>17.684999999999999</v>
      </c>
      <c r="N8" s="678">
        <f t="shared" si="36"/>
        <v>17.015000000000001</v>
      </c>
      <c r="O8" s="678">
        <f t="shared" si="36"/>
        <v>1373.875</v>
      </c>
      <c r="P8" s="1244">
        <f t="shared" si="36"/>
        <v>1373.875</v>
      </c>
      <c r="Q8" s="678">
        <f t="shared" si="36"/>
        <v>1379.9590000000001</v>
      </c>
      <c r="R8" s="678">
        <f t="shared" si="36"/>
        <v>1386.0910000000001</v>
      </c>
      <c r="S8" s="678">
        <f t="shared" si="36"/>
        <v>1392.2360000000001</v>
      </c>
      <c r="T8" s="678">
        <f t="shared" si="36"/>
        <v>1398</v>
      </c>
      <c r="U8" s="1244">
        <f t="shared" si="36"/>
        <v>1398</v>
      </c>
      <c r="V8" s="678">
        <f t="shared" si="36"/>
        <v>1404</v>
      </c>
      <c r="W8" s="678">
        <f t="shared" si="36"/>
        <v>1411</v>
      </c>
      <c r="X8" s="678">
        <f t="shared" si="36"/>
        <v>1417</v>
      </c>
      <c r="Y8" s="678">
        <f t="shared" si="36"/>
        <v>1510</v>
      </c>
      <c r="Z8" s="1244">
        <f t="shared" si="36"/>
        <v>1510</v>
      </c>
      <c r="AA8" s="678">
        <f t="shared" si="36"/>
        <v>1509</v>
      </c>
      <c r="AB8" s="678">
        <f t="shared" si="36"/>
        <v>1508</v>
      </c>
      <c r="AC8" s="678">
        <f t="shared" si="36"/>
        <v>3045</v>
      </c>
      <c r="AD8" s="678">
        <f t="shared" si="36"/>
        <v>2816</v>
      </c>
      <c r="AE8" s="1244">
        <f t="shared" si="36"/>
        <v>2816</v>
      </c>
      <c r="AF8" s="678">
        <f t="shared" si="36"/>
        <v>2210</v>
      </c>
      <c r="AG8" s="678">
        <f t="shared" si="36"/>
        <v>2073</v>
      </c>
      <c r="AH8" s="678">
        <f t="shared" si="36"/>
        <v>2010</v>
      </c>
      <c r="AI8" s="678">
        <f t="shared" ref="AI8:BG8" si="37">INDEX(MO_BSS_Debt,0,COLUMN())</f>
        <v>2000</v>
      </c>
      <c r="AJ8" s="1244">
        <f t="shared" si="37"/>
        <v>2000</v>
      </c>
      <c r="AK8" s="678">
        <f t="shared" si="37"/>
        <v>2000</v>
      </c>
      <c r="AL8" s="678">
        <f t="shared" si="37"/>
        <v>2001</v>
      </c>
      <c r="AM8" s="678">
        <f t="shared" si="37"/>
        <v>1990</v>
      </c>
      <c r="AN8" s="678">
        <f t="shared" si="37"/>
        <v>1988</v>
      </c>
      <c r="AO8" s="1244">
        <f t="shared" si="37"/>
        <v>1988</v>
      </c>
      <c r="AP8" s="678">
        <f t="shared" si="37"/>
        <v>1988</v>
      </c>
      <c r="AQ8" s="678">
        <f t="shared" si="37"/>
        <v>1989</v>
      </c>
      <c r="AR8" s="678">
        <f t="shared" si="37"/>
        <v>1990</v>
      </c>
      <c r="AS8" s="678">
        <f t="shared" si="37"/>
        <v>1991</v>
      </c>
      <c r="AT8" s="1244">
        <f t="shared" si="37"/>
        <v>1991</v>
      </c>
      <c r="AU8" s="678">
        <f t="shared" si="37"/>
        <v>6959</v>
      </c>
      <c r="AV8" s="678">
        <f t="shared" si="37"/>
        <v>6960</v>
      </c>
      <c r="AW8" s="678">
        <f t="shared" si="37"/>
        <v>6961</v>
      </c>
      <c r="AX8" s="678">
        <f t="shared" si="37"/>
        <v>6963</v>
      </c>
      <c r="AY8" s="1244">
        <f t="shared" si="37"/>
        <v>6963</v>
      </c>
      <c r="AZ8" s="678">
        <f t="shared" si="37"/>
        <v>6963</v>
      </c>
      <c r="BA8" s="678">
        <f t="shared" si="37"/>
        <v>11943</v>
      </c>
      <c r="BB8" s="678">
        <f t="shared" si="37"/>
        <v>10944</v>
      </c>
      <c r="BC8" s="678">
        <f t="shared" si="37"/>
        <v>10946</v>
      </c>
      <c r="BD8" s="1244">
        <f t="shared" si="37"/>
        <v>10946</v>
      </c>
      <c r="BE8" s="678">
        <f t="shared" si="37"/>
        <v>10947</v>
      </c>
      <c r="BF8" s="678">
        <f t="shared" si="37"/>
        <v>10949</v>
      </c>
      <c r="BG8" s="678">
        <f t="shared" si="37"/>
        <v>10950</v>
      </c>
      <c r="BH8" s="678">
        <f t="shared" ref="BH8:BN8" si="38">INDEX(MO_BSS_Debt,0,COLUMN())</f>
        <v>10953</v>
      </c>
      <c r="BI8" s="1244">
        <f t="shared" si="38"/>
        <v>10953</v>
      </c>
      <c r="BJ8" s="678">
        <f t="shared" si="38"/>
        <v>10954</v>
      </c>
      <c r="BK8" s="678">
        <f t="shared" si="38"/>
        <v>9705</v>
      </c>
      <c r="BL8" s="678">
        <f t="shared" si="38"/>
        <v>9706</v>
      </c>
      <c r="BM8" s="678">
        <f t="shared" si="38"/>
        <v>9709</v>
      </c>
      <c r="BN8" s="1244">
        <f t="shared" si="38"/>
        <v>9709</v>
      </c>
      <c r="BO8" s="678">
        <f t="shared" ref="BO8:BT8" si="39">INDEX(MO_BSS_Debt,0,COLUMN())</f>
        <v>9710</v>
      </c>
      <c r="BP8" s="678">
        <f t="shared" si="39"/>
        <v>8461</v>
      </c>
      <c r="BQ8" s="678">
        <f t="shared" si="39"/>
        <v>8462</v>
      </c>
      <c r="BR8" s="678">
        <f t="shared" si="39"/>
        <v>8463</v>
      </c>
      <c r="BS8" s="1244">
        <f t="shared" si="39"/>
        <v>8463</v>
      </c>
      <c r="BT8" s="678">
        <f t="shared" si="39"/>
        <v>8464</v>
      </c>
      <c r="BU8" s="678">
        <f>INDEX(MO_BSS_Debt,0,COLUMN())</f>
        <v>8466</v>
      </c>
      <c r="BV8" s="678">
        <f>INDEX(MO_BSS_Debt,0,COLUMN())</f>
        <v>8467</v>
      </c>
      <c r="BW8" s="678">
        <f>INDEX(MO_BSS_Debt,0,COLUMN())</f>
        <v>8468</v>
      </c>
      <c r="BX8" s="1244">
        <f>INDEX(MO_BSS_Debt,0,COLUMN())</f>
        <v>8468</v>
      </c>
      <c r="BY8" s="954">
        <f>INDEX(MO_BSS_Debt,0,COLUMN())</f>
        <v>8470</v>
      </c>
      <c r="BZ8" s="678">
        <f t="shared" ref="BZ8:CC8" si="40">INDEX(MO_BSS_Debt,0,COLUMN())</f>
        <v>8470</v>
      </c>
      <c r="CA8" s="678">
        <f t="shared" si="40"/>
        <v>8470</v>
      </c>
      <c r="CB8" s="678">
        <f t="shared" si="40"/>
        <v>8470</v>
      </c>
      <c r="CC8" s="1244">
        <f t="shared" si="40"/>
        <v>8470</v>
      </c>
      <c r="CD8" s="678">
        <f t="shared" ref="CD8:CK8" si="41">INDEX(MO_BSS_Debt,0,COLUMN())</f>
        <v>8470</v>
      </c>
      <c r="CE8" s="678">
        <f t="shared" si="41"/>
        <v>8470</v>
      </c>
      <c r="CF8" s="678">
        <f t="shared" si="41"/>
        <v>8470</v>
      </c>
      <c r="CG8" s="678">
        <f t="shared" si="41"/>
        <v>8470</v>
      </c>
      <c r="CH8" s="1244">
        <f t="shared" si="41"/>
        <v>8470</v>
      </c>
      <c r="CI8" s="1244">
        <f t="shared" si="41"/>
        <v>8470</v>
      </c>
      <c r="CJ8" s="1244">
        <f t="shared" si="41"/>
        <v>8470</v>
      </c>
      <c r="CK8" s="1244">
        <f t="shared" si="41"/>
        <v>8470</v>
      </c>
      <c r="CL8" s="678"/>
    </row>
    <row r="9" spans="1:90" s="993" customFormat="1" x14ac:dyDescent="0.3">
      <c r="A9" s="676" t="s">
        <v>562</v>
      </c>
      <c r="B9" s="685"/>
      <c r="C9" s="1244">
        <f t="shared" ref="C9:AH9" si="42">INDEX(MO_BSS_OL,0,COLUMN())</f>
        <v>0</v>
      </c>
      <c r="D9" s="1244">
        <f t="shared" si="42"/>
        <v>0</v>
      </c>
      <c r="E9" s="1244">
        <f t="shared" si="42"/>
        <v>0</v>
      </c>
      <c r="F9" s="1244">
        <f t="shared" si="42"/>
        <v>0</v>
      </c>
      <c r="G9" s="678">
        <f t="shared" si="42"/>
        <v>0</v>
      </c>
      <c r="H9" s="678">
        <f t="shared" si="42"/>
        <v>0</v>
      </c>
      <c r="I9" s="678">
        <f t="shared" si="42"/>
        <v>0</v>
      </c>
      <c r="J9" s="678">
        <f t="shared" si="42"/>
        <v>0</v>
      </c>
      <c r="K9" s="1244">
        <f t="shared" si="42"/>
        <v>0</v>
      </c>
      <c r="L9" s="678">
        <f t="shared" si="42"/>
        <v>0</v>
      </c>
      <c r="M9" s="678">
        <f t="shared" si="42"/>
        <v>0</v>
      </c>
      <c r="N9" s="678">
        <f t="shared" si="42"/>
        <v>0</v>
      </c>
      <c r="O9" s="678">
        <f t="shared" si="42"/>
        <v>0</v>
      </c>
      <c r="P9" s="1244">
        <f t="shared" si="42"/>
        <v>0</v>
      </c>
      <c r="Q9" s="678">
        <f t="shared" si="42"/>
        <v>0</v>
      </c>
      <c r="R9" s="678">
        <f t="shared" si="42"/>
        <v>0</v>
      </c>
      <c r="S9" s="678">
        <f t="shared" si="42"/>
        <v>0</v>
      </c>
      <c r="T9" s="678">
        <f t="shared" si="42"/>
        <v>0</v>
      </c>
      <c r="U9" s="1244">
        <f t="shared" si="42"/>
        <v>0</v>
      </c>
      <c r="V9" s="678">
        <f t="shared" si="42"/>
        <v>0</v>
      </c>
      <c r="W9" s="678">
        <f t="shared" si="42"/>
        <v>0</v>
      </c>
      <c r="X9" s="678">
        <f t="shared" si="42"/>
        <v>0</v>
      </c>
      <c r="Y9" s="678">
        <f t="shared" si="42"/>
        <v>0</v>
      </c>
      <c r="Z9" s="1244">
        <f t="shared" si="42"/>
        <v>0</v>
      </c>
      <c r="AA9" s="678">
        <f t="shared" si="42"/>
        <v>0</v>
      </c>
      <c r="AB9" s="678">
        <f t="shared" si="42"/>
        <v>0</v>
      </c>
      <c r="AC9" s="678">
        <f t="shared" si="42"/>
        <v>0</v>
      </c>
      <c r="AD9" s="678">
        <f t="shared" si="42"/>
        <v>0</v>
      </c>
      <c r="AE9" s="1244">
        <f t="shared" si="42"/>
        <v>0</v>
      </c>
      <c r="AF9" s="678">
        <f t="shared" si="42"/>
        <v>0</v>
      </c>
      <c r="AG9" s="678">
        <f t="shared" si="42"/>
        <v>0</v>
      </c>
      <c r="AH9" s="678">
        <f t="shared" si="42"/>
        <v>0</v>
      </c>
      <c r="AI9" s="678">
        <f t="shared" ref="AI9:BG9" si="43">INDEX(MO_BSS_OL,0,COLUMN())</f>
        <v>0</v>
      </c>
      <c r="AJ9" s="1244">
        <f t="shared" si="43"/>
        <v>0</v>
      </c>
      <c r="AK9" s="678">
        <f t="shared" si="43"/>
        <v>0</v>
      </c>
      <c r="AL9" s="678">
        <f t="shared" si="43"/>
        <v>0</v>
      </c>
      <c r="AM9" s="678">
        <f t="shared" si="43"/>
        <v>0</v>
      </c>
      <c r="AN9" s="678">
        <f t="shared" si="43"/>
        <v>0</v>
      </c>
      <c r="AO9" s="1244">
        <f t="shared" si="43"/>
        <v>0</v>
      </c>
      <c r="AP9" s="678">
        <f t="shared" si="43"/>
        <v>566</v>
      </c>
      <c r="AQ9" s="678">
        <f t="shared" si="43"/>
        <v>567</v>
      </c>
      <c r="AR9" s="678">
        <f t="shared" si="43"/>
        <v>558</v>
      </c>
      <c r="AS9" s="678">
        <f t="shared" si="43"/>
        <v>652</v>
      </c>
      <c r="AT9" s="1244">
        <f t="shared" si="43"/>
        <v>652</v>
      </c>
      <c r="AU9" s="678">
        <f t="shared" si="43"/>
        <v>619</v>
      </c>
      <c r="AV9" s="678">
        <f t="shared" si="43"/>
        <v>735</v>
      </c>
      <c r="AW9" s="678">
        <f t="shared" si="43"/>
        <v>720</v>
      </c>
      <c r="AX9" s="678">
        <f t="shared" si="43"/>
        <v>755</v>
      </c>
      <c r="AY9" s="1244">
        <f t="shared" si="43"/>
        <v>755</v>
      </c>
      <c r="AZ9" s="678">
        <f t="shared" si="43"/>
        <v>775</v>
      </c>
      <c r="BA9" s="678">
        <f t="shared" si="43"/>
        <v>848</v>
      </c>
      <c r="BB9" s="678">
        <f t="shared" si="43"/>
        <v>883</v>
      </c>
      <c r="BC9" s="678">
        <f t="shared" si="43"/>
        <v>885</v>
      </c>
      <c r="BD9" s="1244">
        <f t="shared" si="43"/>
        <v>885</v>
      </c>
      <c r="BE9" s="678">
        <f t="shared" si="43"/>
        <v>899</v>
      </c>
      <c r="BF9" s="678">
        <f t="shared" si="43"/>
        <v>888</v>
      </c>
      <c r="BG9" s="678">
        <f t="shared" si="43"/>
        <v>954</v>
      </c>
      <c r="BH9" s="678">
        <f t="shared" ref="BH9:BN9" si="44">INDEX(MO_BSS_OL,0,COLUMN())</f>
        <v>1078</v>
      </c>
      <c r="BI9" s="1244">
        <f t="shared" si="44"/>
        <v>1078</v>
      </c>
      <c r="BJ9" s="678">
        <f t="shared" si="44"/>
        <v>1126</v>
      </c>
      <c r="BK9" s="678">
        <f t="shared" si="44"/>
        <v>1249</v>
      </c>
      <c r="BL9" s="678">
        <f t="shared" si="44"/>
        <v>1321</v>
      </c>
      <c r="BM9" s="678">
        <f t="shared" si="44"/>
        <v>1347</v>
      </c>
      <c r="BN9" s="1244">
        <f t="shared" si="44"/>
        <v>1347</v>
      </c>
      <c r="BO9" s="678">
        <f t="shared" ref="BO9:BT9" si="45">INDEX(MO_BSS_OL,0,COLUMN())</f>
        <v>1527</v>
      </c>
      <c r="BP9" s="678">
        <f t="shared" si="45"/>
        <v>1554</v>
      </c>
      <c r="BQ9" s="678">
        <f t="shared" si="45"/>
        <v>1763</v>
      </c>
      <c r="BR9" s="678">
        <f t="shared" si="45"/>
        <v>1807</v>
      </c>
      <c r="BS9" s="1244">
        <f t="shared" si="45"/>
        <v>1807</v>
      </c>
      <c r="BT9" s="678">
        <f t="shared" si="45"/>
        <v>1821</v>
      </c>
      <c r="BU9" s="678">
        <f>INDEX(MO_BSS_OL,0,COLUMN())</f>
        <v>2132</v>
      </c>
      <c r="BV9" s="678">
        <f>INDEX(MO_BSS_OL,0,COLUMN())</f>
        <v>2355</v>
      </c>
      <c r="BW9" s="678">
        <f>INDEX(MO_BSS_OL,0,COLUMN())</f>
        <v>2944</v>
      </c>
      <c r="BX9" s="1244">
        <f>INDEX(MO_BSS_OL,0,COLUMN())</f>
        <v>2944</v>
      </c>
      <c r="BY9" s="954">
        <f>INDEX(MO_BSS_OL,0,COLUMN())</f>
        <v>4344</v>
      </c>
      <c r="BZ9" s="678">
        <f t="shared" ref="BZ9:CC9" si="46">INDEX(MO_BSS_OL,0,COLUMN())</f>
        <v>4344</v>
      </c>
      <c r="CA9" s="678">
        <f t="shared" si="46"/>
        <v>4344</v>
      </c>
      <c r="CB9" s="678">
        <f t="shared" si="46"/>
        <v>4344</v>
      </c>
      <c r="CC9" s="1244">
        <f t="shared" si="46"/>
        <v>4344</v>
      </c>
      <c r="CD9" s="678">
        <f t="shared" ref="CD9:CK9" si="47">INDEX(MO_BSS_OL,0,COLUMN())</f>
        <v>4344</v>
      </c>
      <c r="CE9" s="678">
        <f t="shared" si="47"/>
        <v>4344</v>
      </c>
      <c r="CF9" s="678">
        <f t="shared" si="47"/>
        <v>4344</v>
      </c>
      <c r="CG9" s="678">
        <f t="shared" si="47"/>
        <v>4344</v>
      </c>
      <c r="CH9" s="1244">
        <f t="shared" si="47"/>
        <v>4344</v>
      </c>
      <c r="CI9" s="1244">
        <f t="shared" si="47"/>
        <v>4344</v>
      </c>
      <c r="CJ9" s="1244">
        <f t="shared" si="47"/>
        <v>4344</v>
      </c>
      <c r="CK9" s="1244">
        <f t="shared" si="47"/>
        <v>4344</v>
      </c>
      <c r="CL9" s="678"/>
    </row>
    <row r="10" spans="1:90" s="993" customFormat="1" x14ac:dyDescent="0.3">
      <c r="A10" s="676" t="s">
        <v>138</v>
      </c>
      <c r="B10" s="685"/>
      <c r="C10" s="1244">
        <f t="shared" ref="C10:AH10" si="48">INDEX(MO_VA_EVCalc_NCI,0,COLUMN())+INDEX(MO_VA_EVCalc_Prefs,0,COLUMN())+INDEX(MO_VA_EVCalc_Other,0,COLUMN())</f>
        <v>0</v>
      </c>
      <c r="D10" s="1244">
        <f t="shared" si="48"/>
        <v>0</v>
      </c>
      <c r="E10" s="1244">
        <f t="shared" si="48"/>
        <v>0</v>
      </c>
      <c r="F10" s="1244">
        <f t="shared" si="48"/>
        <v>0</v>
      </c>
      <c r="G10" s="678">
        <f t="shared" si="48"/>
        <v>0</v>
      </c>
      <c r="H10" s="678">
        <f t="shared" si="48"/>
        <v>0</v>
      </c>
      <c r="I10" s="678">
        <f t="shared" si="48"/>
        <v>0</v>
      </c>
      <c r="J10" s="678">
        <f t="shared" si="48"/>
        <v>0</v>
      </c>
      <c r="K10" s="1244">
        <f t="shared" si="48"/>
        <v>0</v>
      </c>
      <c r="L10" s="678">
        <f t="shared" si="48"/>
        <v>0</v>
      </c>
      <c r="M10" s="678">
        <f t="shared" si="48"/>
        <v>0</v>
      </c>
      <c r="N10" s="678">
        <f t="shared" si="48"/>
        <v>0</v>
      </c>
      <c r="O10" s="678">
        <f t="shared" si="48"/>
        <v>0</v>
      </c>
      <c r="P10" s="1244">
        <f t="shared" si="48"/>
        <v>0</v>
      </c>
      <c r="Q10" s="678">
        <f t="shared" si="48"/>
        <v>0</v>
      </c>
      <c r="R10" s="678">
        <f t="shared" si="48"/>
        <v>0</v>
      </c>
      <c r="S10" s="678">
        <f t="shared" si="48"/>
        <v>0</v>
      </c>
      <c r="T10" s="678">
        <f t="shared" si="48"/>
        <v>0</v>
      </c>
      <c r="U10" s="1244">
        <f t="shared" si="48"/>
        <v>0</v>
      </c>
      <c r="V10" s="678">
        <f t="shared" si="48"/>
        <v>0</v>
      </c>
      <c r="W10" s="678">
        <f t="shared" si="48"/>
        <v>0</v>
      </c>
      <c r="X10" s="678">
        <f t="shared" si="48"/>
        <v>0</v>
      </c>
      <c r="Y10" s="678">
        <f t="shared" si="48"/>
        <v>0</v>
      </c>
      <c r="Z10" s="1244">
        <f t="shared" si="48"/>
        <v>0</v>
      </c>
      <c r="AA10" s="678">
        <f t="shared" si="48"/>
        <v>0</v>
      </c>
      <c r="AB10" s="678">
        <f t="shared" si="48"/>
        <v>0</v>
      </c>
      <c r="AC10" s="678">
        <f t="shared" si="48"/>
        <v>0</v>
      </c>
      <c r="AD10" s="678">
        <f t="shared" si="48"/>
        <v>0</v>
      </c>
      <c r="AE10" s="1244">
        <f t="shared" si="48"/>
        <v>0</v>
      </c>
      <c r="AF10" s="678">
        <f t="shared" si="48"/>
        <v>0</v>
      </c>
      <c r="AG10" s="678">
        <f t="shared" si="48"/>
        <v>0</v>
      </c>
      <c r="AH10" s="678">
        <f t="shared" si="48"/>
        <v>0</v>
      </c>
      <c r="AI10" s="678">
        <f t="shared" ref="AI10:BG10" si="49">INDEX(MO_VA_EVCalc_NCI,0,COLUMN())+INDEX(MO_VA_EVCalc_Prefs,0,COLUMN())+INDEX(MO_VA_EVCalc_Other,0,COLUMN())</f>
        <v>0</v>
      </c>
      <c r="AJ10" s="1244">
        <f t="shared" si="49"/>
        <v>0</v>
      </c>
      <c r="AK10" s="678">
        <f t="shared" si="49"/>
        <v>0</v>
      </c>
      <c r="AL10" s="678">
        <f t="shared" si="49"/>
        <v>0</v>
      </c>
      <c r="AM10" s="678">
        <f t="shared" si="49"/>
        <v>0</v>
      </c>
      <c r="AN10" s="678">
        <f t="shared" si="49"/>
        <v>0</v>
      </c>
      <c r="AO10" s="1244">
        <f t="shared" si="49"/>
        <v>0</v>
      </c>
      <c r="AP10" s="678">
        <f t="shared" si="49"/>
        <v>0</v>
      </c>
      <c r="AQ10" s="678">
        <f t="shared" si="49"/>
        <v>0</v>
      </c>
      <c r="AR10" s="678">
        <f t="shared" si="49"/>
        <v>0</v>
      </c>
      <c r="AS10" s="678">
        <f t="shared" si="49"/>
        <v>0</v>
      </c>
      <c r="AT10" s="1244">
        <f t="shared" si="49"/>
        <v>0</v>
      </c>
      <c r="AU10" s="678">
        <f t="shared" si="49"/>
        <v>0</v>
      </c>
      <c r="AV10" s="678">
        <f t="shared" si="49"/>
        <v>0</v>
      </c>
      <c r="AW10" s="678">
        <f t="shared" si="49"/>
        <v>0</v>
      </c>
      <c r="AX10" s="678">
        <f t="shared" si="49"/>
        <v>0</v>
      </c>
      <c r="AY10" s="1244">
        <f t="shared" si="49"/>
        <v>0</v>
      </c>
      <c r="AZ10" s="678">
        <f t="shared" si="49"/>
        <v>0</v>
      </c>
      <c r="BA10" s="678">
        <f t="shared" si="49"/>
        <v>0</v>
      </c>
      <c r="BB10" s="678">
        <f t="shared" si="49"/>
        <v>0</v>
      </c>
      <c r="BC10" s="678">
        <f t="shared" si="49"/>
        <v>0</v>
      </c>
      <c r="BD10" s="1244">
        <f t="shared" si="49"/>
        <v>0</v>
      </c>
      <c r="BE10" s="678">
        <f t="shared" si="49"/>
        <v>0</v>
      </c>
      <c r="BF10" s="678">
        <f t="shared" si="49"/>
        <v>0</v>
      </c>
      <c r="BG10" s="678">
        <f t="shared" si="49"/>
        <v>0</v>
      </c>
      <c r="BH10" s="678">
        <f t="shared" ref="BH10:BN10" si="50">INDEX(MO_VA_EVCalc_NCI,0,COLUMN())+INDEX(MO_VA_EVCalc_Prefs,0,COLUMN())+INDEX(MO_VA_EVCalc_Other,0,COLUMN())</f>
        <v>0</v>
      </c>
      <c r="BI10" s="1244">
        <f t="shared" si="50"/>
        <v>0</v>
      </c>
      <c r="BJ10" s="678">
        <f t="shared" si="50"/>
        <v>0</v>
      </c>
      <c r="BK10" s="678">
        <f t="shared" si="50"/>
        <v>0</v>
      </c>
      <c r="BL10" s="678">
        <f t="shared" si="50"/>
        <v>0</v>
      </c>
      <c r="BM10" s="678">
        <f t="shared" si="50"/>
        <v>0</v>
      </c>
      <c r="BN10" s="1244">
        <f t="shared" si="50"/>
        <v>0</v>
      </c>
      <c r="BO10" s="678">
        <f t="shared" ref="BO10:BT10" si="51">INDEX(MO_VA_EVCalc_NCI,0,COLUMN())+INDEX(MO_VA_EVCalc_Prefs,0,COLUMN())+INDEX(MO_VA_EVCalc_Other,0,COLUMN())</f>
        <v>0</v>
      </c>
      <c r="BP10" s="678">
        <f t="shared" si="51"/>
        <v>0</v>
      </c>
      <c r="BQ10" s="678">
        <f t="shared" si="51"/>
        <v>0</v>
      </c>
      <c r="BR10" s="678">
        <f t="shared" si="51"/>
        <v>0</v>
      </c>
      <c r="BS10" s="1244">
        <f t="shared" si="51"/>
        <v>0</v>
      </c>
      <c r="BT10" s="678">
        <f t="shared" si="51"/>
        <v>0</v>
      </c>
      <c r="BU10" s="678">
        <f>INDEX(MO_VA_EVCalc_NCI,0,COLUMN())+INDEX(MO_VA_EVCalc_Prefs,0,COLUMN())+INDEX(MO_VA_EVCalc_Other,0,COLUMN())</f>
        <v>0</v>
      </c>
      <c r="BV10" s="678">
        <f>INDEX(MO_VA_EVCalc_NCI,0,COLUMN())+INDEX(MO_VA_EVCalc_Prefs,0,COLUMN())+INDEX(MO_VA_EVCalc_Other,0,COLUMN())</f>
        <v>0</v>
      </c>
      <c r="BW10" s="678">
        <f>INDEX(MO_VA_EVCalc_NCI,0,COLUMN())+INDEX(MO_VA_EVCalc_Prefs,0,COLUMN())+INDEX(MO_VA_EVCalc_Other,0,COLUMN())</f>
        <v>0</v>
      </c>
      <c r="BX10" s="1244">
        <f>INDEX(MO_VA_EVCalc_NCI,0,COLUMN())+INDEX(MO_VA_EVCalc_Prefs,0,COLUMN())+INDEX(MO_VA_EVCalc_Other,0,COLUMN())</f>
        <v>0</v>
      </c>
      <c r="BY10" s="954">
        <f>INDEX(MO_VA_EVCalc_NCI,0,COLUMN())+INDEX(MO_VA_EVCalc_Prefs,0,COLUMN())+INDEX(MO_VA_EVCalc_Other,0,COLUMN())</f>
        <v>0</v>
      </c>
      <c r="BZ10" s="678">
        <f t="shared" ref="BZ10:CC10" si="52">INDEX(MO_VA_EVCalc_NCI,0,COLUMN())+INDEX(MO_VA_EVCalc_Prefs,0,COLUMN())+INDEX(MO_VA_EVCalc_Other,0,COLUMN())</f>
        <v>0</v>
      </c>
      <c r="CA10" s="678">
        <f t="shared" si="52"/>
        <v>0</v>
      </c>
      <c r="CB10" s="678">
        <f t="shared" si="52"/>
        <v>0</v>
      </c>
      <c r="CC10" s="1244">
        <f t="shared" si="52"/>
        <v>0</v>
      </c>
      <c r="CD10" s="678">
        <f t="shared" ref="CD10:CK10" si="53">INDEX(MO_VA_EVCalc_NCI,0,COLUMN())+INDEX(MO_VA_EVCalc_Prefs,0,COLUMN())+INDEX(MO_VA_EVCalc_Other,0,COLUMN())</f>
        <v>0</v>
      </c>
      <c r="CE10" s="678">
        <f t="shared" si="53"/>
        <v>0</v>
      </c>
      <c r="CF10" s="678">
        <f t="shared" si="53"/>
        <v>0</v>
      </c>
      <c r="CG10" s="678">
        <f t="shared" si="53"/>
        <v>0</v>
      </c>
      <c r="CH10" s="1244">
        <f t="shared" si="53"/>
        <v>0</v>
      </c>
      <c r="CI10" s="1244">
        <f t="shared" si="53"/>
        <v>0</v>
      </c>
      <c r="CJ10" s="1244">
        <f t="shared" si="53"/>
        <v>0</v>
      </c>
      <c r="CK10" s="1244">
        <f t="shared" si="53"/>
        <v>0</v>
      </c>
      <c r="CL10" s="678"/>
    </row>
    <row r="11" spans="1:90" s="992" customFormat="1" x14ac:dyDescent="0.3">
      <c r="A11" s="686" t="str">
        <f>"Enterprise Value - "&amp;SP.ValuationToggle</f>
        <v>Enterprise Value - EoP</v>
      </c>
      <c r="B11" s="687"/>
      <c r="C11" s="1245">
        <f t="shared" ref="C11:AH11" si="54">INDEX(SP_CS_MarketCap,0,COLUMN())-INDEX(SP_CS_Cash,0,COLUMN())+INDEX(SP_CS_Debt,0,COLUMN())+INDEX(SP_CS_OL,0,COLUMN())+INDEX(SP_CS_EVCalc_Other,0,COLUMN())</f>
        <v>3051.007089700001</v>
      </c>
      <c r="D11" s="1245">
        <f t="shared" si="54"/>
        <v>6937.1824468900013</v>
      </c>
      <c r="E11" s="1245">
        <f t="shared" si="54"/>
        <v>11837.835775760001</v>
      </c>
      <c r="F11" s="1245">
        <f t="shared" si="54"/>
        <v>6140.6258976000017</v>
      </c>
      <c r="G11" s="688">
        <f t="shared" si="54"/>
        <v>5033.3401522399981</v>
      </c>
      <c r="H11" s="688">
        <f t="shared" si="54"/>
        <v>5043.6665919600027</v>
      </c>
      <c r="I11" s="688">
        <f t="shared" si="54"/>
        <v>4207.366735399999</v>
      </c>
      <c r="J11" s="688">
        <f t="shared" si="54"/>
        <v>3912.3302508800007</v>
      </c>
      <c r="K11" s="1245">
        <f t="shared" si="54"/>
        <v>3958.9491308799998</v>
      </c>
      <c r="L11" s="688">
        <f t="shared" si="54"/>
        <v>4710.482441619999</v>
      </c>
      <c r="M11" s="688">
        <f t="shared" si="54"/>
        <v>5156.6247609400034</v>
      </c>
      <c r="N11" s="688">
        <f t="shared" si="54"/>
        <v>6358.3613605199944</v>
      </c>
      <c r="O11" s="688">
        <f t="shared" si="54"/>
        <v>5770.4572184799981</v>
      </c>
      <c r="P11" s="1245">
        <f t="shared" si="54"/>
        <v>5735.1029384799986</v>
      </c>
      <c r="Q11" s="688">
        <f t="shared" si="54"/>
        <v>7517.2930415400024</v>
      </c>
      <c r="R11" s="688">
        <f t="shared" si="54"/>
        <v>7468.297950719998</v>
      </c>
      <c r="S11" s="688">
        <f t="shared" si="54"/>
        <v>7244.1000415400022</v>
      </c>
      <c r="T11" s="688">
        <f t="shared" si="54"/>
        <v>7489.6075824</v>
      </c>
      <c r="U11" s="1245">
        <f t="shared" si="54"/>
        <v>7451.1979824000009</v>
      </c>
      <c r="V11" s="688">
        <f t="shared" si="54"/>
        <v>9278.0061800000003</v>
      </c>
      <c r="W11" s="688">
        <f t="shared" si="54"/>
        <v>7795.1382599999997</v>
      </c>
      <c r="X11" s="688">
        <f t="shared" si="54"/>
        <v>13089.32819</v>
      </c>
      <c r="Y11" s="688">
        <f t="shared" si="54"/>
        <v>13841.969999999998</v>
      </c>
      <c r="Z11" s="1245">
        <f t="shared" si="54"/>
        <v>13021.849999999999</v>
      </c>
      <c r="AA11" s="688">
        <f t="shared" si="54"/>
        <v>17895.349999999999</v>
      </c>
      <c r="AB11" s="688">
        <f t="shared" si="54"/>
        <v>32602</v>
      </c>
      <c r="AC11" s="688">
        <f t="shared" si="54"/>
        <v>42802.48</v>
      </c>
      <c r="AD11" s="688">
        <f t="shared" si="54"/>
        <v>72151.839999999997</v>
      </c>
      <c r="AE11" s="1245">
        <f t="shared" si="54"/>
        <v>72261.859999999986</v>
      </c>
      <c r="AF11" s="688">
        <f t="shared" si="54"/>
        <v>63590.399999999994</v>
      </c>
      <c r="AG11" s="688">
        <f t="shared" si="54"/>
        <v>99926.09</v>
      </c>
      <c r="AH11" s="688">
        <f t="shared" si="54"/>
        <v>125332.24</v>
      </c>
      <c r="AI11" s="688">
        <f t="shared" ref="AI11:BG11" si="55">INDEX(SP_CS_MarketCap,0,COLUMN())-INDEX(SP_CS_Cash,0,COLUMN())+INDEX(SP_CS_Debt,0,COLUMN())+INDEX(SP_CS_OL,0,COLUMN())+INDEX(SP_CS_EVCalc_Other,0,COLUMN())</f>
        <v>147320.16</v>
      </c>
      <c r="AJ11" s="1245">
        <f t="shared" si="55"/>
        <v>149990.07999999999</v>
      </c>
      <c r="AK11" s="688">
        <f t="shared" si="55"/>
        <v>136835.24000000002</v>
      </c>
      <c r="AL11" s="688">
        <f t="shared" si="55"/>
        <v>147127.51</v>
      </c>
      <c r="AM11" s="688">
        <f t="shared" si="55"/>
        <v>121680</v>
      </c>
      <c r="AN11" s="688">
        <f t="shared" si="55"/>
        <v>79198.239999999991</v>
      </c>
      <c r="AO11" s="1245">
        <f t="shared" si="55"/>
        <v>80159.969999999987</v>
      </c>
      <c r="AP11" s="688">
        <f t="shared" si="55"/>
        <v>105577.94</v>
      </c>
      <c r="AQ11" s="688">
        <f t="shared" si="55"/>
        <v>102158.19999999998</v>
      </c>
      <c r="AR11" s="688">
        <f t="shared" si="55"/>
        <v>118639</v>
      </c>
      <c r="AS11" s="688">
        <f t="shared" si="55"/>
        <v>144394.01</v>
      </c>
      <c r="AT11" s="1245">
        <f t="shared" si="55"/>
        <v>144394.01</v>
      </c>
      <c r="AU11" s="688">
        <f t="shared" si="55"/>
        <v>177164.58</v>
      </c>
      <c r="AV11" s="688">
        <f t="shared" si="55"/>
        <v>262913.12</v>
      </c>
      <c r="AW11" s="688">
        <f t="shared" si="55"/>
        <v>313900.16000000003</v>
      </c>
      <c r="AX11" s="688">
        <f t="shared" si="55"/>
        <v>324537.88</v>
      </c>
      <c r="AY11" s="1245">
        <f t="shared" si="55"/>
        <v>324018.29000000004</v>
      </c>
      <c r="AZ11" s="688">
        <f t="shared" si="55"/>
        <v>383706.66</v>
      </c>
      <c r="BA11" s="688">
        <f t="shared" si="55"/>
        <v>487436.65000000008</v>
      </c>
      <c r="BB11" s="688">
        <f t="shared" si="55"/>
        <v>642186.47</v>
      </c>
      <c r="BC11" s="688">
        <f t="shared" si="55"/>
        <v>572357.80000000005</v>
      </c>
      <c r="BD11" s="1245">
        <f t="shared" si="55"/>
        <v>571901</v>
      </c>
      <c r="BE11" s="688">
        <f t="shared" si="55"/>
        <v>461674.45</v>
      </c>
      <c r="BF11" s="688">
        <f t="shared" si="55"/>
        <v>450691.3</v>
      </c>
      <c r="BG11" s="688">
        <f t="shared" si="55"/>
        <v>342397.56</v>
      </c>
      <c r="BH11" s="688">
        <f t="shared" ref="BH11:BN11" si="56">INDEX(SP_CS_MarketCap,0,COLUMN())-INDEX(SP_CS_Cash,0,COLUMN())+INDEX(SP_CS_Debt,0,COLUMN())+INDEX(SP_CS_OL,0,COLUMN())+INDEX(SP_CS_EVCalc_Other,0,COLUMN())</f>
        <v>473760.98</v>
      </c>
      <c r="BI11" s="1245">
        <f t="shared" si="56"/>
        <v>473760.98</v>
      </c>
      <c r="BJ11" s="688">
        <f t="shared" si="56"/>
        <v>688542.57000000007</v>
      </c>
      <c r="BK11" s="688">
        <f t="shared" si="56"/>
        <v>1161343.5</v>
      </c>
      <c r="BL11" s="688">
        <f t="shared" si="56"/>
        <v>1002006</v>
      </c>
      <c r="BM11" s="688">
        <f t="shared" si="56"/>
        <v>1503523.2799999998</v>
      </c>
      <c r="BN11" s="1245">
        <f t="shared" si="56"/>
        <v>1503523.2799999998</v>
      </c>
      <c r="BO11" s="688">
        <f t="shared" ref="BO11:BT11" si="57">INDEX(SP_CS_MarketCap,0,COLUMN())-INDEX(SP_CS_Cash,0,COLUMN())+INDEX(SP_CS_Debt,0,COLUMN())+INDEX(SP_CS_OL,0,COLUMN())+INDEX(SP_CS_EVCalc_Other,0,COLUMN())</f>
        <v>2160891.1</v>
      </c>
      <c r="BP11" s="688">
        <f t="shared" si="57"/>
        <v>2782720.92</v>
      </c>
      <c r="BQ11" s="688">
        <f t="shared" si="57"/>
        <v>3474711.46</v>
      </c>
      <c r="BR11" s="688">
        <f t="shared" si="57"/>
        <v>3488918.2800000003</v>
      </c>
      <c r="BS11" s="1245">
        <f t="shared" si="57"/>
        <v>3488918.2800000003</v>
      </c>
      <c r="BT11" s="688">
        <f t="shared" si="57"/>
        <v>2111190.13</v>
      </c>
      <c r="BU11" s="688">
        <f>INDEX(SP_CS_MarketCap,0,COLUMN())-INDEX(SP_CS_Cash,0,COLUMN())+INDEX(SP_CS_Debt,0,COLUMN())+INDEX(SP_CS_OL,0,COLUMN())+INDEX(SP_CS_EVCalc_Other,0,COLUMN())</f>
        <v>4206812.5</v>
      </c>
      <c r="BV11" s="688">
        <f>INDEX(SP_CS_MarketCap,0,COLUMN())-INDEX(SP_CS_Cash,0,COLUMN())+INDEX(SP_CS_Debt,0,COLUMN())+INDEX(SP_CS_OL,0,COLUMN())+INDEX(SP_CS_EVCalc_Other,0,COLUMN())</f>
        <v>4506319.8599999994</v>
      </c>
      <c r="BW11" s="688">
        <f>INDEX(SP_CS_MarketCap,0,COLUMN())-INDEX(SP_CS_Cash,0,COLUMN())+INDEX(SP_CS_Debt,0,COLUMN())+INDEX(SP_CS_OL,0,COLUMN())+INDEX(SP_CS_EVCalc_Other,0,COLUMN())</f>
        <v>4534009.4399999995</v>
      </c>
      <c r="BX11" s="1245">
        <f>INDEX(SP_CS_MarketCap,0,COLUMN())-INDEX(SP_CS_Cash,0,COLUMN())+INDEX(SP_CS_Debt,0,COLUMN())+INDEX(SP_CS_OL,0,COLUMN())+INDEX(SP_CS_EVCalc_Other,0,COLUMN())</f>
        <v>4534009.4399999995</v>
      </c>
      <c r="BY11" s="964">
        <f>INDEX(SP_CS_MarketCap,0,COLUMN())-INDEX(SP_CS_Cash,0,COLUMN())+INDEX(SP_CS_Debt,0,COLUMN())+INDEX(SP_CS_OL,0,COLUMN())+INDEX(SP_CS_EVCalc_Other,0,COLUMN())</f>
        <v>4998618.0200000005</v>
      </c>
      <c r="BZ11" s="688">
        <f t="shared" ref="BZ11:CC11" si="58">INDEX(SP_CS_MarketCap,0,COLUMN())-INDEX(SP_CS_Cash,0,COLUMN())+INDEX(SP_CS_Debt,0,COLUMN())+INDEX(SP_CS_OL,0,COLUMN())+INDEX(SP_CS_EVCalc_Other,0,COLUMN())</f>
        <v>5346412.6779641593</v>
      </c>
      <c r="CA11" s="688">
        <f t="shared" si="58"/>
        <v>5314690.7655891757</v>
      </c>
      <c r="CB11" s="688">
        <f t="shared" si="58"/>
        <v>5264673.8690638887</v>
      </c>
      <c r="CC11" s="1245">
        <f t="shared" si="58"/>
        <v>5264673.8690638887</v>
      </c>
      <c r="CD11" s="688">
        <f t="shared" ref="CD11:CK11" si="59">INDEX(SP_CS_MarketCap,0,COLUMN())-INDEX(SP_CS_Cash,0,COLUMN())+INDEX(SP_CS_Debt,0,COLUMN())+INDEX(SP_CS_OL,0,COLUMN())+INDEX(SP_CS_EVCalc_Other,0,COLUMN())</f>
        <v>5200120.8463177262</v>
      </c>
      <c r="CE11" s="688">
        <f t="shared" si="59"/>
        <v>5146744.4286882663</v>
      </c>
      <c r="CF11" s="688">
        <f t="shared" si="59"/>
        <v>5102364.4669326749</v>
      </c>
      <c r="CG11" s="688">
        <f t="shared" si="59"/>
        <v>5035385.8585048048</v>
      </c>
      <c r="CH11" s="1245">
        <f t="shared" si="59"/>
        <v>5035385.8585048048</v>
      </c>
      <c r="CI11" s="1245">
        <f t="shared" si="59"/>
        <v>4747773.7418902721</v>
      </c>
      <c r="CJ11" s="1245">
        <f t="shared" si="59"/>
        <v>4397787.7498098165</v>
      </c>
      <c r="CK11" s="1245">
        <f t="shared" si="59"/>
        <v>3974913.9141277322</v>
      </c>
      <c r="CL11" s="574"/>
    </row>
    <row r="12" spans="1:90" s="994" customFormat="1" x14ac:dyDescent="0.3">
      <c r="A12" s="196"/>
      <c r="B12" s="200"/>
      <c r="C12" s="1246"/>
      <c r="D12" s="1246"/>
      <c r="E12" s="1246"/>
      <c r="F12" s="1246"/>
      <c r="G12" s="883"/>
      <c r="H12" s="883"/>
      <c r="I12" s="883"/>
      <c r="J12" s="883"/>
      <c r="K12" s="1246"/>
      <c r="L12" s="883"/>
      <c r="M12" s="883"/>
      <c r="N12" s="883"/>
      <c r="O12" s="883"/>
      <c r="P12" s="1246"/>
      <c r="Q12" s="883"/>
      <c r="R12" s="883"/>
      <c r="S12" s="883"/>
      <c r="T12" s="883"/>
      <c r="U12" s="1246"/>
      <c r="V12" s="883"/>
      <c r="W12" s="883"/>
      <c r="X12" s="883"/>
      <c r="Y12" s="883"/>
      <c r="Z12" s="1246"/>
      <c r="AA12" s="883"/>
      <c r="AB12" s="883"/>
      <c r="AC12" s="883"/>
      <c r="AD12" s="883"/>
      <c r="AE12" s="1246"/>
      <c r="AF12" s="883"/>
      <c r="AG12" s="883"/>
      <c r="AH12" s="883"/>
      <c r="AI12" s="883"/>
      <c r="AJ12" s="1246"/>
      <c r="AK12" s="883"/>
      <c r="AL12" s="883"/>
      <c r="AM12" s="883"/>
      <c r="AN12" s="883"/>
      <c r="AO12" s="1246"/>
      <c r="AP12" s="883"/>
      <c r="AQ12" s="883"/>
      <c r="AR12" s="883"/>
      <c r="AS12" s="883"/>
      <c r="AT12" s="1246"/>
      <c r="AU12" s="883"/>
      <c r="AV12" s="883"/>
      <c r="AW12" s="883"/>
      <c r="AX12" s="883"/>
      <c r="AY12" s="1246"/>
      <c r="AZ12" s="883"/>
      <c r="BA12" s="883"/>
      <c r="BB12" s="883"/>
      <c r="BC12" s="883"/>
      <c r="BD12" s="1246"/>
      <c r="BE12" s="883"/>
      <c r="BF12" s="883"/>
      <c r="BG12" s="883"/>
      <c r="BH12" s="883"/>
      <c r="BI12" s="1246"/>
      <c r="BJ12" s="883"/>
      <c r="BK12" s="883"/>
      <c r="BL12" s="883"/>
      <c r="BM12" s="883"/>
      <c r="BN12" s="1246"/>
      <c r="BO12" s="883"/>
      <c r="BP12" s="883"/>
      <c r="BQ12" s="883"/>
      <c r="BR12" s="883"/>
      <c r="BS12" s="1246"/>
      <c r="BT12" s="883"/>
      <c r="BU12" s="883"/>
      <c r="BV12" s="883"/>
      <c r="BW12" s="883"/>
      <c r="BX12" s="1246"/>
      <c r="BY12" s="1044"/>
      <c r="BZ12" s="883"/>
      <c r="CA12" s="883"/>
      <c r="CB12" s="883"/>
      <c r="CC12" s="1246"/>
      <c r="CD12" s="883"/>
      <c r="CE12" s="883"/>
      <c r="CF12" s="883"/>
      <c r="CG12" s="883"/>
      <c r="CH12" s="1246"/>
      <c r="CI12" s="1246"/>
      <c r="CJ12" s="1246"/>
      <c r="CK12" s="1246"/>
      <c r="CL12" s="883"/>
    </row>
    <row r="13" spans="1:90" x14ac:dyDescent="0.3">
      <c r="A13" s="126" t="s">
        <v>322</v>
      </c>
      <c r="B13" s="884"/>
      <c r="C13" s="884"/>
      <c r="D13" s="884"/>
      <c r="E13" s="884"/>
      <c r="F13" s="884"/>
      <c r="G13" s="884"/>
      <c r="H13" s="884"/>
      <c r="I13" s="884"/>
      <c r="J13" s="884"/>
      <c r="K13" s="884"/>
      <c r="L13" s="884"/>
      <c r="M13" s="884"/>
      <c r="N13" s="884"/>
      <c r="O13" s="884"/>
      <c r="P13" s="884"/>
      <c r="Q13" s="884"/>
      <c r="R13" s="884"/>
      <c r="S13" s="884"/>
      <c r="T13" s="884"/>
      <c r="U13" s="884"/>
      <c r="V13" s="884"/>
      <c r="W13" s="884"/>
      <c r="X13" s="884"/>
      <c r="Y13" s="884"/>
      <c r="Z13" s="884"/>
      <c r="AA13" s="884"/>
      <c r="AB13" s="884"/>
      <c r="AC13" s="884"/>
      <c r="AD13" s="884"/>
      <c r="AE13" s="884"/>
      <c r="AF13" s="884"/>
      <c r="AG13" s="884"/>
      <c r="AH13" s="884"/>
      <c r="AI13" s="884"/>
      <c r="AJ13" s="884"/>
      <c r="AK13" s="884"/>
      <c r="AL13" s="884"/>
      <c r="AM13" s="884"/>
      <c r="AN13" s="884"/>
      <c r="AO13" s="884"/>
      <c r="AP13" s="884"/>
      <c r="AQ13" s="884"/>
      <c r="AR13" s="884"/>
      <c r="AS13" s="884"/>
      <c r="AT13" s="884"/>
      <c r="AU13" s="884"/>
      <c r="AV13" s="884"/>
      <c r="AW13" s="884"/>
      <c r="AX13" s="884"/>
      <c r="AY13" s="884"/>
      <c r="AZ13" s="884"/>
      <c r="BA13" s="884"/>
      <c r="BB13" s="884"/>
      <c r="BC13" s="884"/>
      <c r="BD13" s="884"/>
      <c r="BE13" s="884"/>
      <c r="BF13" s="884"/>
      <c r="BG13" s="884"/>
      <c r="BH13" s="884"/>
      <c r="BI13" s="884"/>
      <c r="BJ13" s="884"/>
      <c r="BK13" s="884"/>
      <c r="BL13" s="884"/>
      <c r="BM13" s="884"/>
      <c r="BN13" s="884"/>
      <c r="BO13" s="884"/>
      <c r="BP13" s="884"/>
      <c r="BQ13" s="884"/>
      <c r="BR13" s="884"/>
      <c r="BS13" s="884"/>
      <c r="BT13" s="884"/>
      <c r="BU13" s="884"/>
      <c r="BV13" s="884"/>
      <c r="BW13" s="884"/>
      <c r="BX13" s="884"/>
      <c r="BY13" s="1045"/>
      <c r="BZ13" s="884"/>
      <c r="CA13" s="884"/>
      <c r="CB13" s="884"/>
      <c r="CC13" s="884"/>
      <c r="CD13" s="884"/>
      <c r="CE13" s="884"/>
      <c r="CF13" s="884"/>
      <c r="CG13" s="884"/>
      <c r="CH13" s="884"/>
      <c r="CI13" s="884"/>
      <c r="CJ13" s="884"/>
      <c r="CK13" s="884"/>
      <c r="CL13" s="885"/>
    </row>
    <row r="14" spans="1:90" s="985" customFormat="1" x14ac:dyDescent="0.3">
      <c r="A14" s="201" t="str">
        <f>+Model!A9</f>
        <v>Y/Y Gaming Revenue Growth, %</v>
      </c>
      <c r="B14" s="202"/>
      <c r="C14" s="1247"/>
      <c r="D14" s="1247"/>
      <c r="E14" s="1247"/>
      <c r="F14" s="1247"/>
      <c r="G14" s="129"/>
      <c r="H14" s="129"/>
      <c r="I14" s="129"/>
      <c r="J14" s="129"/>
      <c r="K14" s="1247"/>
      <c r="L14" s="129"/>
      <c r="M14" s="129"/>
      <c r="N14" s="129"/>
      <c r="O14" s="129"/>
      <c r="P14" s="1247"/>
      <c r="Q14" s="129"/>
      <c r="R14" s="129"/>
      <c r="S14" s="129"/>
      <c r="T14" s="129"/>
      <c r="U14" s="1247">
        <f>+Model!U9</f>
        <v>0.36201191264063537</v>
      </c>
      <c r="V14" s="129">
        <f>+Model!V9</f>
        <v>0.25427350427350426</v>
      </c>
      <c r="W14" s="129">
        <f>+Model!W9</f>
        <v>0.58273381294964022</v>
      </c>
      <c r="X14" s="129">
        <f>+Model!X9</f>
        <v>0.44402277039848204</v>
      </c>
      <c r="Y14" s="129">
        <f>+Model!Y9</f>
        <v>0.25386996904024772</v>
      </c>
      <c r="Z14" s="1247">
        <f>+Model!Z9</f>
        <v>0.36929057337220605</v>
      </c>
      <c r="AA14" s="129">
        <f>+Model!AA9</f>
        <v>0.17035775127768304</v>
      </c>
      <c r="AB14" s="129">
        <f>+Model!AB9</f>
        <v>0.18333333333333335</v>
      </c>
      <c r="AC14" s="129">
        <f>+Model!AC9</f>
        <v>0.63469119579500655</v>
      </c>
      <c r="AD14" s="129">
        <f>+Model!AD9</f>
        <v>0.66419753086419764</v>
      </c>
      <c r="AE14" s="1247">
        <f>+Model!AE9</f>
        <v>0.44073811213626679</v>
      </c>
      <c r="AF14" s="129">
        <f>+Model!AF9</f>
        <v>0.49490538573508003</v>
      </c>
      <c r="AG14" s="129">
        <f>+Model!AG9</f>
        <v>0.51856594110115228</v>
      </c>
      <c r="AH14" s="129">
        <f>+Model!AH9</f>
        <v>0.25482315112540199</v>
      </c>
      <c r="AI14" s="129">
        <f>+Model!AI9</f>
        <v>0.2900593471810089</v>
      </c>
      <c r="AJ14" s="1247">
        <f>+Model!AJ9</f>
        <v>0.35788177339901472</v>
      </c>
      <c r="AK14" s="129">
        <f>+Model!AK9</f>
        <v>0.67770204479065232</v>
      </c>
      <c r="AL14" s="129">
        <f>+Model!AL9</f>
        <v>0.52192242833052283</v>
      </c>
      <c r="AM14" s="129">
        <f>+Model!AM9</f>
        <v>0.13004484304932729</v>
      </c>
      <c r="AN14" s="129">
        <f>+Model!AN9</f>
        <v>-0.45140885566417477</v>
      </c>
      <c r="AO14" s="1247">
        <f>+Model!AO9</f>
        <v>0.13295846181752213</v>
      </c>
      <c r="AP14" s="129">
        <f>+Model!AP9</f>
        <v>-0.38769587928032501</v>
      </c>
      <c r="AQ14" s="129">
        <f>+Model!AQ9</f>
        <v>-0.27257617728531858</v>
      </c>
      <c r="AR14" s="129">
        <f>+Model!AR9</f>
        <v>-5.9523809523809534E-2</v>
      </c>
      <c r="AS14" s="129">
        <f>+Model!AS9</f>
        <v>0.56289308176100628</v>
      </c>
      <c r="AT14" s="1247">
        <f>+Model!AT9</f>
        <v>-0.11655459494076204</v>
      </c>
      <c r="AU14" s="129">
        <f>+Model!AU9</f>
        <v>0.26919431279620842</v>
      </c>
      <c r="AV14" s="129">
        <f>+Model!AV9</f>
        <v>0.25971058644325962</v>
      </c>
      <c r="AW14" s="129">
        <f>+Model!AW9</f>
        <v>0.36889692585895117</v>
      </c>
      <c r="AX14" s="129">
        <f>+Model!AX9</f>
        <v>0.67337357478202553</v>
      </c>
      <c r="AY14" s="1247">
        <f>+Model!AY9</f>
        <v>0.40612540775643358</v>
      </c>
      <c r="AZ14" s="129">
        <f>+Model!AZ9</f>
        <v>1.0612397311426438</v>
      </c>
      <c r="BA14" s="129">
        <f>+Model!BA9</f>
        <v>0.85066505441354301</v>
      </c>
      <c r="BB14" s="129">
        <f>+Model!BB9</f>
        <v>0.41831792162043158</v>
      </c>
      <c r="BC14" s="129">
        <f>+Model!BC9</f>
        <v>0.3707414829659319</v>
      </c>
      <c r="BD14" s="1247">
        <f>+Model!BD9</f>
        <v>0.60613481118700863</v>
      </c>
      <c r="BE14" s="129">
        <f>+Model!BE9</f>
        <v>0.31159420289855078</v>
      </c>
      <c r="BF14" s="129">
        <f>+Model!BF9</f>
        <v>-0.33289774583469456</v>
      </c>
      <c r="BG14" s="129">
        <f>+Model!BG9</f>
        <v>-0.51133188450791678</v>
      </c>
      <c r="BH14" s="129">
        <f>+Model!BH9</f>
        <v>-0.46461988304093571</v>
      </c>
      <c r="BI14" s="1247">
        <f>+Model!BI9</f>
        <v>-0.27242818167228378</v>
      </c>
      <c r="BJ14" s="129">
        <f>+Model!BJ9</f>
        <v>-0.38121546961325969</v>
      </c>
      <c r="BK14" s="129">
        <f>+Model!BK9</f>
        <v>0.21743388834475996</v>
      </c>
      <c r="BL14" s="129">
        <f>+Model!BL9</f>
        <v>0.81448538754764921</v>
      </c>
      <c r="BM14" s="129">
        <f>+Model!BM9</f>
        <v>0.5647187329328236</v>
      </c>
      <c r="BN14" s="1247">
        <f>+Model!BN9</f>
        <v>0.15220028675416342</v>
      </c>
      <c r="BO14" s="129">
        <f>+Model!BO9</f>
        <v>0.18169642857142865</v>
      </c>
      <c r="BP14" s="129">
        <f>+Model!BP9</f>
        <v>0.15848753016894612</v>
      </c>
      <c r="BQ14" s="129">
        <f>+Model!BQ9</f>
        <v>0.14810924369747891</v>
      </c>
      <c r="BR14" s="129">
        <f>+Model!BR9</f>
        <v>-0.11204188481675392</v>
      </c>
      <c r="BS14" s="1247">
        <f>+Model!BS9</f>
        <v>8.643629750167503E-2</v>
      </c>
      <c r="BT14" s="129">
        <f>+Model!BT9</f>
        <v>0.42160936909709101</v>
      </c>
      <c r="BU14" s="129">
        <f>+Model!BU9</f>
        <v>0.48854166666666665</v>
      </c>
      <c r="BV14" s="129">
        <f>+Model!BV9</f>
        <v>0.30070143336383048</v>
      </c>
      <c r="BW14" s="129">
        <f>+Model!BW9</f>
        <v>0.46501572327044016</v>
      </c>
      <c r="BX14" s="1247">
        <f>+Model!BX9</f>
        <v>0.41339207048458149</v>
      </c>
      <c r="BY14" s="965">
        <f>+Model!BY9</f>
        <v>0.12117990964655867</v>
      </c>
      <c r="BZ14" s="129">
        <f>+Model!BZ9</f>
        <v>0.3</v>
      </c>
      <c r="CA14" s="129">
        <f>+Model!CA9</f>
        <v>0.25</v>
      </c>
      <c r="CB14" s="129">
        <f>+Model!CB9</f>
        <v>0.2</v>
      </c>
      <c r="CC14" s="1247">
        <f>+Model!CC9</f>
        <v>0.22152786435606542</v>
      </c>
      <c r="CD14" s="129">
        <f>+Model!CD9</f>
        <v>0.25</v>
      </c>
      <c r="CE14" s="129">
        <f>+Model!CE9</f>
        <v>0.25</v>
      </c>
      <c r="CF14" s="129">
        <f>+Model!CF9</f>
        <v>0.25</v>
      </c>
      <c r="CG14" s="129">
        <f>+Model!CG9</f>
        <v>0.2</v>
      </c>
      <c r="CH14" s="1247">
        <f>+Model!CH9</f>
        <v>0.23858834185984201</v>
      </c>
      <c r="CI14" s="1247">
        <f>+Model!CI9</f>
        <v>0.1</v>
      </c>
      <c r="CJ14" s="1247">
        <f>+Model!CJ9</f>
        <v>0.1</v>
      </c>
      <c r="CK14" s="1247">
        <f>+Model!CK9</f>
        <v>0.1</v>
      </c>
      <c r="CL14" s="130"/>
    </row>
    <row r="15" spans="1:90" s="985" customFormat="1" x14ac:dyDescent="0.3">
      <c r="A15" s="201" t="str">
        <f>+Model!A13</f>
        <v>Y/Y Professional Visualization Revenue Growth, %</v>
      </c>
      <c r="B15" s="203"/>
      <c r="C15" s="185"/>
      <c r="D15" s="185"/>
      <c r="E15" s="185"/>
      <c r="F15" s="185"/>
      <c r="G15" s="130"/>
      <c r="H15" s="130"/>
      <c r="I15" s="130"/>
      <c r="J15" s="130"/>
      <c r="K15" s="185"/>
      <c r="L15" s="130"/>
      <c r="M15" s="130"/>
      <c r="N15" s="130"/>
      <c r="O15" s="130"/>
      <c r="P15" s="185"/>
      <c r="Q15" s="130"/>
      <c r="R15" s="130"/>
      <c r="S15" s="130"/>
      <c r="T15" s="130"/>
      <c r="U15" s="185">
        <f>+Model!U13</f>
        <v>7.6045627376426506E-3</v>
      </c>
      <c r="V15" s="130">
        <f>+Model!V13</f>
        <v>-5.2356020942408432E-2</v>
      </c>
      <c r="W15" s="130">
        <f>+Model!W13</f>
        <v>-0.15384615384615385</v>
      </c>
      <c r="X15" s="130">
        <f>+Model!X13</f>
        <v>-7.7669902912621325E-2</v>
      </c>
      <c r="Y15" s="130">
        <f>+Model!Y13</f>
        <v>6.8421052631578938E-2</v>
      </c>
      <c r="Z15" s="185">
        <f>+Model!Z13</f>
        <v>-5.6603773584905648E-2</v>
      </c>
      <c r="AA15" s="130">
        <f>+Model!AA13</f>
        <v>4.4198895027624419E-2</v>
      </c>
      <c r="AB15" s="130">
        <f>+Model!AB13</f>
        <v>0.21590909090909083</v>
      </c>
      <c r="AC15" s="130">
        <f>+Model!AC13</f>
        <v>8.9473684210526372E-2</v>
      </c>
      <c r="AD15" s="130">
        <f>+Model!AD13</f>
        <v>0.10837438423645329</v>
      </c>
      <c r="AE15" s="185">
        <f>+Model!AE13</f>
        <v>0.11333333333333329</v>
      </c>
      <c r="AF15" s="130">
        <f>+Model!AF13</f>
        <v>8.4656084656084651E-2</v>
      </c>
      <c r="AG15" s="130">
        <f>+Model!AG13</f>
        <v>9.8130841121495394E-2</v>
      </c>
      <c r="AH15" s="130">
        <f>+Model!AH13</f>
        <v>0.15458937198067635</v>
      </c>
      <c r="AI15" s="130">
        <f>+Model!AI13</f>
        <v>0.1333333333333333</v>
      </c>
      <c r="AJ15" s="185">
        <f>+Model!AJ13</f>
        <v>0.11856287425149703</v>
      </c>
      <c r="AK15" s="130">
        <f>+Model!AK13</f>
        <v>0.224390243902439</v>
      </c>
      <c r="AL15" s="130">
        <f>+Model!AL13</f>
        <v>0.19574468085106389</v>
      </c>
      <c r="AM15" s="130">
        <f>+Model!AM13</f>
        <v>0.2761506276150627</v>
      </c>
      <c r="AN15" s="130">
        <f>+Model!AN13</f>
        <v>0.14901960784313717</v>
      </c>
      <c r="AO15" s="185">
        <f>+Model!AO13</f>
        <v>0.20985010706638119</v>
      </c>
      <c r="AP15" s="130">
        <f>+Model!AP13</f>
        <v>5.9760956175298752E-2</v>
      </c>
      <c r="AQ15" s="130">
        <f>+Model!AQ13</f>
        <v>3.5587188612099752E-2</v>
      </c>
      <c r="AR15" s="130">
        <f>+Model!AR13</f>
        <v>6.2295081967213006E-2</v>
      </c>
      <c r="AS15" s="130">
        <f>+Model!AS13</f>
        <v>0.12969283276450505</v>
      </c>
      <c r="AT15" s="185">
        <f>+Model!AT13</f>
        <v>7.2566371681415998E-2</v>
      </c>
      <c r="AU15" s="130">
        <f>+Model!AU13</f>
        <v>0.15413533834586457</v>
      </c>
      <c r="AV15" s="130">
        <f>+Model!AV13</f>
        <v>-0.30240549828178698</v>
      </c>
      <c r="AW15" s="130">
        <f>+Model!AW13</f>
        <v>-0.27160493827160492</v>
      </c>
      <c r="AX15" s="130">
        <f>+Model!AX13</f>
        <v>-7.2507552870090586E-2</v>
      </c>
      <c r="AY15" s="185">
        <f>+Model!AY13</f>
        <v>-0.13118811881188119</v>
      </c>
      <c r="AZ15" s="130">
        <f>+Model!AZ13</f>
        <v>0.21172638436482094</v>
      </c>
      <c r="BA15" s="130">
        <f>+Model!BA13</f>
        <v>1.5566502463054186</v>
      </c>
      <c r="BB15" s="130">
        <f>+Model!BB13</f>
        <v>1.4449152542372881</v>
      </c>
      <c r="BC15" s="130">
        <f>+Model!BC13</f>
        <v>1.0944625407166124</v>
      </c>
      <c r="BD15" s="185">
        <f>+Model!BD13</f>
        <v>1.0047483380816713</v>
      </c>
      <c r="BE15" s="130">
        <f>+Model!BE13</f>
        <v>0.67204301075268824</v>
      </c>
      <c r="BF15" s="130">
        <f>+Model!BF13</f>
        <v>-4.4315992292870865E-2</v>
      </c>
      <c r="BG15" s="130">
        <f>+Model!BG13</f>
        <v>-0.65337954939341425</v>
      </c>
      <c r="BH15" s="130">
        <f>+Model!BH13</f>
        <v>-0.64852255054432351</v>
      </c>
      <c r="BI15" s="185">
        <f>+Model!BI13</f>
        <v>-0.26859308384651825</v>
      </c>
      <c r="BJ15" s="130">
        <f>+Model!BJ13</f>
        <v>-0.52572347266881025</v>
      </c>
      <c r="BK15" s="130">
        <f>+Model!BK13</f>
        <v>-0.23588709677419351</v>
      </c>
      <c r="BL15" s="130">
        <f>+Model!BL13</f>
        <v>1.08</v>
      </c>
      <c r="BM15" s="130">
        <f>+Model!BM13</f>
        <v>1.0486725663716814</v>
      </c>
      <c r="BN15" s="185">
        <f>+Model!BN13</f>
        <v>5.8290155440414715E-3</v>
      </c>
      <c r="BO15" s="130">
        <f>+Model!BO13</f>
        <v>0.44745762711864412</v>
      </c>
      <c r="BP15" s="130">
        <f>+Model!BP13</f>
        <v>0.19788918205804751</v>
      </c>
      <c r="BQ15" s="130">
        <f>+Model!BQ13</f>
        <v>0.16826923076923084</v>
      </c>
      <c r="BR15" s="130">
        <f>+Model!BR13</f>
        <v>0.10367170626349886</v>
      </c>
      <c r="BS15" s="185">
        <f>+Model!BS13</f>
        <v>0.20927237604636195</v>
      </c>
      <c r="BT15" s="130">
        <f>+Model!BT13</f>
        <v>0.19203747072599531</v>
      </c>
      <c r="BU15" s="130">
        <f>+Model!BU13</f>
        <v>0.32378854625550657</v>
      </c>
      <c r="BV15" s="130">
        <f>+Model!BV13</f>
        <v>0.56378600823045266</v>
      </c>
      <c r="BW15" s="130">
        <f>+Model!BW13</f>
        <v>1.5851272015655575</v>
      </c>
      <c r="BX15" s="185">
        <f>+Model!BX13</f>
        <v>0.6991480298189563</v>
      </c>
      <c r="BY15" s="953">
        <f>+Model!BY13</f>
        <v>1.5540275049115913</v>
      </c>
      <c r="BZ15" s="130">
        <f>+Model!BZ13</f>
        <v>0.05</v>
      </c>
      <c r="CA15" s="130">
        <f>+Model!CA13</f>
        <v>0.05</v>
      </c>
      <c r="CB15" s="130">
        <f>+Model!CB13</f>
        <v>0.05</v>
      </c>
      <c r="CC15" s="185">
        <f>+Model!CC13</f>
        <v>0.28990911939830788</v>
      </c>
      <c r="CD15" s="130">
        <f>+Model!CD13</f>
        <v>0.05</v>
      </c>
      <c r="CE15" s="130">
        <f>+Model!CE13</f>
        <v>0.05</v>
      </c>
      <c r="CF15" s="130">
        <f>+Model!CF13</f>
        <v>0.05</v>
      </c>
      <c r="CG15" s="130">
        <f>+Model!CG13</f>
        <v>0.05</v>
      </c>
      <c r="CH15" s="185">
        <f>+Model!CH13</f>
        <v>4.9999999999999822E-2</v>
      </c>
      <c r="CI15" s="185">
        <f>+Model!CI13</f>
        <v>0.1</v>
      </c>
      <c r="CJ15" s="185">
        <f>+Model!CJ13</f>
        <v>0.1</v>
      </c>
      <c r="CK15" s="185">
        <f>+Model!CK13</f>
        <v>0.1</v>
      </c>
      <c r="CL15" s="130"/>
    </row>
    <row r="16" spans="1:90" s="985" customFormat="1" x14ac:dyDescent="0.3">
      <c r="A16" s="201" t="str">
        <f>+Model!A24</f>
        <v>Y/Y Datacenter Revenue Growth, %</v>
      </c>
      <c r="B16" s="203"/>
      <c r="C16" s="185"/>
      <c r="D16" s="185"/>
      <c r="E16" s="185"/>
      <c r="F16" s="185"/>
      <c r="G16" s="130"/>
      <c r="H16" s="130"/>
      <c r="I16" s="130"/>
      <c r="J16" s="130"/>
      <c r="K16" s="185"/>
      <c r="L16" s="130"/>
      <c r="M16" s="130"/>
      <c r="N16" s="130"/>
      <c r="O16" s="130"/>
      <c r="P16" s="185"/>
      <c r="Q16" s="130"/>
      <c r="R16" s="130"/>
      <c r="S16" s="130"/>
      <c r="T16" s="130"/>
      <c r="U16" s="185">
        <f>+Model!U24</f>
        <v>0.59296482412060292</v>
      </c>
      <c r="V16" s="130">
        <f>+Model!V24</f>
        <v>0.54385964912280693</v>
      </c>
      <c r="W16" s="130">
        <f>+Model!W24</f>
        <v>-0.13253012048192769</v>
      </c>
      <c r="X16" s="130">
        <f>+Model!X24</f>
        <v>-7.8651685393258397E-2</v>
      </c>
      <c r="Y16" s="130">
        <f>+Model!Y24</f>
        <v>0.10227272727272729</v>
      </c>
      <c r="Z16" s="185">
        <f>+Model!Z24</f>
        <v>6.9400630914826511E-2</v>
      </c>
      <c r="AA16" s="130">
        <f>+Model!AA24</f>
        <v>0.625</v>
      </c>
      <c r="AB16" s="130">
        <f>+Model!AB24</f>
        <v>1.0972222222222223</v>
      </c>
      <c r="AC16" s="130">
        <f>+Model!AC24</f>
        <v>1.9268292682926829</v>
      </c>
      <c r="AD16" s="130">
        <f>+Model!AD24</f>
        <v>2.0515463917525771</v>
      </c>
      <c r="AE16" s="185">
        <f>+Model!AE24</f>
        <v>1.4483775811209441</v>
      </c>
      <c r="AF16" s="130">
        <f>+Model!AF24</f>
        <v>1.86013986013986</v>
      </c>
      <c r="AG16" s="130">
        <f>+Model!AG24</f>
        <v>1.7549668874172184</v>
      </c>
      <c r="AH16" s="130">
        <f>+Model!AH24</f>
        <v>1.0874999999999999</v>
      </c>
      <c r="AI16" s="130">
        <f>+Model!AI24</f>
        <v>1.0472972972972974</v>
      </c>
      <c r="AJ16" s="185">
        <f>+Model!AJ24</f>
        <v>1.3277108433734939</v>
      </c>
      <c r="AK16" s="130">
        <f>+Model!AK24</f>
        <v>0.71393643031784837</v>
      </c>
      <c r="AL16" s="130">
        <f>+Model!AL24</f>
        <v>0.82692307692307687</v>
      </c>
      <c r="AM16" s="130">
        <f>+Model!AM24</f>
        <v>0.58083832335329344</v>
      </c>
      <c r="AN16" s="130">
        <f>+Model!AN24</f>
        <v>0.12046204620462042</v>
      </c>
      <c r="AO16" s="185">
        <f>+Model!AO24</f>
        <v>0.51759834368530022</v>
      </c>
      <c r="AP16" s="130">
        <f>+Model!AP24</f>
        <v>-9.5577746077032844E-2</v>
      </c>
      <c r="AQ16" s="130">
        <f>+Model!AQ24</f>
        <v>-0.13815789473684215</v>
      </c>
      <c r="AR16" s="130">
        <f>+Model!AR24</f>
        <v>-8.333333333333337E-2</v>
      </c>
      <c r="AS16" s="130">
        <f>+Model!AS24</f>
        <v>0.42562592047128134</v>
      </c>
      <c r="AT16" s="185">
        <f>+Model!AT24</f>
        <v>1.7394270122783162E-2</v>
      </c>
      <c r="AU16" s="130">
        <f>+Model!AU24</f>
        <v>0.7996845425867507</v>
      </c>
      <c r="AV16" s="130">
        <f>+Model!AV24</f>
        <v>1.6748091603053434</v>
      </c>
      <c r="AW16" s="130">
        <f>+Model!AW24</f>
        <v>1.6170798898071626</v>
      </c>
      <c r="AX16" s="130">
        <f>+Model!AX24</f>
        <v>0.96590909090909083</v>
      </c>
      <c r="AY16" s="185">
        <f>+Model!AY24</f>
        <v>1.2447200804559166</v>
      </c>
      <c r="AZ16" s="130">
        <f>+Model!AZ24</f>
        <v>0.79491673970201582</v>
      </c>
      <c r="BA16" s="130">
        <f>+Model!BA24</f>
        <v>0.35045662100456632</v>
      </c>
      <c r="BB16" s="130">
        <f>+Model!BB24</f>
        <v>0.54526315789473689</v>
      </c>
      <c r="BC16" s="130">
        <f>+Model!BC24</f>
        <v>0.7146610614818707</v>
      </c>
      <c r="BD16" s="185">
        <f>+Model!BD24</f>
        <v>0.5849761051373954</v>
      </c>
      <c r="BE16" s="130">
        <f>+Model!BE24</f>
        <v>0.8310546875</v>
      </c>
      <c r="BF16" s="130">
        <f>+Model!BF24</f>
        <v>0.60862214708368545</v>
      </c>
      <c r="BG16" s="130">
        <f>+Model!BG24</f>
        <v>0.30551771117166204</v>
      </c>
      <c r="BH16" s="130">
        <f>+Model!BH24</f>
        <v>0.10818265399938709</v>
      </c>
      <c r="BI16" s="185">
        <f>+Model!BI24</f>
        <v>0.4138320927164798</v>
      </c>
      <c r="BJ16" s="130">
        <f>+Model!BJ24</f>
        <v>0.14240000000000008</v>
      </c>
      <c r="BK16" s="130">
        <f>+Model!BK24</f>
        <v>1.712296374146085</v>
      </c>
      <c r="BL16" s="130">
        <f>+Model!BL24</f>
        <v>2.7865901382728935</v>
      </c>
      <c r="BM16" s="130">
        <f>+Model!BM24</f>
        <v>4.0896017699115044</v>
      </c>
      <c r="BN16" s="185">
        <f>+Model!BN24</f>
        <v>2.1672775741419525</v>
      </c>
      <c r="BO16" s="130">
        <f>+Model!BO24</f>
        <v>4.2668067226890756</v>
      </c>
      <c r="BP16" s="130">
        <f>+Model!BP24</f>
        <v>1.5449966095127388</v>
      </c>
      <c r="BQ16" s="130">
        <f>+Model!BQ24</f>
        <v>1.1200909466721787</v>
      </c>
      <c r="BR16" s="130">
        <f>+Model!BR24</f>
        <v>0.93327537491849588</v>
      </c>
      <c r="BS16" s="185">
        <f>+Model!BS24</f>
        <v>1.4236927932667016</v>
      </c>
      <c r="BT16" s="130">
        <f>+Model!BT24</f>
        <v>0.73345743030625354</v>
      </c>
      <c r="BU16" s="130">
        <f>+Model!BU24</f>
        <v>0.56425091352009749</v>
      </c>
      <c r="BV16" s="130">
        <f>+Model!BV24</f>
        <v>0.66439179747164534</v>
      </c>
      <c r="BW16" s="130">
        <f>+Model!BW24</f>
        <v>0.75137717818999428</v>
      </c>
      <c r="BX16" s="185">
        <f>+Model!BX24</f>
        <v>0.68194919521469632</v>
      </c>
      <c r="BY16" s="953">
        <f>+Model!BY24</f>
        <v>0.92385968500715898</v>
      </c>
      <c r="BZ16" s="130">
        <f>+Model!BZ24</f>
        <v>1.04</v>
      </c>
      <c r="CA16" s="130">
        <f>+Model!CA24</f>
        <v>0.65</v>
      </c>
      <c r="CB16" s="130">
        <f>+Model!CB24</f>
        <v>0.4</v>
      </c>
      <c r="CC16" s="185">
        <f>+Model!CC24</f>
        <v>0.70760458766265599</v>
      </c>
      <c r="CD16" s="130">
        <f>+Model!CD24</f>
        <v>0.3</v>
      </c>
      <c r="CE16" s="130">
        <f>+Model!CE24</f>
        <v>0.3</v>
      </c>
      <c r="CF16" s="130">
        <f>+Model!CF24</f>
        <v>0.25</v>
      </c>
      <c r="CG16" s="130">
        <f>+Model!CG24</f>
        <v>0.25</v>
      </c>
      <c r="CH16" s="185">
        <f>+Model!CH24</f>
        <v>0.27404311460347186</v>
      </c>
      <c r="CI16" s="185">
        <f>+Model!CI24</f>
        <v>0.2</v>
      </c>
      <c r="CJ16" s="185">
        <f>+Model!CJ24</f>
        <v>0.18</v>
      </c>
      <c r="CK16" s="185">
        <f>+Model!CK24</f>
        <v>0.18</v>
      </c>
      <c r="CL16" s="130"/>
    </row>
    <row r="17" spans="1:90" s="985" customFormat="1" x14ac:dyDescent="0.3">
      <c r="A17" s="201" t="str">
        <f>+Model!A28</f>
        <v>Y/Y Automotive Revenue Growth, %</v>
      </c>
      <c r="B17" s="203"/>
      <c r="C17" s="185"/>
      <c r="D17" s="185"/>
      <c r="E17" s="185"/>
      <c r="F17" s="185"/>
      <c r="G17" s="130"/>
      <c r="H17" s="130"/>
      <c r="I17" s="130"/>
      <c r="J17" s="130"/>
      <c r="K17" s="185"/>
      <c r="L17" s="130"/>
      <c r="M17" s="130"/>
      <c r="N17" s="130"/>
      <c r="O17" s="130"/>
      <c r="P17" s="185"/>
      <c r="Q17" s="130"/>
      <c r="R17" s="130"/>
      <c r="S17" s="130"/>
      <c r="T17" s="130"/>
      <c r="U17" s="185">
        <f>+Model!U28</f>
        <v>0.8484848484848484</v>
      </c>
      <c r="V17" s="130">
        <f>+Model!V28</f>
        <v>1.2000000000000002</v>
      </c>
      <c r="W17" s="130">
        <f>+Model!W28</f>
        <v>0.77499999999999991</v>
      </c>
      <c r="X17" s="130">
        <f>+Model!X28</f>
        <v>0.51923076923076916</v>
      </c>
      <c r="Y17" s="130">
        <f>+Model!Y28</f>
        <v>0.66071428571428581</v>
      </c>
      <c r="Z17" s="185">
        <f>+Model!Z28</f>
        <v>0.74863387978142071</v>
      </c>
      <c r="AA17" s="130">
        <f>+Model!AA28</f>
        <v>0.46753246753246747</v>
      </c>
      <c r="AB17" s="130">
        <f>+Model!AB28</f>
        <v>0.676056338028169</v>
      </c>
      <c r="AC17" s="130">
        <f>+Model!AC28</f>
        <v>0.60759493670886067</v>
      </c>
      <c r="AD17" s="130">
        <f>+Model!AD28</f>
        <v>0.37634408602150549</v>
      </c>
      <c r="AE17" s="185">
        <f>+Model!AE28</f>
        <v>0.52187500000000009</v>
      </c>
      <c r="AF17" s="130">
        <f>+Model!AF28</f>
        <v>0.23893805309734506</v>
      </c>
      <c r="AG17" s="130">
        <f>+Model!AG28</f>
        <v>0.19327731092436973</v>
      </c>
      <c r="AH17" s="130">
        <f>+Model!AH28</f>
        <v>0.13385826771653542</v>
      </c>
      <c r="AI17" s="130">
        <f>+Model!AI28</f>
        <v>3.125E-2</v>
      </c>
      <c r="AJ17" s="185">
        <f>+Model!AJ28</f>
        <v>0.14579055441478439</v>
      </c>
      <c r="AK17" s="130">
        <f>+Model!AK28</f>
        <v>3.5714285714285809E-2</v>
      </c>
      <c r="AL17" s="130">
        <f>+Model!AL28</f>
        <v>0.13380281690140849</v>
      </c>
      <c r="AM17" s="130">
        <f>+Model!AM28</f>
        <v>0.19444444444444442</v>
      </c>
      <c r="AN17" s="130">
        <f>+Model!AN28</f>
        <v>0.23484848484848486</v>
      </c>
      <c r="AO17" s="185">
        <f>+Model!AO28</f>
        <v>0.14874551971326166</v>
      </c>
      <c r="AP17" s="130">
        <f>+Model!AP28</f>
        <v>0.14482758620689662</v>
      </c>
      <c r="AQ17" s="130">
        <f>+Model!AQ28</f>
        <v>0.29813664596273282</v>
      </c>
      <c r="AR17" s="130">
        <f>+Model!AR28</f>
        <v>-5.8139534883720922E-2</v>
      </c>
      <c r="AS17" s="130">
        <f>+Model!AS28</f>
        <v>0</v>
      </c>
      <c r="AT17" s="185">
        <f>+Model!AT28</f>
        <v>9.2043681747269845E-2</v>
      </c>
      <c r="AU17" s="130">
        <f>+Model!AU28</f>
        <v>-6.6265060240963902E-2</v>
      </c>
      <c r="AV17" s="130">
        <f>+Model!AV28</f>
        <v>-0.46889952153110048</v>
      </c>
      <c r="AW17" s="130">
        <f>+Model!AW28</f>
        <v>-0.22839506172839508</v>
      </c>
      <c r="AX17" s="130">
        <f>+Model!AX28</f>
        <v>-0.11042944785276076</v>
      </c>
      <c r="AY17" s="185">
        <f>+Model!AY28</f>
        <v>-0.23428571428571432</v>
      </c>
      <c r="AZ17" s="130">
        <f>+Model!AZ28</f>
        <v>-6.4516129032258229E-3</v>
      </c>
      <c r="BA17" s="130">
        <f>+Model!BA28</f>
        <v>0.36936936936936937</v>
      </c>
      <c r="BB17" s="130">
        <f>+Model!BB28</f>
        <v>8.0000000000000071E-2</v>
      </c>
      <c r="BC17" s="130">
        <f>+Model!BC28</f>
        <v>-0.13793103448275867</v>
      </c>
      <c r="BD17" s="185">
        <f>+Model!BD28</f>
        <v>5.5970149253731449E-2</v>
      </c>
      <c r="BE17" s="130">
        <f>+Model!BE28</f>
        <v>-0.10389610389610393</v>
      </c>
      <c r="BF17" s="130">
        <f>+Model!BF28</f>
        <v>0.44736842105263164</v>
      </c>
      <c r="BG17" s="130">
        <f>+Model!BG28</f>
        <v>0.85925925925925917</v>
      </c>
      <c r="BH17" s="130">
        <f>+Model!BH28</f>
        <v>1.3519999999999999</v>
      </c>
      <c r="BI17" s="185">
        <f>+Model!BI28</f>
        <v>0.59540636042402828</v>
      </c>
      <c r="BJ17" s="130">
        <f>+Model!BJ28</f>
        <v>1.1449275362318843</v>
      </c>
      <c r="BK17" s="130">
        <f>+Model!BK28</f>
        <v>0.14999999999999991</v>
      </c>
      <c r="BL17" s="130">
        <f>+Model!BL28</f>
        <v>3.9840637450199168E-2</v>
      </c>
      <c r="BM17" s="130">
        <f>+Model!BM28</f>
        <v>-4.4217687074829981E-2</v>
      </c>
      <c r="BN17" s="185">
        <f>+Model!BN28</f>
        <v>0.20819490586932443</v>
      </c>
      <c r="BO17" s="130">
        <f>+Model!BO28</f>
        <v>0.1114864864864864</v>
      </c>
      <c r="BP17" s="130">
        <f>+Model!BP28</f>
        <v>0.36758893280632421</v>
      </c>
      <c r="BQ17" s="130">
        <f>+Model!BQ28</f>
        <v>0.72030651340996177</v>
      </c>
      <c r="BR17" s="130">
        <f>+Model!BR28</f>
        <v>1.0284697508896796</v>
      </c>
      <c r="BS17" s="185">
        <f>+Model!BS28</f>
        <v>0.55270394133822176</v>
      </c>
      <c r="BT17" s="130">
        <f>+Model!BT28</f>
        <v>0.72340425531914887</v>
      </c>
      <c r="BU17" s="130">
        <f>+Model!BU28</f>
        <v>0.69364161849710992</v>
      </c>
      <c r="BV17" s="130">
        <f>+Model!BV28</f>
        <v>0.31848552338530056</v>
      </c>
      <c r="BW17" s="130">
        <f>+Model!BW28</f>
        <v>5.9649122807017507E-2</v>
      </c>
      <c r="BX17" s="185">
        <f>+Model!BX28</f>
        <v>0.38665879574970474</v>
      </c>
      <c r="BY17" s="953">
        <f>+Model!BY28</f>
        <v>0.1463844797178131</v>
      </c>
      <c r="BZ17" s="130">
        <f>+Model!BZ28</f>
        <v>0.2</v>
      </c>
      <c r="CA17" s="130">
        <f>+Model!CA28</f>
        <v>0.2</v>
      </c>
      <c r="CB17" s="130">
        <f>+Model!CB28</f>
        <v>0.2</v>
      </c>
      <c r="CC17" s="185">
        <f>+Model!CC28</f>
        <v>0.18705832269050648</v>
      </c>
      <c r="CD17" s="130">
        <f>+Model!CD28</f>
        <v>0.3</v>
      </c>
      <c r="CE17" s="130">
        <f>+Model!CE28</f>
        <v>0.2</v>
      </c>
      <c r="CF17" s="130">
        <f>+Model!CF28</f>
        <v>0.2</v>
      </c>
      <c r="CG17" s="130">
        <f>+Model!CG28</f>
        <v>0.2</v>
      </c>
      <c r="CH17" s="185">
        <f>+Model!CH28</f>
        <v>0.22331085927413574</v>
      </c>
      <c r="CI17" s="185">
        <f>+Model!CI28</f>
        <v>0.1</v>
      </c>
      <c r="CJ17" s="185">
        <f>+Model!CJ28</f>
        <v>0.1</v>
      </c>
      <c r="CK17" s="185">
        <f>+Model!CK28</f>
        <v>0.1</v>
      </c>
      <c r="CL17" s="130"/>
    </row>
    <row r="18" spans="1:90" s="985" customFormat="1" x14ac:dyDescent="0.3">
      <c r="A18" s="204" t="str">
        <f>+Model!A32</f>
        <v>Y/Y OEM &amp; IP Revenue Growth, %</v>
      </c>
      <c r="B18" s="205"/>
      <c r="C18" s="1248"/>
      <c r="D18" s="1248"/>
      <c r="E18" s="1248"/>
      <c r="F18" s="1248"/>
      <c r="G18" s="131"/>
      <c r="H18" s="131"/>
      <c r="I18" s="131"/>
      <c r="J18" s="131"/>
      <c r="K18" s="1248"/>
      <c r="L18" s="131"/>
      <c r="M18" s="131"/>
      <c r="N18" s="131"/>
      <c r="O18" s="131"/>
      <c r="P18" s="1248"/>
      <c r="Q18" s="131"/>
      <c r="R18" s="131"/>
      <c r="S18" s="131"/>
      <c r="T18" s="131"/>
      <c r="U18" s="1248">
        <f>+Model!U32</f>
        <v>-0.13250652741514357</v>
      </c>
      <c r="V18" s="131">
        <f>+Model!V32</f>
        <v>-0.38068181818181823</v>
      </c>
      <c r="W18" s="131">
        <f>+Model!W32</f>
        <v>-0.50985915492957745</v>
      </c>
      <c r="X18" s="131">
        <f>+Model!X32</f>
        <v>-0.45014245014245013</v>
      </c>
      <c r="Y18" s="131">
        <f>+Model!Y32</f>
        <v>-0.26937269372693728</v>
      </c>
      <c r="Z18" s="1248">
        <f>+Model!Z32</f>
        <v>-0.41083521444695259</v>
      </c>
      <c r="AA18" s="131">
        <f>+Model!AA32</f>
        <v>-0.20642201834862384</v>
      </c>
      <c r="AB18" s="131">
        <f>+Model!AB32</f>
        <v>-6.3218390804597679E-2</v>
      </c>
      <c r="AC18" s="131">
        <f>+Model!AC32</f>
        <v>-3.6269430051813489E-2</v>
      </c>
      <c r="AD18" s="131">
        <f>+Model!AD32</f>
        <v>-0.11111111111111116</v>
      </c>
      <c r="AE18" s="1248">
        <f>+Model!AE32</f>
        <v>-0.10855683269476368</v>
      </c>
      <c r="AF18" s="131">
        <f>+Model!AF32</f>
        <v>-9.8265895953757232E-2</v>
      </c>
      <c r="AG18" s="131">
        <f>+Model!AG32</f>
        <v>0.53987730061349692</v>
      </c>
      <c r="AH18" s="131">
        <f>+Model!AH32</f>
        <v>2.6881720430107503E-2</v>
      </c>
      <c r="AI18" s="131">
        <f>+Model!AI32</f>
        <v>1.7045454545454586E-2</v>
      </c>
      <c r="AJ18" s="1248">
        <f>+Model!AJ32</f>
        <v>0.11318051575931243</v>
      </c>
      <c r="AK18" s="131">
        <f>+Model!AK32</f>
        <v>1.4807692307692308</v>
      </c>
      <c r="AL18" s="131">
        <f>+Model!AL32</f>
        <v>-0.53784860557768921</v>
      </c>
      <c r="AM18" s="131">
        <f>+Model!AM32</f>
        <v>-0.22513089005235598</v>
      </c>
      <c r="AN18" s="131">
        <f>+Model!AN32</f>
        <v>-0.35195530726256985</v>
      </c>
      <c r="AO18" s="1248">
        <f>+Model!AO32</f>
        <v>-1.2870012870012881E-2</v>
      </c>
      <c r="AP18" s="131">
        <f>+Model!AP32</f>
        <v>-0.7441860465116279</v>
      </c>
      <c r="AQ18" s="131">
        <f>+Model!AQ32</f>
        <v>-4.31034482758621E-2</v>
      </c>
      <c r="AR18" s="131">
        <f>+Model!AR32</f>
        <v>-3.3783783783783772E-2</v>
      </c>
      <c r="AS18" s="131">
        <f>+Model!AS32</f>
        <v>0.31034482758620685</v>
      </c>
      <c r="AT18" s="1248">
        <f>+Model!AT32</f>
        <v>-0.34159061277705349</v>
      </c>
      <c r="AU18" s="131">
        <f>+Model!AU32</f>
        <v>0.39393939393939403</v>
      </c>
      <c r="AV18" s="131">
        <f>+Model!AV32</f>
        <v>0.31531531531531543</v>
      </c>
      <c r="AW18" s="131">
        <f>+Model!AW32</f>
        <v>0.35664335664335667</v>
      </c>
      <c r="AX18" s="131">
        <f>+Model!AX32</f>
        <v>6.5789473684210176E-3</v>
      </c>
      <c r="AY18" s="1248">
        <f>+Model!AY32</f>
        <v>0.2495049504950495</v>
      </c>
      <c r="AZ18" s="131">
        <f>+Model!AZ32</f>
        <v>1.3695652173913042</v>
      </c>
      <c r="BA18" s="131">
        <f>+Model!BA32</f>
        <v>1.8013698630136985</v>
      </c>
      <c r="BB18" s="131">
        <f>+Model!BB32</f>
        <v>0.20618556701030921</v>
      </c>
      <c r="BC18" s="131">
        <f>+Model!BC32</f>
        <v>0.25490196078431371</v>
      </c>
      <c r="BD18" s="1248">
        <f>+Model!BD32</f>
        <v>0.84152139461172748</v>
      </c>
      <c r="BE18" s="131">
        <f>+Model!BE32</f>
        <v>-0.51681957186544336</v>
      </c>
      <c r="BF18" s="131">
        <f>+Model!BF32</f>
        <v>-0.65770171149144252</v>
      </c>
      <c r="BG18" s="131">
        <f>+Model!BG32</f>
        <v>-0.68803418803418803</v>
      </c>
      <c r="BH18" s="131">
        <f>+Model!BH32</f>
        <v>-0.5625</v>
      </c>
      <c r="BI18" s="1248">
        <f>+Model!BI32</f>
        <v>-0.60843373493975905</v>
      </c>
      <c r="BJ18" s="131">
        <f>+Model!BJ32</f>
        <v>-0.51265822784810133</v>
      </c>
      <c r="BK18" s="131">
        <f>+Model!BK32</f>
        <v>-0.52857142857142858</v>
      </c>
      <c r="BL18" s="131">
        <f>+Model!BL32</f>
        <v>0</v>
      </c>
      <c r="BM18" s="131">
        <f>+Model!BM32</f>
        <v>7.1428571428571397E-2</v>
      </c>
      <c r="BN18" s="1248">
        <f>+Model!BN32</f>
        <v>-0.32747252747252742</v>
      </c>
      <c r="BO18" s="131">
        <f>+Model!BO32</f>
        <v>1.298701298701288E-2</v>
      </c>
      <c r="BP18" s="131">
        <f>+Model!BP32</f>
        <v>0.33333333333333326</v>
      </c>
      <c r="BQ18" s="131">
        <f>+Model!BQ32</f>
        <v>0.32876712328767121</v>
      </c>
      <c r="BR18" s="131">
        <f>+Model!BR32</f>
        <v>0.39999999999999991</v>
      </c>
      <c r="BS18" s="1248">
        <f>+Model!BS32</f>
        <v>0.2712418300653594</v>
      </c>
      <c r="BT18" s="131">
        <f>+Model!BT32</f>
        <v>0.42307692307692313</v>
      </c>
      <c r="BU18" s="131">
        <f>+Model!BU32</f>
        <v>0.96590909090909083</v>
      </c>
      <c r="BV18" s="131">
        <f>+Model!BV32</f>
        <v>0.79381443298969079</v>
      </c>
      <c r="BW18" s="131">
        <f>+Model!BW32</f>
        <v>0.27777777777777768</v>
      </c>
      <c r="BX18" s="1248">
        <f>+Model!BX32</f>
        <v>0.59125964010282783</v>
      </c>
      <c r="BY18" s="966">
        <f>+Model!BY32</f>
        <v>0.80180180180180183</v>
      </c>
      <c r="BZ18" s="131">
        <f>+Model!BZ32</f>
        <v>0.1</v>
      </c>
      <c r="CA18" s="131">
        <f>+Model!CA32</f>
        <v>0.1</v>
      </c>
      <c r="CB18" s="131">
        <f>+Model!CB32</f>
        <v>0.1</v>
      </c>
      <c r="CC18" s="1248">
        <f>+Model!CC32</f>
        <v>0.225848142164782</v>
      </c>
      <c r="CD18" s="131">
        <f>+Model!CD32</f>
        <v>0.1</v>
      </c>
      <c r="CE18" s="131">
        <f>+Model!CE32</f>
        <v>0.1</v>
      </c>
      <c r="CF18" s="131">
        <f>+Model!CF32</f>
        <v>0.1</v>
      </c>
      <c r="CG18" s="131">
        <f>+Model!CG32</f>
        <v>0.1</v>
      </c>
      <c r="CH18" s="1248">
        <f>+Model!CH32</f>
        <v>0.10000000000000009</v>
      </c>
      <c r="CI18" s="1248">
        <f>+Model!CI32</f>
        <v>0.1</v>
      </c>
      <c r="CJ18" s="1248">
        <f>+Model!CJ32</f>
        <v>0.1</v>
      </c>
      <c r="CK18" s="1248">
        <f>+Model!CK32</f>
        <v>0.1</v>
      </c>
      <c r="CL18" s="130"/>
    </row>
    <row r="19" spans="1:90" s="995" customFormat="1" x14ac:dyDescent="0.3">
      <c r="A19" s="206" t="str">
        <f>+Model!A38</f>
        <v>Y/Y Total Revenue Growth, %</v>
      </c>
      <c r="B19" s="207"/>
      <c r="C19" s="1249"/>
      <c r="D19" s="1249">
        <f>+Model!D38</f>
        <v>-2.8735197565797566E-2</v>
      </c>
      <c r="E19" s="1249">
        <f>+Model!E38</f>
        <v>6.5193923242380381E-2</v>
      </c>
      <c r="F19" s="1249">
        <f>+Model!F38</f>
        <v>0.12830407960468571</v>
      </c>
      <c r="G19" s="132"/>
      <c r="H19" s="132"/>
      <c r="I19" s="132"/>
      <c r="J19" s="132"/>
      <c r="K19" s="1249">
        <f>+Model!K38</f>
        <v>7.0593782282331041E-2</v>
      </c>
      <c r="L19" s="132">
        <f>+Model!L38</f>
        <v>3.2287536612976675E-2</v>
      </c>
      <c r="M19" s="132">
        <f>+Model!M38</f>
        <v>-6.4190295613203441E-2</v>
      </c>
      <c r="N19" s="132">
        <f>+Model!N38</f>
        <v>-0.12469209623705457</v>
      </c>
      <c r="O19" s="132">
        <f>+Model!O38</f>
        <v>3.3712108208315161E-2</v>
      </c>
      <c r="P19" s="1249">
        <f>+Model!P38</f>
        <v>-3.5082575203397748E-2</v>
      </c>
      <c r="Q19" s="132">
        <f>+Model!Q38</f>
        <v>0.15528956081190781</v>
      </c>
      <c r="R19" s="132">
        <f>+Model!R38</f>
        <v>0.12869127070375885</v>
      </c>
      <c r="S19" s="132">
        <f>+Model!S38</f>
        <v>0.16227547921329588</v>
      </c>
      <c r="T19" s="132">
        <f>+Model!T38</f>
        <v>9.3323125488324443E-2</v>
      </c>
      <c r="U19" s="1249">
        <f>+Model!U38</f>
        <v>0.13365617433414045</v>
      </c>
      <c r="V19" s="132">
        <f>+Model!V38</f>
        <v>4.3517679057117009E-2</v>
      </c>
      <c r="W19" s="132">
        <f>+Model!W38</f>
        <v>4.5330915684496764E-2</v>
      </c>
      <c r="X19" s="132">
        <f>+Model!X38</f>
        <v>6.5306122448979487E-2</v>
      </c>
      <c r="Y19" s="132">
        <f>+Model!Y38</f>
        <v>0.11990407673860903</v>
      </c>
      <c r="Z19" s="1249">
        <f>+Model!Z38</f>
        <v>7.0055531824006811E-2</v>
      </c>
      <c r="AA19" s="132">
        <f>+Model!AA38</f>
        <v>0.13379669852302345</v>
      </c>
      <c r="AB19" s="132">
        <f>+Model!AB38</f>
        <v>0.238508239375542</v>
      </c>
      <c r="AC19" s="132">
        <f>+Model!AC38</f>
        <v>0.53563218390804601</v>
      </c>
      <c r="AD19" s="132">
        <f>+Model!AD38</f>
        <v>0.55103497501784449</v>
      </c>
      <c r="AE19" s="1249">
        <f>+Model!AE38</f>
        <v>0.37924151696606789</v>
      </c>
      <c r="AF19" s="132">
        <f>+Model!AF38</f>
        <v>0.48429118773946356</v>
      </c>
      <c r="AG19" s="132">
        <f>+Model!AG38</f>
        <v>0.56162464985994398</v>
      </c>
      <c r="AH19" s="132">
        <f>+Model!AH38</f>
        <v>0.3153692614770458</v>
      </c>
      <c r="AI19" s="132">
        <f>+Model!AI38</f>
        <v>0.33962264150943389</v>
      </c>
      <c r="AJ19" s="1249">
        <f>+Model!AJ38</f>
        <v>0.40578871201157751</v>
      </c>
      <c r="AK19" s="132">
        <f>+Model!AK38</f>
        <v>0.65565307176045429</v>
      </c>
      <c r="AL19" s="132">
        <f>+Model!AL38</f>
        <v>0.40044843049327361</v>
      </c>
      <c r="AM19" s="132">
        <f>+Model!AM38</f>
        <v>0.20675265553869493</v>
      </c>
      <c r="AN19" s="132">
        <f>+Model!AN38</f>
        <v>-0.24252834077636554</v>
      </c>
      <c r="AO19" s="1249">
        <f>+Model!AO38</f>
        <v>0.20609429689108505</v>
      </c>
      <c r="AP19" s="132">
        <f>+Model!AP38</f>
        <v>-0.3077642656688494</v>
      </c>
      <c r="AQ19" s="132">
        <f>+Model!AQ38</f>
        <v>-0.17419148254883121</v>
      </c>
      <c r="AR19" s="132">
        <f>+Model!AR38</f>
        <v>-5.2499214083621459E-2</v>
      </c>
      <c r="AS19" s="132">
        <f>+Model!AS38</f>
        <v>0.40816326530612246</v>
      </c>
      <c r="AT19" s="1249">
        <f>+Model!AT38</f>
        <v>-6.8111983612154314E-2</v>
      </c>
      <c r="AU19" s="132">
        <f>+Model!AU38</f>
        <v>0.38738738738738743</v>
      </c>
      <c r="AV19" s="132">
        <f>+Model!AV38</f>
        <v>0.49903063202791786</v>
      </c>
      <c r="AW19" s="132">
        <f>+Model!AW38</f>
        <v>0.56801592568015935</v>
      </c>
      <c r="AX19" s="132">
        <f>+Model!AX38</f>
        <v>0.61127214170692423</v>
      </c>
      <c r="AY19" s="1249">
        <f>+Model!AY38</f>
        <v>0.52729437625938824</v>
      </c>
      <c r="AZ19" s="132">
        <f>+Model!AZ38</f>
        <v>0.83798701298701306</v>
      </c>
      <c r="BA19" s="132">
        <f>+Model!BA38</f>
        <v>0.68313502327987585</v>
      </c>
      <c r="BB19" s="132">
        <f>+Model!BB38</f>
        <v>0.50296233601354201</v>
      </c>
      <c r="BC19" s="132">
        <f>+Model!BC38</f>
        <v>0.52768338996602049</v>
      </c>
      <c r="BD19" s="1249">
        <f>+Model!BD38</f>
        <v>0.61403298350824587</v>
      </c>
      <c r="BE19" s="132">
        <f>+Model!BE38</f>
        <v>0.46405228758169925</v>
      </c>
      <c r="BF19" s="132">
        <f>+Model!BF38</f>
        <v>3.0275088366374714E-2</v>
      </c>
      <c r="BG19" s="132">
        <f>+Model!BG38</f>
        <v>-0.16500070392791777</v>
      </c>
      <c r="BH19" s="132">
        <f>+Model!BH38</f>
        <v>-0.20829517205285886</v>
      </c>
      <c r="BI19" s="1249">
        <f>+Model!BI38</f>
        <v>2.2293230289069932E-3</v>
      </c>
      <c r="BJ19" s="132">
        <f>+Model!BJ38</f>
        <v>-0.13223938223938225</v>
      </c>
      <c r="BK19" s="132">
        <f>+Model!BK38</f>
        <v>1.0147673031026252</v>
      </c>
      <c r="BL19" s="132">
        <f>+Model!BL38</f>
        <v>2.0551340414769852</v>
      </c>
      <c r="BM19" s="132">
        <f>+Model!BM38</f>
        <v>2.6527846636919516</v>
      </c>
      <c r="BN19" s="1249">
        <f>+Model!BN38</f>
        <v>1.2585452658115224</v>
      </c>
      <c r="BO19" s="132">
        <f>+Model!BO38</f>
        <v>2.6212458286985538</v>
      </c>
      <c r="BP19" s="132">
        <f>+Model!BP38</f>
        <v>1.2240319834160065</v>
      </c>
      <c r="BQ19" s="132">
        <f>+Model!BQ38</f>
        <v>0.93609271523178816</v>
      </c>
      <c r="BR19" s="132">
        <f>+Model!BR38</f>
        <v>0.77944170474596208</v>
      </c>
      <c r="BS19" s="1249">
        <f>+Model!BS38</f>
        <v>1.1420340763599355</v>
      </c>
      <c r="BT19" s="132">
        <f>+Model!BT38</f>
        <v>0.69182921210259551</v>
      </c>
      <c r="BU19" s="132">
        <f>+Model!BU38</f>
        <v>0.5560252996005326</v>
      </c>
      <c r="BV19" s="132">
        <f>+Model!BV38</f>
        <v>0.62493586454592109</v>
      </c>
      <c r="BW19" s="132">
        <f>+Model!BW38</f>
        <v>0.73214512725331171</v>
      </c>
      <c r="BX19" s="1249">
        <f>+Model!BX38</f>
        <v>0.65473535790094783</v>
      </c>
      <c r="BY19" s="960">
        <f>+Model!BY38</f>
        <v>0.85227633788752222</v>
      </c>
      <c r="BZ19" s="132">
        <f>+Model!BZ38</f>
        <v>0.94539267911772873</v>
      </c>
      <c r="CA19" s="132">
        <f>+Model!CA38</f>
        <v>0.60572220468020888</v>
      </c>
      <c r="CB19" s="132">
        <f>+Model!CB38</f>
        <v>0.37978995112070102</v>
      </c>
      <c r="CC19" s="1249">
        <f>+Model!CC38</f>
        <v>0.65827802424770065</v>
      </c>
      <c r="CD19" s="132">
        <f>+Model!CD38</f>
        <v>0.29294308644244316</v>
      </c>
      <c r="CE19" s="132">
        <f>+Model!CE38</f>
        <v>0.29400883546864875</v>
      </c>
      <c r="CF19" s="132">
        <f>+Model!CF38</f>
        <v>0.24755472722148064</v>
      </c>
      <c r="CG19" s="132">
        <f>+Model!CG38</f>
        <v>0.24400181593909398</v>
      </c>
      <c r="CH19" s="1249">
        <f>+Model!CH38</f>
        <v>0.26876372229137391</v>
      </c>
      <c r="CI19" s="1249">
        <f>+Model!CI38</f>
        <v>0.19277198219808733</v>
      </c>
      <c r="CJ19" s="1249">
        <f>+Model!CJ38</f>
        <v>0.17466733310254168</v>
      </c>
      <c r="CK19" s="1249">
        <f>+Model!CK38</f>
        <v>0.17500630227648339</v>
      </c>
      <c r="CL19" s="132"/>
    </row>
    <row r="20" spans="1:90" x14ac:dyDescent="0.3">
      <c r="A20" s="197"/>
      <c r="B20" s="208"/>
      <c r="C20" s="183"/>
      <c r="D20" s="183"/>
      <c r="E20" s="183"/>
      <c r="F20" s="183"/>
      <c r="G20" s="885"/>
      <c r="H20" s="885"/>
      <c r="I20" s="885"/>
      <c r="J20" s="885"/>
      <c r="K20" s="183"/>
      <c r="L20" s="885"/>
      <c r="M20" s="885"/>
      <c r="N20" s="885"/>
      <c r="O20" s="885"/>
      <c r="P20" s="183"/>
      <c r="Q20" s="885"/>
      <c r="R20" s="885"/>
      <c r="S20" s="885"/>
      <c r="T20" s="885"/>
      <c r="U20" s="183"/>
      <c r="V20" s="885"/>
      <c r="W20" s="885"/>
      <c r="X20" s="885"/>
      <c r="Y20" s="885"/>
      <c r="Z20" s="183"/>
      <c r="AA20" s="885"/>
      <c r="AB20" s="885"/>
      <c r="AC20" s="885"/>
      <c r="AD20" s="885"/>
      <c r="AE20" s="183"/>
      <c r="AF20" s="885"/>
      <c r="AG20" s="885"/>
      <c r="AH20" s="885"/>
      <c r="AI20" s="885"/>
      <c r="AJ20" s="183"/>
      <c r="AK20" s="885"/>
      <c r="AL20" s="885"/>
      <c r="AM20" s="885"/>
      <c r="AN20" s="885"/>
      <c r="AO20" s="183"/>
      <c r="AP20" s="885"/>
      <c r="AQ20" s="885"/>
      <c r="AR20" s="885"/>
      <c r="AS20" s="885"/>
      <c r="AT20" s="183"/>
      <c r="AU20" s="885"/>
      <c r="AV20" s="885"/>
      <c r="AW20" s="885"/>
      <c r="AX20" s="885"/>
      <c r="AY20" s="183"/>
      <c r="AZ20" s="885"/>
      <c r="BA20" s="885"/>
      <c r="BB20" s="885"/>
      <c r="BC20" s="885"/>
      <c r="BD20" s="183"/>
      <c r="BE20" s="885"/>
      <c r="BF20" s="885"/>
      <c r="BG20" s="885"/>
      <c r="BH20" s="885"/>
      <c r="BI20" s="183"/>
      <c r="BJ20" s="885"/>
      <c r="BK20" s="885"/>
      <c r="BL20" s="885"/>
      <c r="BM20" s="885"/>
      <c r="BN20" s="183"/>
      <c r="BO20" s="885"/>
      <c r="BP20" s="885"/>
      <c r="BQ20" s="885"/>
      <c r="BR20" s="885"/>
      <c r="BS20" s="183"/>
      <c r="BT20" s="885"/>
      <c r="BU20" s="885"/>
      <c r="BV20" s="885"/>
      <c r="BW20" s="885"/>
      <c r="BX20" s="183"/>
      <c r="BY20" s="878"/>
      <c r="BZ20" s="885"/>
      <c r="CA20" s="885"/>
      <c r="CB20" s="885"/>
      <c r="CC20" s="183"/>
      <c r="CD20" s="885"/>
      <c r="CE20" s="885"/>
      <c r="CF20" s="885"/>
      <c r="CG20" s="885"/>
      <c r="CH20" s="183"/>
      <c r="CI20" s="183"/>
      <c r="CJ20" s="183"/>
      <c r="CK20" s="183"/>
      <c r="CL20" s="885"/>
    </row>
    <row r="21" spans="1:90" s="993" customFormat="1" x14ac:dyDescent="0.3">
      <c r="A21" s="676" t="str">
        <f>+Model!A7</f>
        <v>Gaming Revenue, mm</v>
      </c>
      <c r="B21" s="677"/>
      <c r="C21" s="1244"/>
      <c r="D21" s="1244"/>
      <c r="E21" s="1244"/>
      <c r="F21" s="1244"/>
      <c r="G21" s="678"/>
      <c r="H21" s="678"/>
      <c r="I21" s="678"/>
      <c r="J21" s="678"/>
      <c r="K21" s="1244"/>
      <c r="L21" s="678"/>
      <c r="M21" s="678"/>
      <c r="N21" s="678"/>
      <c r="O21" s="678"/>
      <c r="P21" s="1244">
        <f>+Model!P7</f>
        <v>1511</v>
      </c>
      <c r="Q21" s="678">
        <f>+Model!Q7</f>
        <v>468</v>
      </c>
      <c r="R21" s="678">
        <f>+Model!R7</f>
        <v>417</v>
      </c>
      <c r="S21" s="678">
        <f>+Model!S7</f>
        <v>527</v>
      </c>
      <c r="T21" s="678">
        <f>+Model!T7</f>
        <v>646</v>
      </c>
      <c r="U21" s="1244">
        <f>+Model!U7</f>
        <v>2058</v>
      </c>
      <c r="V21" s="678">
        <f>+Model!V7</f>
        <v>587</v>
      </c>
      <c r="W21" s="678">
        <f>+Model!W7</f>
        <v>660</v>
      </c>
      <c r="X21" s="678">
        <f>+Model!X7</f>
        <v>761</v>
      </c>
      <c r="Y21" s="678">
        <f>+Model!Y7</f>
        <v>810</v>
      </c>
      <c r="Z21" s="1244">
        <f>+Model!Z7</f>
        <v>2818</v>
      </c>
      <c r="AA21" s="678">
        <f>+Model!AA7</f>
        <v>687</v>
      </c>
      <c r="AB21" s="678">
        <f>+Model!AB7</f>
        <v>781</v>
      </c>
      <c r="AC21" s="678">
        <f>+Model!AC7</f>
        <v>1244</v>
      </c>
      <c r="AD21" s="678">
        <f>+Model!AD7</f>
        <v>1348</v>
      </c>
      <c r="AE21" s="1244">
        <f>+Model!AE7</f>
        <v>4060</v>
      </c>
      <c r="AF21" s="678">
        <f>+Model!AF7</f>
        <v>1027</v>
      </c>
      <c r="AG21" s="678">
        <f>+Model!AG7</f>
        <v>1186</v>
      </c>
      <c r="AH21" s="678">
        <f>+Model!AH7</f>
        <v>1561</v>
      </c>
      <c r="AI21" s="678">
        <f>+Model!AI7</f>
        <v>1739</v>
      </c>
      <c r="AJ21" s="1244">
        <f>+Model!AJ7</f>
        <v>5513</v>
      </c>
      <c r="AK21" s="678">
        <f>+Model!AK7</f>
        <v>1723</v>
      </c>
      <c r="AL21" s="678">
        <f>+Model!AL7</f>
        <v>1805</v>
      </c>
      <c r="AM21" s="678">
        <f>+Model!AM7</f>
        <v>1764</v>
      </c>
      <c r="AN21" s="678">
        <f>+Model!AN7</f>
        <v>954</v>
      </c>
      <c r="AO21" s="1244">
        <f>+Model!AO7</f>
        <v>6246</v>
      </c>
      <c r="AP21" s="678">
        <f>+Model!AP7</f>
        <v>1055</v>
      </c>
      <c r="AQ21" s="678">
        <f>+Model!AQ7</f>
        <v>1313</v>
      </c>
      <c r="AR21" s="678">
        <f>+Model!AR7</f>
        <v>1659</v>
      </c>
      <c r="AS21" s="678">
        <f>+Model!AS7</f>
        <v>1491</v>
      </c>
      <c r="AT21" s="1244">
        <f>+Model!AT7</f>
        <v>5518</v>
      </c>
      <c r="AU21" s="678">
        <f>+Model!AU7</f>
        <v>1339</v>
      </c>
      <c r="AV21" s="678">
        <f>+Model!AV7</f>
        <v>1654</v>
      </c>
      <c r="AW21" s="678">
        <f>+Model!AW7</f>
        <v>2271</v>
      </c>
      <c r="AX21" s="678">
        <f>+Model!AX7</f>
        <v>2495</v>
      </c>
      <c r="AY21" s="1244">
        <f>+Model!AY7</f>
        <v>7759</v>
      </c>
      <c r="AZ21" s="678">
        <f>+Model!AZ7</f>
        <v>2760</v>
      </c>
      <c r="BA21" s="678">
        <f>+Model!BA7</f>
        <v>3061</v>
      </c>
      <c r="BB21" s="678">
        <f>+Model!BB7</f>
        <v>3221</v>
      </c>
      <c r="BC21" s="678">
        <f>+Model!BC7</f>
        <v>3420</v>
      </c>
      <c r="BD21" s="1244">
        <f>+Model!BD7</f>
        <v>12462</v>
      </c>
      <c r="BE21" s="678">
        <f>+Model!BE7</f>
        <v>3620</v>
      </c>
      <c r="BF21" s="678">
        <f>+Model!BF7</f>
        <v>2042</v>
      </c>
      <c r="BG21" s="678">
        <f>+Model!BG7</f>
        <v>1574</v>
      </c>
      <c r="BH21" s="678">
        <f>+Model!BH7</f>
        <v>1831</v>
      </c>
      <c r="BI21" s="1244">
        <f>+Model!BI7</f>
        <v>9067</v>
      </c>
      <c r="BJ21" s="678">
        <f>+Model!BJ7</f>
        <v>2240</v>
      </c>
      <c r="BK21" s="678">
        <f>+Model!BK7</f>
        <v>2486</v>
      </c>
      <c r="BL21" s="678">
        <f>+Model!BL7</f>
        <v>2856</v>
      </c>
      <c r="BM21" s="678">
        <f>+Model!BM7</f>
        <v>2865</v>
      </c>
      <c r="BN21" s="1244">
        <f>+Model!BN7</f>
        <v>10447</v>
      </c>
      <c r="BO21" s="678">
        <f>+Model!BO7</f>
        <v>2647</v>
      </c>
      <c r="BP21" s="678">
        <f>+Model!BP7</f>
        <v>2880</v>
      </c>
      <c r="BQ21" s="678">
        <f>+Model!BQ7</f>
        <v>3279</v>
      </c>
      <c r="BR21" s="678">
        <f>+Model!BR7</f>
        <v>2544</v>
      </c>
      <c r="BS21" s="1244">
        <f>+Model!BS7</f>
        <v>11350</v>
      </c>
      <c r="BT21" s="678">
        <f>+Model!BT7</f>
        <v>3763</v>
      </c>
      <c r="BU21" s="678">
        <f>+Model!BU7</f>
        <v>4287</v>
      </c>
      <c r="BV21" s="678">
        <f>+Model!BV7</f>
        <v>4265</v>
      </c>
      <c r="BW21" s="678">
        <f>+Model!BW7</f>
        <v>3727</v>
      </c>
      <c r="BX21" s="1244">
        <f>+Model!BX7</f>
        <v>16042</v>
      </c>
      <c r="BY21" s="954">
        <f>+Model!BY7</f>
        <v>4219</v>
      </c>
      <c r="BZ21" s="678">
        <f>+Model!BZ7</f>
        <v>5573.1</v>
      </c>
      <c r="CA21" s="678">
        <f>+Model!CA7</f>
        <v>5331.25</v>
      </c>
      <c r="CB21" s="678">
        <f>+Model!CB7</f>
        <v>4472.3999999999996</v>
      </c>
      <c r="CC21" s="1244">
        <f>+Model!CC7</f>
        <v>19595.75</v>
      </c>
      <c r="CD21" s="678">
        <f>+Model!CD7</f>
        <v>5273.75</v>
      </c>
      <c r="CE21" s="678">
        <f>+Model!CE7</f>
        <v>6966.375</v>
      </c>
      <c r="CF21" s="678">
        <f>+Model!CF7</f>
        <v>6664.0625</v>
      </c>
      <c r="CG21" s="678">
        <f>+Model!CG7</f>
        <v>5366.8799999999992</v>
      </c>
      <c r="CH21" s="1244">
        <f>+Model!CH7</f>
        <v>24271.067499999997</v>
      </c>
      <c r="CI21" s="1244">
        <f>+Model!CI7</f>
        <v>26698.17425</v>
      </c>
      <c r="CJ21" s="1244">
        <f>+Model!CJ7</f>
        <v>29367.991675000001</v>
      </c>
      <c r="CK21" s="1244">
        <f>+Model!CK7</f>
        <v>32304.790842500002</v>
      </c>
      <c r="CL21" s="678"/>
    </row>
    <row r="22" spans="1:90" s="993" customFormat="1" x14ac:dyDescent="0.3">
      <c r="A22" s="676" t="str">
        <f>+Model!A11</f>
        <v>Professional Visualization Revenue, mm</v>
      </c>
      <c r="B22" s="677"/>
      <c r="C22" s="1244"/>
      <c r="D22" s="1244"/>
      <c r="E22" s="1244"/>
      <c r="F22" s="1244"/>
      <c r="G22" s="678"/>
      <c r="H22" s="678"/>
      <c r="I22" s="678"/>
      <c r="J22" s="678"/>
      <c r="K22" s="1244"/>
      <c r="L22" s="678"/>
      <c r="M22" s="678"/>
      <c r="N22" s="678"/>
      <c r="O22" s="678"/>
      <c r="P22" s="1244">
        <f>+Model!P11</f>
        <v>789</v>
      </c>
      <c r="Q22" s="678">
        <f>+Model!Q11</f>
        <v>191</v>
      </c>
      <c r="R22" s="678">
        <f>+Model!R11</f>
        <v>208</v>
      </c>
      <c r="S22" s="678">
        <f>+Model!S11</f>
        <v>206</v>
      </c>
      <c r="T22" s="678">
        <f>+Model!T11</f>
        <v>190</v>
      </c>
      <c r="U22" s="1244">
        <f>+Model!U11</f>
        <v>795</v>
      </c>
      <c r="V22" s="678">
        <f>+Model!V11</f>
        <v>181</v>
      </c>
      <c r="W22" s="678">
        <f>+Model!W11</f>
        <v>176</v>
      </c>
      <c r="X22" s="678">
        <f>+Model!X11</f>
        <v>190</v>
      </c>
      <c r="Y22" s="678">
        <f>+Model!Y11</f>
        <v>203</v>
      </c>
      <c r="Z22" s="1244">
        <f>+Model!Z11</f>
        <v>750</v>
      </c>
      <c r="AA22" s="678">
        <f>+Model!AA11</f>
        <v>189</v>
      </c>
      <c r="AB22" s="678">
        <f>+Model!AB11</f>
        <v>214</v>
      </c>
      <c r="AC22" s="678">
        <f>+Model!AC11</f>
        <v>207</v>
      </c>
      <c r="AD22" s="678">
        <f>+Model!AD11</f>
        <v>225</v>
      </c>
      <c r="AE22" s="1244">
        <f>+Model!AE11</f>
        <v>835</v>
      </c>
      <c r="AF22" s="678">
        <f>+Model!AF11</f>
        <v>205</v>
      </c>
      <c r="AG22" s="678">
        <f>+Model!AG11</f>
        <v>235</v>
      </c>
      <c r="AH22" s="678">
        <f>+Model!AH11</f>
        <v>239</v>
      </c>
      <c r="AI22" s="678">
        <f>+Model!AI11</f>
        <v>255</v>
      </c>
      <c r="AJ22" s="1244">
        <f>+Model!AJ11</f>
        <v>934</v>
      </c>
      <c r="AK22" s="678">
        <f>+Model!AK11</f>
        <v>251</v>
      </c>
      <c r="AL22" s="678">
        <f>+Model!AL11</f>
        <v>281</v>
      </c>
      <c r="AM22" s="678">
        <f>+Model!AM11</f>
        <v>305</v>
      </c>
      <c r="AN22" s="678">
        <f>+Model!AN11</f>
        <v>293</v>
      </c>
      <c r="AO22" s="1244">
        <f>+Model!AO11</f>
        <v>1130</v>
      </c>
      <c r="AP22" s="678">
        <f>+Model!AP11</f>
        <v>266</v>
      </c>
      <c r="AQ22" s="678">
        <f>+Model!AQ11</f>
        <v>291</v>
      </c>
      <c r="AR22" s="678">
        <f>+Model!AR11</f>
        <v>324</v>
      </c>
      <c r="AS22" s="678">
        <f>+Model!AS11</f>
        <v>331</v>
      </c>
      <c r="AT22" s="1244">
        <f>+Model!AT11</f>
        <v>1212</v>
      </c>
      <c r="AU22" s="678">
        <f>+Model!AU11</f>
        <v>307</v>
      </c>
      <c r="AV22" s="678">
        <f>+Model!AV11</f>
        <v>203</v>
      </c>
      <c r="AW22" s="678">
        <f>+Model!AW11</f>
        <v>236</v>
      </c>
      <c r="AX22" s="678">
        <f>+Model!AX11</f>
        <v>307</v>
      </c>
      <c r="AY22" s="1244">
        <f>+Model!AY11</f>
        <v>1053</v>
      </c>
      <c r="AZ22" s="678">
        <f>+Model!AZ11</f>
        <v>372</v>
      </c>
      <c r="BA22" s="678">
        <f>+Model!BA11</f>
        <v>519</v>
      </c>
      <c r="BB22" s="678">
        <f>+Model!BB11</f>
        <v>577</v>
      </c>
      <c r="BC22" s="678">
        <f>+Model!BC11</f>
        <v>643</v>
      </c>
      <c r="BD22" s="1244">
        <f>+Model!BD11</f>
        <v>2111</v>
      </c>
      <c r="BE22" s="678">
        <f>+Model!BE11</f>
        <v>622</v>
      </c>
      <c r="BF22" s="678">
        <f>+Model!BF11</f>
        <v>496</v>
      </c>
      <c r="BG22" s="678">
        <f>+Model!BG11</f>
        <v>200</v>
      </c>
      <c r="BH22" s="678">
        <f>+Model!BH11</f>
        <v>226</v>
      </c>
      <c r="BI22" s="1244">
        <f>+Model!BI11</f>
        <v>1544</v>
      </c>
      <c r="BJ22" s="678">
        <f>+Model!BJ11</f>
        <v>295</v>
      </c>
      <c r="BK22" s="678">
        <f>+Model!BK11</f>
        <v>379</v>
      </c>
      <c r="BL22" s="678">
        <f>+Model!BL11</f>
        <v>416</v>
      </c>
      <c r="BM22" s="678">
        <f>+Model!BM11</f>
        <v>463</v>
      </c>
      <c r="BN22" s="1244">
        <f>+Model!BN11</f>
        <v>1553</v>
      </c>
      <c r="BO22" s="678">
        <f>+Model!BO11</f>
        <v>427</v>
      </c>
      <c r="BP22" s="678">
        <f>+Model!BP11</f>
        <v>454</v>
      </c>
      <c r="BQ22" s="678">
        <f>+Model!BQ11</f>
        <v>486</v>
      </c>
      <c r="BR22" s="678">
        <f>+Model!BR11</f>
        <v>511</v>
      </c>
      <c r="BS22" s="1244">
        <f>+Model!BS11</f>
        <v>1878</v>
      </c>
      <c r="BT22" s="678">
        <f>+Model!BT11</f>
        <v>509</v>
      </c>
      <c r="BU22" s="678">
        <f>+Model!BU11</f>
        <v>601</v>
      </c>
      <c r="BV22" s="678">
        <f>+Model!BV11</f>
        <v>760</v>
      </c>
      <c r="BW22" s="678">
        <f>+Model!BW11</f>
        <v>1321</v>
      </c>
      <c r="BX22" s="1244">
        <f>+Model!BX11</f>
        <v>3191</v>
      </c>
      <c r="BY22" s="954">
        <f>+Model!BY11</f>
        <v>1300</v>
      </c>
      <c r="BZ22" s="678">
        <f>+Model!BZ11</f>
        <v>631.05000000000007</v>
      </c>
      <c r="CA22" s="678">
        <f>+Model!CA11</f>
        <v>798</v>
      </c>
      <c r="CB22" s="678">
        <f>+Model!CB11</f>
        <v>1387.05</v>
      </c>
      <c r="CC22" s="1244">
        <f>+Model!CC11</f>
        <v>4116.1000000000004</v>
      </c>
      <c r="CD22" s="678">
        <f>+Model!CD11</f>
        <v>1365</v>
      </c>
      <c r="CE22" s="678">
        <f>+Model!CE11</f>
        <v>662.60250000000008</v>
      </c>
      <c r="CF22" s="678">
        <f>+Model!CF11</f>
        <v>837.90000000000009</v>
      </c>
      <c r="CG22" s="678">
        <f>+Model!CG11</f>
        <v>1456.4024999999999</v>
      </c>
      <c r="CH22" s="1244">
        <f>+Model!CH11</f>
        <v>4321.9049999999997</v>
      </c>
      <c r="CI22" s="1244">
        <f>+Model!CI11</f>
        <v>4754.0955000000004</v>
      </c>
      <c r="CJ22" s="1244">
        <f>+Model!CJ11</f>
        <v>5229.5050500000007</v>
      </c>
      <c r="CK22" s="1244">
        <f>+Model!CK11</f>
        <v>5752.4555550000014</v>
      </c>
      <c r="CL22" s="678"/>
    </row>
    <row r="23" spans="1:90" s="993" customFormat="1" x14ac:dyDescent="0.3">
      <c r="A23" s="676" t="str">
        <f>+Model!A22</f>
        <v>Datacenter Revenue, mm</v>
      </c>
      <c r="B23" s="677"/>
      <c r="C23" s="1244"/>
      <c r="D23" s="1244"/>
      <c r="E23" s="1244"/>
      <c r="F23" s="1244"/>
      <c r="G23" s="678"/>
      <c r="H23" s="678"/>
      <c r="I23" s="678"/>
      <c r="J23" s="678"/>
      <c r="K23" s="1244"/>
      <c r="L23" s="678"/>
      <c r="M23" s="678"/>
      <c r="N23" s="678"/>
      <c r="O23" s="678"/>
      <c r="P23" s="1244">
        <f>+Model!P22</f>
        <v>199</v>
      </c>
      <c r="Q23" s="678">
        <f>+Model!Q22</f>
        <v>57</v>
      </c>
      <c r="R23" s="678">
        <f>+Model!R22</f>
        <v>83</v>
      </c>
      <c r="S23" s="678">
        <f>+Model!S22</f>
        <v>89</v>
      </c>
      <c r="T23" s="678">
        <f>+Model!T22</f>
        <v>88</v>
      </c>
      <c r="U23" s="1244">
        <f>+Model!U22</f>
        <v>317</v>
      </c>
      <c r="V23" s="678">
        <f>+Model!V22</f>
        <v>88</v>
      </c>
      <c r="W23" s="678">
        <f>+Model!W22</f>
        <v>72</v>
      </c>
      <c r="X23" s="678">
        <f>+Model!X22</f>
        <v>82</v>
      </c>
      <c r="Y23" s="678">
        <f>+Model!Y22</f>
        <v>97</v>
      </c>
      <c r="Z23" s="1244">
        <f>+Model!Z22</f>
        <v>339</v>
      </c>
      <c r="AA23" s="678">
        <f>+Model!AA22</f>
        <v>143</v>
      </c>
      <c r="AB23" s="678">
        <f>+Model!AB22</f>
        <v>151</v>
      </c>
      <c r="AC23" s="678">
        <f>+Model!AC22</f>
        <v>240</v>
      </c>
      <c r="AD23" s="678">
        <f>+Model!AD22</f>
        <v>296</v>
      </c>
      <c r="AE23" s="1244">
        <f>+Model!AE22</f>
        <v>830</v>
      </c>
      <c r="AF23" s="678">
        <f>+Model!AF22</f>
        <v>409</v>
      </c>
      <c r="AG23" s="678">
        <f>+Model!AG22</f>
        <v>416</v>
      </c>
      <c r="AH23" s="678">
        <f>+Model!AH22</f>
        <v>501</v>
      </c>
      <c r="AI23" s="678">
        <f>+Model!AI22</f>
        <v>606</v>
      </c>
      <c r="AJ23" s="1244">
        <f>+Model!AJ22</f>
        <v>1932</v>
      </c>
      <c r="AK23" s="678">
        <f>+Model!AK22</f>
        <v>701</v>
      </c>
      <c r="AL23" s="678">
        <f>+Model!AL22</f>
        <v>760</v>
      </c>
      <c r="AM23" s="678">
        <f>+Model!AM22</f>
        <v>792</v>
      </c>
      <c r="AN23" s="678">
        <f>+Model!AN22</f>
        <v>679</v>
      </c>
      <c r="AO23" s="1244">
        <f>+Model!AO22</f>
        <v>2932</v>
      </c>
      <c r="AP23" s="678">
        <f>+Model!AP22</f>
        <v>634</v>
      </c>
      <c r="AQ23" s="678">
        <f>+Model!AQ22</f>
        <v>655</v>
      </c>
      <c r="AR23" s="678">
        <f>+Model!AR22</f>
        <v>726</v>
      </c>
      <c r="AS23" s="678">
        <f>+Model!AS22</f>
        <v>968</v>
      </c>
      <c r="AT23" s="1244">
        <f>+Model!AT22</f>
        <v>2983</v>
      </c>
      <c r="AU23" s="678">
        <f>+Model!AU22</f>
        <v>1141</v>
      </c>
      <c r="AV23" s="678">
        <f>+Model!AV22</f>
        <v>1752</v>
      </c>
      <c r="AW23" s="678">
        <f>+Model!AW22</f>
        <v>1900</v>
      </c>
      <c r="AX23" s="678">
        <f>+Model!AX22</f>
        <v>1903</v>
      </c>
      <c r="AY23" s="1244">
        <f>+Model!AY22</f>
        <v>6696</v>
      </c>
      <c r="AZ23" s="678">
        <f>+Model!AZ22</f>
        <v>2048</v>
      </c>
      <c r="BA23" s="678">
        <f>+Model!BA22</f>
        <v>2366</v>
      </c>
      <c r="BB23" s="678">
        <f>+Model!BB22</f>
        <v>2936</v>
      </c>
      <c r="BC23" s="678">
        <f>+Model!BC22</f>
        <v>3263</v>
      </c>
      <c r="BD23" s="1244">
        <f>+Model!BD22</f>
        <v>10613</v>
      </c>
      <c r="BE23" s="678">
        <f>+Model!BE22</f>
        <v>3750</v>
      </c>
      <c r="BF23" s="678">
        <f>+Model!BF22</f>
        <v>3806</v>
      </c>
      <c r="BG23" s="678">
        <f>+Model!BG22</f>
        <v>3833</v>
      </c>
      <c r="BH23" s="678">
        <f>+Model!BH22</f>
        <v>3616</v>
      </c>
      <c r="BI23" s="1244">
        <f>+Model!BI22</f>
        <v>15005</v>
      </c>
      <c r="BJ23" s="678">
        <f>+Model!BJ22</f>
        <v>4284</v>
      </c>
      <c r="BK23" s="678">
        <f>+Model!BK22</f>
        <v>10323</v>
      </c>
      <c r="BL23" s="678">
        <f>+Model!BL22</f>
        <v>14514</v>
      </c>
      <c r="BM23" s="678">
        <f>+Model!BM22</f>
        <v>18404</v>
      </c>
      <c r="BN23" s="1244">
        <f>+Model!BN22</f>
        <v>47525</v>
      </c>
      <c r="BO23" s="678">
        <f>+Model!BO22</f>
        <v>22563</v>
      </c>
      <c r="BP23" s="678">
        <f>+Model!BP22</f>
        <v>26272</v>
      </c>
      <c r="BQ23" s="678">
        <f>+Model!BQ22</f>
        <v>30771</v>
      </c>
      <c r="BR23" s="678">
        <f>+Model!BR22</f>
        <v>35580</v>
      </c>
      <c r="BS23" s="1244">
        <f>+Model!BS22</f>
        <v>115186</v>
      </c>
      <c r="BT23" s="678">
        <f>+Model!BT22</f>
        <v>39112</v>
      </c>
      <c r="BU23" s="678">
        <f>+Model!BU22</f>
        <v>41096</v>
      </c>
      <c r="BV23" s="678">
        <f>+Model!BV22</f>
        <v>51215</v>
      </c>
      <c r="BW23" s="678">
        <f>+Model!BW22</f>
        <v>62314</v>
      </c>
      <c r="BX23" s="1244">
        <f>+Model!BX22</f>
        <v>193737</v>
      </c>
      <c r="BY23" s="954">
        <f>+Model!BY22</f>
        <v>75246</v>
      </c>
      <c r="BZ23" s="678">
        <f>+Model!BZ22</f>
        <v>83835.839999999997</v>
      </c>
      <c r="CA23" s="678">
        <f>+Model!CA22</f>
        <v>84504.75</v>
      </c>
      <c r="CB23" s="678">
        <f>+Model!CB22</f>
        <v>87239.599999999991</v>
      </c>
      <c r="CC23" s="1244">
        <f>+Model!CC22</f>
        <v>330826.19</v>
      </c>
      <c r="CD23" s="678">
        <f>+Model!CD22</f>
        <v>97819.8</v>
      </c>
      <c r="CE23" s="678">
        <f>+Model!CE22</f>
        <v>108986.592</v>
      </c>
      <c r="CF23" s="678">
        <f>+Model!CF22</f>
        <v>105630.9375</v>
      </c>
      <c r="CG23" s="678">
        <f>+Model!CG22</f>
        <v>109049.49999999999</v>
      </c>
      <c r="CH23" s="1244">
        <f>+Model!CH22</f>
        <v>421486.82949999999</v>
      </c>
      <c r="CI23" s="1244">
        <f>+Model!CI22</f>
        <v>505784.19539999997</v>
      </c>
      <c r="CJ23" s="1244">
        <f>+Model!CJ22</f>
        <v>596825.35057199991</v>
      </c>
      <c r="CK23" s="1244">
        <f>+Model!CK22</f>
        <v>704253.91367495991</v>
      </c>
      <c r="CL23" s="678"/>
    </row>
    <row r="24" spans="1:90" s="993" customFormat="1" x14ac:dyDescent="0.3">
      <c r="A24" s="676" t="str">
        <f>+Model!A26</f>
        <v>Automotive Revenue, mm</v>
      </c>
      <c r="B24" s="677"/>
      <c r="C24" s="1244"/>
      <c r="D24" s="1244"/>
      <c r="E24" s="1244"/>
      <c r="F24" s="1244"/>
      <c r="G24" s="678"/>
      <c r="H24" s="678"/>
      <c r="I24" s="678"/>
      <c r="J24" s="678"/>
      <c r="K24" s="1244"/>
      <c r="L24" s="678"/>
      <c r="M24" s="678"/>
      <c r="N24" s="678"/>
      <c r="O24" s="678"/>
      <c r="P24" s="1244">
        <f>+Model!P26</f>
        <v>99</v>
      </c>
      <c r="Q24" s="678">
        <f>+Model!Q26</f>
        <v>35</v>
      </c>
      <c r="R24" s="678">
        <f>+Model!R26</f>
        <v>40</v>
      </c>
      <c r="S24" s="678">
        <f>+Model!S26</f>
        <v>52</v>
      </c>
      <c r="T24" s="678">
        <f>+Model!T26</f>
        <v>56</v>
      </c>
      <c r="U24" s="1244">
        <f>+Model!U26</f>
        <v>183</v>
      </c>
      <c r="V24" s="678">
        <f>+Model!V26</f>
        <v>77</v>
      </c>
      <c r="W24" s="678">
        <f>+Model!W26</f>
        <v>71</v>
      </c>
      <c r="X24" s="678">
        <f>+Model!X26</f>
        <v>79</v>
      </c>
      <c r="Y24" s="678">
        <f>+Model!Y26</f>
        <v>93</v>
      </c>
      <c r="Z24" s="1244">
        <f>+Model!Z26</f>
        <v>320</v>
      </c>
      <c r="AA24" s="678">
        <f>+Model!AA26</f>
        <v>113</v>
      </c>
      <c r="AB24" s="678">
        <f>+Model!AB26</f>
        <v>119</v>
      </c>
      <c r="AC24" s="678">
        <f>+Model!AC26</f>
        <v>127</v>
      </c>
      <c r="AD24" s="678">
        <f>+Model!AD26</f>
        <v>128</v>
      </c>
      <c r="AE24" s="1244">
        <f>+Model!AE26</f>
        <v>487</v>
      </c>
      <c r="AF24" s="678">
        <f>+Model!AF26</f>
        <v>140</v>
      </c>
      <c r="AG24" s="678">
        <f>+Model!AG26</f>
        <v>142</v>
      </c>
      <c r="AH24" s="678">
        <f>+Model!AH26</f>
        <v>144</v>
      </c>
      <c r="AI24" s="678">
        <f>+Model!AI26</f>
        <v>132</v>
      </c>
      <c r="AJ24" s="1244">
        <f>+Model!AJ26</f>
        <v>558</v>
      </c>
      <c r="AK24" s="678">
        <f>+Model!AK26</f>
        <v>145</v>
      </c>
      <c r="AL24" s="678">
        <f>+Model!AL26</f>
        <v>161</v>
      </c>
      <c r="AM24" s="678">
        <f>+Model!AM26</f>
        <v>172</v>
      </c>
      <c r="AN24" s="678">
        <f>+Model!AN26</f>
        <v>163</v>
      </c>
      <c r="AO24" s="1244">
        <f>+Model!AO26</f>
        <v>641</v>
      </c>
      <c r="AP24" s="678">
        <f>+Model!AP26</f>
        <v>166</v>
      </c>
      <c r="AQ24" s="678">
        <f>+Model!AQ26</f>
        <v>209</v>
      </c>
      <c r="AR24" s="678">
        <f>+Model!AR26</f>
        <v>162</v>
      </c>
      <c r="AS24" s="678">
        <f>+Model!AS26</f>
        <v>163</v>
      </c>
      <c r="AT24" s="1244">
        <f>+Model!AT26</f>
        <v>700</v>
      </c>
      <c r="AU24" s="678">
        <f>+Model!AU26</f>
        <v>155</v>
      </c>
      <c r="AV24" s="678">
        <f>+Model!AV26</f>
        <v>111</v>
      </c>
      <c r="AW24" s="678">
        <f>+Model!AW26</f>
        <v>125</v>
      </c>
      <c r="AX24" s="678">
        <f>+Model!AX26</f>
        <v>145</v>
      </c>
      <c r="AY24" s="1244">
        <f>+Model!AY26</f>
        <v>536</v>
      </c>
      <c r="AZ24" s="678">
        <f>+Model!AZ26</f>
        <v>154</v>
      </c>
      <c r="BA24" s="678">
        <f>+Model!BA26</f>
        <v>152</v>
      </c>
      <c r="BB24" s="678">
        <f>+Model!BB26</f>
        <v>135</v>
      </c>
      <c r="BC24" s="678">
        <f>+Model!BC26</f>
        <v>125</v>
      </c>
      <c r="BD24" s="1244">
        <f>+Model!BD26</f>
        <v>566</v>
      </c>
      <c r="BE24" s="678">
        <f>+Model!BE26</f>
        <v>138</v>
      </c>
      <c r="BF24" s="678">
        <f>+Model!BF26</f>
        <v>220</v>
      </c>
      <c r="BG24" s="678">
        <f>+Model!BG26</f>
        <v>251</v>
      </c>
      <c r="BH24" s="678">
        <f>+Model!BH26</f>
        <v>294</v>
      </c>
      <c r="BI24" s="1244">
        <f>+Model!BI26</f>
        <v>903</v>
      </c>
      <c r="BJ24" s="678">
        <f>+Model!BJ26</f>
        <v>296</v>
      </c>
      <c r="BK24" s="678">
        <f>+Model!BK26</f>
        <v>253</v>
      </c>
      <c r="BL24" s="678">
        <f>+Model!BL26</f>
        <v>261</v>
      </c>
      <c r="BM24" s="678">
        <f>+Model!BM26</f>
        <v>281</v>
      </c>
      <c r="BN24" s="1244">
        <f>+Model!BN26</f>
        <v>1091</v>
      </c>
      <c r="BO24" s="678">
        <f>+Model!BO26</f>
        <v>329</v>
      </c>
      <c r="BP24" s="678">
        <f>+Model!BP26</f>
        <v>346</v>
      </c>
      <c r="BQ24" s="678">
        <f>+Model!BQ26</f>
        <v>449</v>
      </c>
      <c r="BR24" s="678">
        <f>+Model!BR26</f>
        <v>570</v>
      </c>
      <c r="BS24" s="1244">
        <f>+Model!BS26</f>
        <v>1694</v>
      </c>
      <c r="BT24" s="678">
        <f>+Model!BT26</f>
        <v>567</v>
      </c>
      <c r="BU24" s="678">
        <f>+Model!BU26</f>
        <v>586</v>
      </c>
      <c r="BV24" s="678">
        <f>+Model!BV26</f>
        <v>592</v>
      </c>
      <c r="BW24" s="678">
        <f>+Model!BW26</f>
        <v>604</v>
      </c>
      <c r="BX24" s="1244">
        <f>+Model!BX26</f>
        <v>2349</v>
      </c>
      <c r="BY24" s="954">
        <f>+Model!BY26</f>
        <v>650</v>
      </c>
      <c r="BZ24" s="678">
        <f>+Model!BZ26</f>
        <v>703.19999999999993</v>
      </c>
      <c r="CA24" s="678">
        <f>+Model!CA26</f>
        <v>710.4</v>
      </c>
      <c r="CB24" s="678">
        <f>+Model!CB26</f>
        <v>724.8</v>
      </c>
      <c r="CC24" s="1244">
        <f>+Model!CC26</f>
        <v>2788.3999999999996</v>
      </c>
      <c r="CD24" s="678">
        <f>+Model!CD26</f>
        <v>845</v>
      </c>
      <c r="CE24" s="678">
        <f>+Model!CE26</f>
        <v>843.83999999999992</v>
      </c>
      <c r="CF24" s="678">
        <f>+Model!CF26</f>
        <v>852.4799999999999</v>
      </c>
      <c r="CG24" s="678">
        <f>+Model!CG26</f>
        <v>869.75999999999988</v>
      </c>
      <c r="CH24" s="1244">
        <f>+Model!CH26</f>
        <v>3411.0799999999995</v>
      </c>
      <c r="CI24" s="1244">
        <f>+Model!CI26</f>
        <v>3752.1879999999996</v>
      </c>
      <c r="CJ24" s="1244">
        <f>+Model!CJ26</f>
        <v>4127.4067999999997</v>
      </c>
      <c r="CK24" s="1244">
        <f>+Model!CK26</f>
        <v>4540.1474800000005</v>
      </c>
      <c r="CL24" s="678"/>
    </row>
    <row r="25" spans="1:90" s="993" customFormat="1" x14ac:dyDescent="0.3">
      <c r="A25" s="679" t="str">
        <f>+Model!A30</f>
        <v>OEM &amp; IP Revenue, mm</v>
      </c>
      <c r="B25" s="680"/>
      <c r="C25" s="1250"/>
      <c r="D25" s="1250"/>
      <c r="E25" s="1250"/>
      <c r="F25" s="1250"/>
      <c r="G25" s="681"/>
      <c r="H25" s="681"/>
      <c r="I25" s="681"/>
      <c r="J25" s="681"/>
      <c r="K25" s="1250"/>
      <c r="L25" s="681"/>
      <c r="M25" s="681"/>
      <c r="N25" s="681"/>
      <c r="O25" s="681"/>
      <c r="P25" s="1250">
        <f>+Model!P30</f>
        <v>1532</v>
      </c>
      <c r="Q25" s="681">
        <f>+Model!Q30</f>
        <v>352</v>
      </c>
      <c r="R25" s="681">
        <f>+Model!R30</f>
        <v>355</v>
      </c>
      <c r="S25" s="681">
        <f>+Model!S30</f>
        <v>351</v>
      </c>
      <c r="T25" s="681">
        <f>+Model!T30</f>
        <v>271</v>
      </c>
      <c r="U25" s="1250">
        <f>+Model!U30</f>
        <v>1329</v>
      </c>
      <c r="V25" s="681">
        <f>+Model!V30</f>
        <v>218</v>
      </c>
      <c r="W25" s="681">
        <f>+Model!W30</f>
        <v>174</v>
      </c>
      <c r="X25" s="681">
        <f>+Model!X30</f>
        <v>193</v>
      </c>
      <c r="Y25" s="681">
        <f>+Model!Y30</f>
        <v>198</v>
      </c>
      <c r="Z25" s="1250">
        <f>+Model!Z30</f>
        <v>783</v>
      </c>
      <c r="AA25" s="681">
        <f>+Model!AA30</f>
        <v>173</v>
      </c>
      <c r="AB25" s="681">
        <f>+Model!AB30</f>
        <v>163</v>
      </c>
      <c r="AC25" s="681">
        <f>+Model!AC30</f>
        <v>186</v>
      </c>
      <c r="AD25" s="681">
        <f>+Model!AD30</f>
        <v>176</v>
      </c>
      <c r="AE25" s="1250">
        <f>+Model!AE30</f>
        <v>698</v>
      </c>
      <c r="AF25" s="681">
        <f>+Model!AF30</f>
        <v>156</v>
      </c>
      <c r="AG25" s="681">
        <f>+Model!AG30</f>
        <v>251</v>
      </c>
      <c r="AH25" s="681">
        <f>+Model!AH30</f>
        <v>191</v>
      </c>
      <c r="AI25" s="681">
        <f>+Model!AI30</f>
        <v>179</v>
      </c>
      <c r="AJ25" s="1250">
        <f>+Model!AJ30</f>
        <v>777</v>
      </c>
      <c r="AK25" s="681">
        <f>+Model!AK30</f>
        <v>387</v>
      </c>
      <c r="AL25" s="681">
        <f>+Model!AL30</f>
        <v>116</v>
      </c>
      <c r="AM25" s="681">
        <f>+Model!AM30</f>
        <v>148</v>
      </c>
      <c r="AN25" s="681">
        <f>+Model!AN30</f>
        <v>116</v>
      </c>
      <c r="AO25" s="1250">
        <f>+Model!AO30</f>
        <v>767</v>
      </c>
      <c r="AP25" s="681">
        <f>+Model!AP30</f>
        <v>99</v>
      </c>
      <c r="AQ25" s="681">
        <f>+Model!AQ30</f>
        <v>111</v>
      </c>
      <c r="AR25" s="681">
        <f>+Model!AR30</f>
        <v>143</v>
      </c>
      <c r="AS25" s="681">
        <f>+Model!AS30</f>
        <v>152</v>
      </c>
      <c r="AT25" s="1250">
        <f>+Model!AT30</f>
        <v>505</v>
      </c>
      <c r="AU25" s="681">
        <f>+Model!AU30</f>
        <v>138</v>
      </c>
      <c r="AV25" s="681">
        <f>+Model!AV30</f>
        <v>146</v>
      </c>
      <c r="AW25" s="681">
        <f>+Model!AW30</f>
        <v>194</v>
      </c>
      <c r="AX25" s="681">
        <f>+Model!AX30</f>
        <v>153</v>
      </c>
      <c r="AY25" s="1250">
        <f>+Model!AY30</f>
        <v>631</v>
      </c>
      <c r="AZ25" s="681">
        <f>+Model!AZ30</f>
        <v>327</v>
      </c>
      <c r="BA25" s="681">
        <f>+Model!BA30</f>
        <v>409</v>
      </c>
      <c r="BB25" s="681">
        <f>+Model!BB30</f>
        <v>234</v>
      </c>
      <c r="BC25" s="681">
        <f>+Model!BC30</f>
        <v>192</v>
      </c>
      <c r="BD25" s="1250">
        <f>+Model!BD30</f>
        <v>1162</v>
      </c>
      <c r="BE25" s="681">
        <f>+Model!BE30</f>
        <v>158</v>
      </c>
      <c r="BF25" s="681">
        <f>+Model!BF30</f>
        <v>140</v>
      </c>
      <c r="BG25" s="681">
        <f>+Model!BG30</f>
        <v>73</v>
      </c>
      <c r="BH25" s="681">
        <f>+Model!BH30</f>
        <v>84</v>
      </c>
      <c r="BI25" s="1250">
        <f>+Model!BI30</f>
        <v>455</v>
      </c>
      <c r="BJ25" s="681">
        <f>+Model!BJ30</f>
        <v>77</v>
      </c>
      <c r="BK25" s="681">
        <f>+Model!BK30</f>
        <v>66</v>
      </c>
      <c r="BL25" s="681">
        <f>+Model!BL30</f>
        <v>73</v>
      </c>
      <c r="BM25" s="681">
        <f>+Model!BM30</f>
        <v>90</v>
      </c>
      <c r="BN25" s="1250">
        <f>+Model!BN30</f>
        <v>306</v>
      </c>
      <c r="BO25" s="681">
        <f>+Model!BO30</f>
        <v>78</v>
      </c>
      <c r="BP25" s="681">
        <f>+Model!BP30</f>
        <v>88</v>
      </c>
      <c r="BQ25" s="681">
        <f>+Model!BQ30</f>
        <v>97</v>
      </c>
      <c r="BR25" s="681">
        <f>+Model!BR30</f>
        <v>126</v>
      </c>
      <c r="BS25" s="1250">
        <f>+Model!BS30</f>
        <v>389</v>
      </c>
      <c r="BT25" s="681">
        <f>+Model!BT30</f>
        <v>111</v>
      </c>
      <c r="BU25" s="681">
        <f>+Model!BU30</f>
        <v>173</v>
      </c>
      <c r="BV25" s="681">
        <f>+Model!BV30</f>
        <v>174</v>
      </c>
      <c r="BW25" s="681">
        <f>+Model!BW30</f>
        <v>161</v>
      </c>
      <c r="BX25" s="1250">
        <f>+Model!BX30</f>
        <v>619</v>
      </c>
      <c r="BY25" s="958">
        <f>+Model!BY30</f>
        <v>200</v>
      </c>
      <c r="BZ25" s="681">
        <f>+Model!BZ30</f>
        <v>190.3</v>
      </c>
      <c r="CA25" s="681">
        <f>+Model!CA30</f>
        <v>191.4</v>
      </c>
      <c r="CB25" s="681">
        <f>+Model!CB30</f>
        <v>177.10000000000002</v>
      </c>
      <c r="CC25" s="1250">
        <f>+Model!CC30</f>
        <v>758.80000000000007</v>
      </c>
      <c r="CD25" s="681">
        <f>+Model!CD30</f>
        <v>220.00000000000003</v>
      </c>
      <c r="CE25" s="681">
        <f>+Model!CE30</f>
        <v>209.33000000000004</v>
      </c>
      <c r="CF25" s="681">
        <f>+Model!CF30</f>
        <v>210.54000000000002</v>
      </c>
      <c r="CG25" s="681">
        <f>+Model!CG30</f>
        <v>194.81000000000003</v>
      </c>
      <c r="CH25" s="1250">
        <f>+Model!CH30</f>
        <v>834.68000000000018</v>
      </c>
      <c r="CI25" s="1250">
        <f>+Model!CI30</f>
        <v>918.14800000000025</v>
      </c>
      <c r="CJ25" s="1250">
        <f>+Model!CJ30</f>
        <v>1009.9628000000004</v>
      </c>
      <c r="CK25" s="1250">
        <f>+Model!CK30</f>
        <v>1110.9590800000005</v>
      </c>
      <c r="CL25" s="678"/>
    </row>
    <row r="26" spans="1:90" s="992" customFormat="1" x14ac:dyDescent="0.3">
      <c r="A26" s="682" t="str">
        <f>+Model!A34</f>
        <v>Total Revenue, mm</v>
      </c>
      <c r="B26" s="683"/>
      <c r="C26" s="1243"/>
      <c r="D26" s="1243"/>
      <c r="E26" s="1243"/>
      <c r="F26" s="1243"/>
      <c r="G26" s="574"/>
      <c r="H26" s="574"/>
      <c r="I26" s="574"/>
      <c r="J26" s="574"/>
      <c r="K26" s="1243"/>
      <c r="L26" s="574"/>
      <c r="M26" s="574"/>
      <c r="N26" s="574"/>
      <c r="O26" s="574"/>
      <c r="P26" s="1243">
        <f>+Model!P34</f>
        <v>4130</v>
      </c>
      <c r="Q26" s="574">
        <f>+Model!Q34</f>
        <v>1103</v>
      </c>
      <c r="R26" s="574">
        <f>+Model!R34</f>
        <v>1103</v>
      </c>
      <c r="S26" s="574">
        <f>+Model!S34</f>
        <v>1225</v>
      </c>
      <c r="T26" s="574">
        <f>+Model!T34</f>
        <v>1251</v>
      </c>
      <c r="U26" s="1243">
        <f>+Model!U34</f>
        <v>4682</v>
      </c>
      <c r="V26" s="574">
        <f>+Model!V34</f>
        <v>1151</v>
      </c>
      <c r="W26" s="574">
        <f>+Model!W34</f>
        <v>1153</v>
      </c>
      <c r="X26" s="574">
        <f>+Model!X34</f>
        <v>1305</v>
      </c>
      <c r="Y26" s="574">
        <f>+Model!Y34</f>
        <v>1401</v>
      </c>
      <c r="Z26" s="1243">
        <f>+Model!Z34</f>
        <v>5010</v>
      </c>
      <c r="AA26" s="574">
        <f>+Model!AA34</f>
        <v>1305</v>
      </c>
      <c r="AB26" s="574">
        <f>+Model!AB34</f>
        <v>1428</v>
      </c>
      <c r="AC26" s="574">
        <f>+Model!AC34</f>
        <v>2004</v>
      </c>
      <c r="AD26" s="574">
        <f>+Model!AD34</f>
        <v>2173</v>
      </c>
      <c r="AE26" s="1243">
        <f>+Model!AE34</f>
        <v>6910</v>
      </c>
      <c r="AF26" s="574">
        <f>+Model!AF34</f>
        <v>1937</v>
      </c>
      <c r="AG26" s="574">
        <f>+Model!AG34</f>
        <v>2230</v>
      </c>
      <c r="AH26" s="574">
        <f>+Model!AH34</f>
        <v>2636</v>
      </c>
      <c r="AI26" s="574">
        <f>+Model!AI34</f>
        <v>2911</v>
      </c>
      <c r="AJ26" s="1243">
        <f>+Model!AJ34</f>
        <v>9714</v>
      </c>
      <c r="AK26" s="574">
        <f>+Model!AK34</f>
        <v>3207</v>
      </c>
      <c r="AL26" s="574">
        <f>+Model!AL34</f>
        <v>3123</v>
      </c>
      <c r="AM26" s="574">
        <f>+Model!AM34</f>
        <v>3181</v>
      </c>
      <c r="AN26" s="574">
        <f>+Model!AN34</f>
        <v>2205</v>
      </c>
      <c r="AO26" s="1243">
        <f>+Model!AO34</f>
        <v>11716</v>
      </c>
      <c r="AP26" s="574">
        <f>+Model!AP34</f>
        <v>2220</v>
      </c>
      <c r="AQ26" s="574">
        <f>+Model!AQ34</f>
        <v>2579</v>
      </c>
      <c r="AR26" s="574">
        <f>+Model!AR34</f>
        <v>3014</v>
      </c>
      <c r="AS26" s="574">
        <f>+Model!AS34</f>
        <v>3105</v>
      </c>
      <c r="AT26" s="1243">
        <f>+Model!AT34</f>
        <v>10918</v>
      </c>
      <c r="AU26" s="574">
        <f>+Model!AU34</f>
        <v>3080</v>
      </c>
      <c r="AV26" s="574">
        <f>+Model!AV34</f>
        <v>3866</v>
      </c>
      <c r="AW26" s="574">
        <f>+Model!AW34</f>
        <v>4726</v>
      </c>
      <c r="AX26" s="574">
        <f>+Model!AX34</f>
        <v>5003</v>
      </c>
      <c r="AY26" s="1243">
        <f>+Model!AY34</f>
        <v>16675</v>
      </c>
      <c r="AZ26" s="574">
        <f>+Model!AZ34</f>
        <v>5661</v>
      </c>
      <c r="BA26" s="574">
        <f>+Model!BA34</f>
        <v>6507</v>
      </c>
      <c r="BB26" s="574">
        <f>+Model!BB34</f>
        <v>7103</v>
      </c>
      <c r="BC26" s="574">
        <f>+Model!BC34</f>
        <v>7643</v>
      </c>
      <c r="BD26" s="1243">
        <f>+Model!BD34</f>
        <v>26914</v>
      </c>
      <c r="BE26" s="574">
        <f>+Model!BE34</f>
        <v>8288</v>
      </c>
      <c r="BF26" s="574">
        <f>+Model!BF34</f>
        <v>6704</v>
      </c>
      <c r="BG26" s="574">
        <f>+Model!BG34</f>
        <v>5931</v>
      </c>
      <c r="BH26" s="574">
        <f>+Model!BH34</f>
        <v>6051</v>
      </c>
      <c r="BI26" s="1243">
        <f>+Model!BI34</f>
        <v>26974</v>
      </c>
      <c r="BJ26" s="574">
        <f>+Model!BJ34</f>
        <v>7192</v>
      </c>
      <c r="BK26" s="574">
        <f>+Model!BK34</f>
        <v>13507</v>
      </c>
      <c r="BL26" s="574">
        <f>+Model!BL34</f>
        <v>18120</v>
      </c>
      <c r="BM26" s="574">
        <f>+Model!BM34</f>
        <v>22103</v>
      </c>
      <c r="BN26" s="1243">
        <f>+Model!BN34</f>
        <v>60922</v>
      </c>
      <c r="BO26" s="574">
        <f>+Model!BO34</f>
        <v>26044</v>
      </c>
      <c r="BP26" s="574">
        <f>+Model!BP34</f>
        <v>30040</v>
      </c>
      <c r="BQ26" s="574">
        <f>+Model!BQ34</f>
        <v>35082</v>
      </c>
      <c r="BR26" s="574">
        <f>+Model!BR34</f>
        <v>39331</v>
      </c>
      <c r="BS26" s="1243">
        <f>+Model!BS34</f>
        <v>130497</v>
      </c>
      <c r="BT26" s="574">
        <f>+Model!BT34</f>
        <v>44062</v>
      </c>
      <c r="BU26" s="574">
        <f>+Model!BU34</f>
        <v>46743</v>
      </c>
      <c r="BV26" s="574">
        <f>+Model!BV34</f>
        <v>57006</v>
      </c>
      <c r="BW26" s="574">
        <f>+Model!BW34</f>
        <v>68127</v>
      </c>
      <c r="BX26" s="1243">
        <f>+Model!BX34</f>
        <v>215938</v>
      </c>
      <c r="BY26" s="955">
        <f>+Model!BY34</f>
        <v>81615</v>
      </c>
      <c r="BZ26" s="574">
        <f>+Model!BZ34</f>
        <v>90933.489999999991</v>
      </c>
      <c r="CA26" s="574">
        <f>+Model!CA34</f>
        <v>91535.799999999988</v>
      </c>
      <c r="CB26" s="574">
        <f>+Model!CB34</f>
        <v>94000.95</v>
      </c>
      <c r="CC26" s="1243">
        <f>+Model!CC34</f>
        <v>358085.24</v>
      </c>
      <c r="CD26" s="574">
        <f>+Model!CD34</f>
        <v>105523.55</v>
      </c>
      <c r="CE26" s="574">
        <f>+Model!CE34</f>
        <v>117668.7395</v>
      </c>
      <c r="CF26" s="574">
        <f>+Model!CF34</f>
        <v>114195.91999999998</v>
      </c>
      <c r="CG26" s="574">
        <f>+Model!CG34</f>
        <v>116937.35249999998</v>
      </c>
      <c r="CH26" s="1243">
        <f>+Model!CH34</f>
        <v>454325.56199999998</v>
      </c>
      <c r="CI26" s="1243">
        <f>+Model!CI34</f>
        <v>541906.80114999996</v>
      </c>
      <c r="CJ26" s="1243">
        <f>+Model!CJ34</f>
        <v>636560.21689699986</v>
      </c>
      <c r="CK26" s="1243">
        <f>+Model!CK34</f>
        <v>747962.26663246006</v>
      </c>
      <c r="CL26" s="574"/>
    </row>
    <row r="27" spans="1:90" s="990" customFormat="1" x14ac:dyDescent="0.3">
      <c r="A27" s="197"/>
      <c r="B27" s="208"/>
      <c r="C27" s="183"/>
      <c r="D27" s="183"/>
      <c r="E27" s="183"/>
      <c r="F27" s="183"/>
      <c r="G27" s="885"/>
      <c r="H27" s="885"/>
      <c r="I27" s="885"/>
      <c r="J27" s="885"/>
      <c r="K27" s="183"/>
      <c r="L27" s="885"/>
      <c r="M27" s="885"/>
      <c r="N27" s="885"/>
      <c r="O27" s="885"/>
      <c r="P27" s="183"/>
      <c r="Q27" s="885"/>
      <c r="R27" s="885"/>
      <c r="S27" s="885"/>
      <c r="T27" s="885"/>
      <c r="U27" s="183"/>
      <c r="V27" s="885"/>
      <c r="W27" s="885"/>
      <c r="X27" s="885"/>
      <c r="Y27" s="885"/>
      <c r="Z27" s="183"/>
      <c r="AA27" s="885"/>
      <c r="AB27" s="885"/>
      <c r="AC27" s="885"/>
      <c r="AD27" s="885"/>
      <c r="AE27" s="183"/>
      <c r="AF27" s="885"/>
      <c r="AG27" s="885"/>
      <c r="AH27" s="885"/>
      <c r="AI27" s="885"/>
      <c r="AJ27" s="183"/>
      <c r="AK27" s="885"/>
      <c r="AL27" s="885"/>
      <c r="AM27" s="885"/>
      <c r="AN27" s="885"/>
      <c r="AO27" s="183"/>
      <c r="AP27" s="885"/>
      <c r="AQ27" s="885"/>
      <c r="AR27" s="885"/>
      <c r="AS27" s="885"/>
      <c r="AT27" s="183"/>
      <c r="AU27" s="885"/>
      <c r="AV27" s="885"/>
      <c r="AW27" s="885"/>
      <c r="AX27" s="885"/>
      <c r="AY27" s="183"/>
      <c r="AZ27" s="885"/>
      <c r="BA27" s="885"/>
      <c r="BB27" s="885"/>
      <c r="BC27" s="885"/>
      <c r="BD27" s="183"/>
      <c r="BE27" s="885"/>
      <c r="BF27" s="885"/>
      <c r="BG27" s="885"/>
      <c r="BH27" s="885"/>
      <c r="BI27" s="183"/>
      <c r="BJ27" s="885"/>
      <c r="BK27" s="885"/>
      <c r="BL27" s="885"/>
      <c r="BM27" s="885"/>
      <c r="BN27" s="183"/>
      <c r="BO27" s="885"/>
      <c r="BP27" s="885"/>
      <c r="BQ27" s="885"/>
      <c r="BR27" s="885"/>
      <c r="BS27" s="183"/>
      <c r="BT27" s="885"/>
      <c r="BU27" s="885"/>
      <c r="BV27" s="885"/>
      <c r="BW27" s="885"/>
      <c r="BX27" s="183"/>
      <c r="BY27" s="878"/>
      <c r="BZ27" s="885"/>
      <c r="CA27" s="885"/>
      <c r="CB27" s="885"/>
      <c r="CC27" s="183"/>
      <c r="CD27" s="885"/>
      <c r="CE27" s="885"/>
      <c r="CF27" s="885"/>
      <c r="CG27" s="885"/>
      <c r="CH27" s="183"/>
      <c r="CI27" s="183"/>
      <c r="CJ27" s="183"/>
      <c r="CK27" s="183"/>
      <c r="CL27" s="885"/>
    </row>
    <row r="28" spans="1:90" x14ac:dyDescent="0.3">
      <c r="A28" s="126" t="s">
        <v>323</v>
      </c>
      <c r="B28" s="884"/>
      <c r="C28" s="884"/>
      <c r="D28" s="884"/>
      <c r="E28" s="884"/>
      <c r="F28" s="884"/>
      <c r="G28" s="884"/>
      <c r="H28" s="884"/>
      <c r="I28" s="884"/>
      <c r="J28" s="884"/>
      <c r="K28" s="884"/>
      <c r="L28" s="884"/>
      <c r="M28" s="884"/>
      <c r="N28" s="884"/>
      <c r="O28" s="884"/>
      <c r="P28" s="884"/>
      <c r="Q28" s="884"/>
      <c r="R28" s="884"/>
      <c r="S28" s="884"/>
      <c r="T28" s="884"/>
      <c r="U28" s="884"/>
      <c r="V28" s="884"/>
      <c r="W28" s="884"/>
      <c r="X28" s="884"/>
      <c r="Y28" s="884"/>
      <c r="Z28" s="884"/>
      <c r="AA28" s="884"/>
      <c r="AB28" s="884"/>
      <c r="AC28" s="884"/>
      <c r="AD28" s="884"/>
      <c r="AE28" s="884"/>
      <c r="AF28" s="884"/>
      <c r="AG28" s="884"/>
      <c r="AH28" s="884"/>
      <c r="AI28" s="884"/>
      <c r="AJ28" s="884"/>
      <c r="AK28" s="884"/>
      <c r="AL28" s="884"/>
      <c r="AM28" s="884"/>
      <c r="AN28" s="884"/>
      <c r="AO28" s="884"/>
      <c r="AP28" s="884"/>
      <c r="AQ28" s="884"/>
      <c r="AR28" s="884"/>
      <c r="AS28" s="884"/>
      <c r="AT28" s="884"/>
      <c r="AU28" s="884"/>
      <c r="AV28" s="884"/>
      <c r="AW28" s="884"/>
      <c r="AX28" s="884"/>
      <c r="AY28" s="884"/>
      <c r="AZ28" s="884"/>
      <c r="BA28" s="884"/>
      <c r="BB28" s="884"/>
      <c r="BC28" s="884"/>
      <c r="BD28" s="884"/>
      <c r="BE28" s="884"/>
      <c r="BF28" s="884"/>
      <c r="BG28" s="884"/>
      <c r="BH28" s="884"/>
      <c r="BI28" s="884"/>
      <c r="BJ28" s="884"/>
      <c r="BK28" s="884"/>
      <c r="BL28" s="884"/>
      <c r="BM28" s="884"/>
      <c r="BN28" s="884"/>
      <c r="BO28" s="884"/>
      <c r="BP28" s="884"/>
      <c r="BQ28" s="884"/>
      <c r="BR28" s="884"/>
      <c r="BS28" s="884"/>
      <c r="BT28" s="884"/>
      <c r="BU28" s="884"/>
      <c r="BV28" s="884"/>
      <c r="BW28" s="884"/>
      <c r="BX28" s="884"/>
      <c r="BY28" s="1045"/>
      <c r="BZ28" s="884"/>
      <c r="CA28" s="884"/>
      <c r="CB28" s="884"/>
      <c r="CC28" s="884"/>
      <c r="CD28" s="884"/>
      <c r="CE28" s="884"/>
      <c r="CF28" s="884"/>
      <c r="CG28" s="884"/>
      <c r="CH28" s="884"/>
      <c r="CI28" s="884"/>
      <c r="CJ28" s="884"/>
      <c r="CK28" s="884"/>
      <c r="CL28" s="883"/>
    </row>
    <row r="29" spans="1:90" s="992" customFormat="1" x14ac:dyDescent="0.3">
      <c r="A29" s="682" t="str">
        <f>INDEX(MO_RIS_REV,0,COLUMN())</f>
        <v>Net Revenue</v>
      </c>
      <c r="B29" s="684"/>
      <c r="C29" s="1243">
        <f t="shared" ref="C29:AH29" si="60">INDEX(MO_RIS_REV,0,COLUMN())</f>
        <v>3424.8589999999999</v>
      </c>
      <c r="D29" s="1243">
        <f t="shared" si="60"/>
        <v>3326.4450000000002</v>
      </c>
      <c r="E29" s="1243">
        <f t="shared" si="60"/>
        <v>3543.3090000000002</v>
      </c>
      <c r="F29" s="1243">
        <f t="shared" si="60"/>
        <v>3997.93</v>
      </c>
      <c r="G29" s="574">
        <f t="shared" si="60"/>
        <v>924.87699999999995</v>
      </c>
      <c r="H29" s="574">
        <f t="shared" si="60"/>
        <v>1044.27</v>
      </c>
      <c r="I29" s="574">
        <f t="shared" si="60"/>
        <v>1204.1099999999999</v>
      </c>
      <c r="J29" s="574">
        <f t="shared" si="60"/>
        <v>1106.9019999999998</v>
      </c>
      <c r="K29" s="1243">
        <f t="shared" si="60"/>
        <v>4280.1589999999997</v>
      </c>
      <c r="L29" s="574">
        <f t="shared" si="60"/>
        <v>954.73900000000003</v>
      </c>
      <c r="M29" s="574">
        <f t="shared" si="60"/>
        <v>977.23800000000006</v>
      </c>
      <c r="N29" s="574">
        <f t="shared" si="60"/>
        <v>1053.9670000000001</v>
      </c>
      <c r="O29" s="574">
        <f t="shared" si="60"/>
        <v>1144.2180000000003</v>
      </c>
      <c r="P29" s="1243">
        <f t="shared" si="60"/>
        <v>4130.1620000000003</v>
      </c>
      <c r="Q29" s="574">
        <f t="shared" si="60"/>
        <v>1103</v>
      </c>
      <c r="R29" s="574">
        <f t="shared" si="60"/>
        <v>1103</v>
      </c>
      <c r="S29" s="574">
        <f t="shared" si="60"/>
        <v>1225</v>
      </c>
      <c r="T29" s="574">
        <f t="shared" si="60"/>
        <v>1251</v>
      </c>
      <c r="U29" s="1243">
        <f t="shared" si="60"/>
        <v>4682</v>
      </c>
      <c r="V29" s="574">
        <f t="shared" si="60"/>
        <v>1151</v>
      </c>
      <c r="W29" s="574">
        <f t="shared" si="60"/>
        <v>1153</v>
      </c>
      <c r="X29" s="574">
        <f t="shared" si="60"/>
        <v>1305</v>
      </c>
      <c r="Y29" s="574">
        <f t="shared" si="60"/>
        <v>1401</v>
      </c>
      <c r="Z29" s="1243">
        <f t="shared" si="60"/>
        <v>5010</v>
      </c>
      <c r="AA29" s="574">
        <f t="shared" si="60"/>
        <v>1305</v>
      </c>
      <c r="AB29" s="574">
        <f t="shared" si="60"/>
        <v>1428</v>
      </c>
      <c r="AC29" s="574">
        <f t="shared" si="60"/>
        <v>2004</v>
      </c>
      <c r="AD29" s="574">
        <f t="shared" si="60"/>
        <v>2173</v>
      </c>
      <c r="AE29" s="1243">
        <f t="shared" si="60"/>
        <v>6910</v>
      </c>
      <c r="AF29" s="574">
        <f t="shared" si="60"/>
        <v>1937</v>
      </c>
      <c r="AG29" s="574">
        <f t="shared" si="60"/>
        <v>2230</v>
      </c>
      <c r="AH29" s="574">
        <f t="shared" si="60"/>
        <v>2636</v>
      </c>
      <c r="AI29" s="574">
        <f t="shared" ref="AI29:BG29" si="61">INDEX(MO_RIS_REV,0,COLUMN())</f>
        <v>2911</v>
      </c>
      <c r="AJ29" s="1243">
        <f t="shared" si="61"/>
        <v>9714</v>
      </c>
      <c r="AK29" s="574">
        <f t="shared" si="61"/>
        <v>3207</v>
      </c>
      <c r="AL29" s="574">
        <f t="shared" si="61"/>
        <v>3123</v>
      </c>
      <c r="AM29" s="574">
        <f t="shared" si="61"/>
        <v>3181</v>
      </c>
      <c r="AN29" s="574">
        <f t="shared" si="61"/>
        <v>2205</v>
      </c>
      <c r="AO29" s="1243">
        <f t="shared" si="61"/>
        <v>11716</v>
      </c>
      <c r="AP29" s="574">
        <f t="shared" si="61"/>
        <v>2220</v>
      </c>
      <c r="AQ29" s="574">
        <f t="shared" si="61"/>
        <v>2579</v>
      </c>
      <c r="AR29" s="574">
        <f t="shared" si="61"/>
        <v>3014</v>
      </c>
      <c r="AS29" s="574">
        <f t="shared" si="61"/>
        <v>3105</v>
      </c>
      <c r="AT29" s="1243">
        <f t="shared" si="61"/>
        <v>10918</v>
      </c>
      <c r="AU29" s="574">
        <f t="shared" si="61"/>
        <v>3080</v>
      </c>
      <c r="AV29" s="574">
        <f t="shared" si="61"/>
        <v>3866</v>
      </c>
      <c r="AW29" s="574">
        <f t="shared" si="61"/>
        <v>4726</v>
      </c>
      <c r="AX29" s="574">
        <f t="shared" si="61"/>
        <v>5003</v>
      </c>
      <c r="AY29" s="1243">
        <f t="shared" si="61"/>
        <v>16675</v>
      </c>
      <c r="AZ29" s="574">
        <f t="shared" si="61"/>
        <v>5661</v>
      </c>
      <c r="BA29" s="574">
        <f t="shared" si="61"/>
        <v>6507</v>
      </c>
      <c r="BB29" s="574">
        <f t="shared" si="61"/>
        <v>7103</v>
      </c>
      <c r="BC29" s="574">
        <f t="shared" si="61"/>
        <v>7643</v>
      </c>
      <c r="BD29" s="1243">
        <f t="shared" si="61"/>
        <v>26914</v>
      </c>
      <c r="BE29" s="574">
        <f t="shared" si="61"/>
        <v>8288</v>
      </c>
      <c r="BF29" s="574">
        <f t="shared" si="61"/>
        <v>6704</v>
      </c>
      <c r="BG29" s="574">
        <f t="shared" si="61"/>
        <v>5931</v>
      </c>
      <c r="BH29" s="574">
        <f t="shared" ref="BH29:BN29" si="62">INDEX(MO_RIS_REV,0,COLUMN())</f>
        <v>6051</v>
      </c>
      <c r="BI29" s="1243">
        <f t="shared" si="62"/>
        <v>26974</v>
      </c>
      <c r="BJ29" s="574">
        <f t="shared" si="62"/>
        <v>7192</v>
      </c>
      <c r="BK29" s="574">
        <f t="shared" si="62"/>
        <v>13507</v>
      </c>
      <c r="BL29" s="574">
        <f t="shared" si="62"/>
        <v>18120</v>
      </c>
      <c r="BM29" s="574">
        <f t="shared" si="62"/>
        <v>22103</v>
      </c>
      <c r="BN29" s="1243">
        <f t="shared" si="62"/>
        <v>60922</v>
      </c>
      <c r="BO29" s="574">
        <f t="shared" ref="BO29:BT29" si="63">INDEX(MO_RIS_REV,0,COLUMN())</f>
        <v>26044</v>
      </c>
      <c r="BP29" s="574">
        <f t="shared" si="63"/>
        <v>30040</v>
      </c>
      <c r="BQ29" s="574">
        <f t="shared" si="63"/>
        <v>35082</v>
      </c>
      <c r="BR29" s="574">
        <f t="shared" si="63"/>
        <v>39331</v>
      </c>
      <c r="BS29" s="1243">
        <f t="shared" si="63"/>
        <v>130497</v>
      </c>
      <c r="BT29" s="574">
        <f t="shared" si="63"/>
        <v>44062</v>
      </c>
      <c r="BU29" s="574">
        <f>INDEX(MO_RIS_REV,0,COLUMN())</f>
        <v>46743</v>
      </c>
      <c r="BV29" s="574">
        <f>INDEX(MO_RIS_REV,0,COLUMN())</f>
        <v>57006</v>
      </c>
      <c r="BW29" s="574">
        <f>INDEX(MO_RIS_REV,0,COLUMN())</f>
        <v>68127</v>
      </c>
      <c r="BX29" s="1243">
        <f>INDEX(MO_RIS_REV,0,COLUMN())</f>
        <v>215938</v>
      </c>
      <c r="BY29" s="955">
        <f>INDEX(MO_RIS_REV,0,COLUMN())</f>
        <v>81615</v>
      </c>
      <c r="BZ29" s="574">
        <f t="shared" ref="BZ29:CC29" si="64">INDEX(MO_RIS_REV,0,COLUMN())</f>
        <v>90933.489999999991</v>
      </c>
      <c r="CA29" s="574">
        <f t="shared" si="64"/>
        <v>91535.799999999988</v>
      </c>
      <c r="CB29" s="574">
        <f t="shared" si="64"/>
        <v>94000.95</v>
      </c>
      <c r="CC29" s="1243">
        <f t="shared" si="64"/>
        <v>358085.24</v>
      </c>
      <c r="CD29" s="574">
        <f t="shared" ref="CD29:CK29" si="65">INDEX(MO_RIS_REV,0,COLUMN())</f>
        <v>105523.55</v>
      </c>
      <c r="CE29" s="574">
        <f t="shared" si="65"/>
        <v>117668.7395</v>
      </c>
      <c r="CF29" s="574">
        <f t="shared" si="65"/>
        <v>114195.91999999998</v>
      </c>
      <c r="CG29" s="574">
        <f t="shared" si="65"/>
        <v>116937.35249999998</v>
      </c>
      <c r="CH29" s="1243">
        <f t="shared" si="65"/>
        <v>454325.56199999998</v>
      </c>
      <c r="CI29" s="1243">
        <f t="shared" si="65"/>
        <v>541906.80114999996</v>
      </c>
      <c r="CJ29" s="1243">
        <f t="shared" si="65"/>
        <v>636560.21689699986</v>
      </c>
      <c r="CK29" s="1243">
        <f t="shared" si="65"/>
        <v>747962.26663246006</v>
      </c>
      <c r="CL29" s="574"/>
    </row>
    <row r="30" spans="1:90" s="993" customFormat="1" x14ac:dyDescent="0.3">
      <c r="A30" s="676" t="str">
        <f>INDEX(MO_RIS_COGS,0,COLUMN())</f>
        <v>GAAP COGS</v>
      </c>
      <c r="B30" s="685"/>
      <c r="C30" s="1244">
        <f t="shared" ref="C30:AH30" si="66">INDEX(MO_RIS_COGS,0,COLUMN())</f>
        <v>2250.59</v>
      </c>
      <c r="D30" s="1244">
        <f t="shared" si="66"/>
        <v>2149.5219999999999</v>
      </c>
      <c r="E30" s="1244">
        <f t="shared" si="66"/>
        <v>2134.2190000000001</v>
      </c>
      <c r="F30" s="1244">
        <f t="shared" si="66"/>
        <v>1941.413</v>
      </c>
      <c r="G30" s="678">
        <f t="shared" si="66"/>
        <v>461.51299999999998</v>
      </c>
      <c r="H30" s="678">
        <f t="shared" si="66"/>
        <v>503.55099999999999</v>
      </c>
      <c r="I30" s="678">
        <f t="shared" si="66"/>
        <v>567.452</v>
      </c>
      <c r="J30" s="678">
        <f t="shared" si="66"/>
        <v>521.29999999999995</v>
      </c>
      <c r="K30" s="1244">
        <f t="shared" si="66"/>
        <v>2053.8159999999998</v>
      </c>
      <c r="L30" s="678">
        <f t="shared" si="66"/>
        <v>436.17099999999999</v>
      </c>
      <c r="M30" s="678">
        <f t="shared" si="66"/>
        <v>431.7</v>
      </c>
      <c r="N30" s="678">
        <f t="shared" si="66"/>
        <v>469.55200000000002</v>
      </c>
      <c r="O30" s="678">
        <f t="shared" si="66"/>
        <v>524.97599999999977</v>
      </c>
      <c r="P30" s="1244">
        <f t="shared" si="66"/>
        <v>1862.3989999999999</v>
      </c>
      <c r="Q30" s="678">
        <f t="shared" si="66"/>
        <v>499</v>
      </c>
      <c r="R30" s="678">
        <f t="shared" si="66"/>
        <v>484</v>
      </c>
      <c r="S30" s="678">
        <f t="shared" si="66"/>
        <v>549</v>
      </c>
      <c r="T30" s="678">
        <f t="shared" si="66"/>
        <v>551</v>
      </c>
      <c r="U30" s="1244">
        <f t="shared" si="66"/>
        <v>2083</v>
      </c>
      <c r="V30" s="678">
        <f t="shared" si="66"/>
        <v>498</v>
      </c>
      <c r="W30" s="678">
        <f t="shared" si="66"/>
        <v>519</v>
      </c>
      <c r="X30" s="678">
        <f t="shared" si="66"/>
        <v>571</v>
      </c>
      <c r="Y30" s="678">
        <f t="shared" si="66"/>
        <v>610</v>
      </c>
      <c r="Z30" s="1244">
        <f t="shared" si="66"/>
        <v>2199</v>
      </c>
      <c r="AA30" s="678">
        <f t="shared" si="66"/>
        <v>554</v>
      </c>
      <c r="AB30" s="678">
        <f t="shared" si="66"/>
        <v>602</v>
      </c>
      <c r="AC30" s="678">
        <f t="shared" si="66"/>
        <v>821</v>
      </c>
      <c r="AD30" s="678">
        <f t="shared" si="66"/>
        <v>870</v>
      </c>
      <c r="AE30" s="1244">
        <f t="shared" si="66"/>
        <v>2847</v>
      </c>
      <c r="AF30" s="678">
        <f t="shared" si="66"/>
        <v>787</v>
      </c>
      <c r="AG30" s="678">
        <f t="shared" si="66"/>
        <v>928</v>
      </c>
      <c r="AH30" s="678">
        <f t="shared" si="66"/>
        <v>1067</v>
      </c>
      <c r="AI30" s="678">
        <f t="shared" ref="AI30:BG30" si="67">INDEX(MO_RIS_COGS,0,COLUMN())</f>
        <v>1110</v>
      </c>
      <c r="AJ30" s="1244">
        <f t="shared" si="67"/>
        <v>3892</v>
      </c>
      <c r="AK30" s="678">
        <f t="shared" si="67"/>
        <v>1139</v>
      </c>
      <c r="AL30" s="678">
        <f t="shared" si="67"/>
        <v>1148</v>
      </c>
      <c r="AM30" s="678">
        <f t="shared" si="67"/>
        <v>1260</v>
      </c>
      <c r="AN30" s="678">
        <f t="shared" si="67"/>
        <v>998</v>
      </c>
      <c r="AO30" s="1244">
        <f t="shared" si="67"/>
        <v>4545</v>
      </c>
      <c r="AP30" s="678">
        <f t="shared" si="67"/>
        <v>924</v>
      </c>
      <c r="AQ30" s="678">
        <f t="shared" si="67"/>
        <v>1038</v>
      </c>
      <c r="AR30" s="678">
        <f t="shared" si="67"/>
        <v>1098</v>
      </c>
      <c r="AS30" s="678">
        <f t="shared" si="67"/>
        <v>1090</v>
      </c>
      <c r="AT30" s="1244">
        <f t="shared" si="67"/>
        <v>4150</v>
      </c>
      <c r="AU30" s="678">
        <f t="shared" si="67"/>
        <v>1076</v>
      </c>
      <c r="AV30" s="678">
        <f t="shared" si="67"/>
        <v>1591</v>
      </c>
      <c r="AW30" s="678">
        <f t="shared" si="67"/>
        <v>1766</v>
      </c>
      <c r="AX30" s="678">
        <f t="shared" si="67"/>
        <v>1846</v>
      </c>
      <c r="AY30" s="1244">
        <f t="shared" si="67"/>
        <v>6279</v>
      </c>
      <c r="AZ30" s="678">
        <f t="shared" si="67"/>
        <v>2032</v>
      </c>
      <c r="BA30" s="678">
        <f t="shared" si="67"/>
        <v>2292</v>
      </c>
      <c r="BB30" s="678">
        <f t="shared" si="67"/>
        <v>2472</v>
      </c>
      <c r="BC30" s="678">
        <f t="shared" si="67"/>
        <v>2644</v>
      </c>
      <c r="BD30" s="1244">
        <f t="shared" si="67"/>
        <v>9439</v>
      </c>
      <c r="BE30" s="678">
        <f t="shared" si="67"/>
        <v>2857</v>
      </c>
      <c r="BF30" s="678">
        <f t="shared" si="67"/>
        <v>3789</v>
      </c>
      <c r="BG30" s="678">
        <f t="shared" si="67"/>
        <v>2754</v>
      </c>
      <c r="BH30" s="678">
        <f t="shared" ref="BH30:BN30" si="68">INDEX(MO_RIS_COGS,0,COLUMN())</f>
        <v>2218</v>
      </c>
      <c r="BI30" s="1244">
        <f t="shared" si="68"/>
        <v>11618</v>
      </c>
      <c r="BJ30" s="678">
        <f t="shared" si="68"/>
        <v>2544</v>
      </c>
      <c r="BK30" s="678">
        <f t="shared" si="68"/>
        <v>4045</v>
      </c>
      <c r="BL30" s="678">
        <f t="shared" si="68"/>
        <v>4720</v>
      </c>
      <c r="BM30" s="678">
        <f t="shared" si="68"/>
        <v>5312</v>
      </c>
      <c r="BN30" s="1244">
        <f t="shared" si="68"/>
        <v>16621</v>
      </c>
      <c r="BO30" s="678">
        <f t="shared" ref="BO30:BT30" si="69">INDEX(MO_RIS_COGS,0,COLUMN())</f>
        <v>5638</v>
      </c>
      <c r="BP30" s="678">
        <f t="shared" si="69"/>
        <v>7466</v>
      </c>
      <c r="BQ30" s="678">
        <f t="shared" si="69"/>
        <v>8926</v>
      </c>
      <c r="BR30" s="678">
        <f t="shared" si="69"/>
        <v>10608</v>
      </c>
      <c r="BS30" s="1244">
        <f t="shared" si="69"/>
        <v>32639</v>
      </c>
      <c r="BT30" s="678">
        <f t="shared" si="69"/>
        <v>17394</v>
      </c>
      <c r="BU30" s="678">
        <f>INDEX(MO_RIS_COGS,0,COLUMN())</f>
        <v>12890</v>
      </c>
      <c r="BV30" s="678">
        <f>INDEX(MO_RIS_COGS,0,COLUMN())</f>
        <v>15157</v>
      </c>
      <c r="BW30" s="678">
        <f>INDEX(MO_RIS_COGS,0,COLUMN())</f>
        <v>17034</v>
      </c>
      <c r="BX30" s="1244">
        <f>INDEX(MO_RIS_COGS,0,COLUMN())</f>
        <v>62475</v>
      </c>
      <c r="BY30" s="954">
        <f>INDEX(MO_RIS_COGS,0,COLUMN())</f>
        <v>20458</v>
      </c>
      <c r="BZ30" s="678">
        <f t="shared" ref="BZ30:CC30" si="70">INDEX(MO_RIS_COGS,0,COLUMN())</f>
        <v>22867.417837161924</v>
      </c>
      <c r="CA30" s="678">
        <f t="shared" si="70"/>
        <v>23324.63403618566</v>
      </c>
      <c r="CB30" s="678">
        <f t="shared" si="70"/>
        <v>22497.277843060016</v>
      </c>
      <c r="CC30" s="1244">
        <f t="shared" si="70"/>
        <v>89147.329716407592</v>
      </c>
      <c r="CD30" s="678">
        <f t="shared" ref="CD30:CK30" si="71">INDEX(MO_RIS_COGS,0,COLUMN())</f>
        <v>26459.582480956324</v>
      </c>
      <c r="CE30" s="678">
        <f t="shared" si="71"/>
        <v>29590.640725640911</v>
      </c>
      <c r="CF30" s="678">
        <f t="shared" si="71"/>
        <v>29098.757452554462</v>
      </c>
      <c r="CG30" s="678">
        <f t="shared" si="71"/>
        <v>27986.654490453006</v>
      </c>
      <c r="CH30" s="1244">
        <f t="shared" si="71"/>
        <v>113135.6351496047</v>
      </c>
      <c r="CI30" s="1244">
        <f t="shared" si="71"/>
        <v>135486.92259578354</v>
      </c>
      <c r="CJ30" s="1244">
        <f t="shared" si="71"/>
        <v>159152.06203585956</v>
      </c>
      <c r="CK30" s="1244">
        <f t="shared" si="71"/>
        <v>187004.67591243281</v>
      </c>
      <c r="CL30" s="678"/>
    </row>
    <row r="31" spans="1:90" s="993" customFormat="1" x14ac:dyDescent="0.3">
      <c r="A31" s="676" t="str">
        <f>INDEX(MO_RIS_SBC_COGS,0,COLUMN())</f>
        <v>SBC in COGS</v>
      </c>
      <c r="B31" s="685"/>
      <c r="C31" s="1244">
        <f t="shared" ref="C31:AH31" si="72">INDEX(MO_RIS_SBC_COGS,0,COLUMN())</f>
        <v>-11.939</v>
      </c>
      <c r="D31" s="1244">
        <f t="shared" si="72"/>
        <v>-12.05</v>
      </c>
      <c r="E31" s="1244">
        <f t="shared" si="72"/>
        <v>-8.3079999999999998</v>
      </c>
      <c r="F31" s="1244">
        <f t="shared" si="72"/>
        <v>-11.321999999999999</v>
      </c>
      <c r="G31" s="678">
        <f t="shared" si="72"/>
        <v>-2.5259999999999998</v>
      </c>
      <c r="H31" s="678">
        <f t="shared" si="72"/>
        <v>-2.649</v>
      </c>
      <c r="I31" s="678">
        <f t="shared" si="72"/>
        <v>-2.4889999999999999</v>
      </c>
      <c r="J31" s="678">
        <f t="shared" si="72"/>
        <v>-2.8260000000000001</v>
      </c>
      <c r="K31" s="1244">
        <f t="shared" si="72"/>
        <v>-10.49</v>
      </c>
      <c r="L31" s="678">
        <f t="shared" si="72"/>
        <v>-2.653</v>
      </c>
      <c r="M31" s="678">
        <f t="shared" si="72"/>
        <v>-2.1680000000000001</v>
      </c>
      <c r="N31" s="678">
        <f t="shared" si="72"/>
        <v>-3.09</v>
      </c>
      <c r="O31" s="678">
        <f t="shared" si="72"/>
        <v>-2.7770000000000001</v>
      </c>
      <c r="P31" s="1244">
        <f t="shared" si="72"/>
        <v>-10.688000000000001</v>
      </c>
      <c r="Q31" s="678">
        <f t="shared" si="72"/>
        <v>-3</v>
      </c>
      <c r="R31" s="678">
        <f t="shared" si="72"/>
        <v>-3</v>
      </c>
      <c r="S31" s="678">
        <f t="shared" si="72"/>
        <v>-4</v>
      </c>
      <c r="T31" s="678">
        <f t="shared" si="72"/>
        <v>-4</v>
      </c>
      <c r="U31" s="1244">
        <f t="shared" si="72"/>
        <v>-12</v>
      </c>
      <c r="V31" s="678">
        <f t="shared" si="72"/>
        <v>-2</v>
      </c>
      <c r="W31" s="678">
        <f t="shared" si="72"/>
        <v>-3</v>
      </c>
      <c r="X31" s="678">
        <f t="shared" si="72"/>
        <v>-4</v>
      </c>
      <c r="Y31" s="678">
        <f t="shared" si="72"/>
        <v>-5</v>
      </c>
      <c r="Z31" s="1244">
        <f t="shared" si="72"/>
        <v>-15</v>
      </c>
      <c r="AA31" s="678">
        <f t="shared" si="72"/>
        <v>-4</v>
      </c>
      <c r="AB31" s="678">
        <f t="shared" si="72"/>
        <v>-4</v>
      </c>
      <c r="AC31" s="678">
        <f t="shared" si="72"/>
        <v>-3</v>
      </c>
      <c r="AD31" s="678">
        <f t="shared" si="72"/>
        <v>-4</v>
      </c>
      <c r="AE31" s="1244">
        <f t="shared" si="72"/>
        <v>-15</v>
      </c>
      <c r="AF31" s="678">
        <f t="shared" si="72"/>
        <v>-4</v>
      </c>
      <c r="AG31" s="678">
        <f t="shared" si="72"/>
        <v>-4</v>
      </c>
      <c r="AH31" s="678">
        <f t="shared" si="72"/>
        <v>-6</v>
      </c>
      <c r="AI31" s="678">
        <f t="shared" ref="AI31:BG31" si="73">INDEX(MO_RIS_SBC_COGS,0,COLUMN())</f>
        <v>-7</v>
      </c>
      <c r="AJ31" s="1244">
        <f t="shared" si="73"/>
        <v>-21</v>
      </c>
      <c r="AK31" s="678">
        <f t="shared" si="73"/>
        <v>-8</v>
      </c>
      <c r="AL31" s="678">
        <f t="shared" si="73"/>
        <v>-8</v>
      </c>
      <c r="AM31" s="678">
        <f t="shared" si="73"/>
        <v>-5</v>
      </c>
      <c r="AN31" s="678">
        <f t="shared" si="73"/>
        <v>-6</v>
      </c>
      <c r="AO31" s="1244">
        <f t="shared" si="73"/>
        <v>-27</v>
      </c>
      <c r="AP31" s="678">
        <f t="shared" si="73"/>
        <v>-4</v>
      </c>
      <c r="AQ31" s="678">
        <f t="shared" si="73"/>
        <v>-8</v>
      </c>
      <c r="AR31" s="678">
        <f t="shared" si="73"/>
        <v>-15</v>
      </c>
      <c r="AS31" s="678">
        <f t="shared" si="73"/>
        <v>-12</v>
      </c>
      <c r="AT31" s="1244">
        <f t="shared" si="73"/>
        <v>-39</v>
      </c>
      <c r="AU31" s="678">
        <f t="shared" si="73"/>
        <v>-21</v>
      </c>
      <c r="AV31" s="678">
        <f t="shared" si="73"/>
        <v>-14</v>
      </c>
      <c r="AW31" s="678">
        <f t="shared" si="73"/>
        <v>-28</v>
      </c>
      <c r="AX31" s="678">
        <f t="shared" si="73"/>
        <v>-26</v>
      </c>
      <c r="AY31" s="1244">
        <f t="shared" si="73"/>
        <v>-88</v>
      </c>
      <c r="AZ31" s="678">
        <f t="shared" si="73"/>
        <v>-25</v>
      </c>
      <c r="BA31" s="678">
        <f t="shared" si="73"/>
        <v>-32</v>
      </c>
      <c r="BB31" s="678">
        <f t="shared" si="73"/>
        <v>-44</v>
      </c>
      <c r="BC31" s="678">
        <f t="shared" si="73"/>
        <v>-39</v>
      </c>
      <c r="BD31" s="1244">
        <f t="shared" si="73"/>
        <v>-141</v>
      </c>
      <c r="BE31" s="678">
        <f t="shared" si="73"/>
        <v>-38</v>
      </c>
      <c r="BF31" s="678">
        <f t="shared" si="73"/>
        <v>-38</v>
      </c>
      <c r="BG31" s="678">
        <f t="shared" si="73"/>
        <v>-32</v>
      </c>
      <c r="BH31" s="678">
        <f t="shared" ref="BH31:BN31" si="74">INDEX(MO_RIS_SBC_COGS,0,COLUMN())</f>
        <v>-30</v>
      </c>
      <c r="BI31" s="1244">
        <f t="shared" si="74"/>
        <v>-138</v>
      </c>
      <c r="BJ31" s="678">
        <f t="shared" si="74"/>
        <v>-27</v>
      </c>
      <c r="BK31" s="678">
        <f t="shared" si="74"/>
        <v>-31</v>
      </c>
      <c r="BL31" s="678">
        <f t="shared" si="74"/>
        <v>-38</v>
      </c>
      <c r="BM31" s="678">
        <f t="shared" si="74"/>
        <v>-45</v>
      </c>
      <c r="BN31" s="1244">
        <f t="shared" si="74"/>
        <v>-141</v>
      </c>
      <c r="BO31" s="678">
        <f t="shared" ref="BO31:BT31" si="75">INDEX(MO_RIS_SBC_COGS,0,COLUMN())</f>
        <v>-36</v>
      </c>
      <c r="BP31" s="678">
        <f t="shared" si="75"/>
        <v>-40</v>
      </c>
      <c r="BQ31" s="678">
        <f t="shared" si="75"/>
        <v>-50</v>
      </c>
      <c r="BR31" s="678">
        <f t="shared" si="75"/>
        <v>-53</v>
      </c>
      <c r="BS31" s="1244">
        <f t="shared" si="75"/>
        <v>-178</v>
      </c>
      <c r="BT31" s="678">
        <f t="shared" si="75"/>
        <v>-64</v>
      </c>
      <c r="BU31" s="678">
        <f>INDEX(MO_RIS_SBC_COGS,0,COLUMN())</f>
        <v>-58</v>
      </c>
      <c r="BV31" s="678">
        <f>INDEX(MO_RIS_SBC_COGS,0,COLUMN())</f>
        <v>-70</v>
      </c>
      <c r="BW31" s="678">
        <f>INDEX(MO_RIS_SBC_COGS,0,COLUMN())</f>
        <v>-69</v>
      </c>
      <c r="BX31" s="1244">
        <f>INDEX(MO_RIS_SBC_COGS,0,COLUMN())</f>
        <v>-261</v>
      </c>
      <c r="BY31" s="954">
        <f>INDEX(MO_RIS_SBC_COGS,0,COLUMN())</f>
        <v>0</v>
      </c>
      <c r="BZ31" s="678">
        <f t="shared" ref="BZ31:CC31" si="76">INDEX(MO_RIS_SBC_COGS,0,COLUMN())</f>
        <v>0</v>
      </c>
      <c r="CA31" s="678">
        <f t="shared" si="76"/>
        <v>0</v>
      </c>
      <c r="CB31" s="678">
        <f t="shared" si="76"/>
        <v>0</v>
      </c>
      <c r="CC31" s="1244">
        <f t="shared" si="76"/>
        <v>0</v>
      </c>
      <c r="CD31" s="678">
        <f t="shared" ref="CD31:CK31" si="77">INDEX(MO_RIS_SBC_COGS,0,COLUMN())</f>
        <v>0</v>
      </c>
      <c r="CE31" s="678">
        <f t="shared" si="77"/>
        <v>0</v>
      </c>
      <c r="CF31" s="678">
        <f t="shared" si="77"/>
        <v>0</v>
      </c>
      <c r="CG31" s="678">
        <f t="shared" si="77"/>
        <v>0</v>
      </c>
      <c r="CH31" s="1244">
        <f t="shared" si="77"/>
        <v>0</v>
      </c>
      <c r="CI31" s="1244">
        <f t="shared" si="77"/>
        <v>0</v>
      </c>
      <c r="CJ31" s="1244">
        <f t="shared" si="77"/>
        <v>0</v>
      </c>
      <c r="CK31" s="1244">
        <f t="shared" si="77"/>
        <v>0</v>
      </c>
      <c r="CL31" s="678"/>
    </row>
    <row r="32" spans="1:90" s="993" customFormat="1" x14ac:dyDescent="0.3">
      <c r="A32" s="676" t="str">
        <f>INDEX(z_A7FLSL0150_MO_RIS_AcquisitionrelatedcostsCOGS,0,COLUMN())</f>
        <v>Acquisition-related costs COGS</v>
      </c>
      <c r="B32" s="685"/>
      <c r="C32" s="1244">
        <f t="shared" ref="C32:AH32" si="78">INDEX(z_A7FLSL0150_MO_RIS_AcquisitionrelatedcostsCOGS,0,COLUMN())</f>
        <v>0</v>
      </c>
      <c r="D32" s="1244">
        <f t="shared" si="78"/>
        <v>0</v>
      </c>
      <c r="E32" s="1244">
        <f t="shared" si="78"/>
        <v>0</v>
      </c>
      <c r="F32" s="1244">
        <f t="shared" si="78"/>
        <v>0</v>
      </c>
      <c r="G32" s="678">
        <f t="shared" si="78"/>
        <v>0</v>
      </c>
      <c r="H32" s="678">
        <f t="shared" si="78"/>
        <v>0</v>
      </c>
      <c r="I32" s="678">
        <f t="shared" si="78"/>
        <v>0</v>
      </c>
      <c r="J32" s="678">
        <f t="shared" si="78"/>
        <v>0</v>
      </c>
      <c r="K32" s="1244">
        <f t="shared" si="78"/>
        <v>0</v>
      </c>
      <c r="L32" s="678">
        <f t="shared" si="78"/>
        <v>0</v>
      </c>
      <c r="M32" s="678">
        <f t="shared" si="78"/>
        <v>0</v>
      </c>
      <c r="N32" s="678">
        <f t="shared" si="78"/>
        <v>0</v>
      </c>
      <c r="O32" s="678">
        <f t="shared" si="78"/>
        <v>0</v>
      </c>
      <c r="P32" s="1244">
        <f t="shared" si="78"/>
        <v>0</v>
      </c>
      <c r="Q32" s="678">
        <f t="shared" si="78"/>
        <v>0</v>
      </c>
      <c r="R32" s="678">
        <f t="shared" si="78"/>
        <v>0</v>
      </c>
      <c r="S32" s="678">
        <f t="shared" si="78"/>
        <v>0</v>
      </c>
      <c r="T32" s="678">
        <f t="shared" si="78"/>
        <v>0</v>
      </c>
      <c r="U32" s="1244">
        <f t="shared" si="78"/>
        <v>0</v>
      </c>
      <c r="V32" s="678">
        <f t="shared" si="78"/>
        <v>0</v>
      </c>
      <c r="W32" s="678">
        <f t="shared" si="78"/>
        <v>0</v>
      </c>
      <c r="X32" s="678">
        <f t="shared" si="78"/>
        <v>0</v>
      </c>
      <c r="Y32" s="678">
        <f t="shared" si="78"/>
        <v>0</v>
      </c>
      <c r="Z32" s="1244">
        <f t="shared" si="78"/>
        <v>0</v>
      </c>
      <c r="AA32" s="678">
        <f t="shared" si="78"/>
        <v>0</v>
      </c>
      <c r="AB32" s="678">
        <f t="shared" si="78"/>
        <v>0</v>
      </c>
      <c r="AC32" s="678">
        <f t="shared" si="78"/>
        <v>0</v>
      </c>
      <c r="AD32" s="678">
        <f t="shared" si="78"/>
        <v>0</v>
      </c>
      <c r="AE32" s="1244">
        <f t="shared" si="78"/>
        <v>0</v>
      </c>
      <c r="AF32" s="678">
        <f t="shared" si="78"/>
        <v>0</v>
      </c>
      <c r="AG32" s="678">
        <f t="shared" si="78"/>
        <v>0</v>
      </c>
      <c r="AH32" s="678">
        <f t="shared" si="78"/>
        <v>0</v>
      </c>
      <c r="AI32" s="678">
        <f t="shared" ref="AI32:BG32" si="79">INDEX(z_A7FLSL0150_MO_RIS_AcquisitionrelatedcostsCOGS,0,COLUMN())</f>
        <v>0</v>
      </c>
      <c r="AJ32" s="1244">
        <f t="shared" si="79"/>
        <v>0</v>
      </c>
      <c r="AK32" s="678">
        <f t="shared" si="79"/>
        <v>0</v>
      </c>
      <c r="AL32" s="678">
        <f t="shared" si="79"/>
        <v>0</v>
      </c>
      <c r="AM32" s="678">
        <f t="shared" si="79"/>
        <v>0</v>
      </c>
      <c r="AN32" s="678">
        <f t="shared" si="79"/>
        <v>0</v>
      </c>
      <c r="AO32" s="1244">
        <f t="shared" si="79"/>
        <v>0</v>
      </c>
      <c r="AP32" s="678">
        <f t="shared" si="79"/>
        <v>0</v>
      </c>
      <c r="AQ32" s="678">
        <f t="shared" si="79"/>
        <v>0</v>
      </c>
      <c r="AR32" s="678">
        <f t="shared" si="79"/>
        <v>0</v>
      </c>
      <c r="AS32" s="678">
        <f t="shared" si="79"/>
        <v>0</v>
      </c>
      <c r="AT32" s="1244">
        <f t="shared" si="79"/>
        <v>0</v>
      </c>
      <c r="AU32" s="678">
        <f t="shared" si="79"/>
        <v>-1</v>
      </c>
      <c r="AV32" s="678">
        <f t="shared" si="79"/>
        <v>-245</v>
      </c>
      <c r="AW32" s="678">
        <f t="shared" si="79"/>
        <v>-86</v>
      </c>
      <c r="AX32" s="678">
        <f t="shared" si="79"/>
        <v>-92</v>
      </c>
      <c r="AY32" s="1244">
        <f t="shared" si="79"/>
        <v>-425</v>
      </c>
      <c r="AZ32" s="678">
        <f t="shared" si="79"/>
        <v>-87</v>
      </c>
      <c r="BA32" s="678">
        <f t="shared" si="79"/>
        <v>-86</v>
      </c>
      <c r="BB32" s="678">
        <f t="shared" si="79"/>
        <v>-86</v>
      </c>
      <c r="BC32" s="678">
        <f t="shared" si="79"/>
        <v>-86</v>
      </c>
      <c r="BD32" s="1244">
        <f t="shared" si="79"/>
        <v>-344</v>
      </c>
      <c r="BE32" s="678">
        <f t="shared" si="79"/>
        <v>-94</v>
      </c>
      <c r="BF32" s="678">
        <f t="shared" si="79"/>
        <v>-121</v>
      </c>
      <c r="BG32" s="678">
        <f t="shared" si="79"/>
        <v>-120</v>
      </c>
      <c r="BH32" s="678">
        <f t="shared" ref="BH32:BN32" si="80">INDEX(z_A7FLSL0150_MO_RIS_AcquisitionrelatedcostsCOGS,0,COLUMN())</f>
        <v>-120</v>
      </c>
      <c r="BI32" s="1244">
        <f t="shared" si="80"/>
        <v>-455</v>
      </c>
      <c r="BJ32" s="678">
        <f t="shared" si="80"/>
        <v>-119</v>
      </c>
      <c r="BK32" s="678">
        <f t="shared" si="80"/>
        <v>-119</v>
      </c>
      <c r="BL32" s="678">
        <f t="shared" si="80"/>
        <v>-119</v>
      </c>
      <c r="BM32" s="678">
        <f t="shared" si="80"/>
        <v>-119</v>
      </c>
      <c r="BN32" s="1244">
        <f t="shared" si="80"/>
        <v>-477</v>
      </c>
      <c r="BO32" s="678">
        <f t="shared" ref="BO32:BT32" si="81">INDEX(z_A7FLSL0150_MO_RIS_AcquisitionrelatedcostsCOGS,0,COLUMN())</f>
        <v>-119</v>
      </c>
      <c r="BP32" s="678">
        <f t="shared" si="81"/>
        <v>-118</v>
      </c>
      <c r="BQ32" s="678">
        <f t="shared" si="81"/>
        <v>-116</v>
      </c>
      <c r="BR32" s="678">
        <f t="shared" si="81"/>
        <v>-118</v>
      </c>
      <c r="BS32" s="1244">
        <f t="shared" si="81"/>
        <v>-472</v>
      </c>
      <c r="BT32" s="678">
        <f t="shared" si="81"/>
        <v>-123</v>
      </c>
      <c r="BU32" s="678">
        <f>INDEX(z_A7FLSL0150_MO_RIS_AcquisitionrelatedcostsCOGS,0,COLUMN())</f>
        <v>-49</v>
      </c>
      <c r="BV32" s="678">
        <f>INDEX(z_A7FLSL0150_MO_RIS_AcquisitionrelatedcostsCOGS,0,COLUMN())</f>
        <v>-48</v>
      </c>
      <c r="BW32" s="678">
        <f>INDEX(z_A7FLSL0150_MO_RIS_AcquisitionrelatedcostsCOGS,0,COLUMN())</f>
        <v>-48</v>
      </c>
      <c r="BX32" s="1244">
        <f>INDEX(z_A7FLSL0150_MO_RIS_AcquisitionrelatedcostsCOGS,0,COLUMN())</f>
        <v>-267</v>
      </c>
      <c r="BY32" s="954">
        <f>INDEX(z_A7FLSL0150_MO_RIS_AcquisitionrelatedcostsCOGS,0,COLUMN())</f>
        <v>-47</v>
      </c>
      <c r="BZ32" s="678">
        <f t="shared" ref="BZ32:CC32" si="82">INDEX(z_A7FLSL0150_MO_RIS_AcquisitionrelatedcostsCOGS,0,COLUMN())</f>
        <v>-90.933489999999992</v>
      </c>
      <c r="CA32" s="678">
        <f t="shared" si="82"/>
        <v>-91.535799999999995</v>
      </c>
      <c r="CB32" s="678">
        <f t="shared" si="82"/>
        <v>-94.000950000000003</v>
      </c>
      <c r="CC32" s="1244">
        <f t="shared" si="82"/>
        <v>-323.47023999999999</v>
      </c>
      <c r="CD32" s="678">
        <f t="shared" ref="CD32:CK32" si="83">INDEX(z_A7FLSL0150_MO_RIS_AcquisitionrelatedcostsCOGS,0,COLUMN())</f>
        <v>-105.52355</v>
      </c>
      <c r="CE32" s="678">
        <f t="shared" si="83"/>
        <v>-117.6687395</v>
      </c>
      <c r="CF32" s="678">
        <f t="shared" si="83"/>
        <v>-114.19591999999999</v>
      </c>
      <c r="CG32" s="678">
        <f t="shared" si="83"/>
        <v>-116.93735249999997</v>
      </c>
      <c r="CH32" s="1244">
        <f t="shared" si="83"/>
        <v>-454.32556199999999</v>
      </c>
      <c r="CI32" s="1244">
        <f t="shared" si="83"/>
        <v>-1083.8136023</v>
      </c>
      <c r="CJ32" s="1244">
        <f t="shared" si="83"/>
        <v>-1273.1204337939998</v>
      </c>
      <c r="CK32" s="1244">
        <f t="shared" si="83"/>
        <v>-1495.9245332649202</v>
      </c>
      <c r="CL32" s="678"/>
    </row>
    <row r="33" spans="1:90" s="993" customFormat="1" x14ac:dyDescent="0.3">
      <c r="A33" s="676" t="str">
        <f>INDEX(MO_RIS_COGS_Adjustments,0,COLUMN())</f>
        <v>Other COGS adjustments</v>
      </c>
      <c r="B33" s="685"/>
      <c r="C33" s="1244">
        <f t="shared" ref="C33:AH33" si="84">INDEX(MO_RIS_COGS_Adjustments,0,COLUMN())</f>
        <v>-181.85</v>
      </c>
      <c r="D33" s="1244">
        <f t="shared" si="84"/>
        <v>-95.240000000000009</v>
      </c>
      <c r="E33" s="1244">
        <f t="shared" si="84"/>
        <v>-181.19300000000001</v>
      </c>
      <c r="F33" s="1244">
        <f t="shared" si="84"/>
        <v>-7.3000000000000007</v>
      </c>
      <c r="G33" s="678">
        <f t="shared" si="84"/>
        <v>0</v>
      </c>
      <c r="H33" s="678">
        <f t="shared" si="84"/>
        <v>0</v>
      </c>
      <c r="I33" s="678">
        <f t="shared" si="84"/>
        <v>0</v>
      </c>
      <c r="J33" s="678">
        <f t="shared" si="84"/>
        <v>0</v>
      </c>
      <c r="K33" s="1244">
        <f t="shared" si="84"/>
        <v>0</v>
      </c>
      <c r="L33" s="678">
        <f t="shared" si="84"/>
        <v>0</v>
      </c>
      <c r="M33" s="678">
        <f t="shared" si="84"/>
        <v>-2.29</v>
      </c>
      <c r="N33" s="678">
        <f t="shared" si="84"/>
        <v>0</v>
      </c>
      <c r="O33" s="678">
        <f t="shared" si="84"/>
        <v>6.3319999999999999</v>
      </c>
      <c r="P33" s="1244">
        <f t="shared" si="84"/>
        <v>4.0419999999999998</v>
      </c>
      <c r="Q33" s="678">
        <f t="shared" si="84"/>
        <v>0</v>
      </c>
      <c r="R33" s="678">
        <f t="shared" si="84"/>
        <v>0</v>
      </c>
      <c r="S33" s="678">
        <f t="shared" si="84"/>
        <v>0</v>
      </c>
      <c r="T33" s="678">
        <f t="shared" si="84"/>
        <v>0</v>
      </c>
      <c r="U33" s="1244">
        <f t="shared" si="84"/>
        <v>0</v>
      </c>
      <c r="V33" s="678">
        <f t="shared" si="84"/>
        <v>0</v>
      </c>
      <c r="W33" s="678">
        <f t="shared" si="84"/>
        <v>-15</v>
      </c>
      <c r="X33" s="678">
        <f t="shared" si="84"/>
        <v>0</v>
      </c>
      <c r="Y33" s="678">
        <f t="shared" si="84"/>
        <v>-5</v>
      </c>
      <c r="Z33" s="1244">
        <f t="shared" si="84"/>
        <v>-20</v>
      </c>
      <c r="AA33" s="678">
        <f t="shared" si="84"/>
        <v>-10</v>
      </c>
      <c r="AB33" s="678">
        <f t="shared" si="84"/>
        <v>0</v>
      </c>
      <c r="AC33" s="678">
        <f t="shared" si="84"/>
        <v>0</v>
      </c>
      <c r="AD33" s="678">
        <f t="shared" si="84"/>
        <v>0</v>
      </c>
      <c r="AE33" s="1244">
        <f t="shared" si="84"/>
        <v>-10</v>
      </c>
      <c r="AF33" s="678">
        <f t="shared" si="84"/>
        <v>0</v>
      </c>
      <c r="AG33" s="678">
        <f t="shared" si="84"/>
        <v>0</v>
      </c>
      <c r="AH33" s="678">
        <f t="shared" si="84"/>
        <v>0</v>
      </c>
      <c r="AI33" s="678">
        <f t="shared" ref="AI33:BG33" si="85">INDEX(MO_RIS_COGS_Adjustments,0,COLUMN())</f>
        <v>-1</v>
      </c>
      <c r="AJ33" s="1244">
        <f t="shared" si="85"/>
        <v>-1</v>
      </c>
      <c r="AK33" s="678">
        <f t="shared" si="85"/>
        <v>0</v>
      </c>
      <c r="AL33" s="678">
        <f t="shared" si="85"/>
        <v>0</v>
      </c>
      <c r="AM33" s="678">
        <f t="shared" si="85"/>
        <v>-14</v>
      </c>
      <c r="AN33" s="678">
        <f t="shared" si="85"/>
        <v>-21</v>
      </c>
      <c r="AO33" s="1244">
        <f t="shared" si="85"/>
        <v>-35</v>
      </c>
      <c r="AP33" s="678">
        <f t="shared" si="85"/>
        <v>-10</v>
      </c>
      <c r="AQ33" s="678">
        <f t="shared" si="85"/>
        <v>-2</v>
      </c>
      <c r="AR33" s="678">
        <f t="shared" si="85"/>
        <v>0</v>
      </c>
      <c r="AS33" s="678">
        <f t="shared" si="85"/>
        <v>-3</v>
      </c>
      <c r="AT33" s="1244">
        <f t="shared" si="85"/>
        <v>-14</v>
      </c>
      <c r="AU33" s="678">
        <f t="shared" si="85"/>
        <v>0</v>
      </c>
      <c r="AV33" s="678">
        <f t="shared" si="85"/>
        <v>-17</v>
      </c>
      <c r="AW33" s="678">
        <f t="shared" si="85"/>
        <v>-21</v>
      </c>
      <c r="AX33" s="678">
        <f t="shared" si="85"/>
        <v>-1</v>
      </c>
      <c r="AY33" s="1244">
        <f t="shared" si="85"/>
        <v>-38</v>
      </c>
      <c r="AZ33" s="678">
        <f t="shared" si="85"/>
        <v>-5</v>
      </c>
      <c r="BA33" s="678">
        <f t="shared" si="85"/>
        <v>-4</v>
      </c>
      <c r="BB33" s="678">
        <f t="shared" si="85"/>
        <v>0</v>
      </c>
      <c r="BC33" s="678">
        <f t="shared" si="85"/>
        <v>0</v>
      </c>
      <c r="BD33" s="1244">
        <f t="shared" si="85"/>
        <v>-9</v>
      </c>
      <c r="BE33" s="678">
        <f t="shared" si="85"/>
        <v>0</v>
      </c>
      <c r="BF33" s="678">
        <f t="shared" si="85"/>
        <v>0</v>
      </c>
      <c r="BG33" s="678">
        <f t="shared" si="85"/>
        <v>0</v>
      </c>
      <c r="BH33" s="678">
        <f t="shared" ref="BH33:BN33" si="86">INDEX(MO_RIS_COGS_Adjustments,0,COLUMN())</f>
        <v>-16</v>
      </c>
      <c r="BI33" s="1244">
        <f t="shared" si="86"/>
        <v>-16</v>
      </c>
      <c r="BJ33" s="678">
        <f t="shared" si="86"/>
        <v>-8</v>
      </c>
      <c r="BK33" s="678">
        <f t="shared" si="86"/>
        <v>-2</v>
      </c>
      <c r="BL33" s="678">
        <f t="shared" si="86"/>
        <v>-26</v>
      </c>
      <c r="BM33" s="678">
        <f t="shared" si="86"/>
        <v>-4</v>
      </c>
      <c r="BN33" s="1244">
        <f t="shared" si="86"/>
        <v>-40</v>
      </c>
      <c r="BO33" s="678">
        <f t="shared" ref="BO33:BT33" si="87">INDEX(MO_RIS_COGS_Adjustments,0,COLUMN())</f>
        <v>1</v>
      </c>
      <c r="BP33" s="678">
        <f t="shared" si="87"/>
        <v>3</v>
      </c>
      <c r="BQ33" s="678">
        <f t="shared" si="87"/>
        <v>0</v>
      </c>
      <c r="BR33" s="678">
        <f t="shared" si="87"/>
        <v>0</v>
      </c>
      <c r="BS33" s="1244">
        <f t="shared" si="87"/>
        <v>3</v>
      </c>
      <c r="BT33" s="678">
        <f t="shared" si="87"/>
        <v>-3</v>
      </c>
      <c r="BU33" s="678">
        <f>INDEX(MO_RIS_COGS_Adjustments,0,COLUMN())</f>
        <v>0</v>
      </c>
      <c r="BV33" s="678">
        <f>INDEX(MO_RIS_COGS_Adjustments,0,COLUMN())</f>
        <v>0</v>
      </c>
      <c r="BW33" s="678">
        <f>INDEX(MO_RIS_COGS_Adjustments,0,COLUMN())</f>
        <v>1</v>
      </c>
      <c r="BX33" s="1244">
        <f>INDEX(MO_RIS_COGS_Adjustments,0,COLUMN())</f>
        <v>-3</v>
      </c>
      <c r="BY33" s="954">
        <f>INDEX(MO_RIS_COGS_Adjustments,0,COLUMN())</f>
        <v>-28</v>
      </c>
      <c r="BZ33" s="678">
        <f t="shared" ref="BZ33:CC33" si="88">INDEX(MO_RIS_COGS_Adjustments,0,COLUMN())</f>
        <v>0</v>
      </c>
      <c r="CA33" s="678">
        <f t="shared" si="88"/>
        <v>0</v>
      </c>
      <c r="CB33" s="678">
        <f t="shared" si="88"/>
        <v>0</v>
      </c>
      <c r="CC33" s="1244">
        <f t="shared" si="88"/>
        <v>-28</v>
      </c>
      <c r="CD33" s="678">
        <f t="shared" ref="CD33:CK33" si="89">INDEX(MO_RIS_COGS_Adjustments,0,COLUMN())</f>
        <v>0</v>
      </c>
      <c r="CE33" s="678">
        <f t="shared" si="89"/>
        <v>0</v>
      </c>
      <c r="CF33" s="678">
        <f t="shared" si="89"/>
        <v>0</v>
      </c>
      <c r="CG33" s="678">
        <f t="shared" si="89"/>
        <v>0</v>
      </c>
      <c r="CH33" s="1244">
        <f t="shared" si="89"/>
        <v>0</v>
      </c>
      <c r="CI33" s="1244">
        <f t="shared" si="89"/>
        <v>0</v>
      </c>
      <c r="CJ33" s="1244">
        <f t="shared" si="89"/>
        <v>0</v>
      </c>
      <c r="CK33" s="1244">
        <f t="shared" si="89"/>
        <v>0</v>
      </c>
      <c r="CL33" s="678"/>
    </row>
    <row r="34" spans="1:90" s="993" customFormat="1" x14ac:dyDescent="0.3">
      <c r="A34" s="676" t="str">
        <f>INDEX(MO_RIS_RD_NONGAAP,0,COLUMN())</f>
        <v>Non-GAAP R&amp;D</v>
      </c>
      <c r="B34" s="685"/>
      <c r="C34" s="1244">
        <f t="shared" ref="C34:AH34" si="90">INDEX(MO_RIS_RD_NONGAAP,0,COLUMN())</f>
        <v>757.87200000000007</v>
      </c>
      <c r="D34" s="1244">
        <f t="shared" si="90"/>
        <v>847.51400000000001</v>
      </c>
      <c r="E34" s="1244">
        <f t="shared" si="90"/>
        <v>790.85599999999999</v>
      </c>
      <c r="F34" s="1244">
        <f t="shared" si="90"/>
        <v>911.82100000000003</v>
      </c>
      <c r="G34" s="678">
        <f t="shared" si="90"/>
        <v>259.524</v>
      </c>
      <c r="H34" s="678">
        <f t="shared" si="90"/>
        <v>259.51400000000001</v>
      </c>
      <c r="I34" s="678">
        <f t="shared" si="90"/>
        <v>261.45800000000003</v>
      </c>
      <c r="J34" s="678">
        <f t="shared" si="90"/>
        <v>272.2999999999999</v>
      </c>
      <c r="K34" s="1244">
        <f t="shared" si="90"/>
        <v>1039.9869999999999</v>
      </c>
      <c r="L34" s="678">
        <f t="shared" si="90"/>
        <v>301.36500000000001</v>
      </c>
      <c r="M34" s="678">
        <f t="shared" si="90"/>
        <v>309.21899999999999</v>
      </c>
      <c r="N34" s="678">
        <f t="shared" si="90"/>
        <v>317.815</v>
      </c>
      <c r="O34" s="678">
        <f t="shared" si="90"/>
        <v>310.84299999999996</v>
      </c>
      <c r="P34" s="1244">
        <f t="shared" si="90"/>
        <v>1239.242</v>
      </c>
      <c r="Q34" s="678">
        <f t="shared" si="90"/>
        <v>309.04399999999998</v>
      </c>
      <c r="R34" s="678">
        <f t="shared" si="90"/>
        <v>312</v>
      </c>
      <c r="S34" s="678">
        <f t="shared" si="90"/>
        <v>312.32</v>
      </c>
      <c r="T34" s="678">
        <f t="shared" si="90"/>
        <v>322</v>
      </c>
      <c r="U34" s="1244">
        <f t="shared" si="90"/>
        <v>1255.364</v>
      </c>
      <c r="V34" s="678">
        <f t="shared" si="90"/>
        <v>307</v>
      </c>
      <c r="W34" s="678">
        <f t="shared" si="90"/>
        <v>291</v>
      </c>
      <c r="X34" s="678">
        <f t="shared" si="90"/>
        <v>299</v>
      </c>
      <c r="Y34" s="678">
        <f t="shared" si="90"/>
        <v>309</v>
      </c>
      <c r="Z34" s="1244">
        <f t="shared" si="90"/>
        <v>1204</v>
      </c>
      <c r="AA34" s="678">
        <f t="shared" si="90"/>
        <v>315</v>
      </c>
      <c r="AB34" s="678">
        <f t="shared" si="90"/>
        <v>318</v>
      </c>
      <c r="AC34" s="678">
        <f t="shared" si="90"/>
        <v>336</v>
      </c>
      <c r="AD34" s="678">
        <f t="shared" si="90"/>
        <v>352</v>
      </c>
      <c r="AE34" s="1244">
        <f t="shared" si="90"/>
        <v>1321</v>
      </c>
      <c r="AF34" s="678">
        <f t="shared" si="90"/>
        <v>368</v>
      </c>
      <c r="AG34" s="678">
        <f t="shared" si="90"/>
        <v>370</v>
      </c>
      <c r="AH34" s="678">
        <f t="shared" si="90"/>
        <v>400</v>
      </c>
      <c r="AI34" s="678">
        <f t="shared" ref="AI34:BG34" si="91">INDEX(MO_RIS_RD_NONGAAP,0,COLUMN())</f>
        <v>435</v>
      </c>
      <c r="AJ34" s="1244">
        <f t="shared" si="91"/>
        <v>1573</v>
      </c>
      <c r="AK34" s="678">
        <f t="shared" si="91"/>
        <v>467</v>
      </c>
      <c r="AL34" s="678">
        <f t="shared" si="91"/>
        <v>504</v>
      </c>
      <c r="AM34" s="678">
        <f t="shared" si="91"/>
        <v>517</v>
      </c>
      <c r="AN34" s="678">
        <f t="shared" si="91"/>
        <v>548</v>
      </c>
      <c r="AO34" s="1244">
        <f t="shared" si="91"/>
        <v>2039</v>
      </c>
      <c r="AP34" s="678">
        <f t="shared" si="91"/>
        <v>556</v>
      </c>
      <c r="AQ34" s="678">
        <f t="shared" si="91"/>
        <v>558</v>
      </c>
      <c r="AR34" s="678">
        <f t="shared" si="91"/>
        <v>570</v>
      </c>
      <c r="AS34" s="678">
        <f t="shared" si="91"/>
        <v>597</v>
      </c>
      <c r="AT34" s="1244">
        <f t="shared" si="91"/>
        <v>2283</v>
      </c>
      <c r="AU34" s="678">
        <f t="shared" si="91"/>
        <v>599</v>
      </c>
      <c r="AV34" s="678">
        <f t="shared" si="91"/>
        <v>766</v>
      </c>
      <c r="AW34" s="678">
        <f t="shared" si="91"/>
        <v>813</v>
      </c>
      <c r="AX34" s="678">
        <f t="shared" si="91"/>
        <v>879</v>
      </c>
      <c r="AY34" s="1244">
        <f t="shared" si="91"/>
        <v>3055</v>
      </c>
      <c r="AZ34" s="678">
        <f t="shared" si="91"/>
        <v>876</v>
      </c>
      <c r="BA34" s="678">
        <f t="shared" si="91"/>
        <v>947</v>
      </c>
      <c r="BB34" s="678">
        <f t="shared" si="91"/>
        <v>1033</v>
      </c>
      <c r="BC34" s="678">
        <f t="shared" si="91"/>
        <v>1095</v>
      </c>
      <c r="BD34" s="1244">
        <f t="shared" si="91"/>
        <v>3951</v>
      </c>
      <c r="BE34" s="678">
        <f t="shared" si="91"/>
        <v>1225</v>
      </c>
      <c r="BF34" s="678">
        <f t="shared" si="91"/>
        <v>1362</v>
      </c>
      <c r="BG34" s="678">
        <f t="shared" si="91"/>
        <v>1405</v>
      </c>
      <c r="BH34" s="678">
        <f t="shared" ref="BH34:BN34" si="92">INDEX(MO_RIS_RD_NONGAAP,0,COLUMN())</f>
        <v>1414</v>
      </c>
      <c r="BI34" s="1244">
        <f t="shared" si="92"/>
        <v>5408</v>
      </c>
      <c r="BJ34" s="678">
        <f t="shared" si="92"/>
        <v>1339</v>
      </c>
      <c r="BK34" s="678">
        <f t="shared" si="92"/>
        <v>1428</v>
      </c>
      <c r="BL34" s="678">
        <f t="shared" si="92"/>
        <v>1581</v>
      </c>
      <c r="BM34" s="678">
        <f t="shared" si="92"/>
        <v>1747</v>
      </c>
      <c r="BN34" s="1244">
        <f t="shared" si="92"/>
        <v>6094</v>
      </c>
      <c r="BO34" s="678">
        <f t="shared" ref="BO34:BT34" si="93">INDEX(MO_RIS_RD_NONGAAP,0,COLUMN())</f>
        <v>1981</v>
      </c>
      <c r="BP34" s="678">
        <f t="shared" si="93"/>
        <v>2241</v>
      </c>
      <c r="BQ34" s="678">
        <f t="shared" si="93"/>
        <v>2457</v>
      </c>
      <c r="BR34" s="678">
        <f t="shared" si="93"/>
        <v>2732</v>
      </c>
      <c r="BS34" s="1244">
        <f t="shared" si="93"/>
        <v>9412</v>
      </c>
      <c r="BT34" s="678">
        <f t="shared" si="93"/>
        <v>2898</v>
      </c>
      <c r="BU34" s="678">
        <f>INDEX(MO_RIS_RD_NONGAAP,0,COLUMN())</f>
        <v>3071</v>
      </c>
      <c r="BV34" s="678">
        <f>INDEX(MO_RIS_RD_NONGAAP,0,COLUMN())</f>
        <v>3464</v>
      </c>
      <c r="BW34" s="678">
        <f>INDEX(MO_RIS_RD_NONGAAP,0,COLUMN())</f>
        <v>4212</v>
      </c>
      <c r="BX34" s="1244">
        <f>INDEX(MO_RIS_RD_NONGAAP,0,COLUMN())</f>
        <v>13645</v>
      </c>
      <c r="BY34" s="954">
        <f>INDEX(MO_RIS_RD_NONGAAP,0,COLUMN())</f>
        <v>6154</v>
      </c>
      <c r="BZ34" s="678">
        <f t="shared" ref="BZ34:CC34" si="94">INDEX(MO_RIS_RD_NONGAAP,0,COLUMN())</f>
        <v>6428.9683675705446</v>
      </c>
      <c r="CA34" s="678">
        <f t="shared" si="94"/>
        <v>5562.221717012244</v>
      </c>
      <c r="CB34" s="678">
        <f t="shared" si="94"/>
        <v>5811.6752741203927</v>
      </c>
      <c r="CC34" s="1244">
        <f t="shared" si="94"/>
        <v>23956.86535870318</v>
      </c>
      <c r="CD34" s="678">
        <f t="shared" ref="CD34:CK34" si="95">INDEX(MO_RIS_RD_NONGAAP,0,COLUMN())</f>
        <v>7956.7717539667956</v>
      </c>
      <c r="CE34" s="678">
        <f t="shared" si="95"/>
        <v>8319.1418705847391</v>
      </c>
      <c r="CF34" s="678">
        <f t="shared" si="95"/>
        <v>6939.1759969126042</v>
      </c>
      <c r="CG34" s="678">
        <f t="shared" si="95"/>
        <v>7229.7345946541009</v>
      </c>
      <c r="CH34" s="1244">
        <f t="shared" si="95"/>
        <v>30444.824216118242</v>
      </c>
      <c r="CI34" s="1244">
        <f t="shared" si="95"/>
        <v>36313.733327931681</v>
      </c>
      <c r="CJ34" s="1244">
        <f t="shared" si="95"/>
        <v>42656.556283318401</v>
      </c>
      <c r="CK34" s="1244">
        <f t="shared" si="95"/>
        <v>50121.722466310646</v>
      </c>
      <c r="CL34" s="678"/>
    </row>
    <row r="35" spans="1:90" s="993" customFormat="1" x14ac:dyDescent="0.3">
      <c r="A35" s="676" t="str">
        <f>INDEX(MO_RIS_SGA_NONGAAP,0,COLUMN())</f>
        <v>Non-GAAP SG&amp;A</v>
      </c>
      <c r="B35" s="685"/>
      <c r="C35" s="1244">
        <f t="shared" ref="C35:AH35" si="96">INDEX(MO_RIS_SGA_NONGAAP,0,COLUMN())</f>
        <v>309.46199999999999</v>
      </c>
      <c r="D35" s="1244">
        <f t="shared" si="96"/>
        <v>333.31299999999999</v>
      </c>
      <c r="E35" s="1244">
        <f t="shared" si="96"/>
        <v>327.44200000000001</v>
      </c>
      <c r="F35" s="1244">
        <f t="shared" si="96"/>
        <v>351.08299999999997</v>
      </c>
      <c r="G35" s="678">
        <f t="shared" si="96"/>
        <v>92.8</v>
      </c>
      <c r="H35" s="678">
        <f t="shared" si="96"/>
        <v>87.055000000000007</v>
      </c>
      <c r="I35" s="678">
        <f t="shared" si="96"/>
        <v>87.736999999999995</v>
      </c>
      <c r="J35" s="678">
        <f t="shared" si="96"/>
        <v>88.088000000000022</v>
      </c>
      <c r="K35" s="1244">
        <f t="shared" si="96"/>
        <v>355.68</v>
      </c>
      <c r="L35" s="678">
        <f t="shared" si="96"/>
        <v>94.817000000000007</v>
      </c>
      <c r="M35" s="678">
        <f t="shared" si="96"/>
        <v>91.594000000000008</v>
      </c>
      <c r="N35" s="678">
        <f t="shared" si="96"/>
        <v>89.825999999999993</v>
      </c>
      <c r="O35" s="678">
        <f t="shared" si="96"/>
        <v>98.798000000000002</v>
      </c>
      <c r="P35" s="1244">
        <f t="shared" si="96"/>
        <v>375.03499999999997</v>
      </c>
      <c r="Q35" s="678">
        <f t="shared" si="96"/>
        <v>101.595</v>
      </c>
      <c r="R35" s="678">
        <f t="shared" si="96"/>
        <v>100</v>
      </c>
      <c r="S35" s="678">
        <f t="shared" si="96"/>
        <v>102.26599999999999</v>
      </c>
      <c r="T35" s="678">
        <f t="shared" si="96"/>
        <v>99</v>
      </c>
      <c r="U35" s="1244">
        <f t="shared" si="96"/>
        <v>402.86099999999999</v>
      </c>
      <c r="V35" s="678">
        <f t="shared" si="96"/>
        <v>117</v>
      </c>
      <c r="W35" s="678">
        <f t="shared" si="96"/>
        <v>130</v>
      </c>
      <c r="X35" s="678">
        <f t="shared" si="96"/>
        <v>131</v>
      </c>
      <c r="Y35" s="678">
        <f t="shared" si="96"/>
        <v>137</v>
      </c>
      <c r="Z35" s="1244">
        <f t="shared" si="96"/>
        <v>517</v>
      </c>
      <c r="AA35" s="678">
        <f t="shared" si="96"/>
        <v>134</v>
      </c>
      <c r="AB35" s="678">
        <f t="shared" si="96"/>
        <v>130</v>
      </c>
      <c r="AC35" s="678">
        <f t="shared" si="96"/>
        <v>142</v>
      </c>
      <c r="AD35" s="678">
        <f t="shared" si="96"/>
        <v>147</v>
      </c>
      <c r="AE35" s="1244">
        <f t="shared" si="96"/>
        <v>553</v>
      </c>
      <c r="AF35" s="678">
        <f t="shared" si="96"/>
        <v>150</v>
      </c>
      <c r="AG35" s="678">
        <f t="shared" si="96"/>
        <v>163</v>
      </c>
      <c r="AH35" s="678">
        <f t="shared" si="96"/>
        <v>170</v>
      </c>
      <c r="AI35" s="678">
        <f t="shared" ref="AI35:BG35" si="97">INDEX(MO_RIS_SGA_NONGAAP,0,COLUMN())</f>
        <v>172</v>
      </c>
      <c r="AJ35" s="1244">
        <f t="shared" si="97"/>
        <v>654</v>
      </c>
      <c r="AK35" s="678">
        <f t="shared" si="97"/>
        <v>183</v>
      </c>
      <c r="AL35" s="678">
        <f t="shared" si="97"/>
        <v>188</v>
      </c>
      <c r="AM35" s="678">
        <f t="shared" si="97"/>
        <v>210</v>
      </c>
      <c r="AN35" s="678">
        <f t="shared" si="97"/>
        <v>214</v>
      </c>
      <c r="AO35" s="1244">
        <f t="shared" si="97"/>
        <v>796</v>
      </c>
      <c r="AP35" s="678">
        <f t="shared" si="97"/>
        <v>198</v>
      </c>
      <c r="AQ35" s="678">
        <f t="shared" si="97"/>
        <v>191</v>
      </c>
      <c r="AR35" s="678">
        <f t="shared" si="97"/>
        <v>204</v>
      </c>
      <c r="AS35" s="678">
        <f t="shared" si="97"/>
        <v>213</v>
      </c>
      <c r="AT35" s="1244">
        <f t="shared" si="97"/>
        <v>803</v>
      </c>
      <c r="AU35" s="678">
        <f t="shared" si="97"/>
        <v>222</v>
      </c>
      <c r="AV35" s="678">
        <f t="shared" si="97"/>
        <v>269</v>
      </c>
      <c r="AW35" s="678">
        <f t="shared" si="97"/>
        <v>288</v>
      </c>
      <c r="AX35" s="678">
        <f t="shared" si="97"/>
        <v>308</v>
      </c>
      <c r="AY35" s="1244">
        <f t="shared" si="97"/>
        <v>1089</v>
      </c>
      <c r="AZ35" s="678">
        <f t="shared" si="97"/>
        <v>313</v>
      </c>
      <c r="BA35" s="678">
        <f t="shared" si="97"/>
        <v>319</v>
      </c>
      <c r="BB35" s="678">
        <f t="shared" si="97"/>
        <v>342</v>
      </c>
      <c r="BC35" s="678">
        <f t="shared" si="97"/>
        <v>352</v>
      </c>
      <c r="BD35" s="1244">
        <f t="shared" si="97"/>
        <v>1328</v>
      </c>
      <c r="BE35" s="678">
        <f t="shared" si="97"/>
        <v>390</v>
      </c>
      <c r="BF35" s="678">
        <f t="shared" si="97"/>
        <v>387</v>
      </c>
      <c r="BG35" s="678">
        <f t="shared" si="97"/>
        <v>388</v>
      </c>
      <c r="BH35" s="678">
        <f t="shared" ref="BH35:BN35" si="98">INDEX(MO_RIS_SGA_NONGAAP,0,COLUMN())</f>
        <v>361</v>
      </c>
      <c r="BI35" s="1244">
        <f t="shared" si="98"/>
        <v>1524</v>
      </c>
      <c r="BJ35" s="678">
        <f t="shared" si="98"/>
        <v>411</v>
      </c>
      <c r="BK35" s="678">
        <f t="shared" si="98"/>
        <v>410</v>
      </c>
      <c r="BL35" s="678">
        <f t="shared" si="98"/>
        <v>445</v>
      </c>
      <c r="BM35" s="678">
        <f t="shared" si="98"/>
        <v>463</v>
      </c>
      <c r="BN35" s="1244">
        <f t="shared" si="98"/>
        <v>1731</v>
      </c>
      <c r="BO35" s="678">
        <f t="shared" ref="BO35:BT35" si="99">INDEX(MO_RIS_SGA_NONGAAP,0,COLUMN())</f>
        <v>521</v>
      </c>
      <c r="BP35" s="678">
        <f t="shared" si="99"/>
        <v>551</v>
      </c>
      <c r="BQ35" s="678">
        <f t="shared" si="99"/>
        <v>589</v>
      </c>
      <c r="BR35" s="678">
        <f t="shared" si="99"/>
        <v>646</v>
      </c>
      <c r="BS35" s="1244">
        <f t="shared" si="99"/>
        <v>2304</v>
      </c>
      <c r="BT35" s="678">
        <f t="shared" si="99"/>
        <v>685</v>
      </c>
      <c r="BU35" s="678">
        <f>INDEX(MO_RIS_SGA_NONGAAP,0,COLUMN())</f>
        <v>739</v>
      </c>
      <c r="BV35" s="678">
        <f>INDEX(MO_RIS_SGA_NONGAAP,0,COLUMN())</f>
        <v>751</v>
      </c>
      <c r="BW35" s="678">
        <f>INDEX(MO_RIS_SGA_NONGAAP,0,COLUMN())</f>
        <v>928</v>
      </c>
      <c r="BX35" s="1244">
        <f>INDEX(MO_RIS_SGA_NONGAAP,0,COLUMN())</f>
        <v>3102</v>
      </c>
      <c r="BY35" s="954">
        <f>INDEX(MO_RIS_SGA_NONGAAP,0,COLUMN())</f>
        <v>1295</v>
      </c>
      <c r="BZ35" s="678">
        <f t="shared" ref="BZ35:CC35" si="100">INDEX(MO_RIS_SGA_NONGAAP,0,COLUMN())</f>
        <v>1892.3126398680015</v>
      </c>
      <c r="CA35" s="678">
        <f t="shared" si="100"/>
        <v>1205.8973757148369</v>
      </c>
      <c r="CB35" s="678">
        <f t="shared" si="100"/>
        <v>1280.4450746400105</v>
      </c>
      <c r="CC35" s="1244">
        <f t="shared" si="100"/>
        <v>5673.6550902228491</v>
      </c>
      <c r="CD35" s="678">
        <f t="shared" ref="CD35:CK35" si="101">INDEX(MO_RIS_SGA_NONGAAP,0,COLUMN())</f>
        <v>1674.3612969429639</v>
      </c>
      <c r="CE35" s="678">
        <f t="shared" si="101"/>
        <v>2448.6692754581968</v>
      </c>
      <c r="CF35" s="678">
        <f t="shared" si="101"/>
        <v>1504.4229716170225</v>
      </c>
      <c r="CG35" s="678">
        <f t="shared" si="101"/>
        <v>1592.875998062442</v>
      </c>
      <c r="CH35" s="1244">
        <f t="shared" si="101"/>
        <v>7220.3295420806253</v>
      </c>
      <c r="CI35" s="1244">
        <f t="shared" si="101"/>
        <v>8341.2533794559131</v>
      </c>
      <c r="CJ35" s="1244">
        <f t="shared" si="101"/>
        <v>9479.9177535295421</v>
      </c>
      <c r="CK35" s="1244">
        <f t="shared" si="101"/>
        <v>10764.981972143703</v>
      </c>
      <c r="CL35" s="678"/>
    </row>
    <row r="36" spans="1:90" s="993" customFormat="1" x14ac:dyDescent="0.3">
      <c r="A36" s="676" t="str">
        <f>INDEX(MO_RIS_OPEX_NONGAAP,0,COLUMN())</f>
        <v>Non-GAAP OPEX</v>
      </c>
      <c r="B36" s="685"/>
      <c r="C36" s="1244">
        <f t="shared" ref="C36:AH36" si="102">INDEX(MO_RIS_OPEX_NONGAAP,0,COLUMN())</f>
        <v>0</v>
      </c>
      <c r="D36" s="1244">
        <f t="shared" si="102"/>
        <v>0</v>
      </c>
      <c r="E36" s="1244">
        <f t="shared" si="102"/>
        <v>0</v>
      </c>
      <c r="F36" s="1244">
        <f t="shared" si="102"/>
        <v>0</v>
      </c>
      <c r="G36" s="678">
        <f t="shared" si="102"/>
        <v>0</v>
      </c>
      <c r="H36" s="678">
        <f t="shared" si="102"/>
        <v>0</v>
      </c>
      <c r="I36" s="678">
        <f t="shared" si="102"/>
        <v>0</v>
      </c>
      <c r="J36" s="678">
        <f t="shared" si="102"/>
        <v>0</v>
      </c>
      <c r="K36" s="1244">
        <f t="shared" si="102"/>
        <v>0</v>
      </c>
      <c r="L36" s="678">
        <f t="shared" si="102"/>
        <v>0</v>
      </c>
      <c r="M36" s="678">
        <f t="shared" si="102"/>
        <v>0</v>
      </c>
      <c r="N36" s="678">
        <f t="shared" si="102"/>
        <v>-2.2349999999999999</v>
      </c>
      <c r="O36" s="678">
        <f t="shared" si="102"/>
        <v>-1.845</v>
      </c>
      <c r="P36" s="1244">
        <f t="shared" si="102"/>
        <v>-4.08</v>
      </c>
      <c r="Q36" s="678">
        <f t="shared" si="102"/>
        <v>0</v>
      </c>
      <c r="R36" s="678">
        <f t="shared" si="102"/>
        <v>0</v>
      </c>
      <c r="S36" s="678">
        <f t="shared" si="102"/>
        <v>0</v>
      </c>
      <c r="T36" s="678">
        <f t="shared" si="102"/>
        <v>0</v>
      </c>
      <c r="U36" s="1244">
        <f t="shared" si="102"/>
        <v>0</v>
      </c>
      <c r="V36" s="678">
        <f t="shared" si="102"/>
        <v>0</v>
      </c>
      <c r="W36" s="678">
        <f t="shared" si="102"/>
        <v>0</v>
      </c>
      <c r="X36" s="678">
        <f t="shared" si="102"/>
        <v>0</v>
      </c>
      <c r="Y36" s="678">
        <f t="shared" si="102"/>
        <v>0</v>
      </c>
      <c r="Z36" s="1244">
        <f t="shared" si="102"/>
        <v>0</v>
      </c>
      <c r="AA36" s="678">
        <f t="shared" si="102"/>
        <v>-6</v>
      </c>
      <c r="AB36" s="678">
        <f t="shared" si="102"/>
        <v>0</v>
      </c>
      <c r="AC36" s="678">
        <f t="shared" si="102"/>
        <v>0</v>
      </c>
      <c r="AD36" s="678">
        <f t="shared" si="102"/>
        <v>0</v>
      </c>
      <c r="AE36" s="1244">
        <f t="shared" si="102"/>
        <v>-6</v>
      </c>
      <c r="AF36" s="678">
        <f t="shared" si="102"/>
        <v>0</v>
      </c>
      <c r="AG36" s="678">
        <f t="shared" si="102"/>
        <v>0</v>
      </c>
      <c r="AH36" s="678">
        <f t="shared" si="102"/>
        <v>0</v>
      </c>
      <c r="AI36" s="678">
        <f t="shared" ref="AI36:BG36" si="103">INDEX(MO_RIS_OPEX_NONGAAP,0,COLUMN())</f>
        <v>0</v>
      </c>
      <c r="AJ36" s="1244">
        <f t="shared" si="103"/>
        <v>0</v>
      </c>
      <c r="AK36" s="678">
        <f t="shared" si="103"/>
        <v>-2</v>
      </c>
      <c r="AL36" s="678">
        <f t="shared" si="103"/>
        <v>0</v>
      </c>
      <c r="AM36" s="678">
        <f t="shared" si="103"/>
        <v>3</v>
      </c>
      <c r="AN36" s="678">
        <f t="shared" si="103"/>
        <v>-7</v>
      </c>
      <c r="AO36" s="1244">
        <f t="shared" si="103"/>
        <v>-9</v>
      </c>
      <c r="AP36" s="678">
        <f t="shared" si="103"/>
        <v>-1</v>
      </c>
      <c r="AQ36" s="678">
        <f t="shared" si="103"/>
        <v>0</v>
      </c>
      <c r="AR36" s="678">
        <f t="shared" si="103"/>
        <v>0</v>
      </c>
      <c r="AS36" s="678">
        <f t="shared" si="103"/>
        <v>0</v>
      </c>
      <c r="AT36" s="1244">
        <f t="shared" si="103"/>
        <v>-1</v>
      </c>
      <c r="AU36" s="678">
        <f t="shared" si="103"/>
        <v>0</v>
      </c>
      <c r="AV36" s="678">
        <f t="shared" si="103"/>
        <v>0</v>
      </c>
      <c r="AW36" s="678">
        <f t="shared" si="103"/>
        <v>0</v>
      </c>
      <c r="AX36" s="678">
        <f t="shared" si="103"/>
        <v>0</v>
      </c>
      <c r="AY36" s="1244">
        <f t="shared" si="103"/>
        <v>0</v>
      </c>
      <c r="AZ36" s="678">
        <f t="shared" si="103"/>
        <v>0</v>
      </c>
      <c r="BA36" s="678">
        <f t="shared" si="103"/>
        <v>0</v>
      </c>
      <c r="BB36" s="678">
        <f t="shared" si="103"/>
        <v>0</v>
      </c>
      <c r="BC36" s="678">
        <f t="shared" si="103"/>
        <v>0</v>
      </c>
      <c r="BD36" s="1244">
        <f t="shared" si="103"/>
        <v>0</v>
      </c>
      <c r="BE36" s="678">
        <f t="shared" si="103"/>
        <v>-7</v>
      </c>
      <c r="BF36" s="678">
        <f t="shared" si="103"/>
        <v>0</v>
      </c>
      <c r="BG36" s="678">
        <f t="shared" si="103"/>
        <v>0</v>
      </c>
      <c r="BH36" s="678">
        <f t="shared" ref="BH36:BN36" si="104">INDEX(MO_RIS_OPEX_NONGAAP,0,COLUMN())</f>
        <v>0</v>
      </c>
      <c r="BI36" s="1244">
        <f t="shared" si="104"/>
        <v>-7</v>
      </c>
      <c r="BJ36" s="678">
        <f t="shared" si="104"/>
        <v>0</v>
      </c>
      <c r="BK36" s="678">
        <f t="shared" si="104"/>
        <v>0</v>
      </c>
      <c r="BL36" s="678">
        <f t="shared" si="104"/>
        <v>0</v>
      </c>
      <c r="BM36" s="678">
        <f t="shared" si="104"/>
        <v>0</v>
      </c>
      <c r="BN36" s="1244">
        <f t="shared" si="104"/>
        <v>0</v>
      </c>
      <c r="BO36" s="678">
        <f t="shared" ref="BO36:BT36" si="105">INDEX(MO_RIS_OPEX_NONGAAP,0,COLUMN())</f>
        <v>0</v>
      </c>
      <c r="BP36" s="678">
        <f t="shared" si="105"/>
        <v>0</v>
      </c>
      <c r="BQ36" s="678">
        <f t="shared" si="105"/>
        <v>0</v>
      </c>
      <c r="BR36" s="678">
        <f t="shared" si="105"/>
        <v>0</v>
      </c>
      <c r="BS36" s="1244">
        <f t="shared" si="105"/>
        <v>0</v>
      </c>
      <c r="BT36" s="678">
        <f t="shared" si="105"/>
        <v>0</v>
      </c>
      <c r="BU36" s="678">
        <f>INDEX(MO_RIS_OPEX_NONGAAP,0,COLUMN())</f>
        <v>-15</v>
      </c>
      <c r="BV36" s="678">
        <f>INDEX(MO_RIS_OPEX_NONGAAP,0,COLUMN())</f>
        <v>0</v>
      </c>
      <c r="BW36" s="678">
        <f>INDEX(MO_RIS_OPEX_NONGAAP,0,COLUMN())</f>
        <v>-38</v>
      </c>
      <c r="BX36" s="1244">
        <f>INDEX(MO_RIS_OPEX_NONGAAP,0,COLUMN())</f>
        <v>-53</v>
      </c>
      <c r="BY36" s="954">
        <f>INDEX(MO_RIS_OPEX_NONGAAP,0,COLUMN())</f>
        <v>0</v>
      </c>
      <c r="BZ36" s="678">
        <f t="shared" ref="BZ36:CC36" si="106">INDEX(MO_RIS_OPEX_NONGAAP,0,COLUMN())</f>
        <v>0</v>
      </c>
      <c r="CA36" s="678">
        <f t="shared" si="106"/>
        <v>0</v>
      </c>
      <c r="CB36" s="678">
        <f t="shared" si="106"/>
        <v>0</v>
      </c>
      <c r="CC36" s="1244">
        <f t="shared" si="106"/>
        <v>0</v>
      </c>
      <c r="CD36" s="678">
        <f t="shared" ref="CD36:CK36" si="107">INDEX(MO_RIS_OPEX_NONGAAP,0,COLUMN())</f>
        <v>0</v>
      </c>
      <c r="CE36" s="678">
        <f t="shared" si="107"/>
        <v>0</v>
      </c>
      <c r="CF36" s="678">
        <f t="shared" si="107"/>
        <v>0</v>
      </c>
      <c r="CG36" s="678">
        <f t="shared" si="107"/>
        <v>0</v>
      </c>
      <c r="CH36" s="1244">
        <f t="shared" si="107"/>
        <v>0</v>
      </c>
      <c r="CI36" s="1244">
        <f t="shared" si="107"/>
        <v>0</v>
      </c>
      <c r="CJ36" s="1244">
        <f t="shared" si="107"/>
        <v>0</v>
      </c>
      <c r="CK36" s="1244">
        <f t="shared" si="107"/>
        <v>0</v>
      </c>
      <c r="CL36" s="678"/>
    </row>
    <row r="37" spans="1:90" s="993" customFormat="1" x14ac:dyDescent="0.3">
      <c r="A37" s="676" t="str">
        <f>INDEX(MO_RIS_OtherOperating_NONGAAP,0,COLUMN())</f>
        <v>Other Non-GAAP Operating Items</v>
      </c>
      <c r="B37" s="685"/>
      <c r="C37" s="1244">
        <f t="shared" ref="C37:AH37" si="108">INDEX(MO_RIS_OtherOperating_NONGAAP,0,COLUMN())</f>
        <v>152.10200000000009</v>
      </c>
      <c r="D37" s="1244">
        <f t="shared" si="108"/>
        <v>-31.858999999999924</v>
      </c>
      <c r="E37" s="1244">
        <f t="shared" si="108"/>
        <v>-21.886999999999944</v>
      </c>
      <c r="F37" s="1244">
        <f t="shared" si="108"/>
        <v>-17.189999999999714</v>
      </c>
      <c r="G37" s="678">
        <f t="shared" si="108"/>
        <v>-4.3419999999999703</v>
      </c>
      <c r="H37" s="678">
        <f t="shared" si="108"/>
        <v>-4.0649999999999977</v>
      </c>
      <c r="I37" s="678">
        <f t="shared" si="108"/>
        <v>-4.4019999999999868</v>
      </c>
      <c r="J37" s="678">
        <f t="shared" si="108"/>
        <v>0</v>
      </c>
      <c r="K37" s="1244">
        <f t="shared" si="108"/>
        <v>0</v>
      </c>
      <c r="L37" s="678">
        <f t="shared" si="108"/>
        <v>0</v>
      </c>
      <c r="M37" s="678">
        <f t="shared" si="108"/>
        <v>0</v>
      </c>
      <c r="N37" s="678">
        <f t="shared" si="108"/>
        <v>0</v>
      </c>
      <c r="O37" s="678">
        <f t="shared" si="108"/>
        <v>0</v>
      </c>
      <c r="P37" s="1244">
        <f t="shared" si="108"/>
        <v>0</v>
      </c>
      <c r="Q37" s="678">
        <f t="shared" si="108"/>
        <v>0.36100000000001842</v>
      </c>
      <c r="R37" s="678">
        <f t="shared" si="108"/>
        <v>0</v>
      </c>
      <c r="S37" s="678">
        <f t="shared" si="108"/>
        <v>1.4139999999999873</v>
      </c>
      <c r="T37" s="678">
        <f t="shared" si="108"/>
        <v>-1</v>
      </c>
      <c r="U37" s="1244">
        <f t="shared" si="108"/>
        <v>-1.2250000000000227</v>
      </c>
      <c r="V37" s="678">
        <f t="shared" si="108"/>
        <v>1</v>
      </c>
      <c r="W37" s="678">
        <f t="shared" si="108"/>
        <v>0</v>
      </c>
      <c r="X37" s="678">
        <f t="shared" si="108"/>
        <v>0</v>
      </c>
      <c r="Y37" s="678">
        <f t="shared" si="108"/>
        <v>-1</v>
      </c>
      <c r="Z37" s="1244">
        <f t="shared" si="108"/>
        <v>0</v>
      </c>
      <c r="AA37" s="678">
        <f t="shared" si="108"/>
        <v>0</v>
      </c>
      <c r="AB37" s="678">
        <f t="shared" si="108"/>
        <v>0</v>
      </c>
      <c r="AC37" s="678">
        <f t="shared" si="108"/>
        <v>0</v>
      </c>
      <c r="AD37" s="678">
        <f t="shared" si="108"/>
        <v>-1</v>
      </c>
      <c r="AE37" s="1244">
        <f t="shared" si="108"/>
        <v>-1</v>
      </c>
      <c r="AF37" s="678">
        <f t="shared" si="108"/>
        <v>-1</v>
      </c>
      <c r="AG37" s="678">
        <f t="shared" si="108"/>
        <v>0</v>
      </c>
      <c r="AH37" s="678">
        <f t="shared" si="108"/>
        <v>0</v>
      </c>
      <c r="AI37" s="678">
        <f t="shared" ref="AI37:BG37" si="109">INDEX(MO_RIS_OtherOperating_NONGAAP,0,COLUMN())</f>
        <v>0</v>
      </c>
      <c r="AJ37" s="1244">
        <f t="shared" si="109"/>
        <v>0</v>
      </c>
      <c r="AK37" s="678">
        <f t="shared" si="109"/>
        <v>0</v>
      </c>
      <c r="AL37" s="678">
        <f t="shared" si="109"/>
        <v>1</v>
      </c>
      <c r="AM37" s="678">
        <f t="shared" si="109"/>
        <v>0</v>
      </c>
      <c r="AN37" s="678">
        <f t="shared" si="109"/>
        <v>0</v>
      </c>
      <c r="AO37" s="1244">
        <f t="shared" si="109"/>
        <v>0</v>
      </c>
      <c r="AP37" s="678">
        <f t="shared" si="109"/>
        <v>0</v>
      </c>
      <c r="AQ37" s="678">
        <f t="shared" si="109"/>
        <v>0</v>
      </c>
      <c r="AR37" s="678">
        <f t="shared" si="109"/>
        <v>1</v>
      </c>
      <c r="AS37" s="678">
        <f t="shared" si="109"/>
        <v>0</v>
      </c>
      <c r="AT37" s="1244">
        <f t="shared" si="109"/>
        <v>1</v>
      </c>
      <c r="AU37" s="678">
        <f t="shared" si="109"/>
        <v>0</v>
      </c>
      <c r="AV37" s="678">
        <f t="shared" si="109"/>
        <v>0</v>
      </c>
      <c r="AW37" s="678">
        <f t="shared" si="109"/>
        <v>1</v>
      </c>
      <c r="AX37" s="678">
        <f t="shared" si="109"/>
        <v>0</v>
      </c>
      <c r="AY37" s="1244">
        <f t="shared" si="109"/>
        <v>0</v>
      </c>
      <c r="AZ37" s="678">
        <f t="shared" si="109"/>
        <v>0</v>
      </c>
      <c r="BA37" s="678">
        <f t="shared" si="109"/>
        <v>0</v>
      </c>
      <c r="BB37" s="678">
        <f t="shared" si="109"/>
        <v>0</v>
      </c>
      <c r="BC37" s="678">
        <f t="shared" si="109"/>
        <v>0</v>
      </c>
      <c r="BD37" s="1244">
        <f t="shared" si="109"/>
        <v>0</v>
      </c>
      <c r="BE37" s="678">
        <f t="shared" si="109"/>
        <v>0</v>
      </c>
      <c r="BF37" s="678">
        <f t="shared" si="109"/>
        <v>0</v>
      </c>
      <c r="BG37" s="678">
        <f t="shared" si="109"/>
        <v>0</v>
      </c>
      <c r="BH37" s="678">
        <f t="shared" ref="BH37:BN37" si="110">INDEX(MO_RIS_OtherOperating_NONGAAP,0,COLUMN())</f>
        <v>0</v>
      </c>
      <c r="BI37" s="1244">
        <f t="shared" si="110"/>
        <v>0</v>
      </c>
      <c r="BJ37" s="678">
        <f t="shared" si="110"/>
        <v>0</v>
      </c>
      <c r="BK37" s="678">
        <f t="shared" si="110"/>
        <v>0</v>
      </c>
      <c r="BL37" s="678">
        <f t="shared" si="110"/>
        <v>0</v>
      </c>
      <c r="BM37" s="678">
        <f t="shared" si="110"/>
        <v>0</v>
      </c>
      <c r="BN37" s="1244">
        <f t="shared" si="110"/>
        <v>0</v>
      </c>
      <c r="BO37" s="678">
        <f t="shared" ref="BO37:BT37" si="111">INDEX(MO_RIS_OtherOperating_NONGAAP,0,COLUMN())</f>
        <v>-1</v>
      </c>
      <c r="BP37" s="678">
        <f t="shared" si="111"/>
        <v>0</v>
      </c>
      <c r="BQ37" s="678">
        <f t="shared" si="111"/>
        <v>0</v>
      </c>
      <c r="BR37" s="678">
        <f t="shared" si="111"/>
        <v>0</v>
      </c>
      <c r="BS37" s="1244">
        <f t="shared" si="111"/>
        <v>0</v>
      </c>
      <c r="BT37" s="678">
        <f t="shared" si="111"/>
        <v>0</v>
      </c>
      <c r="BU37" s="678">
        <f>INDEX(MO_RIS_OtherOperating_NONGAAP,0,COLUMN())</f>
        <v>0</v>
      </c>
      <c r="BV37" s="678">
        <f>INDEX(MO_RIS_OtherOperating_NONGAAP,0,COLUMN())</f>
        <v>0</v>
      </c>
      <c r="BW37" s="678">
        <f>INDEX(MO_RIS_OtherOperating_NONGAAP,0,COLUMN())</f>
        <v>0</v>
      </c>
      <c r="BX37" s="1244">
        <f>INDEX(MO_RIS_OtherOperating_NONGAAP,0,COLUMN())</f>
        <v>0</v>
      </c>
      <c r="BY37" s="954">
        <f>INDEX(MO_RIS_OtherOperating_NONGAAP,0,COLUMN())</f>
        <v>0</v>
      </c>
      <c r="BZ37" s="678">
        <f t="shared" ref="BZ37:CC37" si="112">INDEX(MO_RIS_OtherOperating_NONGAAP,0,COLUMN())</f>
        <v>0</v>
      </c>
      <c r="CA37" s="678">
        <f t="shared" si="112"/>
        <v>0</v>
      </c>
      <c r="CB37" s="678">
        <f t="shared" si="112"/>
        <v>0</v>
      </c>
      <c r="CC37" s="1244">
        <f t="shared" si="112"/>
        <v>0</v>
      </c>
      <c r="CD37" s="678">
        <f t="shared" ref="CD37:CK37" si="113">INDEX(MO_RIS_OtherOperating_NONGAAP,0,COLUMN())</f>
        <v>0</v>
      </c>
      <c r="CE37" s="678">
        <f t="shared" si="113"/>
        <v>0</v>
      </c>
      <c r="CF37" s="678">
        <f t="shared" si="113"/>
        <v>0</v>
      </c>
      <c r="CG37" s="678">
        <f t="shared" si="113"/>
        <v>0</v>
      </c>
      <c r="CH37" s="1244">
        <f t="shared" si="113"/>
        <v>0</v>
      </c>
      <c r="CI37" s="1244">
        <f t="shared" si="113"/>
        <v>0</v>
      </c>
      <c r="CJ37" s="1244">
        <f t="shared" si="113"/>
        <v>0</v>
      </c>
      <c r="CK37" s="1244">
        <f t="shared" si="113"/>
        <v>0</v>
      </c>
      <c r="CL37" s="678"/>
    </row>
    <row r="38" spans="1:90" s="992" customFormat="1" x14ac:dyDescent="0.3">
      <c r="A38" s="686" t="str">
        <f>INDEX(MO_RIS_Reported_OperatingIncome_NONGAAP,0,COLUMN())</f>
        <v>Company Reported Non-GAAP Operating Income</v>
      </c>
      <c r="B38" s="687"/>
      <c r="C38" s="1245">
        <f t="shared" ref="C38:AH38" si="114">INDEX(MO_RIS_Reported_OperatingIncome_NONGAAP,0,COLUMN())</f>
        <v>148.62199999999962</v>
      </c>
      <c r="D38" s="1245">
        <f t="shared" si="114"/>
        <v>135.24500000000012</v>
      </c>
      <c r="E38" s="1245">
        <f t="shared" si="114"/>
        <v>502.18000000000006</v>
      </c>
      <c r="F38" s="1245">
        <f t="shared" si="114"/>
        <v>829.42499999999995</v>
      </c>
      <c r="G38" s="688">
        <f t="shared" si="114"/>
        <v>117.90799999999996</v>
      </c>
      <c r="H38" s="688">
        <f t="shared" si="114"/>
        <v>200.86400000000003</v>
      </c>
      <c r="I38" s="688">
        <f t="shared" si="114"/>
        <v>294.35399999999987</v>
      </c>
      <c r="J38" s="688">
        <f t="shared" si="114"/>
        <v>228.03999999999996</v>
      </c>
      <c r="K38" s="1245">
        <f t="shared" si="114"/>
        <v>841.16599999999971</v>
      </c>
      <c r="L38" s="688">
        <f t="shared" si="114"/>
        <v>125.03899999999999</v>
      </c>
      <c r="M38" s="688">
        <f t="shared" si="114"/>
        <v>149.18299999999994</v>
      </c>
      <c r="N38" s="688">
        <f t="shared" si="114"/>
        <v>182.09900000000016</v>
      </c>
      <c r="O38" s="688">
        <f t="shared" si="114"/>
        <v>207.89100000000064</v>
      </c>
      <c r="P38" s="1245">
        <f t="shared" si="114"/>
        <v>664.21199999999999</v>
      </c>
      <c r="Q38" s="688">
        <f t="shared" si="114"/>
        <v>196</v>
      </c>
      <c r="R38" s="688">
        <f t="shared" si="114"/>
        <v>210</v>
      </c>
      <c r="S38" s="688">
        <f t="shared" si="114"/>
        <v>264</v>
      </c>
      <c r="T38" s="688">
        <f t="shared" si="114"/>
        <v>284</v>
      </c>
      <c r="U38" s="1245">
        <f t="shared" si="114"/>
        <v>954</v>
      </c>
      <c r="V38" s="688">
        <f t="shared" si="114"/>
        <v>230</v>
      </c>
      <c r="W38" s="688">
        <f t="shared" si="114"/>
        <v>231</v>
      </c>
      <c r="X38" s="688">
        <f t="shared" si="114"/>
        <v>308</v>
      </c>
      <c r="Y38" s="688">
        <f t="shared" si="114"/>
        <v>356</v>
      </c>
      <c r="Z38" s="1245">
        <f t="shared" si="114"/>
        <v>1125</v>
      </c>
      <c r="AA38" s="688">
        <f t="shared" si="114"/>
        <v>322</v>
      </c>
      <c r="AB38" s="688">
        <f t="shared" si="114"/>
        <v>382</v>
      </c>
      <c r="AC38" s="688">
        <f t="shared" si="114"/>
        <v>708</v>
      </c>
      <c r="AD38" s="688">
        <f t="shared" si="114"/>
        <v>809</v>
      </c>
      <c r="AE38" s="1245">
        <f t="shared" si="114"/>
        <v>2221</v>
      </c>
      <c r="AF38" s="688">
        <f t="shared" si="114"/>
        <v>637</v>
      </c>
      <c r="AG38" s="688">
        <f t="shared" si="114"/>
        <v>773</v>
      </c>
      <c r="AH38" s="688">
        <f t="shared" si="114"/>
        <v>1005</v>
      </c>
      <c r="AI38" s="688">
        <f t="shared" ref="AI38:BG38" si="115">INDEX(MO_RIS_Reported_OperatingIncome_NONGAAP,0,COLUMN())</f>
        <v>1202</v>
      </c>
      <c r="AJ38" s="1245">
        <f t="shared" si="115"/>
        <v>3617</v>
      </c>
      <c r="AK38" s="688">
        <f t="shared" si="115"/>
        <v>1428</v>
      </c>
      <c r="AL38" s="688">
        <f t="shared" si="115"/>
        <v>1290</v>
      </c>
      <c r="AM38" s="688">
        <f t="shared" si="115"/>
        <v>1210</v>
      </c>
      <c r="AN38" s="688">
        <f t="shared" si="115"/>
        <v>479</v>
      </c>
      <c r="AO38" s="1245">
        <f t="shared" si="115"/>
        <v>4407</v>
      </c>
      <c r="AP38" s="688">
        <f t="shared" si="115"/>
        <v>557</v>
      </c>
      <c r="AQ38" s="688">
        <f t="shared" si="115"/>
        <v>802</v>
      </c>
      <c r="AR38" s="688">
        <f t="shared" si="115"/>
        <v>1156</v>
      </c>
      <c r="AS38" s="688">
        <f t="shared" si="115"/>
        <v>1220</v>
      </c>
      <c r="AT38" s="1245">
        <f t="shared" si="115"/>
        <v>3735</v>
      </c>
      <c r="AU38" s="688">
        <f t="shared" si="115"/>
        <v>1205</v>
      </c>
      <c r="AV38" s="688">
        <f t="shared" si="115"/>
        <v>1516</v>
      </c>
      <c r="AW38" s="688">
        <f t="shared" si="115"/>
        <v>1993</v>
      </c>
      <c r="AX38" s="688">
        <f t="shared" si="115"/>
        <v>2089</v>
      </c>
      <c r="AY38" s="1245">
        <f t="shared" si="115"/>
        <v>6803</v>
      </c>
      <c r="AZ38" s="688">
        <f t="shared" si="115"/>
        <v>2557</v>
      </c>
      <c r="BA38" s="688">
        <f t="shared" si="115"/>
        <v>3071</v>
      </c>
      <c r="BB38" s="688">
        <f t="shared" si="115"/>
        <v>3386</v>
      </c>
      <c r="BC38" s="688">
        <f t="shared" si="115"/>
        <v>3677</v>
      </c>
      <c r="BD38" s="1245">
        <f t="shared" si="115"/>
        <v>12690</v>
      </c>
      <c r="BE38" s="688">
        <f t="shared" si="115"/>
        <v>3955</v>
      </c>
      <c r="BF38" s="688">
        <f t="shared" si="115"/>
        <v>1325</v>
      </c>
      <c r="BG38" s="688">
        <f t="shared" si="115"/>
        <v>1536</v>
      </c>
      <c r="BH38" s="688">
        <f t="shared" ref="BH38:BN38" si="116">INDEX(MO_RIS_Reported_OperatingIncome_NONGAAP,0,COLUMN())</f>
        <v>2224</v>
      </c>
      <c r="BI38" s="1245">
        <f t="shared" si="116"/>
        <v>9040</v>
      </c>
      <c r="BJ38" s="688">
        <f t="shared" si="116"/>
        <v>3052</v>
      </c>
      <c r="BK38" s="688">
        <f t="shared" si="116"/>
        <v>7776</v>
      </c>
      <c r="BL38" s="688">
        <f t="shared" si="116"/>
        <v>11557</v>
      </c>
      <c r="BM38" s="688">
        <f t="shared" si="116"/>
        <v>14749</v>
      </c>
      <c r="BN38" s="1245">
        <f t="shared" si="116"/>
        <v>37134</v>
      </c>
      <c r="BO38" s="688">
        <f t="shared" ref="BO38:BT38" si="117">INDEX(MO_RIS_Reported_OperatingIncome_NONGAAP,0,COLUMN())</f>
        <v>18059</v>
      </c>
      <c r="BP38" s="688">
        <f t="shared" si="117"/>
        <v>19937</v>
      </c>
      <c r="BQ38" s="688">
        <f t="shared" si="117"/>
        <v>23276</v>
      </c>
      <c r="BR38" s="688">
        <f t="shared" si="117"/>
        <v>25516</v>
      </c>
      <c r="BS38" s="1245">
        <f t="shared" si="117"/>
        <v>86789</v>
      </c>
      <c r="BT38" s="688">
        <f t="shared" si="117"/>
        <v>23275</v>
      </c>
      <c r="BU38" s="688">
        <f>INDEX(MO_RIS_Reported_OperatingIncome_NONGAAP,0,COLUMN())</f>
        <v>30165</v>
      </c>
      <c r="BV38" s="688">
        <f>INDEX(MO_RIS_Reported_OperatingIncome_NONGAAP,0,COLUMN())</f>
        <v>37752</v>
      </c>
      <c r="BW38" s="688">
        <f>INDEX(MO_RIS_Reported_OperatingIncome_NONGAAP,0,COLUMN())</f>
        <v>46107</v>
      </c>
      <c r="BX38" s="1245">
        <f>INDEX(MO_RIS_Reported_OperatingIncome_NONGAAP,0,COLUMN())</f>
        <v>137300</v>
      </c>
      <c r="BY38" s="964">
        <f>INDEX(MO_RIS_Reported_OperatingIncome_NONGAAP,0,COLUMN())</f>
        <v>53783</v>
      </c>
      <c r="BZ38" s="688">
        <f t="shared" ref="BZ38:CC38" si="118">INDEX(MO_RIS_Reported_OperatingIncome_NONGAAP,0,COLUMN())</f>
        <v>59835.724645399518</v>
      </c>
      <c r="CA38" s="688">
        <f t="shared" si="118"/>
        <v>61534.58267108725</v>
      </c>
      <c r="CB38" s="688">
        <f t="shared" si="118"/>
        <v>64505.552758179576</v>
      </c>
      <c r="CC38" s="1245">
        <f t="shared" si="118"/>
        <v>239658.86007466636</v>
      </c>
      <c r="CD38" s="688">
        <f t="shared" ref="CD38:CK38" si="119">INDEX(MO_RIS_Reported_OperatingIncome_NONGAAP,0,COLUMN())</f>
        <v>69538.35801813392</v>
      </c>
      <c r="CE38" s="688">
        <f t="shared" si="119"/>
        <v>77427.956367816136</v>
      </c>
      <c r="CF38" s="688">
        <f t="shared" si="119"/>
        <v>76767.759498915897</v>
      </c>
      <c r="CG38" s="688">
        <f t="shared" si="119"/>
        <v>80245.024769330426</v>
      </c>
      <c r="CH38" s="1245">
        <f t="shared" si="119"/>
        <v>303979.09865419636</v>
      </c>
      <c r="CI38" s="1245">
        <f t="shared" si="119"/>
        <v>362848.70544912887</v>
      </c>
      <c r="CJ38" s="1245">
        <f t="shared" si="119"/>
        <v>426544.80125808634</v>
      </c>
      <c r="CK38" s="1245">
        <f t="shared" si="119"/>
        <v>501566.81081483781</v>
      </c>
      <c r="CL38" s="574"/>
    </row>
    <row r="39" spans="1:90" s="993" customFormat="1" x14ac:dyDescent="0.3">
      <c r="A39" s="676" t="str">
        <f>INDEX(MO_RIS_IE_Net_NONGAAP,0,COLUMN())</f>
        <v>Non-GAAP Net Interest Expense</v>
      </c>
      <c r="B39" s="685"/>
      <c r="C39" s="1244">
        <f t="shared" ref="C39:AH39" si="120">INDEX(MO_RIS_IE_Net_NONGAAP,0,COLUMN())</f>
        <v>-42.453000000000003</v>
      </c>
      <c r="D39" s="1244">
        <f t="shared" si="120"/>
        <v>-19.794999999999998</v>
      </c>
      <c r="E39" s="1244">
        <f t="shared" si="120"/>
        <v>-15.93</v>
      </c>
      <c r="F39" s="1244">
        <f t="shared" si="120"/>
        <v>-16.060000000000002</v>
      </c>
      <c r="G39" s="678">
        <f t="shared" si="120"/>
        <v>-4.2690000000000001</v>
      </c>
      <c r="H39" s="678">
        <f t="shared" si="120"/>
        <v>-5.585</v>
      </c>
      <c r="I39" s="678">
        <f t="shared" si="120"/>
        <v>-1.4109999999999996</v>
      </c>
      <c r="J39" s="678">
        <f t="shared" si="120"/>
        <v>-5.349000000000002</v>
      </c>
      <c r="K39" s="1244">
        <f t="shared" si="120"/>
        <v>-16.614000000000001</v>
      </c>
      <c r="L39" s="678">
        <f t="shared" si="120"/>
        <v>-5.2809999999999997</v>
      </c>
      <c r="M39" s="678">
        <f t="shared" si="120"/>
        <v>-6.2859999999999996</v>
      </c>
      <c r="N39" s="678">
        <f t="shared" si="120"/>
        <v>-0.49600000000000044</v>
      </c>
      <c r="O39" s="678">
        <f t="shared" si="120"/>
        <v>0.78700000000000081</v>
      </c>
      <c r="P39" s="1244">
        <f t="shared" si="120"/>
        <v>-11.276</v>
      </c>
      <c r="Q39" s="678">
        <f t="shared" si="120"/>
        <v>-2</v>
      </c>
      <c r="R39" s="678">
        <f t="shared" si="120"/>
        <v>-2</v>
      </c>
      <c r="S39" s="678">
        <f t="shared" si="120"/>
        <v>-3</v>
      </c>
      <c r="T39" s="678">
        <f t="shared" si="120"/>
        <v>-3</v>
      </c>
      <c r="U39" s="1244">
        <f t="shared" si="120"/>
        <v>-10</v>
      </c>
      <c r="V39" s="678">
        <f t="shared" si="120"/>
        <v>-4</v>
      </c>
      <c r="W39" s="678">
        <f t="shared" si="120"/>
        <v>-4</v>
      </c>
      <c r="X39" s="678">
        <f t="shared" si="120"/>
        <v>-4</v>
      </c>
      <c r="Y39" s="678">
        <f t="shared" si="120"/>
        <v>-6</v>
      </c>
      <c r="Z39" s="1244">
        <f t="shared" si="120"/>
        <v>-21</v>
      </c>
      <c r="AA39" s="678">
        <f t="shared" si="120"/>
        <v>-7</v>
      </c>
      <c r="AB39" s="678">
        <f t="shared" si="120"/>
        <v>-7</v>
      </c>
      <c r="AC39" s="678">
        <f t="shared" si="120"/>
        <v>-19</v>
      </c>
      <c r="AD39" s="678">
        <f t="shared" si="120"/>
        <v>-9</v>
      </c>
      <c r="AE39" s="1244">
        <f t="shared" si="120"/>
        <v>-42</v>
      </c>
      <c r="AF39" s="678">
        <f t="shared" si="120"/>
        <v>-16</v>
      </c>
      <c r="AG39" s="678">
        <f t="shared" si="120"/>
        <v>-4</v>
      </c>
      <c r="AH39" s="678">
        <f t="shared" si="120"/>
        <v>-3</v>
      </c>
      <c r="AI39" s="678">
        <f t="shared" ref="AI39:BG39" si="121">INDEX(MO_RIS_IE_Net_NONGAAP,0,COLUMN())</f>
        <v>-7</v>
      </c>
      <c r="AJ39" s="1244">
        <f t="shared" si="121"/>
        <v>-31</v>
      </c>
      <c r="AK39" s="678">
        <f t="shared" si="121"/>
        <v>-11</v>
      </c>
      <c r="AL39" s="678">
        <f t="shared" si="121"/>
        <v>-18</v>
      </c>
      <c r="AM39" s="678">
        <f t="shared" si="121"/>
        <v>-22</v>
      </c>
      <c r="AN39" s="678">
        <f t="shared" si="121"/>
        <v>-28</v>
      </c>
      <c r="AO39" s="1244">
        <f t="shared" si="121"/>
        <v>-80</v>
      </c>
      <c r="AP39" s="678">
        <f t="shared" si="121"/>
        <v>-31</v>
      </c>
      <c r="AQ39" s="678">
        <f t="shared" si="121"/>
        <v>-34</v>
      </c>
      <c r="AR39" s="678">
        <f t="shared" si="121"/>
        <v>-33</v>
      </c>
      <c r="AS39" s="678">
        <f t="shared" si="121"/>
        <v>-29</v>
      </c>
      <c r="AT39" s="1244">
        <f t="shared" si="121"/>
        <v>-128</v>
      </c>
      <c r="AU39" s="678">
        <f t="shared" si="121"/>
        <v>-7</v>
      </c>
      <c r="AV39" s="678">
        <f t="shared" si="121"/>
        <v>40</v>
      </c>
      <c r="AW39" s="678">
        <f t="shared" si="121"/>
        <v>45</v>
      </c>
      <c r="AX39" s="678">
        <f t="shared" si="121"/>
        <v>46</v>
      </c>
      <c r="AY39" s="1244">
        <f t="shared" si="121"/>
        <v>124</v>
      </c>
      <c r="AZ39" s="678">
        <f t="shared" si="121"/>
        <v>46</v>
      </c>
      <c r="BA39" s="678">
        <f t="shared" si="121"/>
        <v>53</v>
      </c>
      <c r="BB39" s="678">
        <f t="shared" si="121"/>
        <v>54</v>
      </c>
      <c r="BC39" s="678">
        <f t="shared" si="121"/>
        <v>52</v>
      </c>
      <c r="BD39" s="1244">
        <f t="shared" si="121"/>
        <v>204</v>
      </c>
      <c r="BE39" s="678">
        <f t="shared" si="121"/>
        <v>49</v>
      </c>
      <c r="BF39" s="678">
        <f t="shared" si="121"/>
        <v>18</v>
      </c>
      <c r="BG39" s="678">
        <f t="shared" si="121"/>
        <v>-24</v>
      </c>
      <c r="BH39" s="678">
        <f t="shared" ref="BH39:BN39" si="122">INDEX(MO_RIS_IE_Net_NONGAAP,0,COLUMN())</f>
        <v>-51</v>
      </c>
      <c r="BI39" s="1244">
        <f t="shared" si="122"/>
        <v>-10</v>
      </c>
      <c r="BJ39" s="678">
        <f t="shared" si="122"/>
        <v>-85</v>
      </c>
      <c r="BK39" s="678">
        <f t="shared" si="122"/>
        <v>-123</v>
      </c>
      <c r="BL39" s="678">
        <f t="shared" si="122"/>
        <v>-172</v>
      </c>
      <c r="BM39" s="678">
        <f t="shared" si="122"/>
        <v>-232</v>
      </c>
      <c r="BN39" s="1244">
        <f t="shared" si="122"/>
        <v>-613</v>
      </c>
      <c r="BO39" s="678">
        <f t="shared" ref="BO39:BT39" si="123">INDEX(MO_RIS_IE_Net_NONGAAP,0,COLUMN())</f>
        <v>-296</v>
      </c>
      <c r="BP39" s="678">
        <f t="shared" si="123"/>
        <v>-384</v>
      </c>
      <c r="BQ39" s="678">
        <f t="shared" si="123"/>
        <v>-412</v>
      </c>
      <c r="BR39" s="678">
        <f t="shared" si="123"/>
        <v>-451</v>
      </c>
      <c r="BS39" s="1244">
        <f t="shared" si="123"/>
        <v>-1543</v>
      </c>
      <c r="BT39" s="678">
        <f t="shared" si="123"/>
        <v>-453</v>
      </c>
      <c r="BU39" s="678">
        <f>INDEX(MO_RIS_IE_Net_NONGAAP,0,COLUMN())</f>
        <v>-531</v>
      </c>
      <c r="BV39" s="678">
        <f>INDEX(MO_RIS_IE_Net_NONGAAP,0,COLUMN())</f>
        <v>-564</v>
      </c>
      <c r="BW39" s="678">
        <f>INDEX(MO_RIS_IE_Net_NONGAAP,0,COLUMN())</f>
        <v>-507</v>
      </c>
      <c r="BX39" s="1244">
        <f>INDEX(MO_RIS_IE_Net_NONGAAP,0,COLUMN())</f>
        <v>-2057</v>
      </c>
      <c r="BY39" s="954">
        <f>INDEX(MO_RIS_IE_Net_NONGAAP,0,COLUMN())</f>
        <v>-464</v>
      </c>
      <c r="BZ39" s="678">
        <f t="shared" ref="BZ39:CC39" si="124">INDEX(MO_RIS_IE_Net_NONGAAP,0,COLUMN())</f>
        <v>-876.91966037735858</v>
      </c>
      <c r="CA39" s="678">
        <f t="shared" si="124"/>
        <v>-1304.0763899903411</v>
      </c>
      <c r="CB39" s="678">
        <f t="shared" si="124"/>
        <v>-1764.7619626800895</v>
      </c>
      <c r="CC39" s="1244">
        <f t="shared" si="124"/>
        <v>-4409.75801304779</v>
      </c>
      <c r="CD39" s="678">
        <f t="shared" ref="CD39:CK39" si="125">INDEX(MO_RIS_IE_Net_NONGAAP,0,COLUMN())</f>
        <v>-2219.0391477973621</v>
      </c>
      <c r="CE39" s="678">
        <f t="shared" si="125"/>
        <v>-3025.3251365702436</v>
      </c>
      <c r="CF39" s="678">
        <f t="shared" si="125"/>
        <v>-3690.8982206996652</v>
      </c>
      <c r="CG39" s="678">
        <f t="shared" si="125"/>
        <v>-4262.481920260554</v>
      </c>
      <c r="CH39" s="1244">
        <f t="shared" si="125"/>
        <v>-13197.744425327826</v>
      </c>
      <c r="CI39" s="1244">
        <f t="shared" si="125"/>
        <v>-16927.485365667566</v>
      </c>
      <c r="CJ39" s="1244">
        <f t="shared" si="125"/>
        <v>-28431.970030248882</v>
      </c>
      <c r="CK39" s="1244">
        <f t="shared" si="125"/>
        <v>-42431.409713467096</v>
      </c>
      <c r="CL39" s="678"/>
    </row>
    <row r="40" spans="1:90" s="993" customFormat="1" x14ac:dyDescent="0.3">
      <c r="A40" s="676" t="str">
        <f>INDEX(MO_RIS_OI_NONGAAP,0,COLUMN())</f>
        <v>Non-GAAP Other Items</v>
      </c>
      <c r="B40" s="685"/>
      <c r="C40" s="1244">
        <f t="shared" ref="C40:AH40" si="126">INDEX(MO_RIS_OI_NONGAAP,0,COLUMN())</f>
        <v>14.706999999999908</v>
      </c>
      <c r="D40" s="1244">
        <f t="shared" si="126"/>
        <v>3.1439999999998172</v>
      </c>
      <c r="E40" s="1244">
        <f t="shared" si="126"/>
        <v>0.50799999999997425</v>
      </c>
      <c r="F40" s="1244">
        <f t="shared" si="126"/>
        <v>0.96300000000024966</v>
      </c>
      <c r="G40" s="678">
        <f t="shared" si="126"/>
        <v>-1.9539925233402755E-14</v>
      </c>
      <c r="H40" s="678">
        <f t="shared" si="126"/>
        <v>-7.9936057773011271E-15</v>
      </c>
      <c r="I40" s="678">
        <f t="shared" si="126"/>
        <v>-1.7763568394002505E-15</v>
      </c>
      <c r="J40" s="678">
        <f t="shared" si="126"/>
        <v>2.813999999999977</v>
      </c>
      <c r="K40" s="1244">
        <f t="shared" si="126"/>
        <v>2.8139999999998189</v>
      </c>
      <c r="L40" s="678">
        <f t="shared" si="126"/>
        <v>2.2204460492503131E-14</v>
      </c>
      <c r="M40" s="678">
        <f t="shared" si="126"/>
        <v>-5.8619775700208265E-14</v>
      </c>
      <c r="N40" s="678">
        <f t="shared" si="126"/>
        <v>4.7961634663806763E-14</v>
      </c>
      <c r="O40" s="678">
        <f t="shared" si="126"/>
        <v>-4.2769999999998962</v>
      </c>
      <c r="P40" s="1244">
        <f t="shared" si="126"/>
        <v>-4.2770000000003385</v>
      </c>
      <c r="Q40" s="678">
        <f t="shared" si="126"/>
        <v>0</v>
      </c>
      <c r="R40" s="678">
        <f t="shared" si="126"/>
        <v>0</v>
      </c>
      <c r="S40" s="678">
        <f t="shared" si="126"/>
        <v>0</v>
      </c>
      <c r="T40" s="678">
        <f t="shared" si="126"/>
        <v>0</v>
      </c>
      <c r="U40" s="1244">
        <f t="shared" si="126"/>
        <v>1</v>
      </c>
      <c r="V40" s="678">
        <f t="shared" si="126"/>
        <v>-1</v>
      </c>
      <c r="W40" s="678">
        <f t="shared" si="126"/>
        <v>1</v>
      </c>
      <c r="X40" s="678">
        <f t="shared" si="126"/>
        <v>1</v>
      </c>
      <c r="Y40" s="678">
        <f t="shared" si="126"/>
        <v>-2</v>
      </c>
      <c r="Z40" s="1244">
        <f t="shared" si="126"/>
        <v>1</v>
      </c>
      <c r="AA40" s="678">
        <f t="shared" si="126"/>
        <v>7</v>
      </c>
      <c r="AB40" s="678">
        <f t="shared" si="126"/>
        <v>0</v>
      </c>
      <c r="AC40" s="678">
        <f t="shared" si="126"/>
        <v>16</v>
      </c>
      <c r="AD40" s="678">
        <f t="shared" si="126"/>
        <v>7</v>
      </c>
      <c r="AE40" s="1244">
        <f t="shared" si="126"/>
        <v>29</v>
      </c>
      <c r="AF40" s="678">
        <f t="shared" si="126"/>
        <v>18</v>
      </c>
      <c r="AG40" s="678">
        <f t="shared" si="126"/>
        <v>4</v>
      </c>
      <c r="AH40" s="678">
        <f t="shared" si="126"/>
        <v>1</v>
      </c>
      <c r="AI40" s="678">
        <f t="shared" ref="AI40:BG40" si="127">INDEX(MO_RIS_OI_NONGAAP,0,COLUMN())</f>
        <v>2</v>
      </c>
      <c r="AJ40" s="1244">
        <f t="shared" si="127"/>
        <v>24</v>
      </c>
      <c r="AK40" s="678">
        <f t="shared" si="127"/>
        <v>0</v>
      </c>
      <c r="AL40" s="678">
        <f t="shared" si="127"/>
        <v>-3</v>
      </c>
      <c r="AM40" s="678">
        <f t="shared" si="127"/>
        <v>1</v>
      </c>
      <c r="AN40" s="678">
        <f t="shared" si="127"/>
        <v>-1</v>
      </c>
      <c r="AO40" s="1244">
        <f t="shared" si="127"/>
        <v>-2</v>
      </c>
      <c r="AP40" s="678">
        <f t="shared" si="127"/>
        <v>0</v>
      </c>
      <c r="AQ40" s="678">
        <f t="shared" si="127"/>
        <v>-1</v>
      </c>
      <c r="AR40" s="678">
        <f t="shared" si="127"/>
        <v>0</v>
      </c>
      <c r="AS40" s="678">
        <f t="shared" si="127"/>
        <v>3</v>
      </c>
      <c r="AT40" s="1244">
        <f t="shared" si="127"/>
        <v>3</v>
      </c>
      <c r="AU40" s="678">
        <f t="shared" si="127"/>
        <v>-1</v>
      </c>
      <c r="AV40" s="678">
        <f t="shared" si="127"/>
        <v>-1</v>
      </c>
      <c r="AW40" s="678">
        <f t="shared" si="127"/>
        <v>0</v>
      </c>
      <c r="AX40" s="678">
        <f t="shared" si="127"/>
        <v>-1</v>
      </c>
      <c r="AY40" s="1244">
        <f t="shared" si="127"/>
        <v>-4</v>
      </c>
      <c r="AZ40" s="678">
        <f t="shared" si="127"/>
        <v>-1</v>
      </c>
      <c r="BA40" s="678">
        <f t="shared" si="127"/>
        <v>-4</v>
      </c>
      <c r="BB40" s="678">
        <f t="shared" si="127"/>
        <v>-2</v>
      </c>
      <c r="BC40" s="678">
        <f t="shared" si="127"/>
        <v>0</v>
      </c>
      <c r="BD40" s="1244">
        <f t="shared" si="127"/>
        <v>-8</v>
      </c>
      <c r="BE40" s="678">
        <f t="shared" si="127"/>
        <v>-4</v>
      </c>
      <c r="BF40" s="678">
        <f t="shared" si="127"/>
        <v>-1</v>
      </c>
      <c r="BG40" s="678">
        <f t="shared" si="127"/>
        <v>0</v>
      </c>
      <c r="BH40" s="678">
        <f t="shared" ref="BH40:BN40" si="128">INDEX(MO_RIS_OI_NONGAAP,0,COLUMN())</f>
        <v>8</v>
      </c>
      <c r="BI40" s="1244">
        <f t="shared" si="128"/>
        <v>4</v>
      </c>
      <c r="BJ40" s="678">
        <f t="shared" si="128"/>
        <v>1</v>
      </c>
      <c r="BK40" s="678">
        <f t="shared" si="128"/>
        <v>3</v>
      </c>
      <c r="BL40" s="678">
        <f t="shared" si="128"/>
        <v>-3</v>
      </c>
      <c r="BM40" s="678">
        <f t="shared" si="128"/>
        <v>0</v>
      </c>
      <c r="BN40" s="1244">
        <f t="shared" si="128"/>
        <v>1</v>
      </c>
      <c r="BO40" s="678">
        <f t="shared" ref="BO40:BT40" si="129">INDEX(MO_RIS_OI_NONGAAP,0,COLUMN())</f>
        <v>-6</v>
      </c>
      <c r="BP40" s="678">
        <f t="shared" si="129"/>
        <v>4</v>
      </c>
      <c r="BQ40" s="678">
        <f t="shared" si="129"/>
        <v>1</v>
      </c>
      <c r="BR40" s="678">
        <f t="shared" si="129"/>
        <v>-6</v>
      </c>
      <c r="BS40" s="1244">
        <f t="shared" si="129"/>
        <v>-4</v>
      </c>
      <c r="BT40" s="678">
        <f t="shared" si="129"/>
        <v>5</v>
      </c>
      <c r="BU40" s="678">
        <f>INDEX(MO_RIS_OI_NONGAAP,0,COLUMN())</f>
        <v>11</v>
      </c>
      <c r="BV40" s="678">
        <f>INDEX(MO_RIS_OI_NONGAAP,0,COLUMN())</f>
        <v>-9</v>
      </c>
      <c r="BW40" s="678">
        <f>INDEX(MO_RIS_OI_NONGAAP,0,COLUMN())</f>
        <v>-113</v>
      </c>
      <c r="BX40" s="1244">
        <f>INDEX(MO_RIS_OI_NONGAAP,0,COLUMN())</f>
        <v>-104</v>
      </c>
      <c r="BY40" s="954">
        <f>INDEX(MO_RIS_OI_NONGAAP,0,COLUMN())</f>
        <v>7</v>
      </c>
      <c r="BZ40" s="678">
        <f t="shared" ref="BZ40:CC40" si="130">INDEX(MO_RIS_OI_NONGAAP,0,COLUMN())</f>
        <v>1010</v>
      </c>
      <c r="CA40" s="678">
        <f t="shared" si="130"/>
        <v>1175</v>
      </c>
      <c r="CB40" s="678">
        <f t="shared" si="130"/>
        <v>3000</v>
      </c>
      <c r="CC40" s="1244">
        <f t="shared" si="130"/>
        <v>5192</v>
      </c>
      <c r="CD40" s="678">
        <f t="shared" ref="CD40:CK40" si="131">INDEX(MO_RIS_OI_NONGAAP,0,COLUMN())</f>
        <v>800</v>
      </c>
      <c r="CE40" s="678">
        <f t="shared" si="131"/>
        <v>1010</v>
      </c>
      <c r="CF40" s="678">
        <f t="shared" si="131"/>
        <v>1175</v>
      </c>
      <c r="CG40" s="678">
        <f t="shared" si="131"/>
        <v>3000</v>
      </c>
      <c r="CH40" s="1244">
        <f t="shared" si="131"/>
        <v>5985</v>
      </c>
      <c r="CI40" s="1244">
        <f t="shared" si="131"/>
        <v>12</v>
      </c>
      <c r="CJ40" s="1244">
        <f t="shared" si="131"/>
        <v>12</v>
      </c>
      <c r="CK40" s="1244">
        <f t="shared" si="131"/>
        <v>12</v>
      </c>
      <c r="CL40" s="678"/>
    </row>
    <row r="41" spans="1:90" s="992" customFormat="1" x14ac:dyDescent="0.3">
      <c r="A41" s="686" t="str">
        <f>INDEX(MO_MA_RIS_EBIT_NONGAAP,0,COLUMN())</f>
        <v>Non-GAAP Earnings before Taxes</v>
      </c>
      <c r="B41" s="687"/>
      <c r="C41" s="1245">
        <f t="shared" ref="C41:AH41" si="132">INDEX(MO_MA_RIS_EBIT_NONGAAP,0,COLUMN())</f>
        <v>176.36799999999971</v>
      </c>
      <c r="D41" s="1245">
        <f t="shared" si="132"/>
        <v>151.8960000000003</v>
      </c>
      <c r="E41" s="1245">
        <f t="shared" si="132"/>
        <v>517.60200000000009</v>
      </c>
      <c r="F41" s="1245">
        <f t="shared" si="132"/>
        <v>844.52199999999971</v>
      </c>
      <c r="G41" s="688">
        <f t="shared" si="132"/>
        <v>122.17699999999998</v>
      </c>
      <c r="H41" s="688">
        <f t="shared" si="132"/>
        <v>206.44900000000004</v>
      </c>
      <c r="I41" s="688">
        <f t="shared" si="132"/>
        <v>295.76499999999987</v>
      </c>
      <c r="J41" s="688">
        <f t="shared" si="132"/>
        <v>230.57499999999999</v>
      </c>
      <c r="K41" s="1245">
        <f t="shared" si="132"/>
        <v>854.96599999999989</v>
      </c>
      <c r="L41" s="688">
        <f t="shared" si="132"/>
        <v>130.31999999999996</v>
      </c>
      <c r="M41" s="688">
        <f t="shared" si="132"/>
        <v>155.46899999999999</v>
      </c>
      <c r="N41" s="688">
        <f t="shared" si="132"/>
        <v>182.59500000000011</v>
      </c>
      <c r="O41" s="688">
        <f t="shared" si="132"/>
        <v>211.38100000000054</v>
      </c>
      <c r="P41" s="1245">
        <f t="shared" si="132"/>
        <v>679.76500000000033</v>
      </c>
      <c r="Q41" s="688">
        <f t="shared" si="132"/>
        <v>198</v>
      </c>
      <c r="R41" s="688">
        <f t="shared" si="132"/>
        <v>212</v>
      </c>
      <c r="S41" s="688">
        <f t="shared" si="132"/>
        <v>267</v>
      </c>
      <c r="T41" s="688">
        <f t="shared" si="132"/>
        <v>287</v>
      </c>
      <c r="U41" s="1245">
        <f t="shared" si="132"/>
        <v>963</v>
      </c>
      <c r="V41" s="688">
        <f t="shared" si="132"/>
        <v>235</v>
      </c>
      <c r="W41" s="688">
        <f t="shared" si="132"/>
        <v>234</v>
      </c>
      <c r="X41" s="688">
        <f t="shared" si="132"/>
        <v>311</v>
      </c>
      <c r="Y41" s="688">
        <f t="shared" si="132"/>
        <v>364</v>
      </c>
      <c r="Z41" s="1245">
        <f t="shared" si="132"/>
        <v>1145</v>
      </c>
      <c r="AA41" s="688">
        <f t="shared" si="132"/>
        <v>322</v>
      </c>
      <c r="AB41" s="688">
        <f t="shared" si="132"/>
        <v>389</v>
      </c>
      <c r="AC41" s="688">
        <f t="shared" si="132"/>
        <v>711</v>
      </c>
      <c r="AD41" s="688">
        <f t="shared" si="132"/>
        <v>811</v>
      </c>
      <c r="AE41" s="1245">
        <f t="shared" si="132"/>
        <v>2234</v>
      </c>
      <c r="AF41" s="688">
        <f t="shared" si="132"/>
        <v>635</v>
      </c>
      <c r="AG41" s="688">
        <f t="shared" si="132"/>
        <v>773</v>
      </c>
      <c r="AH41" s="688">
        <f t="shared" si="132"/>
        <v>1007</v>
      </c>
      <c r="AI41" s="688">
        <f t="shared" ref="AI41:BG41" si="133">INDEX(MO_MA_RIS_EBIT_NONGAAP,0,COLUMN())</f>
        <v>1207</v>
      </c>
      <c r="AJ41" s="1245">
        <f t="shared" si="133"/>
        <v>3624</v>
      </c>
      <c r="AK41" s="688">
        <f t="shared" si="133"/>
        <v>1439</v>
      </c>
      <c r="AL41" s="688">
        <f t="shared" si="133"/>
        <v>1311</v>
      </c>
      <c r="AM41" s="688">
        <f t="shared" si="133"/>
        <v>1231</v>
      </c>
      <c r="AN41" s="688">
        <f t="shared" si="133"/>
        <v>508</v>
      </c>
      <c r="AO41" s="1245">
        <f t="shared" si="133"/>
        <v>4489</v>
      </c>
      <c r="AP41" s="688">
        <f t="shared" si="133"/>
        <v>588</v>
      </c>
      <c r="AQ41" s="688">
        <f t="shared" si="133"/>
        <v>837</v>
      </c>
      <c r="AR41" s="688">
        <f t="shared" si="133"/>
        <v>1189</v>
      </c>
      <c r="AS41" s="688">
        <f t="shared" si="133"/>
        <v>1246</v>
      </c>
      <c r="AT41" s="1245">
        <f t="shared" si="133"/>
        <v>3860</v>
      </c>
      <c r="AU41" s="688">
        <f t="shared" si="133"/>
        <v>1213</v>
      </c>
      <c r="AV41" s="688">
        <f t="shared" si="133"/>
        <v>1477</v>
      </c>
      <c r="AW41" s="688">
        <f t="shared" si="133"/>
        <v>1948</v>
      </c>
      <c r="AX41" s="688">
        <f t="shared" si="133"/>
        <v>2044</v>
      </c>
      <c r="AY41" s="1245">
        <f t="shared" si="133"/>
        <v>6683</v>
      </c>
      <c r="AZ41" s="688">
        <f t="shared" si="133"/>
        <v>2512</v>
      </c>
      <c r="BA41" s="688">
        <f t="shared" si="133"/>
        <v>3022</v>
      </c>
      <c r="BB41" s="688">
        <f t="shared" si="133"/>
        <v>3334</v>
      </c>
      <c r="BC41" s="688">
        <f t="shared" si="133"/>
        <v>3625</v>
      </c>
      <c r="BD41" s="1245">
        <f t="shared" si="133"/>
        <v>12494</v>
      </c>
      <c r="BE41" s="688">
        <f t="shared" si="133"/>
        <v>3910</v>
      </c>
      <c r="BF41" s="688">
        <f t="shared" si="133"/>
        <v>1308</v>
      </c>
      <c r="BG41" s="688">
        <f t="shared" si="133"/>
        <v>1560</v>
      </c>
      <c r="BH41" s="688">
        <f t="shared" ref="BH41:BN41" si="134">INDEX(MO_MA_RIS_EBIT_NONGAAP,0,COLUMN())</f>
        <v>2267</v>
      </c>
      <c r="BI41" s="1245">
        <f t="shared" si="134"/>
        <v>9046</v>
      </c>
      <c r="BJ41" s="688">
        <f t="shared" si="134"/>
        <v>3136</v>
      </c>
      <c r="BK41" s="688">
        <f t="shared" si="134"/>
        <v>7896</v>
      </c>
      <c r="BL41" s="688">
        <f t="shared" si="134"/>
        <v>11732</v>
      </c>
      <c r="BM41" s="688">
        <f t="shared" si="134"/>
        <v>14981</v>
      </c>
      <c r="BN41" s="1245">
        <f t="shared" si="134"/>
        <v>37746</v>
      </c>
      <c r="BO41" s="688">
        <f t="shared" ref="BO41:BT41" si="135">INDEX(MO_MA_RIS_EBIT_NONGAAP,0,COLUMN())</f>
        <v>18361</v>
      </c>
      <c r="BP41" s="688">
        <f t="shared" si="135"/>
        <v>20317</v>
      </c>
      <c r="BQ41" s="688">
        <f t="shared" si="135"/>
        <v>23687</v>
      </c>
      <c r="BR41" s="688">
        <f t="shared" si="135"/>
        <v>25973</v>
      </c>
      <c r="BS41" s="1245">
        <f t="shared" si="135"/>
        <v>88336</v>
      </c>
      <c r="BT41" s="688">
        <f t="shared" si="135"/>
        <v>23723</v>
      </c>
      <c r="BU41" s="688">
        <f>INDEX(MO_MA_RIS_EBIT_NONGAAP,0,COLUMN())</f>
        <v>30685</v>
      </c>
      <c r="BV41" s="688">
        <f>INDEX(MO_MA_RIS_EBIT_NONGAAP,0,COLUMN())</f>
        <v>38325</v>
      </c>
      <c r="BW41" s="688">
        <f>INDEX(MO_MA_RIS_EBIT_NONGAAP,0,COLUMN())</f>
        <v>46727</v>
      </c>
      <c r="BX41" s="1245">
        <f>INDEX(MO_MA_RIS_EBIT_NONGAAP,0,COLUMN())</f>
        <v>139461</v>
      </c>
      <c r="BY41" s="964">
        <f>INDEX(MO_MA_RIS_EBIT_NONGAAP,0,COLUMN())</f>
        <v>54240</v>
      </c>
      <c r="BZ41" s="688">
        <f t="shared" ref="BZ41:CC41" si="136">INDEX(MO_MA_RIS_EBIT_NONGAAP,0,COLUMN())</f>
        <v>59702.644305776877</v>
      </c>
      <c r="CA41" s="688">
        <f t="shared" si="136"/>
        <v>61663.659061077589</v>
      </c>
      <c r="CB41" s="688">
        <f t="shared" si="136"/>
        <v>63270.314720859664</v>
      </c>
      <c r="CC41" s="1245">
        <f t="shared" si="136"/>
        <v>238876.61808771416</v>
      </c>
      <c r="CD41" s="688">
        <f t="shared" ref="CD41:CK41" si="137">INDEX(MO_MA_RIS_EBIT_NONGAAP,0,COLUMN())</f>
        <v>70957.397165931281</v>
      </c>
      <c r="CE41" s="688">
        <f t="shared" si="137"/>
        <v>79443.281504386381</v>
      </c>
      <c r="CF41" s="688">
        <f t="shared" si="137"/>
        <v>79283.657719615556</v>
      </c>
      <c r="CG41" s="688">
        <f t="shared" si="137"/>
        <v>81507.506689590984</v>
      </c>
      <c r="CH41" s="1245">
        <f t="shared" si="137"/>
        <v>311191.84307952417</v>
      </c>
      <c r="CI41" s="1245">
        <f t="shared" si="137"/>
        <v>379764.19081479643</v>
      </c>
      <c r="CJ41" s="1245">
        <f t="shared" si="137"/>
        <v>454964.77128833521</v>
      </c>
      <c r="CK41" s="1245">
        <f t="shared" si="137"/>
        <v>543986.22052830493</v>
      </c>
      <c r="CL41" s="574"/>
    </row>
    <row r="42" spans="1:90" s="993" customFormat="1" x14ac:dyDescent="0.3">
      <c r="A42" s="676" t="str">
        <f>INDEX(MO_RIS_Tax_NONGAAP,0,COLUMN())</f>
        <v>Non-GAAP Provision for taxes</v>
      </c>
      <c r="B42" s="685"/>
      <c r="C42" s="1244">
        <f t="shared" ref="C42:AH42" si="138">INDEX(MO_RIS_Tax_NONGAAP,0,COLUMN())</f>
        <v>16.084</v>
      </c>
      <c r="D42" s="1244">
        <f t="shared" si="138"/>
        <v>10.513</v>
      </c>
      <c r="E42" s="1244">
        <f t="shared" si="138"/>
        <v>41.188000000000002</v>
      </c>
      <c r="F42" s="1244">
        <f t="shared" si="138"/>
        <v>110.116</v>
      </c>
      <c r="G42" s="678">
        <f t="shared" si="138"/>
        <v>24.647000000000002</v>
      </c>
      <c r="H42" s="678">
        <f t="shared" si="138"/>
        <v>36.000999999999998</v>
      </c>
      <c r="I42" s="678">
        <f t="shared" si="138"/>
        <v>50.303000000000004</v>
      </c>
      <c r="J42" s="678">
        <f t="shared" si="138"/>
        <v>15.641999999999998</v>
      </c>
      <c r="K42" s="1244">
        <f t="shared" si="138"/>
        <v>126.593</v>
      </c>
      <c r="L42" s="678">
        <f t="shared" si="138"/>
        <v>16.518999999999998</v>
      </c>
      <c r="M42" s="678">
        <f t="shared" si="138"/>
        <v>22.138999999999999</v>
      </c>
      <c r="N42" s="678">
        <f t="shared" si="138"/>
        <v>28.805</v>
      </c>
      <c r="O42" s="678">
        <f t="shared" si="138"/>
        <v>23.894999999999996</v>
      </c>
      <c r="P42" s="1244">
        <f t="shared" si="138"/>
        <v>91.358000000000004</v>
      </c>
      <c r="Q42" s="678">
        <f t="shared" si="138"/>
        <v>32</v>
      </c>
      <c r="R42" s="678">
        <f t="shared" si="138"/>
        <v>39</v>
      </c>
      <c r="S42" s="678">
        <f t="shared" si="138"/>
        <v>47</v>
      </c>
      <c r="T42" s="678">
        <f t="shared" si="138"/>
        <v>46</v>
      </c>
      <c r="U42" s="1244">
        <f t="shared" si="138"/>
        <v>162</v>
      </c>
      <c r="V42" s="678">
        <f t="shared" si="138"/>
        <v>48</v>
      </c>
      <c r="W42" s="678">
        <f t="shared" si="138"/>
        <v>44</v>
      </c>
      <c r="X42" s="678">
        <f t="shared" si="138"/>
        <v>56</v>
      </c>
      <c r="Y42" s="678">
        <f t="shared" si="138"/>
        <v>67</v>
      </c>
      <c r="Z42" s="1244">
        <f t="shared" si="138"/>
        <v>216</v>
      </c>
      <c r="AA42" s="678">
        <f t="shared" si="138"/>
        <v>59</v>
      </c>
      <c r="AB42" s="678">
        <f t="shared" si="138"/>
        <v>76</v>
      </c>
      <c r="AC42" s="678">
        <f t="shared" si="138"/>
        <v>141</v>
      </c>
      <c r="AD42" s="678">
        <f t="shared" si="138"/>
        <v>107</v>
      </c>
      <c r="AE42" s="1244">
        <f t="shared" si="138"/>
        <v>383</v>
      </c>
      <c r="AF42" s="678">
        <f t="shared" si="138"/>
        <v>102</v>
      </c>
      <c r="AG42" s="678">
        <f t="shared" si="138"/>
        <v>135</v>
      </c>
      <c r="AH42" s="678">
        <f t="shared" si="138"/>
        <v>174</v>
      </c>
      <c r="AI42" s="678">
        <f t="shared" ref="AI42:BG42" si="139">INDEX(MO_RIS_Tax_NONGAAP,0,COLUMN())</f>
        <v>126</v>
      </c>
      <c r="AJ42" s="1244">
        <f t="shared" si="139"/>
        <v>539</v>
      </c>
      <c r="AK42" s="678">
        <f t="shared" si="139"/>
        <v>154</v>
      </c>
      <c r="AL42" s="678">
        <f t="shared" si="139"/>
        <v>101</v>
      </c>
      <c r="AM42" s="678">
        <f t="shared" si="139"/>
        <v>80</v>
      </c>
      <c r="AN42" s="678">
        <f t="shared" si="139"/>
        <v>12</v>
      </c>
      <c r="AO42" s="1244">
        <f t="shared" si="139"/>
        <v>346</v>
      </c>
      <c r="AP42" s="678">
        <f t="shared" si="139"/>
        <v>45</v>
      </c>
      <c r="AQ42" s="678">
        <f t="shared" si="139"/>
        <v>75</v>
      </c>
      <c r="AR42" s="678">
        <f t="shared" si="139"/>
        <v>86</v>
      </c>
      <c r="AS42" s="678">
        <f t="shared" si="139"/>
        <v>74</v>
      </c>
      <c r="AT42" s="1244">
        <f t="shared" si="139"/>
        <v>280</v>
      </c>
      <c r="AU42" s="678">
        <f t="shared" si="139"/>
        <v>93</v>
      </c>
      <c r="AV42" s="678">
        <f t="shared" si="139"/>
        <v>111</v>
      </c>
      <c r="AW42" s="678">
        <f t="shared" si="139"/>
        <v>114</v>
      </c>
      <c r="AX42" s="678">
        <f t="shared" si="139"/>
        <v>87</v>
      </c>
      <c r="AY42" s="1244">
        <f t="shared" si="139"/>
        <v>406</v>
      </c>
      <c r="AZ42" s="678">
        <f t="shared" si="139"/>
        <v>199</v>
      </c>
      <c r="BA42" s="678">
        <f t="shared" si="139"/>
        <v>399</v>
      </c>
      <c r="BB42" s="678">
        <f t="shared" si="139"/>
        <v>361</v>
      </c>
      <c r="BC42" s="678">
        <f t="shared" si="139"/>
        <v>275</v>
      </c>
      <c r="BD42" s="1244">
        <f t="shared" si="139"/>
        <v>1235</v>
      </c>
      <c r="BE42" s="678">
        <f t="shared" si="139"/>
        <v>467</v>
      </c>
      <c r="BF42" s="678">
        <f t="shared" si="139"/>
        <v>16</v>
      </c>
      <c r="BG42" s="678">
        <f t="shared" si="139"/>
        <v>104</v>
      </c>
      <c r="BH42" s="678">
        <f t="shared" ref="BH42:BN42" si="140">INDEX(MO_RIS_Tax_NONGAAP,0,COLUMN())</f>
        <v>93</v>
      </c>
      <c r="BI42" s="1244">
        <f t="shared" si="140"/>
        <v>680</v>
      </c>
      <c r="BJ42" s="678">
        <f t="shared" si="140"/>
        <v>423</v>
      </c>
      <c r="BK42" s="678">
        <f t="shared" si="140"/>
        <v>1156</v>
      </c>
      <c r="BL42" s="678">
        <f t="shared" si="140"/>
        <v>1712</v>
      </c>
      <c r="BM42" s="678">
        <f t="shared" si="140"/>
        <v>2142</v>
      </c>
      <c r="BN42" s="1244">
        <f t="shared" si="140"/>
        <v>5434</v>
      </c>
      <c r="BO42" s="678">
        <f t="shared" ref="BO42:BT42" si="141">INDEX(MO_RIS_Tax_NONGAAP,0,COLUMN())</f>
        <v>3123</v>
      </c>
      <c r="BP42" s="678">
        <f t="shared" si="141"/>
        <v>3365</v>
      </c>
      <c r="BQ42" s="678">
        <f t="shared" si="141"/>
        <v>3677</v>
      </c>
      <c r="BR42" s="678">
        <f t="shared" si="141"/>
        <v>3907</v>
      </c>
      <c r="BS42" s="1244">
        <f t="shared" si="141"/>
        <v>14071</v>
      </c>
      <c r="BT42" s="678">
        <f t="shared" si="141"/>
        <v>3829</v>
      </c>
      <c r="BU42" s="678">
        <f>INDEX(MO_RIS_Tax_NONGAAP,0,COLUMN())</f>
        <v>4902</v>
      </c>
      <c r="BV42" s="678">
        <f>INDEX(MO_RIS_Tax_NONGAAP,0,COLUMN())</f>
        <v>6558</v>
      </c>
      <c r="BW42" s="678">
        <f>INDEX(MO_RIS_Tax_NONGAAP,0,COLUMN())</f>
        <v>7175</v>
      </c>
      <c r="BX42" s="1244">
        <f>INDEX(MO_RIS_Tax_NONGAAP,0,COLUMN())</f>
        <v>22464</v>
      </c>
      <c r="BY42" s="954">
        <f>INDEX(MO_RIS_Tax_NONGAAP,0,COLUMN())</f>
        <v>8692</v>
      </c>
      <c r="BZ42" s="678">
        <f t="shared" ref="BZ42:CC42" si="142">INDEX(MO_RIS_Tax_NONGAAP,0,COLUMN())</f>
        <v>10149.449531982071</v>
      </c>
      <c r="CA42" s="678">
        <f t="shared" si="142"/>
        <v>9249.5488591616377</v>
      </c>
      <c r="CB42" s="678">
        <f t="shared" si="142"/>
        <v>9490.5472081289499</v>
      </c>
      <c r="CC42" s="1244">
        <f t="shared" si="142"/>
        <v>37581.545599272657</v>
      </c>
      <c r="CD42" s="678">
        <f t="shared" ref="CD42:CK42" si="143">INDEX(MO_RIS_Tax_NONGAAP,0,COLUMN())</f>
        <v>10643.609574889691</v>
      </c>
      <c r="CE42" s="678">
        <f t="shared" si="143"/>
        <v>11916.492225657958</v>
      </c>
      <c r="CF42" s="678">
        <f t="shared" si="143"/>
        <v>11892.548657942332</v>
      </c>
      <c r="CG42" s="678">
        <f t="shared" si="143"/>
        <v>12226.126003438647</v>
      </c>
      <c r="CH42" s="1244">
        <f t="shared" si="143"/>
        <v>46678.776461928632</v>
      </c>
      <c r="CI42" s="1244">
        <f t="shared" si="143"/>
        <v>56964.628622219461</v>
      </c>
      <c r="CJ42" s="1244">
        <f t="shared" si="143"/>
        <v>68244.715693250284</v>
      </c>
      <c r="CK42" s="1244">
        <f t="shared" si="143"/>
        <v>81597.933079245733</v>
      </c>
      <c r="CL42" s="678"/>
    </row>
    <row r="43" spans="1:90" s="992" customFormat="1" x14ac:dyDescent="0.3">
      <c r="A43" s="686" t="str">
        <f>INDEX(MO_RIS_NI_NONGAAP_Diluted,0,COLUMN())</f>
        <v>Non-GAAP Net Income Attributable to Common Shareholders</v>
      </c>
      <c r="B43" s="687"/>
      <c r="C43" s="1245">
        <f t="shared" ref="C43:AH43" si="144">INDEX(MO_RIS_NI_NONGAAP_Diluted,0,COLUMN())</f>
        <v>160.28399999999971</v>
      </c>
      <c r="D43" s="1245">
        <f t="shared" si="144"/>
        <v>141.38300000000029</v>
      </c>
      <c r="E43" s="1245">
        <f t="shared" si="144"/>
        <v>476.41400000000004</v>
      </c>
      <c r="F43" s="1245">
        <f t="shared" si="144"/>
        <v>734.40599999999972</v>
      </c>
      <c r="G43" s="688">
        <f t="shared" si="144"/>
        <v>97.529999999999973</v>
      </c>
      <c r="H43" s="688">
        <f t="shared" si="144"/>
        <v>170.44800000000004</v>
      </c>
      <c r="I43" s="688">
        <f t="shared" si="144"/>
        <v>245.46199999999988</v>
      </c>
      <c r="J43" s="688">
        <f t="shared" si="144"/>
        <v>214.93299999999999</v>
      </c>
      <c r="K43" s="1245">
        <f t="shared" si="144"/>
        <v>728.37299999999993</v>
      </c>
      <c r="L43" s="688">
        <f t="shared" si="144"/>
        <v>113.80099999999997</v>
      </c>
      <c r="M43" s="688">
        <f t="shared" si="144"/>
        <v>133.32999999999998</v>
      </c>
      <c r="N43" s="688">
        <f t="shared" si="144"/>
        <v>153.79000000000011</v>
      </c>
      <c r="O43" s="688">
        <f t="shared" si="144"/>
        <v>187.48600000000053</v>
      </c>
      <c r="P43" s="1245">
        <f t="shared" si="144"/>
        <v>588.40700000000027</v>
      </c>
      <c r="Q43" s="688">
        <f t="shared" si="144"/>
        <v>166</v>
      </c>
      <c r="R43" s="688">
        <f t="shared" si="144"/>
        <v>173</v>
      </c>
      <c r="S43" s="688">
        <f t="shared" si="144"/>
        <v>220</v>
      </c>
      <c r="T43" s="688">
        <f t="shared" si="144"/>
        <v>241</v>
      </c>
      <c r="U43" s="1245">
        <f t="shared" si="144"/>
        <v>801</v>
      </c>
      <c r="V43" s="688">
        <f t="shared" si="144"/>
        <v>187</v>
      </c>
      <c r="W43" s="688">
        <f t="shared" si="144"/>
        <v>190</v>
      </c>
      <c r="X43" s="688">
        <f t="shared" si="144"/>
        <v>255</v>
      </c>
      <c r="Y43" s="688">
        <f t="shared" si="144"/>
        <v>297</v>
      </c>
      <c r="Z43" s="1245">
        <f t="shared" si="144"/>
        <v>929</v>
      </c>
      <c r="AA43" s="688">
        <f t="shared" si="144"/>
        <v>263</v>
      </c>
      <c r="AB43" s="688">
        <f t="shared" si="144"/>
        <v>313</v>
      </c>
      <c r="AC43" s="688">
        <f t="shared" si="144"/>
        <v>570</v>
      </c>
      <c r="AD43" s="688">
        <f t="shared" si="144"/>
        <v>704</v>
      </c>
      <c r="AE43" s="1245">
        <f t="shared" si="144"/>
        <v>1851</v>
      </c>
      <c r="AF43" s="688">
        <f t="shared" si="144"/>
        <v>533</v>
      </c>
      <c r="AG43" s="688">
        <f t="shared" si="144"/>
        <v>638</v>
      </c>
      <c r="AH43" s="688">
        <f t="shared" si="144"/>
        <v>833</v>
      </c>
      <c r="AI43" s="688">
        <f t="shared" ref="AI43:BG43" si="145">INDEX(MO_RIS_NI_NONGAAP_Diluted,0,COLUMN())</f>
        <v>1081</v>
      </c>
      <c r="AJ43" s="1245">
        <f t="shared" si="145"/>
        <v>3085</v>
      </c>
      <c r="AK43" s="688">
        <f t="shared" si="145"/>
        <v>1285</v>
      </c>
      <c r="AL43" s="688">
        <f t="shared" si="145"/>
        <v>1210</v>
      </c>
      <c r="AM43" s="688">
        <f t="shared" si="145"/>
        <v>1151</v>
      </c>
      <c r="AN43" s="688">
        <f t="shared" si="145"/>
        <v>496</v>
      </c>
      <c r="AO43" s="1245">
        <f t="shared" si="145"/>
        <v>4143</v>
      </c>
      <c r="AP43" s="688">
        <f t="shared" si="145"/>
        <v>543</v>
      </c>
      <c r="AQ43" s="688">
        <f t="shared" si="145"/>
        <v>762</v>
      </c>
      <c r="AR43" s="688">
        <f t="shared" si="145"/>
        <v>1103</v>
      </c>
      <c r="AS43" s="688">
        <f t="shared" si="145"/>
        <v>1172</v>
      </c>
      <c r="AT43" s="1245">
        <f t="shared" si="145"/>
        <v>3580</v>
      </c>
      <c r="AU43" s="688">
        <f t="shared" si="145"/>
        <v>1120</v>
      </c>
      <c r="AV43" s="688">
        <f t="shared" si="145"/>
        <v>1366</v>
      </c>
      <c r="AW43" s="688">
        <f t="shared" si="145"/>
        <v>1834</v>
      </c>
      <c r="AX43" s="688">
        <f t="shared" si="145"/>
        <v>1957</v>
      </c>
      <c r="AY43" s="1245">
        <f t="shared" si="145"/>
        <v>6277</v>
      </c>
      <c r="AZ43" s="688">
        <f t="shared" si="145"/>
        <v>2313</v>
      </c>
      <c r="BA43" s="688">
        <f t="shared" si="145"/>
        <v>2623</v>
      </c>
      <c r="BB43" s="688">
        <f t="shared" si="145"/>
        <v>2973</v>
      </c>
      <c r="BC43" s="688">
        <f t="shared" si="145"/>
        <v>3350</v>
      </c>
      <c r="BD43" s="1245">
        <f t="shared" si="145"/>
        <v>11259</v>
      </c>
      <c r="BE43" s="688">
        <f t="shared" si="145"/>
        <v>3443</v>
      </c>
      <c r="BF43" s="688">
        <f t="shared" si="145"/>
        <v>1292</v>
      </c>
      <c r="BG43" s="688">
        <f t="shared" si="145"/>
        <v>1456</v>
      </c>
      <c r="BH43" s="688">
        <f t="shared" ref="BH43:BN43" si="146">INDEX(MO_RIS_NI_NONGAAP_Diluted,0,COLUMN())</f>
        <v>2174</v>
      </c>
      <c r="BI43" s="1245">
        <f t="shared" si="146"/>
        <v>8366</v>
      </c>
      <c r="BJ43" s="688">
        <f t="shared" si="146"/>
        <v>2713</v>
      </c>
      <c r="BK43" s="688">
        <f t="shared" si="146"/>
        <v>6740</v>
      </c>
      <c r="BL43" s="688">
        <f t="shared" si="146"/>
        <v>10020</v>
      </c>
      <c r="BM43" s="688">
        <f t="shared" si="146"/>
        <v>12839</v>
      </c>
      <c r="BN43" s="1245">
        <f t="shared" si="146"/>
        <v>32312</v>
      </c>
      <c r="BO43" s="688">
        <f t="shared" ref="BO43:BT43" si="147">INDEX(MO_RIS_NI_NONGAAP_Diluted,0,COLUMN())</f>
        <v>15238</v>
      </c>
      <c r="BP43" s="688">
        <f t="shared" si="147"/>
        <v>16952</v>
      </c>
      <c r="BQ43" s="688">
        <f t="shared" si="147"/>
        <v>20010</v>
      </c>
      <c r="BR43" s="688">
        <f t="shared" si="147"/>
        <v>22066</v>
      </c>
      <c r="BS43" s="1245">
        <f t="shared" si="147"/>
        <v>74265</v>
      </c>
      <c r="BT43" s="688">
        <f t="shared" si="147"/>
        <v>19894</v>
      </c>
      <c r="BU43" s="688">
        <f>INDEX(MO_RIS_NI_NONGAAP_Diluted,0,COLUMN())</f>
        <v>25783</v>
      </c>
      <c r="BV43" s="688">
        <f>INDEX(MO_RIS_NI_NONGAAP_Diluted,0,COLUMN())</f>
        <v>31767</v>
      </c>
      <c r="BW43" s="688">
        <f>INDEX(MO_RIS_NI_NONGAAP_Diluted,0,COLUMN())</f>
        <v>39552</v>
      </c>
      <c r="BX43" s="1245">
        <f>INDEX(MO_RIS_NI_NONGAAP_Diluted,0,COLUMN())</f>
        <v>116997</v>
      </c>
      <c r="BY43" s="964">
        <f>INDEX(MO_RIS_NI_NONGAAP_Diluted,0,COLUMN())</f>
        <v>45548</v>
      </c>
      <c r="BZ43" s="688">
        <f t="shared" ref="BZ43:CC43" si="148">INDEX(MO_RIS_NI_NONGAAP_Diluted,0,COLUMN())</f>
        <v>49553.194773794807</v>
      </c>
      <c r="CA43" s="688">
        <f t="shared" si="148"/>
        <v>52414.110201915952</v>
      </c>
      <c r="CB43" s="688">
        <f t="shared" si="148"/>
        <v>53779.767512730716</v>
      </c>
      <c r="CC43" s="1245">
        <f t="shared" si="148"/>
        <v>201295.07248844151</v>
      </c>
      <c r="CD43" s="688">
        <f t="shared" ref="CD43:CK43" si="149">INDEX(MO_RIS_NI_NONGAAP_Diluted,0,COLUMN())</f>
        <v>60313.78759104159</v>
      </c>
      <c r="CE43" s="688">
        <f t="shared" si="149"/>
        <v>67526.789278728422</v>
      </c>
      <c r="CF43" s="688">
        <f t="shared" si="149"/>
        <v>67391.109061673225</v>
      </c>
      <c r="CG43" s="688">
        <f t="shared" si="149"/>
        <v>69281.380686152334</v>
      </c>
      <c r="CH43" s="1245">
        <f t="shared" si="149"/>
        <v>264513.06661759556</v>
      </c>
      <c r="CI43" s="1245">
        <f t="shared" si="149"/>
        <v>322799.56219257694</v>
      </c>
      <c r="CJ43" s="1245">
        <f t="shared" si="149"/>
        <v>386720.05559508491</v>
      </c>
      <c r="CK43" s="1245">
        <f t="shared" si="149"/>
        <v>462388.28744905919</v>
      </c>
      <c r="CL43" s="574"/>
    </row>
    <row r="44" spans="1:90" s="993" customFormat="1" x14ac:dyDescent="0.3">
      <c r="A44" s="679" t="s">
        <v>324</v>
      </c>
      <c r="B44" s="680"/>
      <c r="C44" s="1250">
        <f>+Model!C416+Model!C417+Model!C418+Model!C419+Model!C420+Model!C421</f>
        <v>190.32499999999987</v>
      </c>
      <c r="D44" s="1250">
        <f>+Model!D416+Model!D417+Model!D418+Model!D419+Model!D420+Model!D421</f>
        <v>209.36999999999995</v>
      </c>
      <c r="E44" s="1250">
        <f>+Model!E416+Model!E417+Model!E418+Model!E419+Model!E420+Model!E421</f>
        <v>223.26799999999994</v>
      </c>
      <c r="F44" s="1250">
        <f>+Model!F416+Model!F417+Model!F418+Model!F419+Model!F420+Model!F421</f>
        <v>153.31599999999972</v>
      </c>
      <c r="G44" s="681">
        <f>+Model!G416+Model!G417+Model!G418+Model!G419+Model!G420+Model!G421</f>
        <v>37.092999999999975</v>
      </c>
      <c r="H44" s="681">
        <f>+Model!H416+Model!H417+Model!H418+Model!H419+Model!H420+Model!H421</f>
        <v>51.402000000000001</v>
      </c>
      <c r="I44" s="681">
        <f>+Model!I416+Model!I417+Model!I418+Model!I419+Model!I420+Model!I421</f>
        <v>36.381999999999984</v>
      </c>
      <c r="J44" s="681">
        <f>+Model!J416+Model!J417+Model!J418+Model!J419+Model!J420+Model!J421</f>
        <v>40.96</v>
      </c>
      <c r="K44" s="1250">
        <f>+Model!K416+Model!K417+Model!K418+Model!K419+Model!K420+Model!K421</f>
        <v>165.83699999999999</v>
      </c>
      <c r="L44" s="681">
        <f>+Model!L416+Model!L417+Model!L418+Model!L419+Model!L420+Model!L421</f>
        <v>35.909999999999997</v>
      </c>
      <c r="M44" s="681">
        <f>+Model!M416+Model!M417+Model!M418+Model!M419+Model!M420+Model!M421</f>
        <v>36.881999999999991</v>
      </c>
      <c r="N44" s="681">
        <f>+Model!N416+Model!N417+Model!N418+Model!N419+Model!N420+Model!N421</f>
        <v>35.055999999999997</v>
      </c>
      <c r="O44" s="681">
        <f>+Model!O416+Model!O417+Model!O418+Model!O419+Model!O420+Model!O421</f>
        <v>40.569000000000003</v>
      </c>
      <c r="P44" s="1250">
        <f>+Model!P416+Model!P417+Model!P418+Model!P419+Model!P420+Model!P421</f>
        <v>148.417</v>
      </c>
      <c r="Q44" s="681">
        <f>+Model!Q416+Model!Q417+Model!Q418+Model!Q419+Model!Q420+Model!Q421</f>
        <v>28.574999999999982</v>
      </c>
      <c r="R44" s="681">
        <f>+Model!R416+Model!R417+Model!R418+Model!R419+Model!R420+Model!R421</f>
        <v>45</v>
      </c>
      <c r="S44" s="681">
        <f>+Model!S416+Model!S417+Model!S418+Model!S419+Model!S420+Model!S421</f>
        <v>46.021000000000015</v>
      </c>
      <c r="T44" s="681">
        <f>+Model!T416+Model!T417+Model!T418+Model!T419+Model!T420+Model!T421</f>
        <v>48</v>
      </c>
      <c r="U44" s="1250">
        <f>+Model!U416+Model!U417+Model!U418+Model!U419+Model!U420+Model!U421</f>
        <v>170.59600000000003</v>
      </c>
      <c r="V44" s="681">
        <f>+Model!V416+Model!V417+Model!V418+Model!V419+Model!V420+Model!V421</f>
        <v>53</v>
      </c>
      <c r="W44" s="681">
        <f>+Model!W416+Model!W417+Model!W418+Model!W419+Model!W420+Model!W421</f>
        <v>164</v>
      </c>
      <c r="X44" s="681">
        <f>+Model!X416+Model!X417+Model!X418+Model!X419+Model!X420+Model!X421</f>
        <v>9</v>
      </c>
      <c r="Y44" s="681">
        <f>+Model!Y416+Model!Y417+Model!Y418+Model!Y419+Model!Y420+Model!Y421</f>
        <v>90</v>
      </c>
      <c r="Z44" s="1250">
        <f>+Model!Z416+Model!Z417+Model!Z418+Model!Z419+Model!Z420+Model!Z421</f>
        <v>314</v>
      </c>
      <c r="AA44" s="681">
        <f>+Model!AA416+Model!AA417+Model!AA418+Model!AA419+Model!AA420+Model!AA421</f>
        <v>55</v>
      </c>
      <c r="AB44" s="681">
        <f>+Model!AB416+Model!AB417+Model!AB418+Model!AB419+Model!AB420+Model!AB421</f>
        <v>52</v>
      </c>
      <c r="AC44" s="681">
        <f>+Model!AC416+Model!AC417+Model!AC418+Model!AC419+Model!AC420+Model!AC421</f>
        <v>28</v>
      </c>
      <c r="AD44" s="681">
        <f>+Model!AD416+Model!AD417+Model!AD418+Model!AD419+Model!AD420+Model!AD421</f>
        <v>49</v>
      </c>
      <c r="AE44" s="1250">
        <f>+Model!AE416+Model!AE417+Model!AE418+Model!AE419+Model!AE420+Model!AE421</f>
        <v>185</v>
      </c>
      <c r="AF44" s="681">
        <f>+Model!AF416+Model!AF417+Model!AF418+Model!AF419+Model!AF420+Model!AF421</f>
        <v>26</v>
      </c>
      <c r="AG44" s="681">
        <f>+Model!AG416+Model!AG417+Model!AG418+Model!AG419+Model!AG420+Model!AG421</f>
        <v>55</v>
      </c>
      <c r="AH44" s="681">
        <f>+Model!AH416+Model!AH417+Model!AH418+Model!AH419+Model!AH420+Model!AH421</f>
        <v>-5</v>
      </c>
      <c r="AI44" s="681">
        <f>+Model!AI416+Model!AI417+Model!AI418+Model!AI419+Model!AI420+Model!AI421</f>
        <v>-37</v>
      </c>
      <c r="AJ44" s="1250">
        <f>+Model!AJ416+Model!AJ417+Model!AJ418+Model!AJ419+Model!AJ420+Model!AJ421</f>
        <v>38</v>
      </c>
      <c r="AK44" s="681">
        <f>+Model!AK416+Model!AK417+Model!AK418+Model!AK419+Model!AK420+Model!AK421</f>
        <v>41</v>
      </c>
      <c r="AL44" s="681">
        <f>+Model!AL416+Model!AL417+Model!AL418+Model!AL419+Model!AL420+Model!AL421</f>
        <v>109</v>
      </c>
      <c r="AM44" s="681">
        <f>+Model!AM416+Model!AM417+Model!AM418+Model!AM419+Model!AM420+Model!AM421</f>
        <v>-79</v>
      </c>
      <c r="AN44" s="681">
        <f>+Model!AN416+Model!AN417+Model!AN418+Model!AN419+Model!AN420+Model!AN421</f>
        <v>-71</v>
      </c>
      <c r="AO44" s="1250">
        <f>+Model!AO416+Model!AO417+Model!AO418+Model!AO419+Model!AO420+Model!AO421</f>
        <v>2</v>
      </c>
      <c r="AP44" s="681">
        <f>+Model!AP416+Model!AP417+Model!AP418+Model!AP419+Model!AP420+Model!AP421</f>
        <v>149</v>
      </c>
      <c r="AQ44" s="681">
        <f>+Model!AQ416+Model!AQ417+Model!AQ418+Model!AQ419+Model!AQ420+Model!AQ421</f>
        <v>210</v>
      </c>
      <c r="AR44" s="681">
        <f>+Model!AR416+Model!AR417+Model!AR418+Model!AR419+Model!AR420+Model!AR421</f>
        <v>204</v>
      </c>
      <c r="AS44" s="681">
        <f>+Model!AS416+Model!AS417+Model!AS418+Model!AS419+Model!AS420+Model!AS421</f>
        <v>222</v>
      </c>
      <c r="AT44" s="1250">
        <f>+Model!AT416+Model!AT417+Model!AT418+Model!AT419+Model!AT420+Model!AT421</f>
        <v>784</v>
      </c>
      <c r="AU44" s="681">
        <f>+Model!AU416+Model!AU417+Model!AU418+Model!AU419+Model!AU420+Model!AU421</f>
        <v>203</v>
      </c>
      <c r="AV44" s="681">
        <f>+Model!AV416+Model!AV417+Model!AV418+Model!AV419+Model!AV420+Model!AV421</f>
        <v>744</v>
      </c>
      <c r="AW44" s="681">
        <f>+Model!AW416+Model!AW417+Model!AW418+Model!AW419+Model!AW420+Model!AW421</f>
        <v>498</v>
      </c>
      <c r="AX44" s="681">
        <f>+Model!AX416+Model!AX417+Model!AX418+Model!AX419+Model!AX420+Model!AX421</f>
        <v>500</v>
      </c>
      <c r="AY44" s="1250">
        <f>+Model!AY416+Model!AY417+Model!AY418+Model!AY419+Model!AY420+Model!AY421</f>
        <v>1945</v>
      </c>
      <c r="AZ44" s="681">
        <f>+Model!AZ416+Model!AZ417+Model!AZ418+Model!AZ419+Model!AZ420+Model!AZ421</f>
        <v>401</v>
      </c>
      <c r="BA44" s="681">
        <f>+Model!BA416+Model!BA417+Model!BA418+Model!BA419+Model!BA420+Model!BA421</f>
        <v>249</v>
      </c>
      <c r="BB44" s="681">
        <f>+Model!BB416+Model!BB417+Model!BB418+Model!BB419+Model!BB420+Model!BB421</f>
        <v>509</v>
      </c>
      <c r="BC44" s="681">
        <f>+Model!BC416+Model!BC417+Model!BC418+Model!BC419+Model!BC420+Model!BC421</f>
        <v>347</v>
      </c>
      <c r="BD44" s="1250">
        <f>+Model!BD416+Model!BD417+Model!BD418+Model!BD419+Model!BD420+Model!BD421</f>
        <v>1507</v>
      </c>
      <c r="BE44" s="681">
        <f>+Model!BE416+Model!BE417+Model!BE418+Model!BE419+Model!BE420+Model!BE421</f>
        <v>1825</v>
      </c>
      <c r="BF44" s="681">
        <f>+Model!BF416+Model!BF417+Model!BF418+Model!BF419+Model!BF420+Model!BF421</f>
        <v>636</v>
      </c>
      <c r="BG44" s="681">
        <f>+Model!BG416+Model!BG417+Model!BG418+Model!BG419+Model!BG420+Model!BG421</f>
        <v>776</v>
      </c>
      <c r="BH44" s="681">
        <f>+Model!BH416+Model!BH417+Model!BH418+Model!BH419+Model!BH420+Model!BH421</f>
        <v>760</v>
      </c>
      <c r="BI44" s="1250">
        <f>+Model!BI416+Model!BI417+Model!BI418+Model!BI419+Model!BI420+Model!BI421</f>
        <v>3998</v>
      </c>
      <c r="BJ44" s="681">
        <f>+Model!BJ416+Model!BJ417+Model!BJ418+Model!BJ419+Model!BJ420+Model!BJ421</f>
        <v>670</v>
      </c>
      <c r="BK44" s="681">
        <f>+Model!BK416+Model!BK417+Model!BK418+Model!BK419+Model!BK420+Model!BK421</f>
        <v>552</v>
      </c>
      <c r="BL44" s="681">
        <f>+Model!BL416+Model!BL417+Model!BL418+Model!BL419+Model!BL420+Model!BL421</f>
        <v>777</v>
      </c>
      <c r="BM44" s="681">
        <f>+Model!BM416+Model!BM417+Model!BM418+Model!BM419+Model!BM420+Model!BM421</f>
        <v>554</v>
      </c>
      <c r="BN44" s="1250">
        <f>+Model!BN416+Model!BN417+Model!BN418+Model!BN419+Model!BN420+Model!BN421</f>
        <v>2552</v>
      </c>
      <c r="BO44" s="681">
        <f>+Model!BO416+Model!BO417+Model!BO418+Model!BO419+Model!BO420+Model!BO421</f>
        <v>357</v>
      </c>
      <c r="BP44" s="681">
        <f>+Model!BP416+Model!BP417+Model!BP418+Model!BP419+Model!BP420+Model!BP421</f>
        <v>353</v>
      </c>
      <c r="BQ44" s="681">
        <f>+Model!BQ416+Model!BQ417+Model!BQ418+Model!BQ419+Model!BQ420+Model!BQ421</f>
        <v>701</v>
      </c>
      <c r="BR44" s="681">
        <f>+Model!BR416+Model!BR417+Model!BR418+Model!BR419+Model!BR420+Model!BR421</f>
        <v>-25</v>
      </c>
      <c r="BS44" s="1250">
        <f>+Model!BS416+Model!BS417+Model!BS418+Model!BS419+Model!BS420+Model!BS421</f>
        <v>1385</v>
      </c>
      <c r="BT44" s="681">
        <f>+Model!BT416+Model!BT417+Model!BT418+Model!BT419+Model!BT420+Model!BT421</f>
        <v>1119</v>
      </c>
      <c r="BU44" s="681">
        <f>+Model!BU416+Model!BU417+Model!BU418+Model!BU419+Model!BU420+Model!BU421</f>
        <v>-639</v>
      </c>
      <c r="BV44" s="681">
        <f>+Model!BV416+Model!BV417+Model!BV418+Model!BV419+Model!BV420+Model!BV421</f>
        <v>-143</v>
      </c>
      <c r="BW44" s="681">
        <f>+Model!BW416+Model!BW417+Model!BW418+Model!BW419+Model!BW420+Model!BW421</f>
        <v>-3408</v>
      </c>
      <c r="BX44" s="1250">
        <f>+Model!BX416+Model!BX417+Model!BX418+Model!BX419+Model!BX420+Model!BX421</f>
        <v>-3070</v>
      </c>
      <c r="BY44" s="958">
        <f>+Model!BY416+Model!BY417+Model!BY418+Model!BY419+Model!BY420+Model!BY421</f>
        <v>-12773</v>
      </c>
      <c r="BZ44" s="681">
        <f>+Model!BZ416+Model!BZ417+Model!BZ418+Model!BZ419+Model!BZ420+Model!BZ421</f>
        <v>247.33909279999995</v>
      </c>
      <c r="CA44" s="681">
        <f>+Model!CA416+Model!CA417+Model!CA418+Model!CA419+Model!CA420+Model!CA421</f>
        <v>171.17194599999999</v>
      </c>
      <c r="CB44" s="681">
        <f>+Model!CB416+Model!CB417+Model!CB418+Model!CB419+Model!CB420+Model!CB421</f>
        <v>175.78177650000003</v>
      </c>
      <c r="CC44" s="1250">
        <f>+Model!CC416+Model!CC417+Model!CC418+Model!CC419+Model!CC420+Model!CC421</f>
        <v>-12178.707184700001</v>
      </c>
      <c r="CD44" s="681">
        <f>+Model!CD416+Model!CD417+Model!CD418+Model!CD419+Model!CD420+Model!CD421</f>
        <v>197.32903850000002</v>
      </c>
      <c r="CE44" s="681">
        <f>+Model!CE416+Model!CE417+Model!CE418+Model!CE419+Model!CE420+Model!CE421</f>
        <v>220.04054286500002</v>
      </c>
      <c r="CF44" s="681">
        <f>+Model!CF416+Model!CF417+Model!CF418+Model!CF419+Model!CF420+Model!CF421</f>
        <v>213.54637039999997</v>
      </c>
      <c r="CG44" s="681">
        <f>+Model!CG416+Model!CG417+Model!CG418+Model!CG419+Model!CG420+Model!CG421</f>
        <v>218.67284917499995</v>
      </c>
      <c r="CH44" s="1250">
        <f>+Model!CH416+Model!CH417+Model!CH418+Model!CH419+Model!CH420+Model!CH421</f>
        <v>849.58880094000006</v>
      </c>
      <c r="CI44" s="1250">
        <f>+Model!CI416+Model!CI417+Model!CI418+Model!CI419+Model!CI420+Model!CI421</f>
        <v>1473.9864991280001</v>
      </c>
      <c r="CJ44" s="1250">
        <f>+Model!CJ416+Model!CJ417+Model!CJ418+Model!CJ419+Model!CJ420+Model!CJ421</f>
        <v>1731.4437899598397</v>
      </c>
      <c r="CK44" s="1250">
        <f>+Model!CK416+Model!CK417+Model!CK418+Model!CK419+Model!CK420+Model!CK421</f>
        <v>2034.4573652402912</v>
      </c>
      <c r="CL44" s="678"/>
    </row>
    <row r="45" spans="1:90" s="992" customFormat="1" x14ac:dyDescent="0.3">
      <c r="A45" s="682" t="str">
        <f>INDEX(MO_RIS_NI_GAAP_Diluted,0,COLUMN())</f>
        <v>GAAP Net Income - Diluted</v>
      </c>
      <c r="B45" s="684"/>
      <c r="C45" s="1243">
        <f t="shared" ref="C45:AH45" si="150">INDEX(MO_RIS_NI_GAAP_Diluted,0,COLUMN())</f>
        <v>-30.041000000000167</v>
      </c>
      <c r="D45" s="1243">
        <f t="shared" si="150"/>
        <v>-67.986999999999654</v>
      </c>
      <c r="E45" s="1243">
        <f t="shared" si="150"/>
        <v>253.1460000000001</v>
      </c>
      <c r="F45" s="1243">
        <f t="shared" si="150"/>
        <v>581.09</v>
      </c>
      <c r="G45" s="574">
        <f t="shared" si="150"/>
        <v>60.436999999999998</v>
      </c>
      <c r="H45" s="574">
        <f t="shared" si="150"/>
        <v>119.04600000000003</v>
      </c>
      <c r="I45" s="574">
        <f t="shared" si="150"/>
        <v>209.0799999999999</v>
      </c>
      <c r="J45" s="574">
        <f t="shared" si="150"/>
        <v>173.97299999999998</v>
      </c>
      <c r="K45" s="1243">
        <f t="shared" si="150"/>
        <v>562.53599999999994</v>
      </c>
      <c r="L45" s="574">
        <f t="shared" si="150"/>
        <v>77.890999999999977</v>
      </c>
      <c r="M45" s="574">
        <f t="shared" si="150"/>
        <v>96.447999999999993</v>
      </c>
      <c r="N45" s="574">
        <f t="shared" si="150"/>
        <v>118.73400000000011</v>
      </c>
      <c r="O45" s="574">
        <f t="shared" si="150"/>
        <v>146.91700000000054</v>
      </c>
      <c r="P45" s="1243">
        <f t="shared" si="150"/>
        <v>439.99000000000024</v>
      </c>
      <c r="Q45" s="574">
        <f t="shared" si="150"/>
        <v>137.42500000000001</v>
      </c>
      <c r="R45" s="574">
        <f t="shared" si="150"/>
        <v>128</v>
      </c>
      <c r="S45" s="574">
        <f t="shared" si="150"/>
        <v>173.97899999999998</v>
      </c>
      <c r="T45" s="574">
        <f t="shared" si="150"/>
        <v>193</v>
      </c>
      <c r="U45" s="1243">
        <f t="shared" si="150"/>
        <v>630.404</v>
      </c>
      <c r="V45" s="574">
        <f t="shared" si="150"/>
        <v>134</v>
      </c>
      <c r="W45" s="574">
        <f t="shared" si="150"/>
        <v>26</v>
      </c>
      <c r="X45" s="574">
        <f t="shared" si="150"/>
        <v>246</v>
      </c>
      <c r="Y45" s="574">
        <f t="shared" si="150"/>
        <v>207</v>
      </c>
      <c r="Z45" s="1243">
        <f t="shared" si="150"/>
        <v>615</v>
      </c>
      <c r="AA45" s="574">
        <f t="shared" si="150"/>
        <v>208</v>
      </c>
      <c r="AB45" s="574">
        <f t="shared" si="150"/>
        <v>261</v>
      </c>
      <c r="AC45" s="574">
        <f t="shared" si="150"/>
        <v>542</v>
      </c>
      <c r="AD45" s="574">
        <f t="shared" si="150"/>
        <v>655</v>
      </c>
      <c r="AE45" s="1243">
        <f t="shared" si="150"/>
        <v>1666</v>
      </c>
      <c r="AF45" s="574">
        <f t="shared" si="150"/>
        <v>507</v>
      </c>
      <c r="AG45" s="574">
        <f t="shared" si="150"/>
        <v>583</v>
      </c>
      <c r="AH45" s="574">
        <f t="shared" si="150"/>
        <v>838</v>
      </c>
      <c r="AI45" s="574">
        <f t="shared" ref="AI45:BG45" si="151">INDEX(MO_RIS_NI_GAAP_Diluted,0,COLUMN())</f>
        <v>1118</v>
      </c>
      <c r="AJ45" s="1243">
        <f t="shared" si="151"/>
        <v>3047</v>
      </c>
      <c r="AK45" s="574">
        <f t="shared" si="151"/>
        <v>1244</v>
      </c>
      <c r="AL45" s="574">
        <f t="shared" si="151"/>
        <v>1101</v>
      </c>
      <c r="AM45" s="574">
        <f t="shared" si="151"/>
        <v>1230</v>
      </c>
      <c r="AN45" s="574">
        <f t="shared" si="151"/>
        <v>567</v>
      </c>
      <c r="AO45" s="1243">
        <f t="shared" si="151"/>
        <v>4141</v>
      </c>
      <c r="AP45" s="574">
        <f t="shared" si="151"/>
        <v>394</v>
      </c>
      <c r="AQ45" s="574">
        <f t="shared" si="151"/>
        <v>552</v>
      </c>
      <c r="AR45" s="574">
        <f t="shared" si="151"/>
        <v>899</v>
      </c>
      <c r="AS45" s="574">
        <f t="shared" si="151"/>
        <v>950</v>
      </c>
      <c r="AT45" s="1243">
        <f t="shared" si="151"/>
        <v>2796</v>
      </c>
      <c r="AU45" s="574">
        <f t="shared" si="151"/>
        <v>917</v>
      </c>
      <c r="AV45" s="574">
        <f t="shared" si="151"/>
        <v>622</v>
      </c>
      <c r="AW45" s="574">
        <f t="shared" si="151"/>
        <v>1336</v>
      </c>
      <c r="AX45" s="574">
        <f t="shared" si="151"/>
        <v>1457</v>
      </c>
      <c r="AY45" s="1243">
        <f t="shared" si="151"/>
        <v>4332</v>
      </c>
      <c r="AZ45" s="574">
        <f t="shared" si="151"/>
        <v>1912</v>
      </c>
      <c r="BA45" s="574">
        <f t="shared" si="151"/>
        <v>2374</v>
      </c>
      <c r="BB45" s="574">
        <f t="shared" si="151"/>
        <v>2464</v>
      </c>
      <c r="BC45" s="574">
        <f t="shared" si="151"/>
        <v>3003</v>
      </c>
      <c r="BD45" s="1243">
        <f t="shared" si="151"/>
        <v>9752</v>
      </c>
      <c r="BE45" s="574">
        <f t="shared" si="151"/>
        <v>1618</v>
      </c>
      <c r="BF45" s="574">
        <f t="shared" si="151"/>
        <v>656</v>
      </c>
      <c r="BG45" s="574">
        <f t="shared" si="151"/>
        <v>680</v>
      </c>
      <c r="BH45" s="574">
        <f t="shared" ref="BH45:BN45" si="152">INDEX(MO_RIS_NI_GAAP_Diluted,0,COLUMN())</f>
        <v>1414</v>
      </c>
      <c r="BI45" s="1243">
        <f t="shared" si="152"/>
        <v>4368</v>
      </c>
      <c r="BJ45" s="574">
        <f t="shared" si="152"/>
        <v>2043</v>
      </c>
      <c r="BK45" s="574">
        <f t="shared" si="152"/>
        <v>6188</v>
      </c>
      <c r="BL45" s="574">
        <f t="shared" si="152"/>
        <v>9243</v>
      </c>
      <c r="BM45" s="574">
        <f t="shared" si="152"/>
        <v>12285</v>
      </c>
      <c r="BN45" s="1243">
        <f t="shared" si="152"/>
        <v>29760</v>
      </c>
      <c r="BO45" s="574">
        <f t="shared" ref="BO45:BT45" si="153">INDEX(MO_RIS_NI_GAAP_Diluted,0,COLUMN())</f>
        <v>14881</v>
      </c>
      <c r="BP45" s="574">
        <f t="shared" si="153"/>
        <v>16599</v>
      </c>
      <c r="BQ45" s="574">
        <f t="shared" si="153"/>
        <v>19309</v>
      </c>
      <c r="BR45" s="574">
        <f t="shared" si="153"/>
        <v>22091</v>
      </c>
      <c r="BS45" s="1243">
        <f t="shared" si="153"/>
        <v>72880</v>
      </c>
      <c r="BT45" s="574">
        <f t="shared" si="153"/>
        <v>18775</v>
      </c>
      <c r="BU45" s="574">
        <f>INDEX(MO_RIS_NI_GAAP_Diluted,0,COLUMN())</f>
        <v>26422</v>
      </c>
      <c r="BV45" s="574">
        <f>INDEX(MO_RIS_NI_GAAP_Diluted,0,COLUMN())</f>
        <v>31910</v>
      </c>
      <c r="BW45" s="574">
        <f>INDEX(MO_RIS_NI_GAAP_Diluted,0,COLUMN())</f>
        <v>42960</v>
      </c>
      <c r="BX45" s="1243">
        <f>INDEX(MO_RIS_NI_GAAP_Diluted,0,COLUMN())</f>
        <v>120067</v>
      </c>
      <c r="BY45" s="955">
        <f>INDEX(MO_RIS_NI_GAAP_Diluted,0,COLUMN())</f>
        <v>58321</v>
      </c>
      <c r="BZ45" s="574">
        <f t="shared" ref="BZ45:CC45" si="154">INDEX(MO_RIS_NI_GAAP_Diluted,0,COLUMN())</f>
        <v>49305.855680994806</v>
      </c>
      <c r="CA45" s="574">
        <f t="shared" si="154"/>
        <v>52242.938255915949</v>
      </c>
      <c r="CB45" s="574">
        <f t="shared" si="154"/>
        <v>53603.985736230716</v>
      </c>
      <c r="CC45" s="1243">
        <f t="shared" si="154"/>
        <v>213473.77967314151</v>
      </c>
      <c r="CD45" s="574">
        <f t="shared" ref="CD45:CK45" si="155">INDEX(MO_RIS_NI_GAAP_Diluted,0,COLUMN())</f>
        <v>60116.45855254159</v>
      </c>
      <c r="CE45" s="574">
        <f t="shared" si="155"/>
        <v>67306.748735863424</v>
      </c>
      <c r="CF45" s="574">
        <f t="shared" si="155"/>
        <v>67177.562691273226</v>
      </c>
      <c r="CG45" s="574">
        <f t="shared" si="155"/>
        <v>69062.707836977337</v>
      </c>
      <c r="CH45" s="1243">
        <f t="shared" si="155"/>
        <v>263663.47781665553</v>
      </c>
      <c r="CI45" s="1243">
        <f t="shared" si="155"/>
        <v>321325.57569344895</v>
      </c>
      <c r="CJ45" s="1243">
        <f t="shared" si="155"/>
        <v>384988.61180512508</v>
      </c>
      <c r="CK45" s="1243">
        <f t="shared" si="155"/>
        <v>460353.83008381887</v>
      </c>
      <c r="CL45" s="574"/>
    </row>
    <row r="46" spans="1:90" s="991" customFormat="1" x14ac:dyDescent="0.3">
      <c r="A46" s="209"/>
      <c r="B46" s="210"/>
      <c r="C46" s="1240"/>
      <c r="D46" s="1240"/>
      <c r="E46" s="1240"/>
      <c r="F46" s="1240"/>
      <c r="G46" s="133"/>
      <c r="H46" s="133"/>
      <c r="I46" s="133"/>
      <c r="J46" s="133"/>
      <c r="K46" s="1240"/>
      <c r="L46" s="133"/>
      <c r="M46" s="133"/>
      <c r="N46" s="133"/>
      <c r="O46" s="133"/>
      <c r="P46" s="1240"/>
      <c r="Q46" s="133"/>
      <c r="R46" s="133"/>
      <c r="S46" s="133"/>
      <c r="T46" s="133"/>
      <c r="U46" s="1240"/>
      <c r="V46" s="133"/>
      <c r="W46" s="133"/>
      <c r="X46" s="133"/>
      <c r="Y46" s="133"/>
      <c r="Z46" s="1240"/>
      <c r="AA46" s="133"/>
      <c r="AB46" s="133"/>
      <c r="AC46" s="133"/>
      <c r="AD46" s="133"/>
      <c r="AE46" s="1240"/>
      <c r="AF46" s="133"/>
      <c r="AG46" s="133"/>
      <c r="AH46" s="133"/>
      <c r="AI46" s="133"/>
      <c r="AJ46" s="1240"/>
      <c r="AK46" s="133"/>
      <c r="AL46" s="133"/>
      <c r="AM46" s="133"/>
      <c r="AN46" s="133"/>
      <c r="AO46" s="1240"/>
      <c r="AP46" s="133"/>
      <c r="AQ46" s="133"/>
      <c r="AR46" s="133"/>
      <c r="AS46" s="133"/>
      <c r="AT46" s="1240"/>
      <c r="AU46" s="133"/>
      <c r="AV46" s="133"/>
      <c r="AW46" s="133"/>
      <c r="AX46" s="133"/>
      <c r="AY46" s="1240"/>
      <c r="AZ46" s="133"/>
      <c r="BA46" s="133"/>
      <c r="BB46" s="133"/>
      <c r="BC46" s="133"/>
      <c r="BD46" s="1240"/>
      <c r="BE46" s="133"/>
      <c r="BF46" s="133"/>
      <c r="BG46" s="133"/>
      <c r="BH46" s="133"/>
      <c r="BI46" s="1240"/>
      <c r="BJ46" s="133"/>
      <c r="BK46" s="133"/>
      <c r="BL46" s="133"/>
      <c r="BM46" s="133"/>
      <c r="BN46" s="1240"/>
      <c r="BO46" s="133"/>
      <c r="BP46" s="133"/>
      <c r="BQ46" s="133"/>
      <c r="BR46" s="133"/>
      <c r="BS46" s="1240"/>
      <c r="BT46" s="133"/>
      <c r="BU46" s="133"/>
      <c r="BV46" s="133"/>
      <c r="BW46" s="133"/>
      <c r="BX46" s="1240"/>
      <c r="BY46" s="967"/>
      <c r="BZ46" s="133"/>
      <c r="CA46" s="133"/>
      <c r="CB46" s="133"/>
      <c r="CC46" s="1240"/>
      <c r="CD46" s="133"/>
      <c r="CE46" s="133"/>
      <c r="CF46" s="133"/>
      <c r="CG46" s="133"/>
      <c r="CH46" s="1240"/>
      <c r="CI46" s="1240"/>
      <c r="CJ46" s="1240"/>
      <c r="CK46" s="1240"/>
      <c r="CL46" s="133"/>
    </row>
    <row r="47" spans="1:90" s="991" customFormat="1" x14ac:dyDescent="0.3">
      <c r="A47" s="211" t="str">
        <f>INDEX(MO_RIS_EPS_WAD,0,COLUMN())</f>
        <v>GAAP Earnings Per Share - WAD</v>
      </c>
      <c r="B47" s="210"/>
      <c r="C47" s="1240">
        <f t="shared" ref="C47:AH47" si="156">INDEX(MO_RIS_EPS_WAD,0,COLUMN())</f>
        <v>-1.3701685378909305E-3</v>
      </c>
      <c r="D47" s="1240">
        <f t="shared" si="156"/>
        <v>-3.092713629101798E-3</v>
      </c>
      <c r="E47" s="1240">
        <f t="shared" si="156"/>
        <v>1.0750504515155843E-2</v>
      </c>
      <c r="F47" s="1240">
        <f t="shared" si="156"/>
        <v>2.3569003084181445E-2</v>
      </c>
      <c r="G47" s="133">
        <f t="shared" si="156"/>
        <v>2.4221848518562457E-3</v>
      </c>
      <c r="H47" s="133">
        <f t="shared" si="156"/>
        <v>4.7760305419462315E-3</v>
      </c>
      <c r="I47" s="133">
        <f t="shared" si="156"/>
        <v>8.3120641811575136E-3</v>
      </c>
      <c r="J47" s="133">
        <f t="shared" si="156"/>
        <v>6.9922815738451289E-3</v>
      </c>
      <c r="K47" s="1240">
        <f t="shared" si="156"/>
        <v>2.2502988205588544E-2</v>
      </c>
      <c r="L47" s="133">
        <f t="shared" si="156"/>
        <v>3.1443060090230604E-3</v>
      </c>
      <c r="M47" s="133">
        <f t="shared" si="156"/>
        <v>4.0729316932598654E-3</v>
      </c>
      <c r="N47" s="133">
        <f t="shared" si="156"/>
        <v>5.0417663124711302E-3</v>
      </c>
      <c r="O47" s="133">
        <f t="shared" si="156"/>
        <v>6.3616295665066512E-3</v>
      </c>
      <c r="P47" s="1240">
        <f t="shared" si="156"/>
        <v>1.850199405567882E-2</v>
      </c>
      <c r="Q47" s="133">
        <f t="shared" si="156"/>
        <v>6.0274122807017546E-3</v>
      </c>
      <c r="R47" s="133">
        <f t="shared" si="156"/>
        <v>5.6042031523642734E-3</v>
      </c>
      <c r="S47" s="133">
        <f t="shared" si="156"/>
        <v>7.7947580645161283E-3</v>
      </c>
      <c r="T47" s="133">
        <f t="shared" si="156"/>
        <v>8.6624775583482947E-3</v>
      </c>
      <c r="U47" s="1240">
        <f t="shared" si="156"/>
        <v>2.7993072824156306E-2</v>
      </c>
      <c r="V47" s="133">
        <f t="shared" si="156"/>
        <v>5.8978873239436619E-3</v>
      </c>
      <c r="W47" s="133">
        <f t="shared" si="156"/>
        <v>1.1690647482014388E-3</v>
      </c>
      <c r="X47" s="133">
        <f t="shared" si="156"/>
        <v>1.088495575221239E-2</v>
      </c>
      <c r="Y47" s="133">
        <f t="shared" si="156"/>
        <v>8.7268128161888704E-3</v>
      </c>
      <c r="Z47" s="1240">
        <f t="shared" si="156"/>
        <v>2.7021089630931458E-2</v>
      </c>
      <c r="AA47" s="133">
        <f t="shared" si="156"/>
        <v>8.7102177554438855E-3</v>
      </c>
      <c r="AB47" s="133">
        <f t="shared" si="156"/>
        <v>1.0340729001584786E-2</v>
      </c>
      <c r="AC47" s="133">
        <f t="shared" si="156"/>
        <v>2.0750382848392038E-2</v>
      </c>
      <c r="AD47" s="133">
        <f t="shared" si="156"/>
        <v>2.4810606060606061E-2</v>
      </c>
      <c r="AE47" s="1240">
        <f t="shared" si="156"/>
        <v>6.417565485362095E-2</v>
      </c>
      <c r="AF47" s="133">
        <f t="shared" si="156"/>
        <v>1.9773790951638066E-2</v>
      </c>
      <c r="AG47" s="133">
        <f t="shared" si="156"/>
        <v>2.3025276461295419E-2</v>
      </c>
      <c r="AH47" s="133">
        <f t="shared" si="156"/>
        <v>3.3359872611464968E-2</v>
      </c>
      <c r="AI47" s="133">
        <f t="shared" ref="AI47:BG47" si="157">INDEX(MO_RIS_EPS_WAD,0,COLUMN())</f>
        <v>4.4506369426751589E-2</v>
      </c>
      <c r="AJ47" s="1240">
        <f t="shared" si="157"/>
        <v>0.12053006329113924</v>
      </c>
      <c r="AK47" s="133">
        <f t="shared" si="157"/>
        <v>4.9601275917065389E-2</v>
      </c>
      <c r="AL47" s="133">
        <f t="shared" si="157"/>
        <v>4.3969648562300317E-2</v>
      </c>
      <c r="AM47" s="133">
        <f t="shared" si="157"/>
        <v>4.9200000000000001E-2</v>
      </c>
      <c r="AN47" s="133">
        <f t="shared" si="157"/>
        <v>2.2899838449111469E-2</v>
      </c>
      <c r="AO47" s="1240">
        <f t="shared" si="157"/>
        <v>0.16564000000000001</v>
      </c>
      <c r="AP47" s="133">
        <f t="shared" si="157"/>
        <v>1.5990259740259739E-2</v>
      </c>
      <c r="AQ47" s="133">
        <f t="shared" si="157"/>
        <v>2.2402597402597403E-2</v>
      </c>
      <c r="AR47" s="133">
        <f t="shared" si="157"/>
        <v>3.6367313915857603E-2</v>
      </c>
      <c r="AS47" s="133">
        <f t="shared" si="157"/>
        <v>3.8244766505636074E-2</v>
      </c>
      <c r="AT47" s="1240">
        <f t="shared" si="157"/>
        <v>0.11310679611650486</v>
      </c>
      <c r="AU47" s="133">
        <f t="shared" si="157"/>
        <v>3.6856913183279744E-2</v>
      </c>
      <c r="AV47" s="133">
        <f t="shared" si="157"/>
        <v>2.4840255591054312E-2</v>
      </c>
      <c r="AW47" s="133">
        <f t="shared" si="157"/>
        <v>5.3015873015873016E-2</v>
      </c>
      <c r="AX47" s="133">
        <f t="shared" si="157"/>
        <v>5.7725832012678287E-2</v>
      </c>
      <c r="AY47" s="1240">
        <f t="shared" si="157"/>
        <v>0.17245222929936305</v>
      </c>
      <c r="AZ47" s="133">
        <f t="shared" si="157"/>
        <v>7.5632911392405064E-2</v>
      </c>
      <c r="BA47" s="133">
        <f t="shared" si="157"/>
        <v>9.3759873617693529E-2</v>
      </c>
      <c r="BB47" s="133">
        <f t="shared" si="157"/>
        <v>9.7084318360914107E-2</v>
      </c>
      <c r="BC47" s="133">
        <f t="shared" si="157"/>
        <v>0.11799607072691552</v>
      </c>
      <c r="BD47" s="1240">
        <f t="shared" si="157"/>
        <v>0.38469428007889545</v>
      </c>
      <c r="BE47" s="133">
        <f t="shared" si="157"/>
        <v>6.3776113519905406E-2</v>
      </c>
      <c r="BF47" s="133">
        <f t="shared" si="157"/>
        <v>2.6073131955484895E-2</v>
      </c>
      <c r="BG47" s="133">
        <f t="shared" si="157"/>
        <v>2.7210884353741496E-2</v>
      </c>
      <c r="BH47" s="133">
        <f t="shared" ref="BH47:BN47" si="158">INDEX(MO_RIS_EPS_WAD,0,COLUMN())</f>
        <v>5.708518368994752E-2</v>
      </c>
      <c r="BI47" s="1240">
        <f t="shared" si="158"/>
        <v>0.17423214998005584</v>
      </c>
      <c r="BJ47" s="133">
        <f t="shared" si="158"/>
        <v>8.2048192771084341E-2</v>
      </c>
      <c r="BK47" s="133">
        <f t="shared" si="158"/>
        <v>0.24761904761904763</v>
      </c>
      <c r="BL47" s="133">
        <f t="shared" si="158"/>
        <v>0.37060946271050521</v>
      </c>
      <c r="BM47" s="133">
        <f t="shared" si="158"/>
        <v>0.49337349397590363</v>
      </c>
      <c r="BN47" s="1240">
        <f t="shared" si="158"/>
        <v>1.1932638331996792</v>
      </c>
      <c r="BO47" s="133">
        <f t="shared" ref="BO47:BT47" si="159">INDEX(MO_RIS_EPS_WAD,0,COLUMN())</f>
        <v>0.5978706307754118</v>
      </c>
      <c r="BP47" s="133">
        <f t="shared" si="159"/>
        <v>0.66802157115260785</v>
      </c>
      <c r="BQ47" s="133">
        <f t="shared" si="159"/>
        <v>0.77940582869136998</v>
      </c>
      <c r="BR47" s="133">
        <f t="shared" si="159"/>
        <v>0.8941552659273051</v>
      </c>
      <c r="BS47" s="1240">
        <f t="shared" si="159"/>
        <v>2.9382357684244478</v>
      </c>
      <c r="BT47" s="133">
        <f t="shared" si="159"/>
        <v>0.7628702612652879</v>
      </c>
      <c r="BU47" s="133">
        <f>INDEX(MO_RIS_EPS_WAD,0,COLUMN())</f>
        <v>1.0770422305560086</v>
      </c>
      <c r="BV47" s="133">
        <f>INDEX(MO_RIS_EPS_WAD,0,COLUMN())</f>
        <v>1.3033533472205203</v>
      </c>
      <c r="BW47" s="133">
        <f>INDEX(MO_RIS_EPS_WAD,0,COLUMN())</f>
        <v>1.7583497053045187</v>
      </c>
      <c r="BX47" s="1240">
        <f>INDEX(MO_RIS_EPS_WAD,0,COLUMN())</f>
        <v>4.8978950803622423</v>
      </c>
      <c r="BY47" s="967">
        <f>INDEX(MO_RIS_EPS_WAD,0,COLUMN())</f>
        <v>2.3910868763068347</v>
      </c>
      <c r="BZ47" s="133">
        <f t="shared" ref="BZ47:CC47" si="160">INDEX(MO_RIS_EPS_WAD,0,COLUMN())</f>
        <v>2.0213457417198444</v>
      </c>
      <c r="CA47" s="133">
        <f t="shared" si="160"/>
        <v>2.1359237309049734</v>
      </c>
      <c r="CB47" s="133">
        <f t="shared" si="160"/>
        <v>2.1915694068401996</v>
      </c>
      <c r="CC47" s="1240">
        <f t="shared" si="160"/>
        <v>8.7406223757303625</v>
      </c>
      <c r="CD47" s="133">
        <f t="shared" ref="CD47:CK47" si="161">INDEX(MO_RIS_EPS_WAD,0,COLUMN())</f>
        <v>2.4578282678386381</v>
      </c>
      <c r="CE47" s="133">
        <f t="shared" si="161"/>
        <v>2.7517993182305265</v>
      </c>
      <c r="CF47" s="133">
        <f t="shared" si="161"/>
        <v>2.7465176180131636</v>
      </c>
      <c r="CG47" s="133">
        <f t="shared" si="161"/>
        <v>2.8235907380812861</v>
      </c>
      <c r="CH47" s="1240">
        <f t="shared" si="161"/>
        <v>10.779735942163612</v>
      </c>
      <c r="CI47" s="1240">
        <f t="shared" si="161"/>
        <v>13.137219026776711</v>
      </c>
      <c r="CJ47" s="1240">
        <f t="shared" si="161"/>
        <v>15.740047163017518</v>
      </c>
      <c r="CK47" s="1240">
        <f t="shared" si="161"/>
        <v>18.821312566156799</v>
      </c>
      <c r="CL47" s="133"/>
    </row>
    <row r="48" spans="1:90" s="993" customFormat="1" x14ac:dyDescent="0.3">
      <c r="A48" s="705" t="str">
        <f>INDEX(MO_RIS_ShareCount_WAD_Adj,0,COLUMN())</f>
        <v>Adjusted Shares Outstanding - WAD</v>
      </c>
      <c r="B48" s="685"/>
      <c r="C48" s="1244">
        <f t="shared" ref="C48:AH48" si="162">INDEX(MO_RIS_ShareCount_WAD_Adj,0,COLUMN())</f>
        <v>21925.040000000001</v>
      </c>
      <c r="D48" s="1244">
        <f t="shared" si="162"/>
        <v>21982.959999999999</v>
      </c>
      <c r="E48" s="1244">
        <f t="shared" si="162"/>
        <v>23547.360000000001</v>
      </c>
      <c r="F48" s="1244">
        <f t="shared" si="162"/>
        <v>24654.84</v>
      </c>
      <c r="G48" s="678">
        <f t="shared" si="162"/>
        <v>24951.439999999999</v>
      </c>
      <c r="H48" s="678">
        <f t="shared" si="162"/>
        <v>24925.72</v>
      </c>
      <c r="I48" s="678">
        <f t="shared" si="162"/>
        <v>25153.800000000003</v>
      </c>
      <c r="J48" s="678">
        <f t="shared" si="162"/>
        <v>24880.720000000001</v>
      </c>
      <c r="K48" s="1244">
        <f t="shared" si="162"/>
        <v>24998.28</v>
      </c>
      <c r="L48" s="678">
        <f t="shared" si="162"/>
        <v>24772.080000000002</v>
      </c>
      <c r="M48" s="678">
        <f t="shared" si="162"/>
        <v>23680.239999999998</v>
      </c>
      <c r="N48" s="678">
        <f t="shared" si="162"/>
        <v>23550.079999999998</v>
      </c>
      <c r="O48" s="678">
        <f t="shared" si="162"/>
        <v>23094.239999999998</v>
      </c>
      <c r="P48" s="1244">
        <f t="shared" si="162"/>
        <v>23780.68</v>
      </c>
      <c r="Q48" s="678">
        <f t="shared" si="162"/>
        <v>22800</v>
      </c>
      <c r="R48" s="678">
        <f t="shared" si="162"/>
        <v>22840</v>
      </c>
      <c r="S48" s="678">
        <f t="shared" si="162"/>
        <v>22320</v>
      </c>
      <c r="T48" s="678">
        <f t="shared" si="162"/>
        <v>22280</v>
      </c>
      <c r="U48" s="1244">
        <f t="shared" si="162"/>
        <v>22520</v>
      </c>
      <c r="V48" s="678">
        <f t="shared" si="162"/>
        <v>22480</v>
      </c>
      <c r="W48" s="678">
        <f t="shared" si="162"/>
        <v>22080</v>
      </c>
      <c r="X48" s="678">
        <f t="shared" si="162"/>
        <v>22200</v>
      </c>
      <c r="Y48" s="678">
        <f t="shared" si="162"/>
        <v>22680</v>
      </c>
      <c r="Z48" s="1244">
        <f t="shared" si="162"/>
        <v>22240</v>
      </c>
      <c r="AA48" s="678">
        <f t="shared" si="162"/>
        <v>22720</v>
      </c>
      <c r="AB48" s="678">
        <f t="shared" si="162"/>
        <v>23520</v>
      </c>
      <c r="AC48" s="678">
        <f t="shared" si="162"/>
        <v>24320</v>
      </c>
      <c r="AD48" s="678">
        <f t="shared" si="162"/>
        <v>24960</v>
      </c>
      <c r="AE48" s="1244">
        <f t="shared" si="162"/>
        <v>24200</v>
      </c>
      <c r="AF48" s="678">
        <f t="shared" si="162"/>
        <v>25080</v>
      </c>
      <c r="AG48" s="678">
        <f t="shared" si="162"/>
        <v>25160</v>
      </c>
      <c r="AH48" s="678">
        <f t="shared" si="162"/>
        <v>25040</v>
      </c>
      <c r="AI48" s="678">
        <f t="shared" ref="AI48:BG48" si="163">INDEX(MO_RIS_ShareCount_WAD_Adj,0,COLUMN())</f>
        <v>25080</v>
      </c>
      <c r="AJ48" s="1244">
        <f t="shared" si="163"/>
        <v>25080</v>
      </c>
      <c r="AK48" s="678">
        <f t="shared" si="163"/>
        <v>25040</v>
      </c>
      <c r="AL48" s="678">
        <f t="shared" si="163"/>
        <v>25000</v>
      </c>
      <c r="AM48" s="678">
        <f t="shared" si="163"/>
        <v>25000</v>
      </c>
      <c r="AN48" s="678">
        <f t="shared" si="163"/>
        <v>24760</v>
      </c>
      <c r="AO48" s="1244">
        <f t="shared" si="163"/>
        <v>24960</v>
      </c>
      <c r="AP48" s="678">
        <f t="shared" si="163"/>
        <v>24640</v>
      </c>
      <c r="AQ48" s="678">
        <f t="shared" si="163"/>
        <v>24640</v>
      </c>
      <c r="AR48" s="678">
        <f t="shared" si="163"/>
        <v>24720</v>
      </c>
      <c r="AS48" s="678">
        <f t="shared" si="163"/>
        <v>24840</v>
      </c>
      <c r="AT48" s="1244">
        <f t="shared" si="163"/>
        <v>24720</v>
      </c>
      <c r="AU48" s="678">
        <f t="shared" si="163"/>
        <v>24880</v>
      </c>
      <c r="AV48" s="678">
        <f t="shared" si="163"/>
        <v>25040</v>
      </c>
      <c r="AW48" s="678">
        <f t="shared" si="163"/>
        <v>25200</v>
      </c>
      <c r="AX48" s="678">
        <f t="shared" si="163"/>
        <v>25240</v>
      </c>
      <c r="AY48" s="1244">
        <f t="shared" si="163"/>
        <v>25120</v>
      </c>
      <c r="AZ48" s="678">
        <f t="shared" si="163"/>
        <v>25280</v>
      </c>
      <c r="BA48" s="678">
        <f t="shared" si="163"/>
        <v>25320</v>
      </c>
      <c r="BB48" s="678">
        <f t="shared" si="163"/>
        <v>25380</v>
      </c>
      <c r="BC48" s="678">
        <f t="shared" si="163"/>
        <v>25450</v>
      </c>
      <c r="BD48" s="1244">
        <f t="shared" si="163"/>
        <v>25350</v>
      </c>
      <c r="BE48" s="678">
        <f t="shared" si="163"/>
        <v>25370</v>
      </c>
      <c r="BF48" s="678">
        <f t="shared" si="163"/>
        <v>25160</v>
      </c>
      <c r="BG48" s="678">
        <f t="shared" si="163"/>
        <v>24990</v>
      </c>
      <c r="BH48" s="678">
        <f t="shared" ref="BH48:BN48" si="164">INDEX(MO_RIS_ShareCount_WAD_Adj,0,COLUMN())</f>
        <v>24770</v>
      </c>
      <c r="BI48" s="1244">
        <f t="shared" si="164"/>
        <v>25070</v>
      </c>
      <c r="BJ48" s="678">
        <f t="shared" si="164"/>
        <v>24900</v>
      </c>
      <c r="BK48" s="678">
        <f t="shared" si="164"/>
        <v>24990</v>
      </c>
      <c r="BL48" s="678">
        <f t="shared" si="164"/>
        <v>24940</v>
      </c>
      <c r="BM48" s="678">
        <f t="shared" si="164"/>
        <v>24900</v>
      </c>
      <c r="BN48" s="1244">
        <f t="shared" si="164"/>
        <v>24940</v>
      </c>
      <c r="BO48" s="678">
        <f t="shared" ref="BO48:BT48" si="165">INDEX(MO_RIS_ShareCount_WAD_Adj,0,COLUMN())</f>
        <v>24890</v>
      </c>
      <c r="BP48" s="678">
        <f t="shared" si="165"/>
        <v>24848</v>
      </c>
      <c r="BQ48" s="678">
        <f t="shared" si="165"/>
        <v>24774</v>
      </c>
      <c r="BR48" s="678">
        <f t="shared" si="165"/>
        <v>24706</v>
      </c>
      <c r="BS48" s="1244">
        <f t="shared" si="165"/>
        <v>24804</v>
      </c>
      <c r="BT48" s="678">
        <f t="shared" si="165"/>
        <v>24611</v>
      </c>
      <c r="BU48" s="678">
        <f>INDEX(MO_RIS_ShareCount_WAD_Adj,0,COLUMN())</f>
        <v>24532</v>
      </c>
      <c r="BV48" s="678">
        <f>INDEX(MO_RIS_ShareCount_WAD_Adj,0,COLUMN())</f>
        <v>24483</v>
      </c>
      <c r="BW48" s="678">
        <f>INDEX(MO_RIS_ShareCount_WAD_Adj,0,COLUMN())</f>
        <v>24432</v>
      </c>
      <c r="BX48" s="1244">
        <f>INDEX(MO_RIS_ShareCount_WAD_Adj,0,COLUMN())</f>
        <v>24514</v>
      </c>
      <c r="BY48" s="954">
        <f>INDEX(MO_RIS_ShareCount_WAD_Adj,0,COLUMN())</f>
        <v>24391</v>
      </c>
      <c r="BZ48" s="678">
        <f t="shared" ref="BZ48:CC48" si="166">INDEX(MO_RIS_ShareCount_WAD_Adj,0,COLUMN())</f>
        <v>24392.588889342282</v>
      </c>
      <c r="CA48" s="678">
        <f t="shared" si="166"/>
        <v>24459.177778684563</v>
      </c>
      <c r="CB48" s="678">
        <f t="shared" si="166"/>
        <v>24459.177778684563</v>
      </c>
      <c r="CC48" s="1244">
        <f t="shared" si="166"/>
        <v>24423.178407281754</v>
      </c>
      <c r="CD48" s="678">
        <f t="shared" ref="CD48:CK48" si="167">INDEX(MO_RIS_ShareCount_WAD_Adj,0,COLUMN())</f>
        <v>24459.177778684563</v>
      </c>
      <c r="CE48" s="678">
        <f t="shared" si="167"/>
        <v>24459.177778684563</v>
      </c>
      <c r="CF48" s="678">
        <f t="shared" si="167"/>
        <v>24459.177778684563</v>
      </c>
      <c r="CG48" s="678">
        <f t="shared" si="167"/>
        <v>24459.177778684563</v>
      </c>
      <c r="CH48" s="1244">
        <f t="shared" si="167"/>
        <v>24459.177778684563</v>
      </c>
      <c r="CI48" s="1244">
        <f t="shared" si="167"/>
        <v>24459.177778684563</v>
      </c>
      <c r="CJ48" s="1244">
        <f t="shared" si="167"/>
        <v>24459.177778684563</v>
      </c>
      <c r="CK48" s="1244">
        <f t="shared" si="167"/>
        <v>24459.177778684563</v>
      </c>
      <c r="CL48" s="678"/>
    </row>
    <row r="49" spans="1:90" s="990" customFormat="1" x14ac:dyDescent="0.3">
      <c r="A49" s="197"/>
      <c r="B49" s="198"/>
      <c r="C49" s="183"/>
      <c r="D49" s="183"/>
      <c r="E49" s="183"/>
      <c r="F49" s="183"/>
      <c r="G49" s="885"/>
      <c r="H49" s="885"/>
      <c r="I49" s="885"/>
      <c r="J49" s="885"/>
      <c r="K49" s="183"/>
      <c r="L49" s="885"/>
      <c r="M49" s="885"/>
      <c r="N49" s="885"/>
      <c r="O49" s="885"/>
      <c r="P49" s="183"/>
      <c r="Q49" s="885"/>
      <c r="R49" s="885"/>
      <c r="S49" s="885"/>
      <c r="T49" s="885"/>
      <c r="U49" s="183"/>
      <c r="V49" s="885"/>
      <c r="W49" s="885"/>
      <c r="X49" s="885"/>
      <c r="Y49" s="885"/>
      <c r="Z49" s="183"/>
      <c r="AA49" s="885"/>
      <c r="AB49" s="885"/>
      <c r="AC49" s="885"/>
      <c r="AD49" s="885"/>
      <c r="AE49" s="183"/>
      <c r="AF49" s="885"/>
      <c r="AG49" s="885"/>
      <c r="AH49" s="885"/>
      <c r="AI49" s="885"/>
      <c r="AJ49" s="183"/>
      <c r="AK49" s="885"/>
      <c r="AL49" s="885"/>
      <c r="AM49" s="885"/>
      <c r="AN49" s="885"/>
      <c r="AO49" s="183"/>
      <c r="AP49" s="885"/>
      <c r="AQ49" s="885"/>
      <c r="AR49" s="885"/>
      <c r="AS49" s="885"/>
      <c r="AT49" s="183"/>
      <c r="AU49" s="885"/>
      <c r="AV49" s="885"/>
      <c r="AW49" s="885"/>
      <c r="AX49" s="885"/>
      <c r="AY49" s="183"/>
      <c r="AZ49" s="885"/>
      <c r="BA49" s="885"/>
      <c r="BB49" s="885"/>
      <c r="BC49" s="885"/>
      <c r="BD49" s="183"/>
      <c r="BE49" s="885"/>
      <c r="BF49" s="885"/>
      <c r="BG49" s="885"/>
      <c r="BH49" s="885"/>
      <c r="BI49" s="183"/>
      <c r="BJ49" s="885"/>
      <c r="BK49" s="885"/>
      <c r="BL49" s="885"/>
      <c r="BM49" s="885"/>
      <c r="BN49" s="183"/>
      <c r="BO49" s="885"/>
      <c r="BP49" s="885"/>
      <c r="BQ49" s="885"/>
      <c r="BR49" s="885"/>
      <c r="BS49" s="183"/>
      <c r="BT49" s="885"/>
      <c r="BU49" s="885"/>
      <c r="BV49" s="885"/>
      <c r="BW49" s="885"/>
      <c r="BX49" s="183"/>
      <c r="BY49" s="878"/>
      <c r="BZ49" s="885"/>
      <c r="CA49" s="885"/>
      <c r="CB49" s="885"/>
      <c r="CC49" s="183"/>
      <c r="CD49" s="885"/>
      <c r="CE49" s="885"/>
      <c r="CF49" s="885"/>
      <c r="CG49" s="885"/>
      <c r="CH49" s="183"/>
      <c r="CI49" s="183"/>
      <c r="CJ49" s="183"/>
      <c r="CK49" s="183"/>
      <c r="CL49" s="885"/>
    </row>
    <row r="50" spans="1:90" x14ac:dyDescent="0.3">
      <c r="A50" s="139" t="s">
        <v>326</v>
      </c>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127"/>
      <c r="BW50" s="127"/>
      <c r="BX50" s="127"/>
      <c r="BY50" s="544"/>
      <c r="BZ50" s="127"/>
      <c r="CA50" s="127"/>
      <c r="CB50" s="127"/>
      <c r="CC50" s="127"/>
      <c r="CD50" s="127"/>
      <c r="CE50" s="127"/>
      <c r="CF50" s="127"/>
      <c r="CG50" s="127"/>
      <c r="CH50" s="127"/>
      <c r="CI50" s="127"/>
      <c r="CJ50" s="127"/>
      <c r="CK50" s="127"/>
      <c r="CL50" s="130"/>
    </row>
    <row r="51" spans="1:90" s="992" customFormat="1" x14ac:dyDescent="0.3">
      <c r="A51" s="682" t="str">
        <f>INDEX(MO_RIS_EBITDA_Adj,0,COLUMN())</f>
        <v>Non-GAAP EBITDA</v>
      </c>
      <c r="B51" s="684"/>
      <c r="C51" s="1243">
        <f t="shared" ref="C51:AH51" si="168">INDEX(MO_RIS_EBITDA_Adj,0,COLUMN())</f>
        <v>301.04499999999962</v>
      </c>
      <c r="D51" s="1243">
        <f t="shared" si="168"/>
        <v>300.00900000000013</v>
      </c>
      <c r="E51" s="1243">
        <f t="shared" si="168"/>
        <v>659.1690000000001</v>
      </c>
      <c r="F51" s="1243">
        <f t="shared" si="168"/>
        <v>974.63</v>
      </c>
      <c r="G51" s="574">
        <f t="shared" si="168"/>
        <v>155.79899999999995</v>
      </c>
      <c r="H51" s="574">
        <f t="shared" si="168"/>
        <v>239.85900000000004</v>
      </c>
      <c r="I51" s="574">
        <f t="shared" si="168"/>
        <v>334.20199999999988</v>
      </c>
      <c r="J51" s="574">
        <f t="shared" si="168"/>
        <v>269.14099999999996</v>
      </c>
      <c r="K51" s="1243">
        <f t="shared" si="168"/>
        <v>999.00099999999975</v>
      </c>
      <c r="L51" s="574">
        <f t="shared" si="168"/>
        <v>167.38299999999998</v>
      </c>
      <c r="M51" s="574">
        <f t="shared" si="168"/>
        <v>192.42299999999994</v>
      </c>
      <c r="N51" s="574">
        <f t="shared" si="168"/>
        <v>225.22500000000016</v>
      </c>
      <c r="O51" s="574">
        <f t="shared" si="168"/>
        <v>245.62900000000064</v>
      </c>
      <c r="P51" s="1243">
        <f t="shared" si="168"/>
        <v>830.66</v>
      </c>
      <c r="Q51" s="574">
        <f t="shared" si="168"/>
        <v>232</v>
      </c>
      <c r="R51" s="574">
        <f t="shared" si="168"/>
        <v>247</v>
      </c>
      <c r="S51" s="574">
        <f t="shared" si="168"/>
        <v>300</v>
      </c>
      <c r="T51" s="574">
        <f t="shared" si="168"/>
        <v>318</v>
      </c>
      <c r="U51" s="1243">
        <f t="shared" si="168"/>
        <v>1097</v>
      </c>
      <c r="V51" s="574">
        <f t="shared" si="168"/>
        <v>265</v>
      </c>
      <c r="W51" s="574">
        <f t="shared" si="168"/>
        <v>261</v>
      </c>
      <c r="X51" s="574">
        <f t="shared" si="168"/>
        <v>338</v>
      </c>
      <c r="Y51" s="574">
        <f t="shared" si="168"/>
        <v>385</v>
      </c>
      <c r="Z51" s="1243">
        <f t="shared" si="168"/>
        <v>1249</v>
      </c>
      <c r="AA51" s="574">
        <f t="shared" si="168"/>
        <v>350</v>
      </c>
      <c r="AB51" s="574">
        <f t="shared" si="168"/>
        <v>411</v>
      </c>
      <c r="AC51" s="574">
        <f t="shared" si="168"/>
        <v>738</v>
      </c>
      <c r="AD51" s="574">
        <f t="shared" si="168"/>
        <v>841</v>
      </c>
      <c r="AE51" s="1243">
        <f t="shared" si="168"/>
        <v>2340</v>
      </c>
      <c r="AF51" s="574">
        <f t="shared" si="168"/>
        <v>669</v>
      </c>
      <c r="AG51" s="574">
        <f t="shared" si="168"/>
        <v>808</v>
      </c>
      <c r="AH51" s="574">
        <f t="shared" si="168"/>
        <v>1041</v>
      </c>
      <c r="AI51" s="574">
        <f t="shared" ref="AI51:BG51" si="169">INDEX(MO_RIS_EBITDA_Adj,0,COLUMN())</f>
        <v>1243</v>
      </c>
      <c r="AJ51" s="1243">
        <f t="shared" si="169"/>
        <v>3761</v>
      </c>
      <c r="AK51" s="574">
        <f t="shared" si="169"/>
        <v>1474</v>
      </c>
      <c r="AL51" s="574">
        <f t="shared" si="169"/>
        <v>1343</v>
      </c>
      <c r="AM51" s="574">
        <f t="shared" si="169"/>
        <v>1271</v>
      </c>
      <c r="AN51" s="574">
        <f t="shared" si="169"/>
        <v>552</v>
      </c>
      <c r="AO51" s="1243">
        <f t="shared" si="169"/>
        <v>4640</v>
      </c>
      <c r="AP51" s="574">
        <f t="shared" si="169"/>
        <v>641</v>
      </c>
      <c r="AQ51" s="574">
        <f t="shared" si="169"/>
        <v>888</v>
      </c>
      <c r="AR51" s="574">
        <f t="shared" si="169"/>
        <v>1242</v>
      </c>
      <c r="AS51" s="574">
        <f t="shared" si="169"/>
        <v>1320</v>
      </c>
      <c r="AT51" s="1243">
        <f t="shared" si="169"/>
        <v>4091</v>
      </c>
      <c r="AU51" s="574">
        <f t="shared" si="169"/>
        <v>1305</v>
      </c>
      <c r="AV51" s="574">
        <f t="shared" si="169"/>
        <v>1636</v>
      </c>
      <c r="AW51" s="574">
        <f t="shared" si="169"/>
        <v>2118</v>
      </c>
      <c r="AX51" s="574">
        <f t="shared" si="169"/>
        <v>2230</v>
      </c>
      <c r="AY51" s="1243">
        <f t="shared" si="169"/>
        <v>7289</v>
      </c>
      <c r="AZ51" s="574">
        <f t="shared" si="169"/>
        <v>2701</v>
      </c>
      <c r="BA51" s="574">
        <f t="shared" si="169"/>
        <v>3219</v>
      </c>
      <c r="BB51" s="574">
        <f t="shared" si="169"/>
        <v>3541</v>
      </c>
      <c r="BC51" s="574">
        <f t="shared" si="169"/>
        <v>3841</v>
      </c>
      <c r="BD51" s="1243">
        <f t="shared" si="169"/>
        <v>13301</v>
      </c>
      <c r="BE51" s="574">
        <f t="shared" si="169"/>
        <v>4134</v>
      </c>
      <c r="BF51" s="574">
        <f t="shared" si="169"/>
        <v>1521</v>
      </c>
      <c r="BG51" s="574">
        <f t="shared" si="169"/>
        <v>1761</v>
      </c>
      <c r="BH51" s="574">
        <f t="shared" ref="BH51:BN51" si="170">INDEX(MO_RIS_EBITDA_Adj,0,COLUMN())</f>
        <v>2468</v>
      </c>
      <c r="BI51" s="1243">
        <f t="shared" si="170"/>
        <v>9884</v>
      </c>
      <c r="BJ51" s="574">
        <f t="shared" si="170"/>
        <v>3255</v>
      </c>
      <c r="BK51" s="574">
        <f t="shared" si="170"/>
        <v>7995</v>
      </c>
      <c r="BL51" s="574">
        <f t="shared" si="170"/>
        <v>11785</v>
      </c>
      <c r="BM51" s="574">
        <f t="shared" si="170"/>
        <v>14993</v>
      </c>
      <c r="BN51" s="1243">
        <f t="shared" si="170"/>
        <v>38028</v>
      </c>
      <c r="BO51" s="574">
        <f t="shared" ref="BO51:BT51" si="171">INDEX(MO_RIS_EBITDA_Adj,0,COLUMN())</f>
        <v>18326</v>
      </c>
      <c r="BP51" s="574">
        <f t="shared" si="171"/>
        <v>20224</v>
      </c>
      <c r="BQ51" s="574">
        <f t="shared" si="171"/>
        <v>23605</v>
      </c>
      <c r="BR51" s="574">
        <f t="shared" si="171"/>
        <v>25904</v>
      </c>
      <c r="BS51" s="1243">
        <f t="shared" si="171"/>
        <v>88060</v>
      </c>
      <c r="BT51" s="574">
        <f t="shared" si="171"/>
        <v>23727</v>
      </c>
      <c r="BU51" s="574">
        <f>INDEX(MO_RIS_EBITDA_Adj,0,COLUMN())</f>
        <v>30748</v>
      </c>
      <c r="BV51" s="574">
        <f>INDEX(MO_RIS_EBITDA_Adj,0,COLUMN())</f>
        <v>38407</v>
      </c>
      <c r="BW51" s="574">
        <f>INDEX(MO_RIS_EBITDA_Adj,0,COLUMN())</f>
        <v>46772</v>
      </c>
      <c r="BX51" s="1243">
        <f>INDEX(MO_RIS_EBITDA_Adj,0,COLUMN())</f>
        <v>139655</v>
      </c>
      <c r="BY51" s="955">
        <f>INDEX(MO_RIS_EBITDA_Adj,0,COLUMN())</f>
        <v>54548</v>
      </c>
      <c r="BZ51" s="574">
        <f t="shared" ref="BZ51:CC51" si="172">INDEX(MO_RIS_EBITDA_Adj,0,COLUMN())</f>
        <v>60626.708418984424</v>
      </c>
      <c r="CA51" s="574">
        <f t="shared" si="172"/>
        <v>62302.119135065281</v>
      </c>
      <c r="CB51" s="574">
        <f t="shared" si="172"/>
        <v>65282.510924240662</v>
      </c>
      <c r="CC51" s="1243">
        <f t="shared" si="172"/>
        <v>242759.33847829039</v>
      </c>
      <c r="CD51" s="574">
        <f t="shared" ref="CD51:CK51" si="173">INDEX(MO_RIS_EBITDA_Adj,0,COLUMN())</f>
        <v>70232.242400983625</v>
      </c>
      <c r="CE51" s="574">
        <f t="shared" si="173"/>
        <v>78111.415152671019</v>
      </c>
      <c r="CF51" s="574">
        <f t="shared" si="173"/>
        <v>77433.10763046061</v>
      </c>
      <c r="CG51" s="574">
        <f t="shared" si="173"/>
        <v>80892.905033945557</v>
      </c>
      <c r="CH51" s="1243">
        <f t="shared" si="173"/>
        <v>306669.67021806078</v>
      </c>
      <c r="CI51" s="1243">
        <f t="shared" si="173"/>
        <v>365299.06245758187</v>
      </c>
      <c r="CJ51" s="1243">
        <f t="shared" si="173"/>
        <v>428662.26544434158</v>
      </c>
      <c r="CK51" s="1243">
        <f t="shared" si="173"/>
        <v>503437.93431266665</v>
      </c>
      <c r="CL51" s="574"/>
    </row>
    <row r="52" spans="1:90" s="992" customFormat="1" x14ac:dyDescent="0.3">
      <c r="A52" s="682" t="str">
        <f>INDEX(MO_RIS_NI_NONGAAP_Diluted,0,COLUMN())</f>
        <v>Non-GAAP Net Income Attributable to Common Shareholders</v>
      </c>
      <c r="B52" s="684"/>
      <c r="C52" s="1243">
        <f t="shared" ref="C52:AH52" si="174">INDEX(MO_RIS_NI_NONGAAP_Diluted,0,COLUMN())</f>
        <v>160.28399999999971</v>
      </c>
      <c r="D52" s="1243">
        <f t="shared" si="174"/>
        <v>141.38300000000029</v>
      </c>
      <c r="E52" s="1243">
        <f t="shared" si="174"/>
        <v>476.41400000000004</v>
      </c>
      <c r="F52" s="1243">
        <f t="shared" si="174"/>
        <v>734.40599999999972</v>
      </c>
      <c r="G52" s="574">
        <f t="shared" si="174"/>
        <v>97.529999999999973</v>
      </c>
      <c r="H52" s="574">
        <f t="shared" si="174"/>
        <v>170.44800000000004</v>
      </c>
      <c r="I52" s="574">
        <f t="shared" si="174"/>
        <v>245.46199999999988</v>
      </c>
      <c r="J52" s="574">
        <f t="shared" si="174"/>
        <v>214.93299999999999</v>
      </c>
      <c r="K52" s="1243">
        <f t="shared" si="174"/>
        <v>728.37299999999993</v>
      </c>
      <c r="L52" s="574">
        <f t="shared" si="174"/>
        <v>113.80099999999997</v>
      </c>
      <c r="M52" s="574">
        <f t="shared" si="174"/>
        <v>133.32999999999998</v>
      </c>
      <c r="N52" s="574">
        <f t="shared" si="174"/>
        <v>153.79000000000011</v>
      </c>
      <c r="O52" s="574">
        <f t="shared" si="174"/>
        <v>187.48600000000053</v>
      </c>
      <c r="P52" s="1243">
        <f t="shared" si="174"/>
        <v>588.40700000000027</v>
      </c>
      <c r="Q52" s="574">
        <f t="shared" si="174"/>
        <v>166</v>
      </c>
      <c r="R52" s="574">
        <f t="shared" si="174"/>
        <v>173</v>
      </c>
      <c r="S52" s="574">
        <f t="shared" si="174"/>
        <v>220</v>
      </c>
      <c r="T52" s="574">
        <f t="shared" si="174"/>
        <v>241</v>
      </c>
      <c r="U52" s="1243">
        <f t="shared" si="174"/>
        <v>801</v>
      </c>
      <c r="V52" s="574">
        <f t="shared" si="174"/>
        <v>187</v>
      </c>
      <c r="W52" s="574">
        <f t="shared" si="174"/>
        <v>190</v>
      </c>
      <c r="X52" s="574">
        <f t="shared" si="174"/>
        <v>255</v>
      </c>
      <c r="Y52" s="574">
        <f t="shared" si="174"/>
        <v>297</v>
      </c>
      <c r="Z52" s="1243">
        <f t="shared" si="174"/>
        <v>929</v>
      </c>
      <c r="AA52" s="574">
        <f t="shared" si="174"/>
        <v>263</v>
      </c>
      <c r="AB52" s="574">
        <f t="shared" si="174"/>
        <v>313</v>
      </c>
      <c r="AC52" s="574">
        <f t="shared" si="174"/>
        <v>570</v>
      </c>
      <c r="AD52" s="574">
        <f t="shared" si="174"/>
        <v>704</v>
      </c>
      <c r="AE52" s="1243">
        <f t="shared" si="174"/>
        <v>1851</v>
      </c>
      <c r="AF52" s="574">
        <f t="shared" si="174"/>
        <v>533</v>
      </c>
      <c r="AG52" s="574">
        <f t="shared" si="174"/>
        <v>638</v>
      </c>
      <c r="AH52" s="574">
        <f t="shared" si="174"/>
        <v>833</v>
      </c>
      <c r="AI52" s="574">
        <f t="shared" ref="AI52:BG52" si="175">INDEX(MO_RIS_NI_NONGAAP_Diluted,0,COLUMN())</f>
        <v>1081</v>
      </c>
      <c r="AJ52" s="1243">
        <f t="shared" si="175"/>
        <v>3085</v>
      </c>
      <c r="AK52" s="574">
        <f t="shared" si="175"/>
        <v>1285</v>
      </c>
      <c r="AL52" s="574">
        <f t="shared" si="175"/>
        <v>1210</v>
      </c>
      <c r="AM52" s="574">
        <f t="shared" si="175"/>
        <v>1151</v>
      </c>
      <c r="AN52" s="574">
        <f t="shared" si="175"/>
        <v>496</v>
      </c>
      <c r="AO52" s="1243">
        <f t="shared" si="175"/>
        <v>4143</v>
      </c>
      <c r="AP52" s="574">
        <f t="shared" si="175"/>
        <v>543</v>
      </c>
      <c r="AQ52" s="574">
        <f t="shared" si="175"/>
        <v>762</v>
      </c>
      <c r="AR52" s="574">
        <f t="shared" si="175"/>
        <v>1103</v>
      </c>
      <c r="AS52" s="574">
        <f t="shared" si="175"/>
        <v>1172</v>
      </c>
      <c r="AT52" s="1243">
        <f t="shared" si="175"/>
        <v>3580</v>
      </c>
      <c r="AU52" s="574">
        <f t="shared" si="175"/>
        <v>1120</v>
      </c>
      <c r="AV52" s="574">
        <f t="shared" si="175"/>
        <v>1366</v>
      </c>
      <c r="AW52" s="574">
        <f t="shared" si="175"/>
        <v>1834</v>
      </c>
      <c r="AX52" s="574">
        <f t="shared" si="175"/>
        <v>1957</v>
      </c>
      <c r="AY52" s="1243">
        <f t="shared" si="175"/>
        <v>6277</v>
      </c>
      <c r="AZ52" s="574">
        <f t="shared" si="175"/>
        <v>2313</v>
      </c>
      <c r="BA52" s="574">
        <f t="shared" si="175"/>
        <v>2623</v>
      </c>
      <c r="BB52" s="574">
        <f t="shared" si="175"/>
        <v>2973</v>
      </c>
      <c r="BC52" s="574">
        <f t="shared" si="175"/>
        <v>3350</v>
      </c>
      <c r="BD52" s="1243">
        <f t="shared" si="175"/>
        <v>11259</v>
      </c>
      <c r="BE52" s="574">
        <f t="shared" si="175"/>
        <v>3443</v>
      </c>
      <c r="BF52" s="574">
        <f t="shared" si="175"/>
        <v>1292</v>
      </c>
      <c r="BG52" s="574">
        <f t="shared" si="175"/>
        <v>1456</v>
      </c>
      <c r="BH52" s="574">
        <f t="shared" ref="BH52:BN52" si="176">INDEX(MO_RIS_NI_NONGAAP_Diluted,0,COLUMN())</f>
        <v>2174</v>
      </c>
      <c r="BI52" s="1243">
        <f t="shared" si="176"/>
        <v>8366</v>
      </c>
      <c r="BJ52" s="574">
        <f t="shared" si="176"/>
        <v>2713</v>
      </c>
      <c r="BK52" s="574">
        <f t="shared" si="176"/>
        <v>6740</v>
      </c>
      <c r="BL52" s="574">
        <f t="shared" si="176"/>
        <v>10020</v>
      </c>
      <c r="BM52" s="574">
        <f t="shared" si="176"/>
        <v>12839</v>
      </c>
      <c r="BN52" s="1243">
        <f t="shared" si="176"/>
        <v>32312</v>
      </c>
      <c r="BO52" s="574">
        <f t="shared" ref="BO52:BT52" si="177">INDEX(MO_RIS_NI_NONGAAP_Diluted,0,COLUMN())</f>
        <v>15238</v>
      </c>
      <c r="BP52" s="574">
        <f t="shared" si="177"/>
        <v>16952</v>
      </c>
      <c r="BQ52" s="574">
        <f t="shared" si="177"/>
        <v>20010</v>
      </c>
      <c r="BR52" s="574">
        <f t="shared" si="177"/>
        <v>22066</v>
      </c>
      <c r="BS52" s="1243">
        <f t="shared" si="177"/>
        <v>74265</v>
      </c>
      <c r="BT52" s="574">
        <f t="shared" si="177"/>
        <v>19894</v>
      </c>
      <c r="BU52" s="574">
        <f>INDEX(MO_RIS_NI_NONGAAP_Diluted,0,COLUMN())</f>
        <v>25783</v>
      </c>
      <c r="BV52" s="574">
        <f>INDEX(MO_RIS_NI_NONGAAP_Diluted,0,COLUMN())</f>
        <v>31767</v>
      </c>
      <c r="BW52" s="574">
        <f>INDEX(MO_RIS_NI_NONGAAP_Diluted,0,COLUMN())</f>
        <v>39552</v>
      </c>
      <c r="BX52" s="1243">
        <f>INDEX(MO_RIS_NI_NONGAAP_Diluted,0,COLUMN())</f>
        <v>116997</v>
      </c>
      <c r="BY52" s="955">
        <f>INDEX(MO_RIS_NI_NONGAAP_Diluted,0,COLUMN())</f>
        <v>45548</v>
      </c>
      <c r="BZ52" s="574">
        <f t="shared" ref="BZ52:CC52" si="178">INDEX(MO_RIS_NI_NONGAAP_Diluted,0,COLUMN())</f>
        <v>49553.194773794807</v>
      </c>
      <c r="CA52" s="574">
        <f t="shared" si="178"/>
        <v>52414.110201915952</v>
      </c>
      <c r="CB52" s="574">
        <f t="shared" si="178"/>
        <v>53779.767512730716</v>
      </c>
      <c r="CC52" s="1243">
        <f t="shared" si="178"/>
        <v>201295.07248844151</v>
      </c>
      <c r="CD52" s="574">
        <f t="shared" ref="CD52:CK52" si="179">INDEX(MO_RIS_NI_NONGAAP_Diluted,0,COLUMN())</f>
        <v>60313.78759104159</v>
      </c>
      <c r="CE52" s="574">
        <f t="shared" si="179"/>
        <v>67526.789278728422</v>
      </c>
      <c r="CF52" s="574">
        <f t="shared" si="179"/>
        <v>67391.109061673225</v>
      </c>
      <c r="CG52" s="574">
        <f t="shared" si="179"/>
        <v>69281.380686152334</v>
      </c>
      <c r="CH52" s="1243">
        <f t="shared" si="179"/>
        <v>264513.06661759556</v>
      </c>
      <c r="CI52" s="1243">
        <f t="shared" si="179"/>
        <v>322799.56219257694</v>
      </c>
      <c r="CJ52" s="1243">
        <f t="shared" si="179"/>
        <v>386720.05559508491</v>
      </c>
      <c r="CK52" s="1243">
        <f t="shared" si="179"/>
        <v>462388.28744905919</v>
      </c>
      <c r="CL52" s="574"/>
    </row>
    <row r="53" spans="1:90" s="991" customFormat="1" x14ac:dyDescent="0.3">
      <c r="A53" s="211" t="str">
        <f>+Model!A433</f>
        <v>Non-GAAP Adjusted Earnings Per Share - WAD</v>
      </c>
      <c r="B53" s="210"/>
      <c r="C53" s="1240">
        <f>+Model!C433</f>
        <v>7.3105453855500241E-3</v>
      </c>
      <c r="D53" s="1240">
        <f>+Model!D433</f>
        <v>6.4314814747422682E-3</v>
      </c>
      <c r="E53" s="1240">
        <f>+Model!E433</f>
        <v>2.023216190689742E-2</v>
      </c>
      <c r="F53" s="1240">
        <f>+Model!F433</f>
        <v>2.9787498113960573E-2</v>
      </c>
      <c r="G53" s="133">
        <f>+Model!G433</f>
        <v>3.9087924384324105E-3</v>
      </c>
      <c r="H53" s="133">
        <f>+Model!H433</f>
        <v>6.8382377720683707E-3</v>
      </c>
      <c r="I53" s="133">
        <f>+Model!I433</f>
        <v>9.7584460399621469E-3</v>
      </c>
      <c r="J53" s="133">
        <f>+Model!J433</f>
        <v>8.6385361838403375E-3</v>
      </c>
      <c r="K53" s="1240">
        <f>+Model!K433</f>
        <v>2.9136924620413882E-2</v>
      </c>
      <c r="L53" s="133">
        <f>+Model!L433</f>
        <v>4.593921866875933E-3</v>
      </c>
      <c r="M53" s="133">
        <f>+Model!M433</f>
        <v>5.6304327996675703E-3</v>
      </c>
      <c r="N53" s="133">
        <f>+Model!N433</f>
        <v>6.5303387504416169E-3</v>
      </c>
      <c r="O53" s="133">
        <f>+Model!O433</f>
        <v>8.1183013599928182E-3</v>
      </c>
      <c r="P53" s="1240">
        <f>+Model!P433</f>
        <v>2.474306874319827E-2</v>
      </c>
      <c r="Q53" s="133">
        <f>+Model!Q433</f>
        <v>7.2807017543859648E-3</v>
      </c>
      <c r="R53" s="133">
        <f>+Model!R433</f>
        <v>7.5744308231173382E-3</v>
      </c>
      <c r="S53" s="133">
        <f>+Model!S433</f>
        <v>9.8566308243727592E-3</v>
      </c>
      <c r="T53" s="133">
        <f>+Model!T433</f>
        <v>1.0816876122082585E-2</v>
      </c>
      <c r="U53" s="1240">
        <f>+Model!U433</f>
        <v>3.5568383658969804E-2</v>
      </c>
      <c r="V53" s="133">
        <f>+Model!V433</f>
        <v>8.3185053380782914E-3</v>
      </c>
      <c r="W53" s="133">
        <f>+Model!W433</f>
        <v>8.605072463768116E-3</v>
      </c>
      <c r="X53" s="133">
        <f>+Model!X433</f>
        <v>1.1486486486486487E-2</v>
      </c>
      <c r="Y53" s="133">
        <f>+Model!Y433</f>
        <v>1.3095238095238096E-2</v>
      </c>
      <c r="Z53" s="1240">
        <f>+Model!Z433</f>
        <v>4.1771582733812949E-2</v>
      </c>
      <c r="AA53" s="133">
        <f>+Model!AA433</f>
        <v>1.1575704225352113E-2</v>
      </c>
      <c r="AB53" s="133">
        <f>+Model!AB433</f>
        <v>1.3307823129251701E-2</v>
      </c>
      <c r="AC53" s="133">
        <f>+Model!AC433</f>
        <v>2.34375E-2</v>
      </c>
      <c r="AD53" s="133">
        <f>+Model!AD433</f>
        <v>2.8205128205128206E-2</v>
      </c>
      <c r="AE53" s="1240">
        <f>+Model!AE433</f>
        <v>7.6487603305785121E-2</v>
      </c>
      <c r="AF53" s="133">
        <f>+Model!AF433</f>
        <v>2.1251993620414675E-2</v>
      </c>
      <c r="AG53" s="133">
        <f>+Model!AG433</f>
        <v>2.5357710651828298E-2</v>
      </c>
      <c r="AH53" s="133">
        <f>+Model!AH433</f>
        <v>3.32667731629393E-2</v>
      </c>
      <c r="AI53" s="133">
        <f>+Model!AI433</f>
        <v>4.310207336523126E-2</v>
      </c>
      <c r="AJ53" s="1240">
        <f>+Model!AJ433</f>
        <v>0.12300637958532695</v>
      </c>
      <c r="AK53" s="133">
        <f>+Model!AK433</f>
        <v>5.1317891373801917E-2</v>
      </c>
      <c r="AL53" s="133">
        <f>+Model!AL433</f>
        <v>4.8399999999999999E-2</v>
      </c>
      <c r="AM53" s="133">
        <f>+Model!AM433</f>
        <v>4.6039999999999998E-2</v>
      </c>
      <c r="AN53" s="133">
        <f>+Model!AN433</f>
        <v>2.0032310177705976E-2</v>
      </c>
      <c r="AO53" s="1240">
        <f>+Model!AO433</f>
        <v>0.16598557692307692</v>
      </c>
      <c r="AP53" s="133">
        <f>+Model!AP433</f>
        <v>2.2037337662337661E-2</v>
      </c>
      <c r="AQ53" s="133">
        <f>+Model!AQ433</f>
        <v>3.0925324675324675E-2</v>
      </c>
      <c r="AR53" s="133">
        <f>+Model!AR433</f>
        <v>4.4619741100323622E-2</v>
      </c>
      <c r="AS53" s="133">
        <f>+Model!AS433</f>
        <v>4.7181964573268918E-2</v>
      </c>
      <c r="AT53" s="1240">
        <f>+Model!AT433</f>
        <v>0.14482200647249191</v>
      </c>
      <c r="AU53" s="133">
        <f>+Model!AU433</f>
        <v>4.5016077170418008E-2</v>
      </c>
      <c r="AV53" s="133">
        <f>+Model!AV433</f>
        <v>5.4552715654952073E-2</v>
      </c>
      <c r="AW53" s="133">
        <f>+Model!AW433</f>
        <v>7.2777777777777775E-2</v>
      </c>
      <c r="AX53" s="133">
        <f>+Model!AX433</f>
        <v>7.7535657686212359E-2</v>
      </c>
      <c r="AY53" s="1240">
        <f>+Model!AY433</f>
        <v>0.24988057324840765</v>
      </c>
      <c r="AZ53" s="133">
        <f>+Model!AZ433</f>
        <v>9.1495253164556964E-2</v>
      </c>
      <c r="BA53" s="133">
        <f>+Model!BA433</f>
        <v>0.10359399684044233</v>
      </c>
      <c r="BB53" s="133">
        <f>+Model!BB433</f>
        <v>0.11713947990543735</v>
      </c>
      <c r="BC53" s="133">
        <f>+Model!BC433</f>
        <v>0.13163064833005894</v>
      </c>
      <c r="BD53" s="1240">
        <f>+Model!BD433</f>
        <v>0.44414201183431951</v>
      </c>
      <c r="BE53" s="133">
        <f>+Model!BE433</f>
        <v>0.13571147024044147</v>
      </c>
      <c r="BF53" s="133">
        <f>+Model!BF433</f>
        <v>5.1351351351351354E-2</v>
      </c>
      <c r="BG53" s="133">
        <f>+Model!BG433</f>
        <v>5.8263305322128853E-2</v>
      </c>
      <c r="BH53" s="133">
        <f>+Model!BH433</f>
        <v>8.7767460637868389E-2</v>
      </c>
      <c r="BI53" s="1240">
        <f>+Model!BI433</f>
        <v>0.33370562425209416</v>
      </c>
      <c r="BJ53" s="133">
        <f>+Model!BJ433</f>
        <v>0.10895582329317269</v>
      </c>
      <c r="BK53" s="133">
        <f>+Model!BK433</f>
        <v>0.26970788315326133</v>
      </c>
      <c r="BL53" s="133">
        <f>+Model!BL433</f>
        <v>0.40176423416198875</v>
      </c>
      <c r="BM53" s="133">
        <f>+Model!BM433</f>
        <v>0.51562248995983939</v>
      </c>
      <c r="BN53" s="1240">
        <f>+Model!BN433</f>
        <v>1.295589414595028</v>
      </c>
      <c r="BO53" s="133">
        <f>+Model!BO433</f>
        <v>0.61221374045801524</v>
      </c>
      <c r="BP53" s="133">
        <f>+Model!BP433</f>
        <v>0.68222794591113978</v>
      </c>
      <c r="BQ53" s="133">
        <f>+Model!BQ433</f>
        <v>0.80770162266892709</v>
      </c>
      <c r="BR53" s="133">
        <f>+Model!BR433</f>
        <v>0.89314336598397148</v>
      </c>
      <c r="BS53" s="1240">
        <f>+Model!BS433</f>
        <v>2.9940735365263667</v>
      </c>
      <c r="BT53" s="133">
        <f>+Model!BT433</f>
        <v>0.80833773515907525</v>
      </c>
      <c r="BU53" s="133">
        <f>+Model!BU433</f>
        <v>1.0509946192727866</v>
      </c>
      <c r="BV53" s="133">
        <f>+Model!BV433</f>
        <v>1.2975125597353265</v>
      </c>
      <c r="BW53" s="133">
        <f>+Model!BW433</f>
        <v>1.618860510805501</v>
      </c>
      <c r="BX53" s="1240">
        <f>+Model!BX433</f>
        <v>4.7726605205188868</v>
      </c>
      <c r="BY53" s="967">
        <f>+Model!BY433</f>
        <v>1.8674101102865812</v>
      </c>
      <c r="BZ53" s="133">
        <f>+Model!BZ433</f>
        <v>2.0314856696267203</v>
      </c>
      <c r="CA53" s="133">
        <f>+Model!CA433</f>
        <v>2.1429220015561303</v>
      </c>
      <c r="CB53" s="133">
        <f>+Model!CB433</f>
        <v>2.1987561478701121</v>
      </c>
      <c r="CC53" s="1240">
        <f>+Model!CC433</f>
        <v>8.2419687205177823</v>
      </c>
      <c r="CD53" s="133">
        <f>+Model!CD433</f>
        <v>2.4658959567971759</v>
      </c>
      <c r="CE53" s="133">
        <f>+Model!CE433</f>
        <v>2.760795554524976</v>
      </c>
      <c r="CF53" s="133">
        <f>+Model!CF433</f>
        <v>2.7552483436463899</v>
      </c>
      <c r="CG53" s="133">
        <f>+Model!CG433</f>
        <v>2.8325310569731812</v>
      </c>
      <c r="CH53" s="1240">
        <f>+Model!CH433</f>
        <v>10.814470911941722</v>
      </c>
      <c r="CI53" s="1240">
        <f>+Model!CI433</f>
        <v>13.19748215223682</v>
      </c>
      <c r="CJ53" s="1240">
        <f>+Model!CJ433</f>
        <v>15.810836287886168</v>
      </c>
      <c r="CK53" s="1240">
        <f>+Model!CK433</f>
        <v>18.904490234010101</v>
      </c>
      <c r="CL53" s="133"/>
    </row>
    <row r="54" spans="1:90" x14ac:dyDescent="0.3">
      <c r="A54" s="130"/>
      <c r="B54" s="202"/>
      <c r="C54" s="190"/>
      <c r="D54" s="190"/>
      <c r="E54" s="190"/>
      <c r="F54" s="190"/>
      <c r="G54" s="134"/>
      <c r="H54" s="134"/>
      <c r="I54" s="134"/>
      <c r="J54" s="134"/>
      <c r="K54" s="190"/>
      <c r="L54" s="134"/>
      <c r="M54" s="134"/>
      <c r="N54" s="134"/>
      <c r="O54" s="134"/>
      <c r="P54" s="190"/>
      <c r="Q54" s="134"/>
      <c r="R54" s="134"/>
      <c r="S54" s="134"/>
      <c r="T54" s="134"/>
      <c r="U54" s="190"/>
      <c r="V54" s="134"/>
      <c r="W54" s="134"/>
      <c r="X54" s="134"/>
      <c r="Y54" s="140"/>
      <c r="Z54" s="185"/>
      <c r="AA54" s="134"/>
      <c r="AB54" s="134"/>
      <c r="AC54" s="134"/>
      <c r="AD54" s="140"/>
      <c r="AE54" s="185"/>
      <c r="AF54" s="134"/>
      <c r="AG54" s="134"/>
      <c r="AH54" s="134"/>
      <c r="AI54" s="140"/>
      <c r="AJ54" s="185"/>
      <c r="AK54" s="134"/>
      <c r="AL54" s="134"/>
      <c r="AM54" s="134"/>
      <c r="AN54" s="140"/>
      <c r="AO54" s="185"/>
      <c r="AP54" s="134"/>
      <c r="AQ54" s="134"/>
      <c r="AR54" s="134"/>
      <c r="AS54" s="140"/>
      <c r="AT54" s="185"/>
      <c r="AU54" s="134"/>
      <c r="AV54" s="134"/>
      <c r="AW54" s="134"/>
      <c r="AX54" s="140"/>
      <c r="AY54" s="185"/>
      <c r="AZ54" s="134"/>
      <c r="BA54" s="134"/>
      <c r="BB54" s="134"/>
      <c r="BC54" s="140"/>
      <c r="BD54" s="185"/>
      <c r="BE54" s="134"/>
      <c r="BF54" s="134"/>
      <c r="BG54" s="134"/>
      <c r="BH54" s="140"/>
      <c r="BI54" s="185"/>
      <c r="BJ54" s="134"/>
      <c r="BK54" s="134"/>
      <c r="BL54" s="134"/>
      <c r="BM54" s="140"/>
      <c r="BN54" s="185"/>
      <c r="BO54" s="134"/>
      <c r="BP54" s="134"/>
      <c r="BQ54" s="134"/>
      <c r="BR54" s="140"/>
      <c r="BS54" s="185"/>
      <c r="BT54" s="134"/>
      <c r="BU54" s="134"/>
      <c r="BV54" s="134"/>
      <c r="BW54" s="140"/>
      <c r="BX54" s="185"/>
      <c r="BY54" s="968"/>
      <c r="BZ54" s="134"/>
      <c r="CA54" s="134"/>
      <c r="CB54" s="140"/>
      <c r="CC54" s="185"/>
      <c r="CD54" s="134"/>
      <c r="CE54" s="134"/>
      <c r="CF54" s="134"/>
      <c r="CG54" s="140"/>
      <c r="CH54" s="185"/>
      <c r="CI54" s="185"/>
      <c r="CJ54" s="185"/>
      <c r="CK54" s="185"/>
      <c r="CL54" s="130"/>
    </row>
    <row r="55" spans="1:90" x14ac:dyDescent="0.3">
      <c r="A55" s="886" t="s">
        <v>32</v>
      </c>
      <c r="B55" s="884"/>
      <c r="C55" s="884"/>
      <c r="D55" s="884"/>
      <c r="E55" s="884"/>
      <c r="F55" s="884"/>
      <c r="G55" s="884"/>
      <c r="H55" s="884"/>
      <c r="I55" s="884"/>
      <c r="J55" s="884"/>
      <c r="K55" s="884"/>
      <c r="L55" s="884"/>
      <c r="M55" s="884"/>
      <c r="N55" s="884"/>
      <c r="O55" s="884"/>
      <c r="P55" s="884"/>
      <c r="Q55" s="884"/>
      <c r="R55" s="884"/>
      <c r="S55" s="884"/>
      <c r="T55" s="884"/>
      <c r="U55" s="884"/>
      <c r="V55" s="884"/>
      <c r="W55" s="884"/>
      <c r="X55" s="884"/>
      <c r="Y55" s="884"/>
      <c r="Z55" s="884"/>
      <c r="AA55" s="884"/>
      <c r="AB55" s="884"/>
      <c r="AC55" s="884"/>
      <c r="AD55" s="884"/>
      <c r="AE55" s="884"/>
      <c r="AF55" s="884"/>
      <c r="AG55" s="884"/>
      <c r="AH55" s="884"/>
      <c r="AI55" s="884"/>
      <c r="AJ55" s="884"/>
      <c r="AK55" s="884"/>
      <c r="AL55" s="884"/>
      <c r="AM55" s="884"/>
      <c r="AN55" s="884"/>
      <c r="AO55" s="884"/>
      <c r="AP55" s="884"/>
      <c r="AQ55" s="884"/>
      <c r="AR55" s="884"/>
      <c r="AS55" s="884"/>
      <c r="AT55" s="884"/>
      <c r="AU55" s="884"/>
      <c r="AV55" s="884"/>
      <c r="AW55" s="884"/>
      <c r="AX55" s="884"/>
      <c r="AY55" s="884"/>
      <c r="AZ55" s="884"/>
      <c r="BA55" s="884"/>
      <c r="BB55" s="884"/>
      <c r="BC55" s="884"/>
      <c r="BD55" s="884"/>
      <c r="BE55" s="884"/>
      <c r="BF55" s="884"/>
      <c r="BG55" s="884"/>
      <c r="BH55" s="884"/>
      <c r="BI55" s="884"/>
      <c r="BJ55" s="884"/>
      <c r="BK55" s="884"/>
      <c r="BL55" s="884"/>
      <c r="BM55" s="884"/>
      <c r="BN55" s="884"/>
      <c r="BO55" s="884"/>
      <c r="BP55" s="884"/>
      <c r="BQ55" s="884"/>
      <c r="BR55" s="884"/>
      <c r="BS55" s="884"/>
      <c r="BT55" s="884"/>
      <c r="BU55" s="884"/>
      <c r="BV55" s="884"/>
      <c r="BW55" s="884"/>
      <c r="BX55" s="884"/>
      <c r="BY55" s="1045"/>
      <c r="BZ55" s="884"/>
      <c r="CA55" s="884"/>
      <c r="CB55" s="884"/>
      <c r="CC55" s="884"/>
      <c r="CD55" s="884"/>
      <c r="CE55" s="884"/>
      <c r="CF55" s="884"/>
      <c r="CG55" s="884"/>
      <c r="CH55" s="884"/>
      <c r="CI55" s="884"/>
      <c r="CJ55" s="884"/>
      <c r="CK55" s="884"/>
      <c r="CL55" s="885"/>
    </row>
    <row r="56" spans="1:90" s="985" customFormat="1" x14ac:dyDescent="0.3">
      <c r="A56" s="201" t="str">
        <f>INDEX(MO_MA_COGS_NONGAAP,0,COLUMN())</f>
        <v>Non-GAAP COGS Margin, %</v>
      </c>
      <c r="B56" s="202"/>
      <c r="C56" s="1247">
        <f t="shared" ref="C56:AH56" si="180">INDEX(MO_MA_COGS_NONGAAP,0,COLUMN())</f>
        <v>0.60055056281149111</v>
      </c>
      <c r="D56" s="1247">
        <f t="shared" si="180"/>
        <v>0.61393830350419132</v>
      </c>
      <c r="E56" s="1247">
        <f t="shared" si="180"/>
        <v>0.54884233918069236</v>
      </c>
      <c r="F56" s="1247">
        <f t="shared" si="180"/>
        <v>0.480946639886141</v>
      </c>
      <c r="G56" s="129">
        <f t="shared" si="180"/>
        <v>0.49626815241378042</v>
      </c>
      <c r="H56" s="129">
        <f t="shared" si="180"/>
        <v>0.4796671358939737</v>
      </c>
      <c r="I56" s="129">
        <f t="shared" si="180"/>
        <v>0.46919550539402549</v>
      </c>
      <c r="J56" s="129">
        <f t="shared" si="180"/>
        <v>0.46840099665553048</v>
      </c>
      <c r="K56" s="1247">
        <f t="shared" si="180"/>
        <v>0.47739488182565187</v>
      </c>
      <c r="L56" s="129">
        <f t="shared" si="180"/>
        <v>0.45406964625934421</v>
      </c>
      <c r="M56" s="129">
        <f t="shared" si="180"/>
        <v>0.43719339608160968</v>
      </c>
      <c r="N56" s="129">
        <f t="shared" si="180"/>
        <v>0.442577424150851</v>
      </c>
      <c r="O56" s="129">
        <f t="shared" si="180"/>
        <v>0.46191460018982361</v>
      </c>
      <c r="P56" s="1247">
        <f t="shared" si="180"/>
        <v>0.44931724227766356</v>
      </c>
      <c r="Q56" s="129">
        <f t="shared" si="180"/>
        <v>0.44968268359020852</v>
      </c>
      <c r="R56" s="129">
        <f t="shared" si="180"/>
        <v>0.43608340888485947</v>
      </c>
      <c r="S56" s="129">
        <f t="shared" si="180"/>
        <v>0.44489795918367347</v>
      </c>
      <c r="T56" s="129">
        <f t="shared" si="180"/>
        <v>0.43725019984012792</v>
      </c>
      <c r="U56" s="1247">
        <f t="shared" si="180"/>
        <v>0.44233233660828708</v>
      </c>
      <c r="V56" s="129">
        <f t="shared" si="180"/>
        <v>0.43092962641181581</v>
      </c>
      <c r="W56" s="129">
        <f t="shared" si="180"/>
        <v>0.43451864700780574</v>
      </c>
      <c r="X56" s="129">
        <f t="shared" si="180"/>
        <v>0.43448275862068964</v>
      </c>
      <c r="Y56" s="129">
        <f t="shared" si="180"/>
        <v>0.42826552462526768</v>
      </c>
      <c r="Z56" s="1247">
        <f t="shared" si="180"/>
        <v>0.43193612774451096</v>
      </c>
      <c r="AA56" s="129">
        <f t="shared" si="180"/>
        <v>0.41379310344827586</v>
      </c>
      <c r="AB56" s="129">
        <f t="shared" si="180"/>
        <v>0.41876750700280113</v>
      </c>
      <c r="AC56" s="129">
        <f t="shared" si="180"/>
        <v>0.40818363273453095</v>
      </c>
      <c r="AD56" s="129">
        <f t="shared" si="180"/>
        <v>0.39852738150023009</v>
      </c>
      <c r="AE56" s="1247">
        <f t="shared" si="180"/>
        <v>0.40839363241678728</v>
      </c>
      <c r="AF56" s="129">
        <f t="shared" si="180"/>
        <v>0.40423335054207538</v>
      </c>
      <c r="AG56" s="129">
        <f t="shared" si="180"/>
        <v>0.41434977578475335</v>
      </c>
      <c r="AH56" s="129">
        <f t="shared" si="180"/>
        <v>0.40250379362670713</v>
      </c>
      <c r="AI56" s="129">
        <f t="shared" ref="AI56:BG56" si="181">INDEX(MO_MA_COGS_NONGAAP,0,COLUMN())</f>
        <v>0.37856406733081416</v>
      </c>
      <c r="AJ56" s="185">
        <f t="shared" si="181"/>
        <v>0.39839407041383568</v>
      </c>
      <c r="AK56" s="129">
        <f t="shared" si="181"/>
        <v>0.35266604303086996</v>
      </c>
      <c r="AL56" s="129">
        <f t="shared" si="181"/>
        <v>0.36503362151777136</v>
      </c>
      <c r="AM56" s="129">
        <f t="shared" si="181"/>
        <v>0.39012889028607356</v>
      </c>
      <c r="AN56" s="129">
        <f t="shared" si="181"/>
        <v>0.4403628117913832</v>
      </c>
      <c r="AO56" s="185">
        <f t="shared" si="181"/>
        <v>0.38263912598156369</v>
      </c>
      <c r="AP56" s="129">
        <f t="shared" si="181"/>
        <v>0.40990990990990989</v>
      </c>
      <c r="AQ56" s="129">
        <f t="shared" si="181"/>
        <v>0.39860411012020164</v>
      </c>
      <c r="AR56" s="129">
        <f t="shared" si="181"/>
        <v>0.35932315859323161</v>
      </c>
      <c r="AS56" s="129">
        <f t="shared" si="181"/>
        <v>0.34621578099838968</v>
      </c>
      <c r="AT56" s="185">
        <f t="shared" si="181"/>
        <v>0.37525187763326617</v>
      </c>
      <c r="AU56" s="129">
        <f t="shared" si="181"/>
        <v>0.34220779220779218</v>
      </c>
      <c r="AV56" s="129">
        <f t="shared" si="181"/>
        <v>0.34014485256078636</v>
      </c>
      <c r="AW56" s="129">
        <f t="shared" si="181"/>
        <v>0.34511214557765552</v>
      </c>
      <c r="AX56" s="129">
        <f t="shared" si="181"/>
        <v>0.34519288426943834</v>
      </c>
      <c r="AY56" s="185">
        <f t="shared" si="181"/>
        <v>0.34350824587706147</v>
      </c>
      <c r="AZ56" s="129">
        <f t="shared" si="181"/>
        <v>0.33827945592651476</v>
      </c>
      <c r="BA56" s="129">
        <f t="shared" si="181"/>
        <v>0.3334870139849393</v>
      </c>
      <c r="BB56" s="129">
        <f t="shared" si="181"/>
        <v>0.32971983668872307</v>
      </c>
      <c r="BC56" s="129">
        <f t="shared" si="181"/>
        <v>0.3295826246238388</v>
      </c>
      <c r="BD56" s="185">
        <f t="shared" si="181"/>
        <v>0.33235490822620195</v>
      </c>
      <c r="BE56" s="129">
        <f t="shared" si="181"/>
        <v>0.32878861003861004</v>
      </c>
      <c r="BF56" s="129">
        <f t="shared" si="181"/>
        <v>0.54146778042959431</v>
      </c>
      <c r="BG56" s="129">
        <f t="shared" si="181"/>
        <v>0.43871185297588938</v>
      </c>
      <c r="BH56" s="129">
        <f t="shared" ref="BH56:BN56" si="182">INDEX(MO_MA_COGS_NONGAAP,0,COLUMN())</f>
        <v>0.33911750123946455</v>
      </c>
      <c r="BI56" s="185">
        <f t="shared" si="182"/>
        <v>0.40813375843404759</v>
      </c>
      <c r="BJ56" s="129">
        <f t="shared" si="182"/>
        <v>0.33231368186874305</v>
      </c>
      <c r="BK56" s="129">
        <f t="shared" si="182"/>
        <v>0.2882209224846376</v>
      </c>
      <c r="BL56" s="129">
        <f t="shared" si="182"/>
        <v>0.25038631346578366</v>
      </c>
      <c r="BM56" s="129">
        <f t="shared" si="182"/>
        <v>0.23272858887933764</v>
      </c>
      <c r="BN56" s="185">
        <f t="shared" si="182"/>
        <v>0.26202357112373198</v>
      </c>
      <c r="BO56" s="129">
        <f t="shared" ref="BO56:BT56" si="183">INDEX(MO_MA_COGS_NONGAAP,0,COLUMN())</f>
        <v>0.21056673322070343</v>
      </c>
      <c r="BP56" s="129">
        <f t="shared" si="183"/>
        <v>0.24337549933422103</v>
      </c>
      <c r="BQ56" s="129">
        <f t="shared" si="183"/>
        <v>0.24970070121429794</v>
      </c>
      <c r="BR56" s="129">
        <f t="shared" si="183"/>
        <v>0.26536319951183546</v>
      </c>
      <c r="BS56" s="185">
        <f t="shared" si="183"/>
        <v>0.24515506103588589</v>
      </c>
      <c r="BT56" s="129">
        <f t="shared" si="183"/>
        <v>0.39044982070718531</v>
      </c>
      <c r="BU56" s="129">
        <f>INDEX(MO_MA_COGS_NONGAAP,0,COLUMN())</f>
        <v>0.27347410307425712</v>
      </c>
      <c r="BV56" s="129">
        <f>INDEX(MO_MA_COGS_NONGAAP,0,COLUMN())</f>
        <v>0.26381433533312282</v>
      </c>
      <c r="BW56" s="129">
        <f>INDEX(MO_MA_COGS_NONGAAP,0,COLUMN())</f>
        <v>0.24833032424736154</v>
      </c>
      <c r="BX56" s="185">
        <f>INDEX(MO_MA_COGS_NONGAAP,0,COLUMN())</f>
        <v>0.28686011725587901</v>
      </c>
      <c r="BY56" s="965">
        <f>INDEX(MO_MA_COGS_NONGAAP,0,COLUMN())</f>
        <v>0.24974575752006373</v>
      </c>
      <c r="BZ56" s="129">
        <f t="shared" ref="BZ56:CC56" si="184">INDEX(MO_MA_COGS_NONGAAP,0,COLUMN())</f>
        <v>0.2504741030742571</v>
      </c>
      <c r="CA56" s="129">
        <f t="shared" si="184"/>
        <v>0.25381433533312281</v>
      </c>
      <c r="CB56" s="129">
        <f t="shared" si="184"/>
        <v>0.23833032424736147</v>
      </c>
      <c r="CC56" s="185">
        <f t="shared" si="184"/>
        <v>0.24797408426107589</v>
      </c>
      <c r="CD56" s="129">
        <f t="shared" ref="CD56:CK56" si="185">INDEX(MO_MA_COGS_NONGAAP,0,COLUMN())</f>
        <v>0.24974575752006373</v>
      </c>
      <c r="CE56" s="129">
        <f t="shared" si="185"/>
        <v>0.2504741030742571</v>
      </c>
      <c r="CF56" s="129">
        <f t="shared" si="185"/>
        <v>0.25381433533312281</v>
      </c>
      <c r="CG56" s="129">
        <f t="shared" si="185"/>
        <v>0.2383303242473615</v>
      </c>
      <c r="CH56" s="185">
        <f t="shared" si="185"/>
        <v>0.2480188635910491</v>
      </c>
      <c r="CI56" s="185">
        <f t="shared" si="185"/>
        <v>0.24801886359104897</v>
      </c>
      <c r="CJ56" s="185">
        <f t="shared" si="185"/>
        <v>0.24801886359104899</v>
      </c>
      <c r="CK56" s="185">
        <f t="shared" si="185"/>
        <v>0.24801886359104894</v>
      </c>
      <c r="CL56" s="130"/>
    </row>
    <row r="57" spans="1:90" s="985" customFormat="1" x14ac:dyDescent="0.3">
      <c r="A57" s="201" t="str">
        <f>INDEX(MO_MA_RD_NONGAAP,0,COLUMN())</f>
        <v>Non-GAAP R&amp;D Margin, %</v>
      </c>
      <c r="B57" s="202"/>
      <c r="C57" s="1247">
        <f t="shared" ref="C57:AH57" si="186">INDEX(MO_MA_RD_NONGAAP,0,COLUMN())</f>
        <v>0.22128560621035789</v>
      </c>
      <c r="D57" s="1247">
        <f t="shared" si="186"/>
        <v>0.25478070432548861</v>
      </c>
      <c r="E57" s="1247">
        <f t="shared" si="186"/>
        <v>0.22319701725138844</v>
      </c>
      <c r="F57" s="1247">
        <f t="shared" si="186"/>
        <v>0.22807327792132431</v>
      </c>
      <c r="G57" s="129">
        <f t="shared" si="186"/>
        <v>0.28060379920789469</v>
      </c>
      <c r="H57" s="129">
        <f t="shared" si="186"/>
        <v>0.2485123579150986</v>
      </c>
      <c r="I57" s="129">
        <f t="shared" si="186"/>
        <v>0.21713796912242242</v>
      </c>
      <c r="J57" s="129">
        <f t="shared" si="186"/>
        <v>0.2460019044143022</v>
      </c>
      <c r="K57" s="1247">
        <f t="shared" si="186"/>
        <v>0.24297859028134233</v>
      </c>
      <c r="L57" s="129">
        <f t="shared" si="186"/>
        <v>0.31565171214331877</v>
      </c>
      <c r="M57" s="129">
        <f t="shared" si="186"/>
        <v>0.31642138353195431</v>
      </c>
      <c r="N57" s="129">
        <f t="shared" si="186"/>
        <v>0.30154169912340706</v>
      </c>
      <c r="O57" s="129">
        <f t="shared" si="186"/>
        <v>0.27166414092419439</v>
      </c>
      <c r="P57" s="1247">
        <f t="shared" si="186"/>
        <v>0.30004682625039886</v>
      </c>
      <c r="Q57" s="129">
        <f t="shared" si="186"/>
        <v>0.28018495013599271</v>
      </c>
      <c r="R57" s="129">
        <f t="shared" si="186"/>
        <v>0.28286491387126023</v>
      </c>
      <c r="S57" s="129">
        <f t="shared" si="186"/>
        <v>0.25495510204081634</v>
      </c>
      <c r="T57" s="129">
        <f t="shared" si="186"/>
        <v>0.2573940847322142</v>
      </c>
      <c r="U57" s="1247">
        <f t="shared" si="186"/>
        <v>0.26812558735583086</v>
      </c>
      <c r="V57" s="129">
        <f t="shared" si="186"/>
        <v>0.26672458731537796</v>
      </c>
      <c r="W57" s="129">
        <f t="shared" si="186"/>
        <v>0.2523850823937554</v>
      </c>
      <c r="X57" s="129">
        <f t="shared" si="186"/>
        <v>0.22911877394636015</v>
      </c>
      <c r="Y57" s="129">
        <f t="shared" si="186"/>
        <v>0.22055674518201285</v>
      </c>
      <c r="Z57" s="1247">
        <f t="shared" si="186"/>
        <v>0.2403193612774451</v>
      </c>
      <c r="AA57" s="129">
        <f t="shared" si="186"/>
        <v>0.2413793103448276</v>
      </c>
      <c r="AB57" s="129">
        <f t="shared" si="186"/>
        <v>0.22268907563025211</v>
      </c>
      <c r="AC57" s="129">
        <f t="shared" si="186"/>
        <v>0.16766467065868262</v>
      </c>
      <c r="AD57" s="129">
        <f t="shared" si="186"/>
        <v>0.16198803497468936</v>
      </c>
      <c r="AE57" s="1247">
        <f t="shared" si="186"/>
        <v>0.19117221418234442</v>
      </c>
      <c r="AF57" s="129">
        <f t="shared" si="186"/>
        <v>0.18998451213216314</v>
      </c>
      <c r="AG57" s="129">
        <f t="shared" si="186"/>
        <v>0.16591928251121077</v>
      </c>
      <c r="AH57" s="129">
        <f t="shared" si="186"/>
        <v>0.15174506828528073</v>
      </c>
      <c r="AI57" s="129">
        <f t="shared" ref="AI57:BG57" si="187">INDEX(MO_MA_RD_NONGAAP,0,COLUMN())</f>
        <v>0.1494331844726898</v>
      </c>
      <c r="AJ57" s="185">
        <f t="shared" si="187"/>
        <v>0.1619312332715668</v>
      </c>
      <c r="AK57" s="129">
        <f t="shared" si="187"/>
        <v>0.14561895852821952</v>
      </c>
      <c r="AL57" s="129">
        <f t="shared" si="187"/>
        <v>0.16138328530259366</v>
      </c>
      <c r="AM57" s="129">
        <f t="shared" si="187"/>
        <v>0.1625275070732474</v>
      </c>
      <c r="AN57" s="129">
        <f t="shared" si="187"/>
        <v>0.24852607709750568</v>
      </c>
      <c r="AO57" s="185">
        <f t="shared" si="187"/>
        <v>0.17403550699897577</v>
      </c>
      <c r="AP57" s="129">
        <f t="shared" si="187"/>
        <v>0.25045045045045045</v>
      </c>
      <c r="AQ57" s="129">
        <f t="shared" si="187"/>
        <v>0.21636293136874757</v>
      </c>
      <c r="AR57" s="129">
        <f t="shared" si="187"/>
        <v>0.18911745189117452</v>
      </c>
      <c r="AS57" s="129">
        <f t="shared" si="187"/>
        <v>0.19227053140096617</v>
      </c>
      <c r="AT57" s="185">
        <f t="shared" si="187"/>
        <v>0.20910423154423888</v>
      </c>
      <c r="AU57" s="129">
        <f t="shared" si="187"/>
        <v>0.19448051948051948</v>
      </c>
      <c r="AV57" s="129">
        <f t="shared" si="187"/>
        <v>0.19813760993274704</v>
      </c>
      <c r="AW57" s="129">
        <f t="shared" si="187"/>
        <v>0.17202708421498095</v>
      </c>
      <c r="AX57" s="129">
        <f t="shared" si="187"/>
        <v>0.17569458325004997</v>
      </c>
      <c r="AY57" s="185">
        <f t="shared" si="187"/>
        <v>0.18320839580209894</v>
      </c>
      <c r="AZ57" s="129">
        <f t="shared" si="187"/>
        <v>0.15474297827239003</v>
      </c>
      <c r="BA57" s="129">
        <f t="shared" si="187"/>
        <v>0.14553557707084677</v>
      </c>
      <c r="BB57" s="129">
        <f t="shared" si="187"/>
        <v>0.1454315078135999</v>
      </c>
      <c r="BC57" s="129">
        <f t="shared" si="187"/>
        <v>0.14326835012429673</v>
      </c>
      <c r="BD57" s="185">
        <f t="shared" si="187"/>
        <v>0.14680092145351861</v>
      </c>
      <c r="BE57" s="129">
        <f t="shared" si="187"/>
        <v>0.14780405405405406</v>
      </c>
      <c r="BF57" s="129">
        <f t="shared" si="187"/>
        <v>0.20316229116945109</v>
      </c>
      <c r="BG57" s="129">
        <f t="shared" si="187"/>
        <v>0.23689091215646602</v>
      </c>
      <c r="BH57" s="129">
        <f t="shared" ref="BH57:BN57" si="188">INDEX(MO_MA_RD_NONGAAP,0,COLUMN())</f>
        <v>0.2336803834077012</v>
      </c>
      <c r="BI57" s="185">
        <f t="shared" si="188"/>
        <v>0.20048936012456439</v>
      </c>
      <c r="BJ57" s="129">
        <f t="shared" si="188"/>
        <v>0.18617908787541712</v>
      </c>
      <c r="BK57" s="129">
        <f t="shared" si="188"/>
        <v>0.10572295846598061</v>
      </c>
      <c r="BL57" s="129">
        <f t="shared" si="188"/>
        <v>8.7251655629139072E-2</v>
      </c>
      <c r="BM57" s="129">
        <f t="shared" si="188"/>
        <v>7.903904447360087E-2</v>
      </c>
      <c r="BN57" s="185">
        <f t="shared" si="188"/>
        <v>0.10002954597682283</v>
      </c>
      <c r="BO57" s="129">
        <f t="shared" ref="BO57:BT57" si="189">INDEX(MO_MA_RD_NONGAAP,0,COLUMN())</f>
        <v>7.6063584702810633E-2</v>
      </c>
      <c r="BP57" s="129">
        <f t="shared" si="189"/>
        <v>7.4600532623169111E-2</v>
      </c>
      <c r="BQ57" s="129">
        <f t="shared" si="189"/>
        <v>7.0035915854284245E-2</v>
      </c>
      <c r="BR57" s="129">
        <f t="shared" si="189"/>
        <v>6.9461747730797593E-2</v>
      </c>
      <c r="BS57" s="185">
        <f t="shared" si="189"/>
        <v>7.2124263393028187E-2</v>
      </c>
      <c r="BT57" s="129">
        <f t="shared" si="189"/>
        <v>6.5770959103082019E-2</v>
      </c>
      <c r="BU57" s="129">
        <f>INDEX(MO_MA_RD_NONGAAP,0,COLUMN())</f>
        <v>6.569967695697751E-2</v>
      </c>
      <c r="BV57" s="129">
        <f>INDEX(MO_MA_RD_NONGAAP,0,COLUMN())</f>
        <v>6.0765533452619022E-2</v>
      </c>
      <c r="BW57" s="129">
        <f>INDEX(MO_MA_RD_NONGAAP,0,COLUMN())</f>
        <v>6.1825707869126778E-2</v>
      </c>
      <c r="BX57" s="185">
        <f>INDEX(MO_MA_RD_NONGAAP,0,COLUMN())</f>
        <v>6.3189434004204917E-2</v>
      </c>
      <c r="BY57" s="965">
        <f>INDEX(MO_MA_RD_NONGAAP,0,COLUMN())</f>
        <v>7.5402805856766522E-2</v>
      </c>
      <c r="BZ57" s="129">
        <f t="shared" ref="BZ57:CC57" si="190">INDEX(MO_MA_RD_NONGAAP,0,COLUMN())</f>
        <v>7.0699676956977514E-2</v>
      </c>
      <c r="CA57" s="129">
        <f t="shared" si="190"/>
        <v>6.0765533452619029E-2</v>
      </c>
      <c r="CB57" s="129">
        <f t="shared" si="190"/>
        <v>6.1825707869126778E-2</v>
      </c>
      <c r="CC57" s="185">
        <f t="shared" si="190"/>
        <v>6.690268875283209E-2</v>
      </c>
      <c r="CD57" s="129">
        <f t="shared" ref="CD57:CK57" si="191">INDEX(MO_MA_RD_NONGAAP,0,COLUMN())</f>
        <v>7.5402805856766522E-2</v>
      </c>
      <c r="CE57" s="129">
        <f t="shared" si="191"/>
        <v>7.0699676956977514E-2</v>
      </c>
      <c r="CF57" s="129">
        <f t="shared" si="191"/>
        <v>6.0765533452619015E-2</v>
      </c>
      <c r="CG57" s="129">
        <f t="shared" si="191"/>
        <v>6.1825707869126778E-2</v>
      </c>
      <c r="CH57" s="185">
        <f t="shared" si="191"/>
        <v>6.7011030772946567E-2</v>
      </c>
      <c r="CI57" s="185">
        <f t="shared" si="191"/>
        <v>6.7011030772946567E-2</v>
      </c>
      <c r="CJ57" s="185">
        <f t="shared" si="191"/>
        <v>6.7011030772946567E-2</v>
      </c>
      <c r="CK57" s="185">
        <f t="shared" si="191"/>
        <v>6.7011030772946567E-2</v>
      </c>
      <c r="CL57" s="130"/>
    </row>
    <row r="58" spans="1:90" s="985" customFormat="1" x14ac:dyDescent="0.3">
      <c r="A58" s="201" t="str">
        <f>INDEX(MO_MA_SGA_NONGAAP,0,COLUMN())</f>
        <v>Non-GAAP SG&amp;A Margin, %</v>
      </c>
      <c r="B58" s="202"/>
      <c r="C58" s="1247">
        <f t="shared" ref="C58:AH58" si="192">INDEX(MO_MA_SGA_NONGAAP,0,COLUMN())</f>
        <v>9.0357588443787024E-2</v>
      </c>
      <c r="D58" s="1247">
        <f t="shared" si="192"/>
        <v>0.10020096529478166</v>
      </c>
      <c r="E58" s="1247">
        <f t="shared" si="192"/>
        <v>9.2411358986755038E-2</v>
      </c>
      <c r="F58" s="1247">
        <f t="shared" si="192"/>
        <v>8.7816194880850837E-2</v>
      </c>
      <c r="G58" s="129">
        <f t="shared" si="192"/>
        <v>0.10033766652214295</v>
      </c>
      <c r="H58" s="129">
        <f t="shared" si="192"/>
        <v>8.3364455552682737E-2</v>
      </c>
      <c r="I58" s="129">
        <f t="shared" si="192"/>
        <v>7.2864605393194976E-2</v>
      </c>
      <c r="J58" s="129">
        <f t="shared" si="192"/>
        <v>7.9580667484565062E-2</v>
      </c>
      <c r="K58" s="1247">
        <f t="shared" si="192"/>
        <v>8.3099716622676872E-2</v>
      </c>
      <c r="L58" s="129">
        <f t="shared" si="192"/>
        <v>9.9311958556212748E-2</v>
      </c>
      <c r="M58" s="129">
        <f t="shared" si="192"/>
        <v>9.3727423616355485E-2</v>
      </c>
      <c r="N58" s="129">
        <f t="shared" si="192"/>
        <v>8.5226577302704914E-2</v>
      </c>
      <c r="O58" s="129">
        <f t="shared" si="192"/>
        <v>8.6345434174256983E-2</v>
      </c>
      <c r="P58" s="1247">
        <f t="shared" si="192"/>
        <v>9.0803944252065644E-2</v>
      </c>
      <c r="Q58" s="129">
        <f t="shared" si="192"/>
        <v>9.2107887579329098E-2</v>
      </c>
      <c r="R58" s="129">
        <f t="shared" si="192"/>
        <v>9.0661831368993653E-2</v>
      </c>
      <c r="S58" s="129">
        <f t="shared" si="192"/>
        <v>8.3482448979591825E-2</v>
      </c>
      <c r="T58" s="129">
        <f t="shared" si="192"/>
        <v>7.9136690647482008E-2</v>
      </c>
      <c r="U58" s="1247">
        <f t="shared" si="192"/>
        <v>8.6044639043143953E-2</v>
      </c>
      <c r="V58" s="129">
        <f t="shared" si="192"/>
        <v>0.10165073848827107</v>
      </c>
      <c r="W58" s="129">
        <f t="shared" si="192"/>
        <v>0.11274934952298352</v>
      </c>
      <c r="X58" s="129">
        <f t="shared" si="192"/>
        <v>0.10038314176245211</v>
      </c>
      <c r="Y58" s="129">
        <f t="shared" si="192"/>
        <v>9.7787294789436111E-2</v>
      </c>
      <c r="Z58" s="1247">
        <f t="shared" si="192"/>
        <v>0.1031936127744511</v>
      </c>
      <c r="AA58" s="129">
        <f t="shared" si="192"/>
        <v>0.10268199233716475</v>
      </c>
      <c r="AB58" s="129">
        <f t="shared" si="192"/>
        <v>9.1036414565826326E-2</v>
      </c>
      <c r="AC58" s="129">
        <f t="shared" si="192"/>
        <v>7.0858283433133731E-2</v>
      </c>
      <c r="AD58" s="129">
        <f t="shared" si="192"/>
        <v>6.7648412333179933E-2</v>
      </c>
      <c r="AE58" s="1247">
        <f t="shared" si="192"/>
        <v>8.002894356005788E-2</v>
      </c>
      <c r="AF58" s="129">
        <f t="shared" si="192"/>
        <v>7.7439339184305622E-2</v>
      </c>
      <c r="AG58" s="129">
        <f t="shared" si="192"/>
        <v>7.3094170403587441E-2</v>
      </c>
      <c r="AH58" s="129">
        <f t="shared" si="192"/>
        <v>6.4491654021244307E-2</v>
      </c>
      <c r="AI58" s="129">
        <f t="shared" ref="AI58:BG58" si="193">INDEX(MO_MA_SGA_NONGAAP,0,COLUMN())</f>
        <v>5.9086224665063553E-2</v>
      </c>
      <c r="AJ58" s="185">
        <f t="shared" si="193"/>
        <v>6.732550957381099E-2</v>
      </c>
      <c r="AK58" s="129">
        <f t="shared" si="193"/>
        <v>5.7062675397567819E-2</v>
      </c>
      <c r="AL58" s="129">
        <f t="shared" si="193"/>
        <v>6.0198527057316681E-2</v>
      </c>
      <c r="AM58" s="129">
        <f t="shared" si="193"/>
        <v>6.6016975793775537E-2</v>
      </c>
      <c r="AN58" s="129">
        <f t="shared" si="193"/>
        <v>9.7052154195011342E-2</v>
      </c>
      <c r="AO58" s="185">
        <f t="shared" si="193"/>
        <v>6.7941276886309326E-2</v>
      </c>
      <c r="AP58" s="129">
        <f t="shared" si="193"/>
        <v>8.9189189189189194E-2</v>
      </c>
      <c r="AQ58" s="129">
        <f t="shared" si="193"/>
        <v>7.4059713067080257E-2</v>
      </c>
      <c r="AR58" s="129">
        <f t="shared" si="193"/>
        <v>6.7684140676841406E-2</v>
      </c>
      <c r="AS58" s="129">
        <f t="shared" si="193"/>
        <v>6.8599033816425126E-2</v>
      </c>
      <c r="AT58" s="185">
        <f t="shared" si="193"/>
        <v>7.354826891372046E-2</v>
      </c>
      <c r="AU58" s="129">
        <f t="shared" si="193"/>
        <v>7.2077922077922074E-2</v>
      </c>
      <c r="AV58" s="129">
        <f t="shared" si="193"/>
        <v>6.958096223486808E-2</v>
      </c>
      <c r="AW58" s="129">
        <f t="shared" si="193"/>
        <v>6.0939483707151923E-2</v>
      </c>
      <c r="AX58" s="129">
        <f t="shared" si="193"/>
        <v>6.1563062162702381E-2</v>
      </c>
      <c r="AY58" s="185">
        <f t="shared" si="193"/>
        <v>6.5307346326836588E-2</v>
      </c>
      <c r="AZ58" s="129">
        <f t="shared" si="193"/>
        <v>5.5290584702349412E-2</v>
      </c>
      <c r="BA58" s="129">
        <f t="shared" si="193"/>
        <v>4.9024127862302133E-2</v>
      </c>
      <c r="BB58" s="129">
        <f t="shared" si="193"/>
        <v>4.8148669576235391E-2</v>
      </c>
      <c r="BC58" s="129">
        <f t="shared" si="193"/>
        <v>4.6055213921235121E-2</v>
      </c>
      <c r="BD58" s="185">
        <f t="shared" si="193"/>
        <v>4.9342349706472464E-2</v>
      </c>
      <c r="BE58" s="129">
        <f t="shared" si="193"/>
        <v>4.7055984555984559E-2</v>
      </c>
      <c r="BF58" s="129">
        <f t="shared" si="193"/>
        <v>5.7726730310262528E-2</v>
      </c>
      <c r="BG58" s="129">
        <f t="shared" si="193"/>
        <v>6.5418984994098803E-2</v>
      </c>
      <c r="BH58" s="129">
        <f t="shared" ref="BH58:BN58" si="194">INDEX(MO_MA_SGA_NONGAAP,0,COLUMN())</f>
        <v>5.9659560403239137E-2</v>
      </c>
      <c r="BI58" s="185">
        <f t="shared" si="194"/>
        <v>5.6498850745162005E-2</v>
      </c>
      <c r="BJ58" s="129">
        <f t="shared" si="194"/>
        <v>5.7146829810901002E-2</v>
      </c>
      <c r="BK58" s="129">
        <f t="shared" si="194"/>
        <v>3.0354630932109276E-2</v>
      </c>
      <c r="BL58" s="129">
        <f t="shared" si="194"/>
        <v>2.4558498896247241E-2</v>
      </c>
      <c r="BM58" s="129">
        <f t="shared" si="194"/>
        <v>2.0947382708229653E-2</v>
      </c>
      <c r="BN58" s="185">
        <f t="shared" si="194"/>
        <v>2.8413381044614425E-2</v>
      </c>
      <c r="BO58" s="129">
        <f t="shared" ref="BO58:BT58" si="195">INDEX(MO_MA_SGA_NONGAAP,0,COLUMN())</f>
        <v>2.0004607587160189E-2</v>
      </c>
      <c r="BP58" s="129">
        <f t="shared" si="195"/>
        <v>1.8342210386151799E-2</v>
      </c>
      <c r="BQ58" s="129">
        <f t="shared" si="195"/>
        <v>1.6789236645573229E-2</v>
      </c>
      <c r="BR58" s="129">
        <f t="shared" si="195"/>
        <v>1.642470316035697E-2</v>
      </c>
      <c r="BS58" s="185">
        <f t="shared" si="195"/>
        <v>1.7655578289156072E-2</v>
      </c>
      <c r="BT58" s="129">
        <f t="shared" si="195"/>
        <v>1.5546275702419319E-2</v>
      </c>
      <c r="BU58" s="129">
        <f>INDEX(MO_MA_SGA_NONGAAP,0,COLUMN())</f>
        <v>1.5809853881864663E-2</v>
      </c>
      <c r="BV58" s="129">
        <f>INDEX(MO_MA_SGA_NONGAAP,0,COLUMN())</f>
        <v>1.3174051854190787E-2</v>
      </c>
      <c r="BW58" s="129">
        <f>INDEX(MO_MA_SGA_NONGAAP,0,COLUMN())</f>
        <v>1.3621618447898777E-2</v>
      </c>
      <c r="BX58" s="185">
        <f>INDEX(MO_MA_SGA_NONGAAP,0,COLUMN())</f>
        <v>1.4365234465448415E-2</v>
      </c>
      <c r="BY58" s="965">
        <f>INDEX(MO_MA_SGA_NONGAAP,0,COLUMN())</f>
        <v>1.5867181277951357E-2</v>
      </c>
      <c r="BZ58" s="129">
        <f t="shared" ref="BZ58:CC58" si="196">INDEX(MO_MA_SGA_NONGAAP,0,COLUMN())</f>
        <v>2.0809853881864664E-2</v>
      </c>
      <c r="CA58" s="129">
        <f t="shared" si="196"/>
        <v>1.3174051854190787E-2</v>
      </c>
      <c r="CB58" s="129">
        <f t="shared" si="196"/>
        <v>1.3621618447898777E-2</v>
      </c>
      <c r="CC58" s="185">
        <f t="shared" si="196"/>
        <v>1.5844426009357017E-2</v>
      </c>
      <c r="CD58" s="129">
        <f t="shared" ref="CD58:CK58" si="197">INDEX(MO_MA_SGA_NONGAAP,0,COLUMN())</f>
        <v>1.5867181277951357E-2</v>
      </c>
      <c r="CE58" s="129">
        <f t="shared" si="197"/>
        <v>2.0809853881864664E-2</v>
      </c>
      <c r="CF58" s="129">
        <f t="shared" si="197"/>
        <v>1.3174051854190787E-2</v>
      </c>
      <c r="CG58" s="129">
        <f t="shared" si="197"/>
        <v>1.3621618447898777E-2</v>
      </c>
      <c r="CH58" s="185">
        <f t="shared" si="197"/>
        <v>1.589241316358208E-2</v>
      </c>
      <c r="CI58" s="185">
        <f t="shared" si="197"/>
        <v>1.5392413163582074E-2</v>
      </c>
      <c r="CJ58" s="185">
        <f t="shared" si="197"/>
        <v>1.4892413163582075E-2</v>
      </c>
      <c r="CK58" s="185">
        <f t="shared" si="197"/>
        <v>1.4392413163582075E-2</v>
      </c>
      <c r="CL58" s="130"/>
    </row>
    <row r="59" spans="1:90" s="985" customFormat="1" x14ac:dyDescent="0.3">
      <c r="A59" s="201" t="str">
        <f>INDEX(MO_MA_OPEX_NONGAAP,0,COLUMN())</f>
        <v>Non-GAAP OPEX Margin, %</v>
      </c>
      <c r="B59" s="202"/>
      <c r="C59" s="1247">
        <f t="shared" ref="C59:AH59" si="198">INDEX(MO_MA_OPEX_NONGAAP,0,COLUMN())</f>
        <v>0</v>
      </c>
      <c r="D59" s="1247">
        <f t="shared" si="198"/>
        <v>0</v>
      </c>
      <c r="E59" s="1247">
        <f t="shared" si="198"/>
        <v>0</v>
      </c>
      <c r="F59" s="1247">
        <f t="shared" si="198"/>
        <v>0</v>
      </c>
      <c r="G59" s="129">
        <f t="shared" si="198"/>
        <v>0</v>
      </c>
      <c r="H59" s="129">
        <f t="shared" si="198"/>
        <v>0</v>
      </c>
      <c r="I59" s="129">
        <f t="shared" si="198"/>
        <v>0</v>
      </c>
      <c r="J59" s="129">
        <f t="shared" si="198"/>
        <v>0</v>
      </c>
      <c r="K59" s="1247">
        <f t="shared" si="198"/>
        <v>0</v>
      </c>
      <c r="L59" s="129">
        <f t="shared" si="198"/>
        <v>0</v>
      </c>
      <c r="M59" s="129">
        <f t="shared" si="198"/>
        <v>0</v>
      </c>
      <c r="N59" s="129">
        <f t="shared" si="198"/>
        <v>-2.1205597518707889E-3</v>
      </c>
      <c r="O59" s="129">
        <f t="shared" si="198"/>
        <v>-1.6124549692453705E-3</v>
      </c>
      <c r="P59" s="1247">
        <f t="shared" si="198"/>
        <v>-9.8785471368919675E-4</v>
      </c>
      <c r="Q59" s="129">
        <f t="shared" si="198"/>
        <v>0</v>
      </c>
      <c r="R59" s="129">
        <f t="shared" si="198"/>
        <v>0</v>
      </c>
      <c r="S59" s="129">
        <f t="shared" si="198"/>
        <v>0</v>
      </c>
      <c r="T59" s="129">
        <f t="shared" si="198"/>
        <v>0</v>
      </c>
      <c r="U59" s="1247">
        <f t="shared" si="198"/>
        <v>0</v>
      </c>
      <c r="V59" s="129">
        <f t="shared" si="198"/>
        <v>0</v>
      </c>
      <c r="W59" s="129">
        <f t="shared" si="198"/>
        <v>0</v>
      </c>
      <c r="X59" s="129">
        <f t="shared" si="198"/>
        <v>0</v>
      </c>
      <c r="Y59" s="129">
        <f t="shared" si="198"/>
        <v>0</v>
      </c>
      <c r="Z59" s="1247">
        <f t="shared" si="198"/>
        <v>0</v>
      </c>
      <c r="AA59" s="129">
        <f t="shared" si="198"/>
        <v>-4.5977011494252873E-3</v>
      </c>
      <c r="AB59" s="129">
        <f t="shared" si="198"/>
        <v>0</v>
      </c>
      <c r="AC59" s="129">
        <f t="shared" si="198"/>
        <v>0</v>
      </c>
      <c r="AD59" s="129">
        <f t="shared" si="198"/>
        <v>0</v>
      </c>
      <c r="AE59" s="1247">
        <f t="shared" si="198"/>
        <v>-8.6830680173661363E-4</v>
      </c>
      <c r="AF59" s="129">
        <f t="shared" si="198"/>
        <v>0</v>
      </c>
      <c r="AG59" s="129">
        <f t="shared" si="198"/>
        <v>0</v>
      </c>
      <c r="AH59" s="129">
        <f t="shared" si="198"/>
        <v>0</v>
      </c>
      <c r="AI59" s="129">
        <f t="shared" ref="AI59:BG59" si="199">INDEX(MO_MA_OPEX_NONGAAP,0,COLUMN())</f>
        <v>0</v>
      </c>
      <c r="AJ59" s="185">
        <f t="shared" si="199"/>
        <v>0</v>
      </c>
      <c r="AK59" s="129">
        <f t="shared" si="199"/>
        <v>-6.2363579669473025E-4</v>
      </c>
      <c r="AL59" s="129">
        <f t="shared" si="199"/>
        <v>0</v>
      </c>
      <c r="AM59" s="129">
        <f t="shared" si="199"/>
        <v>9.430996541967935E-4</v>
      </c>
      <c r="AN59" s="129">
        <f t="shared" si="199"/>
        <v>-3.1746031746031746E-3</v>
      </c>
      <c r="AO59" s="185">
        <f t="shared" si="199"/>
        <v>-7.6818026630249235E-4</v>
      </c>
      <c r="AP59" s="129">
        <f t="shared" si="199"/>
        <v>-4.5045045045045046E-4</v>
      </c>
      <c r="AQ59" s="129">
        <f t="shared" si="199"/>
        <v>0</v>
      </c>
      <c r="AR59" s="129">
        <f t="shared" si="199"/>
        <v>0</v>
      </c>
      <c r="AS59" s="129">
        <f t="shared" si="199"/>
        <v>0</v>
      </c>
      <c r="AT59" s="185">
        <f t="shared" si="199"/>
        <v>-9.1591866642242166E-5</v>
      </c>
      <c r="AU59" s="129">
        <f t="shared" si="199"/>
        <v>0</v>
      </c>
      <c r="AV59" s="129">
        <f t="shared" si="199"/>
        <v>0</v>
      </c>
      <c r="AW59" s="129">
        <f t="shared" si="199"/>
        <v>0</v>
      </c>
      <c r="AX59" s="129">
        <f t="shared" si="199"/>
        <v>0</v>
      </c>
      <c r="AY59" s="185">
        <f t="shared" si="199"/>
        <v>0</v>
      </c>
      <c r="AZ59" s="129">
        <f t="shared" si="199"/>
        <v>0</v>
      </c>
      <c r="BA59" s="129">
        <f t="shared" si="199"/>
        <v>0</v>
      </c>
      <c r="BB59" s="129">
        <f t="shared" si="199"/>
        <v>0</v>
      </c>
      <c r="BC59" s="129">
        <f t="shared" si="199"/>
        <v>0</v>
      </c>
      <c r="BD59" s="185">
        <f t="shared" si="199"/>
        <v>0</v>
      </c>
      <c r="BE59" s="129">
        <f t="shared" si="199"/>
        <v>-8.4459459459459464E-4</v>
      </c>
      <c r="BF59" s="129">
        <f t="shared" si="199"/>
        <v>0</v>
      </c>
      <c r="BG59" s="129">
        <f t="shared" si="199"/>
        <v>0</v>
      </c>
      <c r="BH59" s="129">
        <f t="shared" ref="BH59:BN59" si="200">INDEX(MO_MA_OPEX_NONGAAP,0,COLUMN())</f>
        <v>0</v>
      </c>
      <c r="BI59" s="185">
        <f t="shared" si="200"/>
        <v>-2.5950915696596724E-4</v>
      </c>
      <c r="BJ59" s="129">
        <f t="shared" si="200"/>
        <v>0</v>
      </c>
      <c r="BK59" s="129">
        <f t="shared" si="200"/>
        <v>0</v>
      </c>
      <c r="BL59" s="129">
        <f t="shared" si="200"/>
        <v>0</v>
      </c>
      <c r="BM59" s="129">
        <f t="shared" si="200"/>
        <v>0</v>
      </c>
      <c r="BN59" s="185">
        <f t="shared" si="200"/>
        <v>0</v>
      </c>
      <c r="BO59" s="129">
        <f t="shared" ref="BO59:BT59" si="201">INDEX(MO_MA_OPEX_NONGAAP,0,COLUMN())</f>
        <v>0</v>
      </c>
      <c r="BP59" s="129">
        <f t="shared" si="201"/>
        <v>0</v>
      </c>
      <c r="BQ59" s="129">
        <f t="shared" si="201"/>
        <v>0</v>
      </c>
      <c r="BR59" s="129">
        <f t="shared" si="201"/>
        <v>0</v>
      </c>
      <c r="BS59" s="185">
        <f t="shared" si="201"/>
        <v>0</v>
      </c>
      <c r="BT59" s="129">
        <f t="shared" si="201"/>
        <v>0</v>
      </c>
      <c r="BU59" s="129">
        <f>INDEX(MO_MA_OPEX_NONGAAP,0,COLUMN())</f>
        <v>-3.2090366471985109E-4</v>
      </c>
      <c r="BV59" s="129">
        <f>INDEX(MO_MA_OPEX_NONGAAP,0,COLUMN())</f>
        <v>0</v>
      </c>
      <c r="BW59" s="129">
        <f>INDEX(MO_MA_OPEX_NONGAAP,0,COLUMN())</f>
        <v>-5.5778178989240683E-4</v>
      </c>
      <c r="BX59" s="185">
        <f>INDEX(MO_MA_OPEX_NONGAAP,0,COLUMN())</f>
        <v>-2.454408209763914E-4</v>
      </c>
      <c r="BY59" s="965">
        <f>INDEX(MO_MA_OPEX_NONGAAP,0,COLUMN())</f>
        <v>0</v>
      </c>
      <c r="BZ59" s="129">
        <f t="shared" ref="BZ59:CC59" si="202">INDEX(MO_MA_OPEX_NONGAAP,0,COLUMN())</f>
        <v>0</v>
      </c>
      <c r="CA59" s="129">
        <f t="shared" si="202"/>
        <v>0</v>
      </c>
      <c r="CB59" s="129">
        <f t="shared" si="202"/>
        <v>0</v>
      </c>
      <c r="CC59" s="185">
        <f t="shared" si="202"/>
        <v>0</v>
      </c>
      <c r="CD59" s="129">
        <f t="shared" ref="CD59:CK59" si="203">INDEX(MO_MA_OPEX_NONGAAP,0,COLUMN())</f>
        <v>0</v>
      </c>
      <c r="CE59" s="129">
        <f t="shared" si="203"/>
        <v>0</v>
      </c>
      <c r="CF59" s="129">
        <f t="shared" si="203"/>
        <v>0</v>
      </c>
      <c r="CG59" s="129">
        <f t="shared" si="203"/>
        <v>0</v>
      </c>
      <c r="CH59" s="185">
        <f t="shared" si="203"/>
        <v>0</v>
      </c>
      <c r="CI59" s="185">
        <f t="shared" si="203"/>
        <v>0</v>
      </c>
      <c r="CJ59" s="185">
        <f t="shared" si="203"/>
        <v>0</v>
      </c>
      <c r="CK59" s="185">
        <f t="shared" si="203"/>
        <v>0</v>
      </c>
      <c r="CL59" s="130"/>
    </row>
    <row r="60" spans="1:90" s="995" customFormat="1" x14ac:dyDescent="0.3">
      <c r="A60" s="212" t="str">
        <f>INDEX(MO_MA_OperatingIncome_NONGAAP,0,COLUMN())</f>
        <v>Non-GAAP Operating Income Margin, %</v>
      </c>
      <c r="B60" s="88"/>
      <c r="C60" s="1251">
        <f t="shared" ref="C60:AH60" si="204">INDEX(MO_MA_OperatingIncome_NONGAAP,0,COLUMN())</f>
        <v>8.7806242534364101E-2</v>
      </c>
      <c r="D60" s="1251">
        <f t="shared" si="204"/>
        <v>3.1080026875538357E-2</v>
      </c>
      <c r="E60" s="1251">
        <f t="shared" si="204"/>
        <v>0.13554928458116414</v>
      </c>
      <c r="F60" s="1251">
        <f t="shared" si="204"/>
        <v>0.20316388731168386</v>
      </c>
      <c r="G60" s="135">
        <f t="shared" si="204"/>
        <v>0.12279038185618195</v>
      </c>
      <c r="H60" s="135">
        <f t="shared" si="204"/>
        <v>0.18845605063824494</v>
      </c>
      <c r="I60" s="135">
        <f t="shared" si="204"/>
        <v>0.24080192009035711</v>
      </c>
      <c r="J60" s="135">
        <f t="shared" si="204"/>
        <v>0.20601643144560222</v>
      </c>
      <c r="K60" s="1251">
        <f t="shared" si="204"/>
        <v>0.19652681127032892</v>
      </c>
      <c r="L60" s="135">
        <f t="shared" si="204"/>
        <v>0.1309666830411243</v>
      </c>
      <c r="M60" s="135">
        <f t="shared" si="204"/>
        <v>0.15265779677008057</v>
      </c>
      <c r="N60" s="135">
        <f t="shared" si="204"/>
        <v>0.17277485917490787</v>
      </c>
      <c r="O60" s="135">
        <f t="shared" si="204"/>
        <v>0.18168827968097037</v>
      </c>
      <c r="P60" s="1251">
        <f t="shared" si="204"/>
        <v>0.16081984193356111</v>
      </c>
      <c r="Q60" s="135">
        <f t="shared" si="204"/>
        <v>0.17802447869446963</v>
      </c>
      <c r="R60" s="135">
        <f t="shared" si="204"/>
        <v>0.19038984587488667</v>
      </c>
      <c r="S60" s="135">
        <f t="shared" si="204"/>
        <v>0.21666448979591835</v>
      </c>
      <c r="T60" s="135">
        <f t="shared" si="204"/>
        <v>0.22621902478017586</v>
      </c>
      <c r="U60" s="1251">
        <f t="shared" si="204"/>
        <v>0.20349743699273815</v>
      </c>
      <c r="V60" s="135">
        <f t="shared" si="204"/>
        <v>0.20069504778453517</v>
      </c>
      <c r="W60" s="135">
        <f t="shared" si="204"/>
        <v>0.20034692107545535</v>
      </c>
      <c r="X60" s="135">
        <f t="shared" si="204"/>
        <v>0.23601532567049807</v>
      </c>
      <c r="Y60" s="135">
        <f t="shared" si="204"/>
        <v>0.25339043540328338</v>
      </c>
      <c r="Z60" s="1251">
        <f t="shared" si="204"/>
        <v>0.22455089820359281</v>
      </c>
      <c r="AA60" s="135">
        <f t="shared" si="204"/>
        <v>0.24674329501915709</v>
      </c>
      <c r="AB60" s="135">
        <f t="shared" si="204"/>
        <v>0.26750700280112044</v>
      </c>
      <c r="AC60" s="135">
        <f t="shared" si="204"/>
        <v>0.3532934131736527</v>
      </c>
      <c r="AD60" s="135">
        <f t="shared" si="204"/>
        <v>0.3718361711919006</v>
      </c>
      <c r="AE60" s="1251">
        <f t="shared" si="204"/>
        <v>0.32127351664254705</v>
      </c>
      <c r="AF60" s="135">
        <f t="shared" si="204"/>
        <v>0.32834279814145584</v>
      </c>
      <c r="AG60" s="135">
        <f t="shared" si="204"/>
        <v>0.34663677130044845</v>
      </c>
      <c r="AH60" s="135">
        <f t="shared" si="204"/>
        <v>0.38125948406676785</v>
      </c>
      <c r="AI60" s="135">
        <f t="shared" ref="AI60:BG60" si="205">INDEX(MO_MA_OperatingIncome_NONGAAP,0,COLUMN())</f>
        <v>0.41291652353143249</v>
      </c>
      <c r="AJ60" s="1251">
        <f t="shared" si="205"/>
        <v>0.37234918674078649</v>
      </c>
      <c r="AK60" s="135">
        <f t="shared" si="205"/>
        <v>0.4452759588400374</v>
      </c>
      <c r="AL60" s="135">
        <f t="shared" si="205"/>
        <v>0.41338456612231828</v>
      </c>
      <c r="AM60" s="135">
        <f t="shared" si="205"/>
        <v>0.38038352719270668</v>
      </c>
      <c r="AN60" s="135">
        <f t="shared" si="205"/>
        <v>0.21723356009070294</v>
      </c>
      <c r="AO60" s="1251">
        <f t="shared" si="205"/>
        <v>0.37615227039945376</v>
      </c>
      <c r="AP60" s="135">
        <f t="shared" si="205"/>
        <v>0.25090090090090089</v>
      </c>
      <c r="AQ60" s="135">
        <f t="shared" si="205"/>
        <v>0.31097324544397054</v>
      </c>
      <c r="AR60" s="135">
        <f t="shared" si="205"/>
        <v>0.38387524883875251</v>
      </c>
      <c r="AS60" s="135">
        <f t="shared" si="205"/>
        <v>0.39291465378421903</v>
      </c>
      <c r="AT60" s="1251">
        <f t="shared" si="205"/>
        <v>0.34218721377541672</v>
      </c>
      <c r="AU60" s="135">
        <f t="shared" si="205"/>
        <v>0.39123376623376621</v>
      </c>
      <c r="AV60" s="135">
        <f t="shared" si="205"/>
        <v>0.39213657527159856</v>
      </c>
      <c r="AW60" s="135">
        <f t="shared" si="205"/>
        <v>0.4219212865002116</v>
      </c>
      <c r="AX60" s="135">
        <f t="shared" si="205"/>
        <v>0.41754947031780931</v>
      </c>
      <c r="AY60" s="1251">
        <f t="shared" si="205"/>
        <v>0.40797601199400302</v>
      </c>
      <c r="AZ60" s="135">
        <f t="shared" si="205"/>
        <v>0.45168698109874583</v>
      </c>
      <c r="BA60" s="135">
        <f t="shared" si="205"/>
        <v>0.47195328108191181</v>
      </c>
      <c r="BB60" s="135">
        <f t="shared" si="205"/>
        <v>0.47669998592144164</v>
      </c>
      <c r="BC60" s="135">
        <f t="shared" si="205"/>
        <v>0.48109381133062934</v>
      </c>
      <c r="BD60" s="1251">
        <f t="shared" si="205"/>
        <v>0.47150182061380697</v>
      </c>
      <c r="BE60" s="135">
        <f t="shared" si="205"/>
        <v>0.47719594594594594</v>
      </c>
      <c r="BF60" s="135">
        <f t="shared" si="205"/>
        <v>0.19764319809069211</v>
      </c>
      <c r="BG60" s="135">
        <f t="shared" si="205"/>
        <v>0.25897824987354578</v>
      </c>
      <c r="BH60" s="135">
        <f t="shared" ref="BH60:BN60" si="206">INDEX(MO_MA_OperatingIncome_NONGAAP,0,COLUMN())</f>
        <v>0.36754255494959509</v>
      </c>
      <c r="BI60" s="1251">
        <f t="shared" si="206"/>
        <v>0.33513753985319195</v>
      </c>
      <c r="BJ60" s="135">
        <f t="shared" si="206"/>
        <v>0.42436040044493883</v>
      </c>
      <c r="BK60" s="135">
        <f t="shared" si="206"/>
        <v>0.57570148811727251</v>
      </c>
      <c r="BL60" s="135">
        <f t="shared" si="206"/>
        <v>0.63780353200883</v>
      </c>
      <c r="BM60" s="135">
        <f t="shared" si="206"/>
        <v>0.66728498393883184</v>
      </c>
      <c r="BN60" s="1251">
        <f t="shared" si="206"/>
        <v>0.60953350185483079</v>
      </c>
      <c r="BO60" s="135">
        <f t="shared" ref="BO60:BT60" si="207">INDEX(MO_MA_OperatingIncome_NONGAAP,0,COLUMN())</f>
        <v>0.69336507448932572</v>
      </c>
      <c r="BP60" s="135">
        <f t="shared" si="207"/>
        <v>0.66368175765645809</v>
      </c>
      <c r="BQ60" s="135">
        <f t="shared" si="207"/>
        <v>0.66347414628584456</v>
      </c>
      <c r="BR60" s="135">
        <f t="shared" si="207"/>
        <v>0.64875034959700995</v>
      </c>
      <c r="BS60" s="1251">
        <f t="shared" si="207"/>
        <v>0.66506509728192986</v>
      </c>
      <c r="BT60" s="135">
        <f t="shared" si="207"/>
        <v>0.52823294448731328</v>
      </c>
      <c r="BU60" s="135">
        <f>INDEX(MO_MA_OperatingIncome_NONGAAP,0,COLUMN())</f>
        <v>0.64533726975162053</v>
      </c>
      <c r="BV60" s="135">
        <f>INDEX(MO_MA_OperatingIncome_NONGAAP,0,COLUMN())</f>
        <v>0.66224607936006741</v>
      </c>
      <c r="BW60" s="135">
        <f>INDEX(MO_MA_OperatingIncome_NONGAAP,0,COLUMN())</f>
        <v>0.67678013122550529</v>
      </c>
      <c r="BX60" s="1251">
        <f>INDEX(MO_MA_OperatingIncome_NONGAAP,0,COLUMN())</f>
        <v>0.63583065509544401</v>
      </c>
      <c r="BY60" s="969">
        <f>INDEX(MO_MA_OperatingIncome_NONGAAP,0,COLUMN())</f>
        <v>0.65898425534521843</v>
      </c>
      <c r="BZ60" s="135">
        <f t="shared" ref="BZ60:CC60" si="208">INDEX(MO_MA_OperatingIncome_NONGAAP,0,COLUMN())</f>
        <v>0.65801636608690073</v>
      </c>
      <c r="CA60" s="135">
        <f t="shared" si="208"/>
        <v>0.67224607936006742</v>
      </c>
      <c r="CB60" s="135">
        <f t="shared" si="208"/>
        <v>0.68622234943561289</v>
      </c>
      <c r="CC60" s="1251">
        <f t="shared" si="208"/>
        <v>0.66927880097673498</v>
      </c>
      <c r="CD60" s="135">
        <f t="shared" ref="CD60:CK60" si="209">INDEX(MO_MA_OperatingIncome_NONGAAP,0,COLUMN())</f>
        <v>0.65898425534521843</v>
      </c>
      <c r="CE60" s="135">
        <f t="shared" si="209"/>
        <v>0.65801636608690062</v>
      </c>
      <c r="CF60" s="135">
        <f t="shared" si="209"/>
        <v>0.67224607936006742</v>
      </c>
      <c r="CG60" s="135">
        <f t="shared" si="209"/>
        <v>0.68622234943561289</v>
      </c>
      <c r="CH60" s="1251">
        <f t="shared" si="209"/>
        <v>0.66907769247242221</v>
      </c>
      <c r="CI60" s="1251">
        <f t="shared" si="209"/>
        <v>0.66957769247242249</v>
      </c>
      <c r="CJ60" s="1251">
        <f t="shared" si="209"/>
        <v>0.67007769247242233</v>
      </c>
      <c r="CK60" s="1251">
        <f t="shared" si="209"/>
        <v>0.67057769247242238</v>
      </c>
      <c r="CL60" s="132"/>
    </row>
    <row r="61" spans="1:90" s="995" customFormat="1" x14ac:dyDescent="0.3">
      <c r="A61" s="206" t="str">
        <f>INDEX(MO_MA_OperatingIncome,0,COLUMN())</f>
        <v>Company Reported Non-GAAP Operating Income Margin, %</v>
      </c>
      <c r="B61" s="85"/>
      <c r="C61" s="1252">
        <f t="shared" ref="C61:AH61" si="210">INDEX(MO_MA_OperatingIncome,0,COLUMN())</f>
        <v>4.3395071154753995E-2</v>
      </c>
      <c r="D61" s="1252">
        <f t="shared" si="210"/>
        <v>4.0657518762522785E-2</v>
      </c>
      <c r="E61" s="1252">
        <f t="shared" si="210"/>
        <v>0.1417262790233649</v>
      </c>
      <c r="F61" s="1252">
        <f t="shared" si="210"/>
        <v>0.20746361241942704</v>
      </c>
      <c r="G61" s="136">
        <f t="shared" si="210"/>
        <v>0.12748506017556926</v>
      </c>
      <c r="H61" s="136">
        <f t="shared" si="210"/>
        <v>0.19234872207379322</v>
      </c>
      <c r="I61" s="136">
        <f t="shared" si="210"/>
        <v>0.2444577322669855</v>
      </c>
      <c r="J61" s="136">
        <f t="shared" si="210"/>
        <v>0.20601643144560222</v>
      </c>
      <c r="K61" s="1252">
        <f t="shared" si="210"/>
        <v>0.19652681127032892</v>
      </c>
      <c r="L61" s="136">
        <f t="shared" si="210"/>
        <v>0.1309666830411243</v>
      </c>
      <c r="M61" s="136">
        <f t="shared" si="210"/>
        <v>0.15265779677008051</v>
      </c>
      <c r="N61" s="136">
        <f t="shared" si="210"/>
        <v>0.1727748591749079</v>
      </c>
      <c r="O61" s="136">
        <f t="shared" si="210"/>
        <v>0.1816882796809704</v>
      </c>
      <c r="P61" s="1252">
        <f t="shared" si="210"/>
        <v>0.16081984193356094</v>
      </c>
      <c r="Q61" s="136">
        <f t="shared" si="210"/>
        <v>0.17769718948322757</v>
      </c>
      <c r="R61" s="136">
        <f t="shared" si="210"/>
        <v>0.19038984587488667</v>
      </c>
      <c r="S61" s="136">
        <f t="shared" si="210"/>
        <v>0.21551020408163266</v>
      </c>
      <c r="T61" s="136">
        <f t="shared" si="210"/>
        <v>0.2270183852917666</v>
      </c>
      <c r="U61" s="1252">
        <f t="shared" si="210"/>
        <v>0.20375907731738574</v>
      </c>
      <c r="V61" s="136">
        <f t="shared" si="210"/>
        <v>0.19982623805386621</v>
      </c>
      <c r="W61" s="136">
        <f t="shared" si="210"/>
        <v>0.20034692107545535</v>
      </c>
      <c r="X61" s="136">
        <f t="shared" si="210"/>
        <v>0.23601532567049807</v>
      </c>
      <c r="Y61" s="136">
        <f t="shared" si="210"/>
        <v>0.25410421127765881</v>
      </c>
      <c r="Z61" s="1252">
        <f t="shared" si="210"/>
        <v>0.22455089820359281</v>
      </c>
      <c r="AA61" s="136">
        <f t="shared" si="210"/>
        <v>0.24674329501915709</v>
      </c>
      <c r="AB61" s="136">
        <f t="shared" si="210"/>
        <v>0.26750700280112044</v>
      </c>
      <c r="AC61" s="136">
        <f t="shared" si="210"/>
        <v>0.3532934131736527</v>
      </c>
      <c r="AD61" s="136">
        <f t="shared" si="210"/>
        <v>0.37229636447307868</v>
      </c>
      <c r="AE61" s="1252">
        <f t="shared" si="210"/>
        <v>0.32141823444283646</v>
      </c>
      <c r="AF61" s="136">
        <f t="shared" si="210"/>
        <v>0.32885906040268459</v>
      </c>
      <c r="AG61" s="136">
        <f t="shared" si="210"/>
        <v>0.34663677130044845</v>
      </c>
      <c r="AH61" s="136">
        <f t="shared" si="210"/>
        <v>0.38125948406676785</v>
      </c>
      <c r="AI61" s="136">
        <f t="shared" ref="AI61:BG61" si="211">INDEX(MO_MA_OperatingIncome,0,COLUMN())</f>
        <v>0.41291652353143249</v>
      </c>
      <c r="AJ61" s="1252">
        <f t="shared" si="211"/>
        <v>0.37234918674078649</v>
      </c>
      <c r="AK61" s="136">
        <f t="shared" si="211"/>
        <v>0.4452759588400374</v>
      </c>
      <c r="AL61" s="136">
        <f t="shared" si="211"/>
        <v>0.41306436119116235</v>
      </c>
      <c r="AM61" s="136">
        <f t="shared" si="211"/>
        <v>0.38038352719270668</v>
      </c>
      <c r="AN61" s="136">
        <f t="shared" si="211"/>
        <v>0.21723356009070294</v>
      </c>
      <c r="AO61" s="1252">
        <f t="shared" si="211"/>
        <v>0.37615227039945376</v>
      </c>
      <c r="AP61" s="136">
        <f t="shared" si="211"/>
        <v>0.25090090090090089</v>
      </c>
      <c r="AQ61" s="136">
        <f t="shared" si="211"/>
        <v>0.31097324544397054</v>
      </c>
      <c r="AR61" s="136">
        <f t="shared" si="211"/>
        <v>0.38354346383543464</v>
      </c>
      <c r="AS61" s="136">
        <f t="shared" si="211"/>
        <v>0.39291465378421903</v>
      </c>
      <c r="AT61" s="1252">
        <f t="shared" si="211"/>
        <v>0.34209562190877452</v>
      </c>
      <c r="AU61" s="136">
        <f t="shared" si="211"/>
        <v>0.39123376623376621</v>
      </c>
      <c r="AV61" s="136">
        <f t="shared" si="211"/>
        <v>0.39213657527159856</v>
      </c>
      <c r="AW61" s="136">
        <f t="shared" si="211"/>
        <v>0.42170969107067285</v>
      </c>
      <c r="AX61" s="136">
        <f t="shared" si="211"/>
        <v>0.41754947031780931</v>
      </c>
      <c r="AY61" s="1252">
        <f t="shared" si="211"/>
        <v>0.40797601199400302</v>
      </c>
      <c r="AZ61" s="136">
        <f t="shared" si="211"/>
        <v>0.45168698109874583</v>
      </c>
      <c r="BA61" s="136">
        <f t="shared" si="211"/>
        <v>0.47195328108191181</v>
      </c>
      <c r="BB61" s="136">
        <f t="shared" si="211"/>
        <v>0.47669998592144164</v>
      </c>
      <c r="BC61" s="136">
        <f t="shared" si="211"/>
        <v>0.48109381133062934</v>
      </c>
      <c r="BD61" s="1252">
        <f t="shared" si="211"/>
        <v>0.47150182061380697</v>
      </c>
      <c r="BE61" s="136">
        <f t="shared" si="211"/>
        <v>0.47719594594594594</v>
      </c>
      <c r="BF61" s="136">
        <f t="shared" si="211"/>
        <v>0.19764319809069211</v>
      </c>
      <c r="BG61" s="136">
        <f t="shared" si="211"/>
        <v>0.25897824987354578</v>
      </c>
      <c r="BH61" s="136">
        <f t="shared" ref="BH61:BN61" si="212">INDEX(MO_MA_OperatingIncome,0,COLUMN())</f>
        <v>0.36754255494959509</v>
      </c>
      <c r="BI61" s="1252">
        <f t="shared" si="212"/>
        <v>0.33513753985319195</v>
      </c>
      <c r="BJ61" s="136">
        <f t="shared" si="212"/>
        <v>0.42436040044493883</v>
      </c>
      <c r="BK61" s="136">
        <f t="shared" si="212"/>
        <v>0.57570148811727251</v>
      </c>
      <c r="BL61" s="136">
        <f t="shared" si="212"/>
        <v>0.63780353200883</v>
      </c>
      <c r="BM61" s="136">
        <f t="shared" si="212"/>
        <v>0.66728498393883184</v>
      </c>
      <c r="BN61" s="1252">
        <f t="shared" si="212"/>
        <v>0.60953350185483079</v>
      </c>
      <c r="BO61" s="136">
        <f t="shared" ref="BO61:BT61" si="213">INDEX(MO_MA_OperatingIncome,0,COLUMN())</f>
        <v>0.69340347104899402</v>
      </c>
      <c r="BP61" s="136">
        <f t="shared" si="213"/>
        <v>0.66368175765645809</v>
      </c>
      <c r="BQ61" s="136">
        <f t="shared" si="213"/>
        <v>0.66347414628584456</v>
      </c>
      <c r="BR61" s="136">
        <f t="shared" si="213"/>
        <v>0.64875034959700995</v>
      </c>
      <c r="BS61" s="1252">
        <f t="shared" si="213"/>
        <v>0.66506509728192986</v>
      </c>
      <c r="BT61" s="136">
        <f t="shared" si="213"/>
        <v>0.52823294448731328</v>
      </c>
      <c r="BU61" s="136">
        <f>INDEX(MO_MA_OperatingIncome,0,COLUMN())</f>
        <v>0.64533726975162053</v>
      </c>
      <c r="BV61" s="136">
        <f>INDEX(MO_MA_OperatingIncome,0,COLUMN())</f>
        <v>0.66224607936006741</v>
      </c>
      <c r="BW61" s="136">
        <f>INDEX(MO_MA_OperatingIncome,0,COLUMN())</f>
        <v>0.67678013122550529</v>
      </c>
      <c r="BX61" s="1252">
        <f>INDEX(MO_MA_OperatingIncome,0,COLUMN())</f>
        <v>0.63583065509544401</v>
      </c>
      <c r="BY61" s="970">
        <f>INDEX(MO_MA_OperatingIncome,0,COLUMN())</f>
        <v>0.65898425534521843</v>
      </c>
      <c r="BZ61" s="136">
        <f t="shared" ref="BZ61:CC61" si="214">INDEX(MO_MA_OperatingIncome,0,COLUMN())</f>
        <v>0.65801636608690073</v>
      </c>
      <c r="CA61" s="136">
        <f t="shared" si="214"/>
        <v>0.67224607936006742</v>
      </c>
      <c r="CB61" s="136">
        <f t="shared" si="214"/>
        <v>0.68622234943561289</v>
      </c>
      <c r="CC61" s="1252">
        <f t="shared" si="214"/>
        <v>0.66927880097673498</v>
      </c>
      <c r="CD61" s="136">
        <f t="shared" ref="CD61:CK61" si="215">INDEX(MO_MA_OperatingIncome,0,COLUMN())</f>
        <v>0.65898425534521843</v>
      </c>
      <c r="CE61" s="136">
        <f t="shared" si="215"/>
        <v>0.65801636608690062</v>
      </c>
      <c r="CF61" s="136">
        <f t="shared" si="215"/>
        <v>0.67224607936006742</v>
      </c>
      <c r="CG61" s="136">
        <f t="shared" si="215"/>
        <v>0.68622234943561289</v>
      </c>
      <c r="CH61" s="1252">
        <f t="shared" si="215"/>
        <v>0.66907769247242221</v>
      </c>
      <c r="CI61" s="1252">
        <f t="shared" si="215"/>
        <v>0.66957769247242249</v>
      </c>
      <c r="CJ61" s="1252">
        <f t="shared" si="215"/>
        <v>0.67007769247242233</v>
      </c>
      <c r="CK61" s="1252">
        <f t="shared" si="215"/>
        <v>0.67057769247242238</v>
      </c>
      <c r="CL61" s="132"/>
    </row>
    <row r="62" spans="1:90" x14ac:dyDescent="0.3">
      <c r="A62" s="211"/>
      <c r="B62" s="200"/>
      <c r="C62" s="1246"/>
      <c r="D62" s="1246"/>
      <c r="E62" s="1246"/>
      <c r="F62" s="1246"/>
      <c r="G62" s="883"/>
      <c r="H62" s="883"/>
      <c r="I62" s="883"/>
      <c r="J62" s="883"/>
      <c r="K62" s="1246"/>
      <c r="L62" s="883"/>
      <c r="M62" s="883"/>
      <c r="N62" s="883"/>
      <c r="O62" s="883"/>
      <c r="P62" s="1246"/>
      <c r="Q62" s="883"/>
      <c r="R62" s="883"/>
      <c r="S62" s="883"/>
      <c r="T62" s="883"/>
      <c r="U62" s="1246"/>
      <c r="V62" s="883"/>
      <c r="W62" s="883"/>
      <c r="X62" s="883"/>
      <c r="Y62" s="883"/>
      <c r="Z62" s="1246"/>
      <c r="AA62" s="883"/>
      <c r="AB62" s="883"/>
      <c r="AC62" s="883"/>
      <c r="AD62" s="883"/>
      <c r="AE62" s="1246"/>
      <c r="AF62" s="883"/>
      <c r="AG62" s="883"/>
      <c r="AH62" s="883"/>
      <c r="AI62" s="883"/>
      <c r="AJ62" s="1246"/>
      <c r="AK62" s="883"/>
      <c r="AL62" s="883"/>
      <c r="AM62" s="883"/>
      <c r="AN62" s="883"/>
      <c r="AO62" s="1246"/>
      <c r="AP62" s="883"/>
      <c r="AQ62" s="883"/>
      <c r="AR62" s="883"/>
      <c r="AS62" s="883"/>
      <c r="AT62" s="1246"/>
      <c r="AU62" s="883"/>
      <c r="AV62" s="883"/>
      <c r="AW62" s="883"/>
      <c r="AX62" s="883"/>
      <c r="AY62" s="1246"/>
      <c r="AZ62" s="883"/>
      <c r="BA62" s="883"/>
      <c r="BB62" s="883"/>
      <c r="BC62" s="883"/>
      <c r="BD62" s="1246"/>
      <c r="BE62" s="883"/>
      <c r="BF62" s="883"/>
      <c r="BG62" s="883"/>
      <c r="BH62" s="883"/>
      <c r="BI62" s="1246"/>
      <c r="BJ62" s="883"/>
      <c r="BK62" s="883"/>
      <c r="BL62" s="883"/>
      <c r="BM62" s="883"/>
      <c r="BN62" s="1246"/>
      <c r="BO62" s="883"/>
      <c r="BP62" s="883"/>
      <c r="BQ62" s="883"/>
      <c r="BR62" s="883"/>
      <c r="BS62" s="1246"/>
      <c r="BT62" s="883"/>
      <c r="BU62" s="883"/>
      <c r="BV62" s="883"/>
      <c r="BW62" s="883"/>
      <c r="BX62" s="1246"/>
      <c r="BY62" s="1044"/>
      <c r="BZ62" s="883"/>
      <c r="CA62" s="883"/>
      <c r="CB62" s="883"/>
      <c r="CC62" s="1246"/>
      <c r="CD62" s="883"/>
      <c r="CE62" s="883"/>
      <c r="CF62" s="883"/>
      <c r="CG62" s="883"/>
      <c r="CH62" s="1246"/>
      <c r="CI62" s="1246"/>
      <c r="CJ62" s="1246"/>
      <c r="CK62" s="1246"/>
      <c r="CL62" s="883"/>
    </row>
    <row r="63" spans="1:90" x14ac:dyDescent="0.3">
      <c r="A63" s="886" t="s">
        <v>327</v>
      </c>
      <c r="B63" s="884"/>
      <c r="C63" s="884"/>
      <c r="D63" s="884"/>
      <c r="E63" s="884"/>
      <c r="F63" s="884"/>
      <c r="G63" s="884"/>
      <c r="H63" s="884"/>
      <c r="I63" s="884"/>
      <c r="J63" s="884"/>
      <c r="K63" s="884"/>
      <c r="L63" s="884"/>
      <c r="M63" s="884"/>
      <c r="N63" s="884"/>
      <c r="O63" s="884"/>
      <c r="P63" s="884"/>
      <c r="Q63" s="884"/>
      <c r="R63" s="884"/>
      <c r="S63" s="884"/>
      <c r="T63" s="884"/>
      <c r="U63" s="884"/>
      <c r="V63" s="884"/>
      <c r="W63" s="884"/>
      <c r="X63" s="884"/>
      <c r="Y63" s="884"/>
      <c r="Z63" s="884"/>
      <c r="AA63" s="884"/>
      <c r="AB63" s="884"/>
      <c r="AC63" s="884"/>
      <c r="AD63" s="884"/>
      <c r="AE63" s="884"/>
      <c r="AF63" s="884"/>
      <c r="AG63" s="884"/>
      <c r="AH63" s="884"/>
      <c r="AI63" s="884"/>
      <c r="AJ63" s="884"/>
      <c r="AK63" s="884"/>
      <c r="AL63" s="884"/>
      <c r="AM63" s="884"/>
      <c r="AN63" s="884"/>
      <c r="AO63" s="884"/>
      <c r="AP63" s="884"/>
      <c r="AQ63" s="884"/>
      <c r="AR63" s="884"/>
      <c r="AS63" s="884"/>
      <c r="AT63" s="884"/>
      <c r="AU63" s="884"/>
      <c r="AV63" s="884"/>
      <c r="AW63" s="884"/>
      <c r="AX63" s="884"/>
      <c r="AY63" s="884"/>
      <c r="AZ63" s="884"/>
      <c r="BA63" s="884"/>
      <c r="BB63" s="884"/>
      <c r="BC63" s="884"/>
      <c r="BD63" s="884"/>
      <c r="BE63" s="884"/>
      <c r="BF63" s="884"/>
      <c r="BG63" s="884"/>
      <c r="BH63" s="884"/>
      <c r="BI63" s="884"/>
      <c r="BJ63" s="884"/>
      <c r="BK63" s="884"/>
      <c r="BL63" s="884"/>
      <c r="BM63" s="884"/>
      <c r="BN63" s="884"/>
      <c r="BO63" s="884"/>
      <c r="BP63" s="884"/>
      <c r="BQ63" s="884"/>
      <c r="BR63" s="884"/>
      <c r="BS63" s="884"/>
      <c r="BT63" s="884"/>
      <c r="BU63" s="884"/>
      <c r="BV63" s="884"/>
      <c r="BW63" s="884"/>
      <c r="BX63" s="884"/>
      <c r="BY63" s="1045"/>
      <c r="BZ63" s="884"/>
      <c r="CA63" s="884"/>
      <c r="CB63" s="884"/>
      <c r="CC63" s="884"/>
      <c r="CD63" s="884"/>
      <c r="CE63" s="884"/>
      <c r="CF63" s="884"/>
      <c r="CG63" s="884"/>
      <c r="CH63" s="884"/>
      <c r="CI63" s="884"/>
      <c r="CJ63" s="884"/>
      <c r="CK63" s="884"/>
      <c r="CL63" s="885"/>
    </row>
    <row r="64" spans="1:90" s="992" customFormat="1" hidden="1" outlineLevel="1" x14ac:dyDescent="0.3">
      <c r="A64" s="682" t="str">
        <f>INDEX(MO_CFSum_CFO_BeforeWC,0,COLUMN())</f>
        <v>Operating Cash Flow before WC</v>
      </c>
      <c r="B64" s="684"/>
      <c r="C64" s="1243">
        <f t="shared" ref="C64:AH64" si="216">INDEX(MO_CFSum_CFO_BeforeWC,0,COLUMN())</f>
        <v>282.69299999999998</v>
      </c>
      <c r="D64" s="1243">
        <f t="shared" si="216"/>
        <v>351.392</v>
      </c>
      <c r="E64" s="1243">
        <f t="shared" si="216"/>
        <v>524.09799999999996</v>
      </c>
      <c r="F64" s="1243">
        <f t="shared" si="216"/>
        <v>907.00700000000018</v>
      </c>
      <c r="G64" s="574">
        <f t="shared" si="216"/>
        <v>150.90299999999999</v>
      </c>
      <c r="H64" s="574">
        <f t="shared" si="216"/>
        <v>235.22300000000001</v>
      </c>
      <c r="I64" s="574">
        <f t="shared" si="216"/>
        <v>328.17999999999995</v>
      </c>
      <c r="J64" s="574">
        <f t="shared" si="216"/>
        <v>222.18799999999996</v>
      </c>
      <c r="K64" s="1243">
        <f t="shared" si="216"/>
        <v>936.49399999999991</v>
      </c>
      <c r="L64" s="574">
        <f t="shared" si="216"/>
        <v>162.83699999999999</v>
      </c>
      <c r="M64" s="574">
        <f t="shared" si="216"/>
        <v>189.774</v>
      </c>
      <c r="N64" s="574">
        <f t="shared" si="216"/>
        <v>220.34499999999994</v>
      </c>
      <c r="O64" s="574">
        <f t="shared" si="216"/>
        <v>249.953</v>
      </c>
      <c r="P64" s="1243">
        <f t="shared" si="216"/>
        <v>822.90899999999988</v>
      </c>
      <c r="Q64" s="574">
        <f t="shared" si="216"/>
        <v>243</v>
      </c>
      <c r="R64" s="574">
        <f t="shared" si="216"/>
        <v>252</v>
      </c>
      <c r="S64" s="574">
        <f t="shared" si="216"/>
        <v>295</v>
      </c>
      <c r="T64" s="574">
        <f t="shared" si="216"/>
        <v>319</v>
      </c>
      <c r="U64" s="1243">
        <f t="shared" si="216"/>
        <v>1109</v>
      </c>
      <c r="V64" s="574">
        <f t="shared" si="216"/>
        <v>266</v>
      </c>
      <c r="W64" s="574">
        <f t="shared" si="216"/>
        <v>203</v>
      </c>
      <c r="X64" s="574">
        <f t="shared" si="216"/>
        <v>403</v>
      </c>
      <c r="Y64" s="574">
        <f t="shared" si="216"/>
        <v>354</v>
      </c>
      <c r="Z64" s="1243">
        <f t="shared" si="216"/>
        <v>1226</v>
      </c>
      <c r="AA64" s="574">
        <f t="shared" si="216"/>
        <v>337</v>
      </c>
      <c r="AB64" s="574">
        <f t="shared" si="216"/>
        <v>430</v>
      </c>
      <c r="AC64" s="574">
        <f t="shared" si="216"/>
        <v>748</v>
      </c>
      <c r="AD64" s="574">
        <f t="shared" si="216"/>
        <v>836</v>
      </c>
      <c r="AE64" s="1243">
        <f t="shared" si="216"/>
        <v>2351</v>
      </c>
      <c r="AF64" s="574">
        <f t="shared" si="216"/>
        <v>673</v>
      </c>
      <c r="AG64" s="574">
        <f t="shared" si="216"/>
        <v>815</v>
      </c>
      <c r="AH64" s="574">
        <f t="shared" si="216"/>
        <v>1042</v>
      </c>
      <c r="AI64" s="574">
        <f t="shared" ref="AI64:BG64" si="217">INDEX(MO_CFSum_CFO_BeforeWC,0,COLUMN())</f>
        <v>787</v>
      </c>
      <c r="AJ64" s="1243">
        <f t="shared" si="217"/>
        <v>3317</v>
      </c>
      <c r="AK64" s="574">
        <f t="shared" si="217"/>
        <v>1473</v>
      </c>
      <c r="AL64" s="574">
        <f t="shared" si="217"/>
        <v>1341</v>
      </c>
      <c r="AM64" s="574">
        <f t="shared" si="217"/>
        <v>1340</v>
      </c>
      <c r="AN64" s="574">
        <f t="shared" si="217"/>
        <v>446</v>
      </c>
      <c r="AO64" s="1243">
        <f t="shared" si="217"/>
        <v>4600</v>
      </c>
      <c r="AP64" s="574">
        <f t="shared" si="217"/>
        <v>619</v>
      </c>
      <c r="AQ64" s="574">
        <f t="shared" si="217"/>
        <v>886</v>
      </c>
      <c r="AR64" s="574">
        <f t="shared" si="217"/>
        <v>1239</v>
      </c>
      <c r="AS64" s="574">
        <f t="shared" si="217"/>
        <v>1300</v>
      </c>
      <c r="AT64" s="1243">
        <f t="shared" si="217"/>
        <v>4044</v>
      </c>
      <c r="AU64" s="574">
        <f t="shared" si="217"/>
        <v>1268</v>
      </c>
      <c r="AV64" s="574">
        <f t="shared" si="217"/>
        <v>1311</v>
      </c>
      <c r="AW64" s="574">
        <f t="shared" si="217"/>
        <v>1968</v>
      </c>
      <c r="AX64" s="574">
        <f t="shared" si="217"/>
        <v>1978</v>
      </c>
      <c r="AY64" s="1243">
        <f t="shared" si="217"/>
        <v>6525</v>
      </c>
      <c r="AZ64" s="574">
        <f t="shared" si="217"/>
        <v>2510</v>
      </c>
      <c r="BA64" s="574">
        <f t="shared" si="217"/>
        <v>2958</v>
      </c>
      <c r="BB64" s="574">
        <f t="shared" si="217"/>
        <v>3290</v>
      </c>
      <c r="BC64" s="574">
        <f t="shared" si="217"/>
        <v>3713</v>
      </c>
      <c r="BD64" s="1243">
        <f t="shared" si="217"/>
        <v>12471</v>
      </c>
      <c r="BE64" s="574">
        <f t="shared" si="217"/>
        <v>3381</v>
      </c>
      <c r="BF64" s="574">
        <f t="shared" si="217"/>
        <v>1241</v>
      </c>
      <c r="BG64" s="574">
        <f t="shared" si="217"/>
        <v>1265</v>
      </c>
      <c r="BH64" s="574">
        <f t="shared" ref="BH64:BN64" si="218">INDEX(MO_CFSum_CFO_BeforeWC,0,COLUMN())</f>
        <v>1961</v>
      </c>
      <c r="BI64" s="1243">
        <f t="shared" si="218"/>
        <v>7848</v>
      </c>
      <c r="BJ64" s="574">
        <f t="shared" si="218"/>
        <v>2007</v>
      </c>
      <c r="BK64" s="574">
        <f t="shared" si="218"/>
        <v>6522</v>
      </c>
      <c r="BL64" s="574">
        <f t="shared" si="218"/>
        <v>10065</v>
      </c>
      <c r="BM64" s="574">
        <f t="shared" si="218"/>
        <v>13218</v>
      </c>
      <c r="BN64" s="1243">
        <f t="shared" si="218"/>
        <v>31812</v>
      </c>
      <c r="BO64" s="574">
        <f t="shared" ref="BO64:BT64" si="219">INDEX(MO_CFSum_CFO_BeforeWC,0,COLUMN())</f>
        <v>14511</v>
      </c>
      <c r="BP64" s="574">
        <f t="shared" si="219"/>
        <v>16148</v>
      </c>
      <c r="BQ64" s="574">
        <f t="shared" si="219"/>
        <v>20321</v>
      </c>
      <c r="BR64" s="574">
        <f t="shared" si="219"/>
        <v>22492</v>
      </c>
      <c r="BS64" s="1243">
        <f t="shared" si="219"/>
        <v>73472</v>
      </c>
      <c r="BT64" s="574">
        <f t="shared" si="219"/>
        <v>18760</v>
      </c>
      <c r="BU64" s="574">
        <f>INDEX(MO_CFSum_CFO_BeforeWC,0,COLUMN())</f>
        <v>26387</v>
      </c>
      <c r="BV64" s="574">
        <f>INDEX(MO_CFSum_CFO_BeforeWC,0,COLUMN())</f>
        <v>33007</v>
      </c>
      <c r="BW64" s="574">
        <f>INDEX(MO_CFSum_CFO_BeforeWC,0,COLUMN())</f>
        <v>40513</v>
      </c>
      <c r="BX64" s="1243">
        <f>INDEX(MO_CFSum_CFO_BeforeWC,0,COLUMN())</f>
        <v>118667</v>
      </c>
      <c r="BY64" s="955">
        <f>INDEX(MO_CFSum_CFO_BeforeWC,0,COLUMN())</f>
        <v>46800</v>
      </c>
      <c r="BZ64" s="574">
        <f t="shared" ref="BZ64:CC64" si="220">INDEX(MO_CFSum_CFO_BeforeWC,0,COLUMN())</f>
        <v>50326.424360240089</v>
      </c>
      <c r="CA64" s="574">
        <f t="shared" si="220"/>
        <v>53227.920694567227</v>
      </c>
      <c r="CB64" s="574">
        <f t="shared" si="220"/>
        <v>54595.701048874798</v>
      </c>
      <c r="CC64" s="1243">
        <f t="shared" si="220"/>
        <v>204950.04610368211</v>
      </c>
      <c r="CD64" s="574">
        <f t="shared" ref="CD64:CK64" si="221">INDEX(MO_CFSum_CFO_BeforeWC,0,COLUMN())</f>
        <v>60997.295016709992</v>
      </c>
      <c r="CE64" s="574">
        <f t="shared" si="221"/>
        <v>68169.80860303386</v>
      </c>
      <c r="CF64" s="574">
        <f t="shared" si="221"/>
        <v>68013.362283477647</v>
      </c>
      <c r="CG64" s="574">
        <f t="shared" si="221"/>
        <v>69872.347512636916</v>
      </c>
      <c r="CH64" s="1243">
        <f t="shared" si="221"/>
        <v>267052.81341585843</v>
      </c>
      <c r="CI64" s="1243">
        <f t="shared" si="221"/>
        <v>324372.01708322542</v>
      </c>
      <c r="CJ64" s="1243">
        <f t="shared" si="221"/>
        <v>387562.33505830675</v>
      </c>
      <c r="CK64" s="1243">
        <f t="shared" si="221"/>
        <v>462583.33492849628</v>
      </c>
      <c r="CL64" s="574"/>
    </row>
    <row r="65" spans="1:90" s="992" customFormat="1" hidden="1" outlineLevel="1" x14ac:dyDescent="0.3">
      <c r="A65" s="679" t="s">
        <v>330</v>
      </c>
      <c r="B65" s="680"/>
      <c r="C65" s="1250">
        <f t="shared" ref="C65:AH65" ca="1" si="222">SUM(OFFSET(INDEX(MO_CFS_CFO_BeforeWC,0,COLUMN()),1,0,ROW(INDEX(MO_CFS_CFO,0,COLUMN()))-ROW(INDEX(MO_CFS_CFO_BeforeWC,0,COLUMN()))-1,1))</f>
        <v>-33.333000000000006</v>
      </c>
      <c r="D65" s="1250">
        <f t="shared" ca="1" si="222"/>
        <v>136.41500000000002</v>
      </c>
      <c r="E65" s="1250">
        <f t="shared" ca="1" si="222"/>
        <v>151.69900000000001</v>
      </c>
      <c r="F65" s="1250">
        <f t="shared" ca="1" si="222"/>
        <v>2.1490000000000027</v>
      </c>
      <c r="G65" s="681">
        <f t="shared" ca="1" si="222"/>
        <v>-160.11099999999999</v>
      </c>
      <c r="H65" s="681">
        <f t="shared" ca="1" si="222"/>
        <v>-34.337000000000003</v>
      </c>
      <c r="I65" s="681">
        <f t="shared" ca="1" si="222"/>
        <v>-146.69500000000002</v>
      </c>
      <c r="J65" s="681">
        <f t="shared" ca="1" si="222"/>
        <v>228.82100000000003</v>
      </c>
      <c r="K65" s="1250">
        <f t="shared" ca="1" si="222"/>
        <v>-112.322</v>
      </c>
      <c r="L65" s="681">
        <f t="shared" ca="1" si="222"/>
        <v>12.812999999999988</v>
      </c>
      <c r="M65" s="681">
        <f t="shared" ca="1" si="222"/>
        <v>-93.305000000000007</v>
      </c>
      <c r="N65" s="681">
        <f t="shared" ca="1" si="222"/>
        <v>-58.03</v>
      </c>
      <c r="O65" s="681">
        <f t="shared" ca="1" si="222"/>
        <v>150.75900000000001</v>
      </c>
      <c r="P65" s="1250">
        <f t="shared" ca="1" si="222"/>
        <v>12.237000000000009</v>
      </c>
      <c r="Q65" s="681">
        <f t="shared" ca="1" si="222"/>
        <v>-92</v>
      </c>
      <c r="R65" s="681">
        <f t="shared" ca="1" si="222"/>
        <v>-156</v>
      </c>
      <c r="S65" s="681">
        <f t="shared" ca="1" si="222"/>
        <v>-79</v>
      </c>
      <c r="T65" s="681">
        <f t="shared" ca="1" si="222"/>
        <v>124</v>
      </c>
      <c r="U65" s="1250">
        <f t="shared" ca="1" si="222"/>
        <v>-203</v>
      </c>
      <c r="V65" s="681">
        <f t="shared" ca="1" si="222"/>
        <v>-20</v>
      </c>
      <c r="W65" s="681">
        <f t="shared" ca="1" si="222"/>
        <v>-40</v>
      </c>
      <c r="X65" s="681">
        <f t="shared" ca="1" si="222"/>
        <v>-148</v>
      </c>
      <c r="Y65" s="681">
        <f t="shared" ca="1" si="222"/>
        <v>157</v>
      </c>
      <c r="Z65" s="1250">
        <f t="shared" ca="1" si="222"/>
        <v>-51</v>
      </c>
      <c r="AA65" s="681">
        <f t="shared" ca="1" si="222"/>
        <v>-18</v>
      </c>
      <c r="AB65" s="681">
        <f t="shared" ca="1" si="222"/>
        <v>-230</v>
      </c>
      <c r="AC65" s="681">
        <f t="shared" ca="1" si="222"/>
        <v>-316</v>
      </c>
      <c r="AD65" s="681">
        <f t="shared" ca="1" si="222"/>
        <v>-115</v>
      </c>
      <c r="AE65" s="1250">
        <f t="shared" ca="1" si="222"/>
        <v>-679</v>
      </c>
      <c r="AF65" s="681">
        <f t="shared" ca="1" si="222"/>
        <v>-391</v>
      </c>
      <c r="AG65" s="681">
        <f t="shared" ca="1" si="222"/>
        <v>-110</v>
      </c>
      <c r="AH65" s="681">
        <f t="shared" ca="1" si="222"/>
        <v>115</v>
      </c>
      <c r="AI65" s="681">
        <f t="shared" ref="AI65:BG65" ca="1" si="223">SUM(OFFSET(INDEX(MO_CFS_CFO_BeforeWC,0,COLUMN()),1,0,ROW(INDEX(MO_CFS_CFO,0,COLUMN()))-ROW(INDEX(MO_CFS_CFO_BeforeWC,0,COLUMN()))-1,1))</f>
        <v>571</v>
      </c>
      <c r="AJ65" s="1250">
        <f t="shared" ca="1" si="223"/>
        <v>185</v>
      </c>
      <c r="AK65" s="681">
        <f t="shared" ca="1" si="223"/>
        <v>-28</v>
      </c>
      <c r="AL65" s="681">
        <f t="shared" ca="1" si="223"/>
        <v>-428</v>
      </c>
      <c r="AM65" s="681">
        <f t="shared" ca="1" si="223"/>
        <v>-853</v>
      </c>
      <c r="AN65" s="681">
        <f t="shared" ca="1" si="223"/>
        <v>452</v>
      </c>
      <c r="AO65" s="1250">
        <f t="shared" ca="1" si="223"/>
        <v>-857</v>
      </c>
      <c r="AP65" s="681">
        <f t="shared" ca="1" si="223"/>
        <v>101</v>
      </c>
      <c r="AQ65" s="681">
        <f t="shared" ca="1" si="223"/>
        <v>50</v>
      </c>
      <c r="AR65" s="681">
        <f t="shared" ca="1" si="223"/>
        <v>401</v>
      </c>
      <c r="AS65" s="681">
        <f t="shared" ca="1" si="223"/>
        <v>165</v>
      </c>
      <c r="AT65" s="1250">
        <f t="shared" ca="1" si="223"/>
        <v>717</v>
      </c>
      <c r="AU65" s="681">
        <f t="shared" ca="1" si="223"/>
        <v>-359</v>
      </c>
      <c r="AV65" s="681">
        <f t="shared" ca="1" si="223"/>
        <v>256</v>
      </c>
      <c r="AW65" s="681">
        <f t="shared" ca="1" si="223"/>
        <v>-689</v>
      </c>
      <c r="AX65" s="681">
        <f t="shared" ca="1" si="223"/>
        <v>89</v>
      </c>
      <c r="AY65" s="1250">
        <f t="shared" ca="1" si="223"/>
        <v>-703</v>
      </c>
      <c r="AZ65" s="681">
        <f t="shared" ca="1" si="223"/>
        <v>-636</v>
      </c>
      <c r="BA65" s="681">
        <f t="shared" ca="1" si="223"/>
        <v>-276</v>
      </c>
      <c r="BB65" s="681">
        <f t="shared" ca="1" si="223"/>
        <v>-1771</v>
      </c>
      <c r="BC65" s="681">
        <f t="shared" ca="1" si="223"/>
        <v>-680</v>
      </c>
      <c r="BD65" s="1250">
        <f t="shared" ca="1" si="223"/>
        <v>-3363</v>
      </c>
      <c r="BE65" s="681">
        <f t="shared" ca="1" si="223"/>
        <v>-1650</v>
      </c>
      <c r="BF65" s="681">
        <f t="shared" ca="1" si="223"/>
        <v>29</v>
      </c>
      <c r="BG65" s="681">
        <f t="shared" ca="1" si="223"/>
        <v>-873</v>
      </c>
      <c r="BH65" s="681">
        <f t="shared" ref="BH65:BN65" ca="1" si="224">SUM(OFFSET(INDEX(MO_CFS_CFO_BeforeWC,0,COLUMN()),1,0,ROW(INDEX(MO_CFS_CFO,0,COLUMN()))-ROW(INDEX(MO_CFS_CFO_BeforeWC,0,COLUMN()))-1,1))</f>
        <v>287</v>
      </c>
      <c r="BI65" s="1250">
        <f t="shared" ca="1" si="224"/>
        <v>-2207</v>
      </c>
      <c r="BJ65" s="681">
        <f t="shared" ca="1" si="224"/>
        <v>904</v>
      </c>
      <c r="BK65" s="681">
        <f t="shared" ca="1" si="224"/>
        <v>-174</v>
      </c>
      <c r="BL65" s="681">
        <f t="shared" ca="1" si="224"/>
        <v>-2733</v>
      </c>
      <c r="BM65" s="681">
        <f t="shared" ca="1" si="224"/>
        <v>-1719</v>
      </c>
      <c r="BN65" s="1250">
        <f t="shared" ca="1" si="224"/>
        <v>-3722</v>
      </c>
      <c r="BO65" s="681">
        <f t="shared" ref="BO65:BT65" ca="1" si="225">SUM(OFFSET(INDEX(MO_CFS_CFO_BeforeWC,0,COLUMN()),1,0,ROW(INDEX(MO_CFS_CFO,0,COLUMN()))-ROW(INDEX(MO_CFS_CFO_BeforeWC,0,COLUMN()))-1,1))</f>
        <v>834</v>
      </c>
      <c r="BP65" s="681">
        <f t="shared" ca="1" si="225"/>
        <v>-1660</v>
      </c>
      <c r="BQ65" s="681">
        <f t="shared" ca="1" si="225"/>
        <v>-2694</v>
      </c>
      <c r="BR65" s="681">
        <f t="shared" ca="1" si="225"/>
        <v>-5863</v>
      </c>
      <c r="BS65" s="1250">
        <f t="shared" ca="1" si="225"/>
        <v>-9383</v>
      </c>
      <c r="BT65" s="681">
        <f t="shared" ca="1" si="225"/>
        <v>8654</v>
      </c>
      <c r="BU65" s="681">
        <f ca="1">SUM(OFFSET(INDEX(MO_CFS_CFO_BeforeWC,0,COLUMN()),1,0,ROW(INDEX(MO_CFS_CFO,0,COLUMN()))-ROW(INDEX(MO_CFS_CFO_BeforeWC,0,COLUMN()))-1,1))</f>
        <v>-11022</v>
      </c>
      <c r="BV65" s="681">
        <f ca="1">SUM(OFFSET(INDEX(MO_CFS_CFO_BeforeWC,0,COLUMN()),1,0,ROW(INDEX(MO_CFS_CFO,0,COLUMN()))-ROW(INDEX(MO_CFS_CFO_BeforeWC,0,COLUMN()))-1,1))</f>
        <v>-9256</v>
      </c>
      <c r="BW65" s="681">
        <f ca="1">SUM(OFFSET(INDEX(MO_CFS_CFO_BeforeWC,0,COLUMN()),1,0,ROW(INDEX(MO_CFS_CFO,0,COLUMN()))-ROW(INDEX(MO_CFS_CFO_BeforeWC,0,COLUMN()))-1,1))</f>
        <v>-4325</v>
      </c>
      <c r="BX65" s="1250">
        <f ca="1">SUM(OFFSET(INDEX(MO_CFS_CFO_BeforeWC,0,COLUMN()),1,0,ROW(INDEX(MO_CFS_CFO,0,COLUMN()))-ROW(INDEX(MO_CFS_CFO_BeforeWC,0,COLUMN()))-1,1))</f>
        <v>-15949</v>
      </c>
      <c r="BY65" s="958">
        <f ca="1">SUM(OFFSET(INDEX(MO_CFS_CFO_BeforeWC,0,COLUMN()),1,0,ROW(INDEX(MO_CFS_CFO,0,COLUMN()))-ROW(INDEX(MO_CFS_CFO_BeforeWC,0,COLUMN()))-1,1))</f>
        <v>3544</v>
      </c>
      <c r="BZ65" s="681">
        <f t="shared" ref="BZ65:CC65" ca="1" si="226">SUM(OFFSET(INDEX(MO_CFS_CFO_BeforeWC,0,COLUMN()),1,0,ROW(INDEX(MO_CFS_CFO,0,COLUMN()))-ROW(INDEX(MO_CFS_CFO_BeforeWC,0,COLUMN()))-1,1))</f>
        <v>-8122.8596779050731</v>
      </c>
      <c r="CA65" s="681">
        <f t="shared" ca="1" si="226"/>
        <v>-15125.758319584133</v>
      </c>
      <c r="CB65" s="681">
        <f t="shared" ca="1" si="226"/>
        <v>1801.4454764121874</v>
      </c>
      <c r="CC65" s="1250">
        <f t="shared" ca="1" si="226"/>
        <v>-17903.172521077013</v>
      </c>
      <c r="CD65" s="681">
        <f t="shared" ref="CD65:CK65" ca="1" si="227">SUM(OFFSET(INDEX(MO_CFS_CFO_BeforeWC,0,COLUMN()),1,0,ROW(INDEX(MO_CFS_CFO,0,COLUMN()))-ROW(INDEX(MO_CFS_CFO_BeforeWC,0,COLUMN()))-1,1))</f>
        <v>9935.9777294524138</v>
      </c>
      <c r="CE65" s="681">
        <f t="shared" ca="1" si="227"/>
        <v>-8413.1409735733578</v>
      </c>
      <c r="CF65" s="681">
        <f t="shared" ca="1" si="227"/>
        <v>-17253.150527886781</v>
      </c>
      <c r="CG65" s="681">
        <f t="shared" ca="1" si="227"/>
        <v>3486.5109152334117</v>
      </c>
      <c r="CH65" s="1250">
        <f t="shared" ca="1" si="227"/>
        <v>-12243.802856774313</v>
      </c>
      <c r="CI65" s="1250">
        <f t="shared" ca="1" si="227"/>
        <v>-11238.900468692653</v>
      </c>
      <c r="CJ65" s="1250">
        <f t="shared" ca="1" si="227"/>
        <v>-12055.342977851255</v>
      </c>
      <c r="CK65" s="1250">
        <f t="shared" ca="1" si="227"/>
        <v>-14188.49924641187</v>
      </c>
      <c r="CL65" s="678"/>
    </row>
    <row r="66" spans="1:90" s="992" customFormat="1" collapsed="1" x14ac:dyDescent="0.3">
      <c r="A66" s="682" t="s">
        <v>856</v>
      </c>
      <c r="B66" s="684"/>
      <c r="C66" s="1243">
        <f t="shared" ref="C66:AH66" ca="1" si="228">SUM(C64:C65)</f>
        <v>249.35999999999999</v>
      </c>
      <c r="D66" s="1243">
        <f t="shared" ca="1" si="228"/>
        <v>487.80700000000002</v>
      </c>
      <c r="E66" s="1243">
        <f t="shared" ca="1" si="228"/>
        <v>675.79700000000003</v>
      </c>
      <c r="F66" s="1243">
        <f t="shared" ca="1" si="228"/>
        <v>909.15600000000018</v>
      </c>
      <c r="G66" s="574">
        <f t="shared" ca="1" si="228"/>
        <v>-9.2079999999999984</v>
      </c>
      <c r="H66" s="574">
        <f t="shared" ca="1" si="228"/>
        <v>200.88600000000002</v>
      </c>
      <c r="I66" s="574">
        <f t="shared" ca="1" si="228"/>
        <v>181.48499999999993</v>
      </c>
      <c r="J66" s="574">
        <f t="shared" ca="1" si="228"/>
        <v>451.00900000000001</v>
      </c>
      <c r="K66" s="1243">
        <f t="shared" ca="1" si="228"/>
        <v>824.17199999999991</v>
      </c>
      <c r="L66" s="574">
        <f t="shared" ca="1" si="228"/>
        <v>175.64999999999998</v>
      </c>
      <c r="M66" s="574">
        <f t="shared" ca="1" si="228"/>
        <v>96.468999999999994</v>
      </c>
      <c r="N66" s="574">
        <f t="shared" ca="1" si="228"/>
        <v>162.31499999999994</v>
      </c>
      <c r="O66" s="574">
        <f t="shared" ca="1" si="228"/>
        <v>400.71199999999999</v>
      </c>
      <c r="P66" s="1243">
        <f t="shared" ca="1" si="228"/>
        <v>835.14599999999984</v>
      </c>
      <c r="Q66" s="574">
        <f t="shared" ca="1" si="228"/>
        <v>151</v>
      </c>
      <c r="R66" s="574">
        <f t="shared" ca="1" si="228"/>
        <v>96</v>
      </c>
      <c r="S66" s="574">
        <f t="shared" ca="1" si="228"/>
        <v>216</v>
      </c>
      <c r="T66" s="574">
        <f t="shared" ca="1" si="228"/>
        <v>443</v>
      </c>
      <c r="U66" s="1243">
        <f t="shared" ca="1" si="228"/>
        <v>906</v>
      </c>
      <c r="V66" s="574">
        <f t="shared" ca="1" si="228"/>
        <v>246</v>
      </c>
      <c r="W66" s="574">
        <f t="shared" ca="1" si="228"/>
        <v>163</v>
      </c>
      <c r="X66" s="574">
        <f t="shared" ca="1" si="228"/>
        <v>255</v>
      </c>
      <c r="Y66" s="574">
        <f t="shared" ca="1" si="228"/>
        <v>511</v>
      </c>
      <c r="Z66" s="1243">
        <f t="shared" ca="1" si="228"/>
        <v>1175</v>
      </c>
      <c r="AA66" s="574">
        <f t="shared" ca="1" si="228"/>
        <v>319</v>
      </c>
      <c r="AB66" s="574">
        <f t="shared" ca="1" si="228"/>
        <v>200</v>
      </c>
      <c r="AC66" s="574">
        <f t="shared" ca="1" si="228"/>
        <v>432</v>
      </c>
      <c r="AD66" s="574">
        <f t="shared" ca="1" si="228"/>
        <v>721</v>
      </c>
      <c r="AE66" s="1243">
        <f t="shared" ca="1" si="228"/>
        <v>1672</v>
      </c>
      <c r="AF66" s="574">
        <f t="shared" ca="1" si="228"/>
        <v>282</v>
      </c>
      <c r="AG66" s="574">
        <f t="shared" ca="1" si="228"/>
        <v>705</v>
      </c>
      <c r="AH66" s="574">
        <f t="shared" ca="1" si="228"/>
        <v>1157</v>
      </c>
      <c r="AI66" s="574">
        <f t="shared" ref="AI66:BG66" ca="1" si="229">SUM(AI64:AI65)</f>
        <v>1358</v>
      </c>
      <c r="AJ66" s="1243">
        <f t="shared" ca="1" si="229"/>
        <v>3502</v>
      </c>
      <c r="AK66" s="574">
        <f t="shared" ca="1" si="229"/>
        <v>1445</v>
      </c>
      <c r="AL66" s="574">
        <f t="shared" ca="1" si="229"/>
        <v>913</v>
      </c>
      <c r="AM66" s="574">
        <f t="shared" ca="1" si="229"/>
        <v>487</v>
      </c>
      <c r="AN66" s="574">
        <f t="shared" ca="1" si="229"/>
        <v>898</v>
      </c>
      <c r="AO66" s="1243">
        <f t="shared" ca="1" si="229"/>
        <v>3743</v>
      </c>
      <c r="AP66" s="574">
        <f t="shared" ca="1" si="229"/>
        <v>720</v>
      </c>
      <c r="AQ66" s="574">
        <f t="shared" ca="1" si="229"/>
        <v>936</v>
      </c>
      <c r="AR66" s="574">
        <f t="shared" ca="1" si="229"/>
        <v>1640</v>
      </c>
      <c r="AS66" s="574">
        <f t="shared" ca="1" si="229"/>
        <v>1465</v>
      </c>
      <c r="AT66" s="1243">
        <f t="shared" ca="1" si="229"/>
        <v>4761</v>
      </c>
      <c r="AU66" s="574">
        <f t="shared" ca="1" si="229"/>
        <v>909</v>
      </c>
      <c r="AV66" s="574">
        <f t="shared" ca="1" si="229"/>
        <v>1567</v>
      </c>
      <c r="AW66" s="574">
        <f t="shared" ca="1" si="229"/>
        <v>1279</v>
      </c>
      <c r="AX66" s="574">
        <f t="shared" ca="1" si="229"/>
        <v>2067</v>
      </c>
      <c r="AY66" s="1243">
        <f t="shared" ca="1" si="229"/>
        <v>5822</v>
      </c>
      <c r="AZ66" s="574">
        <f t="shared" ca="1" si="229"/>
        <v>1874</v>
      </c>
      <c r="BA66" s="574">
        <f t="shared" ca="1" si="229"/>
        <v>2682</v>
      </c>
      <c r="BB66" s="574">
        <f t="shared" ca="1" si="229"/>
        <v>1519</v>
      </c>
      <c r="BC66" s="574">
        <f t="shared" ca="1" si="229"/>
        <v>3033</v>
      </c>
      <c r="BD66" s="1243">
        <f t="shared" ca="1" si="229"/>
        <v>9108</v>
      </c>
      <c r="BE66" s="574">
        <f t="shared" ca="1" si="229"/>
        <v>1731</v>
      </c>
      <c r="BF66" s="574">
        <f t="shared" ca="1" si="229"/>
        <v>1270</v>
      </c>
      <c r="BG66" s="574">
        <f t="shared" ca="1" si="229"/>
        <v>392</v>
      </c>
      <c r="BH66" s="574">
        <f t="shared" ref="BH66:BN66" ca="1" si="230">SUM(BH64:BH65)</f>
        <v>2248</v>
      </c>
      <c r="BI66" s="1243">
        <f t="shared" ca="1" si="230"/>
        <v>5641</v>
      </c>
      <c r="BJ66" s="574">
        <f t="shared" ca="1" si="230"/>
        <v>2911</v>
      </c>
      <c r="BK66" s="574">
        <f t="shared" ca="1" si="230"/>
        <v>6348</v>
      </c>
      <c r="BL66" s="574">
        <f t="shared" ca="1" si="230"/>
        <v>7332</v>
      </c>
      <c r="BM66" s="574">
        <f t="shared" ca="1" si="230"/>
        <v>11499</v>
      </c>
      <c r="BN66" s="1243">
        <f t="shared" ca="1" si="230"/>
        <v>28090</v>
      </c>
      <c r="BO66" s="574">
        <f t="shared" ref="BO66:BT66" ca="1" si="231">SUM(BO64:BO65)</f>
        <v>15345</v>
      </c>
      <c r="BP66" s="574">
        <f t="shared" ca="1" si="231"/>
        <v>14488</v>
      </c>
      <c r="BQ66" s="574">
        <f t="shared" ca="1" si="231"/>
        <v>17627</v>
      </c>
      <c r="BR66" s="574">
        <f t="shared" ca="1" si="231"/>
        <v>16629</v>
      </c>
      <c r="BS66" s="1243">
        <f t="shared" ca="1" si="231"/>
        <v>64089</v>
      </c>
      <c r="BT66" s="574">
        <f t="shared" ca="1" si="231"/>
        <v>27414</v>
      </c>
      <c r="BU66" s="574">
        <f ca="1">SUM(BU64:BU65)</f>
        <v>15365</v>
      </c>
      <c r="BV66" s="574">
        <f ca="1">SUM(BV64:BV65)</f>
        <v>23751</v>
      </c>
      <c r="BW66" s="574">
        <f ca="1">SUM(BW64:BW65)</f>
        <v>36188</v>
      </c>
      <c r="BX66" s="1243">
        <f ca="1">SUM(BX64:BX65)</f>
        <v>102718</v>
      </c>
      <c r="BY66" s="955">
        <f ca="1">SUM(BY64:BY65)</f>
        <v>50344</v>
      </c>
      <c r="BZ66" s="574">
        <f t="shared" ref="BZ66:CC66" ca="1" si="232">SUM(BZ64:BZ65)</f>
        <v>42203.564682335018</v>
      </c>
      <c r="CA66" s="574">
        <f t="shared" ca="1" si="232"/>
        <v>38102.162374983091</v>
      </c>
      <c r="CB66" s="574">
        <f t="shared" ca="1" si="232"/>
        <v>56397.146525286982</v>
      </c>
      <c r="CC66" s="1243">
        <f t="shared" ca="1" si="232"/>
        <v>187046.8735826051</v>
      </c>
      <c r="CD66" s="574">
        <f t="shared" ref="CD66:CK66" ca="1" si="233">SUM(CD64:CD65)</f>
        <v>70933.272746162402</v>
      </c>
      <c r="CE66" s="574">
        <f t="shared" ca="1" si="233"/>
        <v>59756.667629460499</v>
      </c>
      <c r="CF66" s="574">
        <f t="shared" ca="1" si="233"/>
        <v>50760.211755590863</v>
      </c>
      <c r="CG66" s="574">
        <f t="shared" ca="1" si="233"/>
        <v>73358.85842787032</v>
      </c>
      <c r="CH66" s="1243">
        <f t="shared" ca="1" si="233"/>
        <v>254809.01055908413</v>
      </c>
      <c r="CI66" s="1243">
        <f t="shared" ca="1" si="233"/>
        <v>313133.11661453277</v>
      </c>
      <c r="CJ66" s="1243">
        <f t="shared" ca="1" si="233"/>
        <v>375506.99208045547</v>
      </c>
      <c r="CK66" s="1243">
        <f t="shared" ca="1" si="233"/>
        <v>448394.83568208443</v>
      </c>
      <c r="CL66" s="678"/>
    </row>
    <row r="67" spans="1:90" s="993" customFormat="1" x14ac:dyDescent="0.3">
      <c r="A67" s="676" t="str">
        <f>INDEX(MO_CFSum_Capex,0,COLUMN())</f>
        <v>Capex</v>
      </c>
      <c r="B67" s="685"/>
      <c r="C67" s="1244">
        <f t="shared" ref="C67:AH67" si="234">INDEX(MO_CFSum_Capex,0,COLUMN())</f>
        <v>-407.67</v>
      </c>
      <c r="D67" s="1244">
        <f t="shared" si="234"/>
        <v>-77.600999999999999</v>
      </c>
      <c r="E67" s="1244">
        <f t="shared" si="234"/>
        <v>-97.89</v>
      </c>
      <c r="F67" s="1244">
        <f t="shared" si="234"/>
        <v>-138.73500000000001</v>
      </c>
      <c r="G67" s="678">
        <f t="shared" si="234"/>
        <v>-28.922999999999998</v>
      </c>
      <c r="H67" s="678">
        <f t="shared" si="234"/>
        <v>-61.944000000000003</v>
      </c>
      <c r="I67" s="678">
        <f t="shared" si="234"/>
        <v>-44.683999999999983</v>
      </c>
      <c r="J67" s="678">
        <f t="shared" si="234"/>
        <v>-47.75800000000001</v>
      </c>
      <c r="K67" s="1244">
        <f t="shared" si="234"/>
        <v>-183.309</v>
      </c>
      <c r="L67" s="678">
        <f t="shared" si="234"/>
        <v>-65.667000000000002</v>
      </c>
      <c r="M67" s="678">
        <f t="shared" si="234"/>
        <v>-84.98599999999999</v>
      </c>
      <c r="N67" s="678">
        <f t="shared" si="234"/>
        <v>-38.15900000000002</v>
      </c>
      <c r="O67" s="678">
        <f t="shared" si="234"/>
        <v>-66.373999999999995</v>
      </c>
      <c r="P67" s="1244">
        <f t="shared" si="234"/>
        <v>-255.18600000000001</v>
      </c>
      <c r="Q67" s="678">
        <f t="shared" si="234"/>
        <v>-29</v>
      </c>
      <c r="R67" s="678">
        <f t="shared" si="234"/>
        <v>-23</v>
      </c>
      <c r="S67" s="678">
        <f t="shared" si="234"/>
        <v>-39</v>
      </c>
      <c r="T67" s="678">
        <f t="shared" si="234"/>
        <v>-31</v>
      </c>
      <c r="U67" s="1244">
        <f t="shared" si="234"/>
        <v>-122</v>
      </c>
      <c r="V67" s="678">
        <f t="shared" si="234"/>
        <v>-30</v>
      </c>
      <c r="W67" s="678">
        <f t="shared" si="234"/>
        <v>-24</v>
      </c>
      <c r="X67" s="678">
        <f t="shared" si="234"/>
        <v>-17</v>
      </c>
      <c r="Y67" s="678">
        <f t="shared" si="234"/>
        <v>-15</v>
      </c>
      <c r="Z67" s="1244">
        <f t="shared" si="234"/>
        <v>-86</v>
      </c>
      <c r="AA67" s="678">
        <f t="shared" si="234"/>
        <v>-55</v>
      </c>
      <c r="AB67" s="678">
        <f t="shared" si="234"/>
        <v>-32</v>
      </c>
      <c r="AC67" s="678">
        <f t="shared" si="234"/>
        <v>-38</v>
      </c>
      <c r="AD67" s="678">
        <f t="shared" si="234"/>
        <v>-51</v>
      </c>
      <c r="AE67" s="1244">
        <f t="shared" si="234"/>
        <v>-176</v>
      </c>
      <c r="AF67" s="678">
        <f t="shared" si="234"/>
        <v>-54</v>
      </c>
      <c r="AG67" s="678">
        <f t="shared" si="234"/>
        <v>-54</v>
      </c>
      <c r="AH67" s="678">
        <f t="shared" si="234"/>
        <v>-69</v>
      </c>
      <c r="AI67" s="678">
        <f t="shared" ref="AI67:BG67" si="235">INDEX(MO_CFSum_Capex,0,COLUMN())</f>
        <v>-416</v>
      </c>
      <c r="AJ67" s="1244">
        <f t="shared" si="235"/>
        <v>-593</v>
      </c>
      <c r="AK67" s="678">
        <f t="shared" si="235"/>
        <v>-118</v>
      </c>
      <c r="AL67" s="678">
        <f t="shared" si="235"/>
        <v>-129</v>
      </c>
      <c r="AM67" s="678">
        <f t="shared" si="235"/>
        <v>-150</v>
      </c>
      <c r="AN67" s="678">
        <f t="shared" si="235"/>
        <v>-203</v>
      </c>
      <c r="AO67" s="1244">
        <f t="shared" si="235"/>
        <v>-600</v>
      </c>
      <c r="AP67" s="678">
        <f t="shared" si="235"/>
        <v>-128</v>
      </c>
      <c r="AQ67" s="678">
        <f t="shared" si="235"/>
        <v>-113</v>
      </c>
      <c r="AR67" s="678">
        <f t="shared" si="235"/>
        <v>-103</v>
      </c>
      <c r="AS67" s="678">
        <f t="shared" si="235"/>
        <v>-145</v>
      </c>
      <c r="AT67" s="1244">
        <f t="shared" si="235"/>
        <v>-489</v>
      </c>
      <c r="AU67" s="678">
        <f t="shared" si="235"/>
        <v>-155</v>
      </c>
      <c r="AV67" s="678">
        <f t="shared" si="235"/>
        <v>-217</v>
      </c>
      <c r="AW67" s="678">
        <f t="shared" si="235"/>
        <v>-473</v>
      </c>
      <c r="AX67" s="678">
        <f t="shared" si="235"/>
        <v>-283</v>
      </c>
      <c r="AY67" s="1244">
        <f t="shared" si="235"/>
        <v>-1128</v>
      </c>
      <c r="AZ67" s="678">
        <f t="shared" si="235"/>
        <v>-298</v>
      </c>
      <c r="BA67" s="678">
        <f t="shared" si="235"/>
        <v>-183</v>
      </c>
      <c r="BB67" s="678">
        <f t="shared" si="235"/>
        <v>-222</v>
      </c>
      <c r="BC67" s="678">
        <f t="shared" si="235"/>
        <v>-273</v>
      </c>
      <c r="BD67" s="1244">
        <f t="shared" si="235"/>
        <v>-976</v>
      </c>
      <c r="BE67" s="678">
        <f t="shared" si="235"/>
        <v>-361</v>
      </c>
      <c r="BF67" s="678">
        <f t="shared" si="235"/>
        <v>-433</v>
      </c>
      <c r="BG67" s="678">
        <f t="shared" si="235"/>
        <v>-530</v>
      </c>
      <c r="BH67" s="678">
        <f t="shared" ref="BH67:BN67" si="236">INDEX(MO_CFSum_Capex,0,COLUMN())</f>
        <v>-509</v>
      </c>
      <c r="BI67" s="1244">
        <f t="shared" si="236"/>
        <v>-1833</v>
      </c>
      <c r="BJ67" s="678">
        <f t="shared" si="236"/>
        <v>-248</v>
      </c>
      <c r="BK67" s="678">
        <f t="shared" si="236"/>
        <v>-289</v>
      </c>
      <c r="BL67" s="678">
        <f t="shared" si="236"/>
        <v>-278</v>
      </c>
      <c r="BM67" s="678">
        <f t="shared" si="236"/>
        <v>-254</v>
      </c>
      <c r="BN67" s="1244">
        <f t="shared" si="236"/>
        <v>-1069</v>
      </c>
      <c r="BO67" s="678">
        <f t="shared" ref="BO67:BT67" si="237">INDEX(MO_CFSum_Capex,0,COLUMN())</f>
        <v>-369</v>
      </c>
      <c r="BP67" s="678">
        <f t="shared" si="237"/>
        <v>-977</v>
      </c>
      <c r="BQ67" s="678">
        <f t="shared" si="237"/>
        <v>-813</v>
      </c>
      <c r="BR67" s="678">
        <f t="shared" si="237"/>
        <v>-1077</v>
      </c>
      <c r="BS67" s="1244">
        <f t="shared" si="237"/>
        <v>-3236</v>
      </c>
      <c r="BT67" s="678">
        <f t="shared" si="237"/>
        <v>-1227</v>
      </c>
      <c r="BU67" s="678">
        <f>INDEX(MO_CFSum_Capex,0,COLUMN())</f>
        <v>-1895</v>
      </c>
      <c r="BV67" s="678">
        <f>INDEX(MO_CFSum_Capex,0,COLUMN())</f>
        <v>-1636</v>
      </c>
      <c r="BW67" s="678">
        <f>INDEX(MO_CFSum_Capex,0,COLUMN())</f>
        <v>-1284</v>
      </c>
      <c r="BX67" s="1244">
        <f>INDEX(MO_CFSum_Capex,0,COLUMN())</f>
        <v>-6042</v>
      </c>
      <c r="BY67" s="954">
        <f>INDEX(MO_CFSum_Capex,0,COLUMN())</f>
        <v>-1757</v>
      </c>
      <c r="BZ67" s="678">
        <f t="shared" ref="BZ67:CC67" si="238">INDEX(MO_CFSum_Capex,0,COLUMN())</f>
        <v>-325</v>
      </c>
      <c r="CA67" s="678">
        <f t="shared" si="238"/>
        <v>-325</v>
      </c>
      <c r="CB67" s="678">
        <f t="shared" si="238"/>
        <v>-325</v>
      </c>
      <c r="CC67" s="1244">
        <f t="shared" si="238"/>
        <v>-2732</v>
      </c>
      <c r="CD67" s="678">
        <f t="shared" ref="CD67:CK67" si="239">INDEX(MO_CFSum_Capex,0,COLUMN())</f>
        <v>-325</v>
      </c>
      <c r="CE67" s="678">
        <f t="shared" si="239"/>
        <v>-325</v>
      </c>
      <c r="CF67" s="678">
        <f t="shared" si="239"/>
        <v>-325</v>
      </c>
      <c r="CG67" s="678">
        <f t="shared" si="239"/>
        <v>-325</v>
      </c>
      <c r="CH67" s="1244">
        <f t="shared" si="239"/>
        <v>-1300</v>
      </c>
      <c r="CI67" s="1244">
        <f t="shared" si="239"/>
        <v>-1300</v>
      </c>
      <c r="CJ67" s="1244">
        <f t="shared" si="239"/>
        <v>-1300</v>
      </c>
      <c r="CK67" s="1244">
        <f t="shared" si="239"/>
        <v>-1300</v>
      </c>
      <c r="CL67" s="678"/>
    </row>
    <row r="68" spans="1:90" s="992" customFormat="1" x14ac:dyDescent="0.3">
      <c r="A68" s="686" t="s">
        <v>328</v>
      </c>
      <c r="B68" s="687"/>
      <c r="C68" s="1245">
        <f t="shared" ref="C68:AH68" ca="1" si="240">SUM(C66:C67)</f>
        <v>-158.31000000000003</v>
      </c>
      <c r="D68" s="1245">
        <f t="shared" ca="1" si="240"/>
        <v>410.20600000000002</v>
      </c>
      <c r="E68" s="1245">
        <f t="shared" ca="1" si="240"/>
        <v>577.90700000000004</v>
      </c>
      <c r="F68" s="1245">
        <f t="shared" ca="1" si="240"/>
        <v>770.42100000000016</v>
      </c>
      <c r="G68" s="688">
        <f t="shared" ca="1" si="240"/>
        <v>-38.131</v>
      </c>
      <c r="H68" s="688">
        <f t="shared" ca="1" si="240"/>
        <v>138.94200000000001</v>
      </c>
      <c r="I68" s="688">
        <f t="shared" ca="1" si="240"/>
        <v>136.80099999999993</v>
      </c>
      <c r="J68" s="688">
        <f t="shared" ca="1" si="240"/>
        <v>403.25099999999998</v>
      </c>
      <c r="K68" s="1245">
        <f t="shared" ca="1" si="240"/>
        <v>640.86299999999994</v>
      </c>
      <c r="L68" s="688">
        <f t="shared" ca="1" si="240"/>
        <v>109.98299999999998</v>
      </c>
      <c r="M68" s="688">
        <f t="shared" ca="1" si="240"/>
        <v>11.483000000000004</v>
      </c>
      <c r="N68" s="688">
        <f t="shared" ca="1" si="240"/>
        <v>124.15599999999992</v>
      </c>
      <c r="O68" s="688">
        <f t="shared" ca="1" si="240"/>
        <v>334.33799999999997</v>
      </c>
      <c r="P68" s="1245">
        <f t="shared" ca="1" si="240"/>
        <v>579.95999999999981</v>
      </c>
      <c r="Q68" s="688">
        <f t="shared" ca="1" si="240"/>
        <v>122</v>
      </c>
      <c r="R68" s="688">
        <f t="shared" ca="1" si="240"/>
        <v>73</v>
      </c>
      <c r="S68" s="688">
        <f t="shared" ca="1" si="240"/>
        <v>177</v>
      </c>
      <c r="T68" s="688">
        <f t="shared" ca="1" si="240"/>
        <v>412</v>
      </c>
      <c r="U68" s="1245">
        <f t="shared" ca="1" si="240"/>
        <v>784</v>
      </c>
      <c r="V68" s="688">
        <f t="shared" ca="1" si="240"/>
        <v>216</v>
      </c>
      <c r="W68" s="688">
        <f t="shared" ca="1" si="240"/>
        <v>139</v>
      </c>
      <c r="X68" s="688">
        <f t="shared" ca="1" si="240"/>
        <v>238</v>
      </c>
      <c r="Y68" s="688">
        <f t="shared" ca="1" si="240"/>
        <v>496</v>
      </c>
      <c r="Z68" s="1245">
        <f t="shared" ca="1" si="240"/>
        <v>1089</v>
      </c>
      <c r="AA68" s="688">
        <f t="shared" ca="1" si="240"/>
        <v>264</v>
      </c>
      <c r="AB68" s="688">
        <f t="shared" ca="1" si="240"/>
        <v>168</v>
      </c>
      <c r="AC68" s="688">
        <f t="shared" ca="1" si="240"/>
        <v>394</v>
      </c>
      <c r="AD68" s="688">
        <f t="shared" ca="1" si="240"/>
        <v>670</v>
      </c>
      <c r="AE68" s="1245">
        <f t="shared" ca="1" si="240"/>
        <v>1496</v>
      </c>
      <c r="AF68" s="688">
        <f t="shared" ca="1" si="240"/>
        <v>228</v>
      </c>
      <c r="AG68" s="688">
        <f t="shared" ca="1" si="240"/>
        <v>651</v>
      </c>
      <c r="AH68" s="688">
        <f t="shared" ca="1" si="240"/>
        <v>1088</v>
      </c>
      <c r="AI68" s="688">
        <f t="shared" ref="AI68:BG68" ca="1" si="241">SUM(AI66:AI67)</f>
        <v>942</v>
      </c>
      <c r="AJ68" s="1245">
        <f t="shared" ca="1" si="241"/>
        <v>2909</v>
      </c>
      <c r="AK68" s="688">
        <f t="shared" ca="1" si="241"/>
        <v>1327</v>
      </c>
      <c r="AL68" s="688">
        <f t="shared" ca="1" si="241"/>
        <v>784</v>
      </c>
      <c r="AM68" s="688">
        <f t="shared" ca="1" si="241"/>
        <v>337</v>
      </c>
      <c r="AN68" s="688">
        <f t="shared" ca="1" si="241"/>
        <v>695</v>
      </c>
      <c r="AO68" s="1245">
        <f t="shared" ca="1" si="241"/>
        <v>3143</v>
      </c>
      <c r="AP68" s="688">
        <f t="shared" ca="1" si="241"/>
        <v>592</v>
      </c>
      <c r="AQ68" s="688">
        <f t="shared" ca="1" si="241"/>
        <v>823</v>
      </c>
      <c r="AR68" s="688">
        <f t="shared" ca="1" si="241"/>
        <v>1537</v>
      </c>
      <c r="AS68" s="688">
        <f t="shared" ca="1" si="241"/>
        <v>1320</v>
      </c>
      <c r="AT68" s="1245">
        <f t="shared" ca="1" si="241"/>
        <v>4272</v>
      </c>
      <c r="AU68" s="688">
        <f t="shared" ca="1" si="241"/>
        <v>754</v>
      </c>
      <c r="AV68" s="688">
        <f t="shared" ca="1" si="241"/>
        <v>1350</v>
      </c>
      <c r="AW68" s="688">
        <f t="shared" ca="1" si="241"/>
        <v>806</v>
      </c>
      <c r="AX68" s="688">
        <f t="shared" ca="1" si="241"/>
        <v>1784</v>
      </c>
      <c r="AY68" s="1245">
        <f t="shared" ca="1" si="241"/>
        <v>4694</v>
      </c>
      <c r="AZ68" s="688">
        <f t="shared" ca="1" si="241"/>
        <v>1576</v>
      </c>
      <c r="BA68" s="688">
        <f t="shared" ca="1" si="241"/>
        <v>2499</v>
      </c>
      <c r="BB68" s="688">
        <f t="shared" ca="1" si="241"/>
        <v>1297</v>
      </c>
      <c r="BC68" s="688">
        <f t="shared" ca="1" si="241"/>
        <v>2760</v>
      </c>
      <c r="BD68" s="1245">
        <f t="shared" ca="1" si="241"/>
        <v>8132</v>
      </c>
      <c r="BE68" s="688">
        <f t="shared" ca="1" si="241"/>
        <v>1370</v>
      </c>
      <c r="BF68" s="688">
        <f t="shared" ca="1" si="241"/>
        <v>837</v>
      </c>
      <c r="BG68" s="688">
        <f t="shared" ca="1" si="241"/>
        <v>-138</v>
      </c>
      <c r="BH68" s="688">
        <f t="shared" ref="BH68:BN68" ca="1" si="242">SUM(BH66:BH67)</f>
        <v>1739</v>
      </c>
      <c r="BI68" s="1245">
        <f t="shared" ca="1" si="242"/>
        <v>3808</v>
      </c>
      <c r="BJ68" s="688">
        <f t="shared" ca="1" si="242"/>
        <v>2663</v>
      </c>
      <c r="BK68" s="688">
        <f t="shared" ca="1" si="242"/>
        <v>6059</v>
      </c>
      <c r="BL68" s="688">
        <f t="shared" ca="1" si="242"/>
        <v>7054</v>
      </c>
      <c r="BM68" s="688">
        <f t="shared" ca="1" si="242"/>
        <v>11245</v>
      </c>
      <c r="BN68" s="1245">
        <f t="shared" ca="1" si="242"/>
        <v>27021</v>
      </c>
      <c r="BO68" s="688">
        <f t="shared" ref="BO68:BT68" ca="1" si="243">SUM(BO66:BO67)</f>
        <v>14976</v>
      </c>
      <c r="BP68" s="688">
        <f t="shared" ca="1" si="243"/>
        <v>13511</v>
      </c>
      <c r="BQ68" s="688">
        <f t="shared" ca="1" si="243"/>
        <v>16814</v>
      </c>
      <c r="BR68" s="688">
        <f t="shared" ca="1" si="243"/>
        <v>15552</v>
      </c>
      <c r="BS68" s="1245">
        <f t="shared" ca="1" si="243"/>
        <v>60853</v>
      </c>
      <c r="BT68" s="688">
        <f t="shared" ca="1" si="243"/>
        <v>26187</v>
      </c>
      <c r="BU68" s="688">
        <f ca="1">SUM(BU66:BU67)</f>
        <v>13470</v>
      </c>
      <c r="BV68" s="688">
        <f ca="1">SUM(BV66:BV67)</f>
        <v>22115</v>
      </c>
      <c r="BW68" s="688">
        <f ca="1">SUM(BW66:BW67)</f>
        <v>34904</v>
      </c>
      <c r="BX68" s="1245">
        <f ca="1">SUM(BX66:BX67)</f>
        <v>96676</v>
      </c>
      <c r="BY68" s="964">
        <f ca="1">SUM(BY66:BY67)</f>
        <v>48587</v>
      </c>
      <c r="BZ68" s="688">
        <f t="shared" ref="BZ68:CC68" ca="1" si="244">SUM(BZ66:BZ67)</f>
        <v>41878.564682335018</v>
      </c>
      <c r="CA68" s="688">
        <f t="shared" ca="1" si="244"/>
        <v>37777.162374983091</v>
      </c>
      <c r="CB68" s="688">
        <f t="shared" ca="1" si="244"/>
        <v>56072.146525286982</v>
      </c>
      <c r="CC68" s="1245">
        <f t="shared" ca="1" si="244"/>
        <v>184314.8735826051</v>
      </c>
      <c r="CD68" s="688">
        <f t="shared" ref="CD68:CK68" ca="1" si="245">SUM(CD66:CD67)</f>
        <v>70608.272746162402</v>
      </c>
      <c r="CE68" s="688">
        <f t="shared" ca="1" si="245"/>
        <v>59431.667629460499</v>
      </c>
      <c r="CF68" s="688">
        <f t="shared" ca="1" si="245"/>
        <v>50435.211755590863</v>
      </c>
      <c r="CG68" s="688">
        <f t="shared" ca="1" si="245"/>
        <v>73033.85842787032</v>
      </c>
      <c r="CH68" s="1245">
        <f t="shared" ca="1" si="245"/>
        <v>253509.01055908413</v>
      </c>
      <c r="CI68" s="1245">
        <f t="shared" ca="1" si="245"/>
        <v>311833.11661453277</v>
      </c>
      <c r="CJ68" s="1245">
        <f t="shared" ca="1" si="245"/>
        <v>374206.99208045547</v>
      </c>
      <c r="CK68" s="1245">
        <f t="shared" ca="1" si="245"/>
        <v>447094.83568208443</v>
      </c>
      <c r="CL68" s="574"/>
    </row>
    <row r="69" spans="1:90" s="993" customFormat="1" x14ac:dyDescent="0.3">
      <c r="A69" s="676" t="str">
        <f>INDEX(MO_CFSum_Dividend,0,COLUMN())</f>
        <v>Dividend Paid</v>
      </c>
      <c r="B69" s="685"/>
      <c r="C69" s="1244">
        <f t="shared" ref="C69:AH69" si="246">INDEX(MO_CFSum_Dividend,0,COLUMN())</f>
        <v>0</v>
      </c>
      <c r="D69" s="1244">
        <f t="shared" si="246"/>
        <v>0</v>
      </c>
      <c r="E69" s="1244">
        <f t="shared" si="246"/>
        <v>0</v>
      </c>
      <c r="F69" s="1244">
        <f t="shared" si="246"/>
        <v>0</v>
      </c>
      <c r="G69" s="678">
        <f t="shared" si="246"/>
        <v>0</v>
      </c>
      <c r="H69" s="678">
        <f t="shared" si="246"/>
        <v>0</v>
      </c>
      <c r="I69" s="678">
        <f t="shared" si="246"/>
        <v>0</v>
      </c>
      <c r="J69" s="678">
        <f t="shared" si="246"/>
        <v>-46.866</v>
      </c>
      <c r="K69" s="1244">
        <f t="shared" si="246"/>
        <v>-46.866</v>
      </c>
      <c r="L69" s="678">
        <f t="shared" si="246"/>
        <v>-46.267000000000003</v>
      </c>
      <c r="M69" s="678">
        <f t="shared" si="246"/>
        <v>-43.342999999999996</v>
      </c>
      <c r="N69" s="678">
        <f t="shared" si="246"/>
        <v>-43.397000000000006</v>
      </c>
      <c r="O69" s="678">
        <f t="shared" si="246"/>
        <v>-48.329000000000008</v>
      </c>
      <c r="P69" s="1244">
        <f t="shared" si="246"/>
        <v>-181.33600000000001</v>
      </c>
      <c r="Q69" s="678">
        <f t="shared" si="246"/>
        <v>-47</v>
      </c>
      <c r="R69" s="678">
        <f t="shared" si="246"/>
        <v>-47</v>
      </c>
      <c r="S69" s="678">
        <f t="shared" si="246"/>
        <v>-46</v>
      </c>
      <c r="T69" s="678">
        <f t="shared" si="246"/>
        <v>-46</v>
      </c>
      <c r="U69" s="1244">
        <f t="shared" si="246"/>
        <v>-186</v>
      </c>
      <c r="V69" s="678">
        <f t="shared" si="246"/>
        <v>-46</v>
      </c>
      <c r="W69" s="678">
        <f t="shared" si="246"/>
        <v>-53</v>
      </c>
      <c r="X69" s="678">
        <f t="shared" si="246"/>
        <v>-53</v>
      </c>
      <c r="Y69" s="678">
        <f t="shared" si="246"/>
        <v>-61</v>
      </c>
      <c r="Z69" s="1244">
        <f t="shared" si="246"/>
        <v>-213</v>
      </c>
      <c r="AA69" s="678">
        <f t="shared" si="246"/>
        <v>-62</v>
      </c>
      <c r="AB69" s="678">
        <f t="shared" si="246"/>
        <v>-62</v>
      </c>
      <c r="AC69" s="678">
        <f t="shared" si="246"/>
        <v>-61</v>
      </c>
      <c r="AD69" s="678">
        <f t="shared" si="246"/>
        <v>-76</v>
      </c>
      <c r="AE69" s="1244">
        <f t="shared" si="246"/>
        <v>-261</v>
      </c>
      <c r="AF69" s="678">
        <f t="shared" si="246"/>
        <v>-82</v>
      </c>
      <c r="AG69" s="678">
        <f t="shared" si="246"/>
        <v>-84</v>
      </c>
      <c r="AH69" s="678">
        <f t="shared" si="246"/>
        <v>-84</v>
      </c>
      <c r="AI69" s="678">
        <f t="shared" ref="AI69:BG69" si="247">INDEX(MO_CFSum_Dividend,0,COLUMN())</f>
        <v>-91</v>
      </c>
      <c r="AJ69" s="1244">
        <f t="shared" si="247"/>
        <v>-341</v>
      </c>
      <c r="AK69" s="678">
        <f t="shared" si="247"/>
        <v>-91</v>
      </c>
      <c r="AL69" s="678">
        <f t="shared" si="247"/>
        <v>-91</v>
      </c>
      <c r="AM69" s="678">
        <f t="shared" si="247"/>
        <v>-91</v>
      </c>
      <c r="AN69" s="678">
        <f t="shared" si="247"/>
        <v>-98</v>
      </c>
      <c r="AO69" s="1244">
        <f t="shared" si="247"/>
        <v>-371</v>
      </c>
      <c r="AP69" s="678">
        <f t="shared" si="247"/>
        <v>-97</v>
      </c>
      <c r="AQ69" s="678">
        <f t="shared" si="247"/>
        <v>-98</v>
      </c>
      <c r="AR69" s="678">
        <f t="shared" si="247"/>
        <v>-97</v>
      </c>
      <c r="AS69" s="678">
        <f t="shared" si="247"/>
        <v>-98</v>
      </c>
      <c r="AT69" s="1244">
        <f t="shared" si="247"/>
        <v>-390</v>
      </c>
      <c r="AU69" s="678">
        <f t="shared" si="247"/>
        <v>-98</v>
      </c>
      <c r="AV69" s="678">
        <f t="shared" si="247"/>
        <v>-99</v>
      </c>
      <c r="AW69" s="678">
        <f t="shared" si="247"/>
        <v>-99</v>
      </c>
      <c r="AX69" s="678">
        <f t="shared" si="247"/>
        <v>-99</v>
      </c>
      <c r="AY69" s="1244">
        <f t="shared" si="247"/>
        <v>-395</v>
      </c>
      <c r="AZ69" s="678">
        <f t="shared" si="247"/>
        <v>-99</v>
      </c>
      <c r="BA69" s="678">
        <f t="shared" si="247"/>
        <v>-99</v>
      </c>
      <c r="BB69" s="678">
        <f t="shared" si="247"/>
        <v>-100</v>
      </c>
      <c r="BC69" s="678">
        <f t="shared" si="247"/>
        <v>-101</v>
      </c>
      <c r="BD69" s="1244">
        <f t="shared" si="247"/>
        <v>-399</v>
      </c>
      <c r="BE69" s="678">
        <f t="shared" si="247"/>
        <v>-100</v>
      </c>
      <c r="BF69" s="678">
        <f t="shared" si="247"/>
        <v>-100</v>
      </c>
      <c r="BG69" s="678">
        <f t="shared" si="247"/>
        <v>-100</v>
      </c>
      <c r="BH69" s="678">
        <f t="shared" ref="BH69:BN69" si="248">INDEX(MO_CFSum_Dividend,0,COLUMN())</f>
        <v>-98</v>
      </c>
      <c r="BI69" s="1244">
        <f t="shared" si="248"/>
        <v>-398</v>
      </c>
      <c r="BJ69" s="678">
        <f t="shared" si="248"/>
        <v>-99</v>
      </c>
      <c r="BK69" s="678">
        <f t="shared" si="248"/>
        <v>-100</v>
      </c>
      <c r="BL69" s="678">
        <f t="shared" si="248"/>
        <v>-97</v>
      </c>
      <c r="BM69" s="678">
        <f t="shared" si="248"/>
        <v>-99</v>
      </c>
      <c r="BN69" s="1244">
        <f t="shared" si="248"/>
        <v>-395</v>
      </c>
      <c r="BO69" s="678">
        <f t="shared" ref="BO69:BT69" si="249">INDEX(MO_CFSum_Dividend,0,COLUMN())</f>
        <v>-98</v>
      </c>
      <c r="BP69" s="678">
        <f t="shared" si="249"/>
        <v>-246</v>
      </c>
      <c r="BQ69" s="678">
        <f t="shared" si="249"/>
        <v>-245</v>
      </c>
      <c r="BR69" s="678">
        <f t="shared" si="249"/>
        <v>-245</v>
      </c>
      <c r="BS69" s="1244">
        <f t="shared" si="249"/>
        <v>-834</v>
      </c>
      <c r="BT69" s="678">
        <f t="shared" si="249"/>
        <v>-244</v>
      </c>
      <c r="BU69" s="678">
        <f>INDEX(MO_CFSum_Dividend,0,COLUMN())</f>
        <v>-244</v>
      </c>
      <c r="BV69" s="678">
        <f>INDEX(MO_CFSum_Dividend,0,COLUMN())</f>
        <v>-244</v>
      </c>
      <c r="BW69" s="678">
        <f>INDEX(MO_CFSum_Dividend,0,COLUMN())</f>
        <v>-242</v>
      </c>
      <c r="BX69" s="1244">
        <f>INDEX(MO_CFSum_Dividend,0,COLUMN())</f>
        <v>-974</v>
      </c>
      <c r="BY69" s="954">
        <f>INDEX(MO_CFSum_Dividend,0,COLUMN())</f>
        <v>-243</v>
      </c>
      <c r="BZ69" s="678">
        <f t="shared" ref="BZ69:CC69" si="250">INDEX(MO_CFSum_Dividend,0,COLUMN())</f>
        <v>-6055.25</v>
      </c>
      <c r="CA69" s="678">
        <f t="shared" si="250"/>
        <v>-6055.25</v>
      </c>
      <c r="CB69" s="678">
        <f t="shared" si="250"/>
        <v>-6055.25</v>
      </c>
      <c r="CC69" s="1244">
        <f t="shared" si="250"/>
        <v>-18408.75</v>
      </c>
      <c r="CD69" s="678">
        <f t="shared" ref="CD69:CK69" si="251">INDEX(MO_CFSum_Dividend,0,COLUMN())</f>
        <v>-6055.25</v>
      </c>
      <c r="CE69" s="678">
        <f t="shared" si="251"/>
        <v>-6055.25</v>
      </c>
      <c r="CF69" s="678">
        <f t="shared" si="251"/>
        <v>-6055.25</v>
      </c>
      <c r="CG69" s="678">
        <f t="shared" si="251"/>
        <v>-6055.25</v>
      </c>
      <c r="CH69" s="1244">
        <f t="shared" si="251"/>
        <v>-24221</v>
      </c>
      <c r="CI69" s="1244">
        <f t="shared" si="251"/>
        <v>-24221</v>
      </c>
      <c r="CJ69" s="1244">
        <f t="shared" si="251"/>
        <v>-24221</v>
      </c>
      <c r="CK69" s="1244">
        <f t="shared" si="251"/>
        <v>-24221</v>
      </c>
      <c r="CL69" s="678"/>
    </row>
    <row r="70" spans="1:90" s="992" customFormat="1" x14ac:dyDescent="0.3">
      <c r="A70" s="686" t="s">
        <v>329</v>
      </c>
      <c r="B70" s="687"/>
      <c r="C70" s="1245">
        <f t="shared" ref="C70:AH70" ca="1" si="252">SUM(C68:C69)</f>
        <v>-158.31000000000003</v>
      </c>
      <c r="D70" s="1245">
        <f t="shared" ca="1" si="252"/>
        <v>410.20600000000002</v>
      </c>
      <c r="E70" s="1245">
        <f t="shared" ca="1" si="252"/>
        <v>577.90700000000004</v>
      </c>
      <c r="F70" s="1245">
        <f t="shared" ca="1" si="252"/>
        <v>770.42100000000016</v>
      </c>
      <c r="G70" s="688">
        <f t="shared" ca="1" si="252"/>
        <v>-38.131</v>
      </c>
      <c r="H70" s="688">
        <f t="shared" ca="1" si="252"/>
        <v>138.94200000000001</v>
      </c>
      <c r="I70" s="688">
        <f t="shared" ca="1" si="252"/>
        <v>136.80099999999993</v>
      </c>
      <c r="J70" s="688">
        <f t="shared" ca="1" si="252"/>
        <v>356.38499999999999</v>
      </c>
      <c r="K70" s="1245">
        <f t="shared" ca="1" si="252"/>
        <v>593.99699999999996</v>
      </c>
      <c r="L70" s="688">
        <f t="shared" ca="1" si="252"/>
        <v>63.715999999999973</v>
      </c>
      <c r="M70" s="688">
        <f t="shared" ca="1" si="252"/>
        <v>-31.859999999999992</v>
      </c>
      <c r="N70" s="688">
        <f t="shared" ca="1" si="252"/>
        <v>80.758999999999915</v>
      </c>
      <c r="O70" s="688">
        <f t="shared" ca="1" si="252"/>
        <v>286.00899999999996</v>
      </c>
      <c r="P70" s="1245">
        <f t="shared" ca="1" si="252"/>
        <v>398.6239999999998</v>
      </c>
      <c r="Q70" s="688">
        <f t="shared" ca="1" si="252"/>
        <v>75</v>
      </c>
      <c r="R70" s="688">
        <f t="shared" ca="1" si="252"/>
        <v>26</v>
      </c>
      <c r="S70" s="688">
        <f t="shared" ca="1" si="252"/>
        <v>131</v>
      </c>
      <c r="T70" s="688">
        <f t="shared" ca="1" si="252"/>
        <v>366</v>
      </c>
      <c r="U70" s="1245">
        <f t="shared" ca="1" si="252"/>
        <v>598</v>
      </c>
      <c r="V70" s="688">
        <f t="shared" ca="1" si="252"/>
        <v>170</v>
      </c>
      <c r="W70" s="688">
        <f t="shared" ca="1" si="252"/>
        <v>86</v>
      </c>
      <c r="X70" s="688">
        <f t="shared" ca="1" si="252"/>
        <v>185</v>
      </c>
      <c r="Y70" s="688">
        <f t="shared" ca="1" si="252"/>
        <v>435</v>
      </c>
      <c r="Z70" s="1245">
        <f t="shared" ca="1" si="252"/>
        <v>876</v>
      </c>
      <c r="AA70" s="688">
        <f t="shared" ca="1" si="252"/>
        <v>202</v>
      </c>
      <c r="AB70" s="688">
        <f t="shared" ca="1" si="252"/>
        <v>106</v>
      </c>
      <c r="AC70" s="688">
        <f t="shared" ca="1" si="252"/>
        <v>333</v>
      </c>
      <c r="AD70" s="688">
        <f t="shared" ca="1" si="252"/>
        <v>594</v>
      </c>
      <c r="AE70" s="1245">
        <f t="shared" ca="1" si="252"/>
        <v>1235</v>
      </c>
      <c r="AF70" s="688">
        <f t="shared" ca="1" si="252"/>
        <v>146</v>
      </c>
      <c r="AG70" s="688">
        <f t="shared" ca="1" si="252"/>
        <v>567</v>
      </c>
      <c r="AH70" s="688">
        <f t="shared" ca="1" si="252"/>
        <v>1004</v>
      </c>
      <c r="AI70" s="688">
        <f t="shared" ref="AI70:BG70" ca="1" si="253">SUM(AI68:AI69)</f>
        <v>851</v>
      </c>
      <c r="AJ70" s="1245">
        <f t="shared" ca="1" si="253"/>
        <v>2568</v>
      </c>
      <c r="AK70" s="688">
        <f t="shared" ca="1" si="253"/>
        <v>1236</v>
      </c>
      <c r="AL70" s="688">
        <f t="shared" ca="1" si="253"/>
        <v>693</v>
      </c>
      <c r="AM70" s="688">
        <f t="shared" ca="1" si="253"/>
        <v>246</v>
      </c>
      <c r="AN70" s="688">
        <f t="shared" ca="1" si="253"/>
        <v>597</v>
      </c>
      <c r="AO70" s="1245">
        <f t="shared" ca="1" si="253"/>
        <v>2772</v>
      </c>
      <c r="AP70" s="688">
        <f t="shared" ca="1" si="253"/>
        <v>495</v>
      </c>
      <c r="AQ70" s="688">
        <f t="shared" ca="1" si="253"/>
        <v>725</v>
      </c>
      <c r="AR70" s="688">
        <f t="shared" ca="1" si="253"/>
        <v>1440</v>
      </c>
      <c r="AS70" s="688">
        <f t="shared" ca="1" si="253"/>
        <v>1222</v>
      </c>
      <c r="AT70" s="1245">
        <f t="shared" ca="1" si="253"/>
        <v>3882</v>
      </c>
      <c r="AU70" s="688">
        <f t="shared" ca="1" si="253"/>
        <v>656</v>
      </c>
      <c r="AV70" s="688">
        <f t="shared" ca="1" si="253"/>
        <v>1251</v>
      </c>
      <c r="AW70" s="688">
        <f t="shared" ca="1" si="253"/>
        <v>707</v>
      </c>
      <c r="AX70" s="688">
        <f t="shared" ca="1" si="253"/>
        <v>1685</v>
      </c>
      <c r="AY70" s="1245">
        <f t="shared" ca="1" si="253"/>
        <v>4299</v>
      </c>
      <c r="AZ70" s="688">
        <f t="shared" ca="1" si="253"/>
        <v>1477</v>
      </c>
      <c r="BA70" s="688">
        <f t="shared" ca="1" si="253"/>
        <v>2400</v>
      </c>
      <c r="BB70" s="688">
        <f t="shared" ca="1" si="253"/>
        <v>1197</v>
      </c>
      <c r="BC70" s="688">
        <f t="shared" ca="1" si="253"/>
        <v>2659</v>
      </c>
      <c r="BD70" s="1245">
        <f t="shared" ca="1" si="253"/>
        <v>7733</v>
      </c>
      <c r="BE70" s="688">
        <f t="shared" ca="1" si="253"/>
        <v>1270</v>
      </c>
      <c r="BF70" s="688">
        <f t="shared" ca="1" si="253"/>
        <v>737</v>
      </c>
      <c r="BG70" s="688">
        <f t="shared" ca="1" si="253"/>
        <v>-238</v>
      </c>
      <c r="BH70" s="688">
        <f t="shared" ref="BH70:BN70" ca="1" si="254">SUM(BH68:BH69)</f>
        <v>1641</v>
      </c>
      <c r="BI70" s="1245">
        <f t="shared" ca="1" si="254"/>
        <v>3410</v>
      </c>
      <c r="BJ70" s="688">
        <f t="shared" ca="1" si="254"/>
        <v>2564</v>
      </c>
      <c r="BK70" s="688">
        <f t="shared" ca="1" si="254"/>
        <v>5959</v>
      </c>
      <c r="BL70" s="688">
        <f t="shared" ca="1" si="254"/>
        <v>6957</v>
      </c>
      <c r="BM70" s="688">
        <f t="shared" ca="1" si="254"/>
        <v>11146</v>
      </c>
      <c r="BN70" s="1245">
        <f t="shared" ca="1" si="254"/>
        <v>26626</v>
      </c>
      <c r="BO70" s="688">
        <f t="shared" ref="BO70:BT70" ca="1" si="255">SUM(BO68:BO69)</f>
        <v>14878</v>
      </c>
      <c r="BP70" s="688">
        <f t="shared" ca="1" si="255"/>
        <v>13265</v>
      </c>
      <c r="BQ70" s="688">
        <f t="shared" ca="1" si="255"/>
        <v>16569</v>
      </c>
      <c r="BR70" s="688">
        <f t="shared" ca="1" si="255"/>
        <v>15307</v>
      </c>
      <c r="BS70" s="1245">
        <f t="shared" ca="1" si="255"/>
        <v>60019</v>
      </c>
      <c r="BT70" s="688">
        <f t="shared" ca="1" si="255"/>
        <v>25943</v>
      </c>
      <c r="BU70" s="688">
        <f ca="1">SUM(BU68:BU69)</f>
        <v>13226</v>
      </c>
      <c r="BV70" s="688">
        <f ca="1">SUM(BV68:BV69)</f>
        <v>21871</v>
      </c>
      <c r="BW70" s="688">
        <f ca="1">SUM(BW68:BW69)</f>
        <v>34662</v>
      </c>
      <c r="BX70" s="1245">
        <f ca="1">SUM(BX68:BX69)</f>
        <v>95702</v>
      </c>
      <c r="BY70" s="964">
        <f ca="1">SUM(BY68:BY69)</f>
        <v>48344</v>
      </c>
      <c r="BZ70" s="688">
        <f t="shared" ref="BZ70:CC70" ca="1" si="256">SUM(BZ68:BZ69)</f>
        <v>35823.314682335018</v>
      </c>
      <c r="CA70" s="688">
        <f t="shared" ca="1" si="256"/>
        <v>31721.912374983091</v>
      </c>
      <c r="CB70" s="688">
        <f t="shared" ca="1" si="256"/>
        <v>50016.896525286982</v>
      </c>
      <c r="CC70" s="1245">
        <f t="shared" ca="1" si="256"/>
        <v>165906.1235826051</v>
      </c>
      <c r="CD70" s="688">
        <f t="shared" ref="CD70:CK70" ca="1" si="257">SUM(CD68:CD69)</f>
        <v>64553.022746162402</v>
      </c>
      <c r="CE70" s="688">
        <f t="shared" ca="1" si="257"/>
        <v>53376.417629460499</v>
      </c>
      <c r="CF70" s="688">
        <f t="shared" ca="1" si="257"/>
        <v>44379.961755590863</v>
      </c>
      <c r="CG70" s="688">
        <f t="shared" ca="1" si="257"/>
        <v>66978.60842787032</v>
      </c>
      <c r="CH70" s="1245">
        <f t="shared" ca="1" si="257"/>
        <v>229288.01055908413</v>
      </c>
      <c r="CI70" s="1245">
        <f t="shared" ca="1" si="257"/>
        <v>287612.11661453277</v>
      </c>
      <c r="CJ70" s="1245">
        <f t="shared" ca="1" si="257"/>
        <v>349985.99208045547</v>
      </c>
      <c r="CK70" s="1245">
        <f t="shared" ca="1" si="257"/>
        <v>422873.83568208443</v>
      </c>
      <c r="CL70" s="574"/>
    </row>
    <row r="71" spans="1:90" s="993" customFormat="1" x14ac:dyDescent="0.3">
      <c r="A71" s="676" t="str">
        <f>INDEX(MO_CFSum_Acquisition,0,COLUMN())</f>
        <v>Acquisitions</v>
      </c>
      <c r="B71" s="685"/>
      <c r="C71" s="1244">
        <f t="shared" ref="C71:AH71" si="258">INDEX(MO_CFSum_Acquisition,0,COLUMN())</f>
        <v>-27.948</v>
      </c>
      <c r="D71" s="1244">
        <f t="shared" si="258"/>
        <v>0</v>
      </c>
      <c r="E71" s="1244">
        <f t="shared" si="258"/>
        <v>0</v>
      </c>
      <c r="F71" s="1244">
        <f t="shared" si="258"/>
        <v>-348.88400000000001</v>
      </c>
      <c r="G71" s="678">
        <f t="shared" si="258"/>
        <v>0</v>
      </c>
      <c r="H71" s="678">
        <f t="shared" si="258"/>
        <v>0</v>
      </c>
      <c r="I71" s="678">
        <f t="shared" si="258"/>
        <v>0</v>
      </c>
      <c r="J71" s="678">
        <f t="shared" si="258"/>
        <v>0</v>
      </c>
      <c r="K71" s="1244">
        <f t="shared" si="258"/>
        <v>0</v>
      </c>
      <c r="L71" s="678">
        <f t="shared" si="258"/>
        <v>0</v>
      </c>
      <c r="M71" s="678">
        <f t="shared" si="258"/>
        <v>0</v>
      </c>
      <c r="N71" s="678">
        <f t="shared" si="258"/>
        <v>-17.145</v>
      </c>
      <c r="O71" s="678">
        <f t="shared" si="258"/>
        <v>0</v>
      </c>
      <c r="P71" s="1244">
        <f t="shared" si="258"/>
        <v>-17.145</v>
      </c>
      <c r="Q71" s="678">
        <f t="shared" si="258"/>
        <v>0</v>
      </c>
      <c r="R71" s="678">
        <f t="shared" si="258"/>
        <v>0</v>
      </c>
      <c r="S71" s="678">
        <f t="shared" si="258"/>
        <v>0</v>
      </c>
      <c r="T71" s="678">
        <f t="shared" si="258"/>
        <v>0</v>
      </c>
      <c r="U71" s="1244">
        <f t="shared" si="258"/>
        <v>0</v>
      </c>
      <c r="V71" s="678">
        <f t="shared" si="258"/>
        <v>0</v>
      </c>
      <c r="W71" s="678">
        <f t="shared" si="258"/>
        <v>0</v>
      </c>
      <c r="X71" s="678">
        <f t="shared" si="258"/>
        <v>0</v>
      </c>
      <c r="Y71" s="678">
        <f t="shared" si="258"/>
        <v>0</v>
      </c>
      <c r="Z71" s="1244">
        <f t="shared" si="258"/>
        <v>0</v>
      </c>
      <c r="AA71" s="678">
        <f t="shared" si="258"/>
        <v>0</v>
      </c>
      <c r="AB71" s="678">
        <f t="shared" si="258"/>
        <v>0</v>
      </c>
      <c r="AC71" s="678">
        <f t="shared" si="258"/>
        <v>0</v>
      </c>
      <c r="AD71" s="678">
        <f t="shared" si="258"/>
        <v>0</v>
      </c>
      <c r="AE71" s="1244">
        <f t="shared" si="258"/>
        <v>0</v>
      </c>
      <c r="AF71" s="678">
        <f t="shared" si="258"/>
        <v>0</v>
      </c>
      <c r="AG71" s="678">
        <f t="shared" si="258"/>
        <v>0</v>
      </c>
      <c r="AH71" s="678">
        <f t="shared" si="258"/>
        <v>0</v>
      </c>
      <c r="AI71" s="678">
        <f t="shared" ref="AI71:BG71" si="259">INDEX(MO_CFSum_Acquisition,0,COLUMN())</f>
        <v>0</v>
      </c>
      <c r="AJ71" s="1244">
        <f t="shared" si="259"/>
        <v>0</v>
      </c>
      <c r="AK71" s="678">
        <f t="shared" si="259"/>
        <v>0</v>
      </c>
      <c r="AL71" s="678">
        <f t="shared" si="259"/>
        <v>0</v>
      </c>
      <c r="AM71" s="678">
        <f t="shared" si="259"/>
        <v>0</v>
      </c>
      <c r="AN71" s="678">
        <f t="shared" si="259"/>
        <v>0</v>
      </c>
      <c r="AO71" s="1244">
        <f t="shared" si="259"/>
        <v>0</v>
      </c>
      <c r="AP71" s="678">
        <f t="shared" si="259"/>
        <v>0</v>
      </c>
      <c r="AQ71" s="678">
        <f t="shared" si="259"/>
        <v>0</v>
      </c>
      <c r="AR71" s="678">
        <f t="shared" si="259"/>
        <v>0</v>
      </c>
      <c r="AS71" s="678">
        <f t="shared" si="259"/>
        <v>0</v>
      </c>
      <c r="AT71" s="1244">
        <f t="shared" si="259"/>
        <v>0</v>
      </c>
      <c r="AU71" s="678">
        <f t="shared" si="259"/>
        <v>-34</v>
      </c>
      <c r="AV71" s="678">
        <f t="shared" si="259"/>
        <v>-7137</v>
      </c>
      <c r="AW71" s="678">
        <f t="shared" si="259"/>
        <v>-1353</v>
      </c>
      <c r="AX71" s="678">
        <f t="shared" si="259"/>
        <v>0</v>
      </c>
      <c r="AY71" s="1244">
        <f t="shared" si="259"/>
        <v>-8524</v>
      </c>
      <c r="AZ71" s="678">
        <f t="shared" si="259"/>
        <v>0</v>
      </c>
      <c r="BA71" s="678">
        <f t="shared" si="259"/>
        <v>0</v>
      </c>
      <c r="BB71" s="678">
        <f t="shared" si="259"/>
        <v>-203</v>
      </c>
      <c r="BC71" s="678">
        <f t="shared" si="259"/>
        <v>-60</v>
      </c>
      <c r="BD71" s="1244">
        <f t="shared" si="259"/>
        <v>-263</v>
      </c>
      <c r="BE71" s="678">
        <f t="shared" si="259"/>
        <v>-36</v>
      </c>
      <c r="BF71" s="678">
        <f t="shared" si="259"/>
        <v>-13</v>
      </c>
      <c r="BG71" s="678">
        <f t="shared" si="259"/>
        <v>0</v>
      </c>
      <c r="BH71" s="678">
        <f t="shared" ref="BH71:BN71" si="260">INDEX(MO_CFSum_Acquisition,0,COLUMN())</f>
        <v>0</v>
      </c>
      <c r="BI71" s="1244">
        <f t="shared" si="260"/>
        <v>-49</v>
      </c>
      <c r="BJ71" s="678">
        <f t="shared" si="260"/>
        <v>-83</v>
      </c>
      <c r="BK71" s="678">
        <f t="shared" si="260"/>
        <v>0</v>
      </c>
      <c r="BL71" s="678">
        <f t="shared" si="260"/>
        <v>0</v>
      </c>
      <c r="BM71" s="678">
        <f t="shared" si="260"/>
        <v>0</v>
      </c>
      <c r="BN71" s="1244">
        <f t="shared" si="260"/>
        <v>-83</v>
      </c>
      <c r="BO71" s="678">
        <f t="shared" ref="BO71:BT71" si="261">INDEX(MO_CFSum_Acquisition,0,COLUMN())</f>
        <v>-39</v>
      </c>
      <c r="BP71" s="678">
        <f t="shared" si="261"/>
        <v>-278</v>
      </c>
      <c r="BQ71" s="678">
        <f t="shared" si="261"/>
        <v>-148</v>
      </c>
      <c r="BR71" s="678">
        <f t="shared" si="261"/>
        <v>-542</v>
      </c>
      <c r="BS71" s="1244">
        <f t="shared" si="261"/>
        <v>-1007</v>
      </c>
      <c r="BT71" s="678">
        <f t="shared" si="261"/>
        <v>-383</v>
      </c>
      <c r="BU71" s="678">
        <f>INDEX(MO_CFSum_Acquisition,0,COLUMN())</f>
        <v>-294</v>
      </c>
      <c r="BV71" s="678">
        <f>INDEX(MO_CFSum_Acquisition,0,COLUMN())</f>
        <v>-693</v>
      </c>
      <c r="BW71" s="678">
        <f>INDEX(MO_CFSum_Acquisition,0,COLUMN())</f>
        <v>-13165</v>
      </c>
      <c r="BX71" s="1244">
        <f>INDEX(MO_CFSum_Acquisition,0,COLUMN())</f>
        <v>-14535</v>
      </c>
      <c r="BY71" s="954">
        <f>INDEX(MO_CFSum_Acquisition,0,COLUMN())</f>
        <v>-87</v>
      </c>
      <c r="BZ71" s="678">
        <f t="shared" ref="BZ71:CC71" si="262">INDEX(MO_CFSum_Acquisition,0,COLUMN())</f>
        <v>0</v>
      </c>
      <c r="CA71" s="678">
        <f t="shared" si="262"/>
        <v>0</v>
      </c>
      <c r="CB71" s="678">
        <f t="shared" si="262"/>
        <v>0</v>
      </c>
      <c r="CC71" s="1244">
        <f t="shared" si="262"/>
        <v>-87</v>
      </c>
      <c r="CD71" s="678">
        <f t="shared" ref="CD71:CK71" si="263">INDEX(MO_CFSum_Acquisition,0,COLUMN())</f>
        <v>0</v>
      </c>
      <c r="CE71" s="678">
        <f t="shared" si="263"/>
        <v>0</v>
      </c>
      <c r="CF71" s="678">
        <f t="shared" si="263"/>
        <v>0</v>
      </c>
      <c r="CG71" s="678">
        <f t="shared" si="263"/>
        <v>0</v>
      </c>
      <c r="CH71" s="1244">
        <f t="shared" si="263"/>
        <v>0</v>
      </c>
      <c r="CI71" s="1244">
        <f t="shared" si="263"/>
        <v>0</v>
      </c>
      <c r="CJ71" s="1244">
        <f t="shared" si="263"/>
        <v>0</v>
      </c>
      <c r="CK71" s="1244">
        <f t="shared" si="263"/>
        <v>0</v>
      </c>
      <c r="CL71" s="678"/>
    </row>
    <row r="72" spans="1:90" s="993" customFormat="1" x14ac:dyDescent="0.3">
      <c r="A72" s="676" t="str">
        <f>INDEX(MO_CFSum_Divestiture,0,COLUMN())</f>
        <v>Divestiture</v>
      </c>
      <c r="B72" s="685"/>
      <c r="C72" s="1244">
        <f t="shared" ref="C72:AH72" si="264">INDEX(MO_CFSum_Divestiture,0,COLUMN())</f>
        <v>0</v>
      </c>
      <c r="D72" s="1244">
        <f t="shared" si="264"/>
        <v>0</v>
      </c>
      <c r="E72" s="1244">
        <f t="shared" si="264"/>
        <v>0</v>
      </c>
      <c r="F72" s="1244">
        <f t="shared" si="264"/>
        <v>0</v>
      </c>
      <c r="G72" s="678">
        <f t="shared" si="264"/>
        <v>0</v>
      </c>
      <c r="H72" s="678">
        <f t="shared" si="264"/>
        <v>0</v>
      </c>
      <c r="I72" s="678">
        <f t="shared" si="264"/>
        <v>0</v>
      </c>
      <c r="J72" s="678">
        <f t="shared" si="264"/>
        <v>0</v>
      </c>
      <c r="K72" s="1244">
        <f t="shared" si="264"/>
        <v>0</v>
      </c>
      <c r="L72" s="678">
        <f t="shared" si="264"/>
        <v>0</v>
      </c>
      <c r="M72" s="678">
        <f t="shared" si="264"/>
        <v>0</v>
      </c>
      <c r="N72" s="678">
        <f t="shared" si="264"/>
        <v>0</v>
      </c>
      <c r="O72" s="678">
        <f t="shared" si="264"/>
        <v>24.780999999999999</v>
      </c>
      <c r="P72" s="1244">
        <f t="shared" si="264"/>
        <v>24.780999999999999</v>
      </c>
      <c r="Q72" s="678">
        <f t="shared" si="264"/>
        <v>21</v>
      </c>
      <c r="R72" s="678">
        <f t="shared" si="264"/>
        <v>0</v>
      </c>
      <c r="S72" s="678">
        <f t="shared" si="264"/>
        <v>0</v>
      </c>
      <c r="T72" s="678">
        <f t="shared" si="264"/>
        <v>0</v>
      </c>
      <c r="U72" s="1244">
        <f t="shared" si="264"/>
        <v>21</v>
      </c>
      <c r="V72" s="678">
        <f t="shared" si="264"/>
        <v>0</v>
      </c>
      <c r="W72" s="678">
        <f t="shared" si="264"/>
        <v>2</v>
      </c>
      <c r="X72" s="678">
        <f t="shared" si="264"/>
        <v>5</v>
      </c>
      <c r="Y72" s="678">
        <f t="shared" si="264"/>
        <v>0</v>
      </c>
      <c r="Z72" s="1244">
        <f t="shared" si="264"/>
        <v>7</v>
      </c>
      <c r="AA72" s="678">
        <f t="shared" si="264"/>
        <v>0</v>
      </c>
      <c r="AB72" s="678">
        <f t="shared" si="264"/>
        <v>6</v>
      </c>
      <c r="AC72" s="678">
        <f t="shared" si="264"/>
        <v>0</v>
      </c>
      <c r="AD72" s="678">
        <f t="shared" si="264"/>
        <v>1</v>
      </c>
      <c r="AE72" s="1244">
        <f t="shared" si="264"/>
        <v>7</v>
      </c>
      <c r="AF72" s="678">
        <f t="shared" si="264"/>
        <v>0</v>
      </c>
      <c r="AG72" s="678">
        <f t="shared" si="264"/>
        <v>0</v>
      </c>
      <c r="AH72" s="678">
        <f t="shared" si="264"/>
        <v>0</v>
      </c>
      <c r="AI72" s="678">
        <f t="shared" ref="AI72:BG72" si="265">INDEX(MO_CFSum_Divestiture,0,COLUMN())</f>
        <v>2</v>
      </c>
      <c r="AJ72" s="1244">
        <f t="shared" si="265"/>
        <v>2</v>
      </c>
      <c r="AK72" s="678">
        <f t="shared" si="265"/>
        <v>0</v>
      </c>
      <c r="AL72" s="678">
        <f t="shared" si="265"/>
        <v>0</v>
      </c>
      <c r="AM72" s="678">
        <f t="shared" si="265"/>
        <v>0</v>
      </c>
      <c r="AN72" s="678">
        <f t="shared" si="265"/>
        <v>0</v>
      </c>
      <c r="AO72" s="1244">
        <f t="shared" si="265"/>
        <v>0</v>
      </c>
      <c r="AP72" s="678">
        <f t="shared" si="265"/>
        <v>0</v>
      </c>
      <c r="AQ72" s="678">
        <f t="shared" si="265"/>
        <v>0</v>
      </c>
      <c r="AR72" s="678">
        <f t="shared" si="265"/>
        <v>0</v>
      </c>
      <c r="AS72" s="678">
        <f t="shared" si="265"/>
        <v>0</v>
      </c>
      <c r="AT72" s="1244">
        <f t="shared" si="265"/>
        <v>0</v>
      </c>
      <c r="AU72" s="678">
        <f t="shared" si="265"/>
        <v>0</v>
      </c>
      <c r="AV72" s="678">
        <f t="shared" si="265"/>
        <v>0</v>
      </c>
      <c r="AW72" s="678">
        <f t="shared" si="265"/>
        <v>0</v>
      </c>
      <c r="AX72" s="678">
        <f t="shared" si="265"/>
        <v>0</v>
      </c>
      <c r="AY72" s="1244">
        <f t="shared" si="265"/>
        <v>0</v>
      </c>
      <c r="AZ72" s="678">
        <f t="shared" si="265"/>
        <v>0</v>
      </c>
      <c r="BA72" s="678">
        <f t="shared" si="265"/>
        <v>0</v>
      </c>
      <c r="BB72" s="678">
        <f t="shared" si="265"/>
        <v>0</v>
      </c>
      <c r="BC72" s="678">
        <f t="shared" si="265"/>
        <v>0</v>
      </c>
      <c r="BD72" s="1244">
        <f t="shared" si="265"/>
        <v>0</v>
      </c>
      <c r="BE72" s="678">
        <f t="shared" si="265"/>
        <v>0</v>
      </c>
      <c r="BF72" s="678">
        <f t="shared" si="265"/>
        <v>0</v>
      </c>
      <c r="BG72" s="678">
        <f t="shared" si="265"/>
        <v>0</v>
      </c>
      <c r="BH72" s="678">
        <f t="shared" ref="BH72:BN72" si="266">INDEX(MO_CFSum_Divestiture,0,COLUMN())</f>
        <v>0</v>
      </c>
      <c r="BI72" s="1244">
        <f t="shared" si="266"/>
        <v>0</v>
      </c>
      <c r="BJ72" s="678">
        <f t="shared" si="266"/>
        <v>0</v>
      </c>
      <c r="BK72" s="678">
        <f t="shared" si="266"/>
        <v>0</v>
      </c>
      <c r="BL72" s="678">
        <f t="shared" si="266"/>
        <v>0</v>
      </c>
      <c r="BM72" s="678">
        <f t="shared" si="266"/>
        <v>0</v>
      </c>
      <c r="BN72" s="1244">
        <f t="shared" si="266"/>
        <v>0</v>
      </c>
      <c r="BO72" s="678">
        <f t="shared" ref="BO72:BT72" si="267">INDEX(MO_CFSum_Divestiture,0,COLUMN())</f>
        <v>0</v>
      </c>
      <c r="BP72" s="678">
        <f t="shared" si="267"/>
        <v>0</v>
      </c>
      <c r="BQ72" s="678">
        <f t="shared" si="267"/>
        <v>0</v>
      </c>
      <c r="BR72" s="678">
        <f t="shared" si="267"/>
        <v>0</v>
      </c>
      <c r="BS72" s="1244">
        <f t="shared" si="267"/>
        <v>0</v>
      </c>
      <c r="BT72" s="678">
        <f t="shared" si="267"/>
        <v>0</v>
      </c>
      <c r="BU72" s="678">
        <f>INDEX(MO_CFSum_Divestiture,0,COLUMN())</f>
        <v>0</v>
      </c>
      <c r="BV72" s="678">
        <f>INDEX(MO_CFSum_Divestiture,0,COLUMN())</f>
        <v>0</v>
      </c>
      <c r="BW72" s="678">
        <f>INDEX(MO_CFSum_Divestiture,0,COLUMN())</f>
        <v>0</v>
      </c>
      <c r="BX72" s="1244">
        <f>INDEX(MO_CFSum_Divestiture,0,COLUMN())</f>
        <v>0</v>
      </c>
      <c r="BY72" s="954">
        <f>INDEX(MO_CFSum_Divestiture,0,COLUMN())</f>
        <v>0</v>
      </c>
      <c r="BZ72" s="678">
        <f t="shared" ref="BZ72:CC72" si="268">INDEX(MO_CFSum_Divestiture,0,COLUMN())</f>
        <v>0</v>
      </c>
      <c r="CA72" s="678">
        <f t="shared" si="268"/>
        <v>0</v>
      </c>
      <c r="CB72" s="678">
        <f t="shared" si="268"/>
        <v>0</v>
      </c>
      <c r="CC72" s="1244">
        <f t="shared" si="268"/>
        <v>0</v>
      </c>
      <c r="CD72" s="678">
        <f t="shared" ref="CD72:CK72" si="269">INDEX(MO_CFSum_Divestiture,0,COLUMN())</f>
        <v>0</v>
      </c>
      <c r="CE72" s="678">
        <f t="shared" si="269"/>
        <v>0</v>
      </c>
      <c r="CF72" s="678">
        <f t="shared" si="269"/>
        <v>0</v>
      </c>
      <c r="CG72" s="678">
        <f t="shared" si="269"/>
        <v>0</v>
      </c>
      <c r="CH72" s="1244">
        <f t="shared" si="269"/>
        <v>0</v>
      </c>
      <c r="CI72" s="1244">
        <f t="shared" si="269"/>
        <v>0</v>
      </c>
      <c r="CJ72" s="1244">
        <f t="shared" si="269"/>
        <v>0</v>
      </c>
      <c r="CK72" s="1244">
        <f t="shared" si="269"/>
        <v>0</v>
      </c>
      <c r="CL72" s="678"/>
    </row>
    <row r="73" spans="1:90" s="993" customFormat="1" x14ac:dyDescent="0.3">
      <c r="A73" s="676" t="s">
        <v>331</v>
      </c>
      <c r="B73" s="685"/>
      <c r="C73" s="1244">
        <f t="shared" ref="C73:AH73" si="270">INDEX(MO_CFSum_NetShares,0,COLUMN())</f>
        <v>-350.08900000000006</v>
      </c>
      <c r="D73" s="1244">
        <f t="shared" si="270"/>
        <v>59.953999999999994</v>
      </c>
      <c r="E73" s="1244">
        <f t="shared" si="270"/>
        <v>192.59200000000001</v>
      </c>
      <c r="F73" s="1244">
        <f t="shared" si="270"/>
        <v>248.65</v>
      </c>
      <c r="G73" s="678">
        <f t="shared" si="270"/>
        <v>46.036000000000001</v>
      </c>
      <c r="H73" s="678">
        <f t="shared" si="270"/>
        <v>14.795999999999999</v>
      </c>
      <c r="I73" s="678">
        <f t="shared" si="270"/>
        <v>27.595000000000002</v>
      </c>
      <c r="J73" s="678">
        <f t="shared" si="270"/>
        <v>-54.782000000000011</v>
      </c>
      <c r="K73" s="1244">
        <f t="shared" si="270"/>
        <v>33.644999999999996</v>
      </c>
      <c r="L73" s="678">
        <f t="shared" si="270"/>
        <v>-66.884</v>
      </c>
      <c r="M73" s="678">
        <f t="shared" si="270"/>
        <v>-734.45299999999997</v>
      </c>
      <c r="N73" s="678">
        <f t="shared" si="270"/>
        <v>39.828999999999994</v>
      </c>
      <c r="O73" s="678">
        <f t="shared" si="270"/>
        <v>29.275000000000041</v>
      </c>
      <c r="P73" s="1244">
        <f t="shared" si="270"/>
        <v>-732.23299999999995</v>
      </c>
      <c r="Q73" s="678">
        <f t="shared" si="270"/>
        <v>-416</v>
      </c>
      <c r="R73" s="678">
        <f t="shared" si="270"/>
        <v>21</v>
      </c>
      <c r="S73" s="678">
        <f t="shared" si="270"/>
        <v>-274</v>
      </c>
      <c r="T73" s="678">
        <f t="shared" si="270"/>
        <v>27</v>
      </c>
      <c r="U73" s="1244">
        <f t="shared" si="270"/>
        <v>-642</v>
      </c>
      <c r="V73" s="678">
        <f t="shared" si="270"/>
        <v>3</v>
      </c>
      <c r="W73" s="678">
        <f t="shared" si="270"/>
        <v>-385</v>
      </c>
      <c r="X73" s="678">
        <f t="shared" si="270"/>
        <v>34</v>
      </c>
      <c r="Y73" s="678">
        <f t="shared" si="270"/>
        <v>-109</v>
      </c>
      <c r="Z73" s="1244">
        <f t="shared" si="270"/>
        <v>-457</v>
      </c>
      <c r="AA73" s="678">
        <f t="shared" si="270"/>
        <v>-481</v>
      </c>
      <c r="AB73" s="678">
        <f t="shared" si="270"/>
        <v>12</v>
      </c>
      <c r="AC73" s="678">
        <f t="shared" si="270"/>
        <v>-69</v>
      </c>
      <c r="AD73" s="678">
        <f t="shared" si="270"/>
        <v>-210</v>
      </c>
      <c r="AE73" s="1244">
        <f t="shared" si="270"/>
        <v>-748</v>
      </c>
      <c r="AF73" s="678">
        <f t="shared" si="270"/>
        <v>-125</v>
      </c>
      <c r="AG73" s="678">
        <f t="shared" si="270"/>
        <v>-747</v>
      </c>
      <c r="AH73" s="678">
        <f t="shared" si="270"/>
        <v>-482</v>
      </c>
      <c r="AI73" s="678">
        <f t="shared" ref="AI73:BG73" si="271">INDEX(MO_CFSum_NetShares,0,COLUMN())</f>
        <v>-28</v>
      </c>
      <c r="AJ73" s="1244">
        <f t="shared" si="271"/>
        <v>-1382</v>
      </c>
      <c r="AK73" s="678">
        <f t="shared" si="271"/>
        <v>-1038</v>
      </c>
      <c r="AL73" s="678">
        <f t="shared" si="271"/>
        <v>-63</v>
      </c>
      <c r="AM73" s="678">
        <f t="shared" si="271"/>
        <v>-601</v>
      </c>
      <c r="AN73" s="678">
        <f t="shared" si="271"/>
        <v>-772</v>
      </c>
      <c r="AO73" s="1244">
        <f t="shared" si="271"/>
        <v>-2474</v>
      </c>
      <c r="AP73" s="678">
        <f t="shared" si="271"/>
        <v>-128</v>
      </c>
      <c r="AQ73" s="678">
        <f t="shared" si="271"/>
        <v>-50</v>
      </c>
      <c r="AR73" s="678">
        <f t="shared" si="271"/>
        <v>-139</v>
      </c>
      <c r="AS73" s="678">
        <f t="shared" si="271"/>
        <v>-85</v>
      </c>
      <c r="AT73" s="1244">
        <f t="shared" si="271"/>
        <v>-402</v>
      </c>
      <c r="AU73" s="678">
        <f t="shared" si="271"/>
        <v>-134</v>
      </c>
      <c r="AV73" s="678">
        <f t="shared" si="271"/>
        <v>-190</v>
      </c>
      <c r="AW73" s="678">
        <f t="shared" si="271"/>
        <v>-202</v>
      </c>
      <c r="AX73" s="678">
        <f t="shared" si="271"/>
        <v>-222</v>
      </c>
      <c r="AY73" s="1244">
        <f t="shared" si="271"/>
        <v>-748</v>
      </c>
      <c r="AZ73" s="678">
        <f t="shared" si="271"/>
        <v>-351</v>
      </c>
      <c r="BA73" s="678">
        <f t="shared" si="271"/>
        <v>-364</v>
      </c>
      <c r="BB73" s="678">
        <f t="shared" si="271"/>
        <v>-290</v>
      </c>
      <c r="BC73" s="678">
        <f t="shared" si="271"/>
        <v>-618</v>
      </c>
      <c r="BD73" s="1244">
        <f t="shared" si="271"/>
        <v>-1623</v>
      </c>
      <c r="BE73" s="678">
        <f t="shared" si="271"/>
        <v>-2324</v>
      </c>
      <c r="BF73" s="678">
        <f t="shared" si="271"/>
        <v>-3649</v>
      </c>
      <c r="BG73" s="678">
        <f t="shared" si="271"/>
        <v>-3635</v>
      </c>
      <c r="BH73" s="678">
        <f t="shared" ref="BH73:BN73" si="272">INDEX(MO_CFSum_NetShares,0,COLUMN())</f>
        <v>-1551</v>
      </c>
      <c r="BI73" s="1244">
        <f t="shared" si="272"/>
        <v>-11159</v>
      </c>
      <c r="BJ73" s="678">
        <f t="shared" si="272"/>
        <v>-261</v>
      </c>
      <c r="BK73" s="678">
        <f t="shared" si="272"/>
        <v>-3738</v>
      </c>
      <c r="BL73" s="678">
        <f t="shared" si="272"/>
        <v>-4414</v>
      </c>
      <c r="BM73" s="678">
        <f t="shared" si="272"/>
        <v>-3500</v>
      </c>
      <c r="BN73" s="1244">
        <f t="shared" si="272"/>
        <v>-11913</v>
      </c>
      <c r="BO73" s="678">
        <f t="shared" ref="BO73:BT73" si="273">INDEX(MO_CFSum_NetShares,0,COLUMN())</f>
        <v>-9207</v>
      </c>
      <c r="BP73" s="678">
        <f t="shared" si="273"/>
        <v>-8795</v>
      </c>
      <c r="BQ73" s="678">
        <f t="shared" si="273"/>
        <v>-12472</v>
      </c>
      <c r="BR73" s="678">
        <f t="shared" si="273"/>
        <v>-9672</v>
      </c>
      <c r="BS73" s="1244">
        <f t="shared" si="273"/>
        <v>-40146</v>
      </c>
      <c r="BT73" s="678">
        <f t="shared" si="273"/>
        <v>-15257</v>
      </c>
      <c r="BU73" s="678">
        <f>INDEX(MO_CFSum_NetShares,0,COLUMN())</f>
        <v>-11568</v>
      </c>
      <c r="BV73" s="678">
        <f>INDEX(MO_CFSum_NetShares,0,COLUMN())</f>
        <v>-14612</v>
      </c>
      <c r="BW73" s="678">
        <f>INDEX(MO_CFSum_NetShares,0,COLUMN())</f>
        <v>-5953</v>
      </c>
      <c r="BX73" s="1244">
        <f>INDEX(MO_CFSum_NetShares,0,COLUMN())</f>
        <v>-47390</v>
      </c>
      <c r="BY73" s="954">
        <f>INDEX(MO_CFSum_NetShares,0,COLUMN())</f>
        <v>-20926</v>
      </c>
      <c r="BZ73" s="678">
        <f t="shared" ref="BZ73:CC73" si="274">INDEX(MO_CFSum_NetShares,0,COLUMN())</f>
        <v>0</v>
      </c>
      <c r="CA73" s="678">
        <f t="shared" si="274"/>
        <v>0</v>
      </c>
      <c r="CB73" s="678">
        <f t="shared" si="274"/>
        <v>0</v>
      </c>
      <c r="CC73" s="1244">
        <f t="shared" si="274"/>
        <v>-20926</v>
      </c>
      <c r="CD73" s="678">
        <f t="shared" ref="CD73:CK73" si="275">INDEX(MO_CFSum_NetShares,0,COLUMN())</f>
        <v>0</v>
      </c>
      <c r="CE73" s="678">
        <f t="shared" si="275"/>
        <v>0</v>
      </c>
      <c r="CF73" s="678">
        <f t="shared" si="275"/>
        <v>0</v>
      </c>
      <c r="CG73" s="678">
        <f t="shared" si="275"/>
        <v>0</v>
      </c>
      <c r="CH73" s="1244">
        <f t="shared" si="275"/>
        <v>0</v>
      </c>
      <c r="CI73" s="1244">
        <f t="shared" si="275"/>
        <v>0</v>
      </c>
      <c r="CJ73" s="1244">
        <f t="shared" si="275"/>
        <v>0</v>
      </c>
      <c r="CK73" s="1244">
        <f t="shared" si="275"/>
        <v>0</v>
      </c>
      <c r="CL73" s="678"/>
    </row>
    <row r="74" spans="1:90" s="993" customFormat="1" x14ac:dyDescent="0.3">
      <c r="A74" s="676" t="s">
        <v>332</v>
      </c>
      <c r="B74" s="685"/>
      <c r="C74" s="1244">
        <f t="shared" ref="C74:AH74" si="276">INDEX(MO_CFSum_NetDebtIssuance,0,COLUMN())</f>
        <v>0</v>
      </c>
      <c r="D74" s="1244">
        <f t="shared" si="276"/>
        <v>0</v>
      </c>
      <c r="E74" s="1244">
        <f t="shared" si="276"/>
        <v>-0.57099999999999995</v>
      </c>
      <c r="F74" s="1244">
        <f t="shared" si="276"/>
        <v>-11.927000000000001</v>
      </c>
      <c r="G74" s="678">
        <f t="shared" si="276"/>
        <v>-0.51500000000000001</v>
      </c>
      <c r="H74" s="678">
        <f t="shared" si="276"/>
        <v>-0.49599999999999989</v>
      </c>
      <c r="I74" s="678">
        <f t="shared" si="276"/>
        <v>1.0109999999999999</v>
      </c>
      <c r="J74" s="678">
        <f t="shared" si="276"/>
        <v>-2.0489999999999999</v>
      </c>
      <c r="K74" s="1244">
        <f t="shared" si="276"/>
        <v>-2.0489999999999999</v>
      </c>
      <c r="L74" s="678">
        <f t="shared" si="276"/>
        <v>-0.57599999999999996</v>
      </c>
      <c r="M74" s="678">
        <f t="shared" si="276"/>
        <v>-0.59300000000000008</v>
      </c>
      <c r="N74" s="678">
        <f t="shared" si="276"/>
        <v>-0.61099999999999999</v>
      </c>
      <c r="O74" s="678">
        <f t="shared" si="276"/>
        <v>1309.941</v>
      </c>
      <c r="P74" s="1244">
        <f t="shared" si="276"/>
        <v>1308.1610000000001</v>
      </c>
      <c r="Q74" s="678">
        <f t="shared" si="276"/>
        <v>-1</v>
      </c>
      <c r="R74" s="678">
        <f t="shared" si="276"/>
        <v>0</v>
      </c>
      <c r="S74" s="678">
        <f t="shared" si="276"/>
        <v>-1</v>
      </c>
      <c r="T74" s="678">
        <f t="shared" si="276"/>
        <v>-1</v>
      </c>
      <c r="U74" s="1244">
        <f t="shared" si="276"/>
        <v>-3</v>
      </c>
      <c r="V74" s="678">
        <f t="shared" si="276"/>
        <v>-1</v>
      </c>
      <c r="W74" s="678">
        <f t="shared" si="276"/>
        <v>-1</v>
      </c>
      <c r="X74" s="678">
        <f t="shared" si="276"/>
        <v>-1</v>
      </c>
      <c r="Y74" s="678">
        <f t="shared" si="276"/>
        <v>0</v>
      </c>
      <c r="Z74" s="1244">
        <f t="shared" si="276"/>
        <v>-3</v>
      </c>
      <c r="AA74" s="678">
        <f t="shared" si="276"/>
        <v>0</v>
      </c>
      <c r="AB74" s="678">
        <f t="shared" si="276"/>
        <v>0</v>
      </c>
      <c r="AC74" s="678">
        <f t="shared" si="276"/>
        <v>1544</v>
      </c>
      <c r="AD74" s="678">
        <f t="shared" si="276"/>
        <v>-237</v>
      </c>
      <c r="AE74" s="1244">
        <f t="shared" si="276"/>
        <v>1307</v>
      </c>
      <c r="AF74" s="678">
        <f t="shared" si="276"/>
        <v>-605</v>
      </c>
      <c r="AG74" s="678">
        <f t="shared" si="276"/>
        <v>-136</v>
      </c>
      <c r="AH74" s="678">
        <f t="shared" si="276"/>
        <v>-62</v>
      </c>
      <c r="AI74" s="678">
        <f t="shared" ref="AI74:BG74" si="277">INDEX(MO_CFSum_NetDebtIssuance,0,COLUMN())</f>
        <v>-9</v>
      </c>
      <c r="AJ74" s="1244">
        <f t="shared" si="277"/>
        <v>-812</v>
      </c>
      <c r="AK74" s="678">
        <f t="shared" si="277"/>
        <v>-2</v>
      </c>
      <c r="AL74" s="678">
        <f t="shared" si="277"/>
        <v>0</v>
      </c>
      <c r="AM74" s="678">
        <f t="shared" si="277"/>
        <v>-10</v>
      </c>
      <c r="AN74" s="678">
        <f t="shared" si="277"/>
        <v>-4</v>
      </c>
      <c r="AO74" s="1244">
        <f t="shared" si="277"/>
        <v>-16</v>
      </c>
      <c r="AP74" s="678">
        <f t="shared" si="277"/>
        <v>0</v>
      </c>
      <c r="AQ74" s="678">
        <f t="shared" si="277"/>
        <v>0</v>
      </c>
      <c r="AR74" s="678">
        <f t="shared" si="277"/>
        <v>0</v>
      </c>
      <c r="AS74" s="678">
        <f t="shared" si="277"/>
        <v>0</v>
      </c>
      <c r="AT74" s="1244">
        <f t="shared" si="277"/>
        <v>0</v>
      </c>
      <c r="AU74" s="678">
        <f t="shared" si="277"/>
        <v>4979</v>
      </c>
      <c r="AV74" s="678">
        <f t="shared" si="277"/>
        <v>-8</v>
      </c>
      <c r="AW74" s="678">
        <f t="shared" si="277"/>
        <v>0</v>
      </c>
      <c r="AX74" s="678">
        <f t="shared" si="277"/>
        <v>-3</v>
      </c>
      <c r="AY74" s="1244">
        <f t="shared" si="277"/>
        <v>4968</v>
      </c>
      <c r="AZ74" s="678">
        <f t="shared" si="277"/>
        <v>0</v>
      </c>
      <c r="BA74" s="678">
        <f t="shared" si="277"/>
        <v>4985</v>
      </c>
      <c r="BB74" s="678">
        <f t="shared" si="277"/>
        <v>-1008</v>
      </c>
      <c r="BC74" s="678">
        <f t="shared" si="277"/>
        <v>0</v>
      </c>
      <c r="BD74" s="1244">
        <f t="shared" si="277"/>
        <v>3977</v>
      </c>
      <c r="BE74" s="678">
        <f t="shared" si="277"/>
        <v>0</v>
      </c>
      <c r="BF74" s="678">
        <f t="shared" si="277"/>
        <v>0</v>
      </c>
      <c r="BG74" s="678">
        <f t="shared" si="277"/>
        <v>0</v>
      </c>
      <c r="BH74" s="678">
        <f t="shared" ref="BH74:BN74" si="278">INDEX(MO_CFSum_NetDebtIssuance,0,COLUMN())</f>
        <v>0</v>
      </c>
      <c r="BI74" s="1244">
        <f t="shared" si="278"/>
        <v>0</v>
      </c>
      <c r="BJ74" s="678">
        <f t="shared" si="278"/>
        <v>0</v>
      </c>
      <c r="BK74" s="678">
        <f t="shared" si="278"/>
        <v>-1250</v>
      </c>
      <c r="BL74" s="678">
        <f t="shared" si="278"/>
        <v>0</v>
      </c>
      <c r="BM74" s="678">
        <f t="shared" si="278"/>
        <v>0</v>
      </c>
      <c r="BN74" s="1244">
        <f t="shared" si="278"/>
        <v>-1250</v>
      </c>
      <c r="BO74" s="678">
        <f t="shared" ref="BO74:BT74" si="279">INDEX(MO_CFSum_NetDebtIssuance,0,COLUMN())</f>
        <v>0</v>
      </c>
      <c r="BP74" s="678">
        <f t="shared" si="279"/>
        <v>-1250</v>
      </c>
      <c r="BQ74" s="678">
        <f t="shared" si="279"/>
        <v>0</v>
      </c>
      <c r="BR74" s="678">
        <f t="shared" si="279"/>
        <v>0</v>
      </c>
      <c r="BS74" s="1244">
        <f t="shared" si="279"/>
        <v>-1250</v>
      </c>
      <c r="BT74" s="678">
        <f t="shared" si="279"/>
        <v>0</v>
      </c>
      <c r="BU74" s="678">
        <f>INDEX(MO_CFSum_NetDebtIssuance,0,COLUMN())</f>
        <v>0</v>
      </c>
      <c r="BV74" s="678">
        <f>INDEX(MO_CFSum_NetDebtIssuance,0,COLUMN())</f>
        <v>0</v>
      </c>
      <c r="BW74" s="678">
        <f>INDEX(MO_CFSum_NetDebtIssuance,0,COLUMN())</f>
        <v>0</v>
      </c>
      <c r="BX74" s="1244">
        <f>INDEX(MO_CFSum_NetDebtIssuance,0,COLUMN())</f>
        <v>0</v>
      </c>
      <c r="BY74" s="954">
        <f>INDEX(MO_CFSum_NetDebtIssuance,0,COLUMN())</f>
        <v>0</v>
      </c>
      <c r="BZ74" s="678">
        <f t="shared" ref="BZ74:CC74" si="280">INDEX(MO_CFSum_NetDebtIssuance,0,COLUMN())</f>
        <v>0</v>
      </c>
      <c r="CA74" s="678">
        <f t="shared" si="280"/>
        <v>0</v>
      </c>
      <c r="CB74" s="678">
        <f t="shared" si="280"/>
        <v>0</v>
      </c>
      <c r="CC74" s="1244">
        <f t="shared" si="280"/>
        <v>0</v>
      </c>
      <c r="CD74" s="678">
        <f t="shared" ref="CD74:CK74" si="281">INDEX(MO_CFSum_NetDebtIssuance,0,COLUMN())</f>
        <v>0</v>
      </c>
      <c r="CE74" s="678">
        <f t="shared" si="281"/>
        <v>0</v>
      </c>
      <c r="CF74" s="678">
        <f t="shared" si="281"/>
        <v>0</v>
      </c>
      <c r="CG74" s="678">
        <f t="shared" si="281"/>
        <v>0</v>
      </c>
      <c r="CH74" s="1244">
        <f t="shared" si="281"/>
        <v>0</v>
      </c>
      <c r="CI74" s="1244">
        <f t="shared" si="281"/>
        <v>0</v>
      </c>
      <c r="CJ74" s="1244">
        <f t="shared" si="281"/>
        <v>0</v>
      </c>
      <c r="CK74" s="1244">
        <f t="shared" si="281"/>
        <v>0</v>
      </c>
      <c r="CL74" s="678"/>
    </row>
    <row r="75" spans="1:90" s="993" customFormat="1" x14ac:dyDescent="0.3">
      <c r="A75" s="676" t="s">
        <v>333</v>
      </c>
      <c r="B75" s="685"/>
      <c r="C75" s="1244">
        <f>+Model!C889+Model!C909+Model!C912+Model!C888+Model!C880+Model!C881+Model!C882+Model!C887+Model!C908+Model!C883</f>
        <v>227.06600000000003</v>
      </c>
      <c r="D75" s="1244">
        <f>+Model!D889+Model!D909+Model!D912+Model!D888+Model!D880+Model!D881+Model!D882+Model!D887+Model!D908+Model!D883</f>
        <v>-440.62700000000018</v>
      </c>
      <c r="E75" s="1244">
        <f>+Model!E889+Model!E909+Model!E912+Model!E888+Model!E880+Model!E881+Model!E882+Model!E887+Model!E908+Model!E883</f>
        <v>-551.78800000000001</v>
      </c>
      <c r="F75" s="1244">
        <f>+Model!F889+Model!F909+Model!F912+Model!F888+Model!F880+Model!F881+Model!F882+Model!F887+Model!F908+Model!F883</f>
        <v>-655.74499999999989</v>
      </c>
      <c r="G75" s="678">
        <f>+Model!G889+Model!G909+Model!G912+Model!G888+Model!G880+Model!G881+Model!G882+Model!G887+Model!G908+Model!G883</f>
        <v>-306.13099999999997</v>
      </c>
      <c r="H75" s="678">
        <f>+Model!H889+Model!H909+Model!H912+Model!H888+Model!H880+Model!H881+Model!H882+Model!H887+Model!H908+Model!H883</f>
        <v>-22.759000000000015</v>
      </c>
      <c r="I75" s="678">
        <f>+Model!I889+Model!I909+Model!I912+Model!I888+Model!I880+Model!I881+Model!I882+Model!I887+Model!I908+Model!I883</f>
        <v>-139.63700000000011</v>
      </c>
      <c r="J75" s="678">
        <f>+Model!J889+Model!J909+Model!J912+Model!J888+Model!J880+Model!J881+Model!J882+Model!J887+Model!J908+Model!J883</f>
        <v>-92.155999999999949</v>
      </c>
      <c r="K75" s="1244">
        <f>+Model!K889+Model!K909+Model!K912+Model!K888+Model!K880+Model!K881+Model!K882+Model!K887+Model!K908+Model!K883</f>
        <v>-560.68300000000033</v>
      </c>
      <c r="L75" s="678">
        <f>+Model!L889+Model!L909+Model!L912+Model!L888+Model!L880+Model!L881+Model!L882+Model!L887+Model!L908+Model!L883</f>
        <v>-167.61900000000009</v>
      </c>
      <c r="M75" s="678">
        <f>+Model!M889+Model!M909+Model!M912+Model!M888+Model!M880+Model!M881+Model!M882+Model!M887+Model!M908+Model!M883</f>
        <v>796.80399999999986</v>
      </c>
      <c r="N75" s="678">
        <f>+Model!N889+Model!N909+Model!N912+Model!N888+Model!N880+Model!N881+Model!N882+Model!N887+Model!N908+Model!N883</f>
        <v>-132.0689999999999</v>
      </c>
      <c r="O75" s="678">
        <f>+Model!O889+Model!O909+Model!O912+Model!O888+Model!O880+Model!O881+Model!O882+Model!O887+Model!O908+Model!O883</f>
        <v>-1060.5029999999999</v>
      </c>
      <c r="P75" s="1244">
        <f>+Model!P889+Model!P909+Model!P912+Model!P888+Model!P880+Model!P881+Model!P882+Model!P887+Model!P908+Model!P883</f>
        <v>-563.38700000000006</v>
      </c>
      <c r="Q75" s="678">
        <f>+Model!Q889+Model!Q909+Model!Q912+Model!Q888+Model!Q880+Model!Q881+Model!Q882+Model!Q887+Model!Q908+Model!Q883</f>
        <v>-322</v>
      </c>
      <c r="R75" s="678">
        <f>+Model!R889+Model!R909+Model!R912+Model!R888+Model!R880+Model!R881+Model!R882+Model!R887+Model!R908+Model!R883</f>
        <v>-41</v>
      </c>
      <c r="S75" s="678">
        <f>+Model!S889+Model!S909+Model!S912+Model!S888+Model!S880+Model!S881+Model!S882+Model!S887+Model!S908+Model!S883</f>
        <v>24</v>
      </c>
      <c r="T75" s="678">
        <f>+Model!T889+Model!T909+Model!T912+Model!T888+Model!T880+Model!T881+Model!T882+Model!T887+Model!T908+Model!T883</f>
        <v>-290</v>
      </c>
      <c r="U75" s="1244">
        <f>+Model!U889+Model!U909+Model!U912+Model!U888+Model!U880+Model!U881+Model!U882+Model!U887+Model!U908+Model!U883</f>
        <v>-629</v>
      </c>
      <c r="V75" s="678">
        <f>+Model!V889+Model!V909+Model!V912+Model!V888+Model!V880+Model!V881+Model!V882+Model!V887+Model!V908+Model!V883</f>
        <v>-205</v>
      </c>
      <c r="W75" s="678">
        <f>+Model!W889+Model!W909+Model!W912+Model!W888+Model!W880+Model!W881+Model!W882+Model!W887+Model!W908+Model!W883</f>
        <v>269</v>
      </c>
      <c r="X75" s="678">
        <f>+Model!X889+Model!X909+Model!X912+Model!X888+Model!X880+Model!X881+Model!X882+Model!X887+Model!X908+Model!X883</f>
        <v>-187</v>
      </c>
      <c r="Y75" s="678">
        <f>+Model!Y889+Model!Y909+Model!Y912+Model!Y888+Model!Y880+Model!Y881+Model!Y882+Model!Y887+Model!Y908+Model!Y883</f>
        <v>-201</v>
      </c>
      <c r="Z75" s="1244">
        <f>+Model!Z889+Model!Z909+Model!Z912+Model!Z888+Model!Z880+Model!Z881+Model!Z882+Model!Z887+Model!Z908+Model!Z883</f>
        <v>-324</v>
      </c>
      <c r="AA75" s="678">
        <f>+Model!AA889+Model!AA909+Model!AA912+Model!AA888+Model!AA880+Model!AA881+Model!AA882+Model!AA887+Model!AA908+Model!AA883</f>
        <v>230</v>
      </c>
      <c r="AB75" s="678">
        <f>+Model!AB889+Model!AB909+Model!AB912+Model!AB888+Model!AB880+Model!AB881+Model!AB882+Model!AB887+Model!AB908+Model!AB883</f>
        <v>-245</v>
      </c>
      <c r="AC75" s="678">
        <f>+Model!AC889+Model!AC909+Model!AC912+Model!AC888+Model!AC880+Model!AC881+Model!AC882+Model!AC887+Model!AC908+Model!AC883</f>
        <v>-294</v>
      </c>
      <c r="AD75" s="678">
        <f>+Model!AD889+Model!AD909+Model!AD912+Model!AD888+Model!AD880+Model!AD881+Model!AD882+Model!AD887+Model!AD908+Model!AD883</f>
        <v>-322</v>
      </c>
      <c r="AE75" s="1244">
        <f>+Model!AE889+Model!AE909+Model!AE912+Model!AE888+Model!AE880+Model!AE881+Model!AE882+Model!AE887+Model!AE908+Model!AE883</f>
        <v>-631</v>
      </c>
      <c r="AF75" s="678">
        <f>+Model!AF889+Model!AF909+Model!AF912+Model!AF888+Model!AF880+Model!AF881+Model!AF882+Model!AF887+Model!AF908+Model!AF883</f>
        <v>807</v>
      </c>
      <c r="AG75" s="678">
        <f>+Model!AG889+Model!AG909+Model!AG912+Model!AG888+Model!AG880+Model!AG881+Model!AG882+Model!AG887+Model!AG908+Model!AG883</f>
        <v>315</v>
      </c>
      <c r="AH75" s="678">
        <f>+Model!AH889+Model!AH909+Model!AH912+Model!AH888+Model!AH880+Model!AH881+Model!AH882+Model!AH887+Model!AH908+Model!AH883</f>
        <v>354</v>
      </c>
      <c r="AI75" s="678">
        <f>+Model!AI889+Model!AI909+Model!AI912+Model!AI888+Model!AI880+Model!AI881+Model!AI882+Model!AI887+Model!AI908+Model!AI883</f>
        <v>384</v>
      </c>
      <c r="AJ75" s="1244">
        <f>+Model!AJ889+Model!AJ909+Model!AJ912+Model!AJ888+Model!AJ880+Model!AJ881+Model!AJ882+Model!AJ887+Model!AJ908+Model!AJ883</f>
        <v>1860</v>
      </c>
      <c r="AK75" s="678">
        <f>+Model!AK889+Model!AK909+Model!AK912+Model!AK888+Model!AK880+Model!AK881+Model!AK882+Model!AK887+Model!AK908+Model!AK883</f>
        <v>-3433</v>
      </c>
      <c r="AL75" s="678">
        <f>+Model!AL889+Model!AL909+Model!AL912+Model!AL888+Model!AL880+Model!AL881+Model!AL882+Model!AL887+Model!AL908+Model!AL883</f>
        <v>-677</v>
      </c>
      <c r="AM75" s="678">
        <f>+Model!AM889+Model!AM909+Model!AM912+Model!AM888+Model!AM880+Model!AM881+Model!AM882+Model!AM887+Model!AM908+Model!AM883</f>
        <v>368</v>
      </c>
      <c r="AN75" s="678">
        <f>+Model!AN889+Model!AN909+Model!AN912+Model!AN888+Model!AN880+Model!AN881+Model!AN882+Model!AN887+Model!AN908+Model!AN883</f>
        <v>240</v>
      </c>
      <c r="AO75" s="1244">
        <f>+Model!AO889+Model!AO909+Model!AO912+Model!AO888+Model!AO880+Model!AO881+Model!AO882+Model!AO887+Model!AO908+Model!AO883</f>
        <v>-3502</v>
      </c>
      <c r="AP75" s="678">
        <f>+Model!AP889+Model!AP909+Model!AP912+Model!AP888+Model!AP880+Model!AP881+Model!AP882+Model!AP887+Model!AP908+Model!AP883</f>
        <v>1623</v>
      </c>
      <c r="AQ75" s="678">
        <f>+Model!AQ889+Model!AQ909+Model!AQ912+Model!AQ888+Model!AQ880+Model!AQ881+Model!AQ882+Model!AQ887+Model!AQ908+Model!AQ883</f>
        <v>3658</v>
      </c>
      <c r="AR75" s="678">
        <f>+Model!AR889+Model!AR909+Model!AR912+Model!AR888+Model!AR880+Model!AR881+Model!AR882+Model!AR887+Model!AR908+Model!AR883</f>
        <v>1359</v>
      </c>
      <c r="AS75" s="678">
        <f>+Model!AS889+Model!AS909+Model!AS912+Model!AS888+Model!AS880+Model!AS881+Model!AS882+Model!AS887+Model!AS908+Model!AS883</f>
        <v>-6</v>
      </c>
      <c r="AT75" s="1244">
        <f>+Model!AT889+Model!AT909+Model!AT912+Model!AT888+Model!AT880+Model!AT881+Model!AT882+Model!AT887+Model!AT908+Model!AT883</f>
        <v>6634</v>
      </c>
      <c r="AU75" s="678">
        <f>+Model!AU889+Model!AU909+Model!AU912+Model!AU888+Model!AU880+Model!AU881+Model!AU882+Model!AU887+Model!AU908+Model!AU883</f>
        <v>-869</v>
      </c>
      <c r="AV75" s="678">
        <f>+Model!AV889+Model!AV909+Model!AV912+Model!AV888+Model!AV880+Model!AV881+Model!AV882+Model!AV887+Model!AV908+Model!AV883</f>
        <v>-6136</v>
      </c>
      <c r="AW75" s="678">
        <f>+Model!AW889+Model!AW909+Model!AW912+Model!AW888+Model!AW880+Model!AW881+Model!AW882+Model!AW887+Model!AW908+Model!AW883</f>
        <v>-175</v>
      </c>
      <c r="AX75" s="678">
        <f>+Model!AX889+Model!AX909+Model!AX912+Model!AX888+Model!AX880+Model!AX881+Model!AX882+Model!AX887+Model!AX908+Model!AX883</f>
        <v>-2864</v>
      </c>
      <c r="AY75" s="1244">
        <f>+Model!AY889+Model!AY909+Model!AY912+Model!AY888+Model!AY880+Model!AY881+Model!AY882+Model!AY887+Model!AY908+Model!AY883</f>
        <v>-10044</v>
      </c>
      <c r="AZ75" s="678">
        <f>+Model!AZ889+Model!AZ909+Model!AZ912+Model!AZ888+Model!AZ880+Model!AZ881+Model!AZ882+Model!AZ887+Model!AZ908+Model!AZ883</f>
        <v>-995</v>
      </c>
      <c r="BA75" s="678">
        <f>+Model!BA889+Model!BA909+Model!BA912+Model!BA888+Model!BA880+Model!BA881+Model!BA882+Model!BA887+Model!BA908+Model!BA883</f>
        <v>-2371</v>
      </c>
      <c r="BB75" s="678">
        <f>+Model!BB889+Model!BB909+Model!BB912+Model!BB888+Model!BB880+Model!BB881+Model!BB882+Model!BB887+Model!BB908+Model!BB883</f>
        <v>-4036</v>
      </c>
      <c r="BC75" s="678">
        <f>+Model!BC889+Model!BC909+Model!BC912+Model!BC888+Model!BC880+Model!BC881+Model!BC882+Model!BC887+Model!BC908+Model!BC883</f>
        <v>-1279</v>
      </c>
      <c r="BD75" s="1244">
        <f>+Model!BD889+Model!BD909+Model!BD912+Model!BD888+Model!BD880+Model!BD881+Model!BD882+Model!BD887+Model!BD908+Model!BD883</f>
        <v>-8681</v>
      </c>
      <c r="BE75" s="678">
        <f>+Model!BE889+Model!BE909+Model!BE912+Model!BE888+Model!BE880+Model!BE881+Model!BE882+Model!BE887+Model!BE908+Model!BE883</f>
        <v>2987</v>
      </c>
      <c r="BF75" s="678">
        <f>+Model!BF889+Model!BF909+Model!BF912+Model!BF888+Model!BF880+Model!BF881+Model!BF882+Model!BF887+Model!BF908+Model!BF883</f>
        <v>2051</v>
      </c>
      <c r="BG75" s="678">
        <f>+Model!BG889+Model!BG909+Model!BG912+Model!BG888+Model!BG880+Model!BG881+Model!BG882+Model!BG887+Model!BG908+Model!BG883</f>
        <v>3660</v>
      </c>
      <c r="BH75" s="678">
        <f>+Model!BH889+Model!BH909+Model!BH912+Model!BH888+Model!BH880+Model!BH881+Model!BH882+Model!BH887+Model!BH908+Model!BH883</f>
        <v>499</v>
      </c>
      <c r="BI75" s="1244">
        <f>+Model!BI889+Model!BI909+Model!BI912+Model!BI888+Model!BI880+Model!BI881+Model!BI882+Model!BI887+Model!BI908+Model!BI883</f>
        <v>9197</v>
      </c>
      <c r="BJ75" s="678">
        <f>+Model!BJ889+Model!BJ909+Model!BJ912+Model!BJ888+Model!BJ880+Model!BJ881+Model!BJ882+Model!BJ887+Model!BJ908+Model!BJ883</f>
        <v>-530</v>
      </c>
      <c r="BK75" s="678">
        <f>+Model!BK889+Model!BK909+Model!BK912+Model!BK888+Model!BK880+Model!BK881+Model!BK882+Model!BK887+Model!BK908+Model!BK883</f>
        <v>-168</v>
      </c>
      <c r="BL75" s="678">
        <f>+Model!BL889+Model!BL909+Model!BL912+Model!BL888+Model!BL880+Model!BL881+Model!BL882+Model!BL887+Model!BL908+Model!BL883</f>
        <v>-2906</v>
      </c>
      <c r="BM75" s="678">
        <f>+Model!BM889+Model!BM909+Model!BM912+Model!BM888+Model!BM880+Model!BM881+Model!BM882+Model!BM887+Model!BM908+Model!BM883</f>
        <v>-5885</v>
      </c>
      <c r="BN75" s="1244">
        <f>+Model!BN889+Model!BN909+Model!BN912+Model!BN888+Model!BN880+Model!BN881+Model!BN882+Model!BN887+Model!BN908+Model!BN883</f>
        <v>-9489</v>
      </c>
      <c r="BO75" s="678">
        <f>+Model!BO889+Model!BO909+Model!BO912+Model!BO888+Model!BO880+Model!BO881+Model!BO882+Model!BO887+Model!BO908+Model!BO883</f>
        <v>-5325</v>
      </c>
      <c r="BP75" s="678">
        <f>+Model!BP889+Model!BP909+Model!BP912+Model!BP888+Model!BP880+Model!BP881+Model!BP882+Model!BP887+Model!BP908+Model!BP883</f>
        <v>-1958</v>
      </c>
      <c r="BQ75" s="678">
        <f>+Model!BQ889+Model!BQ909+Model!BQ912+Model!BQ888+Model!BQ880+Model!BQ881+Model!BQ882+Model!BQ887+Model!BQ908+Model!BQ883</f>
        <v>-3413</v>
      </c>
      <c r="BR75" s="678">
        <f>+Model!BR889+Model!BR909+Model!BR912+Model!BR888+Model!BR880+Model!BR881+Model!BR882+Model!BR887+Model!BR908+Model!BR883</f>
        <v>-5611</v>
      </c>
      <c r="BS75" s="1244">
        <f>+Model!BS889+Model!BS909+Model!BS912+Model!BS888+Model!BS880+Model!BS881+Model!BS882+Model!BS887+Model!BS908+Model!BS883</f>
        <v>-16307</v>
      </c>
      <c r="BT75" s="678">
        <f>+Model!BT889+Model!BT909+Model!BT912+Model!BT888+Model!BT880+Model!BT881+Model!BT882+Model!BT887+Model!BT908+Model!BT883</f>
        <v>-3658</v>
      </c>
      <c r="BU75" s="678">
        <f>+Model!BU889+Model!BU909+Model!BU912+Model!BU888+Model!BU880+Model!BU881+Model!BU882+Model!BU887+Model!BU908+Model!BU883</f>
        <v>-4959</v>
      </c>
      <c r="BV75" s="678">
        <f>+Model!BV889+Model!BV909+Model!BV912+Model!BV888+Model!BV880+Model!BV881+Model!BV882+Model!BV887+Model!BV908+Model!BV883</f>
        <v>-6719</v>
      </c>
      <c r="BW75" s="678">
        <f>+Model!BW889+Model!BW909+Model!BW912+Model!BW888+Model!BW880+Model!BW881+Model!BW882+Model!BW887+Model!BW908+Model!BW883</f>
        <v>-16425</v>
      </c>
      <c r="BX75" s="1244">
        <f>+Model!BX889+Model!BX909+Model!BX912+Model!BX888+Model!BX880+Model!BX881+Model!BX882+Model!BX887+Model!BX908+Model!BX883</f>
        <v>-31761</v>
      </c>
      <c r="BY75" s="954">
        <f>+Model!BY889+Model!BY909+Model!BY912+Model!BY888+Model!BY880+Model!BY881+Model!BY882+Model!BY887+Model!BY908+Model!BY883</f>
        <v>-24699</v>
      </c>
      <c r="BZ75" s="678">
        <f>+Model!BZ889+Model!BZ909+Model!BZ912+Model!BZ888+Model!BZ880+Model!BZ881+Model!BZ882+Model!BZ887+Model!BZ908+Model!BZ883</f>
        <v>0</v>
      </c>
      <c r="CA75" s="678">
        <f>+Model!CA889+Model!CA909+Model!CA912+Model!CA888+Model!CA880+Model!CA881+Model!CA882+Model!CA887+Model!CA908+Model!CA883</f>
        <v>0</v>
      </c>
      <c r="CB75" s="678">
        <f>+Model!CB889+Model!CB909+Model!CB912+Model!CB888+Model!CB880+Model!CB881+Model!CB882+Model!CB887+Model!CB908+Model!CB883</f>
        <v>0</v>
      </c>
      <c r="CC75" s="1244">
        <f>+Model!CC889+Model!CC909+Model!CC912+Model!CC888+Model!CC880+Model!CC881+Model!CC882+Model!CC887+Model!CC908+Model!CC883</f>
        <v>-24699</v>
      </c>
      <c r="CD75" s="678">
        <f>+Model!CD889+Model!CD909+Model!CD912+Model!CD888+Model!CD880+Model!CD881+Model!CD882+Model!CD887+Model!CD908+Model!CD883</f>
        <v>0</v>
      </c>
      <c r="CE75" s="678">
        <f>+Model!CE889+Model!CE909+Model!CE912+Model!CE888+Model!CE880+Model!CE881+Model!CE882+Model!CE887+Model!CE908+Model!CE883</f>
        <v>0</v>
      </c>
      <c r="CF75" s="678">
        <f>+Model!CF889+Model!CF909+Model!CF912+Model!CF888+Model!CF880+Model!CF881+Model!CF882+Model!CF887+Model!CF908+Model!CF883</f>
        <v>0</v>
      </c>
      <c r="CG75" s="678">
        <f>+Model!CG889+Model!CG909+Model!CG912+Model!CG888+Model!CG880+Model!CG881+Model!CG882+Model!CG887+Model!CG908+Model!CG883</f>
        <v>0</v>
      </c>
      <c r="CH75" s="1244">
        <f>+Model!CH889+Model!CH909+Model!CH912+Model!CH888+Model!CH880+Model!CH881+Model!CH882+Model!CH887+Model!CH908+Model!CH883</f>
        <v>0</v>
      </c>
      <c r="CI75" s="1244">
        <f>+Model!CI889+Model!CI909+Model!CI912+Model!CI888+Model!CI880+Model!CI881+Model!CI882+Model!CI887+Model!CI908+Model!CI883</f>
        <v>0</v>
      </c>
      <c r="CJ75" s="1244">
        <f>+Model!CJ889+Model!CJ909+Model!CJ912+Model!CJ888+Model!CJ880+Model!CJ881+Model!CJ882+Model!CJ887+Model!CJ908+Model!CJ883</f>
        <v>0</v>
      </c>
      <c r="CK75" s="1244">
        <f>+Model!CK889+Model!CK909+Model!CK912+Model!CK888+Model!CK880+Model!CK881+Model!CK882+Model!CK887+Model!CK908+Model!CK883</f>
        <v>0</v>
      </c>
      <c r="CL75" s="678"/>
    </row>
    <row r="76" spans="1:90" s="992" customFormat="1" x14ac:dyDescent="0.3">
      <c r="A76" s="686" t="s">
        <v>334</v>
      </c>
      <c r="B76" s="687"/>
      <c r="C76" s="1245">
        <f t="shared" ref="C76:AH76" ca="1" si="282">SUM(C70:C75)</f>
        <v>-309.28100000000006</v>
      </c>
      <c r="D76" s="1245">
        <f t="shared" ca="1" si="282"/>
        <v>29.532999999999845</v>
      </c>
      <c r="E76" s="1245">
        <f t="shared" ca="1" si="282"/>
        <v>218.14</v>
      </c>
      <c r="F76" s="1245">
        <f t="shared" ca="1" si="282"/>
        <v>2.5150000000002137</v>
      </c>
      <c r="G76" s="688">
        <f t="shared" ca="1" si="282"/>
        <v>-298.74099999999999</v>
      </c>
      <c r="H76" s="688">
        <f t="shared" ca="1" si="282"/>
        <v>130.48299999999998</v>
      </c>
      <c r="I76" s="688">
        <f t="shared" ca="1" si="282"/>
        <v>25.769999999999811</v>
      </c>
      <c r="J76" s="688">
        <f t="shared" ca="1" si="282"/>
        <v>207.39800000000002</v>
      </c>
      <c r="K76" s="1245">
        <f t="shared" ca="1" si="282"/>
        <v>64.909999999999627</v>
      </c>
      <c r="L76" s="688">
        <f t="shared" ca="1" si="282"/>
        <v>-171.36300000000011</v>
      </c>
      <c r="M76" s="688">
        <f t="shared" ca="1" si="282"/>
        <v>29.897999999999911</v>
      </c>
      <c r="N76" s="688">
        <f t="shared" ca="1" si="282"/>
        <v>-29.236999999999995</v>
      </c>
      <c r="O76" s="688">
        <f t="shared" ca="1" si="282"/>
        <v>589.50300000000016</v>
      </c>
      <c r="P76" s="1245">
        <f t="shared" ca="1" si="282"/>
        <v>418.80099999999982</v>
      </c>
      <c r="Q76" s="688">
        <f t="shared" ca="1" si="282"/>
        <v>-643</v>
      </c>
      <c r="R76" s="688">
        <f t="shared" ca="1" si="282"/>
        <v>6</v>
      </c>
      <c r="S76" s="688">
        <f t="shared" ca="1" si="282"/>
        <v>-120</v>
      </c>
      <c r="T76" s="688">
        <f t="shared" ca="1" si="282"/>
        <v>102</v>
      </c>
      <c r="U76" s="1245">
        <f t="shared" ca="1" si="282"/>
        <v>-655</v>
      </c>
      <c r="V76" s="688">
        <f t="shared" ca="1" si="282"/>
        <v>-33</v>
      </c>
      <c r="W76" s="688">
        <f t="shared" ca="1" si="282"/>
        <v>-29</v>
      </c>
      <c r="X76" s="688">
        <f t="shared" ca="1" si="282"/>
        <v>36</v>
      </c>
      <c r="Y76" s="688">
        <f t="shared" ca="1" si="282"/>
        <v>125</v>
      </c>
      <c r="Z76" s="1245">
        <f t="shared" ca="1" si="282"/>
        <v>99</v>
      </c>
      <c r="AA76" s="688">
        <f t="shared" ca="1" si="282"/>
        <v>-49</v>
      </c>
      <c r="AB76" s="688">
        <f t="shared" ca="1" si="282"/>
        <v>-121</v>
      </c>
      <c r="AC76" s="688">
        <f t="shared" ca="1" si="282"/>
        <v>1514</v>
      </c>
      <c r="AD76" s="688">
        <f t="shared" ca="1" si="282"/>
        <v>-174</v>
      </c>
      <c r="AE76" s="1245">
        <f t="shared" ca="1" si="282"/>
        <v>1170</v>
      </c>
      <c r="AF76" s="688">
        <f t="shared" ca="1" si="282"/>
        <v>223</v>
      </c>
      <c r="AG76" s="688">
        <f t="shared" ca="1" si="282"/>
        <v>-1</v>
      </c>
      <c r="AH76" s="688">
        <f t="shared" ca="1" si="282"/>
        <v>814</v>
      </c>
      <c r="AI76" s="688">
        <f t="shared" ref="AI76:BG76" ca="1" si="283">SUM(AI70:AI75)</f>
        <v>1200</v>
      </c>
      <c r="AJ76" s="1245">
        <f t="shared" ca="1" si="283"/>
        <v>2236</v>
      </c>
      <c r="AK76" s="688">
        <f t="shared" ca="1" si="283"/>
        <v>-3237</v>
      </c>
      <c r="AL76" s="688">
        <f t="shared" ca="1" si="283"/>
        <v>-47</v>
      </c>
      <c r="AM76" s="688">
        <f t="shared" ca="1" si="283"/>
        <v>3</v>
      </c>
      <c r="AN76" s="688">
        <f t="shared" ca="1" si="283"/>
        <v>61</v>
      </c>
      <c r="AO76" s="1245">
        <f t="shared" ca="1" si="283"/>
        <v>-3220</v>
      </c>
      <c r="AP76" s="688">
        <f t="shared" ca="1" si="283"/>
        <v>1990</v>
      </c>
      <c r="AQ76" s="688">
        <f t="shared" ca="1" si="283"/>
        <v>4333</v>
      </c>
      <c r="AR76" s="688">
        <f t="shared" ca="1" si="283"/>
        <v>2660</v>
      </c>
      <c r="AS76" s="688">
        <f t="shared" ca="1" si="283"/>
        <v>1131</v>
      </c>
      <c r="AT76" s="1245">
        <f t="shared" ca="1" si="283"/>
        <v>10114</v>
      </c>
      <c r="AU76" s="688">
        <f t="shared" ca="1" si="283"/>
        <v>4598</v>
      </c>
      <c r="AV76" s="688">
        <f t="shared" ca="1" si="283"/>
        <v>-12220</v>
      </c>
      <c r="AW76" s="688">
        <f t="shared" ca="1" si="283"/>
        <v>-1023</v>
      </c>
      <c r="AX76" s="688">
        <f t="shared" ca="1" si="283"/>
        <v>-1404</v>
      </c>
      <c r="AY76" s="1245">
        <f t="shared" ca="1" si="283"/>
        <v>-10049</v>
      </c>
      <c r="AZ76" s="688">
        <f t="shared" ca="1" si="283"/>
        <v>131</v>
      </c>
      <c r="BA76" s="688">
        <f t="shared" ca="1" si="283"/>
        <v>4650</v>
      </c>
      <c r="BB76" s="688">
        <f t="shared" ca="1" si="283"/>
        <v>-4340</v>
      </c>
      <c r="BC76" s="688">
        <f t="shared" ca="1" si="283"/>
        <v>702</v>
      </c>
      <c r="BD76" s="1245">
        <f t="shared" ca="1" si="283"/>
        <v>1143</v>
      </c>
      <c r="BE76" s="688">
        <f t="shared" ca="1" si="283"/>
        <v>1897</v>
      </c>
      <c r="BF76" s="688">
        <f t="shared" ca="1" si="283"/>
        <v>-874</v>
      </c>
      <c r="BG76" s="688">
        <f t="shared" ca="1" si="283"/>
        <v>-213</v>
      </c>
      <c r="BH76" s="688">
        <f t="shared" ref="BH76:BL76" ca="1" si="284">SUM(BH70:BH75)</f>
        <v>589</v>
      </c>
      <c r="BI76" s="1245">
        <f t="shared" ca="1" si="284"/>
        <v>1399</v>
      </c>
      <c r="BJ76" s="688">
        <f t="shared" ca="1" si="284"/>
        <v>1690</v>
      </c>
      <c r="BK76" s="688">
        <f t="shared" ca="1" si="284"/>
        <v>803</v>
      </c>
      <c r="BL76" s="688">
        <f t="shared" ca="1" si="284"/>
        <v>-363</v>
      </c>
      <c r="BM76" s="688">
        <f t="shared" ref="BM76:BQ76" ca="1" si="285">SUM(BM70:BM75)</f>
        <v>1761</v>
      </c>
      <c r="BN76" s="1245">
        <f t="shared" ca="1" si="285"/>
        <v>3891</v>
      </c>
      <c r="BO76" s="688">
        <f t="shared" ca="1" si="285"/>
        <v>307</v>
      </c>
      <c r="BP76" s="688">
        <f t="shared" ca="1" si="285"/>
        <v>984</v>
      </c>
      <c r="BQ76" s="688">
        <f t="shared" ca="1" si="285"/>
        <v>536</v>
      </c>
      <c r="BR76" s="688">
        <f t="shared" ref="BR76:BV76" ca="1" si="286">SUM(BR70:BR75)</f>
        <v>-518</v>
      </c>
      <c r="BS76" s="1245">
        <f t="shared" ca="1" si="286"/>
        <v>1309</v>
      </c>
      <c r="BT76" s="688">
        <f t="shared" ca="1" si="286"/>
        <v>6645</v>
      </c>
      <c r="BU76" s="688">
        <f t="shared" ca="1" si="286"/>
        <v>-3595</v>
      </c>
      <c r="BV76" s="688">
        <f t="shared" ca="1" si="286"/>
        <v>-153</v>
      </c>
      <c r="BW76" s="688">
        <f ca="1">SUM(BW70:BW75)</f>
        <v>-881</v>
      </c>
      <c r="BX76" s="1245">
        <f ca="1">SUM(BX70:BX75)</f>
        <v>2016</v>
      </c>
      <c r="BY76" s="964">
        <f ca="1">SUM(BY70:BY75)</f>
        <v>2632</v>
      </c>
      <c r="BZ76" s="688">
        <f t="shared" ref="BZ76:CB76" ca="1" si="287">SUM(BZ70:BZ75)</f>
        <v>35823.314682335018</v>
      </c>
      <c r="CA76" s="688">
        <f t="shared" ca="1" si="287"/>
        <v>31721.912374983091</v>
      </c>
      <c r="CB76" s="688">
        <f t="shared" ca="1" si="287"/>
        <v>50016.896525286982</v>
      </c>
      <c r="CC76" s="1245">
        <f ca="1">SUM(CC70:CC75)</f>
        <v>120194.1235826051</v>
      </c>
      <c r="CD76" s="688">
        <f t="shared" ref="CD76:CK76" ca="1" si="288">SUM(CD70:CD75)</f>
        <v>64553.022746162402</v>
      </c>
      <c r="CE76" s="688">
        <f t="shared" ca="1" si="288"/>
        <v>53376.417629460499</v>
      </c>
      <c r="CF76" s="688">
        <f t="shared" ca="1" si="288"/>
        <v>44379.961755590863</v>
      </c>
      <c r="CG76" s="688">
        <f t="shared" ca="1" si="288"/>
        <v>66978.60842787032</v>
      </c>
      <c r="CH76" s="1245">
        <f t="shared" ca="1" si="288"/>
        <v>229288.01055908413</v>
      </c>
      <c r="CI76" s="1245">
        <f t="shared" ca="1" si="288"/>
        <v>287612.11661453277</v>
      </c>
      <c r="CJ76" s="1245">
        <f t="shared" ca="1" si="288"/>
        <v>349985.99208045547</v>
      </c>
      <c r="CK76" s="1245">
        <f t="shared" ca="1" si="288"/>
        <v>422873.83568208443</v>
      </c>
      <c r="CL76" s="574"/>
    </row>
    <row r="77" spans="1:90" s="994" customFormat="1" x14ac:dyDescent="0.3">
      <c r="A77" s="196"/>
      <c r="B77" s="200"/>
      <c r="C77" s="1246"/>
      <c r="D77" s="1246"/>
      <c r="E77" s="1246"/>
      <c r="F77" s="1246"/>
      <c r="G77" s="883"/>
      <c r="H77" s="883"/>
      <c r="I77" s="883"/>
      <c r="J77" s="883"/>
      <c r="K77" s="1246"/>
      <c r="L77" s="883"/>
      <c r="M77" s="883"/>
      <c r="N77" s="883"/>
      <c r="O77" s="883"/>
      <c r="P77" s="1246"/>
      <c r="Q77" s="883"/>
      <c r="R77" s="883"/>
      <c r="S77" s="883"/>
      <c r="T77" s="883"/>
      <c r="U77" s="1246"/>
      <c r="V77" s="883"/>
      <c r="W77" s="883"/>
      <c r="X77" s="883"/>
      <c r="Y77" s="883"/>
      <c r="Z77" s="1246"/>
      <c r="AA77" s="883"/>
      <c r="AB77" s="883"/>
      <c r="AC77" s="883"/>
      <c r="AD77" s="883"/>
      <c r="AE77" s="1246"/>
      <c r="AF77" s="883"/>
      <c r="AG77" s="883"/>
      <c r="AH77" s="883"/>
      <c r="AI77" s="883"/>
      <c r="AJ77" s="1246"/>
      <c r="AK77" s="883"/>
      <c r="AL77" s="883"/>
      <c r="AM77" s="883"/>
      <c r="AN77" s="883"/>
      <c r="AO77" s="1246"/>
      <c r="AP77" s="883"/>
      <c r="AQ77" s="883"/>
      <c r="AR77" s="883"/>
      <c r="AS77" s="883"/>
      <c r="AT77" s="1246"/>
      <c r="AU77" s="883"/>
      <c r="AV77" s="883"/>
      <c r="AW77" s="883"/>
      <c r="AX77" s="883"/>
      <c r="AY77" s="1246"/>
      <c r="AZ77" s="883"/>
      <c r="BA77" s="883"/>
      <c r="BB77" s="883"/>
      <c r="BC77" s="883"/>
      <c r="BD77" s="1246"/>
      <c r="BE77" s="883"/>
      <c r="BF77" s="883"/>
      <c r="BG77" s="883"/>
      <c r="BH77" s="883"/>
      <c r="BI77" s="1246"/>
      <c r="BJ77" s="883"/>
      <c r="BK77" s="883"/>
      <c r="BL77" s="883"/>
      <c r="BM77" s="883"/>
      <c r="BN77" s="1246"/>
      <c r="BO77" s="883"/>
      <c r="BP77" s="883"/>
      <c r="BQ77" s="883"/>
      <c r="BR77" s="883"/>
      <c r="BS77" s="1246"/>
      <c r="BT77" s="883"/>
      <c r="BU77" s="883"/>
      <c r="BV77" s="883"/>
      <c r="BW77" s="883"/>
      <c r="BX77" s="1246"/>
      <c r="BY77" s="1044"/>
      <c r="BZ77" s="883"/>
      <c r="CA77" s="883"/>
      <c r="CB77" s="883"/>
      <c r="CC77" s="1246"/>
      <c r="CD77" s="883"/>
      <c r="CE77" s="883"/>
      <c r="CF77" s="883"/>
      <c r="CG77" s="883"/>
      <c r="CH77" s="1246"/>
      <c r="CI77" s="1246"/>
      <c r="CJ77" s="1246"/>
      <c r="CK77" s="1246"/>
      <c r="CL77" s="883"/>
    </row>
    <row r="78" spans="1:90" s="991" customFormat="1" x14ac:dyDescent="0.3">
      <c r="A78" s="211" t="s">
        <v>335</v>
      </c>
      <c r="B78" s="210"/>
      <c r="C78" s="1240">
        <f t="shared" ref="C78:AH78" ca="1" si="289">INDEX(SP_CFA_CFO,0,COLUMN())/INDEX(SP_CS_ShareCount,0,COLUMN())</f>
        <v>1.1577445180100641E-2</v>
      </c>
      <c r="D78" s="1240">
        <f t="shared" ca="1" si="289"/>
        <v>2.1720243498833912E-2</v>
      </c>
      <c r="E78" s="1240">
        <f t="shared" ca="1" si="289"/>
        <v>2.8061736712701624E-2</v>
      </c>
      <c r="F78" s="1240">
        <f t="shared" ca="1" si="289"/>
        <v>3.6371104300586043E-2</v>
      </c>
      <c r="G78" s="133">
        <f t="shared" ca="1" si="289"/>
        <v>-3.6692592336876739E-4</v>
      </c>
      <c r="H78" s="133">
        <f t="shared" ca="1" si="289"/>
        <v>8.0642077774240803E-3</v>
      </c>
      <c r="I78" s="133">
        <f t="shared" ca="1" si="289"/>
        <v>7.172485677666326E-3</v>
      </c>
      <c r="J78" s="133">
        <f t="shared" ca="1" si="289"/>
        <v>1.8226853254664385E-2</v>
      </c>
      <c r="K78" s="1240">
        <f t="shared" ca="1" si="289"/>
        <v>3.3105173073281834E-2</v>
      </c>
      <c r="L78" s="133">
        <f t="shared" ca="1" si="289"/>
        <v>7.0893176335988985E-3</v>
      </c>
      <c r="M78" s="133">
        <f t="shared" ca="1" si="289"/>
        <v>4.3038609317221773E-3</v>
      </c>
      <c r="N78" s="133">
        <f t="shared" ca="1" si="289"/>
        <v>6.5883164742732963E-3</v>
      </c>
      <c r="O78" s="133">
        <f t="shared" ca="1" si="289"/>
        <v>1.7365792326348675E-2</v>
      </c>
      <c r="P78" s="1240">
        <f t="shared" ca="1" si="289"/>
        <v>3.6334661742296263E-2</v>
      </c>
      <c r="Q78" s="133">
        <f t="shared" ca="1" si="289"/>
        <v>6.729016083838627E-3</v>
      </c>
      <c r="R78" s="133">
        <f t="shared" ca="1" si="289"/>
        <v>4.1451011017274589E-3</v>
      </c>
      <c r="S78" s="133">
        <f t="shared" ca="1" si="289"/>
        <v>9.9999395188843151E-3</v>
      </c>
      <c r="T78" s="133">
        <f t="shared" ca="1" si="289"/>
        <v>1.9850765262684325E-2</v>
      </c>
      <c r="U78" s="1240">
        <f t="shared" ca="1" si="289"/>
        <v>4.0743785448442468E-2</v>
      </c>
      <c r="V78" s="133">
        <f t="shared" ca="1" si="289"/>
        <v>1.0750113182085942E-2</v>
      </c>
      <c r="W78" s="133">
        <f t="shared" ca="1" si="289"/>
        <v>7.4920069937655471E-3</v>
      </c>
      <c r="X78" s="133">
        <f t="shared" ca="1" si="289"/>
        <v>1.1027751878177507E-2</v>
      </c>
      <c r="Y78" s="133">
        <f t="shared" ca="1" si="289"/>
        <v>2.154300168634064E-2</v>
      </c>
      <c r="Z78" s="1240">
        <f t="shared" ca="1" si="289"/>
        <v>5.1991150442477874E-2</v>
      </c>
      <c r="AA78" s="133">
        <f t="shared" ca="1" si="289"/>
        <v>1.3403361344537816E-2</v>
      </c>
      <c r="AB78" s="133">
        <f t="shared" ca="1" si="289"/>
        <v>7.9365079365079361E-3</v>
      </c>
      <c r="AC78" s="133">
        <f t="shared" ca="1" si="289"/>
        <v>1.6413373860182372E-2</v>
      </c>
      <c r="AD78" s="133">
        <f t="shared" ca="1" si="289"/>
        <v>2.6047687861271675E-2</v>
      </c>
      <c r="AE78" s="1240">
        <f t="shared" ca="1" si="289"/>
        <v>6.0317460317460318E-2</v>
      </c>
      <c r="AF78" s="133">
        <f t="shared" ca="1" si="289"/>
        <v>1.087962962962963E-2</v>
      </c>
      <c r="AG78" s="133">
        <f t="shared" ca="1" si="289"/>
        <v>2.7931854199683043E-2</v>
      </c>
      <c r="AH78" s="133">
        <f t="shared" ca="1" si="289"/>
        <v>4.547955974842767E-2</v>
      </c>
      <c r="AI78" s="133">
        <f t="shared" ref="AI78:BG78" ca="1" si="290">INDEX(SP_CFA_CFO,0,COLUMN())/INDEX(SP_CS_ShareCount,0,COLUMN())</f>
        <v>5.4060509554140129E-2</v>
      </c>
      <c r="AJ78" s="1240">
        <f t="shared" ca="1" si="290"/>
        <v>0.13701095461658841</v>
      </c>
      <c r="AK78" s="133">
        <f t="shared" ca="1" si="290"/>
        <v>5.7523885350318472E-2</v>
      </c>
      <c r="AL78" s="133">
        <f t="shared" ca="1" si="290"/>
        <v>3.6403508771929827E-2</v>
      </c>
      <c r="AM78" s="133">
        <f t="shared" ca="1" si="290"/>
        <v>1.9417862838915469E-2</v>
      </c>
      <c r="AN78" s="133">
        <f t="shared" ca="1" si="290"/>
        <v>3.6444805194805197E-2</v>
      </c>
      <c r="AO78" s="1240">
        <f t="shared" ca="1" si="290"/>
        <v>0.15020064205457465</v>
      </c>
      <c r="AP78" s="133">
        <f t="shared" ca="1" si="290"/>
        <v>2.9126213592233011E-2</v>
      </c>
      <c r="AQ78" s="133">
        <f t="shared" ca="1" si="290"/>
        <v>3.7987012987012986E-2</v>
      </c>
      <c r="AR78" s="133">
        <f t="shared" ca="1" si="290"/>
        <v>6.6129032258064518E-2</v>
      </c>
      <c r="AS78" s="133">
        <f t="shared" ca="1" si="290"/>
        <v>5.897745571658615E-2</v>
      </c>
      <c r="AT78" s="1240">
        <f t="shared" ca="1" si="290"/>
        <v>0.19166666666666668</v>
      </c>
      <c r="AU78" s="133">
        <f t="shared" ca="1" si="290"/>
        <v>3.6476725521669341E-2</v>
      </c>
      <c r="AV78" s="133">
        <f t="shared" ca="1" si="290"/>
        <v>6.2480063795853268E-2</v>
      </c>
      <c r="AW78" s="133">
        <f t="shared" ca="1" si="290"/>
        <v>5.0673534072900157E-2</v>
      </c>
      <c r="AX78" s="133">
        <f t="shared" ca="1" si="290"/>
        <v>8.1764240506329119E-2</v>
      </c>
      <c r="AY78" s="1240">
        <f t="shared" ca="1" si="290"/>
        <v>0.23066561014263073</v>
      </c>
      <c r="AZ78" s="133">
        <f t="shared" ca="1" si="290"/>
        <v>7.3895899053627756E-2</v>
      </c>
      <c r="BA78" s="133">
        <f t="shared" ca="1" si="290"/>
        <v>0.10579881656804734</v>
      </c>
      <c r="BB78" s="133">
        <f t="shared" ca="1" si="290"/>
        <v>5.9779614325068869E-2</v>
      </c>
      <c r="BC78" s="133">
        <f t="shared" ca="1" si="290"/>
        <v>0.11908127208480565</v>
      </c>
      <c r="BD78" s="1240">
        <f t="shared" ca="1" si="290"/>
        <v>0.35787819253438113</v>
      </c>
      <c r="BE78" s="133">
        <f t="shared" ca="1" si="290"/>
        <v>6.828402366863906E-2</v>
      </c>
      <c r="BF78" s="133">
        <f t="shared" ca="1" si="290"/>
        <v>5.0597609561752986E-2</v>
      </c>
      <c r="BG78" s="133">
        <f t="shared" ca="1" si="290"/>
        <v>1.5780998389694042E-2</v>
      </c>
      <c r="BH78" s="133">
        <f t="shared" ref="BH78:BN78" ca="1" si="291">INDEX(SP_CFA_CFO,0,COLUMN())/INDEX(SP_CS_ShareCount,0,COLUMN())</f>
        <v>9.0681726502622031E-2</v>
      </c>
      <c r="BI78" s="1240">
        <f t="shared" ca="1" si="291"/>
        <v>0.22755143202904396</v>
      </c>
      <c r="BJ78" s="133">
        <f t="shared" ca="1" si="291"/>
        <v>0.11676694745286803</v>
      </c>
      <c r="BK78" s="133">
        <f t="shared" ca="1" si="291"/>
        <v>0.25442885771543089</v>
      </c>
      <c r="BL78" s="133">
        <f t="shared" ca="1" si="291"/>
        <v>0.29422150882825038</v>
      </c>
      <c r="BM78" s="133">
        <f t="shared" ca="1" si="291"/>
        <v>0.46217845659163986</v>
      </c>
      <c r="BN78" s="1240">
        <f t="shared" ca="1" si="291"/>
        <v>1.1290192926045015</v>
      </c>
      <c r="BO78" s="133">
        <f t="shared" ref="BO78:BT78" ca="1" si="292">INDEX(SP_CFA_CFO,0,COLUMN())/INDEX(SP_CS_ShareCount,0,COLUMN())</f>
        <v>0.61725663716814161</v>
      </c>
      <c r="BP78" s="133">
        <f t="shared" ca="1" si="292"/>
        <v>0.58344072164948457</v>
      </c>
      <c r="BQ78" s="133">
        <f t="shared" ca="1" si="292"/>
        <v>0.71223079720392746</v>
      </c>
      <c r="BR78" s="133">
        <f t="shared" ca="1" si="292"/>
        <v>0.67340244593828458</v>
      </c>
      <c r="BS78" s="1240">
        <f t="shared" ca="1" si="292"/>
        <v>2.5953268000323964</v>
      </c>
      <c r="BT78" s="133">
        <f t="shared" ca="1" si="292"/>
        <v>1.1162961153188371</v>
      </c>
      <c r="BU78" s="133">
        <f ca="1">INDEX(SP_CFA_CFO,0,COLUMN())/INDEX(SP_CS_ShareCount,0,COLUMN())</f>
        <v>0.62681026394158201</v>
      </c>
      <c r="BV78" s="133">
        <f ca="1">INDEX(SP_CFA_CFO,0,COLUMN())/INDEX(SP_CS_ShareCount,0,COLUMN())</f>
        <v>0.97097420383467559</v>
      </c>
      <c r="BW78" s="133">
        <f ca="1">INDEX(SP_CFA_CFO,0,COLUMN())/INDEX(SP_CS_ShareCount,0,COLUMN())</f>
        <v>1.4811722331368697</v>
      </c>
      <c r="BX78" s="1240">
        <f ca="1">INDEX(SP_CFA_CFO,0,COLUMN())/INDEX(SP_CS_ShareCount,0,COLUMN())</f>
        <v>4.2042403405370008</v>
      </c>
      <c r="BY78" s="967">
        <f ca="1">INDEX(SP_CFA_CFO,0,COLUMN())/INDEX(SP_CS_ShareCount,0,COLUMN())</f>
        <v>2.0695552084189757</v>
      </c>
      <c r="BZ78" s="133">
        <f t="shared" ref="BZ78:CC78" ca="1" si="293">INDEX(SP_CFA_CFO,0,COLUMN())/INDEX(SP_CS_ShareCount,0,COLUMN())</f>
        <v>1.7254694767014676</v>
      </c>
      <c r="CA78" s="133">
        <f t="shared" ca="1" si="293"/>
        <v>1.5577859043237332</v>
      </c>
      <c r="CB78" s="133">
        <f t="shared" ca="1" si="293"/>
        <v>2.3057662459297954</v>
      </c>
      <c r="CC78" s="1240">
        <f t="shared" ca="1" si="293"/>
        <v>7.6473083140844915</v>
      </c>
      <c r="CD78" s="133">
        <f t="shared" ref="CD78:CK78" ca="1" si="294">INDEX(SP_CFA_CFO,0,COLUMN())/INDEX(SP_CS_ShareCount,0,COLUMN())</f>
        <v>2.9000677532168972</v>
      </c>
      <c r="CE78" s="133">
        <f t="shared" ca="1" si="294"/>
        <v>2.4431184142885063</v>
      </c>
      <c r="CF78" s="133">
        <f t="shared" ca="1" si="294"/>
        <v>2.0753032753139746</v>
      </c>
      <c r="CG78" s="133">
        <f t="shared" ca="1" si="294"/>
        <v>2.9992364866737407</v>
      </c>
      <c r="CH78" s="1240">
        <f t="shared" ca="1" si="294"/>
        <v>10.417725929493121</v>
      </c>
      <c r="CI78" s="1240">
        <f t="shared" ca="1" si="294"/>
        <v>12.802274853548791</v>
      </c>
      <c r="CJ78" s="1240">
        <f t="shared" ca="1" si="294"/>
        <v>15.352396367456739</v>
      </c>
      <c r="CK78" s="1240">
        <f t="shared" ca="1" si="294"/>
        <v>18.332375672613452</v>
      </c>
      <c r="CL78" s="133"/>
    </row>
    <row r="79" spans="1:90" s="991" customFormat="1" x14ac:dyDescent="0.3">
      <c r="A79" s="211" t="s">
        <v>336</v>
      </c>
      <c r="B79" s="210"/>
      <c r="C79" s="1240">
        <f t="shared" ref="C79:AH79" ca="1" si="295">INDEX(SP_CFA_FCF_PreDiv,0,COLUMN())/INDEX(SP_CS_ShareCount,0,COLUMN())</f>
        <v>-7.3501176871259739E-3</v>
      </c>
      <c r="D79" s="1240">
        <f t="shared" ca="1" si="295"/>
        <v>1.8264957667033611E-2</v>
      </c>
      <c r="E79" s="1240">
        <f t="shared" ca="1" si="295"/>
        <v>2.3996960741801542E-2</v>
      </c>
      <c r="F79" s="1240">
        <f t="shared" ca="1" si="295"/>
        <v>3.0820962020117339E-2</v>
      </c>
      <c r="G79" s="133">
        <f t="shared" ca="1" si="295"/>
        <v>-1.5194670269303293E-3</v>
      </c>
      <c r="H79" s="133">
        <f t="shared" ca="1" si="295"/>
        <v>5.5775771184196831E-3</v>
      </c>
      <c r="I79" s="133">
        <f t="shared" ca="1" si="295"/>
        <v>5.4065251298478162E-3</v>
      </c>
      <c r="J79" s="133">
        <f t="shared" ca="1" si="295"/>
        <v>1.6296785212261102E-2</v>
      </c>
      <c r="K79" s="1240">
        <f t="shared" ca="1" si="295"/>
        <v>2.5742054487731463E-2</v>
      </c>
      <c r="L79" s="133">
        <f t="shared" ca="1" si="295"/>
        <v>4.4389662470601058E-3</v>
      </c>
      <c r="M79" s="133">
        <f t="shared" ca="1" si="295"/>
        <v>5.1230172468840537E-4</v>
      </c>
      <c r="N79" s="133">
        <f t="shared" ca="1" si="295"/>
        <v>5.039454272124419E-3</v>
      </c>
      <c r="O79" s="133">
        <f t="shared" ca="1" si="295"/>
        <v>1.4489319697954549E-2</v>
      </c>
      <c r="P79" s="1240">
        <f t="shared" ca="1" si="295"/>
        <v>2.5232295220311347E-2</v>
      </c>
      <c r="Q79" s="133">
        <f t="shared" ca="1" si="295"/>
        <v>5.4366884915782281E-3</v>
      </c>
      <c r="R79" s="133">
        <f t="shared" ca="1" si="295"/>
        <v>3.1520039627719217E-3</v>
      </c>
      <c r="S79" s="133">
        <f t="shared" ca="1" si="295"/>
        <v>8.1943948835302028E-3</v>
      </c>
      <c r="T79" s="133">
        <f t="shared" ca="1" si="295"/>
        <v>1.8461659792835084E-2</v>
      </c>
      <c r="U79" s="1240">
        <f t="shared" ca="1" si="295"/>
        <v>3.5257315443243814E-2</v>
      </c>
      <c r="V79" s="133">
        <f t="shared" ca="1" si="295"/>
        <v>9.4391237696364368E-3</v>
      </c>
      <c r="W79" s="133">
        <f t="shared" ca="1" si="295"/>
        <v>6.3888893995914789E-3</v>
      </c>
      <c r="X79" s="133">
        <f t="shared" ca="1" si="295"/>
        <v>1.0292568419632339E-2</v>
      </c>
      <c r="Y79" s="133">
        <f t="shared" ca="1" si="295"/>
        <v>2.0910623946037099E-2</v>
      </c>
      <c r="Z79" s="1240">
        <f t="shared" ca="1" si="295"/>
        <v>4.8185840707964604E-2</v>
      </c>
      <c r="AA79" s="133">
        <f t="shared" ca="1" si="295"/>
        <v>1.1092436974789916E-2</v>
      </c>
      <c r="AB79" s="133">
        <f t="shared" ca="1" si="295"/>
        <v>6.6666666666666671E-3</v>
      </c>
      <c r="AC79" s="133">
        <f t="shared" ca="1" si="295"/>
        <v>1.4969604863221884E-2</v>
      </c>
      <c r="AD79" s="133">
        <f t="shared" ca="1" si="295"/>
        <v>2.4205202312138727E-2</v>
      </c>
      <c r="AE79" s="1240">
        <f t="shared" ca="1" si="295"/>
        <v>5.3968253968253971E-2</v>
      </c>
      <c r="AF79" s="133">
        <f t="shared" ca="1" si="295"/>
        <v>8.7962962962962968E-3</v>
      </c>
      <c r="AG79" s="133">
        <f t="shared" ca="1" si="295"/>
        <v>2.5792393026941363E-2</v>
      </c>
      <c r="AH79" s="133">
        <f t="shared" ca="1" si="295"/>
        <v>4.2767295597484274E-2</v>
      </c>
      <c r="AI79" s="133">
        <f t="shared" ref="AI79:BG79" ca="1" si="296">INDEX(SP_CFA_FCF_PreDiv,0,COLUMN())/INDEX(SP_CS_ShareCount,0,COLUMN())</f>
        <v>3.7499999999999999E-2</v>
      </c>
      <c r="AJ79" s="1240">
        <f t="shared" ca="1" si="296"/>
        <v>0.11381064162754304</v>
      </c>
      <c r="AK79" s="133">
        <f t="shared" ca="1" si="296"/>
        <v>5.282643312101911E-2</v>
      </c>
      <c r="AL79" s="133">
        <f t="shared" ca="1" si="296"/>
        <v>3.1259968102073363E-2</v>
      </c>
      <c r="AM79" s="133">
        <f t="shared" ca="1" si="296"/>
        <v>1.3437001594896332E-2</v>
      </c>
      <c r="AN79" s="133">
        <f t="shared" ca="1" si="296"/>
        <v>2.8206168831168832E-2</v>
      </c>
      <c r="AO79" s="1240">
        <f t="shared" ca="1" si="296"/>
        <v>0.12612359550561797</v>
      </c>
      <c r="AP79" s="133">
        <f t="shared" ca="1" si="296"/>
        <v>2.3948220064724919E-2</v>
      </c>
      <c r="AQ79" s="133">
        <f t="shared" ca="1" si="296"/>
        <v>3.3400974025974028E-2</v>
      </c>
      <c r="AR79" s="133">
        <f t="shared" ca="1" si="296"/>
        <v>6.1975806451612901E-2</v>
      </c>
      <c r="AS79" s="133">
        <f t="shared" ca="1" si="296"/>
        <v>5.3140096618357488E-2</v>
      </c>
      <c r="AT79" s="1240">
        <f t="shared" ca="1" si="296"/>
        <v>0.17198067632850242</v>
      </c>
      <c r="AU79" s="133">
        <f t="shared" ca="1" si="296"/>
        <v>3.0256821829855538E-2</v>
      </c>
      <c r="AV79" s="133">
        <f t="shared" ca="1" si="296"/>
        <v>5.3827751196172252E-2</v>
      </c>
      <c r="AW79" s="133">
        <f t="shared" ca="1" si="296"/>
        <v>3.1933438985736924E-2</v>
      </c>
      <c r="AX79" s="133">
        <f t="shared" ca="1" si="296"/>
        <v>7.0569620253164558E-2</v>
      </c>
      <c r="AY79" s="1240">
        <f t="shared" ca="1" si="296"/>
        <v>0.18597464342313788</v>
      </c>
      <c r="AZ79" s="133">
        <f t="shared" ca="1" si="296"/>
        <v>6.2145110410094635E-2</v>
      </c>
      <c r="BA79" s="133">
        <f t="shared" ca="1" si="296"/>
        <v>9.857988165680473E-2</v>
      </c>
      <c r="BB79" s="133">
        <f t="shared" ca="1" si="296"/>
        <v>5.1042896497441953E-2</v>
      </c>
      <c r="BC79" s="133">
        <f t="shared" ca="1" si="296"/>
        <v>0.10836277974087162</v>
      </c>
      <c r="BD79" s="1240">
        <f t="shared" ca="1" si="296"/>
        <v>0.31952848722986249</v>
      </c>
      <c r="BE79" s="133">
        <f t="shared" ca="1" si="296"/>
        <v>5.4043392504930968E-2</v>
      </c>
      <c r="BF79" s="133">
        <f t="shared" ca="1" si="296"/>
        <v>3.3346613545816736E-2</v>
      </c>
      <c r="BG79" s="133">
        <f t="shared" ca="1" si="296"/>
        <v>-5.5555555555555558E-3</v>
      </c>
      <c r="BH79" s="133">
        <f t="shared" ref="BH79:BN79" ca="1" si="297">INDEX(SP_CFA_FCF_PreDiv,0,COLUMN())/INDEX(SP_CS_ShareCount,0,COLUMN())</f>
        <v>7.0149253731343286E-2</v>
      </c>
      <c r="BI79" s="1240">
        <f t="shared" ca="1" si="297"/>
        <v>0.15361032674465511</v>
      </c>
      <c r="BJ79" s="133">
        <f t="shared" ca="1" si="297"/>
        <v>0.10681909346169274</v>
      </c>
      <c r="BK79" s="133">
        <f t="shared" ca="1" si="297"/>
        <v>0.24284569138276554</v>
      </c>
      <c r="BL79" s="133">
        <f t="shared" ca="1" si="297"/>
        <v>0.28306581059390046</v>
      </c>
      <c r="BM79" s="133">
        <f t="shared" ca="1" si="297"/>
        <v>0.45196945337620581</v>
      </c>
      <c r="BN79" s="1240">
        <f t="shared" ca="1" si="297"/>
        <v>1.0860530546623794</v>
      </c>
      <c r="BO79" s="133">
        <f t="shared" ref="BO79:BT79" ca="1" si="298">INDEX(SP_CFA_FCF_PreDiv,0,COLUMN())/INDEX(SP_CS_ShareCount,0,COLUMN())</f>
        <v>0.60241351568785195</v>
      </c>
      <c r="BP79" s="133">
        <f t="shared" ca="1" si="298"/>
        <v>0.54409632731958768</v>
      </c>
      <c r="BQ79" s="133">
        <f t="shared" ca="1" si="298"/>
        <v>0.67938098509030664</v>
      </c>
      <c r="BR79" s="133">
        <f t="shared" ca="1" si="298"/>
        <v>0.62978861261844987</v>
      </c>
      <c r="BS79" s="1240">
        <f t="shared" ca="1" si="298"/>
        <v>2.4642828217380739</v>
      </c>
      <c r="BT79" s="133">
        <f t="shared" ca="1" si="298"/>
        <v>1.0663327632543367</v>
      </c>
      <c r="BU79" s="133">
        <f ca="1">INDEX(SP_CFA_FCF_PreDiv,0,COLUMN())/INDEX(SP_CS_ShareCount,0,COLUMN())</f>
        <v>0.54950434463345976</v>
      </c>
      <c r="BV79" s="133">
        <f ca="1">INDEX(SP_CFA_FCF_PreDiv,0,COLUMN())/INDEX(SP_CS_ShareCount,0,COLUMN())</f>
        <v>0.90409222844528025</v>
      </c>
      <c r="BW79" s="133">
        <f ca="1">INDEX(SP_CFA_FCF_PreDiv,0,COLUMN())/INDEX(SP_CS_ShareCount,0,COLUMN())</f>
        <v>1.4286182056319581</v>
      </c>
      <c r="BX79" s="1240">
        <f ca="1">INDEX(SP_CFA_FCF_PreDiv,0,COLUMN())/INDEX(SP_CS_ShareCount,0,COLUMN())</f>
        <v>3.9569417157825804</v>
      </c>
      <c r="BY79" s="967">
        <f ca="1">INDEX(SP_CFA_FCF_PreDiv,0,COLUMN())/INDEX(SP_CS_ShareCount,0,COLUMN())</f>
        <v>1.997327961851517</v>
      </c>
      <c r="BZ79" s="133">
        <f t="shared" ref="BZ79:CC79" ca="1" si="299">INDEX(SP_CFA_FCF_PreDiv,0,COLUMN())/INDEX(SP_CS_ShareCount,0,COLUMN())</f>
        <v>1.712182030862498</v>
      </c>
      <c r="CA79" s="133">
        <f t="shared" ca="1" si="299"/>
        <v>1.5444984584847636</v>
      </c>
      <c r="CB79" s="133">
        <f t="shared" ca="1" si="299"/>
        <v>2.2924788000908261</v>
      </c>
      <c r="CC79" s="1240">
        <f t="shared" ca="1" si="299"/>
        <v>7.5356120001396762</v>
      </c>
      <c r="CD79" s="133">
        <f t="shared" ref="CD79:CK79" ca="1" si="300">INDEX(SP_CFA_FCF_PreDiv,0,COLUMN())/INDEX(SP_CS_ShareCount,0,COLUMN())</f>
        <v>2.8867803073779275</v>
      </c>
      <c r="CE79" s="133">
        <f t="shared" ca="1" si="300"/>
        <v>2.4298309684495365</v>
      </c>
      <c r="CF79" s="133">
        <f t="shared" ca="1" si="300"/>
        <v>2.0620158294750053</v>
      </c>
      <c r="CG79" s="133">
        <f t="shared" ca="1" si="300"/>
        <v>2.9859490408347713</v>
      </c>
      <c r="CH79" s="1240">
        <f t="shared" ca="1" si="300"/>
        <v>10.364576146137242</v>
      </c>
      <c r="CI79" s="1240">
        <f t="shared" ca="1" si="300"/>
        <v>12.749125070192914</v>
      </c>
      <c r="CJ79" s="1240">
        <f t="shared" ca="1" si="300"/>
        <v>15.29924658410086</v>
      </c>
      <c r="CK79" s="1240">
        <f t="shared" ca="1" si="300"/>
        <v>18.279225889257575</v>
      </c>
      <c r="CL79" s="133"/>
    </row>
    <row r="80" spans="1:90" s="991" customFormat="1" x14ac:dyDescent="0.3">
      <c r="A80" s="211" t="s">
        <v>122</v>
      </c>
      <c r="B80" s="210"/>
      <c r="C80" s="1240">
        <f t="shared" ref="C80:AH80" si="301">INDEX(MO_CFSum_DPS,0,COLUMN())</f>
        <v>0</v>
      </c>
      <c r="D80" s="1240">
        <f t="shared" si="301"/>
        <v>0</v>
      </c>
      <c r="E80" s="1240">
        <f t="shared" si="301"/>
        <v>0</v>
      </c>
      <c r="F80" s="1240">
        <f t="shared" si="301"/>
        <v>0</v>
      </c>
      <c r="G80" s="133">
        <f t="shared" si="301"/>
        <v>0</v>
      </c>
      <c r="H80" s="133">
        <f t="shared" si="301"/>
        <v>0</v>
      </c>
      <c r="I80" s="133">
        <f t="shared" si="301"/>
        <v>0</v>
      </c>
      <c r="J80" s="133">
        <f t="shared" si="301"/>
        <v>1.8749999999999999E-3</v>
      </c>
      <c r="K80" s="1240">
        <f t="shared" si="301"/>
        <v>1.8749999999999999E-3</v>
      </c>
      <c r="L80" s="133">
        <f t="shared" si="301"/>
        <v>1.8749999999999999E-3</v>
      </c>
      <c r="M80" s="133">
        <f t="shared" si="301"/>
        <v>1.8749999999999999E-3</v>
      </c>
      <c r="N80" s="133">
        <f t="shared" si="301"/>
        <v>2.1250000000000002E-3</v>
      </c>
      <c r="O80" s="133">
        <f t="shared" si="301"/>
        <v>2.1250000000000002E-3</v>
      </c>
      <c r="P80" s="1240">
        <f t="shared" si="301"/>
        <v>8.0000000000000002E-3</v>
      </c>
      <c r="Q80" s="133">
        <f t="shared" si="301"/>
        <v>2.1250000000000002E-3</v>
      </c>
      <c r="R80" s="133">
        <f t="shared" si="301"/>
        <v>2.1250000000000002E-3</v>
      </c>
      <c r="S80" s="133">
        <f t="shared" si="301"/>
        <v>2.1250000000000002E-3</v>
      </c>
      <c r="T80" s="133">
        <f t="shared" si="301"/>
        <v>2.1250000000000002E-3</v>
      </c>
      <c r="U80" s="1240">
        <f t="shared" si="301"/>
        <v>8.5000000000000006E-3</v>
      </c>
      <c r="V80" s="133">
        <f t="shared" si="301"/>
        <v>2.4375E-3</v>
      </c>
      <c r="W80" s="133">
        <f t="shared" si="301"/>
        <v>2.4375E-3</v>
      </c>
      <c r="X80" s="133">
        <f t="shared" si="301"/>
        <v>2.875E-3</v>
      </c>
      <c r="Y80" s="133">
        <f t="shared" si="301"/>
        <v>2.875E-3</v>
      </c>
      <c r="Z80" s="1240">
        <f t="shared" si="301"/>
        <v>1.0624999999999999E-2</v>
      </c>
      <c r="AA80" s="133">
        <f t="shared" si="301"/>
        <v>2.875E-3</v>
      </c>
      <c r="AB80" s="133">
        <f t="shared" si="301"/>
        <v>2.875E-3</v>
      </c>
      <c r="AC80" s="133">
        <f t="shared" si="301"/>
        <v>2.875E-3</v>
      </c>
      <c r="AD80" s="133">
        <f t="shared" si="301"/>
        <v>2.875E-3</v>
      </c>
      <c r="AE80" s="1240">
        <f t="shared" si="301"/>
        <v>1.15E-2</v>
      </c>
      <c r="AF80" s="133">
        <f t="shared" si="301"/>
        <v>3.5000000000000005E-3</v>
      </c>
      <c r="AG80" s="133">
        <f t="shared" si="301"/>
        <v>3.5000000000000005E-3</v>
      </c>
      <c r="AH80" s="133">
        <f t="shared" si="301"/>
        <v>3.5000000000000005E-3</v>
      </c>
      <c r="AI80" s="133">
        <f t="shared" ref="AI80:BG80" si="302">INDEX(MO_CFSum_DPS,0,COLUMN())</f>
        <v>3.7499999999999999E-3</v>
      </c>
      <c r="AJ80" s="1240">
        <f t="shared" si="302"/>
        <v>1.4250000000000002E-2</v>
      </c>
      <c r="AK80" s="133">
        <f t="shared" si="302"/>
        <v>3.7499999999999999E-3</v>
      </c>
      <c r="AL80" s="133">
        <f t="shared" si="302"/>
        <v>3.7499999999999999E-3</v>
      </c>
      <c r="AM80" s="133">
        <f t="shared" si="302"/>
        <v>3.7499999999999999E-3</v>
      </c>
      <c r="AN80" s="133">
        <f t="shared" si="302"/>
        <v>4.0000000000000001E-3</v>
      </c>
      <c r="AO80" s="1240">
        <f t="shared" si="302"/>
        <v>1.525E-2</v>
      </c>
      <c r="AP80" s="133">
        <f t="shared" si="302"/>
        <v>4.0000000000000001E-3</v>
      </c>
      <c r="AQ80" s="133">
        <f t="shared" si="302"/>
        <v>4.0000000000000001E-3</v>
      </c>
      <c r="AR80" s="133">
        <f t="shared" si="302"/>
        <v>4.0000000000000001E-3</v>
      </c>
      <c r="AS80" s="133">
        <f t="shared" si="302"/>
        <v>4.0000000000000001E-3</v>
      </c>
      <c r="AT80" s="1240">
        <f t="shared" si="302"/>
        <v>1.6E-2</v>
      </c>
      <c r="AU80" s="133">
        <f t="shared" si="302"/>
        <v>4.0000000000000001E-3</v>
      </c>
      <c r="AV80" s="133">
        <f t="shared" si="302"/>
        <v>4.0000000000000001E-3</v>
      </c>
      <c r="AW80" s="133">
        <f t="shared" si="302"/>
        <v>4.0000000000000001E-3</v>
      </c>
      <c r="AX80" s="133">
        <f t="shared" si="302"/>
        <v>4.0000000000000001E-3</v>
      </c>
      <c r="AY80" s="1240">
        <f t="shared" si="302"/>
        <v>1.6E-2</v>
      </c>
      <c r="AZ80" s="133">
        <f t="shared" si="302"/>
        <v>4.0000000000000001E-3</v>
      </c>
      <c r="BA80" s="133">
        <f t="shared" si="302"/>
        <v>4.0000000000000001E-3</v>
      </c>
      <c r="BB80" s="133">
        <f t="shared" si="302"/>
        <v>4.0000000000000001E-3</v>
      </c>
      <c r="BC80" s="133">
        <f t="shared" si="302"/>
        <v>4.0000000000000001E-3</v>
      </c>
      <c r="BD80" s="1240">
        <f t="shared" si="302"/>
        <v>1.6E-2</v>
      </c>
      <c r="BE80" s="133">
        <f t="shared" si="302"/>
        <v>4.0000000000000001E-3</v>
      </c>
      <c r="BF80" s="133">
        <f t="shared" si="302"/>
        <v>4.0000000000000001E-3</v>
      </c>
      <c r="BG80" s="133">
        <f t="shared" si="302"/>
        <v>4.0000000000000001E-3</v>
      </c>
      <c r="BH80" s="133">
        <f t="shared" ref="BH80:BN80" si="303">INDEX(MO_CFSum_DPS,0,COLUMN())</f>
        <v>4.0000000000000001E-3</v>
      </c>
      <c r="BI80" s="1240">
        <f t="shared" si="303"/>
        <v>1.6E-2</v>
      </c>
      <c r="BJ80" s="133">
        <f t="shared" si="303"/>
        <v>4.0000000000000001E-3</v>
      </c>
      <c r="BK80" s="133">
        <f t="shared" si="303"/>
        <v>4.0000000000000001E-3</v>
      </c>
      <c r="BL80" s="133">
        <f t="shared" si="303"/>
        <v>4.0000000000000001E-3</v>
      </c>
      <c r="BM80" s="133">
        <f t="shared" si="303"/>
        <v>4.0000000000000001E-3</v>
      </c>
      <c r="BN80" s="1240">
        <f t="shared" si="303"/>
        <v>1.6E-2</v>
      </c>
      <c r="BO80" s="133">
        <f t="shared" ref="BO80:BT80" si="304">INDEX(MO_CFSum_DPS,0,COLUMN())</f>
        <v>4.0000000000000001E-3</v>
      </c>
      <c r="BP80" s="133">
        <f t="shared" si="304"/>
        <v>0.01</v>
      </c>
      <c r="BQ80" s="133">
        <f t="shared" si="304"/>
        <v>0.01</v>
      </c>
      <c r="BR80" s="133">
        <f t="shared" si="304"/>
        <v>0.01</v>
      </c>
      <c r="BS80" s="1240">
        <f t="shared" si="304"/>
        <v>3.4000000000000002E-2</v>
      </c>
      <c r="BT80" s="133">
        <f t="shared" si="304"/>
        <v>0.01</v>
      </c>
      <c r="BU80" s="133">
        <f>INDEX(MO_CFSum_DPS,0,COLUMN())</f>
        <v>0.01</v>
      </c>
      <c r="BV80" s="133">
        <f>INDEX(MO_CFSum_DPS,0,COLUMN())</f>
        <v>0.01</v>
      </c>
      <c r="BW80" s="133">
        <f>INDEX(MO_CFSum_DPS,0,COLUMN())</f>
        <v>0.01</v>
      </c>
      <c r="BX80" s="1240">
        <f>INDEX(MO_CFSum_DPS,0,COLUMN())</f>
        <v>0.04</v>
      </c>
      <c r="BY80" s="967">
        <f>INDEX(MO_CFSum_DPS,0,COLUMN())</f>
        <v>0.01</v>
      </c>
      <c r="BZ80" s="133">
        <f t="shared" ref="BZ80:CC80" si="305">INDEX(MO_CFSum_DPS,0,COLUMN())</f>
        <v>0.25</v>
      </c>
      <c r="CA80" s="133">
        <f t="shared" si="305"/>
        <v>0.25</v>
      </c>
      <c r="CB80" s="133">
        <f t="shared" si="305"/>
        <v>0.25</v>
      </c>
      <c r="CC80" s="1240">
        <f t="shared" si="305"/>
        <v>0.76</v>
      </c>
      <c r="CD80" s="133">
        <f t="shared" ref="CD80:CK80" si="306">INDEX(MO_CFSum_DPS,0,COLUMN())</f>
        <v>0.25</v>
      </c>
      <c r="CE80" s="133">
        <f t="shared" si="306"/>
        <v>0.25</v>
      </c>
      <c r="CF80" s="133">
        <f t="shared" si="306"/>
        <v>0.25</v>
      </c>
      <c r="CG80" s="133">
        <f t="shared" si="306"/>
        <v>0.25</v>
      </c>
      <c r="CH80" s="1240">
        <f t="shared" si="306"/>
        <v>1</v>
      </c>
      <c r="CI80" s="1240">
        <f t="shared" si="306"/>
        <v>1</v>
      </c>
      <c r="CJ80" s="1240">
        <f t="shared" si="306"/>
        <v>1</v>
      </c>
      <c r="CK80" s="1240">
        <f t="shared" si="306"/>
        <v>1</v>
      </c>
      <c r="CL80" s="133"/>
    </row>
    <row r="81" spans="1:90" s="996" customFormat="1" x14ac:dyDescent="0.3">
      <c r="A81" s="213" t="s">
        <v>337</v>
      </c>
      <c r="B81" s="214"/>
      <c r="C81" s="1253">
        <f t="shared" ref="C81:AH81" ca="1" si="307">C80/C79</f>
        <v>0</v>
      </c>
      <c r="D81" s="1253">
        <f t="shared" ca="1" si="307"/>
        <v>0</v>
      </c>
      <c r="E81" s="1253">
        <f t="shared" ca="1" si="307"/>
        <v>0</v>
      </c>
      <c r="F81" s="1253">
        <f t="shared" ca="1" si="307"/>
        <v>0</v>
      </c>
      <c r="G81" s="317">
        <f t="shared" ca="1" si="307"/>
        <v>0</v>
      </c>
      <c r="H81" s="317">
        <f t="shared" ca="1" si="307"/>
        <v>0</v>
      </c>
      <c r="I81" s="317">
        <f t="shared" ca="1" si="307"/>
        <v>0</v>
      </c>
      <c r="J81" s="317">
        <f t="shared" ca="1" si="307"/>
        <v>0.115053366389668</v>
      </c>
      <c r="K81" s="1253">
        <f t="shared" ca="1" si="307"/>
        <v>7.2838009137678419E-2</v>
      </c>
      <c r="L81" s="317">
        <f t="shared" ca="1" si="307"/>
        <v>0.42239564250838774</v>
      </c>
      <c r="M81" s="317">
        <f t="shared" ca="1" si="307"/>
        <v>3.6599525428894886</v>
      </c>
      <c r="N81" s="317">
        <f t="shared" ca="1" si="307"/>
        <v>0.42167264256258263</v>
      </c>
      <c r="O81" s="317">
        <f t="shared" ca="1" si="307"/>
        <v>0.14665974968445106</v>
      </c>
      <c r="P81" s="1253">
        <f t="shared" ca="1" si="307"/>
        <v>0.31705399489619979</v>
      </c>
      <c r="Q81" s="317">
        <f t="shared" ca="1" si="307"/>
        <v>0.39086293122950827</v>
      </c>
      <c r="R81" s="317">
        <f t="shared" ca="1" si="307"/>
        <v>0.67417427931506846</v>
      </c>
      <c r="S81" s="317">
        <f t="shared" ca="1" si="307"/>
        <v>0.25932360231638424</v>
      </c>
      <c r="T81" s="317">
        <f t="shared" ca="1" si="307"/>
        <v>0.11510341019417476</v>
      </c>
      <c r="U81" s="1253">
        <f t="shared" ca="1" si="307"/>
        <v>0.24108471938775514</v>
      </c>
      <c r="V81" s="317">
        <f t="shared" ca="1" si="307"/>
        <v>0.25823371527777778</v>
      </c>
      <c r="W81" s="317">
        <f t="shared" ca="1" si="307"/>
        <v>0.38152170863309354</v>
      </c>
      <c r="X81" s="317">
        <f t="shared" ca="1" si="307"/>
        <v>0.27932775210084032</v>
      </c>
      <c r="Y81" s="317">
        <f t="shared" ca="1" si="307"/>
        <v>0.1374899193548387</v>
      </c>
      <c r="Z81" s="1253">
        <f t="shared" ca="1" si="307"/>
        <v>0.22050045913682273</v>
      </c>
      <c r="AA81" s="317">
        <f t="shared" ca="1" si="307"/>
        <v>0.25918560606060603</v>
      </c>
      <c r="AB81" s="317">
        <f t="shared" ca="1" si="307"/>
        <v>0.43124999999999997</v>
      </c>
      <c r="AC81" s="317">
        <f t="shared" ca="1" si="307"/>
        <v>0.19205583756345179</v>
      </c>
      <c r="AD81" s="317">
        <f t="shared" ca="1" si="307"/>
        <v>0.11877611940298508</v>
      </c>
      <c r="AE81" s="1253">
        <f t="shared" ca="1" si="307"/>
        <v>0.21308823529411763</v>
      </c>
      <c r="AF81" s="317">
        <f t="shared" ca="1" si="307"/>
        <v>0.3978947368421053</v>
      </c>
      <c r="AG81" s="317">
        <f t="shared" ca="1" si="307"/>
        <v>0.13569892473118281</v>
      </c>
      <c r="AH81" s="317">
        <f t="shared" ca="1" si="307"/>
        <v>8.183823529411767E-2</v>
      </c>
      <c r="AI81" s="317">
        <f t="shared" ref="AI81:BG81" ca="1" si="308">AI80/AI79</f>
        <v>0.1</v>
      </c>
      <c r="AJ81" s="1253">
        <f t="shared" ca="1" si="308"/>
        <v>0.12520797524922656</v>
      </c>
      <c r="AK81" s="317">
        <f t="shared" ca="1" si="308"/>
        <v>7.0987189148455157E-2</v>
      </c>
      <c r="AL81" s="317">
        <f t="shared" ca="1" si="308"/>
        <v>0.11996173469387755</v>
      </c>
      <c r="AM81" s="317">
        <f t="shared" ca="1" si="308"/>
        <v>0.279080118694362</v>
      </c>
      <c r="AN81" s="317">
        <f t="shared" ca="1" si="308"/>
        <v>0.14181294964028776</v>
      </c>
      <c r="AO81" s="1253">
        <f t="shared" ca="1" si="308"/>
        <v>0.12091314031180402</v>
      </c>
      <c r="AP81" s="317">
        <f t="shared" ca="1" si="308"/>
        <v>0.16702702702702704</v>
      </c>
      <c r="AQ81" s="317">
        <f t="shared" ca="1" si="308"/>
        <v>0.11975698663426487</v>
      </c>
      <c r="AR81" s="317">
        <f t="shared" ca="1" si="308"/>
        <v>6.4541314248536111E-2</v>
      </c>
      <c r="AS81" s="317">
        <f t="shared" ca="1" si="308"/>
        <v>7.5272727272727269E-2</v>
      </c>
      <c r="AT81" s="1253">
        <f t="shared" ca="1" si="308"/>
        <v>9.3033707865168541E-2</v>
      </c>
      <c r="AU81" s="317">
        <f t="shared" ca="1" si="308"/>
        <v>0.13220159151193633</v>
      </c>
      <c r="AV81" s="317">
        <f t="shared" ca="1" si="308"/>
        <v>7.4311111111111106E-2</v>
      </c>
      <c r="AW81" s="317">
        <f t="shared" ca="1" si="308"/>
        <v>0.1252605459057072</v>
      </c>
      <c r="AX81" s="317">
        <f t="shared" ca="1" si="308"/>
        <v>5.6681614349775783E-2</v>
      </c>
      <c r="AY81" s="1253">
        <f t="shared" ca="1" si="308"/>
        <v>8.6033233915636984E-2</v>
      </c>
      <c r="AZ81" s="317">
        <f t="shared" ca="1" si="308"/>
        <v>6.4365482233502538E-2</v>
      </c>
      <c r="BA81" s="317">
        <f t="shared" ca="1" si="308"/>
        <v>4.0576230492196878E-2</v>
      </c>
      <c r="BB81" s="317">
        <f t="shared" ca="1" si="308"/>
        <v>7.8365458750963762E-2</v>
      </c>
      <c r="BC81" s="317">
        <f t="shared" ca="1" si="308"/>
        <v>3.6913043478260868E-2</v>
      </c>
      <c r="BD81" s="1253">
        <f t="shared" ca="1" si="308"/>
        <v>5.0073782587309393E-2</v>
      </c>
      <c r="BE81" s="317">
        <f t="shared" ca="1" si="308"/>
        <v>7.4014598540145984E-2</v>
      </c>
      <c r="BF81" s="317">
        <f t="shared" ca="1" si="308"/>
        <v>0.11995221027479092</v>
      </c>
      <c r="BG81" s="317">
        <f t="shared" ca="1" si="308"/>
        <v>-0.72</v>
      </c>
      <c r="BH81" s="317">
        <f t="shared" ref="BH81:BN81" ca="1" si="309">BH80/BH79</f>
        <v>5.7021276595744678E-2</v>
      </c>
      <c r="BI81" s="1253">
        <f t="shared" ca="1" si="309"/>
        <v>0.10415966386554622</v>
      </c>
      <c r="BJ81" s="317">
        <f t="shared" ca="1" si="309"/>
        <v>3.7446488922268116E-2</v>
      </c>
      <c r="BK81" s="317">
        <f t="shared" ca="1" si="309"/>
        <v>1.6471364911701602E-2</v>
      </c>
      <c r="BL81" s="317">
        <f t="shared" ca="1" si="309"/>
        <v>1.4130989509498159E-2</v>
      </c>
      <c r="BM81" s="317">
        <f t="shared" ca="1" si="309"/>
        <v>8.8501556247220989E-3</v>
      </c>
      <c r="BN81" s="1253">
        <f t="shared" ca="1" si="309"/>
        <v>1.4732245290699827E-2</v>
      </c>
      <c r="BO81" s="317">
        <f t="shared" ref="BO81:BT81" ca="1" si="310">BO80/BO79</f>
        <v>6.6399572649572655E-3</v>
      </c>
      <c r="BP81" s="317">
        <f t="shared" ca="1" si="310"/>
        <v>1.8379098512323291E-2</v>
      </c>
      <c r="BQ81" s="317">
        <f t="shared" ca="1" si="310"/>
        <v>1.4719281551088381E-2</v>
      </c>
      <c r="BR81" s="317">
        <f t="shared" ca="1" si="310"/>
        <v>1.5878343621399175E-2</v>
      </c>
      <c r="BS81" s="1253">
        <f t="shared" ca="1" si="310"/>
        <v>1.3797117644158877E-2</v>
      </c>
      <c r="BT81" s="317">
        <f t="shared" ca="1" si="310"/>
        <v>9.3779356169091527E-3</v>
      </c>
      <c r="BU81" s="317">
        <f ca="1">BU80/BU79</f>
        <v>1.8198218262806237E-2</v>
      </c>
      <c r="BV81" s="317">
        <f ca="1">BV80/BV79</f>
        <v>1.1060818449016505E-2</v>
      </c>
      <c r="BW81" s="317">
        <f ca="1">BW80/BW79</f>
        <v>6.9997707999083199E-3</v>
      </c>
      <c r="BX81" s="1253">
        <f ca="1">BX80/BX79</f>
        <v>1.0108817079730232E-2</v>
      </c>
      <c r="BY81" s="971">
        <f ca="1">BY80/BY79</f>
        <v>5.0066890320456092E-3</v>
      </c>
      <c r="BZ81" s="317">
        <f t="shared" ref="BZ81:CC81" ca="1" si="311">BZ80/BZ79</f>
        <v>0.14601251239277666</v>
      </c>
      <c r="CA81" s="317">
        <f t="shared" ca="1" si="311"/>
        <v>0.16186484267861523</v>
      </c>
      <c r="CB81" s="317">
        <f t="shared" ca="1" si="311"/>
        <v>0.10905226255095367</v>
      </c>
      <c r="CC81" s="1253">
        <f t="shared" ca="1" si="311"/>
        <v>0.1008544495106586</v>
      </c>
      <c r="CD81" s="317">
        <f t="shared" ref="CD81:CK81" ca="1" si="312">CD80/CD79</f>
        <v>8.6601671544266512E-2</v>
      </c>
      <c r="CE81" s="317">
        <f t="shared" ca="1" si="312"/>
        <v>0.10288781534442447</v>
      </c>
      <c r="CF81" s="317">
        <f t="shared" ca="1" si="312"/>
        <v>0.12124058235947231</v>
      </c>
      <c r="CG81" s="317">
        <f t="shared" ca="1" si="312"/>
        <v>8.3725474407328929E-2</v>
      </c>
      <c r="CH81" s="1253">
        <f t="shared" ca="1" si="312"/>
        <v>9.6482478964920182E-2</v>
      </c>
      <c r="CI81" s="1253">
        <f t="shared" ca="1" si="312"/>
        <v>7.843675503176066E-2</v>
      </c>
      <c r="CJ81" s="1253">
        <f t="shared" ca="1" si="312"/>
        <v>6.5362695770863039E-2</v>
      </c>
      <c r="CK81" s="1253">
        <f t="shared" ca="1" si="312"/>
        <v>5.4706911882285172E-2</v>
      </c>
      <c r="CL81" s="239"/>
    </row>
    <row r="82" spans="1:90" s="996" customFormat="1" x14ac:dyDescent="0.3">
      <c r="A82" s="213" t="s">
        <v>338</v>
      </c>
      <c r="B82" s="214"/>
      <c r="C82" s="1253">
        <f t="shared" ref="C82:AH82" si="313">C80/C53</f>
        <v>0</v>
      </c>
      <c r="D82" s="1253">
        <f t="shared" si="313"/>
        <v>0</v>
      </c>
      <c r="E82" s="1253">
        <f t="shared" si="313"/>
        <v>0</v>
      </c>
      <c r="F82" s="1253">
        <f t="shared" si="313"/>
        <v>0</v>
      </c>
      <c r="G82" s="317">
        <f t="shared" si="313"/>
        <v>0</v>
      </c>
      <c r="H82" s="317">
        <f t="shared" si="313"/>
        <v>0</v>
      </c>
      <c r="I82" s="317">
        <f t="shared" si="313"/>
        <v>0</v>
      </c>
      <c r="J82" s="317">
        <f t="shared" si="313"/>
        <v>0.21705066229941428</v>
      </c>
      <c r="K82" s="1253">
        <f t="shared" si="313"/>
        <v>6.4351335098912235E-2</v>
      </c>
      <c r="L82" s="317">
        <f t="shared" si="313"/>
        <v>0.40814799518457673</v>
      </c>
      <c r="M82" s="317">
        <f t="shared" si="313"/>
        <v>0.33301170029250732</v>
      </c>
      <c r="N82" s="317">
        <f t="shared" si="313"/>
        <v>0.32540425255218131</v>
      </c>
      <c r="O82" s="317">
        <f t="shared" si="313"/>
        <v>0.26175426431840171</v>
      </c>
      <c r="P82" s="1253">
        <f t="shared" si="313"/>
        <v>0.32332287005423105</v>
      </c>
      <c r="Q82" s="317">
        <f t="shared" si="313"/>
        <v>0.29186746987951812</v>
      </c>
      <c r="R82" s="317">
        <f t="shared" si="313"/>
        <v>0.2805491329479769</v>
      </c>
      <c r="S82" s="317">
        <f t="shared" si="313"/>
        <v>0.21559090909090911</v>
      </c>
      <c r="T82" s="317">
        <f t="shared" si="313"/>
        <v>0.19645228215767638</v>
      </c>
      <c r="U82" s="1253">
        <f t="shared" si="313"/>
        <v>0.23897627965043697</v>
      </c>
      <c r="V82" s="317">
        <f t="shared" si="313"/>
        <v>0.29302139037433156</v>
      </c>
      <c r="W82" s="317">
        <f t="shared" si="313"/>
        <v>0.28326315789473683</v>
      </c>
      <c r="X82" s="317">
        <f t="shared" si="313"/>
        <v>0.25029411764705878</v>
      </c>
      <c r="Y82" s="317">
        <f t="shared" si="313"/>
        <v>0.21954545454545454</v>
      </c>
      <c r="Z82" s="1253">
        <f t="shared" si="313"/>
        <v>0.25435952637244347</v>
      </c>
      <c r="AA82" s="317">
        <f t="shared" si="313"/>
        <v>0.24836501901140684</v>
      </c>
      <c r="AB82" s="317">
        <f t="shared" si="313"/>
        <v>0.21603833865814695</v>
      </c>
      <c r="AC82" s="317">
        <f t="shared" si="313"/>
        <v>0.12266666666666666</v>
      </c>
      <c r="AD82" s="317">
        <f t="shared" si="313"/>
        <v>0.10193181818181818</v>
      </c>
      <c r="AE82" s="1253">
        <f t="shared" si="313"/>
        <v>0.15035116153430578</v>
      </c>
      <c r="AF82" s="317">
        <f t="shared" si="313"/>
        <v>0.16469043151969981</v>
      </c>
      <c r="AG82" s="317">
        <f t="shared" si="313"/>
        <v>0.13802507836990599</v>
      </c>
      <c r="AH82" s="317">
        <f t="shared" si="313"/>
        <v>0.10521008403361345</v>
      </c>
      <c r="AI82" s="317">
        <f t="shared" ref="AI82:BG82" si="314">AI80/AI53</f>
        <v>8.7002775208140606E-2</v>
      </c>
      <c r="AJ82" s="1253">
        <f t="shared" si="314"/>
        <v>0.11584764991896274</v>
      </c>
      <c r="AK82" s="317">
        <f t="shared" si="314"/>
        <v>7.3073929961089495E-2</v>
      </c>
      <c r="AL82" s="317">
        <f t="shared" si="314"/>
        <v>7.7479338842975212E-2</v>
      </c>
      <c r="AM82" s="317">
        <f t="shared" si="314"/>
        <v>8.1450912250217208E-2</v>
      </c>
      <c r="AN82" s="317">
        <f t="shared" si="314"/>
        <v>0.19967741935483874</v>
      </c>
      <c r="AO82" s="1253">
        <f t="shared" si="314"/>
        <v>9.1875452570601021E-2</v>
      </c>
      <c r="AP82" s="317">
        <f t="shared" si="314"/>
        <v>0.18151012891344384</v>
      </c>
      <c r="AQ82" s="317">
        <f t="shared" si="314"/>
        <v>0.12934383202099739</v>
      </c>
      <c r="AR82" s="317">
        <f t="shared" si="314"/>
        <v>8.9646418857660934E-2</v>
      </c>
      <c r="AS82" s="317">
        <f t="shared" si="314"/>
        <v>8.4778156996587042E-2</v>
      </c>
      <c r="AT82" s="1253">
        <f t="shared" si="314"/>
        <v>0.1104804469273743</v>
      </c>
      <c r="AU82" s="317">
        <f t="shared" si="314"/>
        <v>8.8857142857142857E-2</v>
      </c>
      <c r="AV82" s="317">
        <f t="shared" si="314"/>
        <v>7.3323572474377749E-2</v>
      </c>
      <c r="AW82" s="317">
        <f t="shared" si="314"/>
        <v>5.4961832061068708E-2</v>
      </c>
      <c r="AX82" s="317">
        <f t="shared" si="314"/>
        <v>5.1589167092488508E-2</v>
      </c>
      <c r="AY82" s="1253">
        <f t="shared" si="314"/>
        <v>6.4030587860442884E-2</v>
      </c>
      <c r="AZ82" s="317">
        <f t="shared" si="314"/>
        <v>4.3718115002161696E-2</v>
      </c>
      <c r="BA82" s="317">
        <f t="shared" si="314"/>
        <v>3.8612276019824629E-2</v>
      </c>
      <c r="BB82" s="317">
        <f t="shared" si="314"/>
        <v>3.4147325933400606E-2</v>
      </c>
      <c r="BC82" s="317">
        <f t="shared" si="314"/>
        <v>3.0388059701492536E-2</v>
      </c>
      <c r="BD82" s="1253">
        <f t="shared" si="314"/>
        <v>3.6024513722355454E-2</v>
      </c>
      <c r="BE82" s="317">
        <f t="shared" si="314"/>
        <v>2.9474295672378737E-2</v>
      </c>
      <c r="BF82" s="317">
        <f t="shared" si="314"/>
        <v>7.7894736842105267E-2</v>
      </c>
      <c r="BG82" s="317">
        <f t="shared" si="314"/>
        <v>6.8653846153846149E-2</v>
      </c>
      <c r="BH82" s="317">
        <f t="shared" ref="BH82:BN82" si="315">BH80/BH53</f>
        <v>4.5574977000919961E-2</v>
      </c>
      <c r="BI82" s="1253">
        <f t="shared" si="315"/>
        <v>4.7946449916327995E-2</v>
      </c>
      <c r="BJ82" s="317">
        <f t="shared" si="315"/>
        <v>3.6712126796903798E-2</v>
      </c>
      <c r="BK82" s="317">
        <f t="shared" si="315"/>
        <v>1.4830860534124628E-2</v>
      </c>
      <c r="BL82" s="317">
        <f t="shared" si="315"/>
        <v>9.9560878243512979E-3</v>
      </c>
      <c r="BM82" s="317">
        <f t="shared" si="315"/>
        <v>7.7576135213022817E-3</v>
      </c>
      <c r="BN82" s="1253">
        <f t="shared" si="315"/>
        <v>1.2349591483040358E-2</v>
      </c>
      <c r="BO82" s="317">
        <f t="shared" ref="BO82:BT82" si="316">BO80/BO53</f>
        <v>6.5336658354114719E-3</v>
      </c>
      <c r="BP82" s="317">
        <f t="shared" si="316"/>
        <v>1.465785747994337E-2</v>
      </c>
      <c r="BQ82" s="317">
        <f t="shared" si="316"/>
        <v>1.2380809595202399E-2</v>
      </c>
      <c r="BR82" s="317">
        <f t="shared" si="316"/>
        <v>1.119641076769691E-2</v>
      </c>
      <c r="BS82" s="1253">
        <f t="shared" si="316"/>
        <v>1.1355766511815796E-2</v>
      </c>
      <c r="BT82" s="317">
        <f t="shared" si="316"/>
        <v>1.237106665326229E-2</v>
      </c>
      <c r="BU82" s="317">
        <f>BU80/BU53</f>
        <v>9.5147965713842462E-3</v>
      </c>
      <c r="BV82" s="317">
        <f>BV80/BV53</f>
        <v>7.7070544905090193E-3</v>
      </c>
      <c r="BW82" s="317">
        <f>BW80/BW53</f>
        <v>6.177184466019418E-3</v>
      </c>
      <c r="BX82" s="1253">
        <f>BX80/BX53</f>
        <v>8.3810696000752166E-3</v>
      </c>
      <c r="BY82" s="971">
        <f>BY80/BY53</f>
        <v>5.3550100992359705E-3</v>
      </c>
      <c r="BZ82" s="317">
        <f t="shared" ref="BZ82:CC82" si="317">BZ80/BZ53</f>
        <v>0.12306264510639486</v>
      </c>
      <c r="CA82" s="317">
        <f t="shared" si="317"/>
        <v>0.11666313557770976</v>
      </c>
      <c r="CB82" s="317">
        <f t="shared" si="317"/>
        <v>0.11370064854266337</v>
      </c>
      <c r="CC82" s="1253">
        <f t="shared" si="317"/>
        <v>9.2210978441113867E-2</v>
      </c>
      <c r="CD82" s="317">
        <f t="shared" ref="CD82:CK82" si="318">CD80/CD53</f>
        <v>0.10138302847323373</v>
      </c>
      <c r="CE82" s="317">
        <f t="shared" si="318"/>
        <v>9.0553608574980168E-2</v>
      </c>
      <c r="CF82" s="317">
        <f t="shared" si="318"/>
        <v>9.0735922435631139E-2</v>
      </c>
      <c r="CG82" s="317">
        <f t="shared" si="318"/>
        <v>8.8260285579056602E-2</v>
      </c>
      <c r="CH82" s="1253">
        <f t="shared" si="318"/>
        <v>9.2468693858685641E-2</v>
      </c>
      <c r="CI82" s="1253">
        <f t="shared" si="318"/>
        <v>7.5772028972246927E-2</v>
      </c>
      <c r="CJ82" s="1253">
        <f t="shared" si="318"/>
        <v>6.3247761332281507E-2</v>
      </c>
      <c r="CK82" s="1253">
        <f t="shared" si="318"/>
        <v>5.2897485603761542E-2</v>
      </c>
      <c r="CL82" s="239"/>
    </row>
    <row r="83" spans="1:90" s="991" customFormat="1" x14ac:dyDescent="0.3">
      <c r="A83" s="211"/>
      <c r="B83" s="210"/>
      <c r="C83" s="1240"/>
      <c r="D83" s="1240"/>
      <c r="E83" s="1240"/>
      <c r="F83" s="1240"/>
      <c r="G83" s="133"/>
      <c r="H83" s="133"/>
      <c r="I83" s="133"/>
      <c r="J83" s="133"/>
      <c r="K83" s="1240"/>
      <c r="L83" s="133"/>
      <c r="M83" s="133"/>
      <c r="N83" s="133"/>
      <c r="O83" s="133"/>
      <c r="P83" s="1240"/>
      <c r="Q83" s="133"/>
      <c r="R83" s="133"/>
      <c r="S83" s="133"/>
      <c r="T83" s="133"/>
      <c r="U83" s="1240"/>
      <c r="V83" s="133"/>
      <c r="W83" s="133"/>
      <c r="X83" s="133"/>
      <c r="Y83" s="133"/>
      <c r="Z83" s="1240"/>
      <c r="AA83" s="133"/>
      <c r="AB83" s="133"/>
      <c r="AC83" s="133"/>
      <c r="AD83" s="133"/>
      <c r="AE83" s="1240"/>
      <c r="AF83" s="133"/>
      <c r="AG83" s="133"/>
      <c r="AH83" s="133"/>
      <c r="AI83" s="133"/>
      <c r="AJ83" s="1240"/>
      <c r="AK83" s="133"/>
      <c r="AL83" s="133"/>
      <c r="AM83" s="133"/>
      <c r="AN83" s="133"/>
      <c r="AO83" s="1240"/>
      <c r="AP83" s="133"/>
      <c r="AQ83" s="133"/>
      <c r="AR83" s="133"/>
      <c r="AS83" s="133"/>
      <c r="AT83" s="1240"/>
      <c r="AU83" s="133"/>
      <c r="AV83" s="133"/>
      <c r="AW83" s="133"/>
      <c r="AX83" s="133"/>
      <c r="AY83" s="1240"/>
      <c r="AZ83" s="133"/>
      <c r="BA83" s="133"/>
      <c r="BB83" s="133"/>
      <c r="BC83" s="133"/>
      <c r="BD83" s="1240"/>
      <c r="BE83" s="133"/>
      <c r="BF83" s="133"/>
      <c r="BG83" s="133"/>
      <c r="BH83" s="133"/>
      <c r="BI83" s="1240"/>
      <c r="BJ83" s="133"/>
      <c r="BK83" s="133"/>
      <c r="BL83" s="133"/>
      <c r="BM83" s="133"/>
      <c r="BN83" s="1240"/>
      <c r="BO83" s="133"/>
      <c r="BP83" s="133"/>
      <c r="BQ83" s="133"/>
      <c r="BR83" s="133"/>
      <c r="BS83" s="1240"/>
      <c r="BT83" s="133"/>
      <c r="BU83" s="133"/>
      <c r="BV83" s="133"/>
      <c r="BW83" s="133"/>
      <c r="BX83" s="1240"/>
      <c r="BY83" s="967"/>
      <c r="BZ83" s="133"/>
      <c r="CA83" s="133"/>
      <c r="CB83" s="133"/>
      <c r="CC83" s="1240"/>
      <c r="CD83" s="133"/>
      <c r="CE83" s="133"/>
      <c r="CF83" s="133"/>
      <c r="CG83" s="133"/>
      <c r="CH83" s="1240"/>
      <c r="CI83" s="1240"/>
      <c r="CJ83" s="1240"/>
      <c r="CK83" s="1240"/>
      <c r="CL83" s="133"/>
    </row>
    <row r="84" spans="1:90" x14ac:dyDescent="0.3">
      <c r="A84" s="886" t="s">
        <v>339</v>
      </c>
      <c r="B84" s="884"/>
      <c r="C84" s="884"/>
      <c r="D84" s="884"/>
      <c r="E84" s="884"/>
      <c r="F84" s="884"/>
      <c r="G84" s="884"/>
      <c r="H84" s="884"/>
      <c r="I84" s="884"/>
      <c r="J84" s="884"/>
      <c r="K84" s="884"/>
      <c r="L84" s="884"/>
      <c r="M84" s="884"/>
      <c r="N84" s="884"/>
      <c r="O84" s="884"/>
      <c r="P84" s="884"/>
      <c r="Q84" s="884"/>
      <c r="R84" s="884"/>
      <c r="S84" s="884"/>
      <c r="T84" s="884"/>
      <c r="U84" s="884"/>
      <c r="V84" s="884"/>
      <c r="W84" s="884"/>
      <c r="X84" s="884"/>
      <c r="Y84" s="884"/>
      <c r="Z84" s="884"/>
      <c r="AA84" s="884"/>
      <c r="AB84" s="884"/>
      <c r="AC84" s="884"/>
      <c r="AD84" s="884"/>
      <c r="AE84" s="884"/>
      <c r="AF84" s="884"/>
      <c r="AG84" s="884"/>
      <c r="AH84" s="884"/>
      <c r="AI84" s="884"/>
      <c r="AJ84" s="884"/>
      <c r="AK84" s="884"/>
      <c r="AL84" s="884"/>
      <c r="AM84" s="884"/>
      <c r="AN84" s="884"/>
      <c r="AO84" s="884"/>
      <c r="AP84" s="884"/>
      <c r="AQ84" s="884"/>
      <c r="AR84" s="884"/>
      <c r="AS84" s="884"/>
      <c r="AT84" s="884"/>
      <c r="AU84" s="884"/>
      <c r="AV84" s="884"/>
      <c r="AW84" s="884"/>
      <c r="AX84" s="884"/>
      <c r="AY84" s="884"/>
      <c r="AZ84" s="884"/>
      <c r="BA84" s="884"/>
      <c r="BB84" s="884"/>
      <c r="BC84" s="884"/>
      <c r="BD84" s="884"/>
      <c r="BE84" s="884"/>
      <c r="BF84" s="884"/>
      <c r="BG84" s="884"/>
      <c r="BH84" s="884"/>
      <c r="BI84" s="884"/>
      <c r="BJ84" s="884"/>
      <c r="BK84" s="884"/>
      <c r="BL84" s="884"/>
      <c r="BM84" s="884"/>
      <c r="BN84" s="884"/>
      <c r="BO84" s="884"/>
      <c r="BP84" s="884"/>
      <c r="BQ84" s="884"/>
      <c r="BR84" s="884"/>
      <c r="BS84" s="884"/>
      <c r="BT84" s="884"/>
      <c r="BU84" s="884"/>
      <c r="BV84" s="884"/>
      <c r="BW84" s="884"/>
      <c r="BX84" s="884"/>
      <c r="BY84" s="1045"/>
      <c r="BZ84" s="884"/>
      <c r="CA84" s="884"/>
      <c r="CB84" s="884"/>
      <c r="CC84" s="884"/>
      <c r="CD84" s="884"/>
      <c r="CE84" s="884"/>
      <c r="CF84" s="884"/>
      <c r="CG84" s="884"/>
      <c r="CH84" s="884"/>
      <c r="CI84" s="884"/>
      <c r="CJ84" s="884"/>
      <c r="CK84" s="884"/>
      <c r="CL84" s="885"/>
    </row>
    <row r="85" spans="1:90" s="997" customFormat="1" x14ac:dyDescent="0.3">
      <c r="A85" s="215" t="s">
        <v>130</v>
      </c>
      <c r="B85" s="216"/>
      <c r="C85" s="1254"/>
      <c r="D85" s="1254">
        <f>INDEX(MO_BSS_Debt_Net,0,COLUMN())/INDEX(SP_BSR_EBITDA_LTM,0,COLUMN())</f>
        <v>-5.6790862940778419</v>
      </c>
      <c r="E85" s="1254">
        <f>INDEX(MO_BSS_Debt_Net,0,COLUMN())/INDEX(SP_BSR_EBITDA_LTM,0,COLUMN())</f>
        <v>-3.7428550189708552</v>
      </c>
      <c r="F85" s="1254">
        <f>INDEX(MO_BSS_Debt_Net,0,COLUMN())/INDEX(SP_BSR_EBITDA_LTM,0,COLUMN())</f>
        <v>-3.1890430214542955</v>
      </c>
      <c r="G85" s="1046"/>
      <c r="H85" s="1046"/>
      <c r="I85" s="1046"/>
      <c r="J85" s="1046">
        <f t="shared" ref="J85:AO85" si="319">INDEX(MO_BSS_Debt_Net,0,COLUMN())/INDEX(SP_BSR_EBITDA_LTM,0,COLUMN())</f>
        <v>-3.7125938812874066</v>
      </c>
      <c r="K85" s="1254">
        <f t="shared" si="319"/>
        <v>-3.7125938812874071</v>
      </c>
      <c r="L85" s="1046">
        <f t="shared" si="319"/>
        <v>-3.6563158962383171</v>
      </c>
      <c r="M85" s="1046">
        <f t="shared" si="319"/>
        <v>-3.0298614233104129</v>
      </c>
      <c r="N85" s="1046">
        <f t="shared" si="319"/>
        <v>-3.5308333684550646</v>
      </c>
      <c r="O85" s="1046">
        <f t="shared" si="319"/>
        <v>-3.9702585895552893</v>
      </c>
      <c r="P85" s="1254">
        <f t="shared" si="319"/>
        <v>-3.9702585895552929</v>
      </c>
      <c r="Q85" s="1046">
        <f t="shared" si="319"/>
        <v>-3.3150164697629871</v>
      </c>
      <c r="R85" s="1046">
        <f t="shared" si="319"/>
        <v>-3.1583411766439866</v>
      </c>
      <c r="S85" s="1046">
        <f t="shared" si="319"/>
        <v>-2.7800901594625946</v>
      </c>
      <c r="T85" s="1046">
        <f t="shared" si="319"/>
        <v>-2.9398359161349132</v>
      </c>
      <c r="U85" s="1254">
        <f t="shared" si="319"/>
        <v>-2.9398359161349132</v>
      </c>
      <c r="V85" s="1046">
        <f t="shared" si="319"/>
        <v>-2.9982300884955753</v>
      </c>
      <c r="W85" s="137">
        <f t="shared" si="319"/>
        <v>-2.7045454545454546</v>
      </c>
      <c r="X85" s="137">
        <f t="shared" si="319"/>
        <v>-2.8011844331641287</v>
      </c>
      <c r="Y85" s="137">
        <f t="shared" si="319"/>
        <v>-2.8238590872698159</v>
      </c>
      <c r="Z85" s="1254">
        <f t="shared" si="319"/>
        <v>-2.8238590872698159</v>
      </c>
      <c r="AA85" s="137">
        <f t="shared" si="319"/>
        <v>-2.4325337331334334</v>
      </c>
      <c r="AB85" s="137">
        <f t="shared" si="319"/>
        <v>-2.2715633423180592</v>
      </c>
      <c r="AC85" s="137">
        <f t="shared" si="319"/>
        <v>-1.924628450106157</v>
      </c>
      <c r="AD85" s="137">
        <f t="shared" si="319"/>
        <v>-1.7017094017094017</v>
      </c>
      <c r="AE85" s="1254">
        <f t="shared" si="319"/>
        <v>-1.7017094017094017</v>
      </c>
      <c r="AF85" s="137">
        <f t="shared" si="319"/>
        <v>-1.5028206092515983</v>
      </c>
      <c r="AG85" s="137">
        <f t="shared" si="319"/>
        <v>-1.2447643979057592</v>
      </c>
      <c r="AH85" s="137">
        <f t="shared" si="319"/>
        <v>-1.283119976183388</v>
      </c>
      <c r="AI85" s="137">
        <f t="shared" si="319"/>
        <v>-1.3581494283435256</v>
      </c>
      <c r="AJ85" s="1254">
        <f t="shared" si="319"/>
        <v>-1.3581494283435256</v>
      </c>
      <c r="AK85" s="137">
        <f t="shared" si="319"/>
        <v>-1.1607533946561541</v>
      </c>
      <c r="AL85" s="137">
        <f t="shared" si="319"/>
        <v>-1.1648696334052147</v>
      </c>
      <c r="AM85" s="137">
        <f t="shared" si="319"/>
        <v>-1.0506471581316825</v>
      </c>
      <c r="AN85" s="137">
        <f t="shared" si="319"/>
        <v>-1.1711206896551725</v>
      </c>
      <c r="AO85" s="1254">
        <f t="shared" si="319"/>
        <v>-1.1711206896551725</v>
      </c>
      <c r="AP85" s="137">
        <f t="shared" ref="AP85:BG85" si="320">INDEX(MO_BSS_Debt_Net,0,COLUMN())/INDEX(SP_BSR_EBITDA_LTM,0,COLUMN())</f>
        <v>-1.3785132650380878</v>
      </c>
      <c r="AQ85" s="137">
        <f t="shared" si="320"/>
        <v>-1.7658114558472553</v>
      </c>
      <c r="AR85" s="137">
        <f t="shared" si="320"/>
        <v>-2.1730364128799278</v>
      </c>
      <c r="AS85" s="137">
        <f t="shared" si="320"/>
        <v>-2.0175996088975801</v>
      </c>
      <c r="AT85" s="1254">
        <f t="shared" si="320"/>
        <v>-2.0175996088975801</v>
      </c>
      <c r="AU85" s="137">
        <f t="shared" si="320"/>
        <v>-1.8456361724500525</v>
      </c>
      <c r="AV85" s="137">
        <f t="shared" si="320"/>
        <v>-0.59712883881519174</v>
      </c>
      <c r="AW85" s="137">
        <f t="shared" si="320"/>
        <v>-0.38532685373883052</v>
      </c>
      <c r="AX85" s="137">
        <f t="shared" si="320"/>
        <v>-0.52723281657291809</v>
      </c>
      <c r="AY85" s="1254">
        <f t="shared" si="320"/>
        <v>-0.52723281657291809</v>
      </c>
      <c r="AZ85" s="137">
        <f t="shared" si="320"/>
        <v>-0.5675302245250432</v>
      </c>
      <c r="BA85" s="137">
        <f t="shared" si="320"/>
        <v>-0.66838722243864435</v>
      </c>
      <c r="BB85" s="137">
        <f t="shared" si="320"/>
        <v>-0.63903857668291852</v>
      </c>
      <c r="BC85" s="137">
        <f t="shared" si="320"/>
        <v>-0.70493158923470156</v>
      </c>
      <c r="BD85" s="1254">
        <f t="shared" si="320"/>
        <v>-0.70498458762499061</v>
      </c>
      <c r="BE85" s="137">
        <f t="shared" si="320"/>
        <v>-0.57631489650492029</v>
      </c>
      <c r="BF85" s="137">
        <f t="shared" si="320"/>
        <v>-0.39886476950218608</v>
      </c>
      <c r="BG85" s="137">
        <f t="shared" si="320"/>
        <v>-0.11006484853868703</v>
      </c>
      <c r="BH85" s="137">
        <f t="shared" ref="BH85:BN85" si="321">INDEX(MO_BSS_Debt_Net,0,COLUMN())/INDEX(SP_BSR_EBITDA_LTM,0,COLUMN())</f>
        <v>-0.12798462161068394</v>
      </c>
      <c r="BI85" s="1254">
        <f t="shared" si="321"/>
        <v>-0.12798462161068394</v>
      </c>
      <c r="BJ85" s="137">
        <f t="shared" si="321"/>
        <v>-0.359800111049417</v>
      </c>
      <c r="BK85" s="137">
        <f t="shared" si="321"/>
        <v>-0.32747593513792883</v>
      </c>
      <c r="BL85" s="137">
        <f t="shared" si="321"/>
        <v>-0.28443712504411245</v>
      </c>
      <c r="BM85" s="137">
        <f t="shared" si="321"/>
        <v>-0.39255285579047017</v>
      </c>
      <c r="BN85" s="1254">
        <f t="shared" si="321"/>
        <v>-0.39255285579047017</v>
      </c>
      <c r="BO85" s="137">
        <f t="shared" ref="BO85:BT85" si="322">INDEX(MO_BSS_Debt_Net,0,COLUMN())/INDEX(SP_BSR_EBITDA_LTM,0,COLUMN())</f>
        <v>-0.38044030961035047</v>
      </c>
      <c r="BP85" s="137">
        <f t="shared" si="322"/>
        <v>-0.37939321577271612</v>
      </c>
      <c r="BQ85" s="137">
        <f t="shared" si="322"/>
        <v>-0.3663348369367968</v>
      </c>
      <c r="BR85" s="137">
        <f t="shared" si="322"/>
        <v>-0.37406738663850375</v>
      </c>
      <c r="BS85" s="1254">
        <f t="shared" si="322"/>
        <v>-0.37406313876902114</v>
      </c>
      <c r="BT85" s="137">
        <f t="shared" si="322"/>
        <v>-0.46443398245238604</v>
      </c>
      <c r="BU85" s="137">
        <f>INDEX(MO_BSS_Debt_Net,0,COLUMN())/INDEX(SP_BSR_EBITDA_LTM,0,COLUMN())</f>
        <v>-0.44423180489306047</v>
      </c>
      <c r="BV85" s="137">
        <f>INDEX(MO_BSS_Debt_Net,0,COLUMN())/INDEX(SP_BSR_EBITDA_LTM,0,COLUMN())</f>
        <v>-0.41912346572828446</v>
      </c>
      <c r="BW85" s="137">
        <f>INDEX(MO_BSS_Debt_Net,0,COLUMN())/INDEX(SP_BSR_EBITDA_LTM,0,COLUMN())</f>
        <v>-0.36621937073051969</v>
      </c>
      <c r="BX85" s="1254">
        <f>INDEX(MO_BSS_Debt_Net,0,COLUMN())/INDEX(SP_BSR_EBITDA_LTM,0,COLUMN())</f>
        <v>-0.36621674841573876</v>
      </c>
      <c r="BY85" s="972">
        <f>INDEX(MO_BSS_Debt_Net,0,COLUMN())/INDEX(SP_BSR_EBITDA_LTM,0,COLUMN())</f>
        <v>-0.397465904091509</v>
      </c>
      <c r="BZ85" s="137">
        <f t="shared" ref="BZ85:CC85" si="323">INDEX(MO_BSS_Debt_Net,0,COLUMN())/INDEX(SP_BSR_EBITDA_LTM,0,COLUMN())</f>
        <v>-0.51699225085329248</v>
      </c>
      <c r="CA85" s="137">
        <f t="shared" si="323"/>
        <v>-0.60336202660728111</v>
      </c>
      <c r="CB85" s="137">
        <f t="shared" si="323"/>
        <v>-0.76339029733835773</v>
      </c>
      <c r="CC85" s="1254">
        <f t="shared" si="323"/>
        <v>-0.76339029733835762</v>
      </c>
      <c r="CD85" s="137">
        <f t="shared" ref="CD85:CK85" si="324">INDEX(MO_BSS_Debt_Net,0,COLUMN())/INDEX(SP_BSR_EBITDA_LTM,0,COLUMN())</f>
        <v>-0.96683827657336963</v>
      </c>
      <c r="CE85" s="137">
        <f t="shared" si="324"/>
        <v>-1.099015858727723</v>
      </c>
      <c r="CF85" s="137">
        <f t="shared" si="324"/>
        <v>-1.1943598924653507</v>
      </c>
      <c r="CG85" s="137">
        <f t="shared" si="324"/>
        <v>-1.3519698046659703</v>
      </c>
      <c r="CH85" s="1254">
        <f t="shared" si="324"/>
        <v>-1.3519698046659703</v>
      </c>
      <c r="CI85" s="1254">
        <f t="shared" si="324"/>
        <v>-1.9223160498468652</v>
      </c>
      <c r="CJ85" s="1254">
        <f t="shared" si="324"/>
        <v>-2.454627634989015</v>
      </c>
      <c r="CK85" s="1254">
        <f t="shared" si="324"/>
        <v>-2.9300137673031292</v>
      </c>
      <c r="CL85" s="137"/>
    </row>
    <row r="86" spans="1:90" s="997" customFormat="1" x14ac:dyDescent="0.3">
      <c r="A86" s="215" t="s">
        <v>131</v>
      </c>
      <c r="B86" s="216"/>
      <c r="C86" s="1254">
        <f ca="1">INDEX(MO_BSS_Debt_Net,0,COLUMN())/INDEX(SP_BSR_CashFlow_LTM,0,COLUMN())</f>
        <v>-4.9316490214950273</v>
      </c>
      <c r="D86" s="1254">
        <f ca="1">INDEX(MO_BSS_Debt_Net,0,COLUMN())/INDEX(SP_BSR_CashFlow_LTM,0,COLUMN())</f>
        <v>-3.4927276566346936</v>
      </c>
      <c r="E86" s="1254">
        <f ca="1">INDEX(MO_BSS_Debt_Net,0,COLUMN())/INDEX(SP_BSR_CashFlow_LTM,0,COLUMN())</f>
        <v>-3.6507619891772234</v>
      </c>
      <c r="F86" s="1254">
        <f ca="1">INDEX(MO_BSS_Debt_Net,0,COLUMN())/INDEX(SP_BSR_CashFlow_LTM,0,COLUMN())</f>
        <v>-3.4187059206560804</v>
      </c>
      <c r="G86" s="1046"/>
      <c r="H86" s="1046"/>
      <c r="I86" s="1046"/>
      <c r="J86" s="1046">
        <f t="shared" ref="J86:AO86" ca="1" si="325">INDEX(MO_BSS_Debt_Net,0,COLUMN())/INDEX(SP_BSR_CashFlow_LTM,0,COLUMN())</f>
        <v>-4.5001346806249192</v>
      </c>
      <c r="K86" s="1254">
        <f t="shared" ca="1" si="325"/>
        <v>-4.5001346806249192</v>
      </c>
      <c r="L86" s="1046">
        <f t="shared" ca="1" si="325"/>
        <v>-3.6619505862065544</v>
      </c>
      <c r="M86" s="1046">
        <f t="shared" ca="1" si="325"/>
        <v>-3.2259187077789071</v>
      </c>
      <c r="N86" s="1046">
        <f t="shared" ca="1" si="325"/>
        <v>-3.4061356857527811</v>
      </c>
      <c r="O86" s="1046">
        <f t="shared" ca="1" si="325"/>
        <v>-3.9489322824991082</v>
      </c>
      <c r="P86" s="1254">
        <f t="shared" ca="1" si="325"/>
        <v>-3.9489322824991082</v>
      </c>
      <c r="Q86" s="1046">
        <f t="shared" ca="1" si="325"/>
        <v>-3.6617799470941259</v>
      </c>
      <c r="R86" s="1046">
        <f t="shared" ca="1" si="325"/>
        <v>-3.7035345735389069</v>
      </c>
      <c r="S86" s="1046">
        <f t="shared" ca="1" si="325"/>
        <v>-3.2980449501685754</v>
      </c>
      <c r="T86" s="1046">
        <f t="shared" ca="1" si="325"/>
        <v>-3.5596026490066226</v>
      </c>
      <c r="U86" s="1254">
        <f t="shared" ca="1" si="325"/>
        <v>-3.5596026490066226</v>
      </c>
      <c r="V86" s="1046">
        <f t="shared" ca="1" si="325"/>
        <v>-3.3846153846153846</v>
      </c>
      <c r="W86" s="137">
        <f t="shared" ca="1" si="325"/>
        <v>-2.8970037453183521</v>
      </c>
      <c r="X86" s="137">
        <f t="shared" ca="1" si="325"/>
        <v>-2.99096657633243</v>
      </c>
      <c r="Y86" s="137">
        <f t="shared" ca="1" si="325"/>
        <v>-3.0017021276595743</v>
      </c>
      <c r="Z86" s="1254">
        <f t="shared" ca="1" si="325"/>
        <v>-3.0017021276595743</v>
      </c>
      <c r="AA86" s="137">
        <f t="shared" ca="1" si="325"/>
        <v>-2.6001602564102564</v>
      </c>
      <c r="AB86" s="137">
        <f t="shared" ca="1" si="325"/>
        <v>-2.6233463035019455</v>
      </c>
      <c r="AC86" s="137">
        <f t="shared" ca="1" si="325"/>
        <v>-2.4801641586867307</v>
      </c>
      <c r="AD86" s="137">
        <f t="shared" ca="1" si="325"/>
        <v>-2.3815789473684212</v>
      </c>
      <c r="AE86" s="1254">
        <f t="shared" ca="1" si="325"/>
        <v>-2.3815789473684212</v>
      </c>
      <c r="AF86" s="137">
        <f t="shared" ca="1" si="325"/>
        <v>-2.4440366972477063</v>
      </c>
      <c r="AG86" s="137">
        <f t="shared" ca="1" si="325"/>
        <v>-1.7775700934579439</v>
      </c>
      <c r="AH86" s="137">
        <f t="shared" ca="1" si="325"/>
        <v>-1.5043630017452008</v>
      </c>
      <c r="AI86" s="137">
        <f t="shared" ca="1" si="325"/>
        <v>-1.4585950885208452</v>
      </c>
      <c r="AJ86" s="1254">
        <f t="shared" ca="1" si="325"/>
        <v>-1.4585950885208452</v>
      </c>
      <c r="AK86" s="137">
        <f t="shared" ca="1" si="325"/>
        <v>-1.1361200428724545</v>
      </c>
      <c r="AL86" s="137">
        <f t="shared" ca="1" si="325"/>
        <v>-1.2193720500718244</v>
      </c>
      <c r="AM86" s="137">
        <f t="shared" ca="1" si="325"/>
        <v>-1.3326195574589579</v>
      </c>
      <c r="AN86" s="137">
        <f t="shared" ca="1" si="325"/>
        <v>-1.4517766497461928</v>
      </c>
      <c r="AO86" s="1254">
        <f t="shared" ca="1" si="325"/>
        <v>-1.4517766497461928</v>
      </c>
      <c r="AP86" s="137">
        <f t="shared" ref="AP86:BG86" ca="1" si="326">INDEX(MO_BSS_Debt_Net,0,COLUMN())/INDEX(SP_BSR_CashFlow_LTM,0,COLUMN())</f>
        <v>-1.7388999337309476</v>
      </c>
      <c r="AQ86" s="137">
        <f t="shared" ca="1" si="326"/>
        <v>-1.9463992107859256</v>
      </c>
      <c r="AR86" s="137">
        <f t="shared" ca="1" si="326"/>
        <v>-1.7217453505007152</v>
      </c>
      <c r="AS86" s="137">
        <f t="shared" ca="1" si="326"/>
        <v>-1.7336693971854653</v>
      </c>
      <c r="AT86" s="1254">
        <f t="shared" ca="1" si="326"/>
        <v>-1.7336693971854653</v>
      </c>
      <c r="AU86" s="137">
        <f t="shared" ca="1" si="326"/>
        <v>-1.772929292929293</v>
      </c>
      <c r="AV86" s="137">
        <f t="shared" ca="1" si="326"/>
        <v>-0.58878337215552767</v>
      </c>
      <c r="AW86" s="137">
        <f t="shared" ca="1" si="326"/>
        <v>-0.47088122605363986</v>
      </c>
      <c r="AX86" s="137">
        <f t="shared" ca="1" si="326"/>
        <v>-0.66008244589488152</v>
      </c>
      <c r="AY86" s="1254">
        <f t="shared" ca="1" si="326"/>
        <v>-0.66008244589488152</v>
      </c>
      <c r="AZ86" s="137">
        <f t="shared" ca="1" si="326"/>
        <v>-0.72624134374539562</v>
      </c>
      <c r="BA86" s="137">
        <f t="shared" ca="1" si="326"/>
        <v>-0.86851430017717035</v>
      </c>
      <c r="BB86" s="137">
        <f t="shared" ca="1" si="326"/>
        <v>-0.91758781626136088</v>
      </c>
      <c r="BC86" s="137">
        <f t="shared" ca="1" si="326"/>
        <v>-1.0295344751866491</v>
      </c>
      <c r="BD86" s="1254">
        <f t="shared" ca="1" si="326"/>
        <v>-1.0295344751866491</v>
      </c>
      <c r="BE86" s="137">
        <f t="shared" ca="1" si="326"/>
        <v>-0.94723926380368095</v>
      </c>
      <c r="BF86" s="137">
        <f t="shared" ca="1" si="326"/>
        <v>-0.68846815834767638</v>
      </c>
      <c r="BG86" s="137">
        <f t="shared" ca="1" si="326"/>
        <v>-0.19281045751633988</v>
      </c>
      <c r="BH86" s="137">
        <f t="shared" ref="BH86:BN86" ca="1" si="327">INDEX(MO_BSS_Debt_Net,0,COLUMN())/INDEX(SP_BSR_CashFlow_LTM,0,COLUMN())</f>
        <v>-0.2242510193228151</v>
      </c>
      <c r="BI86" s="1254">
        <f t="shared" ca="1" si="327"/>
        <v>-0.2242510193228151</v>
      </c>
      <c r="BJ86" s="137">
        <f t="shared" ca="1" si="327"/>
        <v>-0.47500366515173731</v>
      </c>
      <c r="BK86" s="137">
        <f t="shared" ca="1" si="327"/>
        <v>-0.42600218505756787</v>
      </c>
      <c r="BL86" s="137">
        <f t="shared" ca="1" si="327"/>
        <v>-0.38505228515313977</v>
      </c>
      <c r="BM86" s="137">
        <f t="shared" ca="1" si="327"/>
        <v>-0.53143467426130298</v>
      </c>
      <c r="BN86" s="1254">
        <f t="shared" ca="1" si="327"/>
        <v>-0.53143467426130298</v>
      </c>
      <c r="BO86" s="137">
        <f t="shared" ref="BO86:BT86" ca="1" si="328">INDEX(MO_BSS_Debt_Net,0,COLUMN())/INDEX(SP_BSR_CashFlow_LTM,0,COLUMN())</f>
        <v>-0.49849471917875826</v>
      </c>
      <c r="BP86" s="137">
        <f t="shared" ca="1" si="328"/>
        <v>-0.50930872924543813</v>
      </c>
      <c r="BQ86" s="137">
        <f t="shared" ca="1" si="328"/>
        <v>-0.4793500568191455</v>
      </c>
      <c r="BR86" s="137">
        <f t="shared" ca="1" si="328"/>
        <v>-0.51397275663530406</v>
      </c>
      <c r="BS86" s="1254">
        <f t="shared" ca="1" si="328"/>
        <v>-0.51397275663530406</v>
      </c>
      <c r="BT86" s="137">
        <f t="shared" ca="1" si="328"/>
        <v>-0.56994668977651719</v>
      </c>
      <c r="BU86" s="137">
        <f ca="1">INDEX(MO_BSS_Debt_Net,0,COLUMN())/INDEX(SP_BSR_CashFlow_LTM,0,COLUMN())</f>
        <v>-0.59963652885052254</v>
      </c>
      <c r="BV86" s="137">
        <f ca="1">INDEX(MO_BSS_Debt_Net,0,COLUMN())/INDEX(SP_BSR_CashFlow_LTM,0,COLUMN())</f>
        <v>-0.59868444786493347</v>
      </c>
      <c r="BW86" s="137">
        <f ca="1">INDEX(MO_BSS_Debt_Net,0,COLUMN())/INDEX(SP_BSR_CashFlow_LTM,0,COLUMN())</f>
        <v>-0.49790689071048894</v>
      </c>
      <c r="BX86" s="1254">
        <f ca="1">INDEX(MO_BSS_Debt_Net,0,COLUMN())/INDEX(SP_BSR_CashFlow_LTM,0,COLUMN())</f>
        <v>-0.49790689071048894</v>
      </c>
      <c r="BY86" s="972">
        <f ca="1">INDEX(MO_BSS_Debt_Net,0,COLUMN())/INDEX(SP_BSR_CashFlow_LTM,0,COLUMN())</f>
        <v>-0.53926843244619893</v>
      </c>
      <c r="BZ86" s="137">
        <f t="shared" ref="BZ86:CC86" ca="1" si="329">INDEX(MO_BSS_Debt_Net,0,COLUMN())/INDEX(SP_BSR_CashFlow_LTM,0,COLUMN())</f>
        <v>-0.67928158063052302</v>
      </c>
      <c r="CA86" s="137">
        <f t="shared" ca="1" si="329"/>
        <v>-0.81098699582998912</v>
      </c>
      <c r="CB86" s="137">
        <f t="shared" ca="1" si="329"/>
        <v>-0.99076835679246245</v>
      </c>
      <c r="CC86" s="1254">
        <f t="shared" ca="1" si="329"/>
        <v>-0.99076835679246245</v>
      </c>
      <c r="CD86" s="137">
        <f t="shared" ref="CD86:CK86" ca="1" si="330">INDEX(MO_BSS_Debt_Net,0,COLUMN())/INDEX(SP_BSR_CashFlow_LTM,0,COLUMN())</f>
        <v>-1.2034183389876767</v>
      </c>
      <c r="CE86" s="137">
        <f t="shared" ca="1" si="330"/>
        <v>-1.3466431676172008</v>
      </c>
      <c r="CF86" s="137">
        <f t="shared" ca="1" si="330"/>
        <v>-1.4615660033871805</v>
      </c>
      <c r="CG86" s="137">
        <f t="shared" ca="1" si="330"/>
        <v>-1.6271329386350388</v>
      </c>
      <c r="CH86" s="1254">
        <f t="shared" ca="1" si="330"/>
        <v>-1.6271329386350388</v>
      </c>
      <c r="CI86" s="1254">
        <f t="shared" ca="1" si="330"/>
        <v>-2.242561433132146</v>
      </c>
      <c r="CJ86" s="1254">
        <f t="shared" ca="1" si="330"/>
        <v>-2.8020949410476854</v>
      </c>
      <c r="CK86" s="1254">
        <f t="shared" ca="1" si="330"/>
        <v>-3.2896901595106804</v>
      </c>
      <c r="CL86" s="137"/>
    </row>
    <row r="87" spans="1:90" s="998" customFormat="1" x14ac:dyDescent="0.3">
      <c r="A87" s="217" t="s">
        <v>340</v>
      </c>
      <c r="B87" s="218"/>
      <c r="C87" s="1255">
        <f>INDEX(MO_BSS_Debt_Net,0,COLUMN())/SUM(INDEX(MO_BS_SE,0,COLUMN()),INDEX(MO_BSS_Debt,0,COLUMN()),IFERROR(INDEX(MO_BSS_OL,0,COLUMN()),0))</f>
        <v>-0.50810358775781039</v>
      </c>
      <c r="D87" s="1255">
        <f>INDEX(MO_BSS_Debt_Net,0,COLUMN())/SUM(INDEX(MO_BS_SE,0,COLUMN()),INDEX(MO_BSS_Debt,0,COLUMN()),IFERROR(INDEX(MO_BSS_OL,0,COLUMN()),0))</f>
        <v>-0.63347090076926238</v>
      </c>
      <c r="E87" s="1255">
        <f>INDEX(MO_BSS_Debt_Net,0,COLUMN())/SUM(INDEX(MO_BS_SE,0,COLUMN()),INDEX(MO_BSS_Debt,0,COLUMN()),IFERROR(INDEX(MO_BSS_OL,0,COLUMN()),0))</f>
        <v>-0.76982486861323651</v>
      </c>
      <c r="F87" s="1255">
        <f>INDEX(MO_BSS_Debt_Net,0,COLUMN())/SUM(INDEX(MO_BS_SE,0,COLUMN()),INDEX(MO_BSS_Debt,0,COLUMN()),IFERROR(INDEX(MO_BSS_OL,0,COLUMN()),0))</f>
        <v>-0.74586403267642754</v>
      </c>
      <c r="G87" s="318"/>
      <c r="H87" s="318"/>
      <c r="I87" s="318"/>
      <c r="J87" s="318">
        <f t="shared" ref="J87:AO87" si="331">INDEX(MO_BSS_Debt_Net,0,COLUMN())/SUM(INDEX(MO_BS_SE,0,COLUMN()),INDEX(MO_BSS_Debt,0,COLUMN()),IFERROR(INDEX(MO_BSS_OL,0,COLUMN()),0))</f>
        <v>-0.7652390770546813</v>
      </c>
      <c r="K87" s="1255">
        <f t="shared" si="331"/>
        <v>-0.7652390770546813</v>
      </c>
      <c r="L87" s="318">
        <f t="shared" si="331"/>
        <v>-0.76291818604335215</v>
      </c>
      <c r="M87" s="318">
        <f t="shared" si="331"/>
        <v>-0.69649329404480997</v>
      </c>
      <c r="N87" s="318">
        <f t="shared" si="331"/>
        <v>-0.69529138047178407</v>
      </c>
      <c r="O87" s="318">
        <f t="shared" si="331"/>
        <v>-0.56565704556201735</v>
      </c>
      <c r="P87" s="1255">
        <f t="shared" si="331"/>
        <v>-0.56565704556201735</v>
      </c>
      <c r="Q87" s="318">
        <f t="shared" si="331"/>
        <v>-0.53504380069458068</v>
      </c>
      <c r="R87" s="318">
        <f t="shared" si="331"/>
        <v>-0.52715302052741597</v>
      </c>
      <c r="S87" s="318">
        <f t="shared" si="331"/>
        <v>-0.50895980563279686</v>
      </c>
      <c r="T87" s="318">
        <f t="shared" si="331"/>
        <v>-0.55450481430536447</v>
      </c>
      <c r="U87" s="1255">
        <f t="shared" si="331"/>
        <v>-0.55450481430536447</v>
      </c>
      <c r="V87" s="318">
        <f t="shared" si="331"/>
        <v>-0.56845637583892616</v>
      </c>
      <c r="W87" s="318">
        <f t="shared" si="331"/>
        <v>-0.55289492494639025</v>
      </c>
      <c r="X87" s="318">
        <f t="shared" si="331"/>
        <v>-0.56290377422645355</v>
      </c>
      <c r="Y87" s="318">
        <f t="shared" si="331"/>
        <v>-0.58989797625020901</v>
      </c>
      <c r="Z87" s="1255">
        <f t="shared" si="331"/>
        <v>-0.58989797625020901</v>
      </c>
      <c r="AA87" s="318">
        <f t="shared" si="331"/>
        <v>-0.56879929886064851</v>
      </c>
      <c r="AB87" s="318">
        <f t="shared" si="331"/>
        <v>-0.56295925183700735</v>
      </c>
      <c r="AC87" s="318">
        <f t="shared" si="331"/>
        <v>-0.43326562313299077</v>
      </c>
      <c r="AD87" s="318">
        <f t="shared" si="331"/>
        <v>-0.4642107717416647</v>
      </c>
      <c r="AE87" s="1255">
        <f t="shared" si="331"/>
        <v>-0.4642107717416647</v>
      </c>
      <c r="AF87" s="318">
        <f t="shared" si="331"/>
        <v>-0.4790218173099976</v>
      </c>
      <c r="AG87" s="318">
        <f t="shared" si="331"/>
        <v>-0.47278150633855331</v>
      </c>
      <c r="AH87" s="318">
        <f t="shared" si="331"/>
        <v>-0.51542693135613493</v>
      </c>
      <c r="AI87" s="318">
        <f t="shared" si="331"/>
        <v>-0.53933058811107593</v>
      </c>
      <c r="AJ87" s="1255">
        <f t="shared" si="331"/>
        <v>-0.53933058811107593</v>
      </c>
      <c r="AK87" s="318">
        <f t="shared" si="331"/>
        <v>-0.54543583410517649</v>
      </c>
      <c r="AL87" s="318">
        <f t="shared" si="331"/>
        <v>-0.55038903297517594</v>
      </c>
      <c r="AM87" s="318">
        <f t="shared" si="331"/>
        <v>-0.48853030963802879</v>
      </c>
      <c r="AN87" s="318">
        <f t="shared" si="331"/>
        <v>-0.47961165048543691</v>
      </c>
      <c r="AO87" s="1255">
        <f t="shared" si="331"/>
        <v>-0.47961165048543691</v>
      </c>
      <c r="AP87" s="318">
        <f t="shared" ref="AP87:BG87" si="332">INDEX(MO_BSS_Debt_Net,0,COLUMN())/SUM(INDEX(MO_BS_SE,0,COLUMN()),INDEX(MO_BSS_Debt,0,COLUMN()),IFERROR(INDEX(MO_BSS_OL,0,COLUMN()),0))</f>
        <v>-0.42812856909773211</v>
      </c>
      <c r="AQ87" s="318">
        <f t="shared" si="332"/>
        <v>-0.45912193608439344</v>
      </c>
      <c r="AR87" s="318">
        <f t="shared" si="332"/>
        <v>-0.52470571137916</v>
      </c>
      <c r="AS87" s="318">
        <f t="shared" si="332"/>
        <v>-0.55593722637569876</v>
      </c>
      <c r="AT87" s="1255">
        <f t="shared" si="332"/>
        <v>-0.55593722637569876</v>
      </c>
      <c r="AU87" s="318">
        <f t="shared" si="332"/>
        <v>-0.4244329448179136</v>
      </c>
      <c r="AV87" s="318">
        <f t="shared" si="332"/>
        <v>-0.15206626868434447</v>
      </c>
      <c r="AW87" s="318">
        <f t="shared" si="332"/>
        <v>-0.10679991310015208</v>
      </c>
      <c r="AX87" s="318">
        <f t="shared" si="332"/>
        <v>-0.15614968916338223</v>
      </c>
      <c r="AY87" s="1255">
        <f t="shared" si="332"/>
        <v>-0.15614968916338223</v>
      </c>
      <c r="AZ87" s="318">
        <f t="shared" si="332"/>
        <v>-0.18591581170790586</v>
      </c>
      <c r="BA87" s="318">
        <f t="shared" si="332"/>
        <v>-0.20222169839118392</v>
      </c>
      <c r="BB87" s="318">
        <f t="shared" si="332"/>
        <v>-0.20971228070175438</v>
      </c>
      <c r="BC87" s="318">
        <f t="shared" si="332"/>
        <v>-0.24391956923237001</v>
      </c>
      <c r="BD87" s="1255">
        <f t="shared" si="332"/>
        <v>-0.24391956923237001</v>
      </c>
      <c r="BE87" s="318">
        <f t="shared" si="332"/>
        <v>-0.22250170308651679</v>
      </c>
      <c r="BF87" s="318">
        <f t="shared" si="332"/>
        <v>-0.14570724052902936</v>
      </c>
      <c r="BG87" s="318">
        <f t="shared" si="332"/>
        <v>-3.7259796108621776E-2</v>
      </c>
      <c r="BH87" s="318">
        <f t="shared" ref="BH87:BN87" si="333">INDEX(MO_BSS_Debt_Net,0,COLUMN())/SUM(INDEX(MO_BS_SE,0,COLUMN()),INDEX(MO_BSS_Debt,0,COLUMN()),IFERROR(INDEX(MO_BSS_OL,0,COLUMN()),0))</f>
        <v>-3.7061994609164421E-2</v>
      </c>
      <c r="BI87" s="1255">
        <f t="shared" si="333"/>
        <v>-3.7061994609164421E-2</v>
      </c>
      <c r="BJ87" s="318">
        <f t="shared" si="333"/>
        <v>-8.8524590163934422E-2</v>
      </c>
      <c r="BK87" s="318">
        <f t="shared" si="333"/>
        <v>-0.13181640878949422</v>
      </c>
      <c r="BL87" s="318">
        <f t="shared" si="333"/>
        <v>-0.16377675426713628</v>
      </c>
      <c r="BM87" s="318">
        <f t="shared" si="333"/>
        <v>-0.27627049635414741</v>
      </c>
      <c r="BN87" s="1255">
        <f t="shared" si="333"/>
        <v>-0.27627049635414741</v>
      </c>
      <c r="BO87" s="318">
        <f t="shared" ref="BO87:BT87" si="334">INDEX(MO_BSS_Debt_Net,0,COLUMN())/SUM(INDEX(MO_BS_SE,0,COLUMN()),INDEX(MO_BSS_Debt,0,COLUMN()),IFERROR(INDEX(MO_BSS_OL,0,COLUMN()),0))</f>
        <v>-0.33456996637903907</v>
      </c>
      <c r="BP87" s="318">
        <f t="shared" si="334"/>
        <v>-0.36356568679223139</v>
      </c>
      <c r="BQ87" s="318">
        <f t="shared" si="334"/>
        <v>-0.37126267668540802</v>
      </c>
      <c r="BR87" s="318">
        <f t="shared" si="334"/>
        <v>-0.3676462381552954</v>
      </c>
      <c r="BS87" s="1255">
        <f t="shared" si="334"/>
        <v>-0.3676462381552954</v>
      </c>
      <c r="BT87" s="318">
        <f t="shared" si="334"/>
        <v>-0.46113802481727012</v>
      </c>
      <c r="BU87" s="318">
        <f>INDEX(MO_BSS_Debt_Net,0,COLUMN())/SUM(INDEX(MO_BS_SE,0,COLUMN()),INDEX(MO_BSS_Debt,0,COLUMN()),IFERROR(INDEX(MO_BSS_OL,0,COLUMN()),0))</f>
        <v>-0.4171716533157529</v>
      </c>
      <c r="BV87" s="318">
        <f>INDEX(MO_BSS_Debt_Net,0,COLUMN())/SUM(INDEX(MO_BS_SE,0,COLUMN()),INDEX(MO_BSS_Debt,0,COLUMN()),IFERROR(INDEX(MO_BSS_OL,0,COLUMN()),0))</f>
        <v>-0.38379882669462456</v>
      </c>
      <c r="BW87" s="318">
        <f>INDEX(MO_BSS_Debt_Net,0,COLUMN())/SUM(INDEX(MO_BS_SE,0,COLUMN()),INDEX(MO_BSS_Debt,0,COLUMN()),IFERROR(INDEX(MO_BSS_OL,0,COLUMN()),0))</f>
        <v>-0.30315639726149196</v>
      </c>
      <c r="BX87" s="1255">
        <f>INDEX(MO_BSS_Debt_Net,0,COLUMN())/SUM(INDEX(MO_BS_SE,0,COLUMN()),INDEX(MO_BSS_Debt,0,COLUMN()),IFERROR(INDEX(MO_BSS_OL,0,COLUMN()),0))</f>
        <v>-0.30315639726149196</v>
      </c>
      <c r="BY87" s="973">
        <f>INDEX(MO_BSS_Debt_Net,0,COLUMN())/SUM(INDEX(MO_BS_SE,0,COLUMN()),INDEX(MO_BSS_Debt,0,COLUMN()),IFERROR(INDEX(MO_BSS_OL,0,COLUMN()),0))</f>
        <v>-0.32530918727915192</v>
      </c>
      <c r="BZ87" s="318">
        <f t="shared" ref="BZ87:CC87" si="335">INDEX(MO_BSS_Debt_Net,0,COLUMN())/SUM(INDEX(MO_BS_SE,0,COLUMN()),INDEX(MO_BSS_Debt,0,COLUMN()),IFERROR(INDEX(MO_BSS_OL,0,COLUMN()),0))</f>
        <v>-0.41179092331337186</v>
      </c>
      <c r="CA87" s="318">
        <f t="shared" si="335"/>
        <v>-0.45445508110207206</v>
      </c>
      <c r="CB87" s="318">
        <f t="shared" si="335"/>
        <v>-0.53673190255907155</v>
      </c>
      <c r="CC87" s="1255">
        <f t="shared" si="335"/>
        <v>-0.53673190255907155</v>
      </c>
      <c r="CD87" s="318">
        <f t="shared" ref="CD87:CK87" si="336">INDEX(MO_BSS_Debt_Net,0,COLUMN())/SUM(INDEX(MO_BS_SE,0,COLUMN()),INDEX(MO_BSS_Debt,0,COLUMN()),IFERROR(INDEX(MO_BSS_OL,0,COLUMN()),0))</f>
        <v>-0.62572119034073947</v>
      </c>
      <c r="CE87" s="318">
        <f t="shared" si="336"/>
        <v>-0.65839695593881087</v>
      </c>
      <c r="CF87" s="318">
        <f t="shared" si="336"/>
        <v>-0.66632706413294984</v>
      </c>
      <c r="CG87" s="318">
        <f t="shared" si="336"/>
        <v>-0.70907426035797949</v>
      </c>
      <c r="CH87" s="1255">
        <f t="shared" si="336"/>
        <v>-0.70907426035797949</v>
      </c>
      <c r="CI87" s="1255">
        <f t="shared" si="336"/>
        <v>-0.7963287199854554</v>
      </c>
      <c r="CJ87" s="1255">
        <f t="shared" si="336"/>
        <v>-0.84678494202909405</v>
      </c>
      <c r="CK87" s="1255">
        <f t="shared" si="336"/>
        <v>-0.87869201520086171</v>
      </c>
      <c r="CL87" s="240"/>
    </row>
    <row r="88" spans="1:90" s="995" customFormat="1" hidden="1" outlineLevel="1" x14ac:dyDescent="0.3">
      <c r="A88" s="206" t="s">
        <v>341</v>
      </c>
      <c r="B88" s="85"/>
      <c r="C88" s="183">
        <f>C51</f>
        <v>301.04499999999962</v>
      </c>
      <c r="D88" s="183">
        <f>D51</f>
        <v>300.00900000000013</v>
      </c>
      <c r="E88" s="183">
        <f>E51</f>
        <v>659.1690000000001</v>
      </c>
      <c r="F88" s="183">
        <f>F51</f>
        <v>974.63</v>
      </c>
      <c r="G88" s="885"/>
      <c r="H88" s="885"/>
      <c r="I88" s="885"/>
      <c r="J88" s="885">
        <f>SUM(J51,I51,H51,G51)</f>
        <v>999.00099999999986</v>
      </c>
      <c r="K88" s="183">
        <f>K51</f>
        <v>999.00099999999975</v>
      </c>
      <c r="L88" s="885">
        <f>SUM(L51,J51,I51,H51)</f>
        <v>1010.5849999999999</v>
      </c>
      <c r="M88" s="885">
        <f>SUM(M51,L51,J51,I51)</f>
        <v>963.14899999999977</v>
      </c>
      <c r="N88" s="885">
        <f>SUM(N51,M51,L51,J51)</f>
        <v>854.17200000000014</v>
      </c>
      <c r="O88" s="885">
        <f>SUM(O51,N51,M51,L51)</f>
        <v>830.66000000000076</v>
      </c>
      <c r="P88" s="183">
        <f>P51</f>
        <v>830.66</v>
      </c>
      <c r="Q88" s="885">
        <f>SUM(Q51,O51,N51,M51)</f>
        <v>895.27700000000073</v>
      </c>
      <c r="R88" s="885">
        <f>SUM(R51,Q51,O51,N51)</f>
        <v>949.85400000000072</v>
      </c>
      <c r="S88" s="885">
        <f>SUM(S51,R51,Q51,O51)</f>
        <v>1024.6290000000006</v>
      </c>
      <c r="T88" s="885">
        <f>SUM(T51,S51,R51,Q51)</f>
        <v>1097</v>
      </c>
      <c r="U88" s="183">
        <f>U51</f>
        <v>1097</v>
      </c>
      <c r="V88" s="885">
        <f>SUM(V51,T51,S51,R51)</f>
        <v>1130</v>
      </c>
      <c r="W88" s="885">
        <f>SUM(W51,V51,T51,S51)</f>
        <v>1144</v>
      </c>
      <c r="X88" s="885">
        <f>SUM(X51,W51,V51,T51)</f>
        <v>1182</v>
      </c>
      <c r="Y88" s="885">
        <f>SUM(Y51,X51,W51,V51)</f>
        <v>1249</v>
      </c>
      <c r="Z88" s="183">
        <f>Z51</f>
        <v>1249</v>
      </c>
      <c r="AA88" s="885">
        <f>SUM(AA51,Y51,X51,W51)</f>
        <v>1334</v>
      </c>
      <c r="AB88" s="885">
        <f>SUM(AB51,AA51,Y51,X51)</f>
        <v>1484</v>
      </c>
      <c r="AC88" s="885">
        <f>SUM(AC51,AB51,AA51,Y51)</f>
        <v>1884</v>
      </c>
      <c r="AD88" s="885">
        <f>SUM(AD51,AC51,AB51,AA51)</f>
        <v>2340</v>
      </c>
      <c r="AE88" s="183">
        <f>AE51</f>
        <v>2340</v>
      </c>
      <c r="AF88" s="885">
        <f>SUM(AF51,AD51,AC51,AB51)</f>
        <v>2659</v>
      </c>
      <c r="AG88" s="885">
        <f>SUM(AG51,AF51,AD51,AC51)</f>
        <v>3056</v>
      </c>
      <c r="AH88" s="885">
        <f>SUM(AH51,AG51,AF51,AD51)</f>
        <v>3359</v>
      </c>
      <c r="AI88" s="885">
        <f>SUM(AI51,AH51,AG51,AF51)</f>
        <v>3761</v>
      </c>
      <c r="AJ88" s="183">
        <f>AJ51</f>
        <v>3761</v>
      </c>
      <c r="AK88" s="885">
        <f>SUM(AK51,AI51,AH51,AG51)</f>
        <v>4566</v>
      </c>
      <c r="AL88" s="885">
        <f>SUM(AL51,AK51,AI51,AH51)</f>
        <v>5101</v>
      </c>
      <c r="AM88" s="885">
        <f>SUM(AM51,AL51,AK51,AI51)</f>
        <v>5331</v>
      </c>
      <c r="AN88" s="885">
        <f>SUM(AN51,AM51,AL51,AK51)</f>
        <v>4640</v>
      </c>
      <c r="AO88" s="183">
        <f>AO51</f>
        <v>4640</v>
      </c>
      <c r="AP88" s="885">
        <f>SUM(AP51,AN51,AM51,AL51)</f>
        <v>3807</v>
      </c>
      <c r="AQ88" s="885">
        <f>SUM(AQ51,AP51,AN51,AM51)</f>
        <v>3352</v>
      </c>
      <c r="AR88" s="885">
        <f>SUM(AR51,AQ51,AP51,AN51)</f>
        <v>3323</v>
      </c>
      <c r="AS88" s="885">
        <f>SUM(AS51,AR51,AQ51,AP51)</f>
        <v>4091</v>
      </c>
      <c r="AT88" s="183">
        <f>AT51</f>
        <v>4091</v>
      </c>
      <c r="AU88" s="885">
        <f>SUM(AU51,AS51,AR51,AQ51)</f>
        <v>4755</v>
      </c>
      <c r="AV88" s="885">
        <f>SUM(AV51,AU51,AS51,AR51)</f>
        <v>5503</v>
      </c>
      <c r="AW88" s="885">
        <f>SUM(AW51,AV51,AU51,AS51)</f>
        <v>6379</v>
      </c>
      <c r="AX88" s="885">
        <f>SUM(AX51,AW51,AV51,AU51)</f>
        <v>7289</v>
      </c>
      <c r="AY88" s="183">
        <f>AY51</f>
        <v>7289</v>
      </c>
      <c r="AZ88" s="885">
        <f>SUM(AZ51,AX51,AW51,AV51)</f>
        <v>8685</v>
      </c>
      <c r="BA88" s="885">
        <f>SUM(BA51,AZ51,AX51,AW51)</f>
        <v>10268</v>
      </c>
      <c r="BB88" s="885">
        <f>SUM(BB51,BA51,AZ51,AX51)</f>
        <v>11691</v>
      </c>
      <c r="BC88" s="885">
        <f>SUM(BC51,BB51,BA51,AZ51)</f>
        <v>13302</v>
      </c>
      <c r="BD88" s="183">
        <f>BD51</f>
        <v>13301</v>
      </c>
      <c r="BE88" s="885">
        <f>SUM(BE51,BC51,BB51,BA51)</f>
        <v>14735</v>
      </c>
      <c r="BF88" s="885">
        <f>SUM(BF51,BE51,BC51,BB51)</f>
        <v>13037</v>
      </c>
      <c r="BG88" s="885">
        <f>SUM(BG51,BF51,BE51,BC51)</f>
        <v>11257</v>
      </c>
      <c r="BH88" s="885">
        <f>SUM(BH51,BG51,BF51,BE51)</f>
        <v>9884</v>
      </c>
      <c r="BI88" s="183">
        <f>BI51</f>
        <v>9884</v>
      </c>
      <c r="BJ88" s="885">
        <f>SUM(BJ51,BH51,BG51,BF51)</f>
        <v>9005</v>
      </c>
      <c r="BK88" s="885">
        <f>SUM(BK51,BJ51,BH51,BG51)</f>
        <v>15479</v>
      </c>
      <c r="BL88" s="885">
        <f>SUM(BL51,BK51,BJ51,BH51)</f>
        <v>25503</v>
      </c>
      <c r="BM88" s="885">
        <f>SUM(BM51,BL51,BK51,BJ51)</f>
        <v>38028</v>
      </c>
      <c r="BN88" s="183">
        <f>BN51</f>
        <v>38028</v>
      </c>
      <c r="BO88" s="885">
        <f>SUM(BO51,BM51,BL51,BK51)</f>
        <v>53099</v>
      </c>
      <c r="BP88" s="885">
        <f>SUM(BP51,BO51,BM51,BL51)</f>
        <v>65328</v>
      </c>
      <c r="BQ88" s="885">
        <f>SUM(BQ51,BP51,BO51,BM51)</f>
        <v>77148</v>
      </c>
      <c r="BR88" s="885">
        <f>SUM(BR51,BQ51,BP51,BO51)</f>
        <v>88059</v>
      </c>
      <c r="BS88" s="183">
        <f>BS51</f>
        <v>88060</v>
      </c>
      <c r="BT88" s="885">
        <f>SUM(BT51,BR51,BQ51,BP51)</f>
        <v>93460</v>
      </c>
      <c r="BU88" s="885">
        <f>SUM(BU51,BT51,BR51,BQ51)</f>
        <v>103984</v>
      </c>
      <c r="BV88" s="885">
        <f>SUM(BV51,BU51,BT51,BR51)</f>
        <v>118786</v>
      </c>
      <c r="BW88" s="885">
        <f>SUM(BW51,BV51,BU51,BT51)</f>
        <v>139654</v>
      </c>
      <c r="BX88" s="183">
        <f>BX51</f>
        <v>139655</v>
      </c>
      <c r="BY88" s="878">
        <f>SUM(BY51,BW51,BV51,BU51)</f>
        <v>170475</v>
      </c>
      <c r="BZ88" s="885">
        <f>SUM(BZ51,BY51,BW51,BV51)</f>
        <v>200353.70841898443</v>
      </c>
      <c r="CA88" s="885">
        <f>SUM(CA51,BZ51,BY51,BW51)</f>
        <v>224248.8275540497</v>
      </c>
      <c r="CB88" s="885">
        <f>SUM(CB51,CA51,BZ51,BY51)</f>
        <v>242759.33847829036</v>
      </c>
      <c r="CC88" s="183">
        <f>CC51</f>
        <v>242759.33847829039</v>
      </c>
      <c r="CD88" s="885">
        <f>SUM(CD51,CB51,CA51,BZ51)</f>
        <v>258443.580879274</v>
      </c>
      <c r="CE88" s="885">
        <f>SUM(CE51,CD51,CB51,CA51)</f>
        <v>275928.28761296056</v>
      </c>
      <c r="CF88" s="885">
        <f>SUM(CF51,CE51,CD51,CB51)</f>
        <v>291059.27610835596</v>
      </c>
      <c r="CG88" s="885">
        <f>SUM(CG51,CF51,CE51,CD51)</f>
        <v>306669.67021806078</v>
      </c>
      <c r="CH88" s="183">
        <f>CH51</f>
        <v>306669.67021806078</v>
      </c>
      <c r="CI88" s="183">
        <f>CI51</f>
        <v>365299.06245758187</v>
      </c>
      <c r="CJ88" s="183">
        <f>CJ51</f>
        <v>428662.26544434158</v>
      </c>
      <c r="CK88" s="183">
        <f>CK51</f>
        <v>503437.93431266665</v>
      </c>
      <c r="CL88" s="132"/>
    </row>
    <row r="89" spans="1:90" s="995" customFormat="1" hidden="1" outlineLevel="1" x14ac:dyDescent="0.3">
      <c r="A89" s="206" t="s">
        <v>342</v>
      </c>
      <c r="B89" s="85"/>
      <c r="C89" s="183">
        <f ca="1">C66</f>
        <v>249.35999999999999</v>
      </c>
      <c r="D89" s="183">
        <f ca="1">D66</f>
        <v>487.80700000000002</v>
      </c>
      <c r="E89" s="183">
        <f ca="1">E66</f>
        <v>675.79700000000003</v>
      </c>
      <c r="F89" s="183">
        <f ca="1">F66</f>
        <v>909.15600000000018</v>
      </c>
      <c r="G89" s="885"/>
      <c r="H89" s="885"/>
      <c r="I89" s="885"/>
      <c r="J89" s="885">
        <f ca="1">SUM(J66,I66,H66,G66)</f>
        <v>824.17199999999991</v>
      </c>
      <c r="K89" s="183">
        <f ca="1">K66</f>
        <v>824.17199999999991</v>
      </c>
      <c r="L89" s="885">
        <f ca="1">SUM(L66,J66,I66,H66)</f>
        <v>1009.03</v>
      </c>
      <c r="M89" s="885">
        <f ca="1">SUM(M66,L66,J66,I66)</f>
        <v>904.61299999999983</v>
      </c>
      <c r="N89" s="885">
        <f ca="1">SUM(N66,M66,L66,J66)</f>
        <v>885.44299999999998</v>
      </c>
      <c r="O89" s="885">
        <f ca="1">SUM(O66,N66,M66,L66)</f>
        <v>835.14599999999984</v>
      </c>
      <c r="P89" s="183">
        <f ca="1">P66</f>
        <v>835.14599999999984</v>
      </c>
      <c r="Q89" s="885">
        <f ca="1">SUM(Q66,O66,N66,M66)</f>
        <v>810.49599999999987</v>
      </c>
      <c r="R89" s="885">
        <f ca="1">SUM(R66,Q66,O66,N66)</f>
        <v>810.02699999999993</v>
      </c>
      <c r="S89" s="885">
        <f ca="1">SUM(S66,R66,Q66,O66)</f>
        <v>863.71199999999999</v>
      </c>
      <c r="T89" s="885">
        <f ca="1">SUM(T66,S66,R66,Q66)</f>
        <v>906</v>
      </c>
      <c r="U89" s="183">
        <f ca="1">U66</f>
        <v>906</v>
      </c>
      <c r="V89" s="885">
        <f ca="1">SUM(V66,T66,S66,R66)</f>
        <v>1001</v>
      </c>
      <c r="W89" s="885">
        <f ca="1">SUM(W66,V66,T66,S66)</f>
        <v>1068</v>
      </c>
      <c r="X89" s="885">
        <f ca="1">SUM(X66,W66,V66,T66)</f>
        <v>1107</v>
      </c>
      <c r="Y89" s="885">
        <f ca="1">SUM(Y66,X66,W66,V66)</f>
        <v>1175</v>
      </c>
      <c r="Z89" s="183">
        <f ca="1">Z66</f>
        <v>1175</v>
      </c>
      <c r="AA89" s="885">
        <f ca="1">SUM(AA66,Y66,X66,W66)</f>
        <v>1248</v>
      </c>
      <c r="AB89" s="885">
        <f ca="1">SUM(AB66,AA66,Y66,X66)</f>
        <v>1285</v>
      </c>
      <c r="AC89" s="885">
        <f ca="1">SUM(AC66,AB66,AA66,Y66)</f>
        <v>1462</v>
      </c>
      <c r="AD89" s="885">
        <f ca="1">SUM(AD66,AC66,AB66,AA66)</f>
        <v>1672</v>
      </c>
      <c r="AE89" s="183">
        <f ca="1">AE66</f>
        <v>1672</v>
      </c>
      <c r="AF89" s="885">
        <f ca="1">SUM(AF66,AD66,AC66,AB66)</f>
        <v>1635</v>
      </c>
      <c r="AG89" s="885">
        <f ca="1">SUM(AG66,AF66,AD66,AC66)</f>
        <v>2140</v>
      </c>
      <c r="AH89" s="885">
        <f ca="1">SUM(AH66,AG66,AF66,AD66)</f>
        <v>2865</v>
      </c>
      <c r="AI89" s="885">
        <f ca="1">SUM(AI66,AH66,AG66,AF66)</f>
        <v>3502</v>
      </c>
      <c r="AJ89" s="183">
        <f ca="1">AJ66</f>
        <v>3502</v>
      </c>
      <c r="AK89" s="885">
        <f ca="1">SUM(AK66,AI66,AH66,AG66)</f>
        <v>4665</v>
      </c>
      <c r="AL89" s="885">
        <f ca="1">SUM(AL66,AK66,AI66,AH66)</f>
        <v>4873</v>
      </c>
      <c r="AM89" s="885">
        <f ca="1">SUM(AM66,AL66,AK66,AI66)</f>
        <v>4203</v>
      </c>
      <c r="AN89" s="885">
        <f ca="1">SUM(AN66,AM66,AL66,AK66)</f>
        <v>3743</v>
      </c>
      <c r="AO89" s="183">
        <f ca="1">AO66</f>
        <v>3743</v>
      </c>
      <c r="AP89" s="885">
        <f ca="1">SUM(AP66,AN66,AM66,AL66)</f>
        <v>3018</v>
      </c>
      <c r="AQ89" s="885">
        <f ca="1">SUM(AQ66,AP66,AN66,AM66)</f>
        <v>3041</v>
      </c>
      <c r="AR89" s="885">
        <f ca="1">SUM(AR66,AQ66,AP66,AN66)</f>
        <v>4194</v>
      </c>
      <c r="AS89" s="885">
        <f ca="1">SUM(AS66,AR66,AQ66,AP66)</f>
        <v>4761</v>
      </c>
      <c r="AT89" s="183">
        <f ca="1">AT66</f>
        <v>4761</v>
      </c>
      <c r="AU89" s="885">
        <f ca="1">SUM(AU66,AS66,AR66,AQ66)</f>
        <v>4950</v>
      </c>
      <c r="AV89" s="885">
        <f ca="1">SUM(AV66,AU66,AS66,AR66)</f>
        <v>5581</v>
      </c>
      <c r="AW89" s="885">
        <f ca="1">SUM(AW66,AV66,AU66,AS66)</f>
        <v>5220</v>
      </c>
      <c r="AX89" s="885">
        <f ca="1">SUM(AX66,AW66,AV66,AU66)</f>
        <v>5822</v>
      </c>
      <c r="AY89" s="183">
        <f ca="1">AY66</f>
        <v>5822</v>
      </c>
      <c r="AZ89" s="885">
        <f ca="1">SUM(AZ66,AX66,AW66,AV66)</f>
        <v>6787</v>
      </c>
      <c r="BA89" s="885">
        <f ca="1">SUM(BA66,AZ66,AX66,AW66)</f>
        <v>7902</v>
      </c>
      <c r="BB89" s="885">
        <f ca="1">SUM(BB66,BA66,AZ66,AX66)</f>
        <v>8142</v>
      </c>
      <c r="BC89" s="885">
        <f ca="1">SUM(BC66,BB66,BA66,AZ66)</f>
        <v>9108</v>
      </c>
      <c r="BD89" s="183">
        <f ca="1">BD66</f>
        <v>9108</v>
      </c>
      <c r="BE89" s="885">
        <f ca="1">SUM(BE66,BC66,BB66,BA66)</f>
        <v>8965</v>
      </c>
      <c r="BF89" s="885">
        <f ca="1">SUM(BF66,BE66,BC66,BB66)</f>
        <v>7553</v>
      </c>
      <c r="BG89" s="885">
        <f ca="1">SUM(BG66,BF66,BE66,BC66)</f>
        <v>6426</v>
      </c>
      <c r="BH89" s="885">
        <f ca="1">SUM(BH66,BG66,BF66,BE66)</f>
        <v>5641</v>
      </c>
      <c r="BI89" s="183">
        <f ca="1">BI66</f>
        <v>5641</v>
      </c>
      <c r="BJ89" s="885">
        <f ca="1">SUM(BJ66,BH66,BG66,BF66)</f>
        <v>6821</v>
      </c>
      <c r="BK89" s="885">
        <f ca="1">SUM(BK66,BJ66,BH66,BG66)</f>
        <v>11899</v>
      </c>
      <c r="BL89" s="885">
        <f ca="1">SUM(BL66,BK66,BJ66,BH66)</f>
        <v>18839</v>
      </c>
      <c r="BM89" s="885">
        <f ca="1">SUM(BM66,BL66,BK66,BJ66)</f>
        <v>28090</v>
      </c>
      <c r="BN89" s="183">
        <f ca="1">BN66</f>
        <v>28090</v>
      </c>
      <c r="BO89" s="885">
        <f ca="1">SUM(BO66,BM66,BL66,BK66)</f>
        <v>40524</v>
      </c>
      <c r="BP89" s="885">
        <f ca="1">SUM(BP66,BO66,BM66,BL66)</f>
        <v>48664</v>
      </c>
      <c r="BQ89" s="885">
        <f ca="1">SUM(BQ66,BP66,BO66,BM66)</f>
        <v>58959</v>
      </c>
      <c r="BR89" s="885">
        <f ca="1">SUM(BR66,BQ66,BP66,BO66)</f>
        <v>64089</v>
      </c>
      <c r="BS89" s="183">
        <f ca="1">BS66</f>
        <v>64089</v>
      </c>
      <c r="BT89" s="885">
        <f ca="1">SUM(BT66,BR66,BQ66,BP66)</f>
        <v>76158</v>
      </c>
      <c r="BU89" s="885">
        <f ca="1">SUM(BU66,BT66,BR66,BQ66)</f>
        <v>77035</v>
      </c>
      <c r="BV89" s="885">
        <f ca="1">SUM(BV66,BU66,BT66,BR66)</f>
        <v>83159</v>
      </c>
      <c r="BW89" s="885">
        <f ca="1">SUM(BW66,BV66,BU66,BT66)</f>
        <v>102718</v>
      </c>
      <c r="BX89" s="183">
        <f ca="1">BX66</f>
        <v>102718</v>
      </c>
      <c r="BY89" s="878">
        <f ca="1">SUM(BY66,BW66,BV66,BU66)</f>
        <v>125648</v>
      </c>
      <c r="BZ89" s="885">
        <f ca="1">SUM(BZ66,BY66,BW66,BV66)</f>
        <v>152486.56468233501</v>
      </c>
      <c r="CA89" s="885">
        <f ca="1">SUM(CA66,BZ66,BY66,BW66)</f>
        <v>166837.72705731812</v>
      </c>
      <c r="CB89" s="885">
        <f ca="1">SUM(CB66,CA66,BZ66,BY66)</f>
        <v>187046.8735826051</v>
      </c>
      <c r="CC89" s="183">
        <f ca="1">CC66</f>
        <v>187046.8735826051</v>
      </c>
      <c r="CD89" s="885">
        <f ca="1">SUM(CD66,CB66,CA66,BZ66)</f>
        <v>207636.14632876747</v>
      </c>
      <c r="CE89" s="885">
        <f ca="1">SUM(CE66,CD66,CB66,CA66)</f>
        <v>225189.24927589297</v>
      </c>
      <c r="CF89" s="885">
        <f ca="1">SUM(CF66,CE66,CD66,CB66)</f>
        <v>237847.29865650073</v>
      </c>
      <c r="CG89" s="885">
        <f ca="1">SUM(CG66,CF66,CE66,CD66)</f>
        <v>254809.0105590841</v>
      </c>
      <c r="CH89" s="183">
        <f ca="1">CH66</f>
        <v>254809.01055908413</v>
      </c>
      <c r="CI89" s="183">
        <f ca="1">CI66</f>
        <v>313133.11661453277</v>
      </c>
      <c r="CJ89" s="183">
        <f ca="1">CJ66</f>
        <v>375506.99208045547</v>
      </c>
      <c r="CK89" s="183">
        <f ca="1">CK66</f>
        <v>448394.83568208443</v>
      </c>
      <c r="CL89" s="132"/>
    </row>
    <row r="90" spans="1:90" collapsed="1" x14ac:dyDescent="0.3">
      <c r="A90" s="196"/>
      <c r="B90" s="200"/>
      <c r="C90" s="1246"/>
      <c r="D90" s="1246"/>
      <c r="E90" s="1246"/>
      <c r="F90" s="1246"/>
      <c r="G90" s="883"/>
      <c r="H90" s="883"/>
      <c r="I90" s="883"/>
      <c r="J90" s="883"/>
      <c r="K90" s="1246"/>
      <c r="L90" s="883"/>
      <c r="M90" s="883"/>
      <c r="N90" s="883"/>
      <c r="O90" s="883"/>
      <c r="P90" s="1246"/>
      <c r="Q90" s="883"/>
      <c r="R90" s="883"/>
      <c r="S90" s="883"/>
      <c r="T90" s="883"/>
      <c r="U90" s="1246"/>
      <c r="V90" s="883"/>
      <c r="W90" s="883"/>
      <c r="X90" s="883"/>
      <c r="Y90" s="883"/>
      <c r="Z90" s="1246"/>
      <c r="AA90" s="883"/>
      <c r="AB90" s="883"/>
      <c r="AC90" s="883"/>
      <c r="AD90" s="883"/>
      <c r="AE90" s="1246"/>
      <c r="AF90" s="883"/>
      <c r="AG90" s="883"/>
      <c r="AH90" s="883"/>
      <c r="AI90" s="883"/>
      <c r="AJ90" s="1246"/>
      <c r="AK90" s="883"/>
      <c r="AL90" s="883"/>
      <c r="AM90" s="883"/>
      <c r="AN90" s="883"/>
      <c r="AO90" s="1246"/>
      <c r="AP90" s="883"/>
      <c r="AQ90" s="883"/>
      <c r="AR90" s="883"/>
      <c r="AS90" s="883"/>
      <c r="AT90" s="1246"/>
      <c r="AU90" s="883"/>
      <c r="AV90" s="883"/>
      <c r="AW90" s="883"/>
      <c r="AX90" s="883"/>
      <c r="AY90" s="1246"/>
      <c r="AZ90" s="883"/>
      <c r="BA90" s="883"/>
      <c r="BB90" s="883"/>
      <c r="BC90" s="883"/>
      <c r="BD90" s="1246"/>
      <c r="BE90" s="883"/>
      <c r="BF90" s="883"/>
      <c r="BG90" s="883"/>
      <c r="BH90" s="883"/>
      <c r="BI90" s="1246"/>
      <c r="BJ90" s="883"/>
      <c r="BK90" s="883"/>
      <c r="BL90" s="883"/>
      <c r="BM90" s="883"/>
      <c r="BN90" s="1246"/>
      <c r="BO90" s="883"/>
      <c r="BP90" s="883"/>
      <c r="BQ90" s="883"/>
      <c r="BR90" s="883"/>
      <c r="BS90" s="1246"/>
      <c r="BT90" s="883"/>
      <c r="BU90" s="883"/>
      <c r="BV90" s="883"/>
      <c r="BW90" s="883"/>
      <c r="BX90" s="1246"/>
      <c r="BY90" s="1044"/>
      <c r="BZ90" s="883"/>
      <c r="CA90" s="883"/>
      <c r="CB90" s="883"/>
      <c r="CC90" s="1246"/>
      <c r="CD90" s="883"/>
      <c r="CE90" s="883"/>
      <c r="CF90" s="883"/>
      <c r="CG90" s="883"/>
      <c r="CH90" s="1246"/>
      <c r="CI90" s="1246"/>
      <c r="CJ90" s="1246"/>
      <c r="CK90" s="1246"/>
      <c r="CL90" s="883"/>
    </row>
    <row r="91" spans="1:90" x14ac:dyDescent="0.3">
      <c r="A91" s="886" t="s">
        <v>413</v>
      </c>
      <c r="B91" s="884"/>
      <c r="C91" s="884"/>
      <c r="D91" s="884"/>
      <c r="E91" s="884"/>
      <c r="F91" s="884"/>
      <c r="G91" s="884"/>
      <c r="H91" s="884"/>
      <c r="I91" s="884"/>
      <c r="J91" s="884"/>
      <c r="K91" s="884"/>
      <c r="L91" s="884"/>
      <c r="M91" s="884"/>
      <c r="N91" s="884"/>
      <c r="O91" s="884"/>
      <c r="P91" s="884"/>
      <c r="Q91" s="884"/>
      <c r="R91" s="884"/>
      <c r="S91" s="884"/>
      <c r="T91" s="884"/>
      <c r="U91" s="884"/>
      <c r="V91" s="884"/>
      <c r="W91" s="884"/>
      <c r="X91" s="884"/>
      <c r="Y91" s="884"/>
      <c r="Z91" s="884"/>
      <c r="AA91" s="884"/>
      <c r="AB91" s="884"/>
      <c r="AC91" s="884"/>
      <c r="AD91" s="884"/>
      <c r="AE91" s="884"/>
      <c r="AF91" s="884"/>
      <c r="AG91" s="884"/>
      <c r="AH91" s="884"/>
      <c r="AI91" s="884"/>
      <c r="AJ91" s="884"/>
      <c r="AK91" s="884"/>
      <c r="AL91" s="884"/>
      <c r="AM91" s="884"/>
      <c r="AN91" s="884"/>
      <c r="AO91" s="884"/>
      <c r="AP91" s="884"/>
      <c r="AQ91" s="884"/>
      <c r="AR91" s="884"/>
      <c r="AS91" s="884"/>
      <c r="AT91" s="884"/>
      <c r="AU91" s="884"/>
      <c r="AV91" s="884"/>
      <c r="AW91" s="884"/>
      <c r="AX91" s="884"/>
      <c r="AY91" s="884"/>
      <c r="AZ91" s="884"/>
      <c r="BA91" s="884"/>
      <c r="BB91" s="884"/>
      <c r="BC91" s="884"/>
      <c r="BD91" s="884"/>
      <c r="BE91" s="884"/>
      <c r="BF91" s="884"/>
      <c r="BG91" s="884"/>
      <c r="BH91" s="884"/>
      <c r="BI91" s="884"/>
      <c r="BJ91" s="884"/>
      <c r="BK91" s="884"/>
      <c r="BL91" s="884"/>
      <c r="BM91" s="884"/>
      <c r="BN91" s="884"/>
      <c r="BO91" s="884"/>
      <c r="BP91" s="884"/>
      <c r="BQ91" s="884"/>
      <c r="BR91" s="884"/>
      <c r="BS91" s="884"/>
      <c r="BT91" s="884"/>
      <c r="BU91" s="884"/>
      <c r="BV91" s="884"/>
      <c r="BW91" s="884"/>
      <c r="BX91" s="884"/>
      <c r="BY91" s="1045"/>
      <c r="BZ91" s="884"/>
      <c r="CA91" s="884"/>
      <c r="CB91" s="884"/>
      <c r="CC91" s="884"/>
      <c r="CD91" s="884"/>
      <c r="CE91" s="884"/>
      <c r="CF91" s="884"/>
      <c r="CG91" s="884"/>
      <c r="CH91" s="884"/>
      <c r="CI91" s="884"/>
      <c r="CJ91" s="884"/>
      <c r="CK91" s="884"/>
      <c r="CL91" s="885"/>
    </row>
    <row r="92" spans="1:90" hidden="1" outlineLevel="1" x14ac:dyDescent="0.3">
      <c r="A92" s="197" t="s">
        <v>343</v>
      </c>
      <c r="B92" s="198"/>
      <c r="C92" s="183">
        <f t="shared" ref="C92:AH92" si="337">INDEX(SP_Company1876_NI,0,COLUMN())</f>
        <v>160.28399999999971</v>
      </c>
      <c r="D92" s="183">
        <f t="shared" si="337"/>
        <v>141.38300000000029</v>
      </c>
      <c r="E92" s="183">
        <f t="shared" si="337"/>
        <v>476.41400000000004</v>
      </c>
      <c r="F92" s="183">
        <f t="shared" si="337"/>
        <v>734.40599999999972</v>
      </c>
      <c r="G92" s="885">
        <f t="shared" si="337"/>
        <v>97.529999999999973</v>
      </c>
      <c r="H92" s="885">
        <f t="shared" si="337"/>
        <v>170.44800000000004</v>
      </c>
      <c r="I92" s="885">
        <f t="shared" si="337"/>
        <v>245.46199999999988</v>
      </c>
      <c r="J92" s="885">
        <f t="shared" si="337"/>
        <v>214.93299999999999</v>
      </c>
      <c r="K92" s="183">
        <f t="shared" si="337"/>
        <v>728.37299999999993</v>
      </c>
      <c r="L92" s="885">
        <f t="shared" si="337"/>
        <v>113.80099999999997</v>
      </c>
      <c r="M92" s="885">
        <f t="shared" si="337"/>
        <v>133.32999999999998</v>
      </c>
      <c r="N92" s="885">
        <f t="shared" si="337"/>
        <v>153.79000000000011</v>
      </c>
      <c r="O92" s="885">
        <f t="shared" si="337"/>
        <v>187.48600000000053</v>
      </c>
      <c r="P92" s="183">
        <f t="shared" si="337"/>
        <v>588.40700000000027</v>
      </c>
      <c r="Q92" s="885">
        <f t="shared" si="337"/>
        <v>166</v>
      </c>
      <c r="R92" s="885">
        <f t="shared" si="337"/>
        <v>173</v>
      </c>
      <c r="S92" s="885">
        <f t="shared" si="337"/>
        <v>220</v>
      </c>
      <c r="T92" s="885">
        <f t="shared" si="337"/>
        <v>241</v>
      </c>
      <c r="U92" s="183">
        <f t="shared" si="337"/>
        <v>801</v>
      </c>
      <c r="V92" s="885">
        <f t="shared" si="337"/>
        <v>187</v>
      </c>
      <c r="W92" s="885">
        <f t="shared" si="337"/>
        <v>190</v>
      </c>
      <c r="X92" s="885">
        <f t="shared" si="337"/>
        <v>255</v>
      </c>
      <c r="Y92" s="885">
        <f t="shared" si="337"/>
        <v>297</v>
      </c>
      <c r="Z92" s="183">
        <f t="shared" si="337"/>
        <v>929</v>
      </c>
      <c r="AA92" s="885">
        <f t="shared" si="337"/>
        <v>263</v>
      </c>
      <c r="AB92" s="885">
        <f t="shared" si="337"/>
        <v>313</v>
      </c>
      <c r="AC92" s="885">
        <f t="shared" si="337"/>
        <v>570</v>
      </c>
      <c r="AD92" s="885">
        <f t="shared" si="337"/>
        <v>704</v>
      </c>
      <c r="AE92" s="183">
        <f t="shared" si="337"/>
        <v>1851</v>
      </c>
      <c r="AF92" s="885">
        <f t="shared" si="337"/>
        <v>533</v>
      </c>
      <c r="AG92" s="885">
        <f t="shared" si="337"/>
        <v>638</v>
      </c>
      <c r="AH92" s="885">
        <f t="shared" si="337"/>
        <v>833</v>
      </c>
      <c r="AI92" s="885">
        <f t="shared" ref="AI92:BG92" si="338">INDEX(SP_Company1876_NI,0,COLUMN())</f>
        <v>1081</v>
      </c>
      <c r="AJ92" s="183">
        <f t="shared" si="338"/>
        <v>3085</v>
      </c>
      <c r="AK92" s="885">
        <f t="shared" si="338"/>
        <v>1285</v>
      </c>
      <c r="AL92" s="885">
        <f t="shared" si="338"/>
        <v>1210</v>
      </c>
      <c r="AM92" s="885">
        <f t="shared" si="338"/>
        <v>1151</v>
      </c>
      <c r="AN92" s="885">
        <f t="shared" si="338"/>
        <v>496</v>
      </c>
      <c r="AO92" s="183">
        <f t="shared" si="338"/>
        <v>4143</v>
      </c>
      <c r="AP92" s="885">
        <f t="shared" si="338"/>
        <v>543</v>
      </c>
      <c r="AQ92" s="885">
        <f t="shared" si="338"/>
        <v>762</v>
      </c>
      <c r="AR92" s="885">
        <f t="shared" si="338"/>
        <v>1103</v>
      </c>
      <c r="AS92" s="885">
        <f t="shared" si="338"/>
        <v>1172</v>
      </c>
      <c r="AT92" s="183">
        <f t="shared" si="338"/>
        <v>3580</v>
      </c>
      <c r="AU92" s="885">
        <f t="shared" si="338"/>
        <v>1120</v>
      </c>
      <c r="AV92" s="885">
        <f t="shared" si="338"/>
        <v>1366</v>
      </c>
      <c r="AW92" s="885">
        <f t="shared" si="338"/>
        <v>1834</v>
      </c>
      <c r="AX92" s="885">
        <f t="shared" si="338"/>
        <v>1957</v>
      </c>
      <c r="AY92" s="183">
        <f t="shared" si="338"/>
        <v>6277</v>
      </c>
      <c r="AZ92" s="885">
        <f t="shared" si="338"/>
        <v>2313</v>
      </c>
      <c r="BA92" s="885">
        <f t="shared" si="338"/>
        <v>2623</v>
      </c>
      <c r="BB92" s="885">
        <f t="shared" si="338"/>
        <v>2973</v>
      </c>
      <c r="BC92" s="885">
        <f t="shared" si="338"/>
        <v>3350</v>
      </c>
      <c r="BD92" s="183">
        <f t="shared" si="338"/>
        <v>11259</v>
      </c>
      <c r="BE92" s="885">
        <f t="shared" si="338"/>
        <v>3443</v>
      </c>
      <c r="BF92" s="885">
        <f t="shared" si="338"/>
        <v>1292</v>
      </c>
      <c r="BG92" s="885">
        <f t="shared" si="338"/>
        <v>1456</v>
      </c>
      <c r="BH92" s="885">
        <f t="shared" ref="BH92:BN92" si="339">INDEX(SP_Company1876_NI,0,COLUMN())</f>
        <v>2174</v>
      </c>
      <c r="BI92" s="183">
        <f t="shared" si="339"/>
        <v>8366</v>
      </c>
      <c r="BJ92" s="885">
        <f t="shared" si="339"/>
        <v>2713</v>
      </c>
      <c r="BK92" s="885">
        <f t="shared" si="339"/>
        <v>6740</v>
      </c>
      <c r="BL92" s="885">
        <f t="shared" si="339"/>
        <v>10020</v>
      </c>
      <c r="BM92" s="885">
        <f t="shared" si="339"/>
        <v>12839</v>
      </c>
      <c r="BN92" s="183">
        <f t="shared" si="339"/>
        <v>32312</v>
      </c>
      <c r="BO92" s="885">
        <f t="shared" ref="BO92:BT92" si="340">INDEX(SP_Company1876_NI,0,COLUMN())</f>
        <v>15238</v>
      </c>
      <c r="BP92" s="885">
        <f t="shared" si="340"/>
        <v>16952</v>
      </c>
      <c r="BQ92" s="885">
        <f t="shared" si="340"/>
        <v>20010</v>
      </c>
      <c r="BR92" s="885">
        <f t="shared" si="340"/>
        <v>22066</v>
      </c>
      <c r="BS92" s="183">
        <f t="shared" si="340"/>
        <v>74265</v>
      </c>
      <c r="BT92" s="885">
        <f t="shared" si="340"/>
        <v>19894</v>
      </c>
      <c r="BU92" s="885">
        <f>INDEX(SP_Company1876_NI,0,COLUMN())</f>
        <v>25783</v>
      </c>
      <c r="BV92" s="885">
        <f>INDEX(SP_Company1876_NI,0,COLUMN())</f>
        <v>31767</v>
      </c>
      <c r="BW92" s="885">
        <f>INDEX(SP_Company1876_NI,0,COLUMN())</f>
        <v>39552</v>
      </c>
      <c r="BX92" s="183">
        <f>INDEX(SP_Company1876_NI,0,COLUMN())</f>
        <v>116997</v>
      </c>
      <c r="BY92" s="878">
        <f>INDEX(SP_Company1876_NI,0,COLUMN())</f>
        <v>45548</v>
      </c>
      <c r="BZ92" s="885">
        <f t="shared" ref="BZ92:CC92" si="341">INDEX(SP_Company1876_NI,0,COLUMN())</f>
        <v>49553.194773794807</v>
      </c>
      <c r="CA92" s="885">
        <f t="shared" si="341"/>
        <v>52414.110201915952</v>
      </c>
      <c r="CB92" s="885">
        <f t="shared" si="341"/>
        <v>53779.767512730716</v>
      </c>
      <c r="CC92" s="183">
        <f t="shared" si="341"/>
        <v>201295.07248844151</v>
      </c>
      <c r="CD92" s="885">
        <f t="shared" ref="CD92:CK92" si="342">INDEX(SP_Company1876_NI,0,COLUMN())</f>
        <v>60313.78759104159</v>
      </c>
      <c r="CE92" s="885">
        <f t="shared" si="342"/>
        <v>67526.789278728422</v>
      </c>
      <c r="CF92" s="885">
        <f t="shared" si="342"/>
        <v>67391.109061673225</v>
      </c>
      <c r="CG92" s="885">
        <f t="shared" si="342"/>
        <v>69281.380686152334</v>
      </c>
      <c r="CH92" s="183">
        <f t="shared" si="342"/>
        <v>264513.06661759556</v>
      </c>
      <c r="CI92" s="183">
        <f t="shared" si="342"/>
        <v>322799.56219257694</v>
      </c>
      <c r="CJ92" s="183">
        <f t="shared" si="342"/>
        <v>386720.05559508491</v>
      </c>
      <c r="CK92" s="183">
        <f t="shared" si="342"/>
        <v>462388.28744905919</v>
      </c>
      <c r="CL92" s="885"/>
    </row>
    <row r="93" spans="1:90" hidden="1" outlineLevel="1" x14ac:dyDescent="0.3">
      <c r="A93" s="197" t="s">
        <v>344</v>
      </c>
      <c r="B93" s="198"/>
      <c r="C93" s="183">
        <f>C92</f>
        <v>160.28399999999971</v>
      </c>
      <c r="D93" s="183">
        <f>D92</f>
        <v>141.38300000000029</v>
      </c>
      <c r="E93" s="183">
        <f>E92</f>
        <v>476.41400000000004</v>
      </c>
      <c r="F93" s="183">
        <f>F92</f>
        <v>734.40599999999972</v>
      </c>
      <c r="G93" s="885"/>
      <c r="H93" s="885"/>
      <c r="I93" s="885"/>
      <c r="J93" s="885">
        <f>SUM(J92,I92,H92,G92)</f>
        <v>728.37299999999982</v>
      </c>
      <c r="K93" s="183">
        <f>K92</f>
        <v>728.37299999999993</v>
      </c>
      <c r="L93" s="885">
        <f>SUM(L92,J92,I92,H92)</f>
        <v>744.64400000000001</v>
      </c>
      <c r="M93" s="885">
        <f>SUM(M92,L92,J92,I92)</f>
        <v>707.52599999999984</v>
      </c>
      <c r="N93" s="885">
        <f>SUM(N92,M92,L92,J92)</f>
        <v>615.85400000000004</v>
      </c>
      <c r="O93" s="885">
        <f>SUM(O92,N92,M92,L92)</f>
        <v>588.40700000000061</v>
      </c>
      <c r="P93" s="183">
        <f>P92</f>
        <v>588.40700000000027</v>
      </c>
      <c r="Q93" s="885">
        <f>SUM(Q92,O92,N92,M92)</f>
        <v>640.60600000000068</v>
      </c>
      <c r="R93" s="885">
        <f>SUM(R92,Q92,O92,N92)</f>
        <v>680.27600000000064</v>
      </c>
      <c r="S93" s="885">
        <f>SUM(S92,R92,Q92,O92)</f>
        <v>746.48600000000056</v>
      </c>
      <c r="T93" s="885">
        <f>SUM(T92,S92,R92,Q92)</f>
        <v>800</v>
      </c>
      <c r="U93" s="183">
        <f>U92</f>
        <v>801</v>
      </c>
      <c r="V93" s="885">
        <f>SUM(V92,T92,S92,R92)</f>
        <v>821</v>
      </c>
      <c r="W93" s="885">
        <f>SUM(W92,V92,T92,S92)</f>
        <v>838</v>
      </c>
      <c r="X93" s="885">
        <f>SUM(X92,W92,V92,T92)</f>
        <v>873</v>
      </c>
      <c r="Y93" s="885">
        <f>SUM(Y92,X92,W92,V92)</f>
        <v>929</v>
      </c>
      <c r="Z93" s="183">
        <f>Z92</f>
        <v>929</v>
      </c>
      <c r="AA93" s="885">
        <f>SUM(AA92,Y92,X92,W92)</f>
        <v>1005</v>
      </c>
      <c r="AB93" s="885">
        <f>SUM(AB92,AA92,Y92,X92)</f>
        <v>1128</v>
      </c>
      <c r="AC93" s="885">
        <f>SUM(AC92,AB92,AA92,Y92)</f>
        <v>1443</v>
      </c>
      <c r="AD93" s="885">
        <f>SUM(AD92,AC92,AB92,AA92)</f>
        <v>1850</v>
      </c>
      <c r="AE93" s="183">
        <f>AE92</f>
        <v>1851</v>
      </c>
      <c r="AF93" s="885">
        <f>SUM(AF92,AD92,AC92,AB92)</f>
        <v>2120</v>
      </c>
      <c r="AG93" s="885">
        <f>SUM(AG92,AF92,AD92,AC92)</f>
        <v>2445</v>
      </c>
      <c r="AH93" s="885">
        <f>SUM(AH92,AG92,AF92,AD92)</f>
        <v>2708</v>
      </c>
      <c r="AI93" s="885">
        <f>SUM(AI92,AH92,AG92,AF92)</f>
        <v>3085</v>
      </c>
      <c r="AJ93" s="183">
        <f>AJ92</f>
        <v>3085</v>
      </c>
      <c r="AK93" s="885">
        <f>SUM(AK92,AI92,AH92,AG92)</f>
        <v>3837</v>
      </c>
      <c r="AL93" s="885">
        <f>SUM(AL92,AK92,AI92,AH92)</f>
        <v>4409</v>
      </c>
      <c r="AM93" s="885">
        <f>SUM(AM92,AL92,AK92,AI92)</f>
        <v>4727</v>
      </c>
      <c r="AN93" s="885">
        <f>SUM(AN92,AM92,AL92,AK92)</f>
        <v>4142</v>
      </c>
      <c r="AO93" s="183">
        <f>AO92</f>
        <v>4143</v>
      </c>
      <c r="AP93" s="885">
        <f>SUM(AP92,AN92,AM92,AL92)</f>
        <v>3400</v>
      </c>
      <c r="AQ93" s="885">
        <f>SUM(AQ92,AP92,AN92,AM92)</f>
        <v>2952</v>
      </c>
      <c r="AR93" s="885">
        <f>SUM(AR92,AQ92,AP92,AN92)</f>
        <v>2904</v>
      </c>
      <c r="AS93" s="885">
        <f>SUM(AS92,AR92,AQ92,AP92)</f>
        <v>3580</v>
      </c>
      <c r="AT93" s="183">
        <f>AT92</f>
        <v>3580</v>
      </c>
      <c r="AU93" s="885">
        <f>SUM(AU92,AS92,AR92,AQ92)</f>
        <v>4157</v>
      </c>
      <c r="AV93" s="885">
        <f>SUM(AV92,AU92,AS92,AR92)</f>
        <v>4761</v>
      </c>
      <c r="AW93" s="885">
        <f>SUM(AW92,AV92,AU92,AS92)</f>
        <v>5492</v>
      </c>
      <c r="AX93" s="885">
        <f>SUM(AX92,AW92,AV92,AU92)</f>
        <v>6277</v>
      </c>
      <c r="AY93" s="183">
        <f>AY92</f>
        <v>6277</v>
      </c>
      <c r="AZ93" s="885">
        <f>SUM(AZ92,AX92,AW92,AV92)</f>
        <v>7470</v>
      </c>
      <c r="BA93" s="885">
        <f>SUM(BA92,AZ92,AX92,AW92)</f>
        <v>8727</v>
      </c>
      <c r="BB93" s="885">
        <f>SUM(BB92,BA92,AZ92,AX92)</f>
        <v>9866</v>
      </c>
      <c r="BC93" s="885">
        <f>SUM(BC92,BB92,BA92,AZ92)</f>
        <v>11259</v>
      </c>
      <c r="BD93" s="183">
        <f>BD92</f>
        <v>11259</v>
      </c>
      <c r="BE93" s="885">
        <f>SUM(BE92,BC92,BB92,BA92)</f>
        <v>12389</v>
      </c>
      <c r="BF93" s="885">
        <f>SUM(BF92,BE92,BC92,BB92)</f>
        <v>11058</v>
      </c>
      <c r="BG93" s="885">
        <f>SUM(BG92,BF92,BE92,BC92)</f>
        <v>9541</v>
      </c>
      <c r="BH93" s="885">
        <f>SUM(BH92,BG92,BF92,BE92)</f>
        <v>8365</v>
      </c>
      <c r="BI93" s="183">
        <f>BI92</f>
        <v>8366</v>
      </c>
      <c r="BJ93" s="885">
        <f>SUM(BJ92,BH92,BG92,BF92)</f>
        <v>7635</v>
      </c>
      <c r="BK93" s="885">
        <f>SUM(BK92,BJ92,BH92,BG92)</f>
        <v>13083</v>
      </c>
      <c r="BL93" s="885">
        <f>SUM(BL92,BK92,BJ92,BH92)</f>
        <v>21647</v>
      </c>
      <c r="BM93" s="885">
        <f>SUM(BM92,BL92,BK92,BJ92)</f>
        <v>32312</v>
      </c>
      <c r="BN93" s="183">
        <f>BN92</f>
        <v>32312</v>
      </c>
      <c r="BO93" s="885">
        <f>SUM(BO92,BM92,BL92,BK92)</f>
        <v>44837</v>
      </c>
      <c r="BP93" s="885">
        <f>SUM(BP92,BO92,BM92,BL92)</f>
        <v>55049</v>
      </c>
      <c r="BQ93" s="885">
        <f>SUM(BQ92,BP92,BO92,BM92)</f>
        <v>65039</v>
      </c>
      <c r="BR93" s="885">
        <f>SUM(BR92,BQ92,BP92,BO92)</f>
        <v>74266</v>
      </c>
      <c r="BS93" s="183">
        <f>BS92</f>
        <v>74265</v>
      </c>
      <c r="BT93" s="885">
        <f>SUM(BT92,BR92,BQ92,BP92)</f>
        <v>78922</v>
      </c>
      <c r="BU93" s="885">
        <f>SUM(BU92,BT92,BR92,BQ92)</f>
        <v>87753</v>
      </c>
      <c r="BV93" s="885">
        <f>SUM(BV92,BU92,BT92,BR92)</f>
        <v>99510</v>
      </c>
      <c r="BW93" s="885">
        <f>SUM(BW92,BV92,BU92,BT92)</f>
        <v>116996</v>
      </c>
      <c r="BX93" s="183">
        <f>BX92</f>
        <v>116997</v>
      </c>
      <c r="BY93" s="878">
        <f>SUM(BY92,BW92,BV92,BU92)</f>
        <v>142650</v>
      </c>
      <c r="BZ93" s="885">
        <f>SUM(BZ92,BY92,BW92,BV92)</f>
        <v>166420.19477379479</v>
      </c>
      <c r="CA93" s="885">
        <f>SUM(CA92,BZ92,BY92,BW92)</f>
        <v>187067.30497571075</v>
      </c>
      <c r="CB93" s="885">
        <f>SUM(CB92,CA92,BZ92,BY92)</f>
        <v>201295.07248844148</v>
      </c>
      <c r="CC93" s="183">
        <f>CC92</f>
        <v>201295.07248844151</v>
      </c>
      <c r="CD93" s="885">
        <f>SUM(CD92,CB92,CA92,BZ92)</f>
        <v>216060.86007948307</v>
      </c>
      <c r="CE93" s="885">
        <f>SUM(CE92,CD92,CB92,CA92)</f>
        <v>234034.4545844167</v>
      </c>
      <c r="CF93" s="885">
        <f>SUM(CF92,CE92,CD92,CB92)</f>
        <v>249011.45344417397</v>
      </c>
      <c r="CG93" s="885">
        <f>SUM(CG92,CF92,CE92,CD92)</f>
        <v>264513.06661759556</v>
      </c>
      <c r="CH93" s="183">
        <f>CH92</f>
        <v>264513.06661759556</v>
      </c>
      <c r="CI93" s="183">
        <f>CI92</f>
        <v>322799.56219257694</v>
      </c>
      <c r="CJ93" s="183">
        <f>CJ92</f>
        <v>386720.05559508491</v>
      </c>
      <c r="CK93" s="183">
        <f>CK92</f>
        <v>462388.28744905919</v>
      </c>
      <c r="CL93" s="885"/>
    </row>
    <row r="94" spans="1:90" hidden="1" outlineLevel="1" x14ac:dyDescent="0.3">
      <c r="A94" s="197" t="s">
        <v>345</v>
      </c>
      <c r="B94" s="198"/>
      <c r="C94" s="183">
        <f t="shared" ref="C94:AH94" si="343">INDEX(MO_BS_SE,0,COLUMN())</f>
        <v>2394.652</v>
      </c>
      <c r="D94" s="183">
        <f t="shared" si="343"/>
        <v>2665.1399999999994</v>
      </c>
      <c r="E94" s="183">
        <f t="shared" si="343"/>
        <v>3181.4620000000004</v>
      </c>
      <c r="F94" s="183">
        <f t="shared" si="343"/>
        <v>4145.7240000000002</v>
      </c>
      <c r="G94" s="885">
        <f t="shared" si="343"/>
        <v>4287.4279999999999</v>
      </c>
      <c r="H94" s="885">
        <f t="shared" si="343"/>
        <v>4453.665</v>
      </c>
      <c r="I94" s="885">
        <f t="shared" si="343"/>
        <v>4722.8459999999995</v>
      </c>
      <c r="J94" s="885">
        <f t="shared" si="343"/>
        <v>4827.7029999999995</v>
      </c>
      <c r="K94" s="183">
        <f t="shared" si="343"/>
        <v>4827.7029999999995</v>
      </c>
      <c r="L94" s="885">
        <f t="shared" si="343"/>
        <v>4824.9359999999997</v>
      </c>
      <c r="M94" s="885">
        <f t="shared" si="343"/>
        <v>4172.1730000000007</v>
      </c>
      <c r="N94" s="885">
        <f t="shared" si="343"/>
        <v>4320.6469999999999</v>
      </c>
      <c r="O94" s="885">
        <f t="shared" si="343"/>
        <v>4456.3980000000001</v>
      </c>
      <c r="P94" s="183">
        <f t="shared" si="343"/>
        <v>4456.3980000000001</v>
      </c>
      <c r="Q94" s="885">
        <f t="shared" si="343"/>
        <v>4166.9849999999997</v>
      </c>
      <c r="R94" s="885">
        <f t="shared" si="343"/>
        <v>4304.7860000000001</v>
      </c>
      <c r="S94" s="885">
        <f t="shared" si="343"/>
        <v>4204.5929999999998</v>
      </c>
      <c r="T94" s="885">
        <f t="shared" si="343"/>
        <v>4418</v>
      </c>
      <c r="U94" s="183">
        <f t="shared" si="343"/>
        <v>4418</v>
      </c>
      <c r="V94" s="885">
        <f t="shared" si="343"/>
        <v>4556</v>
      </c>
      <c r="W94" s="885">
        <f t="shared" si="343"/>
        <v>4185</v>
      </c>
      <c r="X94" s="885">
        <f t="shared" si="343"/>
        <v>4465</v>
      </c>
      <c r="Y94" s="885">
        <f t="shared" si="343"/>
        <v>4469</v>
      </c>
      <c r="Z94" s="183">
        <f t="shared" si="343"/>
        <v>4469</v>
      </c>
      <c r="AA94" s="885">
        <f t="shared" si="343"/>
        <v>4196</v>
      </c>
      <c r="AB94" s="885">
        <f t="shared" si="343"/>
        <v>4480</v>
      </c>
      <c r="AC94" s="885">
        <f t="shared" si="343"/>
        <v>5324</v>
      </c>
      <c r="AD94" s="885">
        <f t="shared" si="343"/>
        <v>5762</v>
      </c>
      <c r="AE94" s="183">
        <f t="shared" si="343"/>
        <v>5762</v>
      </c>
      <c r="AF94" s="885">
        <f t="shared" si="343"/>
        <v>6132</v>
      </c>
      <c r="AG94" s="885">
        <f t="shared" si="343"/>
        <v>5973</v>
      </c>
      <c r="AH94" s="885">
        <f t="shared" si="343"/>
        <v>6352</v>
      </c>
      <c r="AI94" s="885">
        <f t="shared" ref="AI94:BG94" si="344">INDEX(MO_BS_SE,0,COLUMN())</f>
        <v>7471</v>
      </c>
      <c r="AJ94" s="183">
        <f t="shared" si="344"/>
        <v>7471</v>
      </c>
      <c r="AK94" s="885">
        <f t="shared" si="344"/>
        <v>7717</v>
      </c>
      <c r="AL94" s="885">
        <f t="shared" si="344"/>
        <v>8795</v>
      </c>
      <c r="AM94" s="885">
        <f t="shared" si="344"/>
        <v>9475</v>
      </c>
      <c r="AN94" s="885">
        <f t="shared" si="344"/>
        <v>9342</v>
      </c>
      <c r="AO94" s="183">
        <f t="shared" si="344"/>
        <v>9342</v>
      </c>
      <c r="AP94" s="885">
        <f t="shared" si="344"/>
        <v>9704</v>
      </c>
      <c r="AQ94" s="885">
        <f t="shared" si="344"/>
        <v>10336</v>
      </c>
      <c r="AR94" s="885">
        <f t="shared" si="344"/>
        <v>11214</v>
      </c>
      <c r="AS94" s="885">
        <f t="shared" si="344"/>
        <v>12204</v>
      </c>
      <c r="AT94" s="183">
        <f t="shared" si="344"/>
        <v>12204</v>
      </c>
      <c r="AU94" s="885">
        <f t="shared" si="344"/>
        <v>13099</v>
      </c>
      <c r="AV94" s="885">
        <f t="shared" si="344"/>
        <v>13914</v>
      </c>
      <c r="AW94" s="885">
        <f t="shared" si="344"/>
        <v>15334</v>
      </c>
      <c r="AX94" s="885">
        <f t="shared" si="344"/>
        <v>16893</v>
      </c>
      <c r="AY94" s="183">
        <f t="shared" si="344"/>
        <v>16893</v>
      </c>
      <c r="AZ94" s="885">
        <f t="shared" si="344"/>
        <v>18774</v>
      </c>
      <c r="BA94" s="885">
        <f t="shared" si="344"/>
        <v>21147</v>
      </c>
      <c r="BB94" s="885">
        <f t="shared" si="344"/>
        <v>23798</v>
      </c>
      <c r="BC94" s="885">
        <f t="shared" si="344"/>
        <v>26612</v>
      </c>
      <c r="BD94" s="183">
        <f t="shared" si="344"/>
        <v>26612</v>
      </c>
      <c r="BE94" s="885">
        <f t="shared" si="344"/>
        <v>26320</v>
      </c>
      <c r="BF94" s="885">
        <f t="shared" si="344"/>
        <v>23851</v>
      </c>
      <c r="BG94" s="885">
        <f t="shared" si="344"/>
        <v>21349</v>
      </c>
      <c r="BH94" s="885">
        <f t="shared" ref="BH94:BN94" si="345">INDEX(MO_BS_SE,0,COLUMN())</f>
        <v>22101</v>
      </c>
      <c r="BI94" s="183">
        <f t="shared" si="345"/>
        <v>22101</v>
      </c>
      <c r="BJ94" s="885">
        <f t="shared" si="345"/>
        <v>24520</v>
      </c>
      <c r="BK94" s="885">
        <f t="shared" si="345"/>
        <v>27501</v>
      </c>
      <c r="BL94" s="885">
        <f t="shared" si="345"/>
        <v>33265</v>
      </c>
      <c r="BM94" s="885">
        <f t="shared" si="345"/>
        <v>42978</v>
      </c>
      <c r="BN94" s="183">
        <f t="shared" si="345"/>
        <v>42978</v>
      </c>
      <c r="BO94" s="885">
        <f t="shared" ref="BO94:BT94" si="346">INDEX(MO_BS_SE,0,COLUMN())</f>
        <v>49142</v>
      </c>
      <c r="BP94" s="885">
        <f t="shared" si="346"/>
        <v>58157</v>
      </c>
      <c r="BQ94" s="885">
        <f t="shared" si="346"/>
        <v>65899</v>
      </c>
      <c r="BR94" s="885">
        <f t="shared" si="346"/>
        <v>79327</v>
      </c>
      <c r="BS94" s="183">
        <f t="shared" si="346"/>
        <v>79327</v>
      </c>
      <c r="BT94" s="885">
        <f t="shared" si="346"/>
        <v>83843</v>
      </c>
      <c r="BU94" s="885">
        <f>INDEX(MO_BS_SE,0,COLUMN())</f>
        <v>100131</v>
      </c>
      <c r="BV94" s="885">
        <f>INDEX(MO_BS_SE,0,COLUMN())</f>
        <v>118897</v>
      </c>
      <c r="BW94" s="885">
        <f>INDEX(MO_BS_SE,0,COLUMN())</f>
        <v>157293</v>
      </c>
      <c r="BX94" s="183">
        <f>INDEX(MO_BS_SE,0,COLUMN())</f>
        <v>157293</v>
      </c>
      <c r="BY94" s="878">
        <f>INDEX(MO_BS_SE,0,COLUMN())</f>
        <v>195474</v>
      </c>
      <c r="BZ94" s="885">
        <f t="shared" ref="BZ94:CC94" si="347">INDEX(MO_BS_SE,0,COLUMN())</f>
        <v>238724.60568099481</v>
      </c>
      <c r="CA94" s="885">
        <f t="shared" si="347"/>
        <v>284912.29393691075</v>
      </c>
      <c r="CB94" s="885">
        <f t="shared" si="347"/>
        <v>332461.02967314149</v>
      </c>
      <c r="CC94" s="183">
        <f t="shared" si="347"/>
        <v>332461.02967314149</v>
      </c>
      <c r="CD94" s="885">
        <f t="shared" ref="CD94:CK94" si="348">INDEX(MO_BS_SE,0,COLUMN())</f>
        <v>386522.2382256831</v>
      </c>
      <c r="CE94" s="885">
        <f t="shared" si="348"/>
        <v>447773.73696154653</v>
      </c>
      <c r="CF94" s="885">
        <f t="shared" si="348"/>
        <v>508896.04965281975</v>
      </c>
      <c r="CG94" s="885">
        <f t="shared" si="348"/>
        <v>571903.50748979708</v>
      </c>
      <c r="CH94" s="183">
        <f t="shared" si="348"/>
        <v>571903.50748979708</v>
      </c>
      <c r="CI94" s="183">
        <f t="shared" si="348"/>
        <v>869008.08318324597</v>
      </c>
      <c r="CJ94" s="183">
        <f t="shared" si="348"/>
        <v>1229775.6949883711</v>
      </c>
      <c r="CK94" s="183">
        <f t="shared" si="348"/>
        <v>1665908.52507219</v>
      </c>
      <c r="CL94" s="885"/>
    </row>
    <row r="95" spans="1:90" hidden="1" outlineLevel="1" x14ac:dyDescent="0.3">
      <c r="A95" s="197" t="s">
        <v>346</v>
      </c>
      <c r="B95" s="198"/>
      <c r="C95" s="183">
        <f>C94</f>
        <v>2394.652</v>
      </c>
      <c r="D95" s="183">
        <f>AVERAGE(D94,C94)</f>
        <v>2529.8959999999997</v>
      </c>
      <c r="E95" s="183">
        <f>AVERAGE(E94,D94)</f>
        <v>2923.3009999999999</v>
      </c>
      <c r="F95" s="183">
        <f>AVERAGE(F94,E94)</f>
        <v>3663.5930000000003</v>
      </c>
      <c r="G95" s="885"/>
      <c r="H95" s="885"/>
      <c r="I95" s="885"/>
      <c r="J95" s="885">
        <f>AVERAGE(J94,I94,H94,G94)</f>
        <v>4572.9105</v>
      </c>
      <c r="K95" s="183">
        <f>AVERAGE(K94,F94)</f>
        <v>4486.7134999999998</v>
      </c>
      <c r="L95" s="885">
        <f>AVERAGE(L94,J94,I94,H94)</f>
        <v>4707.2874999999995</v>
      </c>
      <c r="M95" s="885">
        <f>AVERAGE(M94,L94,J94,I94)</f>
        <v>4636.9144999999999</v>
      </c>
      <c r="N95" s="885">
        <f>AVERAGE(N94,M94,L94,J94)</f>
        <v>4536.3647499999997</v>
      </c>
      <c r="O95" s="885">
        <f>AVERAGE(O94,N94,M94,L94)</f>
        <v>4443.5385000000006</v>
      </c>
      <c r="P95" s="183">
        <f>AVERAGE(P94,K94)</f>
        <v>4642.0504999999994</v>
      </c>
      <c r="Q95" s="885">
        <f>AVERAGE(Q94,O94,N94,M94)</f>
        <v>4279.0507500000003</v>
      </c>
      <c r="R95" s="885">
        <f>AVERAGE(R94,Q94,O94,N94)</f>
        <v>4312.2040000000006</v>
      </c>
      <c r="S95" s="885">
        <f>AVERAGE(S94,R94,Q94,O94)</f>
        <v>4283.1905000000006</v>
      </c>
      <c r="T95" s="885">
        <f>AVERAGE(T94,S94,R94,Q94)</f>
        <v>4273.5910000000003</v>
      </c>
      <c r="U95" s="183">
        <f>AVERAGE(U94,P94)</f>
        <v>4437.1990000000005</v>
      </c>
      <c r="V95" s="885">
        <f>AVERAGE(V94,T94,S94,R94)</f>
        <v>4370.8447500000002</v>
      </c>
      <c r="W95" s="885">
        <f>AVERAGE(W94,V94,T94,S94)</f>
        <v>4340.8982500000002</v>
      </c>
      <c r="X95" s="885">
        <f>AVERAGE(X94,W94,V94,T94)</f>
        <v>4406</v>
      </c>
      <c r="Y95" s="885">
        <f>AVERAGE(Y94,X94,W94,V94)</f>
        <v>4418.75</v>
      </c>
      <c r="Z95" s="183">
        <f>AVERAGE(Z94,U94)</f>
        <v>4443.5</v>
      </c>
      <c r="AA95" s="885">
        <f>AVERAGE(AA94,Y94,X94,W94)</f>
        <v>4328.75</v>
      </c>
      <c r="AB95" s="885">
        <f>AVERAGE(AB94,AA94,Y94,X94)</f>
        <v>4402.5</v>
      </c>
      <c r="AC95" s="885">
        <f>AVERAGE(AC94,AB94,AA94,Y94)</f>
        <v>4617.25</v>
      </c>
      <c r="AD95" s="885">
        <f>AVERAGE(AD94,AC94,AB94,AA94)</f>
        <v>4940.5</v>
      </c>
      <c r="AE95" s="183">
        <f>AVERAGE(AE94,Z94)</f>
        <v>5115.5</v>
      </c>
      <c r="AF95" s="885">
        <f>AVERAGE(AF94,AD94,AC94,AB94)</f>
        <v>5424.5</v>
      </c>
      <c r="AG95" s="885">
        <f>AVERAGE(AG94,AF94,AD94,AC94)</f>
        <v>5797.75</v>
      </c>
      <c r="AH95" s="885">
        <f>AVERAGE(AH94,AG94,AF94,AD94)</f>
        <v>6054.75</v>
      </c>
      <c r="AI95" s="885">
        <f>AVERAGE(AI94,AH94,AG94,AF94)</f>
        <v>6482</v>
      </c>
      <c r="AJ95" s="183">
        <f>AVERAGE(AJ94,AE94)</f>
        <v>6616.5</v>
      </c>
      <c r="AK95" s="885">
        <f>AVERAGE(AK94,AI94,AH94,AG94)</f>
        <v>6878.25</v>
      </c>
      <c r="AL95" s="885">
        <f>AVERAGE(AL94,AK94,AI94,AH94)</f>
        <v>7583.75</v>
      </c>
      <c r="AM95" s="885">
        <f>AVERAGE(AM94,AL94,AK94,AI94)</f>
        <v>8364.5</v>
      </c>
      <c r="AN95" s="885">
        <f>AVERAGE(AN94,AM94,AL94,AK94)</f>
        <v>8832.25</v>
      </c>
      <c r="AO95" s="183">
        <f>AVERAGE(AO94,AJ94)</f>
        <v>8406.5</v>
      </c>
      <c r="AP95" s="885">
        <f>AVERAGE(AP94,AN94,AM94,AL94)</f>
        <v>9329</v>
      </c>
      <c r="AQ95" s="885">
        <f>AVERAGE(AQ94,AP94,AN94,AM94)</f>
        <v>9714.25</v>
      </c>
      <c r="AR95" s="885">
        <f>AVERAGE(AR94,AQ94,AP94,AN94)</f>
        <v>10149</v>
      </c>
      <c r="AS95" s="885">
        <f>AVERAGE(AS94,AR94,AQ94,AP94)</f>
        <v>10864.5</v>
      </c>
      <c r="AT95" s="183">
        <f>AVERAGE(AT94,AO94)</f>
        <v>10773</v>
      </c>
      <c r="AU95" s="885">
        <f>AVERAGE(AU94,AS94,AR94,AQ94)</f>
        <v>11713.25</v>
      </c>
      <c r="AV95" s="885">
        <f>AVERAGE(AV94,AU94,AS94,AR94)</f>
        <v>12607.75</v>
      </c>
      <c r="AW95" s="885">
        <f>AVERAGE(AW94,AV94,AU94,AS94)</f>
        <v>13637.75</v>
      </c>
      <c r="AX95" s="885">
        <f>AVERAGE(AX94,AW94,AV94,AU94)</f>
        <v>14810</v>
      </c>
      <c r="AY95" s="183">
        <f>AVERAGE(AY94,AT94)</f>
        <v>14548.5</v>
      </c>
      <c r="AZ95" s="885">
        <f>AVERAGE(AZ94,AX94,AW94,AV94)</f>
        <v>16228.75</v>
      </c>
      <c r="BA95" s="885">
        <f>AVERAGE(BA94,AZ94,AX94,AW94)</f>
        <v>18037</v>
      </c>
      <c r="BB95" s="885">
        <f>AVERAGE(BB94,BA94,AZ94,AX94)</f>
        <v>20153</v>
      </c>
      <c r="BC95" s="885">
        <f>AVERAGE(BC94,BB94,BA94,AZ94)</f>
        <v>22582.75</v>
      </c>
      <c r="BD95" s="183">
        <f>AVERAGE(BD94,AY94)</f>
        <v>21752.5</v>
      </c>
      <c r="BE95" s="885">
        <f>AVERAGE(BE94,BC94,BB94,BA94)</f>
        <v>24469.25</v>
      </c>
      <c r="BF95" s="885">
        <f>AVERAGE(BF94,BE94,BC94,BB94)</f>
        <v>25145.25</v>
      </c>
      <c r="BG95" s="885">
        <f>AVERAGE(BG94,BF94,BE94,BC94)</f>
        <v>24533</v>
      </c>
      <c r="BH95" s="885">
        <f>AVERAGE(BH94,BG94,BF94,BE94)</f>
        <v>23405.25</v>
      </c>
      <c r="BI95" s="183">
        <f>AVERAGE(BI94,BD94)</f>
        <v>24356.5</v>
      </c>
      <c r="BJ95" s="885">
        <f>AVERAGE(BJ94,BH94,BG94,BF94)</f>
        <v>22955.25</v>
      </c>
      <c r="BK95" s="885">
        <f>AVERAGE(BK94,BJ94,BH94,BG94)</f>
        <v>23867.75</v>
      </c>
      <c r="BL95" s="885">
        <f>AVERAGE(BL94,BK94,BJ94,BH94)</f>
        <v>26846.75</v>
      </c>
      <c r="BM95" s="885">
        <f>AVERAGE(BM94,BL94,BK94,BJ94)</f>
        <v>32066</v>
      </c>
      <c r="BN95" s="183">
        <f>AVERAGE(BN94,BI94)</f>
        <v>32539.5</v>
      </c>
      <c r="BO95" s="885">
        <f>AVERAGE(BO94,BM94,BL94,BK94)</f>
        <v>38221.5</v>
      </c>
      <c r="BP95" s="885">
        <f>AVERAGE(BP94,BO94,BM94,BL94)</f>
        <v>45885.5</v>
      </c>
      <c r="BQ95" s="885">
        <f>AVERAGE(BQ94,BP94,BO94,BM94)</f>
        <v>54044</v>
      </c>
      <c r="BR95" s="885">
        <f>AVERAGE(BR94,BQ94,BP94,BO94)</f>
        <v>63131.25</v>
      </c>
      <c r="BS95" s="183">
        <f>AVERAGE(BS94,BN94)</f>
        <v>61152.5</v>
      </c>
      <c r="BT95" s="885">
        <f>AVERAGE(BT94,BR94,BQ94,BP94)</f>
        <v>71806.5</v>
      </c>
      <c r="BU95" s="885">
        <f>AVERAGE(BU94,BT94,BR94,BQ94)</f>
        <v>82300</v>
      </c>
      <c r="BV95" s="885">
        <f>AVERAGE(BV94,BU94,BT94,BR94)</f>
        <v>95549.5</v>
      </c>
      <c r="BW95" s="885">
        <f>AVERAGE(BW94,BV94,BU94,BT94)</f>
        <v>115041</v>
      </c>
      <c r="BX95" s="183">
        <f>AVERAGE(BX94,BS94)</f>
        <v>118310</v>
      </c>
      <c r="BY95" s="878">
        <f>AVERAGE(BY94,BW94,BV94,BU94)</f>
        <v>142948.75</v>
      </c>
      <c r="BZ95" s="885">
        <f>AVERAGE(BZ94,BY94,BW94,BV94)</f>
        <v>177597.1514202487</v>
      </c>
      <c r="CA95" s="885">
        <f>AVERAGE(CA94,BZ94,BY94,BW94)</f>
        <v>219100.97490447637</v>
      </c>
      <c r="CB95" s="885">
        <f>AVERAGE(CB94,CA94,BZ94,BY94)</f>
        <v>262892.98232276179</v>
      </c>
      <c r="CC95" s="183">
        <f>AVERAGE(CC94,BX94)</f>
        <v>244877.01483657074</v>
      </c>
      <c r="CD95" s="885">
        <f>AVERAGE(CD94,CB94,CA94,BZ94)</f>
        <v>310655.04187918257</v>
      </c>
      <c r="CE95" s="885">
        <f>AVERAGE(CE94,CD94,CB94,CA94)</f>
        <v>362917.32469932048</v>
      </c>
      <c r="CF95" s="885">
        <f>AVERAGE(CF94,CE94,CD94,CB94)</f>
        <v>418913.26362829772</v>
      </c>
      <c r="CG95" s="885">
        <f>AVERAGE(CG94,CF94,CE94,CD94)</f>
        <v>478773.8830824616</v>
      </c>
      <c r="CH95" s="183">
        <f>AVERAGE(CH94,CC94)</f>
        <v>452182.26858146931</v>
      </c>
      <c r="CI95" s="183">
        <f>AVERAGE(CI94,CH94)</f>
        <v>720455.79533652146</v>
      </c>
      <c r="CJ95" s="183">
        <f>AVERAGE(CJ94,CI94)</f>
        <v>1049391.8890858085</v>
      </c>
      <c r="CK95" s="183">
        <f>AVERAGE(CK94,CJ94)</f>
        <v>1447842.1100302804</v>
      </c>
      <c r="CL95" s="885"/>
    </row>
    <row r="96" spans="1:90" s="995" customFormat="1" collapsed="1" x14ac:dyDescent="0.3">
      <c r="A96" s="206" t="s">
        <v>347</v>
      </c>
      <c r="B96" s="85"/>
      <c r="C96" s="1252">
        <f>IF(C95&lt;0,"NMF",IF(ABS(C93/C95)&gt;1,"NMF",C93/C95))</f>
        <v>6.6934151601151112E-2</v>
      </c>
      <c r="D96" s="1252">
        <f>IF(D95&lt;0,"NMF",IF(ABS(D93/D95)&gt;1,"NMF",D93/D95))</f>
        <v>5.5884905940797688E-2</v>
      </c>
      <c r="E96" s="1252">
        <f>IF(E95&lt;0,"NMF",IF(ABS(E93/E95)&gt;1,"NMF",E93/E95))</f>
        <v>0.16297124380965219</v>
      </c>
      <c r="F96" s="1252">
        <f>IF(F95&lt;0,"NMF",IF(ABS(F93/F95)&gt;1,"NMF",F93/F95))</f>
        <v>0.2004605860967634</v>
      </c>
      <c r="G96" s="136"/>
      <c r="H96" s="136"/>
      <c r="I96" s="136"/>
      <c r="J96" s="136"/>
      <c r="K96" s="1252">
        <f t="shared" ref="K96:AP96" si="349">IF(K95&lt;0,"NMF",IF(ABS(K93/K95)&gt;1,"NMF",K93/K95))</f>
        <v>0.1623399844897607</v>
      </c>
      <c r="L96" s="136">
        <f t="shared" si="349"/>
        <v>0.15818961556947608</v>
      </c>
      <c r="M96" s="136">
        <f t="shared" si="349"/>
        <v>0.15258551780499724</v>
      </c>
      <c r="N96" s="136">
        <f t="shared" si="349"/>
        <v>0.13575936546989525</v>
      </c>
      <c r="O96" s="136">
        <f t="shared" si="349"/>
        <v>0.13241856686962442</v>
      </c>
      <c r="P96" s="1252">
        <f t="shared" si="349"/>
        <v>0.12675583774885696</v>
      </c>
      <c r="Q96" s="136">
        <f t="shared" si="349"/>
        <v>0.14970750230059801</v>
      </c>
      <c r="R96" s="136">
        <f t="shared" si="349"/>
        <v>0.15775598742545588</v>
      </c>
      <c r="S96" s="136">
        <f t="shared" si="349"/>
        <v>0.17428269884330394</v>
      </c>
      <c r="T96" s="136">
        <f t="shared" si="349"/>
        <v>0.18719620104029608</v>
      </c>
      <c r="U96" s="1252">
        <f t="shared" si="349"/>
        <v>0.1805192870547388</v>
      </c>
      <c r="V96" s="136">
        <f t="shared" si="349"/>
        <v>0.18783554368980962</v>
      </c>
      <c r="W96" s="136">
        <f t="shared" si="349"/>
        <v>0.19304760253249428</v>
      </c>
      <c r="X96" s="136">
        <f t="shared" si="349"/>
        <v>0.19813890149795732</v>
      </c>
      <c r="Y96" s="136">
        <f t="shared" si="349"/>
        <v>0.21024045261669025</v>
      </c>
      <c r="Z96" s="1252">
        <f t="shared" si="349"/>
        <v>0.20906942725329133</v>
      </c>
      <c r="AA96" s="136">
        <f t="shared" si="349"/>
        <v>0.23216863990759457</v>
      </c>
      <c r="AB96" s="136">
        <f t="shared" si="349"/>
        <v>0.25621805792163543</v>
      </c>
      <c r="AC96" s="136">
        <f t="shared" si="349"/>
        <v>0.31252368834262817</v>
      </c>
      <c r="AD96" s="136">
        <f t="shared" si="349"/>
        <v>0.37445602671794354</v>
      </c>
      <c r="AE96" s="1252">
        <f t="shared" si="349"/>
        <v>0.36184146222265662</v>
      </c>
      <c r="AF96" s="136">
        <f t="shared" si="349"/>
        <v>0.39081943036224537</v>
      </c>
      <c r="AG96" s="136">
        <f t="shared" si="349"/>
        <v>0.42171532059850803</v>
      </c>
      <c r="AH96" s="136">
        <f t="shared" si="349"/>
        <v>0.44725215739708496</v>
      </c>
      <c r="AI96" s="136">
        <f t="shared" si="349"/>
        <v>0.47593335390311631</v>
      </c>
      <c r="AJ96" s="1252">
        <f t="shared" si="349"/>
        <v>0.46625859593440638</v>
      </c>
      <c r="AK96" s="136">
        <f t="shared" si="349"/>
        <v>0.55784538218296809</v>
      </c>
      <c r="AL96" s="136">
        <f t="shared" si="349"/>
        <v>0.58137464974451958</v>
      </c>
      <c r="AM96" s="136">
        <f t="shared" si="349"/>
        <v>0.56512642716241257</v>
      </c>
      <c r="AN96" s="136">
        <f t="shared" si="349"/>
        <v>0.4689631747289762</v>
      </c>
      <c r="AO96" s="1252">
        <f t="shared" si="349"/>
        <v>0.49283292690180219</v>
      </c>
      <c r="AP96" s="136">
        <f t="shared" si="349"/>
        <v>0.36445492550112552</v>
      </c>
      <c r="AQ96" s="136">
        <f t="shared" ref="AQ96:BG96" si="350">IF(AQ95&lt;0,"NMF",IF(ABS(AQ93/AQ95)&gt;1,"NMF",AQ93/AQ95))</f>
        <v>0.30388347015981676</v>
      </c>
      <c r="AR96" s="136">
        <f t="shared" si="350"/>
        <v>0.28613656517883534</v>
      </c>
      <c r="AS96" s="136">
        <f t="shared" si="350"/>
        <v>0.3295135533158452</v>
      </c>
      <c r="AT96" s="1252">
        <f t="shared" si="350"/>
        <v>0.33231226213682352</v>
      </c>
      <c r="AU96" s="136">
        <f t="shared" si="350"/>
        <v>0.35489723176744287</v>
      </c>
      <c r="AV96" s="136">
        <f t="shared" si="350"/>
        <v>0.37762487358965713</v>
      </c>
      <c r="AW96" s="136">
        <f t="shared" si="350"/>
        <v>0.40270572491796669</v>
      </c>
      <c r="AX96" s="136">
        <f t="shared" si="350"/>
        <v>0.4238352464550979</v>
      </c>
      <c r="AY96" s="1252">
        <f t="shared" si="350"/>
        <v>0.43145341444135132</v>
      </c>
      <c r="AZ96" s="136">
        <f t="shared" si="350"/>
        <v>0.46029423091735344</v>
      </c>
      <c r="BA96" s="136">
        <f t="shared" si="350"/>
        <v>0.48383877584964241</v>
      </c>
      <c r="BB96" s="136">
        <f t="shared" si="350"/>
        <v>0.4895549049769265</v>
      </c>
      <c r="BC96" s="136">
        <f t="shared" si="350"/>
        <v>0.49856638363352557</v>
      </c>
      <c r="BD96" s="1252">
        <f t="shared" si="350"/>
        <v>0.51759567865762557</v>
      </c>
      <c r="BE96" s="136">
        <f t="shared" si="350"/>
        <v>0.50630893877008898</v>
      </c>
      <c r="BF96" s="136">
        <f t="shared" si="350"/>
        <v>0.4397649655501536</v>
      </c>
      <c r="BG96" s="136">
        <f t="shared" si="350"/>
        <v>0.38890474055354013</v>
      </c>
      <c r="BH96" s="136">
        <f t="shared" ref="BH96:BN96" si="351">IF(BH95&lt;0,"NMF",IF(ABS(BH93/BH95)&gt;1,"NMF",BH93/BH95))</f>
        <v>0.35739844692964184</v>
      </c>
      <c r="BI96" s="1252">
        <f t="shared" si="351"/>
        <v>0.34348120624884526</v>
      </c>
      <c r="BJ96" s="136">
        <f t="shared" si="351"/>
        <v>0.33260365275917275</v>
      </c>
      <c r="BK96" s="136">
        <f t="shared" si="351"/>
        <v>0.54814551015491619</v>
      </c>
      <c r="BL96" s="136">
        <f t="shared" si="351"/>
        <v>0.80631733822529728</v>
      </c>
      <c r="BM96" s="136" t="str">
        <f t="shared" si="351"/>
        <v>NMF</v>
      </c>
      <c r="BN96" s="1252">
        <f t="shared" si="351"/>
        <v>0.99300849736474128</v>
      </c>
      <c r="BO96" s="136" t="str">
        <f t="shared" ref="BO96:BT96" si="352">IF(BO95&lt;0,"NMF",IF(ABS(BO93/BO95)&gt;1,"NMF",BO93/BO95))</f>
        <v>NMF</v>
      </c>
      <c r="BP96" s="136" t="str">
        <f t="shared" si="352"/>
        <v>NMF</v>
      </c>
      <c r="BQ96" s="136" t="str">
        <f t="shared" si="352"/>
        <v>NMF</v>
      </c>
      <c r="BR96" s="136" t="str">
        <f t="shared" si="352"/>
        <v>NMF</v>
      </c>
      <c r="BS96" s="1252" t="str">
        <f t="shared" si="352"/>
        <v>NMF</v>
      </c>
      <c r="BT96" s="136" t="str">
        <f t="shared" si="352"/>
        <v>NMF</v>
      </c>
      <c r="BU96" s="136" t="str">
        <f>IF(BU95&lt;0,"NMF",IF(ABS(BU93/BU95)&gt;1,"NMF",BU93/BU95))</f>
        <v>NMF</v>
      </c>
      <c r="BV96" s="136" t="str">
        <f>IF(BV95&lt;0,"NMF",IF(ABS(BV93/BV95)&gt;1,"NMF",BV93/BV95))</f>
        <v>NMF</v>
      </c>
      <c r="BW96" s="136" t="str">
        <f>IF(BW95&lt;0,"NMF",IF(ABS(BW93/BW95)&gt;1,"NMF",BW93/BW95))</f>
        <v>NMF</v>
      </c>
      <c r="BX96" s="1252">
        <f>IF(BX95&lt;0,"NMF",IF(ABS(BX93/BX95)&gt;1,"NMF",BX93/BX95))</f>
        <v>0.98890203702138446</v>
      </c>
      <c r="BY96" s="970">
        <f>IF(BY95&lt;0,"NMF",IF(ABS(BY93/BY95)&gt;1,"NMF",BY93/BY95))</f>
        <v>0.99791009015468835</v>
      </c>
      <c r="BZ96" s="136">
        <f t="shared" ref="BZ96:CC96" si="353">IF(BZ95&lt;0,"NMF",IF(ABS(BZ93/BZ95)&gt;1,"NMF",BZ93/BZ95))</f>
        <v>0.93706567612671987</v>
      </c>
      <c r="CA96" s="136">
        <f t="shared" si="353"/>
        <v>0.85379494571974557</v>
      </c>
      <c r="CB96" s="136">
        <f t="shared" si="353"/>
        <v>0.76569207253050731</v>
      </c>
      <c r="CC96" s="1252">
        <f t="shared" si="353"/>
        <v>0.82202518118241708</v>
      </c>
      <c r="CD96" s="136">
        <f t="shared" ref="CD96:CK96" si="354">IF(CD95&lt;0,"NMF",IF(ABS(CD93/CD95)&gt;1,"NMF",CD93/CD95))</f>
        <v>0.69550089633990786</v>
      </c>
      <c r="CE96" s="136">
        <f t="shared" si="354"/>
        <v>0.64486988814412727</v>
      </c>
      <c r="CF96" s="136">
        <f t="shared" si="354"/>
        <v>0.59442246179419655</v>
      </c>
      <c r="CG96" s="136">
        <f t="shared" si="354"/>
        <v>0.55248014974124471</v>
      </c>
      <c r="CH96" s="1252">
        <f t="shared" si="354"/>
        <v>0.58497001098117685</v>
      </c>
      <c r="CI96" s="1252">
        <f t="shared" si="354"/>
        <v>0.44804908820505607</v>
      </c>
      <c r="CJ96" s="1252">
        <f t="shared" si="354"/>
        <v>0.36851824339139988</v>
      </c>
      <c r="CK96" s="1252">
        <f t="shared" si="354"/>
        <v>0.3193637512307117</v>
      </c>
      <c r="CL96" s="132"/>
    </row>
    <row r="97" spans="1:90" hidden="1" outlineLevel="1" x14ac:dyDescent="0.3">
      <c r="A97" s="197" t="s">
        <v>348</v>
      </c>
      <c r="B97" s="198"/>
      <c r="C97" s="183">
        <f t="shared" ref="C97:AH97" si="355">+C38</f>
        <v>148.62199999999962</v>
      </c>
      <c r="D97" s="183">
        <f t="shared" si="355"/>
        <v>135.24500000000012</v>
      </c>
      <c r="E97" s="183">
        <f t="shared" si="355"/>
        <v>502.18000000000006</v>
      </c>
      <c r="F97" s="183">
        <f t="shared" si="355"/>
        <v>829.42499999999995</v>
      </c>
      <c r="G97" s="885">
        <f t="shared" si="355"/>
        <v>117.90799999999996</v>
      </c>
      <c r="H97" s="885">
        <f t="shared" si="355"/>
        <v>200.86400000000003</v>
      </c>
      <c r="I97" s="885">
        <f t="shared" si="355"/>
        <v>294.35399999999987</v>
      </c>
      <c r="J97" s="885">
        <f t="shared" si="355"/>
        <v>228.03999999999996</v>
      </c>
      <c r="K97" s="183">
        <f t="shared" si="355"/>
        <v>841.16599999999971</v>
      </c>
      <c r="L97" s="885">
        <f t="shared" si="355"/>
        <v>125.03899999999999</v>
      </c>
      <c r="M97" s="885">
        <f t="shared" si="355"/>
        <v>149.18299999999994</v>
      </c>
      <c r="N97" s="885">
        <f t="shared" si="355"/>
        <v>182.09900000000016</v>
      </c>
      <c r="O97" s="885">
        <f t="shared" si="355"/>
        <v>207.89100000000064</v>
      </c>
      <c r="P97" s="183">
        <f t="shared" si="355"/>
        <v>664.21199999999999</v>
      </c>
      <c r="Q97" s="885">
        <f t="shared" si="355"/>
        <v>196</v>
      </c>
      <c r="R97" s="885">
        <f t="shared" si="355"/>
        <v>210</v>
      </c>
      <c r="S97" s="885">
        <f t="shared" si="355"/>
        <v>264</v>
      </c>
      <c r="T97" s="885">
        <f t="shared" si="355"/>
        <v>284</v>
      </c>
      <c r="U97" s="183">
        <f t="shared" si="355"/>
        <v>954</v>
      </c>
      <c r="V97" s="885">
        <f t="shared" si="355"/>
        <v>230</v>
      </c>
      <c r="W97" s="885">
        <f t="shared" si="355"/>
        <v>231</v>
      </c>
      <c r="X97" s="885">
        <f t="shared" si="355"/>
        <v>308</v>
      </c>
      <c r="Y97" s="885">
        <f t="shared" si="355"/>
        <v>356</v>
      </c>
      <c r="Z97" s="183">
        <f t="shared" si="355"/>
        <v>1125</v>
      </c>
      <c r="AA97" s="885">
        <f t="shared" si="355"/>
        <v>322</v>
      </c>
      <c r="AB97" s="885">
        <f t="shared" si="355"/>
        <v>382</v>
      </c>
      <c r="AC97" s="885">
        <f t="shared" si="355"/>
        <v>708</v>
      </c>
      <c r="AD97" s="885">
        <f t="shared" si="355"/>
        <v>809</v>
      </c>
      <c r="AE97" s="183">
        <f t="shared" si="355"/>
        <v>2221</v>
      </c>
      <c r="AF97" s="885">
        <f t="shared" si="355"/>
        <v>637</v>
      </c>
      <c r="AG97" s="885">
        <f t="shared" si="355"/>
        <v>773</v>
      </c>
      <c r="AH97" s="885">
        <f t="shared" si="355"/>
        <v>1005</v>
      </c>
      <c r="AI97" s="885">
        <f t="shared" ref="AI97:BG97" si="356">+AI38</f>
        <v>1202</v>
      </c>
      <c r="AJ97" s="183">
        <f t="shared" si="356"/>
        <v>3617</v>
      </c>
      <c r="AK97" s="885">
        <f t="shared" si="356"/>
        <v>1428</v>
      </c>
      <c r="AL97" s="885">
        <f t="shared" si="356"/>
        <v>1290</v>
      </c>
      <c r="AM97" s="885">
        <f t="shared" si="356"/>
        <v>1210</v>
      </c>
      <c r="AN97" s="885">
        <f t="shared" si="356"/>
        <v>479</v>
      </c>
      <c r="AO97" s="183">
        <f t="shared" si="356"/>
        <v>4407</v>
      </c>
      <c r="AP97" s="885">
        <f t="shared" si="356"/>
        <v>557</v>
      </c>
      <c r="AQ97" s="885">
        <f t="shared" si="356"/>
        <v>802</v>
      </c>
      <c r="AR97" s="885">
        <f t="shared" si="356"/>
        <v>1156</v>
      </c>
      <c r="AS97" s="885">
        <f t="shared" si="356"/>
        <v>1220</v>
      </c>
      <c r="AT97" s="183">
        <f t="shared" si="356"/>
        <v>3735</v>
      </c>
      <c r="AU97" s="885">
        <f t="shared" si="356"/>
        <v>1205</v>
      </c>
      <c r="AV97" s="885">
        <f t="shared" si="356"/>
        <v>1516</v>
      </c>
      <c r="AW97" s="885">
        <f t="shared" si="356"/>
        <v>1993</v>
      </c>
      <c r="AX97" s="885">
        <f t="shared" si="356"/>
        <v>2089</v>
      </c>
      <c r="AY97" s="183">
        <f t="shared" si="356"/>
        <v>6803</v>
      </c>
      <c r="AZ97" s="885">
        <f t="shared" si="356"/>
        <v>2557</v>
      </c>
      <c r="BA97" s="885">
        <f t="shared" si="356"/>
        <v>3071</v>
      </c>
      <c r="BB97" s="885">
        <f t="shared" si="356"/>
        <v>3386</v>
      </c>
      <c r="BC97" s="885">
        <f t="shared" si="356"/>
        <v>3677</v>
      </c>
      <c r="BD97" s="183">
        <f t="shared" si="356"/>
        <v>12690</v>
      </c>
      <c r="BE97" s="885">
        <f t="shared" si="356"/>
        <v>3955</v>
      </c>
      <c r="BF97" s="885">
        <f t="shared" si="356"/>
        <v>1325</v>
      </c>
      <c r="BG97" s="885">
        <f t="shared" si="356"/>
        <v>1536</v>
      </c>
      <c r="BH97" s="885">
        <f t="shared" ref="BH97:BN97" si="357">+BH38</f>
        <v>2224</v>
      </c>
      <c r="BI97" s="183">
        <f t="shared" si="357"/>
        <v>9040</v>
      </c>
      <c r="BJ97" s="885">
        <f t="shared" si="357"/>
        <v>3052</v>
      </c>
      <c r="BK97" s="885">
        <f t="shared" si="357"/>
        <v>7776</v>
      </c>
      <c r="BL97" s="885">
        <f t="shared" si="357"/>
        <v>11557</v>
      </c>
      <c r="BM97" s="885">
        <f t="shared" si="357"/>
        <v>14749</v>
      </c>
      <c r="BN97" s="183">
        <f t="shared" si="357"/>
        <v>37134</v>
      </c>
      <c r="BO97" s="885">
        <f t="shared" ref="BO97:BT97" si="358">+BO38</f>
        <v>18059</v>
      </c>
      <c r="BP97" s="885">
        <f t="shared" si="358"/>
        <v>19937</v>
      </c>
      <c r="BQ97" s="885">
        <f t="shared" si="358"/>
        <v>23276</v>
      </c>
      <c r="BR97" s="885">
        <f t="shared" si="358"/>
        <v>25516</v>
      </c>
      <c r="BS97" s="183">
        <f t="shared" si="358"/>
        <v>86789</v>
      </c>
      <c r="BT97" s="885">
        <f t="shared" si="358"/>
        <v>23275</v>
      </c>
      <c r="BU97" s="885">
        <f>+BU38</f>
        <v>30165</v>
      </c>
      <c r="BV97" s="885">
        <f>+BV38</f>
        <v>37752</v>
      </c>
      <c r="BW97" s="885">
        <f>+BW38</f>
        <v>46107</v>
      </c>
      <c r="BX97" s="183">
        <f>+BX38</f>
        <v>137300</v>
      </c>
      <c r="BY97" s="878">
        <f>+BY38</f>
        <v>53783</v>
      </c>
      <c r="BZ97" s="885">
        <f t="shared" ref="BZ97:CC97" si="359">+BZ38</f>
        <v>59835.724645399518</v>
      </c>
      <c r="CA97" s="885">
        <f t="shared" si="359"/>
        <v>61534.58267108725</v>
      </c>
      <c r="CB97" s="885">
        <f t="shared" si="359"/>
        <v>64505.552758179576</v>
      </c>
      <c r="CC97" s="183">
        <f t="shared" si="359"/>
        <v>239658.86007466636</v>
      </c>
      <c r="CD97" s="885">
        <f t="shared" ref="CD97:CK97" si="360">+CD38</f>
        <v>69538.35801813392</v>
      </c>
      <c r="CE97" s="885">
        <f t="shared" si="360"/>
        <v>77427.956367816136</v>
      </c>
      <c r="CF97" s="885">
        <f t="shared" si="360"/>
        <v>76767.759498915897</v>
      </c>
      <c r="CG97" s="885">
        <f t="shared" si="360"/>
        <v>80245.024769330426</v>
      </c>
      <c r="CH97" s="183">
        <f t="shared" si="360"/>
        <v>303979.09865419636</v>
      </c>
      <c r="CI97" s="183">
        <f t="shared" si="360"/>
        <v>362848.70544912887</v>
      </c>
      <c r="CJ97" s="183">
        <f t="shared" si="360"/>
        <v>426544.80125808634</v>
      </c>
      <c r="CK97" s="183">
        <f t="shared" si="360"/>
        <v>501566.81081483781</v>
      </c>
      <c r="CL97" s="885"/>
    </row>
    <row r="98" spans="1:90" hidden="1" outlineLevel="1" x14ac:dyDescent="0.3">
      <c r="A98" s="197" t="s">
        <v>349</v>
      </c>
      <c r="B98" s="198"/>
      <c r="C98" s="183">
        <f>C97</f>
        <v>148.62199999999962</v>
      </c>
      <c r="D98" s="183">
        <f>D97</f>
        <v>135.24500000000012</v>
      </c>
      <c r="E98" s="183">
        <f>E97</f>
        <v>502.18000000000006</v>
      </c>
      <c r="F98" s="183">
        <f>F97</f>
        <v>829.42499999999995</v>
      </c>
      <c r="G98" s="885"/>
      <c r="H98" s="885"/>
      <c r="I98" s="885"/>
      <c r="J98" s="885">
        <f>SUM(J97,I97,H97,G97)</f>
        <v>841.16599999999971</v>
      </c>
      <c r="K98" s="183">
        <f>K97</f>
        <v>841.16599999999971</v>
      </c>
      <c r="L98" s="885">
        <f>SUM(L97,J97,I97,H97)</f>
        <v>848.2969999999998</v>
      </c>
      <c r="M98" s="885">
        <f>SUM(M97,L97,J97,I97)</f>
        <v>796.61599999999976</v>
      </c>
      <c r="N98" s="885">
        <f>SUM(N97,M97,L97,J97)</f>
        <v>684.3610000000001</v>
      </c>
      <c r="O98" s="885">
        <f>SUM(O97,N97,M97,L97)</f>
        <v>664.21200000000067</v>
      </c>
      <c r="P98" s="183">
        <f>P97</f>
        <v>664.21199999999999</v>
      </c>
      <c r="Q98" s="885">
        <f>SUM(Q97,O97,N97,M97)</f>
        <v>735.17300000000068</v>
      </c>
      <c r="R98" s="885">
        <f>SUM(R97,Q97,O97,N97)</f>
        <v>795.9900000000008</v>
      </c>
      <c r="S98" s="885">
        <f>SUM(S97,R97,Q97,O97)</f>
        <v>877.89100000000064</v>
      </c>
      <c r="T98" s="885">
        <f>SUM(T97,S97,R97,Q97)</f>
        <v>954</v>
      </c>
      <c r="U98" s="183">
        <f>U97</f>
        <v>954</v>
      </c>
      <c r="V98" s="885">
        <f>SUM(V97,T97,S97,R97)</f>
        <v>988</v>
      </c>
      <c r="W98" s="885">
        <f>SUM(W97,V97,T97,S97)</f>
        <v>1009</v>
      </c>
      <c r="X98" s="885">
        <f>SUM(X97,W97,V97,T97)</f>
        <v>1053</v>
      </c>
      <c r="Y98" s="885">
        <f>SUM(Y97,X97,W97,V97)</f>
        <v>1125</v>
      </c>
      <c r="Z98" s="183">
        <f>Z97</f>
        <v>1125</v>
      </c>
      <c r="AA98" s="885">
        <f>SUM(AA97,Y97,X97,W97)</f>
        <v>1217</v>
      </c>
      <c r="AB98" s="885">
        <f>SUM(AB97,AA97,Y97,X97)</f>
        <v>1368</v>
      </c>
      <c r="AC98" s="885">
        <f>SUM(AC97,AB97,AA97,Y97)</f>
        <v>1768</v>
      </c>
      <c r="AD98" s="885">
        <f>SUM(AD97,AC97,AB97,AA97)</f>
        <v>2221</v>
      </c>
      <c r="AE98" s="183">
        <f>AE97</f>
        <v>2221</v>
      </c>
      <c r="AF98" s="885">
        <f>SUM(AF97,AD97,AC97,AB97)</f>
        <v>2536</v>
      </c>
      <c r="AG98" s="885">
        <f>SUM(AG97,AF97,AD97,AC97)</f>
        <v>2927</v>
      </c>
      <c r="AH98" s="885">
        <f>SUM(AH97,AG97,AF97,AD97)</f>
        <v>3224</v>
      </c>
      <c r="AI98" s="885">
        <f>SUM(AI97,AH97,AG97,AF97)</f>
        <v>3617</v>
      </c>
      <c r="AJ98" s="183">
        <f>AJ97</f>
        <v>3617</v>
      </c>
      <c r="AK98" s="885">
        <f>SUM(AK97,AI97,AH97,AG97)</f>
        <v>4408</v>
      </c>
      <c r="AL98" s="885">
        <f>SUM(AL97,AK97,AI97,AH97)</f>
        <v>4925</v>
      </c>
      <c r="AM98" s="885">
        <f>SUM(AM97,AL97,AK97,AI97)</f>
        <v>5130</v>
      </c>
      <c r="AN98" s="885">
        <f>SUM(AN97,AM97,AL97,AK97)</f>
        <v>4407</v>
      </c>
      <c r="AO98" s="183">
        <f>AO97</f>
        <v>4407</v>
      </c>
      <c r="AP98" s="885">
        <f>SUM(AP97,AN97,AM97,AL97)</f>
        <v>3536</v>
      </c>
      <c r="AQ98" s="885">
        <f>SUM(AQ97,AP97,AN97,AM97)</f>
        <v>3048</v>
      </c>
      <c r="AR98" s="885">
        <f>SUM(AR97,AQ97,AP97,AN97)</f>
        <v>2994</v>
      </c>
      <c r="AS98" s="885">
        <f>SUM(AS97,AR97,AQ97,AP97)</f>
        <v>3735</v>
      </c>
      <c r="AT98" s="183">
        <f>AT97</f>
        <v>3735</v>
      </c>
      <c r="AU98" s="885">
        <f>SUM(AU97,AS97,AR97,AQ97)</f>
        <v>4383</v>
      </c>
      <c r="AV98" s="885">
        <f>SUM(AV97,AU97,AS97,AR97)</f>
        <v>5097</v>
      </c>
      <c r="AW98" s="885">
        <f>SUM(AW97,AV97,AU97,AS97)</f>
        <v>5934</v>
      </c>
      <c r="AX98" s="885">
        <f>SUM(AX97,AW97,AV97,AU97)</f>
        <v>6803</v>
      </c>
      <c r="AY98" s="183">
        <f>AY97</f>
        <v>6803</v>
      </c>
      <c r="AZ98" s="885">
        <f>SUM(AZ97,AX97,AW97,AV97)</f>
        <v>8155</v>
      </c>
      <c r="BA98" s="885">
        <f>SUM(BA97,AZ97,AX97,AW97)</f>
        <v>9710</v>
      </c>
      <c r="BB98" s="885">
        <f>SUM(BB97,BA97,AZ97,AX97)</f>
        <v>11103</v>
      </c>
      <c r="BC98" s="885">
        <f>SUM(BC97,BB97,BA97,AZ97)</f>
        <v>12691</v>
      </c>
      <c r="BD98" s="183">
        <f>BD97</f>
        <v>12690</v>
      </c>
      <c r="BE98" s="885">
        <f>SUM(BE97,BC97,BB97,BA97)</f>
        <v>14089</v>
      </c>
      <c r="BF98" s="885">
        <f>SUM(BF97,BE97,BC97,BB97)</f>
        <v>12343</v>
      </c>
      <c r="BG98" s="885">
        <f>SUM(BG97,BF97,BE97,BC97)</f>
        <v>10493</v>
      </c>
      <c r="BH98" s="885">
        <f>SUM(BH97,BG97,BF97,BE97)</f>
        <v>9040</v>
      </c>
      <c r="BI98" s="183">
        <f>BI97</f>
        <v>9040</v>
      </c>
      <c r="BJ98" s="885">
        <f>SUM(BJ97,BH97,BG97,BF97)</f>
        <v>8137</v>
      </c>
      <c r="BK98" s="885">
        <f>SUM(BK97,BJ97,BH97,BG97)</f>
        <v>14588</v>
      </c>
      <c r="BL98" s="885">
        <f>SUM(BL97,BK97,BJ97,BH97)</f>
        <v>24609</v>
      </c>
      <c r="BM98" s="885">
        <f>SUM(BM97,BL97,BK97,BJ97)</f>
        <v>37134</v>
      </c>
      <c r="BN98" s="183">
        <f>BN97</f>
        <v>37134</v>
      </c>
      <c r="BO98" s="885">
        <f>SUM(BO97,BM97,BL97,BK97)</f>
        <v>52141</v>
      </c>
      <c r="BP98" s="885">
        <f>SUM(BP97,BO97,BM97,BL97)</f>
        <v>64302</v>
      </c>
      <c r="BQ98" s="885">
        <f>SUM(BQ97,BP97,BO97,BM97)</f>
        <v>76021</v>
      </c>
      <c r="BR98" s="885">
        <f>SUM(BR97,BQ97,BP97,BO97)</f>
        <v>86788</v>
      </c>
      <c r="BS98" s="183">
        <f>BS97</f>
        <v>86789</v>
      </c>
      <c r="BT98" s="885">
        <f>SUM(BT97,BR97,BQ97,BP97)</f>
        <v>92004</v>
      </c>
      <c r="BU98" s="885">
        <f>SUM(BU97,BT97,BR97,BQ97)</f>
        <v>102232</v>
      </c>
      <c r="BV98" s="885">
        <f>SUM(BV97,BU97,BT97,BR97)</f>
        <v>116708</v>
      </c>
      <c r="BW98" s="885">
        <f>SUM(BW97,BV97,BU97,BT97)</f>
        <v>137299</v>
      </c>
      <c r="BX98" s="183">
        <f>BX97</f>
        <v>137300</v>
      </c>
      <c r="BY98" s="878">
        <f>SUM(BY97,BW97,BV97,BU97)</f>
        <v>167807</v>
      </c>
      <c r="BZ98" s="885">
        <f>SUM(BZ97,BY97,BW97,BV97)</f>
        <v>197477.72464539952</v>
      </c>
      <c r="CA98" s="885">
        <f>SUM(CA97,BZ97,BY97,BW97)</f>
        <v>221260.30731648678</v>
      </c>
      <c r="CB98" s="885">
        <f>SUM(CB97,CA97,BZ97,BY97)</f>
        <v>239658.86007466633</v>
      </c>
      <c r="CC98" s="183">
        <f>CC97</f>
        <v>239658.86007466636</v>
      </c>
      <c r="CD98" s="885">
        <f>SUM(CD97,CB97,CA97,BZ97)</f>
        <v>255414.21809280026</v>
      </c>
      <c r="CE98" s="885">
        <f>SUM(CE97,CD97,CB97,CA97)</f>
        <v>273006.44981521688</v>
      </c>
      <c r="CF98" s="885">
        <f>SUM(CF97,CE97,CD97,CB97)</f>
        <v>288239.62664304557</v>
      </c>
      <c r="CG98" s="885">
        <f>SUM(CG97,CF97,CE97,CD97)</f>
        <v>303979.09865419636</v>
      </c>
      <c r="CH98" s="183">
        <f>CH97</f>
        <v>303979.09865419636</v>
      </c>
      <c r="CI98" s="183">
        <f>CI97</f>
        <v>362848.70544912887</v>
      </c>
      <c r="CJ98" s="183">
        <f>CJ97</f>
        <v>426544.80125808634</v>
      </c>
      <c r="CK98" s="183">
        <f>CK97</f>
        <v>501566.81081483781</v>
      </c>
      <c r="CL98" s="885"/>
    </row>
    <row r="99" spans="1:90" hidden="1" outlineLevel="1" x14ac:dyDescent="0.3">
      <c r="A99" s="197" t="s">
        <v>213</v>
      </c>
      <c r="B99" s="198"/>
      <c r="C99" s="183">
        <f t="shared" ref="C99:AH99" si="361">INDEX(MO_BS_TA,0,COLUMN())</f>
        <v>3350.7269999999999</v>
      </c>
      <c r="D99" s="183">
        <f t="shared" si="361"/>
        <v>3585.9180000000001</v>
      </c>
      <c r="E99" s="183">
        <f t="shared" si="361"/>
        <v>4495.2460000000001</v>
      </c>
      <c r="F99" s="183">
        <f t="shared" si="361"/>
        <v>5552.9279999999999</v>
      </c>
      <c r="G99" s="885">
        <f t="shared" si="361"/>
        <v>5708.1669999999995</v>
      </c>
      <c r="H99" s="885">
        <f t="shared" si="361"/>
        <v>5891.8809999999994</v>
      </c>
      <c r="I99" s="885">
        <f t="shared" si="361"/>
        <v>6075.1440000000002</v>
      </c>
      <c r="J99" s="885">
        <f t="shared" si="361"/>
        <v>6412.2449999999999</v>
      </c>
      <c r="K99" s="183">
        <f t="shared" si="361"/>
        <v>6412.2449999999999</v>
      </c>
      <c r="L99" s="885">
        <f t="shared" si="361"/>
        <v>6279.527</v>
      </c>
      <c r="M99" s="885">
        <f t="shared" si="361"/>
        <v>5569.5920000000006</v>
      </c>
      <c r="N99" s="885">
        <f t="shared" si="361"/>
        <v>5711.3729999999996</v>
      </c>
      <c r="O99" s="885">
        <f t="shared" si="361"/>
        <v>7250.8939999999993</v>
      </c>
      <c r="P99" s="183">
        <f t="shared" si="361"/>
        <v>7250.8939999999993</v>
      </c>
      <c r="Q99" s="885">
        <f t="shared" si="361"/>
        <v>6864.6629999999996</v>
      </c>
      <c r="R99" s="885">
        <f t="shared" si="361"/>
        <v>6933.7190000000001</v>
      </c>
      <c r="S99" s="885">
        <f t="shared" si="361"/>
        <v>6885.8690000000006</v>
      </c>
      <c r="T99" s="885">
        <f t="shared" si="361"/>
        <v>7201</v>
      </c>
      <c r="U99" s="183">
        <f t="shared" si="361"/>
        <v>7201</v>
      </c>
      <c r="V99" s="885">
        <f t="shared" si="361"/>
        <v>7291</v>
      </c>
      <c r="W99" s="885">
        <f t="shared" si="361"/>
        <v>6979</v>
      </c>
      <c r="X99" s="885">
        <f t="shared" si="361"/>
        <v>7174</v>
      </c>
      <c r="Y99" s="885">
        <f t="shared" si="361"/>
        <v>7370</v>
      </c>
      <c r="Z99" s="183">
        <f t="shared" si="361"/>
        <v>7370</v>
      </c>
      <c r="AA99" s="885">
        <f t="shared" si="361"/>
        <v>7108</v>
      </c>
      <c r="AB99" s="885">
        <f t="shared" si="361"/>
        <v>7461</v>
      </c>
      <c r="AC99" s="885">
        <f t="shared" si="361"/>
        <v>9612</v>
      </c>
      <c r="AD99" s="885">
        <f t="shared" si="361"/>
        <v>9841</v>
      </c>
      <c r="AE99" s="183">
        <f t="shared" si="361"/>
        <v>9841</v>
      </c>
      <c r="AF99" s="885">
        <f t="shared" si="361"/>
        <v>9410</v>
      </c>
      <c r="AG99" s="885">
        <f t="shared" si="361"/>
        <v>9402</v>
      </c>
      <c r="AH99" s="885">
        <f t="shared" si="361"/>
        <v>9830</v>
      </c>
      <c r="AI99" s="885">
        <f t="shared" ref="AI99:BG99" si="362">INDEX(MO_BS_TA,0,COLUMN())</f>
        <v>11241</v>
      </c>
      <c r="AJ99" s="183">
        <f t="shared" si="362"/>
        <v>11241</v>
      </c>
      <c r="AK99" s="885">
        <f t="shared" si="362"/>
        <v>11460</v>
      </c>
      <c r="AL99" s="885">
        <f t="shared" si="362"/>
        <v>12882</v>
      </c>
      <c r="AM99" s="885">
        <f t="shared" si="362"/>
        <v>13657</v>
      </c>
      <c r="AN99" s="885">
        <f t="shared" si="362"/>
        <v>13292</v>
      </c>
      <c r="AO99" s="183">
        <f t="shared" si="362"/>
        <v>13292</v>
      </c>
      <c r="AP99" s="885">
        <f t="shared" si="362"/>
        <v>14021</v>
      </c>
      <c r="AQ99" s="885">
        <f t="shared" si="362"/>
        <v>14775</v>
      </c>
      <c r="AR99" s="885">
        <f t="shared" si="362"/>
        <v>15810</v>
      </c>
      <c r="AS99" s="885">
        <f t="shared" si="362"/>
        <v>17315</v>
      </c>
      <c r="AT99" s="183">
        <f t="shared" si="362"/>
        <v>17315</v>
      </c>
      <c r="AU99" s="885">
        <f t="shared" si="362"/>
        <v>23254</v>
      </c>
      <c r="AV99" s="885">
        <f t="shared" si="362"/>
        <v>25180</v>
      </c>
      <c r="AW99" s="885">
        <f t="shared" si="362"/>
        <v>26881</v>
      </c>
      <c r="AX99" s="885">
        <f t="shared" si="362"/>
        <v>28791</v>
      </c>
      <c r="AY99" s="183">
        <f t="shared" si="362"/>
        <v>28791</v>
      </c>
      <c r="AZ99" s="885">
        <f t="shared" si="362"/>
        <v>30796</v>
      </c>
      <c r="BA99" s="885">
        <f t="shared" si="362"/>
        <v>38650</v>
      </c>
      <c r="BB99" s="885">
        <f t="shared" si="362"/>
        <v>40632</v>
      </c>
      <c r="BC99" s="885">
        <f t="shared" si="362"/>
        <v>44187</v>
      </c>
      <c r="BD99" s="183">
        <f t="shared" si="362"/>
        <v>44187</v>
      </c>
      <c r="BE99" s="885">
        <f t="shared" si="362"/>
        <v>45212</v>
      </c>
      <c r="BF99" s="885">
        <f t="shared" si="362"/>
        <v>43476</v>
      </c>
      <c r="BG99" s="885">
        <f t="shared" si="362"/>
        <v>40488</v>
      </c>
      <c r="BH99" s="885">
        <f t="shared" ref="BH99:BN99" si="363">INDEX(MO_BS_TA,0,COLUMN())</f>
        <v>41182</v>
      </c>
      <c r="BI99" s="183">
        <f t="shared" si="363"/>
        <v>41182</v>
      </c>
      <c r="BJ99" s="885">
        <f t="shared" si="363"/>
        <v>44460</v>
      </c>
      <c r="BK99" s="885">
        <f t="shared" si="363"/>
        <v>49555</v>
      </c>
      <c r="BL99" s="885">
        <f t="shared" si="363"/>
        <v>54148</v>
      </c>
      <c r="BM99" s="885">
        <f t="shared" si="363"/>
        <v>65728</v>
      </c>
      <c r="BN99" s="183">
        <f t="shared" si="363"/>
        <v>65728</v>
      </c>
      <c r="BO99" s="885">
        <f t="shared" ref="BO99:BT99" si="364">INDEX(MO_BS_TA,0,COLUMN())</f>
        <v>77072</v>
      </c>
      <c r="BP99" s="885">
        <f t="shared" si="364"/>
        <v>85227</v>
      </c>
      <c r="BQ99" s="885">
        <f t="shared" si="364"/>
        <v>96013</v>
      </c>
      <c r="BR99" s="885">
        <f t="shared" si="364"/>
        <v>111601</v>
      </c>
      <c r="BS99" s="183">
        <f t="shared" si="364"/>
        <v>111601</v>
      </c>
      <c r="BT99" s="885">
        <f t="shared" si="364"/>
        <v>125254</v>
      </c>
      <c r="BU99" s="885">
        <f>INDEX(MO_BS_TA,0,COLUMN())</f>
        <v>140740</v>
      </c>
      <c r="BV99" s="885">
        <f>INDEX(MO_BS_TA,0,COLUMN())</f>
        <v>161148</v>
      </c>
      <c r="BW99" s="885">
        <f>INDEX(MO_BS_TA,0,COLUMN())</f>
        <v>206803</v>
      </c>
      <c r="BX99" s="183">
        <f>INDEX(MO_BS_TA,0,COLUMN())</f>
        <v>206803</v>
      </c>
      <c r="BY99" s="878">
        <f>INDEX(MO_BS_TA,0,COLUMN())</f>
        <v>259474</v>
      </c>
      <c r="BZ99" s="885">
        <f t="shared" ref="BZ99:CC99" si="365">INDEX(MO_BS_TA,0,COLUMN())</f>
        <v>300877.89141353639</v>
      </c>
      <c r="CA99" s="885">
        <f t="shared" si="365"/>
        <v>347970.34406924044</v>
      </c>
      <c r="CB99" s="885">
        <f t="shared" si="365"/>
        <v>402834.72061589413</v>
      </c>
      <c r="CC99" s="183">
        <f t="shared" si="365"/>
        <v>402834.72061589413</v>
      </c>
      <c r="CD99" s="885">
        <f t="shared" ref="CD99:CK99" si="366">INDEX(MO_BS_TA,0,COLUMN())</f>
        <v>471303.10495241865</v>
      </c>
      <c r="CE99" s="885">
        <f t="shared" si="366"/>
        <v>524731.56338101428</v>
      </c>
      <c r="CF99" s="885">
        <f t="shared" si="366"/>
        <v>584179.24727549357</v>
      </c>
      <c r="CG99" s="885">
        <f t="shared" si="366"/>
        <v>655395.14823345235</v>
      </c>
      <c r="CH99" s="183">
        <f t="shared" si="366"/>
        <v>655395.14823345235</v>
      </c>
      <c r="CI99" s="183">
        <f t="shared" si="366"/>
        <v>964519.27716638381</v>
      </c>
      <c r="CJ99" s="183">
        <f t="shared" si="366"/>
        <v>1338199.9041229642</v>
      </c>
      <c r="CK99" s="183">
        <f t="shared" si="366"/>
        <v>1789530.668108949</v>
      </c>
      <c r="CL99" s="885"/>
    </row>
    <row r="100" spans="1:90" hidden="1" outlineLevel="1" x14ac:dyDescent="0.3">
      <c r="A100" s="197" t="s">
        <v>350</v>
      </c>
      <c r="B100" s="198"/>
      <c r="C100" s="183">
        <f>C99</f>
        <v>3350.7269999999999</v>
      </c>
      <c r="D100" s="183">
        <f>AVERAGE(D99,C99)</f>
        <v>3468.3225000000002</v>
      </c>
      <c r="E100" s="183">
        <f>AVERAGE(E99,D99)</f>
        <v>4040.5820000000003</v>
      </c>
      <c r="F100" s="183">
        <f>AVERAGE(F99,E99)</f>
        <v>5024.0869999999995</v>
      </c>
      <c r="G100" s="885"/>
      <c r="H100" s="885"/>
      <c r="I100" s="885"/>
      <c r="J100" s="885">
        <f>AVERAGE(J99,I99,H99,G99)</f>
        <v>6021.8592499999995</v>
      </c>
      <c r="K100" s="183">
        <f>AVERAGE(K99,F99)</f>
        <v>5982.5864999999994</v>
      </c>
      <c r="L100" s="885">
        <f>AVERAGE(L99,J99,I99,H99)</f>
        <v>6164.6992499999997</v>
      </c>
      <c r="M100" s="885">
        <f>AVERAGE(M99,L99,J99,I99)</f>
        <v>6084.1270000000004</v>
      </c>
      <c r="N100" s="885">
        <f>AVERAGE(N99,M99,L99,J99)</f>
        <v>5993.1842499999993</v>
      </c>
      <c r="O100" s="885">
        <f>AVERAGE(O99,N99,M99,L99)</f>
        <v>6202.8464999999997</v>
      </c>
      <c r="P100" s="183">
        <f>AVERAGE(P99,K99)</f>
        <v>6831.5694999999996</v>
      </c>
      <c r="Q100" s="885">
        <f>AVERAGE(Q99,O99,N99,M99)</f>
        <v>6349.1305000000002</v>
      </c>
      <c r="R100" s="885">
        <f>AVERAGE(R99,Q99,O99,N99)</f>
        <v>6690.1622499999994</v>
      </c>
      <c r="S100" s="885">
        <f>AVERAGE(S99,R99,Q99,O99)</f>
        <v>6983.7862500000001</v>
      </c>
      <c r="T100" s="885">
        <f>AVERAGE(T99,S99,R99,Q99)</f>
        <v>6971.3127500000001</v>
      </c>
      <c r="U100" s="183">
        <f>AVERAGE(U99,P99)</f>
        <v>7225.9470000000001</v>
      </c>
      <c r="V100" s="885">
        <f>AVERAGE(V99,T99,S99,R99)</f>
        <v>7077.8969999999999</v>
      </c>
      <c r="W100" s="885">
        <f>AVERAGE(W99,V99,T99,S99)</f>
        <v>7089.2172499999997</v>
      </c>
      <c r="X100" s="885">
        <f>AVERAGE(X99,W99,V99,T99)</f>
        <v>7161.25</v>
      </c>
      <c r="Y100" s="885">
        <f>AVERAGE(Y99,X99,W99,V99)</f>
        <v>7203.5</v>
      </c>
      <c r="Z100" s="183">
        <f>AVERAGE(Z99,U99)</f>
        <v>7285.5</v>
      </c>
      <c r="AA100" s="885">
        <f>AVERAGE(AA99,Y99,X99,W99)</f>
        <v>7157.75</v>
      </c>
      <c r="AB100" s="885">
        <f>AVERAGE(AB99,AA99,Y99,X99)</f>
        <v>7278.25</v>
      </c>
      <c r="AC100" s="885">
        <f>AVERAGE(AC99,AB99,AA99,Y99)</f>
        <v>7887.75</v>
      </c>
      <c r="AD100" s="885">
        <f>AVERAGE(AD99,AC99,AB99,AA99)</f>
        <v>8505.5</v>
      </c>
      <c r="AE100" s="183">
        <f>AVERAGE(AE99,Z99)</f>
        <v>8605.5</v>
      </c>
      <c r="AF100" s="885">
        <f>AVERAGE(AF99,AD99,AC99,AB99)</f>
        <v>9081</v>
      </c>
      <c r="AG100" s="885">
        <f>AVERAGE(AG99,AF99,AD99,AC99)</f>
        <v>9566.25</v>
      </c>
      <c r="AH100" s="885">
        <f>AVERAGE(AH99,AG99,AF99,AD99)</f>
        <v>9620.75</v>
      </c>
      <c r="AI100" s="885">
        <f>AVERAGE(AI99,AH99,AG99,AF99)</f>
        <v>9970.75</v>
      </c>
      <c r="AJ100" s="183">
        <f>AVERAGE(AJ99,AE99)</f>
        <v>10541</v>
      </c>
      <c r="AK100" s="885">
        <f>AVERAGE(AK99,AI99,AH99,AG99)</f>
        <v>10483.25</v>
      </c>
      <c r="AL100" s="885">
        <f>AVERAGE(AL99,AK99,AI99,AH99)</f>
        <v>11353.25</v>
      </c>
      <c r="AM100" s="885">
        <f>AVERAGE(AM99,AL99,AK99,AI99)</f>
        <v>12310</v>
      </c>
      <c r="AN100" s="885">
        <f>AVERAGE(AN99,AM99,AL99,AK99)</f>
        <v>12822.75</v>
      </c>
      <c r="AO100" s="183">
        <f>AVERAGE(AO99,AJ99)</f>
        <v>12266.5</v>
      </c>
      <c r="AP100" s="885">
        <f>AVERAGE(AP99,AN99,AM99,AL99)</f>
        <v>13463</v>
      </c>
      <c r="AQ100" s="885">
        <f>AVERAGE(AQ99,AP99,AN99,AM99)</f>
        <v>13936.25</v>
      </c>
      <c r="AR100" s="885">
        <f>AVERAGE(AR99,AQ99,AP99,AN99)</f>
        <v>14474.5</v>
      </c>
      <c r="AS100" s="885">
        <f>AVERAGE(AS99,AR99,AQ99,AP99)</f>
        <v>15480.25</v>
      </c>
      <c r="AT100" s="183">
        <f>AVERAGE(AT99,AO99)</f>
        <v>15303.5</v>
      </c>
      <c r="AU100" s="885">
        <f>AVERAGE(AU99,AS99,AR99,AQ99)</f>
        <v>17788.5</v>
      </c>
      <c r="AV100" s="885">
        <f>AVERAGE(AV99,AU99,AS99,AR99)</f>
        <v>20389.75</v>
      </c>
      <c r="AW100" s="885">
        <f>AVERAGE(AW99,AV99,AU99,AS99)</f>
        <v>23157.5</v>
      </c>
      <c r="AX100" s="885">
        <f>AVERAGE(AX99,AW99,AV99,AU99)</f>
        <v>26026.5</v>
      </c>
      <c r="AY100" s="183">
        <f>AVERAGE(AY99,AT99)</f>
        <v>23053</v>
      </c>
      <c r="AZ100" s="885">
        <f>AVERAGE(AZ99,AX99,AW99,AV99)</f>
        <v>27912</v>
      </c>
      <c r="BA100" s="885">
        <f>AVERAGE(BA99,AZ99,AX99,AW99)</f>
        <v>31279.5</v>
      </c>
      <c r="BB100" s="885">
        <f>AVERAGE(BB99,BA99,AZ99,AX99)</f>
        <v>34717.25</v>
      </c>
      <c r="BC100" s="885">
        <f>AVERAGE(BC99,BB99,BA99,AZ99)</f>
        <v>38566.25</v>
      </c>
      <c r="BD100" s="183">
        <f>AVERAGE(BD99,AY99)</f>
        <v>36489</v>
      </c>
      <c r="BE100" s="885">
        <f>AVERAGE(BE99,BC99,BB99,BA99)</f>
        <v>42170.25</v>
      </c>
      <c r="BF100" s="885">
        <f>AVERAGE(BF99,BE99,BC99,BB99)</f>
        <v>43376.75</v>
      </c>
      <c r="BG100" s="885">
        <f>AVERAGE(BG99,BF99,BE99,BC99)</f>
        <v>43340.75</v>
      </c>
      <c r="BH100" s="885">
        <f>AVERAGE(BH99,BG99,BF99,BE99)</f>
        <v>42589.5</v>
      </c>
      <c r="BI100" s="183">
        <f>AVERAGE(BI99,BD99)</f>
        <v>42684.5</v>
      </c>
      <c r="BJ100" s="885">
        <f>AVERAGE(BJ99,BH99,BG99,BF99)</f>
        <v>42401.5</v>
      </c>
      <c r="BK100" s="885">
        <f>AVERAGE(BK99,BJ99,BH99,BG99)</f>
        <v>43921.25</v>
      </c>
      <c r="BL100" s="885">
        <f>AVERAGE(BL99,BK99,BJ99,BH99)</f>
        <v>47336.25</v>
      </c>
      <c r="BM100" s="885">
        <f>AVERAGE(BM99,BL99,BK99,BJ99)</f>
        <v>53472.75</v>
      </c>
      <c r="BN100" s="183">
        <f>AVERAGE(BN99,BI99)</f>
        <v>53455</v>
      </c>
      <c r="BO100" s="885">
        <f>AVERAGE(BO99,BM99,BL99,BK99)</f>
        <v>61625.75</v>
      </c>
      <c r="BP100" s="885">
        <f>AVERAGE(BP99,BO99,BM99,BL99)</f>
        <v>70543.75</v>
      </c>
      <c r="BQ100" s="885">
        <f>AVERAGE(BQ99,BP99,BO99,BM99)</f>
        <v>81010</v>
      </c>
      <c r="BR100" s="885">
        <f>AVERAGE(BR99,BQ99,BP99,BO99)</f>
        <v>92478.25</v>
      </c>
      <c r="BS100" s="183">
        <f>AVERAGE(BS99,BN99)</f>
        <v>88664.5</v>
      </c>
      <c r="BT100" s="885">
        <f>AVERAGE(BT99,BR99,BQ99,BP99)</f>
        <v>104523.75</v>
      </c>
      <c r="BU100" s="885">
        <f>AVERAGE(BU99,BT99,BR99,BQ99)</f>
        <v>118402</v>
      </c>
      <c r="BV100" s="885">
        <f>AVERAGE(BV99,BU99,BT99,BR99)</f>
        <v>134685.75</v>
      </c>
      <c r="BW100" s="885">
        <f>AVERAGE(BW99,BV99,BU99,BT99)</f>
        <v>158486.25</v>
      </c>
      <c r="BX100" s="183">
        <f>AVERAGE(BX99,BS99)</f>
        <v>159202</v>
      </c>
      <c r="BY100" s="878">
        <f>AVERAGE(BY99,BW99,BV99,BU99)</f>
        <v>192041.25</v>
      </c>
      <c r="BZ100" s="885">
        <f>AVERAGE(BZ99,BY99,BW99,BV99)</f>
        <v>232075.7228533841</v>
      </c>
      <c r="CA100" s="885">
        <f>AVERAGE(CA99,BZ99,BY99,BW99)</f>
        <v>278781.30887069419</v>
      </c>
      <c r="CB100" s="885">
        <f>AVERAGE(CB99,CA99,BZ99,BY99)</f>
        <v>327789.23902466777</v>
      </c>
      <c r="CC100" s="183">
        <f>AVERAGE(CC99,BX99)</f>
        <v>304818.86030794703</v>
      </c>
      <c r="CD100" s="885">
        <f>AVERAGE(CD99,CB99,CA99,BZ99)</f>
        <v>380746.51526277239</v>
      </c>
      <c r="CE100" s="885">
        <f>AVERAGE(CE99,CD99,CB99,CA99)</f>
        <v>436709.93325464183</v>
      </c>
      <c r="CF100" s="885">
        <f>AVERAGE(CF99,CE99,CD99,CB99)</f>
        <v>495762.15905620519</v>
      </c>
      <c r="CG100" s="885">
        <f>AVERAGE(CG99,CF99,CE99,CD99)</f>
        <v>558902.26596059476</v>
      </c>
      <c r="CH100" s="183">
        <f>AVERAGE(CH99,CC99)</f>
        <v>529114.93442467321</v>
      </c>
      <c r="CI100" s="183">
        <f>AVERAGE(CI99,CH99)</f>
        <v>809957.21269991808</v>
      </c>
      <c r="CJ100" s="183">
        <f>AVERAGE(CJ99,CI99)</f>
        <v>1151359.5906446739</v>
      </c>
      <c r="CK100" s="183">
        <f>AVERAGE(CK99,CJ99)</f>
        <v>1563865.2861159565</v>
      </c>
      <c r="CL100" s="885"/>
    </row>
    <row r="101" spans="1:90" s="995" customFormat="1" collapsed="1" x14ac:dyDescent="0.3">
      <c r="A101" s="206" t="s">
        <v>351</v>
      </c>
      <c r="B101" s="85"/>
      <c r="C101" s="1252">
        <f>IF(C100&lt;0,"NMF",IF(ABS(C98/C100)&gt;1,"NMF",C98/C100))</f>
        <v>4.4355150389751123E-2</v>
      </c>
      <c r="D101" s="1252">
        <f>IF(D100&lt;0,"NMF",IF(ABS(D98/D100)&gt;1,"NMF",D98/D100))</f>
        <v>3.8994355340369907E-2</v>
      </c>
      <c r="E101" s="1252">
        <f>IF(E100&lt;0,"NMF",IF(ABS(E98/E100)&gt;1,"NMF",E98/E100))</f>
        <v>0.12428407590787664</v>
      </c>
      <c r="F101" s="1252">
        <f>IF(F100&lt;0,"NMF",IF(ABS(F98/F100)&gt;1,"NMF",F98/F100))</f>
        <v>0.16508969689418199</v>
      </c>
      <c r="G101" s="136"/>
      <c r="H101" s="136"/>
      <c r="I101" s="136"/>
      <c r="J101" s="136"/>
      <c r="K101" s="1252">
        <f t="shared" ref="K101:AP101" si="367">IF(K100&lt;0,"NMF",IF(ABS(K98/K100)&gt;1,"NMF",K98/K100))</f>
        <v>0.14060239663897878</v>
      </c>
      <c r="L101" s="136">
        <f t="shared" si="367"/>
        <v>0.13760557743348142</v>
      </c>
      <c r="M101" s="136">
        <f t="shared" si="367"/>
        <v>0.13093349300565221</v>
      </c>
      <c r="N101" s="136">
        <f t="shared" si="367"/>
        <v>0.11418988161426877</v>
      </c>
      <c r="O101" s="136">
        <f t="shared" si="367"/>
        <v>0.10708180510351187</v>
      </c>
      <c r="P101" s="1252">
        <f t="shared" si="367"/>
        <v>9.7226852482434678E-2</v>
      </c>
      <c r="Q101" s="136">
        <f t="shared" si="367"/>
        <v>0.11579113076979607</v>
      </c>
      <c r="R101" s="136">
        <f t="shared" si="367"/>
        <v>0.11897917722399047</v>
      </c>
      <c r="S101" s="136">
        <f t="shared" si="367"/>
        <v>0.12570416226584835</v>
      </c>
      <c r="T101" s="136">
        <f t="shared" si="367"/>
        <v>0.13684653582641232</v>
      </c>
      <c r="U101" s="1252">
        <f t="shared" si="367"/>
        <v>0.13202421772537218</v>
      </c>
      <c r="V101" s="136">
        <f t="shared" si="367"/>
        <v>0.13958948540788316</v>
      </c>
      <c r="W101" s="136">
        <f t="shared" si="367"/>
        <v>0.14232883045021649</v>
      </c>
      <c r="X101" s="136">
        <f t="shared" si="367"/>
        <v>0.14704136847617386</v>
      </c>
      <c r="Y101" s="136">
        <f t="shared" si="367"/>
        <v>0.1561740820434511</v>
      </c>
      <c r="Z101" s="1252">
        <f t="shared" si="367"/>
        <v>0.15441630636195183</v>
      </c>
      <c r="AA101" s="136">
        <f t="shared" si="367"/>
        <v>0.17002549683909049</v>
      </c>
      <c r="AB101" s="136">
        <f t="shared" si="367"/>
        <v>0.18795726994813314</v>
      </c>
      <c r="AC101" s="136">
        <f t="shared" si="367"/>
        <v>0.22414503502266173</v>
      </c>
      <c r="AD101" s="136">
        <f t="shared" si="367"/>
        <v>0.2611251543119158</v>
      </c>
      <c r="AE101" s="1252">
        <f t="shared" si="367"/>
        <v>0.25809075591191682</v>
      </c>
      <c r="AF101" s="136">
        <f t="shared" si="367"/>
        <v>0.27926439819403148</v>
      </c>
      <c r="AG101" s="136">
        <f t="shared" si="367"/>
        <v>0.30597151443878218</v>
      </c>
      <c r="AH101" s="136">
        <f t="shared" si="367"/>
        <v>0.33510900917288156</v>
      </c>
      <c r="AI101" s="136">
        <f t="shared" si="367"/>
        <v>0.36276107614773212</v>
      </c>
      <c r="AJ101" s="1252">
        <f t="shared" si="367"/>
        <v>0.34313632482686651</v>
      </c>
      <c r="AK101" s="136">
        <f t="shared" si="367"/>
        <v>0.42048028998640691</v>
      </c>
      <c r="AL101" s="136">
        <f t="shared" si="367"/>
        <v>0.43379648999185255</v>
      </c>
      <c r="AM101" s="136">
        <f t="shared" si="367"/>
        <v>0.41673436230706745</v>
      </c>
      <c r="AN101" s="136">
        <f t="shared" si="367"/>
        <v>0.34368602678832544</v>
      </c>
      <c r="AO101" s="1252">
        <f t="shared" si="367"/>
        <v>0.35927118574980638</v>
      </c>
      <c r="AP101" s="136">
        <f t="shared" si="367"/>
        <v>0.26264576988784077</v>
      </c>
      <c r="AQ101" s="136">
        <f t="shared" ref="AQ101:BG101" si="368">IF(AQ100&lt;0,"NMF",IF(ABS(AQ98/AQ100)&gt;1,"NMF",AQ98/AQ100))</f>
        <v>0.21871019822405596</v>
      </c>
      <c r="AR101" s="136">
        <f t="shared" si="368"/>
        <v>0.20684652319596533</v>
      </c>
      <c r="AS101" s="136">
        <f t="shared" si="368"/>
        <v>0.24127517320456712</v>
      </c>
      <c r="AT101" s="1252">
        <f t="shared" si="368"/>
        <v>0.24406181592446172</v>
      </c>
      <c r="AU101" s="136">
        <f t="shared" si="368"/>
        <v>0.24639514292942069</v>
      </c>
      <c r="AV101" s="136">
        <f t="shared" si="368"/>
        <v>0.24997854314054857</v>
      </c>
      <c r="AW101" s="136">
        <f t="shared" si="368"/>
        <v>0.25624527690812909</v>
      </c>
      <c r="AX101" s="136">
        <f t="shared" si="368"/>
        <v>0.26138743204042036</v>
      </c>
      <c r="AY101" s="1252">
        <f t="shared" si="368"/>
        <v>0.29510258968463976</v>
      </c>
      <c r="AZ101" s="136">
        <f t="shared" si="368"/>
        <v>0.29216824304958439</v>
      </c>
      <c r="BA101" s="136">
        <f t="shared" si="368"/>
        <v>0.31042695695263672</v>
      </c>
      <c r="BB101" s="136">
        <f t="shared" si="368"/>
        <v>0.31981219710662567</v>
      </c>
      <c r="BC101" s="136">
        <f t="shared" si="368"/>
        <v>0.32907010663468705</v>
      </c>
      <c r="BD101" s="1252">
        <f t="shared" si="368"/>
        <v>0.34777604209487789</v>
      </c>
      <c r="BE101" s="136">
        <f t="shared" si="368"/>
        <v>0.33409809047847711</v>
      </c>
      <c r="BF101" s="136">
        <f t="shared" si="368"/>
        <v>0.28455336095950018</v>
      </c>
      <c r="BG101" s="136">
        <f t="shared" si="368"/>
        <v>0.24210471669271991</v>
      </c>
      <c r="BH101" s="136">
        <f t="shared" ref="BH101:BN101" si="369">IF(BH100&lt;0,"NMF",IF(ABS(BH98/BH100)&gt;1,"NMF",BH98/BH100))</f>
        <v>0.21225889010202045</v>
      </c>
      <c r="BI101" s="1252">
        <f t="shared" si="369"/>
        <v>0.21178647986974194</v>
      </c>
      <c r="BJ101" s="136">
        <f t="shared" si="369"/>
        <v>0.19190358831645107</v>
      </c>
      <c r="BK101" s="136">
        <f t="shared" si="369"/>
        <v>0.33213990949711131</v>
      </c>
      <c r="BL101" s="136">
        <f t="shared" si="369"/>
        <v>0.5198764160659114</v>
      </c>
      <c r="BM101" s="136">
        <f t="shared" si="369"/>
        <v>0.6944471716902535</v>
      </c>
      <c r="BN101" s="1252">
        <f t="shared" si="369"/>
        <v>0.69467776634552425</v>
      </c>
      <c r="BO101" s="136">
        <f t="shared" ref="BO101:BT101" si="370">IF(BO100&lt;0,"NMF",IF(ABS(BO98/BO100)&gt;1,"NMF",BO98/BO100))</f>
        <v>0.84609112262325403</v>
      </c>
      <c r="BP101" s="136">
        <f t="shared" si="370"/>
        <v>0.91151944715159028</v>
      </c>
      <c r="BQ101" s="136">
        <f t="shared" si="370"/>
        <v>0.93841501049253173</v>
      </c>
      <c r="BR101" s="136">
        <f t="shared" si="370"/>
        <v>0.93846931575802961</v>
      </c>
      <c r="BS101" s="1252">
        <f t="shared" si="370"/>
        <v>0.97884722746984421</v>
      </c>
      <c r="BT101" s="136">
        <f t="shared" si="370"/>
        <v>0.88022100240375989</v>
      </c>
      <c r="BU101" s="136">
        <f>IF(BU100&lt;0,"NMF",IF(ABS(BU98/BU100)&gt;1,"NMF",BU98/BU100))</f>
        <v>0.86343136095674056</v>
      </c>
      <c r="BV101" s="136">
        <f>IF(BV100&lt;0,"NMF",IF(ABS(BV98/BV100)&gt;1,"NMF",BV98/BV100))</f>
        <v>0.86652077149958329</v>
      </c>
      <c r="BW101" s="136">
        <f>IF(BW100&lt;0,"NMF",IF(ABS(BW98/BW100)&gt;1,"NMF",BW98/BW100))</f>
        <v>0.86631490113495646</v>
      </c>
      <c r="BX101" s="1252">
        <f>IF(BX100&lt;0,"NMF",IF(ABS(BX98/BX100)&gt;1,"NMF",BX98/BX100))</f>
        <v>0.86242635142774593</v>
      </c>
      <c r="BY101" s="970">
        <f>IF(BY100&lt;0,"NMF",IF(ABS(BY98/BY100)&gt;1,"NMF",BY98/BY100))</f>
        <v>0.87380705968118833</v>
      </c>
      <c r="BZ101" s="136">
        <f t="shared" ref="BZ101:CC101" si="371">IF(BZ100&lt;0,"NMF",IF(ABS(BZ98/BZ100)&gt;1,"NMF",BZ98/BZ100))</f>
        <v>0.85091935605068791</v>
      </c>
      <c r="CA101" s="136">
        <f t="shared" si="371"/>
        <v>0.79366980595931158</v>
      </c>
      <c r="CB101" s="136">
        <f t="shared" si="371"/>
        <v>0.7311370586409971</v>
      </c>
      <c r="CC101" s="1252">
        <f t="shared" si="371"/>
        <v>0.78623369903210061</v>
      </c>
      <c r="CD101" s="136">
        <f t="shared" ref="CD101:CK101" si="372">IF(CD100&lt;0,"NMF",IF(ABS(CD98/CD100)&gt;1,"NMF",CD98/CD100))</f>
        <v>0.67082483451365538</v>
      </c>
      <c r="CE101" s="136">
        <f t="shared" si="372"/>
        <v>0.62514366866033511</v>
      </c>
      <c r="CF101" s="136">
        <f t="shared" si="372"/>
        <v>0.58140707469842912</v>
      </c>
      <c r="CG101" s="136">
        <f t="shared" si="372"/>
        <v>0.54388596570053682</v>
      </c>
      <c r="CH101" s="1252">
        <f t="shared" si="372"/>
        <v>0.57450485495126768</v>
      </c>
      <c r="CI101" s="1252">
        <f t="shared" si="372"/>
        <v>0.44798502903580056</v>
      </c>
      <c r="CJ101" s="1252">
        <f t="shared" si="372"/>
        <v>0.37047053303238969</v>
      </c>
      <c r="CK101" s="1252">
        <f t="shared" si="372"/>
        <v>0.32072251700179238</v>
      </c>
      <c r="CL101" s="132"/>
    </row>
    <row r="102" spans="1:90" hidden="1" outlineLevel="1" x14ac:dyDescent="0.3">
      <c r="A102" s="197" t="s">
        <v>352</v>
      </c>
      <c r="B102" s="198"/>
      <c r="C102" s="183">
        <f t="shared" ref="C102:AH102" si="373">INDEX(MO_BSS_Debt_Net,0,COLUMN())+INDEX(MO_BSS_Cash,0,COLUMN())</f>
        <v>25.634000000000015</v>
      </c>
      <c r="D102" s="183">
        <f t="shared" si="373"/>
        <v>24.450000000000045</v>
      </c>
      <c r="E102" s="183">
        <f t="shared" si="373"/>
        <v>23.389000000000124</v>
      </c>
      <c r="F102" s="183">
        <f t="shared" si="373"/>
        <v>21.438999999999851</v>
      </c>
      <c r="G102" s="885">
        <f t="shared" si="373"/>
        <v>20.829999999999927</v>
      </c>
      <c r="H102" s="885">
        <f t="shared" si="373"/>
        <v>20.23700000000008</v>
      </c>
      <c r="I102" s="885">
        <f t="shared" si="373"/>
        <v>19.626999999999953</v>
      </c>
      <c r="J102" s="885">
        <f t="shared" si="373"/>
        <v>18.998000000000047</v>
      </c>
      <c r="K102" s="183">
        <f t="shared" si="373"/>
        <v>18.998000000000047</v>
      </c>
      <c r="L102" s="885">
        <f t="shared" si="373"/>
        <v>18.333000000000084</v>
      </c>
      <c r="M102" s="885">
        <f t="shared" si="373"/>
        <v>17.684999999999945</v>
      </c>
      <c r="N102" s="885">
        <f t="shared" si="373"/>
        <v>17.014999999999873</v>
      </c>
      <c r="O102" s="885">
        <f t="shared" si="373"/>
        <v>1373.875</v>
      </c>
      <c r="P102" s="183">
        <f t="shared" si="373"/>
        <v>1373.875</v>
      </c>
      <c r="Q102" s="885">
        <f t="shared" si="373"/>
        <v>1379.9589999999998</v>
      </c>
      <c r="R102" s="885">
        <f t="shared" si="373"/>
        <v>1386.0910000000003</v>
      </c>
      <c r="S102" s="885">
        <f t="shared" si="373"/>
        <v>1392.2359999999999</v>
      </c>
      <c r="T102" s="885">
        <f t="shared" si="373"/>
        <v>1398</v>
      </c>
      <c r="U102" s="183">
        <f t="shared" si="373"/>
        <v>1398</v>
      </c>
      <c r="V102" s="885">
        <f t="shared" si="373"/>
        <v>1404</v>
      </c>
      <c r="W102" s="885">
        <f t="shared" si="373"/>
        <v>1411</v>
      </c>
      <c r="X102" s="885">
        <f t="shared" si="373"/>
        <v>1417</v>
      </c>
      <c r="Y102" s="885">
        <f t="shared" si="373"/>
        <v>1510</v>
      </c>
      <c r="Z102" s="183">
        <f t="shared" si="373"/>
        <v>1510</v>
      </c>
      <c r="AA102" s="885">
        <f t="shared" si="373"/>
        <v>1509</v>
      </c>
      <c r="AB102" s="885">
        <f t="shared" si="373"/>
        <v>1508</v>
      </c>
      <c r="AC102" s="885">
        <f t="shared" si="373"/>
        <v>3045</v>
      </c>
      <c r="AD102" s="885">
        <f t="shared" si="373"/>
        <v>2816</v>
      </c>
      <c r="AE102" s="183">
        <f t="shared" si="373"/>
        <v>2816</v>
      </c>
      <c r="AF102" s="885">
        <f t="shared" si="373"/>
        <v>2210</v>
      </c>
      <c r="AG102" s="885">
        <f t="shared" si="373"/>
        <v>2073</v>
      </c>
      <c r="AH102" s="885">
        <f t="shared" si="373"/>
        <v>2010</v>
      </c>
      <c r="AI102" s="885">
        <f t="shared" ref="AI102:BG102" si="374">INDEX(MO_BSS_Debt_Net,0,COLUMN())+INDEX(MO_BSS_Cash,0,COLUMN())</f>
        <v>2000</v>
      </c>
      <c r="AJ102" s="183">
        <f t="shared" si="374"/>
        <v>2000</v>
      </c>
      <c r="AK102" s="885">
        <f t="shared" si="374"/>
        <v>2000</v>
      </c>
      <c r="AL102" s="885">
        <f t="shared" si="374"/>
        <v>2001</v>
      </c>
      <c r="AM102" s="885">
        <f t="shared" si="374"/>
        <v>1990</v>
      </c>
      <c r="AN102" s="885">
        <f t="shared" si="374"/>
        <v>1988</v>
      </c>
      <c r="AO102" s="183">
        <f t="shared" si="374"/>
        <v>1988</v>
      </c>
      <c r="AP102" s="885">
        <f t="shared" si="374"/>
        <v>2554</v>
      </c>
      <c r="AQ102" s="885">
        <f t="shared" si="374"/>
        <v>2556</v>
      </c>
      <c r="AR102" s="885">
        <f t="shared" si="374"/>
        <v>2548</v>
      </c>
      <c r="AS102" s="885">
        <f t="shared" si="374"/>
        <v>2643</v>
      </c>
      <c r="AT102" s="183">
        <f t="shared" si="374"/>
        <v>2643</v>
      </c>
      <c r="AU102" s="885">
        <f t="shared" si="374"/>
        <v>7578</v>
      </c>
      <c r="AV102" s="885">
        <f t="shared" si="374"/>
        <v>7695</v>
      </c>
      <c r="AW102" s="885">
        <f t="shared" si="374"/>
        <v>7681</v>
      </c>
      <c r="AX102" s="885">
        <f t="shared" si="374"/>
        <v>7718</v>
      </c>
      <c r="AY102" s="183">
        <f t="shared" si="374"/>
        <v>7718</v>
      </c>
      <c r="AZ102" s="885">
        <f t="shared" si="374"/>
        <v>7738</v>
      </c>
      <c r="BA102" s="885">
        <f t="shared" si="374"/>
        <v>12791</v>
      </c>
      <c r="BB102" s="885">
        <f t="shared" si="374"/>
        <v>11827</v>
      </c>
      <c r="BC102" s="885">
        <f t="shared" si="374"/>
        <v>11831</v>
      </c>
      <c r="BD102" s="183">
        <f t="shared" si="374"/>
        <v>11831</v>
      </c>
      <c r="BE102" s="885">
        <f t="shared" si="374"/>
        <v>11846</v>
      </c>
      <c r="BF102" s="885">
        <f t="shared" si="374"/>
        <v>11837</v>
      </c>
      <c r="BG102" s="885">
        <f t="shared" si="374"/>
        <v>11904</v>
      </c>
      <c r="BH102" s="885">
        <f t="shared" ref="BH102:BN102" si="375">INDEX(MO_BSS_Debt_Net,0,COLUMN())+INDEX(MO_BSS_Cash,0,COLUMN())</f>
        <v>12031</v>
      </c>
      <c r="BI102" s="183">
        <f t="shared" si="375"/>
        <v>12031</v>
      </c>
      <c r="BJ102" s="885">
        <f t="shared" si="375"/>
        <v>12080</v>
      </c>
      <c r="BK102" s="885">
        <f t="shared" si="375"/>
        <v>10954</v>
      </c>
      <c r="BL102" s="885">
        <f t="shared" si="375"/>
        <v>11027</v>
      </c>
      <c r="BM102" s="885">
        <f t="shared" si="375"/>
        <v>11056</v>
      </c>
      <c r="BN102" s="183">
        <f t="shared" si="375"/>
        <v>11056</v>
      </c>
      <c r="BO102" s="885">
        <f t="shared" ref="BO102:BT102" si="376">INDEX(MO_BSS_Debt_Net,0,COLUMN())+INDEX(MO_BSS_Cash,0,COLUMN())</f>
        <v>11237</v>
      </c>
      <c r="BP102" s="885">
        <f t="shared" si="376"/>
        <v>10015</v>
      </c>
      <c r="BQ102" s="885">
        <f t="shared" si="376"/>
        <v>10225</v>
      </c>
      <c r="BR102" s="885">
        <f t="shared" si="376"/>
        <v>10270</v>
      </c>
      <c r="BS102" s="183">
        <f t="shared" si="376"/>
        <v>10270</v>
      </c>
      <c r="BT102" s="885">
        <f t="shared" si="376"/>
        <v>10285</v>
      </c>
      <c r="BU102" s="885">
        <f>INDEX(MO_BSS_Debt_Net,0,COLUMN())+INDEX(MO_BSS_Cash,0,COLUMN())</f>
        <v>10598</v>
      </c>
      <c r="BV102" s="885">
        <f>INDEX(MO_BSS_Debt_Net,0,COLUMN())+INDEX(MO_BSS_Cash,0,COLUMN())</f>
        <v>10822</v>
      </c>
      <c r="BW102" s="885">
        <f>INDEX(MO_BSS_Debt_Net,0,COLUMN())+INDEX(MO_BSS_Cash,0,COLUMN())</f>
        <v>11412</v>
      </c>
      <c r="BX102" s="183">
        <f>INDEX(MO_BSS_Debt_Net,0,COLUMN())+INDEX(MO_BSS_Cash,0,COLUMN())</f>
        <v>11412</v>
      </c>
      <c r="BY102" s="878">
        <f>INDEX(MO_BSS_Debt_Net,0,COLUMN())+INDEX(MO_BSS_Cash,0,COLUMN())</f>
        <v>12814</v>
      </c>
      <c r="BZ102" s="885">
        <f t="shared" ref="BZ102:CC102" si="377">INDEX(MO_BSS_Debt_Net,0,COLUMN())+INDEX(MO_BSS_Cash,0,COLUMN())</f>
        <v>12814</v>
      </c>
      <c r="CA102" s="885">
        <f t="shared" si="377"/>
        <v>12814</v>
      </c>
      <c r="CB102" s="885">
        <f t="shared" si="377"/>
        <v>12814</v>
      </c>
      <c r="CC102" s="183">
        <f t="shared" si="377"/>
        <v>12814</v>
      </c>
      <c r="CD102" s="885">
        <f t="shared" ref="CD102:CK102" si="378">INDEX(MO_BSS_Debt_Net,0,COLUMN())+INDEX(MO_BSS_Cash,0,COLUMN())</f>
        <v>12814</v>
      </c>
      <c r="CE102" s="885">
        <f t="shared" si="378"/>
        <v>12814</v>
      </c>
      <c r="CF102" s="885">
        <f t="shared" si="378"/>
        <v>12814</v>
      </c>
      <c r="CG102" s="885">
        <f t="shared" si="378"/>
        <v>12814</v>
      </c>
      <c r="CH102" s="183">
        <f t="shared" si="378"/>
        <v>12814</v>
      </c>
      <c r="CI102" s="183">
        <f t="shared" si="378"/>
        <v>12814</v>
      </c>
      <c r="CJ102" s="183">
        <f t="shared" si="378"/>
        <v>12814</v>
      </c>
      <c r="CK102" s="183">
        <f t="shared" si="378"/>
        <v>12814</v>
      </c>
      <c r="CL102" s="885"/>
    </row>
    <row r="103" spans="1:90" hidden="1" outlineLevel="1" x14ac:dyDescent="0.3">
      <c r="A103" s="197" t="s">
        <v>353</v>
      </c>
      <c r="B103" s="198"/>
      <c r="C103" s="183">
        <f>C102</f>
        <v>25.634000000000015</v>
      </c>
      <c r="D103" s="183">
        <f>AVERAGE(D102,C102)</f>
        <v>25.04200000000003</v>
      </c>
      <c r="E103" s="183">
        <f>AVERAGE(E102,D102)</f>
        <v>23.919500000000085</v>
      </c>
      <c r="F103" s="183">
        <f>AVERAGE(F102,E102)</f>
        <v>22.413999999999987</v>
      </c>
      <c r="G103" s="885"/>
      <c r="H103" s="885"/>
      <c r="I103" s="885"/>
      <c r="J103" s="885">
        <f>AVERAGE(J102,I102,H102,G102)</f>
        <v>19.923000000000002</v>
      </c>
      <c r="K103" s="183">
        <f>AVERAGE(K102,F102)</f>
        <v>20.218499999999949</v>
      </c>
      <c r="L103" s="885">
        <f>AVERAGE(L102,J102,I102,H102)</f>
        <v>19.298750000000041</v>
      </c>
      <c r="M103" s="885">
        <f>AVERAGE(M102,L102,J102,I102)</f>
        <v>18.660750000000007</v>
      </c>
      <c r="N103" s="885">
        <f>AVERAGE(N102,M102,L102,J102)</f>
        <v>18.007749999999987</v>
      </c>
      <c r="O103" s="885">
        <f>AVERAGE(O102,N102,M102,L102)</f>
        <v>356.72699999999998</v>
      </c>
      <c r="P103" s="183">
        <f>AVERAGE(P102,K102)</f>
        <v>696.43650000000002</v>
      </c>
      <c r="Q103" s="885">
        <f>AVERAGE(Q102,O102,N102,M102)</f>
        <v>697.13349999999991</v>
      </c>
      <c r="R103" s="885">
        <f>AVERAGE(R102,Q102,O102,N102)</f>
        <v>1039.2350000000001</v>
      </c>
      <c r="S103" s="885">
        <f>AVERAGE(S102,R102,Q102,O102)</f>
        <v>1383.04025</v>
      </c>
      <c r="T103" s="885">
        <f>AVERAGE(T102,S102,R102,Q102)</f>
        <v>1389.0715</v>
      </c>
      <c r="U103" s="183">
        <f>AVERAGE(U102,P102)</f>
        <v>1385.9375</v>
      </c>
      <c r="V103" s="885">
        <f>AVERAGE(V102,T102,S102,R102)</f>
        <v>1395.0817500000001</v>
      </c>
      <c r="W103" s="885">
        <f>AVERAGE(W102,V102,T102,S102)</f>
        <v>1401.309</v>
      </c>
      <c r="X103" s="885">
        <f>AVERAGE(X102,W102,V102,T102)</f>
        <v>1407.5</v>
      </c>
      <c r="Y103" s="885">
        <f>AVERAGE(Y102,X102,W102,V102)</f>
        <v>1435.5</v>
      </c>
      <c r="Z103" s="183">
        <f>AVERAGE(Z102,U102)</f>
        <v>1454</v>
      </c>
      <c r="AA103" s="885">
        <f>AVERAGE(AA102,Y102,X102,W102)</f>
        <v>1461.75</v>
      </c>
      <c r="AB103" s="885">
        <f>AVERAGE(AB102,AA102,Y102,X102)</f>
        <v>1486</v>
      </c>
      <c r="AC103" s="885">
        <f>AVERAGE(AC102,AB102,AA102,Y102)</f>
        <v>1893</v>
      </c>
      <c r="AD103" s="885">
        <f>AVERAGE(AD102,AC102,AB102,AA102)</f>
        <v>2219.5</v>
      </c>
      <c r="AE103" s="183">
        <f>AVERAGE(AE102,Z102)</f>
        <v>2163</v>
      </c>
      <c r="AF103" s="885">
        <f>AVERAGE(AF102,AD102,AC102,AB102)</f>
        <v>2394.75</v>
      </c>
      <c r="AG103" s="885">
        <f>AVERAGE(AG102,AF102,AD102,AC102)</f>
        <v>2536</v>
      </c>
      <c r="AH103" s="885">
        <f>AVERAGE(AH102,AG102,AF102,AD102)</f>
        <v>2277.25</v>
      </c>
      <c r="AI103" s="885">
        <f>AVERAGE(AI102,AH102,AG102,AF102)</f>
        <v>2073.25</v>
      </c>
      <c r="AJ103" s="183">
        <f>AVERAGE(AJ102,AE102)</f>
        <v>2408</v>
      </c>
      <c r="AK103" s="885">
        <f>AVERAGE(AK102,AI102,AH102,AG102)</f>
        <v>2020.75</v>
      </c>
      <c r="AL103" s="885">
        <f>AVERAGE(AL102,AK102,AI102,AH102)</f>
        <v>2002.75</v>
      </c>
      <c r="AM103" s="885">
        <f>AVERAGE(AM102,AL102,AK102,AI102)</f>
        <v>1997.75</v>
      </c>
      <c r="AN103" s="885">
        <f>AVERAGE(AN102,AM102,AL102,AK102)</f>
        <v>1994.75</v>
      </c>
      <c r="AO103" s="183">
        <f>AVERAGE(AO102,AJ102)</f>
        <v>1994</v>
      </c>
      <c r="AP103" s="885">
        <f>AVERAGE(AP102,AN102,AM102,AL102)</f>
        <v>2133.25</v>
      </c>
      <c r="AQ103" s="885">
        <f>AVERAGE(AQ102,AP102,AN102,AM102)</f>
        <v>2272</v>
      </c>
      <c r="AR103" s="885">
        <f>AVERAGE(AR102,AQ102,AP102,AN102)</f>
        <v>2411.5</v>
      </c>
      <c r="AS103" s="885">
        <f>AVERAGE(AS102,AR102,AQ102,AP102)</f>
        <v>2575.25</v>
      </c>
      <c r="AT103" s="183">
        <f>AVERAGE(AT102,AO102)</f>
        <v>2315.5</v>
      </c>
      <c r="AU103" s="885">
        <f>AVERAGE(AU102,AS102,AR102,AQ102)</f>
        <v>3831.25</v>
      </c>
      <c r="AV103" s="885">
        <f>AVERAGE(AV102,AU102,AS102,AR102)</f>
        <v>5116</v>
      </c>
      <c r="AW103" s="885">
        <f>AVERAGE(AW102,AV102,AU102,AS102)</f>
        <v>6399.25</v>
      </c>
      <c r="AX103" s="885">
        <f>AVERAGE(AX102,AW102,AV102,AU102)</f>
        <v>7668</v>
      </c>
      <c r="AY103" s="183">
        <f>AVERAGE(AY102,AT102)</f>
        <v>5180.5</v>
      </c>
      <c r="AZ103" s="885">
        <f>AVERAGE(AZ102,AX102,AW102,AV102)</f>
        <v>7708</v>
      </c>
      <c r="BA103" s="885">
        <f>AVERAGE(BA102,AZ102,AX102,AW102)</f>
        <v>8982</v>
      </c>
      <c r="BB103" s="885">
        <f>AVERAGE(BB102,BA102,AZ102,AX102)</f>
        <v>10018.5</v>
      </c>
      <c r="BC103" s="885">
        <f>AVERAGE(BC102,BB102,BA102,AZ102)</f>
        <v>11046.75</v>
      </c>
      <c r="BD103" s="183">
        <f>AVERAGE(BD102,AY102)</f>
        <v>9774.5</v>
      </c>
      <c r="BE103" s="885">
        <f>AVERAGE(BE102,BC102,BB102,BA102)</f>
        <v>12073.75</v>
      </c>
      <c r="BF103" s="885">
        <f>AVERAGE(BF102,BE102,BC102,BB102)</f>
        <v>11835.25</v>
      </c>
      <c r="BG103" s="885">
        <f>AVERAGE(BG102,BF102,BE102,BC102)</f>
        <v>11854.5</v>
      </c>
      <c r="BH103" s="885">
        <f>AVERAGE(BH102,BG102,BF102,BE102)</f>
        <v>11904.5</v>
      </c>
      <c r="BI103" s="183">
        <f>AVERAGE(BI102,BD102)</f>
        <v>11931</v>
      </c>
      <c r="BJ103" s="885">
        <f>AVERAGE(BJ102,BH102,BG102,BF102)</f>
        <v>11963</v>
      </c>
      <c r="BK103" s="885">
        <f>AVERAGE(BK102,BJ102,BH102,BG102)</f>
        <v>11742.25</v>
      </c>
      <c r="BL103" s="885">
        <f>AVERAGE(BL102,BK102,BJ102,BH102)</f>
        <v>11523</v>
      </c>
      <c r="BM103" s="885">
        <f>AVERAGE(BM102,BL102,BK102,BJ102)</f>
        <v>11279.25</v>
      </c>
      <c r="BN103" s="183">
        <f>AVERAGE(BN102,BI102)</f>
        <v>11543.5</v>
      </c>
      <c r="BO103" s="885">
        <f>AVERAGE(BO102,BM102,BL102,BK102)</f>
        <v>11068.5</v>
      </c>
      <c r="BP103" s="885">
        <f>AVERAGE(BP102,BO102,BM102,BL102)</f>
        <v>10833.75</v>
      </c>
      <c r="BQ103" s="885">
        <f>AVERAGE(BQ102,BP102,BO102,BM102)</f>
        <v>10633.25</v>
      </c>
      <c r="BR103" s="885">
        <f>AVERAGE(BR102,BQ102,BP102,BO102)</f>
        <v>10436.75</v>
      </c>
      <c r="BS103" s="183">
        <f>AVERAGE(BS102,BN102)</f>
        <v>10663</v>
      </c>
      <c r="BT103" s="885">
        <f>AVERAGE(BT102,BR102,BQ102,BP102)</f>
        <v>10198.75</v>
      </c>
      <c r="BU103" s="885">
        <f>AVERAGE(BU102,BT102,BR102,BQ102)</f>
        <v>10344.5</v>
      </c>
      <c r="BV103" s="885">
        <f>AVERAGE(BV102,BU102,BT102,BR102)</f>
        <v>10493.75</v>
      </c>
      <c r="BW103" s="885">
        <f>AVERAGE(BW102,BV102,BU102,BT102)</f>
        <v>10779.25</v>
      </c>
      <c r="BX103" s="183">
        <f>AVERAGE(BX102,BS102)</f>
        <v>10841</v>
      </c>
      <c r="BY103" s="878">
        <f>AVERAGE(BY102,BW102,BV102,BU102)</f>
        <v>11411.5</v>
      </c>
      <c r="BZ103" s="885">
        <f>AVERAGE(BZ102,BY102,BW102,BV102)</f>
        <v>11965.5</v>
      </c>
      <c r="CA103" s="885">
        <f>AVERAGE(CA102,BZ102,BY102,BW102)</f>
        <v>12463.5</v>
      </c>
      <c r="CB103" s="885">
        <f>AVERAGE(CB102,CA102,BZ102,BY102)</f>
        <v>12814</v>
      </c>
      <c r="CC103" s="183">
        <f>AVERAGE(CC102,BX102)</f>
        <v>12113</v>
      </c>
      <c r="CD103" s="885">
        <f>AVERAGE(CD102,CB102,CA102,BZ102)</f>
        <v>12814</v>
      </c>
      <c r="CE103" s="885">
        <f>AVERAGE(CE102,CD102,CB102,CA102)</f>
        <v>12814</v>
      </c>
      <c r="CF103" s="885">
        <f>AVERAGE(CF102,CE102,CD102,CB102)</f>
        <v>12814</v>
      </c>
      <c r="CG103" s="885">
        <f>AVERAGE(CG102,CF102,CE102,CD102)</f>
        <v>12814</v>
      </c>
      <c r="CH103" s="183">
        <f>AVERAGE(CH102,CC102)</f>
        <v>12814</v>
      </c>
      <c r="CI103" s="183">
        <f>AVERAGE(CI102,CH102)</f>
        <v>12814</v>
      </c>
      <c r="CJ103" s="183">
        <f>AVERAGE(CJ102,CI102)</f>
        <v>12814</v>
      </c>
      <c r="CK103" s="183">
        <f>AVERAGE(CK102,CJ102)</f>
        <v>12814</v>
      </c>
      <c r="CL103" s="885"/>
    </row>
    <row r="104" spans="1:90" hidden="1" outlineLevel="1" x14ac:dyDescent="0.3">
      <c r="A104" s="197" t="s">
        <v>354</v>
      </c>
      <c r="B104" s="198"/>
      <c r="C104" s="183">
        <f t="shared" ref="C104:AH104" si="379">SUM(INDEX(SP_BSR_Debt_Avg,0,COLUMN()),INDEX(SP_BSR_SE_Avg,0,COLUMN()))</f>
        <v>2420.2860000000001</v>
      </c>
      <c r="D104" s="183">
        <f t="shared" si="379"/>
        <v>2554.9379999999996</v>
      </c>
      <c r="E104" s="183">
        <f t="shared" si="379"/>
        <v>2947.2204999999999</v>
      </c>
      <c r="F104" s="183">
        <f t="shared" si="379"/>
        <v>3686.0070000000005</v>
      </c>
      <c r="G104" s="885">
        <f t="shared" si="379"/>
        <v>0</v>
      </c>
      <c r="H104" s="885">
        <f t="shared" si="379"/>
        <v>0</v>
      </c>
      <c r="I104" s="885">
        <f t="shared" si="379"/>
        <v>0</v>
      </c>
      <c r="J104" s="885">
        <f t="shared" si="379"/>
        <v>4592.8334999999997</v>
      </c>
      <c r="K104" s="183">
        <f t="shared" si="379"/>
        <v>4506.9319999999998</v>
      </c>
      <c r="L104" s="885">
        <f t="shared" si="379"/>
        <v>4726.5862499999994</v>
      </c>
      <c r="M104" s="885">
        <f t="shared" si="379"/>
        <v>4655.5752499999999</v>
      </c>
      <c r="N104" s="885">
        <f t="shared" si="379"/>
        <v>4554.3724999999995</v>
      </c>
      <c r="O104" s="885">
        <f t="shared" si="379"/>
        <v>4800.2655000000004</v>
      </c>
      <c r="P104" s="183">
        <f t="shared" si="379"/>
        <v>5338.4869999999992</v>
      </c>
      <c r="Q104" s="885">
        <f t="shared" si="379"/>
        <v>4976.1842500000002</v>
      </c>
      <c r="R104" s="885">
        <f t="shared" si="379"/>
        <v>5351.4390000000003</v>
      </c>
      <c r="S104" s="885">
        <f t="shared" si="379"/>
        <v>5666.2307500000006</v>
      </c>
      <c r="T104" s="885">
        <f t="shared" si="379"/>
        <v>5662.6625000000004</v>
      </c>
      <c r="U104" s="183">
        <f t="shared" si="379"/>
        <v>5823.1365000000005</v>
      </c>
      <c r="V104" s="885">
        <f t="shared" si="379"/>
        <v>5765.9265000000005</v>
      </c>
      <c r="W104" s="885">
        <f t="shared" si="379"/>
        <v>5742.2072500000004</v>
      </c>
      <c r="X104" s="885">
        <f t="shared" si="379"/>
        <v>5813.5</v>
      </c>
      <c r="Y104" s="885">
        <f t="shared" si="379"/>
        <v>5854.25</v>
      </c>
      <c r="Z104" s="183">
        <f t="shared" si="379"/>
        <v>5897.5</v>
      </c>
      <c r="AA104" s="885">
        <f t="shared" si="379"/>
        <v>5790.5</v>
      </c>
      <c r="AB104" s="885">
        <f t="shared" si="379"/>
        <v>5888.5</v>
      </c>
      <c r="AC104" s="885">
        <f t="shared" si="379"/>
        <v>6510.25</v>
      </c>
      <c r="AD104" s="885">
        <f t="shared" si="379"/>
        <v>7160</v>
      </c>
      <c r="AE104" s="183">
        <f t="shared" si="379"/>
        <v>7278.5</v>
      </c>
      <c r="AF104" s="885">
        <f t="shared" si="379"/>
        <v>7819.25</v>
      </c>
      <c r="AG104" s="885">
        <f t="shared" si="379"/>
        <v>8333.75</v>
      </c>
      <c r="AH104" s="885">
        <f t="shared" si="379"/>
        <v>8332</v>
      </c>
      <c r="AI104" s="885">
        <f t="shared" ref="AI104:BG104" si="380">SUM(INDEX(SP_BSR_Debt_Avg,0,COLUMN()),INDEX(SP_BSR_SE_Avg,0,COLUMN()))</f>
        <v>8555.25</v>
      </c>
      <c r="AJ104" s="183">
        <f t="shared" si="380"/>
        <v>9024.5</v>
      </c>
      <c r="AK104" s="885">
        <f t="shared" si="380"/>
        <v>8899</v>
      </c>
      <c r="AL104" s="885">
        <f t="shared" si="380"/>
        <v>9586.5</v>
      </c>
      <c r="AM104" s="885">
        <f t="shared" si="380"/>
        <v>10362.25</v>
      </c>
      <c r="AN104" s="885">
        <f t="shared" si="380"/>
        <v>10827</v>
      </c>
      <c r="AO104" s="183">
        <f t="shared" si="380"/>
        <v>10400.5</v>
      </c>
      <c r="AP104" s="885">
        <f t="shared" si="380"/>
        <v>11462.25</v>
      </c>
      <c r="AQ104" s="885">
        <f t="shared" si="380"/>
        <v>11986.25</v>
      </c>
      <c r="AR104" s="885">
        <f t="shared" si="380"/>
        <v>12560.5</v>
      </c>
      <c r="AS104" s="885">
        <f t="shared" si="380"/>
        <v>13439.75</v>
      </c>
      <c r="AT104" s="183">
        <f t="shared" si="380"/>
        <v>13088.5</v>
      </c>
      <c r="AU104" s="885">
        <f t="shared" si="380"/>
        <v>15544.5</v>
      </c>
      <c r="AV104" s="885">
        <f t="shared" si="380"/>
        <v>17723.75</v>
      </c>
      <c r="AW104" s="885">
        <f t="shared" si="380"/>
        <v>20037</v>
      </c>
      <c r="AX104" s="885">
        <f t="shared" si="380"/>
        <v>22478</v>
      </c>
      <c r="AY104" s="183">
        <f t="shared" si="380"/>
        <v>19729</v>
      </c>
      <c r="AZ104" s="885">
        <f t="shared" si="380"/>
        <v>23936.75</v>
      </c>
      <c r="BA104" s="885">
        <f t="shared" si="380"/>
        <v>27019</v>
      </c>
      <c r="BB104" s="885">
        <f t="shared" si="380"/>
        <v>30171.5</v>
      </c>
      <c r="BC104" s="885">
        <f t="shared" si="380"/>
        <v>33629.5</v>
      </c>
      <c r="BD104" s="183">
        <f t="shared" si="380"/>
        <v>31527</v>
      </c>
      <c r="BE104" s="885">
        <f t="shared" si="380"/>
        <v>36543</v>
      </c>
      <c r="BF104" s="885">
        <f t="shared" si="380"/>
        <v>36980.5</v>
      </c>
      <c r="BG104" s="885">
        <f t="shared" si="380"/>
        <v>36387.5</v>
      </c>
      <c r="BH104" s="885">
        <f t="shared" ref="BH104:BN104" si="381">SUM(INDEX(SP_BSR_Debt_Avg,0,COLUMN()),INDEX(SP_BSR_SE_Avg,0,COLUMN()))</f>
        <v>35309.75</v>
      </c>
      <c r="BI104" s="183">
        <f t="shared" si="381"/>
        <v>36287.5</v>
      </c>
      <c r="BJ104" s="885">
        <f t="shared" si="381"/>
        <v>34918.25</v>
      </c>
      <c r="BK104" s="885">
        <f t="shared" si="381"/>
        <v>35610</v>
      </c>
      <c r="BL104" s="885">
        <f t="shared" si="381"/>
        <v>38369.75</v>
      </c>
      <c r="BM104" s="885">
        <f t="shared" si="381"/>
        <v>43345.25</v>
      </c>
      <c r="BN104" s="183">
        <f t="shared" si="381"/>
        <v>44083</v>
      </c>
      <c r="BO104" s="885">
        <f t="shared" ref="BO104:BT104" si="382">SUM(INDEX(SP_BSR_Debt_Avg,0,COLUMN()),INDEX(SP_BSR_SE_Avg,0,COLUMN()))</f>
        <v>49290</v>
      </c>
      <c r="BP104" s="885">
        <f t="shared" si="382"/>
        <v>56719.25</v>
      </c>
      <c r="BQ104" s="885">
        <f t="shared" si="382"/>
        <v>64677.25</v>
      </c>
      <c r="BR104" s="885">
        <f t="shared" si="382"/>
        <v>73568</v>
      </c>
      <c r="BS104" s="183">
        <f t="shared" si="382"/>
        <v>71815.5</v>
      </c>
      <c r="BT104" s="885">
        <f t="shared" si="382"/>
        <v>82005.25</v>
      </c>
      <c r="BU104" s="885">
        <f>SUM(INDEX(SP_BSR_Debt_Avg,0,COLUMN()),INDEX(SP_BSR_SE_Avg,0,COLUMN()))</f>
        <v>92644.5</v>
      </c>
      <c r="BV104" s="885">
        <f>SUM(INDEX(SP_BSR_Debt_Avg,0,COLUMN()),INDEX(SP_BSR_SE_Avg,0,COLUMN()))</f>
        <v>106043.25</v>
      </c>
      <c r="BW104" s="885">
        <f>SUM(INDEX(SP_BSR_Debt_Avg,0,COLUMN()),INDEX(SP_BSR_SE_Avg,0,COLUMN()))</f>
        <v>125820.25</v>
      </c>
      <c r="BX104" s="183">
        <f>SUM(INDEX(SP_BSR_Debt_Avg,0,COLUMN()),INDEX(SP_BSR_SE_Avg,0,COLUMN()))</f>
        <v>129151</v>
      </c>
      <c r="BY104" s="878">
        <f>SUM(INDEX(SP_BSR_Debt_Avg,0,COLUMN()),INDEX(SP_BSR_SE_Avg,0,COLUMN()))</f>
        <v>154360.25</v>
      </c>
      <c r="BZ104" s="885">
        <f t="shared" ref="BZ104:CC104" si="383">SUM(INDEX(SP_BSR_Debt_Avg,0,COLUMN()),INDEX(SP_BSR_SE_Avg,0,COLUMN()))</f>
        <v>189562.6514202487</v>
      </c>
      <c r="CA104" s="885">
        <f t="shared" si="383"/>
        <v>231564.47490447637</v>
      </c>
      <c r="CB104" s="885">
        <f t="shared" si="383"/>
        <v>275706.98232276179</v>
      </c>
      <c r="CC104" s="183">
        <f t="shared" si="383"/>
        <v>256990.01483657074</v>
      </c>
      <c r="CD104" s="885">
        <f t="shared" ref="CD104:CK104" si="384">SUM(INDEX(SP_BSR_Debt_Avg,0,COLUMN()),INDEX(SP_BSR_SE_Avg,0,COLUMN()))</f>
        <v>323469.04187918257</v>
      </c>
      <c r="CE104" s="885">
        <f t="shared" si="384"/>
        <v>375731.32469932048</v>
      </c>
      <c r="CF104" s="885">
        <f t="shared" si="384"/>
        <v>431727.26362829772</v>
      </c>
      <c r="CG104" s="885">
        <f t="shared" si="384"/>
        <v>491587.8830824616</v>
      </c>
      <c r="CH104" s="183">
        <f t="shared" si="384"/>
        <v>464996.26858146931</v>
      </c>
      <c r="CI104" s="183">
        <f t="shared" si="384"/>
        <v>733269.79533652146</v>
      </c>
      <c r="CJ104" s="183">
        <f t="shared" si="384"/>
        <v>1062205.8890858085</v>
      </c>
      <c r="CK104" s="183">
        <f t="shared" si="384"/>
        <v>1460656.1100302804</v>
      </c>
      <c r="CL104" s="885"/>
    </row>
    <row r="105" spans="1:90" s="995" customFormat="1" collapsed="1" x14ac:dyDescent="0.3">
      <c r="A105" s="206" t="s">
        <v>355</v>
      </c>
      <c r="B105" s="85"/>
      <c r="C105" s="1252">
        <f>IF(C104&lt;0,"NMF",IF(ABS(C98/C104)&gt;1,"NMF",C98/C104))</f>
        <v>6.1406792420399745E-2</v>
      </c>
      <c r="D105" s="1252">
        <f>IF(D104&lt;0,"NMF",IF(ABS(D98/D104)&gt;1,"NMF",D98/D104))</f>
        <v>5.293474831874595E-2</v>
      </c>
      <c r="E105" s="1252">
        <f>IF(E104&lt;0,"NMF",IF(ABS(E98/E104)&gt;1,"NMF",E98/E104))</f>
        <v>0.17039105150089723</v>
      </c>
      <c r="F105" s="1252">
        <f>IF(F104&lt;0,"NMF",IF(ABS(F98/F104)&gt;1,"NMF",F98/F104))</f>
        <v>0.22501991992961484</v>
      </c>
      <c r="G105" s="136"/>
      <c r="H105" s="136"/>
      <c r="I105" s="136"/>
      <c r="J105" s="136">
        <f t="shared" ref="J105:AO105" si="385">IF(J104&lt;0,"NMF",IF(ABS(J98/J104)&gt;1,"NMF",J98/J104))</f>
        <v>0.18314750578265024</v>
      </c>
      <c r="K105" s="1252">
        <f t="shared" si="385"/>
        <v>0.18663827188872603</v>
      </c>
      <c r="L105" s="136">
        <f t="shared" si="385"/>
        <v>0.17947350479428995</v>
      </c>
      <c r="M105" s="136">
        <f t="shared" si="385"/>
        <v>0.17111011147333507</v>
      </c>
      <c r="N105" s="136">
        <f t="shared" si="385"/>
        <v>0.15026460835164454</v>
      </c>
      <c r="O105" s="136">
        <f t="shared" si="385"/>
        <v>0.13836984641787015</v>
      </c>
      <c r="P105" s="1252">
        <f t="shared" si="385"/>
        <v>0.12441952186078192</v>
      </c>
      <c r="Q105" s="136">
        <f t="shared" si="385"/>
        <v>0.14773829968213106</v>
      </c>
      <c r="R105" s="136">
        <f t="shared" si="385"/>
        <v>0.14874316982777919</v>
      </c>
      <c r="S105" s="136">
        <f t="shared" si="385"/>
        <v>0.15493385969147136</v>
      </c>
      <c r="T105" s="136">
        <f t="shared" si="385"/>
        <v>0.16847198645513484</v>
      </c>
      <c r="U105" s="1252">
        <f t="shared" si="385"/>
        <v>0.1638292353270441</v>
      </c>
      <c r="V105" s="136">
        <f t="shared" si="385"/>
        <v>0.17135147317608018</v>
      </c>
      <c r="W105" s="136">
        <f t="shared" si="385"/>
        <v>0.17571640243392467</v>
      </c>
      <c r="X105" s="136">
        <f t="shared" si="385"/>
        <v>0.18113012814999571</v>
      </c>
      <c r="Y105" s="136">
        <f t="shared" si="385"/>
        <v>0.19216808301661187</v>
      </c>
      <c r="Z105" s="1252">
        <f t="shared" si="385"/>
        <v>0.1907587961000424</v>
      </c>
      <c r="AA105" s="136">
        <f t="shared" si="385"/>
        <v>0.21017183317502805</v>
      </c>
      <c r="AB105" s="136">
        <f t="shared" si="385"/>
        <v>0.23231722849622144</v>
      </c>
      <c r="AC105" s="136">
        <f t="shared" si="385"/>
        <v>0.27157175223685726</v>
      </c>
      <c r="AD105" s="136">
        <f t="shared" si="385"/>
        <v>0.310195530726257</v>
      </c>
      <c r="AE105" s="1252">
        <f t="shared" si="385"/>
        <v>0.30514529092532799</v>
      </c>
      <c r="AF105" s="136">
        <f t="shared" si="385"/>
        <v>0.32432778079739105</v>
      </c>
      <c r="AG105" s="136">
        <f t="shared" si="385"/>
        <v>0.3512224388780561</v>
      </c>
      <c r="AH105" s="136">
        <f t="shared" si="385"/>
        <v>0.38694191070571293</v>
      </c>
      <c r="AI105" s="136">
        <f t="shared" si="385"/>
        <v>0.42278133309955873</v>
      </c>
      <c r="AJ105" s="1252">
        <f t="shared" si="385"/>
        <v>0.40079782813452269</v>
      </c>
      <c r="AK105" s="136">
        <f t="shared" si="385"/>
        <v>0.49533655466906396</v>
      </c>
      <c r="AL105" s="136">
        <f t="shared" si="385"/>
        <v>0.51374328482762222</v>
      </c>
      <c r="AM105" s="136">
        <f t="shared" si="385"/>
        <v>0.49506622596443822</v>
      </c>
      <c r="AN105" s="136">
        <f t="shared" si="385"/>
        <v>0.40703796065392073</v>
      </c>
      <c r="AO105" s="1252">
        <f t="shared" si="385"/>
        <v>0.42372962838325079</v>
      </c>
      <c r="AP105" s="136">
        <f t="shared" ref="AP105:BG105" si="386">IF(AP104&lt;0,"NMF",IF(ABS(AP98/AP104)&gt;1,"NMF",AP98/AP104))</f>
        <v>0.3084909158324064</v>
      </c>
      <c r="AQ105" s="136">
        <f t="shared" si="386"/>
        <v>0.25429137553446657</v>
      </c>
      <c r="AR105" s="136">
        <f t="shared" si="386"/>
        <v>0.238366307073763</v>
      </c>
      <c r="AS105" s="136">
        <f t="shared" si="386"/>
        <v>0.27790695511449248</v>
      </c>
      <c r="AT105" s="1252">
        <f t="shared" si="386"/>
        <v>0.28536501508958245</v>
      </c>
      <c r="AU105" s="136">
        <f t="shared" si="386"/>
        <v>0.28196468204187974</v>
      </c>
      <c r="AV105" s="136">
        <f t="shared" si="386"/>
        <v>0.28758022427533675</v>
      </c>
      <c r="AW105" s="136">
        <f t="shared" si="386"/>
        <v>0.29615211858062584</v>
      </c>
      <c r="AX105" s="136">
        <f t="shared" si="386"/>
        <v>0.30265148144852744</v>
      </c>
      <c r="AY105" s="1252">
        <f t="shared" si="386"/>
        <v>0.34482234274418366</v>
      </c>
      <c r="AZ105" s="136">
        <f t="shared" si="386"/>
        <v>0.34068952552038184</v>
      </c>
      <c r="BA105" s="136">
        <f t="shared" si="386"/>
        <v>0.35937673489026239</v>
      </c>
      <c r="BB105" s="136">
        <f t="shared" si="386"/>
        <v>0.36799628788757605</v>
      </c>
      <c r="BC105" s="136">
        <f t="shared" si="386"/>
        <v>0.37737700530783985</v>
      </c>
      <c r="BD105" s="1252">
        <f t="shared" si="386"/>
        <v>0.40251213245789325</v>
      </c>
      <c r="BE105" s="136">
        <f t="shared" si="386"/>
        <v>0.38554579536436528</v>
      </c>
      <c r="BF105" s="136">
        <f t="shared" si="386"/>
        <v>0.33377050066927166</v>
      </c>
      <c r="BG105" s="136">
        <f t="shared" si="386"/>
        <v>0.28836825833047064</v>
      </c>
      <c r="BH105" s="136">
        <f t="shared" ref="BH105:BN105" si="387">IF(BH104&lt;0,"NMF",IF(ABS(BH98/BH104)&gt;1,"NMF",BH98/BH104))</f>
        <v>0.25601993783586685</v>
      </c>
      <c r="BI105" s="1252">
        <f t="shared" si="387"/>
        <v>0.24912159834653808</v>
      </c>
      <c r="BJ105" s="136">
        <f t="shared" si="387"/>
        <v>0.2330300057992597</v>
      </c>
      <c r="BK105" s="136">
        <f t="shared" si="387"/>
        <v>0.40966020780679585</v>
      </c>
      <c r="BL105" s="136">
        <f t="shared" si="387"/>
        <v>0.64136461665765354</v>
      </c>
      <c r="BM105" s="136">
        <f t="shared" si="387"/>
        <v>0.85670286824969288</v>
      </c>
      <c r="BN105" s="1252">
        <f t="shared" si="387"/>
        <v>0.84236553773563505</v>
      </c>
      <c r="BO105" s="136" t="str">
        <f t="shared" ref="BO105:BT105" si="388">IF(BO104&lt;0,"NMF",IF(ABS(BO98/BO104)&gt;1,"NMF",BO98/BO104))</f>
        <v>NMF</v>
      </c>
      <c r="BP105" s="136" t="str">
        <f t="shared" si="388"/>
        <v>NMF</v>
      </c>
      <c r="BQ105" s="136" t="str">
        <f t="shared" si="388"/>
        <v>NMF</v>
      </c>
      <c r="BR105" s="136" t="str">
        <f t="shared" si="388"/>
        <v>NMF</v>
      </c>
      <c r="BS105" s="1252" t="str">
        <f t="shared" si="388"/>
        <v>NMF</v>
      </c>
      <c r="BT105" s="136" t="str">
        <f t="shared" si="388"/>
        <v>NMF</v>
      </c>
      <c r="BU105" s="136" t="str">
        <f>IF(BU104&lt;0,"NMF",IF(ABS(BU98/BU104)&gt;1,"NMF",BU98/BU104))</f>
        <v>NMF</v>
      </c>
      <c r="BV105" s="136" t="str">
        <f>IF(BV104&lt;0,"NMF",IF(ABS(BV98/BV104)&gt;1,"NMF",BV98/BV104))</f>
        <v>NMF</v>
      </c>
      <c r="BW105" s="136" t="str">
        <f>IF(BW104&lt;0,"NMF",IF(ABS(BW98/BW104)&gt;1,"NMF",BW98/BW104))</f>
        <v>NMF</v>
      </c>
      <c r="BX105" s="1252" t="str">
        <f>IF(BX104&lt;0,"NMF",IF(ABS(BX98/BX104)&gt;1,"NMF",BX98/BX104))</f>
        <v>NMF</v>
      </c>
      <c r="BY105" s="970" t="str">
        <f>IF(BY104&lt;0,"NMF",IF(ABS(BY98/BY104)&gt;1,"NMF",BY98/BY104))</f>
        <v>NMF</v>
      </c>
      <c r="BZ105" s="136" t="str">
        <f t="shared" ref="BZ105:CC105" si="389">IF(BZ104&lt;0,"NMF",IF(ABS(BZ98/BZ104)&gt;1,"NMF",BZ98/BZ104))</f>
        <v>NMF</v>
      </c>
      <c r="CA105" s="136">
        <f t="shared" si="389"/>
        <v>0.95550194997639337</v>
      </c>
      <c r="CB105" s="136">
        <f t="shared" si="389"/>
        <v>0.86925205178193488</v>
      </c>
      <c r="CC105" s="1252">
        <f t="shared" si="389"/>
        <v>0.93256097995509324</v>
      </c>
      <c r="CD105" s="136">
        <f t="shared" ref="CD105:CK105" si="390">IF(CD104&lt;0,"NMF",IF(ABS(CD98/CD104)&gt;1,"NMF",CD98/CD104))</f>
        <v>0.78960946806216725</v>
      </c>
      <c r="CE105" s="136">
        <f t="shared" si="390"/>
        <v>0.72660018441020502</v>
      </c>
      <c r="CF105" s="136">
        <f t="shared" si="390"/>
        <v>0.66764286373910808</v>
      </c>
      <c r="CG105" s="136">
        <f t="shared" si="390"/>
        <v>0.61836165844471247</v>
      </c>
      <c r="CH105" s="1252">
        <f t="shared" si="390"/>
        <v>0.65372373757218216</v>
      </c>
      <c r="CI105" s="1252">
        <f t="shared" si="390"/>
        <v>0.49483656323605385</v>
      </c>
      <c r="CJ105" s="1252">
        <f t="shared" si="390"/>
        <v>0.40156508793713591</v>
      </c>
      <c r="CK105" s="1252">
        <f t="shared" si="390"/>
        <v>0.34338459776438413</v>
      </c>
      <c r="CL105" s="132"/>
    </row>
    <row r="106" spans="1:90" hidden="1" outlineLevel="1" x14ac:dyDescent="0.3">
      <c r="A106" s="197" t="s">
        <v>356</v>
      </c>
      <c r="B106" s="198"/>
      <c r="C106" s="183">
        <f t="shared" ref="C106:AH106" si="391">+C41</f>
        <v>176.36799999999971</v>
      </c>
      <c r="D106" s="183">
        <f t="shared" si="391"/>
        <v>151.8960000000003</v>
      </c>
      <c r="E106" s="183">
        <f t="shared" si="391"/>
        <v>517.60200000000009</v>
      </c>
      <c r="F106" s="183">
        <f t="shared" si="391"/>
        <v>844.52199999999971</v>
      </c>
      <c r="G106" s="885">
        <f t="shared" si="391"/>
        <v>122.17699999999998</v>
      </c>
      <c r="H106" s="885">
        <f t="shared" si="391"/>
        <v>206.44900000000004</v>
      </c>
      <c r="I106" s="885">
        <f t="shared" si="391"/>
        <v>295.76499999999987</v>
      </c>
      <c r="J106" s="885">
        <f t="shared" si="391"/>
        <v>230.57499999999999</v>
      </c>
      <c r="K106" s="183">
        <f t="shared" si="391"/>
        <v>854.96599999999989</v>
      </c>
      <c r="L106" s="885">
        <f t="shared" si="391"/>
        <v>130.31999999999996</v>
      </c>
      <c r="M106" s="885">
        <f t="shared" si="391"/>
        <v>155.46899999999999</v>
      </c>
      <c r="N106" s="885">
        <f t="shared" si="391"/>
        <v>182.59500000000011</v>
      </c>
      <c r="O106" s="885">
        <f t="shared" si="391"/>
        <v>211.38100000000054</v>
      </c>
      <c r="P106" s="183">
        <f t="shared" si="391"/>
        <v>679.76500000000033</v>
      </c>
      <c r="Q106" s="885">
        <f t="shared" si="391"/>
        <v>198</v>
      </c>
      <c r="R106" s="885">
        <f t="shared" si="391"/>
        <v>212</v>
      </c>
      <c r="S106" s="885">
        <f t="shared" si="391"/>
        <v>267</v>
      </c>
      <c r="T106" s="885">
        <f t="shared" si="391"/>
        <v>287</v>
      </c>
      <c r="U106" s="183">
        <f t="shared" si="391"/>
        <v>963</v>
      </c>
      <c r="V106" s="885">
        <f t="shared" si="391"/>
        <v>235</v>
      </c>
      <c r="W106" s="885">
        <f t="shared" si="391"/>
        <v>234</v>
      </c>
      <c r="X106" s="885">
        <f t="shared" si="391"/>
        <v>311</v>
      </c>
      <c r="Y106" s="885">
        <f t="shared" si="391"/>
        <v>364</v>
      </c>
      <c r="Z106" s="183">
        <f t="shared" si="391"/>
        <v>1145</v>
      </c>
      <c r="AA106" s="885">
        <f t="shared" si="391"/>
        <v>322</v>
      </c>
      <c r="AB106" s="885">
        <f t="shared" si="391"/>
        <v>389</v>
      </c>
      <c r="AC106" s="885">
        <f t="shared" si="391"/>
        <v>711</v>
      </c>
      <c r="AD106" s="885">
        <f t="shared" si="391"/>
        <v>811</v>
      </c>
      <c r="AE106" s="183">
        <f t="shared" si="391"/>
        <v>2234</v>
      </c>
      <c r="AF106" s="885">
        <f t="shared" si="391"/>
        <v>635</v>
      </c>
      <c r="AG106" s="885">
        <f t="shared" si="391"/>
        <v>773</v>
      </c>
      <c r="AH106" s="885">
        <f t="shared" si="391"/>
        <v>1007</v>
      </c>
      <c r="AI106" s="885">
        <f t="shared" ref="AI106:BG106" si="392">+AI41</f>
        <v>1207</v>
      </c>
      <c r="AJ106" s="183">
        <f t="shared" si="392"/>
        <v>3624</v>
      </c>
      <c r="AK106" s="885">
        <f t="shared" si="392"/>
        <v>1439</v>
      </c>
      <c r="AL106" s="885">
        <f t="shared" si="392"/>
        <v>1311</v>
      </c>
      <c r="AM106" s="885">
        <f t="shared" si="392"/>
        <v>1231</v>
      </c>
      <c r="AN106" s="885">
        <f t="shared" si="392"/>
        <v>508</v>
      </c>
      <c r="AO106" s="183">
        <f t="shared" si="392"/>
        <v>4489</v>
      </c>
      <c r="AP106" s="885">
        <f t="shared" si="392"/>
        <v>588</v>
      </c>
      <c r="AQ106" s="885">
        <f t="shared" si="392"/>
        <v>837</v>
      </c>
      <c r="AR106" s="885">
        <f t="shared" si="392"/>
        <v>1189</v>
      </c>
      <c r="AS106" s="885">
        <f t="shared" si="392"/>
        <v>1246</v>
      </c>
      <c r="AT106" s="183">
        <f t="shared" si="392"/>
        <v>3860</v>
      </c>
      <c r="AU106" s="885">
        <f t="shared" si="392"/>
        <v>1213</v>
      </c>
      <c r="AV106" s="885">
        <f t="shared" si="392"/>
        <v>1477</v>
      </c>
      <c r="AW106" s="885">
        <f t="shared" si="392"/>
        <v>1948</v>
      </c>
      <c r="AX106" s="885">
        <f t="shared" si="392"/>
        <v>2044</v>
      </c>
      <c r="AY106" s="183">
        <f t="shared" si="392"/>
        <v>6683</v>
      </c>
      <c r="AZ106" s="885">
        <f t="shared" si="392"/>
        <v>2512</v>
      </c>
      <c r="BA106" s="885">
        <f t="shared" si="392"/>
        <v>3022</v>
      </c>
      <c r="BB106" s="885">
        <f t="shared" si="392"/>
        <v>3334</v>
      </c>
      <c r="BC106" s="885">
        <f t="shared" si="392"/>
        <v>3625</v>
      </c>
      <c r="BD106" s="183">
        <f t="shared" si="392"/>
        <v>12494</v>
      </c>
      <c r="BE106" s="885">
        <f t="shared" si="392"/>
        <v>3910</v>
      </c>
      <c r="BF106" s="885">
        <f t="shared" si="392"/>
        <v>1308</v>
      </c>
      <c r="BG106" s="885">
        <f t="shared" si="392"/>
        <v>1560</v>
      </c>
      <c r="BH106" s="885">
        <f t="shared" ref="BH106:BN106" si="393">+BH41</f>
        <v>2267</v>
      </c>
      <c r="BI106" s="183">
        <f t="shared" si="393"/>
        <v>9046</v>
      </c>
      <c r="BJ106" s="885">
        <f t="shared" si="393"/>
        <v>3136</v>
      </c>
      <c r="BK106" s="885">
        <f t="shared" si="393"/>
        <v>7896</v>
      </c>
      <c r="BL106" s="885">
        <f t="shared" si="393"/>
        <v>11732</v>
      </c>
      <c r="BM106" s="885">
        <f t="shared" si="393"/>
        <v>14981</v>
      </c>
      <c r="BN106" s="183">
        <f t="shared" si="393"/>
        <v>37746</v>
      </c>
      <c r="BO106" s="885">
        <f t="shared" ref="BO106:BT106" si="394">+BO41</f>
        <v>18361</v>
      </c>
      <c r="BP106" s="885">
        <f t="shared" si="394"/>
        <v>20317</v>
      </c>
      <c r="BQ106" s="885">
        <f t="shared" si="394"/>
        <v>23687</v>
      </c>
      <c r="BR106" s="885">
        <f t="shared" si="394"/>
        <v>25973</v>
      </c>
      <c r="BS106" s="183">
        <f t="shared" si="394"/>
        <v>88336</v>
      </c>
      <c r="BT106" s="885">
        <f t="shared" si="394"/>
        <v>23723</v>
      </c>
      <c r="BU106" s="885">
        <f>+BU41</f>
        <v>30685</v>
      </c>
      <c r="BV106" s="885">
        <f>+BV41</f>
        <v>38325</v>
      </c>
      <c r="BW106" s="885">
        <f>+BW41</f>
        <v>46727</v>
      </c>
      <c r="BX106" s="183">
        <f>+BX41</f>
        <v>139461</v>
      </c>
      <c r="BY106" s="878">
        <f>+BY41</f>
        <v>54240</v>
      </c>
      <c r="BZ106" s="885">
        <f t="shared" ref="BZ106:CC106" si="395">+BZ41</f>
        <v>59702.644305776877</v>
      </c>
      <c r="CA106" s="885">
        <f t="shared" si="395"/>
        <v>61663.659061077589</v>
      </c>
      <c r="CB106" s="885">
        <f t="shared" si="395"/>
        <v>63270.314720859664</v>
      </c>
      <c r="CC106" s="183">
        <f t="shared" si="395"/>
        <v>238876.61808771416</v>
      </c>
      <c r="CD106" s="885">
        <f t="shared" ref="CD106:CK106" si="396">+CD41</f>
        <v>70957.397165931281</v>
      </c>
      <c r="CE106" s="885">
        <f t="shared" si="396"/>
        <v>79443.281504386381</v>
      </c>
      <c r="CF106" s="885">
        <f t="shared" si="396"/>
        <v>79283.657719615556</v>
      </c>
      <c r="CG106" s="885">
        <f t="shared" si="396"/>
        <v>81507.506689590984</v>
      </c>
      <c r="CH106" s="183">
        <f t="shared" si="396"/>
        <v>311191.84307952417</v>
      </c>
      <c r="CI106" s="183">
        <f t="shared" si="396"/>
        <v>379764.19081479643</v>
      </c>
      <c r="CJ106" s="183">
        <f t="shared" si="396"/>
        <v>454964.77128833521</v>
      </c>
      <c r="CK106" s="183">
        <f t="shared" si="396"/>
        <v>543986.22052830493</v>
      </c>
      <c r="CL106" s="885"/>
    </row>
    <row r="107" spans="1:90" hidden="1" outlineLevel="1" x14ac:dyDescent="0.3">
      <c r="A107" s="197" t="s">
        <v>357</v>
      </c>
      <c r="B107" s="198"/>
      <c r="C107" s="183">
        <f>C106</f>
        <v>176.36799999999971</v>
      </c>
      <c r="D107" s="183">
        <f>D106</f>
        <v>151.8960000000003</v>
      </c>
      <c r="E107" s="183">
        <f>E106</f>
        <v>517.60200000000009</v>
      </c>
      <c r="F107" s="183">
        <f>F106</f>
        <v>844.52199999999971</v>
      </c>
      <c r="G107" s="885"/>
      <c r="H107" s="885"/>
      <c r="I107" s="885"/>
      <c r="J107" s="885">
        <f>SUM(J106,I106,H106,G106)</f>
        <v>854.96600000000001</v>
      </c>
      <c r="K107" s="183">
        <f>K106</f>
        <v>854.96599999999989</v>
      </c>
      <c r="L107" s="885">
        <f>SUM(L106,J106,I106,H106)</f>
        <v>863.10899999999992</v>
      </c>
      <c r="M107" s="885">
        <f>SUM(M106,L106,J106,I106)</f>
        <v>812.12899999999991</v>
      </c>
      <c r="N107" s="885">
        <f>SUM(N106,M106,L106,J106)</f>
        <v>698.95900000000006</v>
      </c>
      <c r="O107" s="885">
        <f>SUM(O106,N106,M106,L106)</f>
        <v>679.76500000000055</v>
      </c>
      <c r="P107" s="183">
        <f>P106</f>
        <v>679.76500000000033</v>
      </c>
      <c r="Q107" s="885">
        <f>SUM(Q106,O106,N106,M106)</f>
        <v>747.44500000000062</v>
      </c>
      <c r="R107" s="885">
        <f>SUM(R106,Q106,O106,N106)</f>
        <v>803.97600000000068</v>
      </c>
      <c r="S107" s="885">
        <f>SUM(S106,R106,Q106,O106)</f>
        <v>888.38100000000054</v>
      </c>
      <c r="T107" s="885">
        <f>SUM(T106,S106,R106,Q106)</f>
        <v>964</v>
      </c>
      <c r="U107" s="183">
        <f>U106</f>
        <v>963</v>
      </c>
      <c r="V107" s="885">
        <f>SUM(V106,T106,S106,R106)</f>
        <v>1001</v>
      </c>
      <c r="W107" s="885">
        <f>SUM(W106,V106,T106,S106)</f>
        <v>1023</v>
      </c>
      <c r="X107" s="885">
        <f>SUM(X106,W106,V106,T106)</f>
        <v>1067</v>
      </c>
      <c r="Y107" s="885">
        <f>SUM(Y106,X106,W106,V106)</f>
        <v>1144</v>
      </c>
      <c r="Z107" s="183">
        <f>Z106</f>
        <v>1145</v>
      </c>
      <c r="AA107" s="885">
        <f>SUM(AA106,Y106,X106,W106)</f>
        <v>1231</v>
      </c>
      <c r="AB107" s="885">
        <f>SUM(AB106,AA106,Y106,X106)</f>
        <v>1386</v>
      </c>
      <c r="AC107" s="885">
        <f>SUM(AC106,AB106,AA106,Y106)</f>
        <v>1786</v>
      </c>
      <c r="AD107" s="885">
        <f>SUM(AD106,AC106,AB106,AA106)</f>
        <v>2233</v>
      </c>
      <c r="AE107" s="183">
        <f>AE106</f>
        <v>2234</v>
      </c>
      <c r="AF107" s="885">
        <f>SUM(AF106,AD106,AC106,AB106)</f>
        <v>2546</v>
      </c>
      <c r="AG107" s="885">
        <f>SUM(AG106,AF106,AD106,AC106)</f>
        <v>2930</v>
      </c>
      <c r="AH107" s="885">
        <f>SUM(AH106,AG106,AF106,AD106)</f>
        <v>3226</v>
      </c>
      <c r="AI107" s="885">
        <f>SUM(AI106,AH106,AG106,AF106)</f>
        <v>3622</v>
      </c>
      <c r="AJ107" s="183">
        <f>AJ106</f>
        <v>3624</v>
      </c>
      <c r="AK107" s="885">
        <f>SUM(AK106,AI106,AH106,AG106)</f>
        <v>4426</v>
      </c>
      <c r="AL107" s="885">
        <f>SUM(AL106,AK106,AI106,AH106)</f>
        <v>4964</v>
      </c>
      <c r="AM107" s="885">
        <f>SUM(AM106,AL106,AK106,AI106)</f>
        <v>5188</v>
      </c>
      <c r="AN107" s="885">
        <f>SUM(AN106,AM106,AL106,AK106)</f>
        <v>4489</v>
      </c>
      <c r="AO107" s="183">
        <f>AO106</f>
        <v>4489</v>
      </c>
      <c r="AP107" s="885">
        <f>SUM(AP106,AN106,AM106,AL106)</f>
        <v>3638</v>
      </c>
      <c r="AQ107" s="885">
        <f>SUM(AQ106,AP106,AN106,AM106)</f>
        <v>3164</v>
      </c>
      <c r="AR107" s="885">
        <f>SUM(AR106,AQ106,AP106,AN106)</f>
        <v>3122</v>
      </c>
      <c r="AS107" s="885">
        <f>SUM(AS106,AR106,AQ106,AP106)</f>
        <v>3860</v>
      </c>
      <c r="AT107" s="183">
        <f>AT106</f>
        <v>3860</v>
      </c>
      <c r="AU107" s="885">
        <f>SUM(AU106,AS106,AR106,AQ106)</f>
        <v>4485</v>
      </c>
      <c r="AV107" s="885">
        <f>SUM(AV106,AU106,AS106,AR106)</f>
        <v>5125</v>
      </c>
      <c r="AW107" s="885">
        <f>SUM(AW106,AV106,AU106,AS106)</f>
        <v>5884</v>
      </c>
      <c r="AX107" s="885">
        <f>SUM(AX106,AW106,AV106,AU106)</f>
        <v>6682</v>
      </c>
      <c r="AY107" s="183">
        <f>AY106</f>
        <v>6683</v>
      </c>
      <c r="AZ107" s="885">
        <f>SUM(AZ106,AX106,AW106,AV106)</f>
        <v>7981</v>
      </c>
      <c r="BA107" s="885">
        <f>SUM(BA106,AZ106,AX106,AW106)</f>
        <v>9526</v>
      </c>
      <c r="BB107" s="885">
        <f>SUM(BB106,BA106,AZ106,AX106)</f>
        <v>10912</v>
      </c>
      <c r="BC107" s="885">
        <f>SUM(BC106,BB106,BA106,AZ106)</f>
        <v>12493</v>
      </c>
      <c r="BD107" s="183">
        <f>BD106</f>
        <v>12494</v>
      </c>
      <c r="BE107" s="885">
        <f>SUM(BE106,BC106,BB106,BA106)</f>
        <v>13891</v>
      </c>
      <c r="BF107" s="885">
        <f>SUM(BF106,BE106,BC106,BB106)</f>
        <v>12177</v>
      </c>
      <c r="BG107" s="885">
        <f>SUM(BG106,BF106,BE106,BC106)</f>
        <v>10403</v>
      </c>
      <c r="BH107" s="885">
        <f>SUM(BH106,BG106,BF106,BE106)</f>
        <v>9045</v>
      </c>
      <c r="BI107" s="183">
        <f>BI106</f>
        <v>9046</v>
      </c>
      <c r="BJ107" s="885">
        <f>SUM(BJ106,BH106,BG106,BF106)</f>
        <v>8271</v>
      </c>
      <c r="BK107" s="885">
        <f>SUM(BK106,BJ106,BH106,BG106)</f>
        <v>14859</v>
      </c>
      <c r="BL107" s="885">
        <f>SUM(BL106,BK106,BJ106,BH106)</f>
        <v>25031</v>
      </c>
      <c r="BM107" s="885">
        <f>SUM(BM106,BL106,BK106,BJ106)</f>
        <v>37745</v>
      </c>
      <c r="BN107" s="183">
        <f>BN106</f>
        <v>37746</v>
      </c>
      <c r="BO107" s="885">
        <f>SUM(BO106,BM106,BL106,BK106)</f>
        <v>52970</v>
      </c>
      <c r="BP107" s="885">
        <f>SUM(BP106,BO106,BM106,BL106)</f>
        <v>65391</v>
      </c>
      <c r="BQ107" s="885">
        <f>SUM(BQ106,BP106,BO106,BM106)</f>
        <v>77346</v>
      </c>
      <c r="BR107" s="885">
        <f>SUM(BR106,BQ106,BP106,BO106)</f>
        <v>88338</v>
      </c>
      <c r="BS107" s="183">
        <f>BS106</f>
        <v>88336</v>
      </c>
      <c r="BT107" s="885">
        <f>SUM(BT106,BR106,BQ106,BP106)</f>
        <v>93700</v>
      </c>
      <c r="BU107" s="885">
        <f>SUM(BU106,BT106,BR106,BQ106)</f>
        <v>104068</v>
      </c>
      <c r="BV107" s="885">
        <f>SUM(BV106,BU106,BT106,BR106)</f>
        <v>118706</v>
      </c>
      <c r="BW107" s="885">
        <f>SUM(BW106,BV106,BU106,BT106)</f>
        <v>139460</v>
      </c>
      <c r="BX107" s="183">
        <f>BX106</f>
        <v>139461</v>
      </c>
      <c r="BY107" s="878">
        <f>SUM(BY106,BW106,BV106,BU106)</f>
        <v>169977</v>
      </c>
      <c r="BZ107" s="885">
        <f>SUM(BZ106,BY106,BW106,BV106)</f>
        <v>198994.64430577686</v>
      </c>
      <c r="CA107" s="885">
        <f>SUM(CA106,BZ106,BY106,BW106)</f>
        <v>222333.30336685447</v>
      </c>
      <c r="CB107" s="885">
        <f>SUM(CB106,CA106,BZ106,BY106)</f>
        <v>238876.61808771413</v>
      </c>
      <c r="CC107" s="183">
        <f>CC106</f>
        <v>238876.61808771416</v>
      </c>
      <c r="CD107" s="885">
        <f>SUM(CD106,CB106,CA106,BZ106)</f>
        <v>255594.01525364537</v>
      </c>
      <c r="CE107" s="885">
        <f>SUM(CE106,CD106,CB106,CA106)</f>
        <v>275334.6524522549</v>
      </c>
      <c r="CF107" s="885">
        <f>SUM(CF106,CE106,CD106,CB106)</f>
        <v>292954.65111079288</v>
      </c>
      <c r="CG107" s="885">
        <f>SUM(CG106,CF106,CE106,CD106)</f>
        <v>311191.84307952423</v>
      </c>
      <c r="CH107" s="183">
        <f>CH106</f>
        <v>311191.84307952417</v>
      </c>
      <c r="CI107" s="183">
        <f>CI106</f>
        <v>379764.19081479643</v>
      </c>
      <c r="CJ107" s="183">
        <f>CJ106</f>
        <v>454964.77128833521</v>
      </c>
      <c r="CK107" s="183">
        <f>CK106</f>
        <v>543986.22052830493</v>
      </c>
      <c r="CL107" s="885"/>
    </row>
    <row r="108" spans="1:90" hidden="1" outlineLevel="1" x14ac:dyDescent="0.3">
      <c r="A108" s="197" t="s">
        <v>214</v>
      </c>
      <c r="B108" s="198"/>
      <c r="C108" s="183">
        <f t="shared" ref="C108:AH108" si="397">INDEX(MO_BS_CL,0,COLUMN())</f>
        <v>778.59100000000001</v>
      </c>
      <c r="D108" s="183">
        <f t="shared" si="397"/>
        <v>784.37799999999993</v>
      </c>
      <c r="E108" s="183">
        <f t="shared" si="397"/>
        <v>942.68200000000002</v>
      </c>
      <c r="F108" s="183">
        <f t="shared" si="397"/>
        <v>929.95799999999997</v>
      </c>
      <c r="G108" s="885">
        <f t="shared" si="397"/>
        <v>947.404</v>
      </c>
      <c r="H108" s="885">
        <f t="shared" si="397"/>
        <v>1021.96</v>
      </c>
      <c r="I108" s="885">
        <f t="shared" si="397"/>
        <v>991.35900000000004</v>
      </c>
      <c r="J108" s="885">
        <f t="shared" si="397"/>
        <v>976.22299999999996</v>
      </c>
      <c r="K108" s="183">
        <f t="shared" si="397"/>
        <v>976.22299999999996</v>
      </c>
      <c r="L108" s="885">
        <f t="shared" si="397"/>
        <v>925.577</v>
      </c>
      <c r="M108" s="885">
        <f t="shared" si="397"/>
        <v>935.79099999999994</v>
      </c>
      <c r="N108" s="885">
        <f t="shared" si="397"/>
        <v>985.92700000000002</v>
      </c>
      <c r="O108" s="885">
        <f t="shared" si="397"/>
        <v>945.49600000000009</v>
      </c>
      <c r="P108" s="183">
        <f t="shared" si="397"/>
        <v>945.49600000000009</v>
      </c>
      <c r="Q108" s="885">
        <f t="shared" si="397"/>
        <v>897.94499999999994</v>
      </c>
      <c r="R108" s="885">
        <f t="shared" si="397"/>
        <v>868.72900000000004</v>
      </c>
      <c r="S108" s="885">
        <f t="shared" si="397"/>
        <v>933.90699999999993</v>
      </c>
      <c r="T108" s="885">
        <f t="shared" si="397"/>
        <v>896</v>
      </c>
      <c r="U108" s="183">
        <f t="shared" si="397"/>
        <v>896</v>
      </c>
      <c r="V108" s="885">
        <f t="shared" si="397"/>
        <v>883</v>
      </c>
      <c r="W108" s="885">
        <f t="shared" si="397"/>
        <v>936</v>
      </c>
      <c r="X108" s="885">
        <f t="shared" si="397"/>
        <v>855</v>
      </c>
      <c r="Y108" s="885">
        <f t="shared" si="397"/>
        <v>2351</v>
      </c>
      <c r="Z108" s="183">
        <f t="shared" si="397"/>
        <v>2351</v>
      </c>
      <c r="AA108" s="885">
        <f t="shared" si="397"/>
        <v>2377</v>
      </c>
      <c r="AB108" s="885">
        <f t="shared" si="397"/>
        <v>2407</v>
      </c>
      <c r="AC108" s="885">
        <f t="shared" si="397"/>
        <v>2041</v>
      </c>
      <c r="AD108" s="885">
        <f t="shared" si="397"/>
        <v>1788</v>
      </c>
      <c r="AE108" s="183">
        <f t="shared" si="397"/>
        <v>1788</v>
      </c>
      <c r="AF108" s="885">
        <f t="shared" si="397"/>
        <v>983</v>
      </c>
      <c r="AG108" s="885">
        <f t="shared" si="397"/>
        <v>1032</v>
      </c>
      <c r="AH108" s="885">
        <f t="shared" si="397"/>
        <v>1027</v>
      </c>
      <c r="AI108" s="885">
        <f t="shared" ref="AI108:BG108" si="398">INDEX(MO_BS_CL,0,COLUMN())</f>
        <v>1153</v>
      </c>
      <c r="AJ108" s="183">
        <f t="shared" si="398"/>
        <v>1153</v>
      </c>
      <c r="AK108" s="885">
        <f t="shared" si="398"/>
        <v>1106</v>
      </c>
      <c r="AL108" s="885">
        <f t="shared" si="398"/>
        <v>1462</v>
      </c>
      <c r="AM108" s="885">
        <f t="shared" si="398"/>
        <v>1608</v>
      </c>
      <c r="AN108" s="885">
        <f t="shared" si="398"/>
        <v>1329</v>
      </c>
      <c r="AO108" s="183">
        <f t="shared" si="398"/>
        <v>1329</v>
      </c>
      <c r="AP108" s="885">
        <f t="shared" si="398"/>
        <v>1183</v>
      </c>
      <c r="AQ108" s="885">
        <f t="shared" si="398"/>
        <v>1317</v>
      </c>
      <c r="AR108" s="885">
        <f t="shared" si="398"/>
        <v>1475</v>
      </c>
      <c r="AS108" s="885">
        <f t="shared" si="398"/>
        <v>1784</v>
      </c>
      <c r="AT108" s="183">
        <f t="shared" si="398"/>
        <v>1784</v>
      </c>
      <c r="AU108" s="885">
        <f t="shared" si="398"/>
        <v>1903</v>
      </c>
      <c r="AV108" s="885">
        <f t="shared" si="398"/>
        <v>2410</v>
      </c>
      <c r="AW108" s="885">
        <f t="shared" si="398"/>
        <v>3669</v>
      </c>
      <c r="AX108" s="885">
        <f t="shared" si="398"/>
        <v>3925</v>
      </c>
      <c r="AY108" s="183">
        <f t="shared" si="398"/>
        <v>3925</v>
      </c>
      <c r="AZ108" s="885">
        <f t="shared" si="398"/>
        <v>4004</v>
      </c>
      <c r="BA108" s="885">
        <f t="shared" si="398"/>
        <v>4448</v>
      </c>
      <c r="BB108" s="885">
        <f t="shared" si="398"/>
        <v>3612</v>
      </c>
      <c r="BC108" s="885">
        <f t="shared" si="398"/>
        <v>4335</v>
      </c>
      <c r="BD108" s="183">
        <f t="shared" si="398"/>
        <v>4335</v>
      </c>
      <c r="BE108" s="885">
        <f t="shared" si="398"/>
        <v>5562</v>
      </c>
      <c r="BF108" s="885">
        <f t="shared" si="398"/>
        <v>7573</v>
      </c>
      <c r="BG108" s="885">
        <f t="shared" si="398"/>
        <v>6855</v>
      </c>
      <c r="BH108" s="885">
        <f t="shared" ref="BH108:BN108" si="399">INDEX(MO_BS_CL,0,COLUMN())</f>
        <v>6563</v>
      </c>
      <c r="BI108" s="183">
        <f t="shared" si="399"/>
        <v>6563</v>
      </c>
      <c r="BJ108" s="885">
        <f t="shared" si="399"/>
        <v>7260</v>
      </c>
      <c r="BK108" s="885">
        <f t="shared" si="399"/>
        <v>10334</v>
      </c>
      <c r="BL108" s="885">
        <f t="shared" si="399"/>
        <v>9101</v>
      </c>
      <c r="BM108" s="885">
        <f t="shared" si="399"/>
        <v>10631</v>
      </c>
      <c r="BN108" s="183">
        <f t="shared" si="399"/>
        <v>10631</v>
      </c>
      <c r="BO108" s="885">
        <f t="shared" ref="BO108:BT108" si="400">INDEX(MO_BS_CL,0,COLUMN())</f>
        <v>15223</v>
      </c>
      <c r="BP108" s="885">
        <f t="shared" si="400"/>
        <v>13969</v>
      </c>
      <c r="BQ108" s="885">
        <f t="shared" si="400"/>
        <v>16479</v>
      </c>
      <c r="BR108" s="885">
        <f t="shared" si="400"/>
        <v>18047</v>
      </c>
      <c r="BS108" s="183">
        <f t="shared" si="400"/>
        <v>18047</v>
      </c>
      <c r="BT108" s="885">
        <f t="shared" si="400"/>
        <v>26542</v>
      </c>
      <c r="BU108" s="885">
        <f>INDEX(MO_BS_CL,0,COLUMN())</f>
        <v>24257</v>
      </c>
      <c r="BV108" s="885">
        <f>INDEX(MO_BS_CL,0,COLUMN())</f>
        <v>26075</v>
      </c>
      <c r="BW108" s="885">
        <f>INDEX(MO_BS_CL,0,COLUMN())</f>
        <v>32163</v>
      </c>
      <c r="BX108" s="183">
        <f>INDEX(MO_BS_CL,0,COLUMN())</f>
        <v>32163</v>
      </c>
      <c r="BY108" s="878">
        <f>INDEX(MO_BS_CL,0,COLUMN())</f>
        <v>43884</v>
      </c>
      <c r="BZ108" s="885">
        <f t="shared" ref="BZ108:CC108" si="401">INDEX(MO_BS_CL,0,COLUMN())</f>
        <v>42037.285732541546</v>
      </c>
      <c r="CA108" s="885">
        <f t="shared" si="401"/>
        <v>42942.05013232967</v>
      </c>
      <c r="CB108" s="885">
        <f t="shared" si="401"/>
        <v>50257.690942752641</v>
      </c>
      <c r="CC108" s="183">
        <f t="shared" si="401"/>
        <v>50257.690942752641</v>
      </c>
      <c r="CD108" s="885">
        <f t="shared" ref="CD108:CK108" si="402">INDEX(MO_BS_CL,0,COLUMN())</f>
        <v>64664.866726735505</v>
      </c>
      <c r="CE108" s="885">
        <f t="shared" si="402"/>
        <v>56841.826419467783</v>
      </c>
      <c r="CF108" s="885">
        <f t="shared" si="402"/>
        <v>55167.197622673804</v>
      </c>
      <c r="CG108" s="885">
        <f t="shared" si="402"/>
        <v>63375.640743655313</v>
      </c>
      <c r="CH108" s="183">
        <f t="shared" si="402"/>
        <v>63375.640743655313</v>
      </c>
      <c r="CI108" s="183">
        <f t="shared" si="402"/>
        <v>75395.193983137811</v>
      </c>
      <c r="CJ108" s="183">
        <f t="shared" si="402"/>
        <v>88308.209134592966</v>
      </c>
      <c r="CK108" s="183">
        <f t="shared" si="402"/>
        <v>103506.14303675914</v>
      </c>
      <c r="CL108" s="885"/>
    </row>
    <row r="109" spans="1:90" hidden="1" outlineLevel="1" x14ac:dyDescent="0.3">
      <c r="A109" s="197" t="s">
        <v>358</v>
      </c>
      <c r="B109" s="198"/>
      <c r="C109" s="183">
        <f>C108</f>
        <v>778.59100000000001</v>
      </c>
      <c r="D109" s="183">
        <f>AVERAGE(D108,C108)</f>
        <v>781.48450000000003</v>
      </c>
      <c r="E109" s="183">
        <f>AVERAGE(E108,D108)</f>
        <v>863.53</v>
      </c>
      <c r="F109" s="183">
        <f>AVERAGE(F108,E108)</f>
        <v>936.31999999999994</v>
      </c>
      <c r="G109" s="885"/>
      <c r="H109" s="885"/>
      <c r="I109" s="885"/>
      <c r="J109" s="885">
        <f>AVERAGE(J108,I108,H108,G108)</f>
        <v>984.23649999999998</v>
      </c>
      <c r="K109" s="183">
        <f>AVERAGE(K108,F108)</f>
        <v>953.09050000000002</v>
      </c>
      <c r="L109" s="885">
        <f>AVERAGE(L108,J108,I108,H108)</f>
        <v>978.77975000000004</v>
      </c>
      <c r="M109" s="885">
        <f>AVERAGE(M108,L108,J108,I108)</f>
        <v>957.23749999999995</v>
      </c>
      <c r="N109" s="885">
        <f>AVERAGE(N108,M108,L108,J108)</f>
        <v>955.87950000000001</v>
      </c>
      <c r="O109" s="885">
        <f>AVERAGE(O108,N108,M108,L108)</f>
        <v>948.19775000000004</v>
      </c>
      <c r="P109" s="183">
        <f>AVERAGE(P108,K108)</f>
        <v>960.85950000000003</v>
      </c>
      <c r="Q109" s="885">
        <f>AVERAGE(Q108,O108,N108,M108)</f>
        <v>941.28974999999991</v>
      </c>
      <c r="R109" s="885">
        <f>AVERAGE(R108,Q108,O108,N108)</f>
        <v>924.52425000000005</v>
      </c>
      <c r="S109" s="885">
        <f>AVERAGE(S108,R108,Q108,O108)</f>
        <v>911.51925000000006</v>
      </c>
      <c r="T109" s="885">
        <f>AVERAGE(T108,S108,R108,Q108)</f>
        <v>899.14525000000003</v>
      </c>
      <c r="U109" s="183">
        <f>AVERAGE(U108,P108)</f>
        <v>920.74800000000005</v>
      </c>
      <c r="V109" s="885">
        <f>AVERAGE(V108,T108,S108,R108)</f>
        <v>895.40900000000011</v>
      </c>
      <c r="W109" s="885">
        <f>AVERAGE(W108,V108,T108,S108)</f>
        <v>912.22675000000004</v>
      </c>
      <c r="X109" s="885">
        <f>AVERAGE(X108,W108,V108,T108)</f>
        <v>892.5</v>
      </c>
      <c r="Y109" s="885">
        <f>AVERAGE(Y108,X108,W108,V108)</f>
        <v>1256.25</v>
      </c>
      <c r="Z109" s="183">
        <f>AVERAGE(Z108,U108)</f>
        <v>1623.5</v>
      </c>
      <c r="AA109" s="885">
        <f>AVERAGE(AA108,Y108,X108,W108)</f>
        <v>1629.75</v>
      </c>
      <c r="AB109" s="885">
        <f>AVERAGE(AB108,AA108,Y108,X108)</f>
        <v>1997.5</v>
      </c>
      <c r="AC109" s="885">
        <f>AVERAGE(AC108,AB108,AA108,Y108)</f>
        <v>2294</v>
      </c>
      <c r="AD109" s="885">
        <f>AVERAGE(AD108,AC108,AB108,AA108)</f>
        <v>2153.25</v>
      </c>
      <c r="AE109" s="183">
        <f>AVERAGE(AE108,Z108)</f>
        <v>2069.5</v>
      </c>
      <c r="AF109" s="885">
        <f>AVERAGE(AF108,AD108,AC108,AB108)</f>
        <v>1804.75</v>
      </c>
      <c r="AG109" s="885">
        <f>AVERAGE(AG108,AF108,AD108,AC108)</f>
        <v>1461</v>
      </c>
      <c r="AH109" s="885">
        <f>AVERAGE(AH108,AG108,AF108,AD108)</f>
        <v>1207.5</v>
      </c>
      <c r="AI109" s="885">
        <f>AVERAGE(AI108,AH108,AG108,AF108)</f>
        <v>1048.75</v>
      </c>
      <c r="AJ109" s="183">
        <f>AVERAGE(AJ108,AE108)</f>
        <v>1470.5</v>
      </c>
      <c r="AK109" s="885">
        <f>AVERAGE(AK108,AI108,AH108,AG108)</f>
        <v>1079.5</v>
      </c>
      <c r="AL109" s="885">
        <f>AVERAGE(AL108,AK108,AI108,AH108)</f>
        <v>1187</v>
      </c>
      <c r="AM109" s="885">
        <f>AVERAGE(AM108,AL108,AK108,AI108)</f>
        <v>1332.25</v>
      </c>
      <c r="AN109" s="885">
        <f>AVERAGE(AN108,AM108,AL108,AK108)</f>
        <v>1376.25</v>
      </c>
      <c r="AO109" s="183">
        <f>AVERAGE(AO108,AJ108)</f>
        <v>1241</v>
      </c>
      <c r="AP109" s="885">
        <f>AVERAGE(AP108,AN108,AM108,AL108)</f>
        <v>1395.5</v>
      </c>
      <c r="AQ109" s="885">
        <f>AVERAGE(AQ108,AP108,AN108,AM108)</f>
        <v>1359.25</v>
      </c>
      <c r="AR109" s="885">
        <f>AVERAGE(AR108,AQ108,AP108,AN108)</f>
        <v>1326</v>
      </c>
      <c r="AS109" s="885">
        <f>AVERAGE(AS108,AR108,AQ108,AP108)</f>
        <v>1439.75</v>
      </c>
      <c r="AT109" s="183">
        <f>AVERAGE(AT108,AO108)</f>
        <v>1556.5</v>
      </c>
      <c r="AU109" s="885">
        <f>AVERAGE(AU108,AS108,AR108,AQ108)</f>
        <v>1619.75</v>
      </c>
      <c r="AV109" s="885">
        <f>AVERAGE(AV108,AU108,AS108,AR108)</f>
        <v>1893</v>
      </c>
      <c r="AW109" s="885">
        <f>AVERAGE(AW108,AV108,AU108,AS108)</f>
        <v>2441.5</v>
      </c>
      <c r="AX109" s="885">
        <f>AVERAGE(AX108,AW108,AV108,AU108)</f>
        <v>2976.75</v>
      </c>
      <c r="AY109" s="183">
        <f>AVERAGE(AY108,AT108)</f>
        <v>2854.5</v>
      </c>
      <c r="AZ109" s="885">
        <f>AVERAGE(AZ108,AX108,AW108,AV108)</f>
        <v>3502</v>
      </c>
      <c r="BA109" s="885">
        <f>AVERAGE(BA108,AZ108,AX108,AW108)</f>
        <v>4011.5</v>
      </c>
      <c r="BB109" s="885">
        <f>AVERAGE(BB108,BA108,AZ108,AX108)</f>
        <v>3997.25</v>
      </c>
      <c r="BC109" s="885">
        <f>AVERAGE(BC108,BB108,BA108,AZ108)</f>
        <v>4099.75</v>
      </c>
      <c r="BD109" s="183">
        <f>AVERAGE(BD108,AY108)</f>
        <v>4130</v>
      </c>
      <c r="BE109" s="885">
        <f>AVERAGE(BE108,BC108,BB108,BA108)</f>
        <v>4489.25</v>
      </c>
      <c r="BF109" s="885">
        <f>AVERAGE(BF108,BE108,BC108,BB108)</f>
        <v>5270.5</v>
      </c>
      <c r="BG109" s="885">
        <f>AVERAGE(BG108,BF108,BE108,BC108)</f>
        <v>6081.25</v>
      </c>
      <c r="BH109" s="885">
        <f>AVERAGE(BH108,BG108,BF108,BE108)</f>
        <v>6638.25</v>
      </c>
      <c r="BI109" s="183">
        <f>AVERAGE(BI108,BD108)</f>
        <v>5449</v>
      </c>
      <c r="BJ109" s="885">
        <f>AVERAGE(BJ108,BH108,BG108,BF108)</f>
        <v>7062.75</v>
      </c>
      <c r="BK109" s="885">
        <f>AVERAGE(BK108,BJ108,BH108,BG108)</f>
        <v>7753</v>
      </c>
      <c r="BL109" s="885">
        <f>AVERAGE(BL108,BK108,BJ108,BH108)</f>
        <v>8314.5</v>
      </c>
      <c r="BM109" s="885">
        <f>AVERAGE(BM108,BL108,BK108,BJ108)</f>
        <v>9331.5</v>
      </c>
      <c r="BN109" s="183">
        <f>AVERAGE(BN108,BI108)</f>
        <v>8597</v>
      </c>
      <c r="BO109" s="885">
        <f>AVERAGE(BO108,BM108,BL108,BK108)</f>
        <v>11322.25</v>
      </c>
      <c r="BP109" s="885">
        <f>AVERAGE(BP108,BO108,BM108,BL108)</f>
        <v>12231</v>
      </c>
      <c r="BQ109" s="885">
        <f>AVERAGE(BQ108,BP108,BO108,BM108)</f>
        <v>14075.5</v>
      </c>
      <c r="BR109" s="885">
        <f>AVERAGE(BR108,BQ108,BP108,BO108)</f>
        <v>15929.5</v>
      </c>
      <c r="BS109" s="183">
        <f>AVERAGE(BS108,BN108)</f>
        <v>14339</v>
      </c>
      <c r="BT109" s="885">
        <f>AVERAGE(BT108,BR108,BQ108,BP108)</f>
        <v>18759.25</v>
      </c>
      <c r="BU109" s="885">
        <f>AVERAGE(BU108,BT108,BR108,BQ108)</f>
        <v>21331.25</v>
      </c>
      <c r="BV109" s="885">
        <f>AVERAGE(BV108,BU108,BT108,BR108)</f>
        <v>23730.25</v>
      </c>
      <c r="BW109" s="885">
        <f>AVERAGE(BW108,BV108,BU108,BT108)</f>
        <v>27259.25</v>
      </c>
      <c r="BX109" s="183">
        <f>AVERAGE(BX108,BS108)</f>
        <v>25105</v>
      </c>
      <c r="BY109" s="878">
        <f>AVERAGE(BY108,BW108,BV108,BU108)</f>
        <v>31594.75</v>
      </c>
      <c r="BZ109" s="885">
        <f>AVERAGE(BZ108,BY108,BW108,BV108)</f>
        <v>36039.821433135388</v>
      </c>
      <c r="CA109" s="885">
        <f>AVERAGE(CA108,BZ108,BY108,BW108)</f>
        <v>40256.583966217804</v>
      </c>
      <c r="CB109" s="885">
        <f>AVERAGE(CB108,CA108,BZ108,BY108)</f>
        <v>44780.256701905964</v>
      </c>
      <c r="CC109" s="183">
        <f>AVERAGE(CC108,BX108)</f>
        <v>41210.34547137632</v>
      </c>
      <c r="CD109" s="885">
        <f>AVERAGE(CD108,CB108,CA108,BZ108)</f>
        <v>49975.473383589844</v>
      </c>
      <c r="CE109" s="885">
        <f>AVERAGE(CE108,CD108,CB108,CA108)</f>
        <v>53676.6085553214</v>
      </c>
      <c r="CF109" s="885">
        <f>AVERAGE(CF108,CE108,CD108,CB108)</f>
        <v>56732.895427907439</v>
      </c>
      <c r="CG109" s="885">
        <f>AVERAGE(CG108,CF108,CE108,CD108)</f>
        <v>60012.382878133096</v>
      </c>
      <c r="CH109" s="183">
        <f>AVERAGE(CH108,CC108)</f>
        <v>56816.665843203977</v>
      </c>
      <c r="CI109" s="183">
        <f>AVERAGE(CI108,CH108)</f>
        <v>69385.417363396555</v>
      </c>
      <c r="CJ109" s="183">
        <f>AVERAGE(CJ108,CI108)</f>
        <v>81851.701558865389</v>
      </c>
      <c r="CK109" s="183">
        <f>AVERAGE(CK108,CJ108)</f>
        <v>95907.176085676052</v>
      </c>
      <c r="CL109" s="885"/>
    </row>
    <row r="110" spans="1:90" hidden="1" outlineLevel="1" x14ac:dyDescent="0.3">
      <c r="A110" s="197" t="s">
        <v>359</v>
      </c>
      <c r="B110" s="198"/>
      <c r="C110" s="183">
        <f t="shared" ref="C110:AH110" si="403">INDEX(SP_BSR_TA_Avg,0,COLUMN())-INDEX(SP_BSR_CL_Avg,0,COLUMN())</f>
        <v>2572.136</v>
      </c>
      <c r="D110" s="183">
        <f t="shared" si="403"/>
        <v>2686.8380000000002</v>
      </c>
      <c r="E110" s="183">
        <f t="shared" si="403"/>
        <v>3177.0520000000006</v>
      </c>
      <c r="F110" s="183">
        <f t="shared" si="403"/>
        <v>4087.7669999999998</v>
      </c>
      <c r="G110" s="885">
        <f t="shared" si="403"/>
        <v>0</v>
      </c>
      <c r="H110" s="885">
        <f t="shared" si="403"/>
        <v>0</v>
      </c>
      <c r="I110" s="885">
        <f t="shared" si="403"/>
        <v>0</v>
      </c>
      <c r="J110" s="885">
        <f t="shared" si="403"/>
        <v>5037.6227499999995</v>
      </c>
      <c r="K110" s="183">
        <f t="shared" si="403"/>
        <v>5029.4959999999992</v>
      </c>
      <c r="L110" s="885">
        <f t="shared" si="403"/>
        <v>5185.9195</v>
      </c>
      <c r="M110" s="885">
        <f t="shared" si="403"/>
        <v>5126.8895000000002</v>
      </c>
      <c r="N110" s="885">
        <f t="shared" si="403"/>
        <v>5037.3047499999993</v>
      </c>
      <c r="O110" s="885">
        <f t="shared" si="403"/>
        <v>5254.6487499999994</v>
      </c>
      <c r="P110" s="183">
        <f t="shared" si="403"/>
        <v>5870.7099999999991</v>
      </c>
      <c r="Q110" s="885">
        <f t="shared" si="403"/>
        <v>5407.8407500000003</v>
      </c>
      <c r="R110" s="885">
        <f t="shared" si="403"/>
        <v>5765.637999999999</v>
      </c>
      <c r="S110" s="885">
        <f t="shared" si="403"/>
        <v>6072.2669999999998</v>
      </c>
      <c r="T110" s="885">
        <f t="shared" si="403"/>
        <v>6072.1674999999996</v>
      </c>
      <c r="U110" s="183">
        <f t="shared" si="403"/>
        <v>6305.1990000000005</v>
      </c>
      <c r="V110" s="885">
        <f t="shared" si="403"/>
        <v>6182.4879999999994</v>
      </c>
      <c r="W110" s="885">
        <f t="shared" si="403"/>
        <v>6176.9904999999999</v>
      </c>
      <c r="X110" s="885">
        <f t="shared" si="403"/>
        <v>6268.75</v>
      </c>
      <c r="Y110" s="885">
        <f t="shared" si="403"/>
        <v>5947.25</v>
      </c>
      <c r="Z110" s="183">
        <f t="shared" si="403"/>
        <v>5662</v>
      </c>
      <c r="AA110" s="885">
        <f t="shared" si="403"/>
        <v>5528</v>
      </c>
      <c r="AB110" s="885">
        <f t="shared" si="403"/>
        <v>5280.75</v>
      </c>
      <c r="AC110" s="885">
        <f t="shared" si="403"/>
        <v>5593.75</v>
      </c>
      <c r="AD110" s="885">
        <f t="shared" si="403"/>
        <v>6352.25</v>
      </c>
      <c r="AE110" s="183">
        <f t="shared" si="403"/>
        <v>6536</v>
      </c>
      <c r="AF110" s="885">
        <f t="shared" si="403"/>
        <v>7276.25</v>
      </c>
      <c r="AG110" s="885">
        <f t="shared" si="403"/>
        <v>8105.25</v>
      </c>
      <c r="AH110" s="885">
        <f t="shared" si="403"/>
        <v>8413.25</v>
      </c>
      <c r="AI110" s="885">
        <f t="shared" ref="AI110:BG110" si="404">INDEX(SP_BSR_TA_Avg,0,COLUMN())-INDEX(SP_BSR_CL_Avg,0,COLUMN())</f>
        <v>8922</v>
      </c>
      <c r="AJ110" s="183">
        <f t="shared" si="404"/>
        <v>9070.5</v>
      </c>
      <c r="AK110" s="885">
        <f t="shared" si="404"/>
        <v>9403.75</v>
      </c>
      <c r="AL110" s="885">
        <f t="shared" si="404"/>
        <v>10166.25</v>
      </c>
      <c r="AM110" s="885">
        <f t="shared" si="404"/>
        <v>10977.75</v>
      </c>
      <c r="AN110" s="885">
        <f t="shared" si="404"/>
        <v>11446.5</v>
      </c>
      <c r="AO110" s="183">
        <f t="shared" si="404"/>
        <v>11025.5</v>
      </c>
      <c r="AP110" s="885">
        <f t="shared" si="404"/>
        <v>12067.5</v>
      </c>
      <c r="AQ110" s="885">
        <f t="shared" si="404"/>
        <v>12577</v>
      </c>
      <c r="AR110" s="885">
        <f t="shared" si="404"/>
        <v>13148.5</v>
      </c>
      <c r="AS110" s="885">
        <f t="shared" si="404"/>
        <v>14040.5</v>
      </c>
      <c r="AT110" s="183">
        <f t="shared" si="404"/>
        <v>13747</v>
      </c>
      <c r="AU110" s="885">
        <f t="shared" si="404"/>
        <v>16168.75</v>
      </c>
      <c r="AV110" s="885">
        <f t="shared" si="404"/>
        <v>18496.75</v>
      </c>
      <c r="AW110" s="885">
        <f t="shared" si="404"/>
        <v>20716</v>
      </c>
      <c r="AX110" s="885">
        <f t="shared" si="404"/>
        <v>23049.75</v>
      </c>
      <c r="AY110" s="183">
        <f t="shared" si="404"/>
        <v>20198.5</v>
      </c>
      <c r="AZ110" s="885">
        <f t="shared" si="404"/>
        <v>24410</v>
      </c>
      <c r="BA110" s="885">
        <f t="shared" si="404"/>
        <v>27268</v>
      </c>
      <c r="BB110" s="885">
        <f t="shared" si="404"/>
        <v>30720</v>
      </c>
      <c r="BC110" s="885">
        <f t="shared" si="404"/>
        <v>34466.5</v>
      </c>
      <c r="BD110" s="183">
        <f t="shared" si="404"/>
        <v>32359</v>
      </c>
      <c r="BE110" s="885">
        <f t="shared" si="404"/>
        <v>37681</v>
      </c>
      <c r="BF110" s="885">
        <f t="shared" si="404"/>
        <v>38106.25</v>
      </c>
      <c r="BG110" s="885">
        <f t="shared" si="404"/>
        <v>37259.5</v>
      </c>
      <c r="BH110" s="885">
        <f t="shared" ref="BH110:BN110" si="405">INDEX(SP_BSR_TA_Avg,0,COLUMN())-INDEX(SP_BSR_CL_Avg,0,COLUMN())</f>
        <v>35951.25</v>
      </c>
      <c r="BI110" s="183">
        <f t="shared" si="405"/>
        <v>37235.5</v>
      </c>
      <c r="BJ110" s="885">
        <f t="shared" si="405"/>
        <v>35338.75</v>
      </c>
      <c r="BK110" s="885">
        <f t="shared" si="405"/>
        <v>36168.25</v>
      </c>
      <c r="BL110" s="885">
        <f t="shared" si="405"/>
        <v>39021.75</v>
      </c>
      <c r="BM110" s="885">
        <f t="shared" si="405"/>
        <v>44141.25</v>
      </c>
      <c r="BN110" s="183">
        <f t="shared" si="405"/>
        <v>44858</v>
      </c>
      <c r="BO110" s="885">
        <f t="shared" ref="BO110:BT110" si="406">INDEX(SP_BSR_TA_Avg,0,COLUMN())-INDEX(SP_BSR_CL_Avg,0,COLUMN())</f>
        <v>50303.5</v>
      </c>
      <c r="BP110" s="885">
        <f t="shared" si="406"/>
        <v>58312.75</v>
      </c>
      <c r="BQ110" s="885">
        <f t="shared" si="406"/>
        <v>66934.5</v>
      </c>
      <c r="BR110" s="885">
        <f t="shared" si="406"/>
        <v>76548.75</v>
      </c>
      <c r="BS110" s="183">
        <f t="shared" si="406"/>
        <v>74325.5</v>
      </c>
      <c r="BT110" s="885">
        <f t="shared" si="406"/>
        <v>85764.5</v>
      </c>
      <c r="BU110" s="885">
        <f>INDEX(SP_BSR_TA_Avg,0,COLUMN())-INDEX(SP_BSR_CL_Avg,0,COLUMN())</f>
        <v>97070.75</v>
      </c>
      <c r="BV110" s="885">
        <f>INDEX(SP_BSR_TA_Avg,0,COLUMN())-INDEX(SP_BSR_CL_Avg,0,COLUMN())</f>
        <v>110955.5</v>
      </c>
      <c r="BW110" s="885">
        <f>INDEX(SP_BSR_TA_Avg,0,COLUMN())-INDEX(SP_BSR_CL_Avg,0,COLUMN())</f>
        <v>131227</v>
      </c>
      <c r="BX110" s="183">
        <f>INDEX(SP_BSR_TA_Avg,0,COLUMN())-INDEX(SP_BSR_CL_Avg,0,COLUMN())</f>
        <v>134097</v>
      </c>
      <c r="BY110" s="878">
        <f>INDEX(SP_BSR_TA_Avg,0,COLUMN())-INDEX(SP_BSR_CL_Avg,0,COLUMN())</f>
        <v>160446.5</v>
      </c>
      <c r="BZ110" s="885">
        <f t="shared" ref="BZ110:CC110" si="407">INDEX(SP_BSR_TA_Avg,0,COLUMN())-INDEX(SP_BSR_CL_Avg,0,COLUMN())</f>
        <v>196035.9014202487</v>
      </c>
      <c r="CA110" s="885">
        <f t="shared" si="407"/>
        <v>238524.72490447637</v>
      </c>
      <c r="CB110" s="885">
        <f t="shared" si="407"/>
        <v>283008.98232276179</v>
      </c>
      <c r="CC110" s="183">
        <f t="shared" si="407"/>
        <v>263608.51483657071</v>
      </c>
      <c r="CD110" s="885">
        <f t="shared" ref="CD110:CK110" si="408">INDEX(SP_BSR_TA_Avg,0,COLUMN())-INDEX(SP_BSR_CL_Avg,0,COLUMN())</f>
        <v>330771.04187918257</v>
      </c>
      <c r="CE110" s="885">
        <f t="shared" si="408"/>
        <v>383033.32469932042</v>
      </c>
      <c r="CF110" s="885">
        <f t="shared" si="408"/>
        <v>439029.26362829772</v>
      </c>
      <c r="CG110" s="885">
        <f t="shared" si="408"/>
        <v>498889.88308246166</v>
      </c>
      <c r="CH110" s="183">
        <f t="shared" si="408"/>
        <v>472298.26858146925</v>
      </c>
      <c r="CI110" s="183">
        <f t="shared" si="408"/>
        <v>740571.79533652146</v>
      </c>
      <c r="CJ110" s="183">
        <f t="shared" si="408"/>
        <v>1069507.8890858085</v>
      </c>
      <c r="CK110" s="183">
        <f t="shared" si="408"/>
        <v>1467958.1100302804</v>
      </c>
      <c r="CL110" s="885"/>
    </row>
    <row r="111" spans="1:90" s="995" customFormat="1" collapsed="1" x14ac:dyDescent="0.3">
      <c r="A111" s="206" t="s">
        <v>360</v>
      </c>
      <c r="B111" s="85"/>
      <c r="C111" s="1252">
        <f>IF(C110&lt;0,"NMF",IF(ABS(C107/C110)&gt;1,"NMF",C107/C110))</f>
        <v>6.8568691546636612E-2</v>
      </c>
      <c r="D111" s="1252">
        <f>IF(D110&lt;0,"NMF",IF(ABS(D107/D110)&gt;1,"NMF",D107/D110))</f>
        <v>5.6533367475076757E-2</v>
      </c>
      <c r="E111" s="1252">
        <f>IF(E110&lt;0,"NMF",IF(ABS(E107/E110)&gt;1,"NMF",E107/E110))</f>
        <v>0.16291895757450617</v>
      </c>
      <c r="F111" s="1252">
        <f>IF(F110&lt;0,"NMF",IF(ABS(F107/F110)&gt;1,"NMF",F107/F110))</f>
        <v>0.20659739168108157</v>
      </c>
      <c r="G111" s="136"/>
      <c r="H111" s="136"/>
      <c r="I111" s="136"/>
      <c r="J111" s="136">
        <f t="shared" ref="J111:AO111" si="409">IF(J110&lt;0,"NMF",IF(ABS(J107/J110)&gt;1,"NMF",J107/J110))</f>
        <v>0.16971616225133176</v>
      </c>
      <c r="K111" s="1252">
        <f t="shared" si="409"/>
        <v>0.16999039267552854</v>
      </c>
      <c r="L111" s="136">
        <f t="shared" si="409"/>
        <v>0.16643316580598674</v>
      </c>
      <c r="M111" s="136">
        <f t="shared" si="409"/>
        <v>0.15840579361033622</v>
      </c>
      <c r="N111" s="136">
        <f t="shared" si="409"/>
        <v>0.13875654436035464</v>
      </c>
      <c r="O111" s="136">
        <f t="shared" si="409"/>
        <v>0.12936449843578995</v>
      </c>
      <c r="P111" s="1252">
        <f t="shared" si="409"/>
        <v>0.11578923162615773</v>
      </c>
      <c r="Q111" s="136">
        <f t="shared" si="409"/>
        <v>0.1382150537624468</v>
      </c>
      <c r="R111" s="136">
        <f t="shared" si="409"/>
        <v>0.13944267746258104</v>
      </c>
      <c r="S111" s="136">
        <f t="shared" si="409"/>
        <v>0.14630137311155794</v>
      </c>
      <c r="T111" s="136">
        <f t="shared" si="409"/>
        <v>0.15875714890934745</v>
      </c>
      <c r="U111" s="1252">
        <f t="shared" si="409"/>
        <v>0.15273110333234524</v>
      </c>
      <c r="V111" s="136">
        <f t="shared" si="409"/>
        <v>0.16190892727976183</v>
      </c>
      <c r="W111" s="136">
        <f t="shared" si="409"/>
        <v>0.16561463061987872</v>
      </c>
      <c r="X111" s="136">
        <f t="shared" si="409"/>
        <v>0.17020937188434695</v>
      </c>
      <c r="Y111" s="136">
        <f t="shared" si="409"/>
        <v>0.19235781243431838</v>
      </c>
      <c r="Z111" s="1252">
        <f t="shared" si="409"/>
        <v>0.20222536206287531</v>
      </c>
      <c r="AA111" s="136">
        <f t="shared" si="409"/>
        <v>0.22268451519536903</v>
      </c>
      <c r="AB111" s="136">
        <f t="shared" si="409"/>
        <v>0.26246271836386875</v>
      </c>
      <c r="AC111" s="136">
        <f t="shared" si="409"/>
        <v>0.31928491620111732</v>
      </c>
      <c r="AD111" s="136">
        <f t="shared" si="409"/>
        <v>0.35152898579243574</v>
      </c>
      <c r="AE111" s="1252">
        <f t="shared" si="409"/>
        <v>0.34179926560587515</v>
      </c>
      <c r="AF111" s="136">
        <f t="shared" si="409"/>
        <v>0.34990551451640611</v>
      </c>
      <c r="AG111" s="136">
        <f t="shared" si="409"/>
        <v>0.36149409333456711</v>
      </c>
      <c r="AH111" s="136">
        <f t="shared" si="409"/>
        <v>0.38344278370427598</v>
      </c>
      <c r="AI111" s="136">
        <f t="shared" si="409"/>
        <v>0.40596278861241875</v>
      </c>
      <c r="AJ111" s="1252">
        <f t="shared" si="409"/>
        <v>0.39953696047626924</v>
      </c>
      <c r="AK111" s="136">
        <f t="shared" si="409"/>
        <v>0.47066329921573841</v>
      </c>
      <c r="AL111" s="136">
        <f t="shared" si="409"/>
        <v>0.48828230665191197</v>
      </c>
      <c r="AM111" s="136">
        <f t="shared" si="409"/>
        <v>0.47259228894809957</v>
      </c>
      <c r="AN111" s="136">
        <f t="shared" si="409"/>
        <v>0.39217227973616392</v>
      </c>
      <c r="AO111" s="1252">
        <f t="shared" si="409"/>
        <v>0.40714706816017415</v>
      </c>
      <c r="AP111" s="136">
        <f t="shared" ref="AP111:BG111" si="410">IF(AP110&lt;0,"NMF",IF(ABS(AP107/AP110)&gt;1,"NMF",AP107/AP110))</f>
        <v>0.30147089289413714</v>
      </c>
      <c r="AQ111" s="136">
        <f t="shared" si="410"/>
        <v>0.25157032678699215</v>
      </c>
      <c r="AR111" s="136">
        <f t="shared" si="410"/>
        <v>0.23744153325474388</v>
      </c>
      <c r="AS111" s="136">
        <f t="shared" si="410"/>
        <v>0.27491898436665363</v>
      </c>
      <c r="AT111" s="1252">
        <f t="shared" si="410"/>
        <v>0.2807885356805121</v>
      </c>
      <c r="AU111" s="136">
        <f t="shared" si="410"/>
        <v>0.27738693467336684</v>
      </c>
      <c r="AV111" s="136">
        <f t="shared" si="410"/>
        <v>0.27707570248827496</v>
      </c>
      <c r="AW111" s="136">
        <f t="shared" si="410"/>
        <v>0.28403166634485422</v>
      </c>
      <c r="AX111" s="136">
        <f t="shared" si="410"/>
        <v>0.28989468432412502</v>
      </c>
      <c r="AY111" s="1252">
        <f t="shared" si="410"/>
        <v>0.33086615342723469</v>
      </c>
      <c r="AZ111" s="136">
        <f t="shared" si="410"/>
        <v>0.3269561655059402</v>
      </c>
      <c r="BA111" s="136">
        <f t="shared" si="410"/>
        <v>0.34934722018483205</v>
      </c>
      <c r="BB111" s="136">
        <f t="shared" si="410"/>
        <v>0.35520833333333335</v>
      </c>
      <c r="BC111" s="136">
        <f t="shared" si="410"/>
        <v>0.36246790361655523</v>
      </c>
      <c r="BD111" s="1252">
        <f t="shared" si="410"/>
        <v>0.38610587471800734</v>
      </c>
      <c r="BE111" s="136">
        <f t="shared" si="410"/>
        <v>0.36864732889254531</v>
      </c>
      <c r="BF111" s="136">
        <f t="shared" si="410"/>
        <v>0.31955387895686405</v>
      </c>
      <c r="BG111" s="136">
        <f t="shared" si="410"/>
        <v>0.27920396140581599</v>
      </c>
      <c r="BH111" s="136">
        <f t="shared" ref="BH111:BN111" si="411">IF(BH110&lt;0,"NMF",IF(ABS(BH107/BH110)&gt;1,"NMF",BH107/BH110))</f>
        <v>0.25159069573380621</v>
      </c>
      <c r="BI111" s="1252">
        <f t="shared" si="411"/>
        <v>0.24294020491197915</v>
      </c>
      <c r="BJ111" s="136">
        <f t="shared" si="411"/>
        <v>0.23404902550316578</v>
      </c>
      <c r="BK111" s="136">
        <f t="shared" si="411"/>
        <v>0.41082994062471917</v>
      </c>
      <c r="BL111" s="136">
        <f t="shared" si="411"/>
        <v>0.64146277396580109</v>
      </c>
      <c r="BM111" s="136">
        <f t="shared" si="411"/>
        <v>0.85509585704981173</v>
      </c>
      <c r="BN111" s="1252">
        <f t="shared" si="411"/>
        <v>0.84145525881671046</v>
      </c>
      <c r="BO111" s="136" t="str">
        <f t="shared" ref="BO111:BT111" si="412">IF(BO110&lt;0,"NMF",IF(ABS(BO107/BO110)&gt;1,"NMF",BO107/BO110))</f>
        <v>NMF</v>
      </c>
      <c r="BP111" s="136" t="str">
        <f t="shared" si="412"/>
        <v>NMF</v>
      </c>
      <c r="BQ111" s="136" t="str">
        <f t="shared" si="412"/>
        <v>NMF</v>
      </c>
      <c r="BR111" s="136" t="str">
        <f t="shared" si="412"/>
        <v>NMF</v>
      </c>
      <c r="BS111" s="1252" t="str">
        <f t="shared" si="412"/>
        <v>NMF</v>
      </c>
      <c r="BT111" s="136" t="str">
        <f t="shared" si="412"/>
        <v>NMF</v>
      </c>
      <c r="BU111" s="136" t="str">
        <f>IF(BU110&lt;0,"NMF",IF(ABS(BU107/BU110)&gt;1,"NMF",BU107/BU110))</f>
        <v>NMF</v>
      </c>
      <c r="BV111" s="136" t="str">
        <f>IF(BV110&lt;0,"NMF",IF(ABS(BV107/BV110)&gt;1,"NMF",BV107/BV110))</f>
        <v>NMF</v>
      </c>
      <c r="BW111" s="136" t="str">
        <f>IF(BW110&lt;0,"NMF",IF(ABS(BW107/BW110)&gt;1,"NMF",BW107/BW110))</f>
        <v>NMF</v>
      </c>
      <c r="BX111" s="1252" t="str">
        <f>IF(BX110&lt;0,"NMF",IF(ABS(BX107/BX110)&gt;1,"NMF",BX107/BX110))</f>
        <v>NMF</v>
      </c>
      <c r="BY111" s="970" t="str">
        <f>IF(BY110&lt;0,"NMF",IF(ABS(BY107/BY110)&gt;1,"NMF",BY107/BY110))</f>
        <v>NMF</v>
      </c>
      <c r="BZ111" s="136" t="str">
        <f t="shared" ref="BZ111:CC111" si="413">IF(BZ110&lt;0,"NMF",IF(ABS(BZ107/BZ110)&gt;1,"NMF",BZ107/BZ110))</f>
        <v>NMF</v>
      </c>
      <c r="CA111" s="136">
        <f t="shared" si="413"/>
        <v>0.93211847726014063</v>
      </c>
      <c r="CB111" s="136">
        <f t="shared" si="413"/>
        <v>0.84406019952852152</v>
      </c>
      <c r="CC111" s="1252">
        <f t="shared" si="413"/>
        <v>0.90617944657747651</v>
      </c>
      <c r="CD111" s="136">
        <f t="shared" ref="CD111:CK111" si="414">IF(CD110&lt;0,"NMF",IF(ABS(CD107/CD110)&gt;1,"NMF",CD107/CD110))</f>
        <v>0.77272186162839385</v>
      </c>
      <c r="CE111" s="136">
        <f t="shared" si="414"/>
        <v>0.7188268871080381</v>
      </c>
      <c r="CF111" s="136">
        <f t="shared" si="414"/>
        <v>0.66727818708417963</v>
      </c>
      <c r="CG111" s="136">
        <f t="shared" si="414"/>
        <v>0.62376859830626641</v>
      </c>
      <c r="CH111" s="1252">
        <f t="shared" si="414"/>
        <v>0.65888838427076513</v>
      </c>
      <c r="CI111" s="1252">
        <f t="shared" si="414"/>
        <v>0.51279861480847877</v>
      </c>
      <c r="CJ111" s="1252">
        <f t="shared" si="414"/>
        <v>0.42539636774183026</v>
      </c>
      <c r="CK111" s="1252">
        <f t="shared" si="414"/>
        <v>0.37057339498405972</v>
      </c>
      <c r="CL111" s="132"/>
    </row>
    <row r="112" spans="1:90" x14ac:dyDescent="0.3">
      <c r="A112" s="196"/>
      <c r="B112" s="200"/>
      <c r="C112" s="1246"/>
      <c r="D112" s="1246"/>
      <c r="E112" s="1246"/>
      <c r="F112" s="1246"/>
      <c r="G112" s="883"/>
      <c r="H112" s="883"/>
      <c r="I112" s="883"/>
      <c r="J112" s="883"/>
      <c r="K112" s="1246"/>
      <c r="L112" s="883"/>
      <c r="M112" s="883"/>
      <c r="N112" s="883"/>
      <c r="O112" s="883"/>
      <c r="P112" s="1246"/>
      <c r="Q112" s="883"/>
      <c r="R112" s="883"/>
      <c r="S112" s="883"/>
      <c r="T112" s="883"/>
      <c r="U112" s="1246"/>
      <c r="V112" s="883"/>
      <c r="W112" s="883"/>
      <c r="X112" s="883"/>
      <c r="Y112" s="883"/>
      <c r="Z112" s="1246"/>
      <c r="AA112" s="883"/>
      <c r="AB112" s="883"/>
      <c r="AC112" s="883"/>
      <c r="AD112" s="883"/>
      <c r="AE112" s="1246"/>
      <c r="AF112" s="883"/>
      <c r="AG112" s="883"/>
      <c r="AH112" s="883"/>
      <c r="AI112" s="883"/>
      <c r="AJ112" s="1246"/>
      <c r="AK112" s="883"/>
      <c r="AL112" s="883"/>
      <c r="AM112" s="883"/>
      <c r="AN112" s="883"/>
      <c r="AO112" s="1246"/>
      <c r="AP112" s="883"/>
      <c r="AQ112" s="883"/>
      <c r="AR112" s="883"/>
      <c r="AS112" s="883"/>
      <c r="AT112" s="1246"/>
      <c r="AU112" s="883"/>
      <c r="AV112" s="883"/>
      <c r="AW112" s="883"/>
      <c r="AX112" s="883"/>
      <c r="AY112" s="1246"/>
      <c r="AZ112" s="883"/>
      <c r="BA112" s="883"/>
      <c r="BB112" s="883"/>
      <c r="BC112" s="883"/>
      <c r="BD112" s="1246"/>
      <c r="BE112" s="883"/>
      <c r="BF112" s="883"/>
      <c r="BG112" s="883"/>
      <c r="BH112" s="883"/>
      <c r="BI112" s="1246"/>
      <c r="BJ112" s="883"/>
      <c r="BK112" s="883"/>
      <c r="BL112" s="883"/>
      <c r="BM112" s="883"/>
      <c r="BN112" s="1246"/>
      <c r="BO112" s="883"/>
      <c r="BP112" s="883"/>
      <c r="BQ112" s="883"/>
      <c r="BR112" s="883"/>
      <c r="BS112" s="1246"/>
      <c r="BT112" s="883"/>
      <c r="BU112" s="883"/>
      <c r="BV112" s="883"/>
      <c r="BW112" s="883"/>
      <c r="BX112" s="1246"/>
      <c r="BY112" s="1044"/>
      <c r="BZ112" s="883"/>
      <c r="CA112" s="883"/>
      <c r="CB112" s="883"/>
      <c r="CC112" s="1246"/>
      <c r="CD112" s="883"/>
      <c r="CE112" s="883"/>
      <c r="CF112" s="883"/>
      <c r="CG112" s="883"/>
      <c r="CH112" s="1246"/>
      <c r="CI112" s="1246"/>
      <c r="CJ112" s="1246"/>
      <c r="CK112" s="1246"/>
      <c r="CL112" s="883"/>
    </row>
    <row r="113" spans="1:90" x14ac:dyDescent="0.3">
      <c r="A113" s="126" t="s">
        <v>361</v>
      </c>
      <c r="B113" s="884"/>
      <c r="C113" s="884"/>
      <c r="D113" s="884"/>
      <c r="E113" s="884"/>
      <c r="F113" s="884"/>
      <c r="G113" s="884"/>
      <c r="H113" s="884"/>
      <c r="I113" s="884"/>
      <c r="J113" s="884"/>
      <c r="K113" s="884"/>
      <c r="L113" s="884"/>
      <c r="M113" s="884"/>
      <c r="N113" s="884"/>
      <c r="O113" s="884"/>
      <c r="P113" s="884"/>
      <c r="Q113" s="884"/>
      <c r="R113" s="884"/>
      <c r="S113" s="884"/>
      <c r="T113" s="884"/>
      <c r="U113" s="884"/>
      <c r="V113" s="884"/>
      <c r="W113" s="884"/>
      <c r="X113" s="884"/>
      <c r="Y113" s="884"/>
      <c r="Z113" s="884"/>
      <c r="AA113" s="884"/>
      <c r="AB113" s="884"/>
      <c r="AC113" s="884"/>
      <c r="AD113" s="884"/>
      <c r="AE113" s="884"/>
      <c r="AF113" s="884"/>
      <c r="AG113" s="884"/>
      <c r="AH113" s="884"/>
      <c r="AI113" s="884"/>
      <c r="AJ113" s="884"/>
      <c r="AK113" s="884"/>
      <c r="AL113" s="884"/>
      <c r="AM113" s="884"/>
      <c r="AN113" s="884"/>
      <c r="AO113" s="884"/>
      <c r="AP113" s="884"/>
      <c r="AQ113" s="884"/>
      <c r="AR113" s="884"/>
      <c r="AS113" s="884"/>
      <c r="AT113" s="884"/>
      <c r="AU113" s="884"/>
      <c r="AV113" s="884"/>
      <c r="AW113" s="884"/>
      <c r="AX113" s="884"/>
      <c r="AY113" s="884"/>
      <c r="AZ113" s="884"/>
      <c r="BA113" s="884"/>
      <c r="BB113" s="884"/>
      <c r="BC113" s="884"/>
      <c r="BD113" s="884"/>
      <c r="BE113" s="884"/>
      <c r="BF113" s="884"/>
      <c r="BG113" s="884"/>
      <c r="BH113" s="884"/>
      <c r="BI113" s="884"/>
      <c r="BJ113" s="884"/>
      <c r="BK113" s="884"/>
      <c r="BL113" s="884"/>
      <c r="BM113" s="884"/>
      <c r="BN113" s="884"/>
      <c r="BO113" s="884"/>
      <c r="BP113" s="884"/>
      <c r="BQ113" s="884"/>
      <c r="BR113" s="884"/>
      <c r="BS113" s="884"/>
      <c r="BT113" s="884"/>
      <c r="BU113" s="884"/>
      <c r="BV113" s="884"/>
      <c r="BW113" s="884"/>
      <c r="BX113" s="884"/>
      <c r="BY113" s="1045"/>
      <c r="BZ113" s="884"/>
      <c r="CA113" s="884"/>
      <c r="CB113" s="884"/>
      <c r="CC113" s="884"/>
      <c r="CD113" s="884"/>
      <c r="CE113" s="884"/>
      <c r="CF113" s="884"/>
      <c r="CG113" s="884"/>
      <c r="CH113" s="884"/>
      <c r="CI113" s="884"/>
      <c r="CJ113" s="884"/>
      <c r="CK113" s="884"/>
      <c r="CL113" s="885"/>
    </row>
    <row r="114" spans="1:90" s="985" customFormat="1" x14ac:dyDescent="0.3">
      <c r="A114" s="219" t="s">
        <v>362</v>
      </c>
      <c r="B114" s="202"/>
      <c r="C114" s="1247"/>
      <c r="D114" s="1247">
        <f>IF(OR(INDEX(SP_GF_Rev,0,COLUMN())&lt;=0,C29&lt;=0),"NMF",IF(ABS((INDEX(SP_GF_Rev,0,COLUMN())/INDEX(SP_CS_ShareCount,0,COLUMN()))/(C29/C48)-1)&gt;10,"NMF",(INDEX(SP_GF_Rev,0,COLUMN())/INDEX(SP_CS_ShareCount,0,COLUMN()))/(C29/C48)-1))</f>
        <v>-5.1811450062615338E-2</v>
      </c>
      <c r="E114" s="1247">
        <f>IF(OR(INDEX(SP_GF_Rev,0,COLUMN())&lt;=0,D29&lt;=0),"NMF",IF(ABS((INDEX(SP_GF_Rev,0,COLUMN())/INDEX(SP_CS_ShareCount,0,COLUMN()))/(D29/D48)-1)&gt;10,"NMF",(INDEX(SP_GF_Rev,0,COLUMN())/INDEX(SP_CS_ShareCount,0,COLUMN()))/(D29/D48)-1))</f>
        <v>-2.7671230588310558E-2</v>
      </c>
      <c r="F114" s="1247">
        <f>IF(OR(INDEX(SP_GF_Rev,0,COLUMN())&lt;=0,E29&lt;=0),"NMF",IF(ABS((INDEX(SP_GF_Rev,0,COLUMN())/INDEX(SP_CS_ShareCount,0,COLUMN()))/(E29/E48)-1)&gt;10,"NMF",(INDEX(SP_GF_Rev,0,COLUMN())/INDEX(SP_CS_ShareCount,0,COLUMN()))/(E29/E48)-1))</f>
        <v>6.2885445226560366E-2</v>
      </c>
      <c r="G114" s="129"/>
      <c r="H114" s="129"/>
      <c r="I114" s="129"/>
      <c r="J114" s="129"/>
      <c r="K114" s="1247">
        <f t="shared" ref="K114:AP114" si="415">IF(OR(INDEX(SP_GF_Rev,0,COLUMN())&lt;=0,F29&lt;=0),"NMF",IF(ABS((INDEX(SP_GF_Rev,0,COLUMN())/INDEX(SP_CS_ShareCount,0,COLUMN()))/(F29/F48)-1)&gt;10,"NMF",(INDEX(SP_GF_Rev,0,COLUMN())/INDEX(SP_CS_ShareCount,0,COLUMN()))/(F29/F48)-1))</f>
        <v>6.0241775010073662E-2</v>
      </c>
      <c r="L114" s="129">
        <f t="shared" si="415"/>
        <v>3.9567227002881289E-2</v>
      </c>
      <c r="M114" s="129">
        <f t="shared" si="415"/>
        <v>4.0652447026790828E-2</v>
      </c>
      <c r="N114" s="129">
        <f t="shared" si="415"/>
        <v>-0.10632368084420618</v>
      </c>
      <c r="O114" s="129">
        <f t="shared" si="415"/>
        <v>0.11461479121995333</v>
      </c>
      <c r="P114" s="1247">
        <f t="shared" si="415"/>
        <v>4.9484498908387797E-2</v>
      </c>
      <c r="Q114" s="129">
        <f t="shared" si="415"/>
        <v>0.27534575812957196</v>
      </c>
      <c r="R114" s="129">
        <f t="shared" si="415"/>
        <v>0.15405142234230551</v>
      </c>
      <c r="S114" s="129">
        <f t="shared" si="415"/>
        <v>0.26719976715434579</v>
      </c>
      <c r="T114" s="129">
        <f t="shared" si="415"/>
        <v>0.13142491112312671</v>
      </c>
      <c r="U114" s="1247">
        <f t="shared" si="415"/>
        <v>0.21233256270190548</v>
      </c>
      <c r="V114" s="129">
        <f t="shared" si="415"/>
        <v>3.9710878000298377E-2</v>
      </c>
      <c r="W114" s="129">
        <f t="shared" si="415"/>
        <v>9.7388650125751042E-2</v>
      </c>
      <c r="X114" s="129">
        <f t="shared" si="415"/>
        <v>2.8289541758473424E-2</v>
      </c>
      <c r="Y114" s="129">
        <f t="shared" si="415"/>
        <v>5.1916645435759357E-2</v>
      </c>
      <c r="Z114" s="1247">
        <f t="shared" si="415"/>
        <v>6.6267724631709601E-2</v>
      </c>
      <c r="AA114" s="129">
        <f t="shared" si="415"/>
        <v>7.0913856420065979E-2</v>
      </c>
      <c r="AB114" s="129">
        <f t="shared" si="415"/>
        <v>8.5169124024284448E-2</v>
      </c>
      <c r="AC114" s="129">
        <f t="shared" si="415"/>
        <v>0.29525207001362541</v>
      </c>
      <c r="AD114" s="129">
        <f t="shared" si="415"/>
        <v>0.27086247230508342</v>
      </c>
      <c r="AE114" s="1247">
        <f t="shared" si="415"/>
        <v>0.10657760957162155</v>
      </c>
      <c r="AF114" s="129">
        <f t="shared" si="415"/>
        <v>0.30104536209261634</v>
      </c>
      <c r="AG114" s="129">
        <f t="shared" si="415"/>
        <v>0.45520648830054999</v>
      </c>
      <c r="AH114" s="129">
        <f t="shared" si="415"/>
        <v>0.2574599229214527</v>
      </c>
      <c r="AI114" s="129">
        <f t="shared" si="415"/>
        <v>0.33109001321956488</v>
      </c>
      <c r="AJ114" s="1247">
        <f t="shared" si="415"/>
        <v>0.33098931262442011</v>
      </c>
      <c r="AK114" s="129">
        <f t="shared" si="415"/>
        <v>0.65301668151879766</v>
      </c>
      <c r="AL114" s="129">
        <f t="shared" si="415"/>
        <v>0.40491557062243855</v>
      </c>
      <c r="AM114" s="129">
        <f t="shared" si="415"/>
        <v>0.2048280101550608</v>
      </c>
      <c r="AN114" s="129">
        <f t="shared" si="415"/>
        <v>-0.22900206114737198</v>
      </c>
      <c r="AO114" s="1247">
        <f t="shared" si="415"/>
        <v>0.21383808049873254</v>
      </c>
      <c r="AP114" s="129">
        <f t="shared" si="415"/>
        <v>-0.29880328528915812</v>
      </c>
      <c r="AQ114" s="129">
        <f t="shared" ref="AQ114:BG114" si="416">IF(OR(INDEX(SP_GF_Rev,0,COLUMN())&lt;=0,AL29&lt;=0),"NMF",IF(ABS((INDEX(SP_GF_Rev,0,COLUMN())/INDEX(SP_CS_ShareCount,0,COLUMN()))/(AL29/AL48)-1)&gt;10,"NMF",(INDEX(SP_GF_Rev,0,COLUMN())/INDEX(SP_CS_ShareCount,0,COLUMN()))/(AL29/AL48)-1))</f>
        <v>-0.16212609836529146</v>
      </c>
      <c r="AR114" s="129">
        <f t="shared" si="416"/>
        <v>-4.4858078713328031E-2</v>
      </c>
      <c r="AS114" s="129">
        <f t="shared" si="416"/>
        <v>0.40362811791383235</v>
      </c>
      <c r="AT114" s="1247">
        <f t="shared" si="416"/>
        <v>-6.3610109136850723E-2</v>
      </c>
      <c r="AU114" s="129">
        <f t="shared" si="416"/>
        <v>0.37179876505719212</v>
      </c>
      <c r="AV114" s="129">
        <f t="shared" si="416"/>
        <v>0.47273184900988419</v>
      </c>
      <c r="AW114" s="129">
        <f t="shared" si="416"/>
        <v>0.5357113186534681</v>
      </c>
      <c r="AX114" s="129">
        <f t="shared" si="416"/>
        <v>0.58322784810126582</v>
      </c>
      <c r="AY114" s="1247">
        <f t="shared" si="416"/>
        <v>0.4958287234996861</v>
      </c>
      <c r="AZ114" s="129">
        <f t="shared" si="416"/>
        <v>0.80319861526486136</v>
      </c>
      <c r="BA114" s="129">
        <f t="shared" si="416"/>
        <v>0.66255230701885948</v>
      </c>
      <c r="BB114" s="129">
        <f t="shared" si="416"/>
        <v>0.49054115968285172</v>
      </c>
      <c r="BC114" s="129">
        <f t="shared" si="416"/>
        <v>0.51388805507429725</v>
      </c>
      <c r="BD114" s="1247">
        <f t="shared" si="416"/>
        <v>0.59310446152169494</v>
      </c>
      <c r="BE114" s="129">
        <f t="shared" si="416"/>
        <v>0.46000953964754876</v>
      </c>
      <c r="BF114" s="129">
        <f t="shared" si="416"/>
        <v>3.9305387945681503E-2</v>
      </c>
      <c r="BG114" s="129">
        <f t="shared" si="416"/>
        <v>-0.14684854531765512</v>
      </c>
      <c r="BH114" s="129">
        <f t="shared" ref="BH114:BN114" si="417">IF(OR(INDEX(SP_GF_Rev,0,COLUMN())&lt;=0,BC29&lt;=0),"NMF",IF(ABS((INDEX(SP_GF_Rev,0,COLUMN())/INDEX(SP_CS_ShareCount,0,COLUMN()))/(BC29/BC48)-1)&gt;10,"NMF",(INDEX(SP_GF_Rev,0,COLUMN())/INDEX(SP_CS_ShareCount,0,COLUMN()))/(BC29/BC48)-1))</f>
        <v>-0.18721710886427023</v>
      </c>
      <c r="BI114" s="1247">
        <f t="shared" si="417"/>
        <v>2.4869436820604829E-2</v>
      </c>
      <c r="BJ114" s="129">
        <f t="shared" si="417"/>
        <v>-0.11692391205026598</v>
      </c>
      <c r="BK114" s="129">
        <f t="shared" si="417"/>
        <v>1.0317252643712242</v>
      </c>
      <c r="BL114" s="129">
        <f t="shared" si="417"/>
        <v>2.0637158786721455</v>
      </c>
      <c r="BM114" s="129">
        <f t="shared" si="417"/>
        <v>2.6366348922688765</v>
      </c>
      <c r="BN114" s="1247">
        <f t="shared" si="417"/>
        <v>1.2757929989507582</v>
      </c>
      <c r="BO114" s="129">
        <f t="shared" ref="BO114:BT114" si="418">IF(OR(INDEX(SP_GF_Rev,0,COLUMN())&lt;=0,BJ29&lt;=0),"NMF",IF(ABS((INDEX(SP_GF_Rev,0,COLUMN())/INDEX(SP_CS_ShareCount,0,COLUMN()))/(BJ29/BJ48)-1)&gt;10,"NMF",(INDEX(SP_GF_Rev,0,COLUMN())/INDEX(SP_CS_ShareCount,0,COLUMN()))/(BJ29/BJ48)-1))</f>
        <v>2.6270724511099757</v>
      </c>
      <c r="BP114" s="129">
        <f t="shared" si="418"/>
        <v>1.2381829601146102</v>
      </c>
      <c r="BQ114" s="129">
        <f t="shared" si="418"/>
        <v>0.95103447888321946</v>
      </c>
      <c r="BR114" s="129">
        <f t="shared" si="418"/>
        <v>0.79428599854922077</v>
      </c>
      <c r="BS114" s="1247">
        <f t="shared" si="418"/>
        <v>1.1633728786108688</v>
      </c>
      <c r="BT114" s="129">
        <f t="shared" si="418"/>
        <v>0.7147010786396939</v>
      </c>
      <c r="BU114" s="129">
        <f t="shared" ref="BU114:CH114" si="419">IF(OR(INDEX(SP_GF_Rev,0,COLUMN())&lt;=0,BP29&lt;=0),"NMF",IF(ABS((INDEX(SP_GF_Rev,0,COLUMN())/INDEX(SP_CS_ShareCount,0,COLUMN()))/(BP29/BP48)-1)&gt;10,"NMF",(INDEX(SP_GF_Rev,0,COLUMN())/INDEX(SP_CS_ShareCount,0,COLUMN()))/(BP29/BP48)-1))</f>
        <v>0.57729028044197084</v>
      </c>
      <c r="BV114" s="129">
        <f t="shared" si="419"/>
        <v>0.64572834750258146</v>
      </c>
      <c r="BW114" s="129">
        <f t="shared" si="419"/>
        <v>0.75157078888017037</v>
      </c>
      <c r="BX114" s="1247">
        <f t="shared" si="419"/>
        <v>0.67993024792792722</v>
      </c>
      <c r="BY114" s="965">
        <f>IF(OR(INDEX(SP_GF_Rev,0,COLUMN())&lt;=0,BT29&lt;=0),"NMF",IF(ABS((INDEX(SP_GF_Rev,0,COLUMN())/INDEX(SP_CS_ShareCount,0,COLUMN()))/(BT29/BT48)-1)&gt;10,"NMF",(INDEX(SP_GF_Rev,0,COLUMN())/INDEX(SP_CS_ShareCount,0,COLUMN()))/(BT29/BT48)-1))</f>
        <v>0.87397734735467458</v>
      </c>
      <c r="BZ114" s="129">
        <f t="shared" si="419"/>
        <v>0.95118468968758529</v>
      </c>
      <c r="CA114" s="129">
        <f t="shared" si="419"/>
        <v>0.60728611128725518</v>
      </c>
      <c r="CB114" s="129">
        <f t="shared" si="419"/>
        <v>0.37825679958707004</v>
      </c>
      <c r="CC114" s="1247">
        <f t="shared" si="419"/>
        <v>0.66199484930496233</v>
      </c>
      <c r="CD114" s="129">
        <f t="shared" si="419"/>
        <v>0.28933912279342677</v>
      </c>
      <c r="CE114" s="129">
        <f t="shared" si="419"/>
        <v>0.29048596107227187</v>
      </c>
      <c r="CF114" s="129">
        <f t="shared" si="419"/>
        <v>0.24755472722148042</v>
      </c>
      <c r="CG114" s="129">
        <f t="shared" si="419"/>
        <v>0.24400181593909398</v>
      </c>
      <c r="CH114" s="1247">
        <f t="shared" si="419"/>
        <v>0.26689633750540698</v>
      </c>
      <c r="CI114" s="1247">
        <f>IF(OR(INDEX(SP_GF_Rev,0,COLUMN())&lt;=0,CH29&lt;=0),"NMF",IF(ABS((INDEX(SP_GF_Rev,0,COLUMN())/INDEX(SP_CS_ShareCount,0,COLUMN()))/(CH29/CH48)-1)&gt;10,"NMF",(INDEX(SP_GF_Rev,0,COLUMN())/INDEX(SP_CS_ShareCount,0,COLUMN()))/(CH29/CH48)-1))</f>
        <v>0.19277198219808711</v>
      </c>
      <c r="CJ114" s="1247">
        <f>IF(OR(INDEX(SP_GF_Rev,0,COLUMN())&lt;=0,CI29&lt;=0),"NMF",IF(ABS((INDEX(SP_GF_Rev,0,COLUMN())/INDEX(SP_CS_ShareCount,0,COLUMN()))/(CI29/CI48)-1)&gt;10,"NMF",(INDEX(SP_GF_Rev,0,COLUMN())/INDEX(SP_CS_ShareCount,0,COLUMN()))/(CI29/CI48)-1))</f>
        <v>0.17466733310254168</v>
      </c>
      <c r="CK114" s="1247">
        <f>IF(OR(INDEX(SP_GF_Rev,0,COLUMN())&lt;=0,CJ29&lt;=0),"NMF",IF(ABS((INDEX(SP_GF_Rev,0,COLUMN())/INDEX(SP_CS_ShareCount,0,COLUMN()))/(CJ29/CJ48)-1)&gt;10,"NMF",(INDEX(SP_GF_Rev,0,COLUMN())/INDEX(SP_CS_ShareCount,0,COLUMN()))/(CJ29/CJ48)-1))</f>
        <v>0.17500630227648339</v>
      </c>
      <c r="CL114" s="130"/>
    </row>
    <row r="115" spans="1:90" s="985" customFormat="1" x14ac:dyDescent="0.3">
      <c r="A115" s="219" t="s">
        <v>363</v>
      </c>
      <c r="B115" s="202"/>
      <c r="C115" s="1247"/>
      <c r="D115" s="1247">
        <f>IF(OR(INDEX(SP_Company1876_EBITDA,0,COLUMN())&lt;=0,C51&lt;=0),"NMF",IF(ABS((INDEX(SP_Company1876_EBITDA,0,COLUMN())/INDEX(SP_CS_ShareCount,0,COLUMN()))/(C51/C48)-1)&gt;10,"NMF",(INDEX(SP_Company1876_EBITDA,0,COLUMN())/INDEX(SP_CS_ShareCount,0,COLUMN()))/(C51/C48)-1))</f>
        <v>-2.7118554367134173E-2</v>
      </c>
      <c r="E115" s="1247">
        <f>IF(OR(INDEX(SP_Company1876_EBITDA,0,COLUMN())&lt;=0,D51&lt;=0),"NMF",IF(ABS((INDEX(SP_Company1876_EBITDA,0,COLUMN())/INDEX(SP_CS_ShareCount,0,COLUMN()))/(D51/D48)-1)&gt;10,"NMF",(INDEX(SP_Company1876_EBITDA,0,COLUMN())/INDEX(SP_CS_ShareCount,0,COLUMN()))/(D51/D48)-1))</f>
        <v>1.0056121279174755</v>
      </c>
      <c r="F115" s="1247">
        <f>IF(OR(INDEX(SP_Company1876_EBITDA,0,COLUMN())&lt;=0,E51&lt;=0),"NMF",IF(ABS((INDEX(SP_Company1876_EBITDA,0,COLUMN())/INDEX(SP_CS_ShareCount,0,COLUMN()))/(E51/E48)-1)&gt;10,"NMF",(INDEX(SP_Company1876_EBITDA,0,COLUMN())/INDEX(SP_CS_ShareCount,0,COLUMN()))/(E51/E48)-1))</f>
        <v>0.39284664380922729</v>
      </c>
      <c r="G115" s="129"/>
      <c r="H115" s="129"/>
      <c r="I115" s="129"/>
      <c r="J115" s="129"/>
      <c r="K115" s="1247">
        <f t="shared" ref="K115:AP115" si="420">IF(OR(INDEX(SP_Company1876_EBITDA,0,COLUMN())&lt;=0,F51&lt;=0),"NMF",IF(ABS((INDEX(SP_Company1876_EBITDA,0,COLUMN())/INDEX(SP_CS_ShareCount,0,COLUMN()))/(F51/F48)-1)&gt;10,"NMF",(INDEX(SP_Company1876_EBITDA,0,COLUMN())/INDEX(SP_CS_ShareCount,0,COLUMN()))/(F51/F48)-1))</f>
        <v>1.5094192150107544E-2</v>
      </c>
      <c r="L115" s="129">
        <f t="shared" si="420"/>
        <v>8.1928540634037317E-2</v>
      </c>
      <c r="M115" s="129">
        <f t="shared" si="420"/>
        <v>-0.10788852048497544</v>
      </c>
      <c r="N115" s="129">
        <f t="shared" si="420"/>
        <v>-0.31193898611983262</v>
      </c>
      <c r="O115" s="129">
        <f t="shared" si="420"/>
        <v>-1.5932300371313324E-2</v>
      </c>
      <c r="P115" s="1247">
        <f t="shared" si="420"/>
        <v>-9.5671497502952452E-2</v>
      </c>
      <c r="Q115" s="129">
        <f t="shared" si="420"/>
        <v>0.53007856241945617</v>
      </c>
      <c r="R115" s="129">
        <f t="shared" si="420"/>
        <v>0.31247175610250322</v>
      </c>
      <c r="S115" s="129">
        <f t="shared" si="420"/>
        <v>0.45224760218107174</v>
      </c>
      <c r="T115" s="129">
        <f t="shared" si="420"/>
        <v>0.3397528272984891</v>
      </c>
      <c r="U115" s="1247">
        <f t="shared" si="420"/>
        <v>0.41234493678323969</v>
      </c>
      <c r="V115" s="129">
        <f t="shared" si="420"/>
        <v>0.13807442960056182</v>
      </c>
      <c r="W115" s="129">
        <f t="shared" si="420"/>
        <v>0.10930309161508478</v>
      </c>
      <c r="X115" s="129">
        <f t="shared" si="420"/>
        <v>8.7517968748648478E-2</v>
      </c>
      <c r="Y115" s="129">
        <f t="shared" si="420"/>
        <v>0.1371928261584312</v>
      </c>
      <c r="Z115" s="1247">
        <f t="shared" si="420"/>
        <v>0.13452940844297823</v>
      </c>
      <c r="AA115" s="129">
        <f t="shared" si="420"/>
        <v>0.24750277469478354</v>
      </c>
      <c r="AB115" s="129">
        <f t="shared" si="420"/>
        <v>0.37974822112753137</v>
      </c>
      <c r="AC115" s="129">
        <f t="shared" si="420"/>
        <v>0.84164853150123187</v>
      </c>
      <c r="AD115" s="129">
        <f t="shared" si="420"/>
        <v>0.78983184445612209</v>
      </c>
      <c r="AE115" s="1247">
        <f t="shared" si="420"/>
        <v>0.5031245775841453</v>
      </c>
      <c r="AF115" s="129">
        <f t="shared" si="420"/>
        <v>0.67544973544973552</v>
      </c>
      <c r="AG115" s="129">
        <f t="shared" si="420"/>
        <v>0.83196640716276993</v>
      </c>
      <c r="AH115" s="129">
        <f t="shared" si="420"/>
        <v>0.34846857902541273</v>
      </c>
      <c r="AI115" s="129">
        <f t="shared" si="420"/>
        <v>0.46858835023516154</v>
      </c>
      <c r="AJ115" s="1247">
        <f t="shared" si="420"/>
        <v>0.52174538207402055</v>
      </c>
      <c r="AK115" s="129">
        <f t="shared" si="420"/>
        <v>1.1997800691211333</v>
      </c>
      <c r="AL115" s="129">
        <f t="shared" si="420"/>
        <v>0.66743055884535818</v>
      </c>
      <c r="AM115" s="129">
        <f t="shared" si="420"/>
        <v>0.21899412753348746</v>
      </c>
      <c r="AN115" s="129">
        <f t="shared" si="420"/>
        <v>-0.54798299046086663</v>
      </c>
      <c r="AO115" s="1247">
        <f t="shared" si="420"/>
        <v>0.2416355576344702</v>
      </c>
      <c r="AP115" s="129">
        <f t="shared" si="420"/>
        <v>-0.5594995016093407</v>
      </c>
      <c r="AQ115" s="129">
        <f t="shared" ref="AQ115:BG115" si="421">IF(OR(INDEX(SP_Company1876_EBITDA,0,COLUMN())&lt;=0,AL51&lt;=0),"NMF",IF(ABS((INDEX(SP_Company1876_EBITDA,0,COLUMN())/INDEX(SP_CS_ShareCount,0,COLUMN()))/(AL51/AL48)-1)&gt;10,"NMF",(INDEX(SP_Company1876_EBITDA,0,COLUMN())/INDEX(SP_CS_ShareCount,0,COLUMN()))/(AL51/AL48)-1))</f>
        <v>-0.32913326435292178</v>
      </c>
      <c r="AR115" s="129">
        <f t="shared" si="421"/>
        <v>-1.4936169132763188E-2</v>
      </c>
      <c r="AS115" s="129">
        <f t="shared" si="421"/>
        <v>1.3836028845480643</v>
      </c>
      <c r="AT115" s="1247">
        <f t="shared" si="421"/>
        <v>-0.1140596368482425</v>
      </c>
      <c r="AU115" s="129">
        <f t="shared" si="421"/>
        <v>1.0130063629511472</v>
      </c>
      <c r="AV115" s="129">
        <f t="shared" si="421"/>
        <v>0.81002054686265224</v>
      </c>
      <c r="AW115" s="129">
        <f t="shared" si="421"/>
        <v>0.67018075748179773</v>
      </c>
      <c r="AX115" s="129">
        <f t="shared" si="421"/>
        <v>0.65998993095512071</v>
      </c>
      <c r="AY115" s="1247">
        <f t="shared" si="421"/>
        <v>0.74500865995899135</v>
      </c>
      <c r="AZ115" s="129">
        <f t="shared" si="421"/>
        <v>1.0305570663669217</v>
      </c>
      <c r="BA115" s="129">
        <f t="shared" si="421"/>
        <v>0.94354248347101422</v>
      </c>
      <c r="BB115" s="129">
        <f t="shared" si="421"/>
        <v>0.65804321869220139</v>
      </c>
      <c r="BC115" s="129">
        <f t="shared" si="421"/>
        <v>0.70686765930550477</v>
      </c>
      <c r="BD115" s="1247">
        <f t="shared" si="421"/>
        <v>0.80114298775154613</v>
      </c>
      <c r="BE115" s="129">
        <f t="shared" si="421"/>
        <v>0.52631788796172341</v>
      </c>
      <c r="BF115" s="129">
        <f t="shared" si="421"/>
        <v>-0.52335151472395602</v>
      </c>
      <c r="BG115" s="129">
        <f t="shared" si="421"/>
        <v>-0.4918716157312476</v>
      </c>
      <c r="BH115" s="129">
        <f t="shared" ref="BH115:BN115" si="422">IF(OR(INDEX(SP_Company1876_EBITDA,0,COLUMN())&lt;=0,BC51&lt;=0),"NMF",IF(ABS((INDEX(SP_Company1876_EBITDA,0,COLUMN())/INDEX(SP_CS_ShareCount,0,COLUMN()))/(BC51/BC48)-1)&gt;10,"NMF",(INDEX(SP_Company1876_EBITDA,0,COLUMN())/INDEX(SP_CS_ShareCount,0,COLUMN()))/(BC51/BC48)-1))</f>
        <v>-0.3403522155751636</v>
      </c>
      <c r="BI115" s="1247">
        <f t="shared" si="422"/>
        <v>-0.24011148576241315</v>
      </c>
      <c r="BJ115" s="129">
        <f t="shared" si="422"/>
        <v>-0.19873032007763969</v>
      </c>
      <c r="BK115" s="129">
        <f t="shared" si="422"/>
        <v>4.3006525872257333</v>
      </c>
      <c r="BL115" s="129">
        <f t="shared" si="422"/>
        <v>5.7110187010700004</v>
      </c>
      <c r="BM115" s="129">
        <f t="shared" si="422"/>
        <v>5.0481007376737361</v>
      </c>
      <c r="BN115" s="1247">
        <f t="shared" si="422"/>
        <v>2.8768116908550763</v>
      </c>
      <c r="BO115" s="129">
        <f t="shared" ref="BO115:BT115" si="423">IF(OR(INDEX(SP_Company1876_EBITDA,0,COLUMN())&lt;=0,BJ51&lt;=0),"NMF",IF(ABS((INDEX(SP_Company1876_EBITDA,0,COLUMN())/INDEX(SP_CS_ShareCount,0,COLUMN()))/(BJ51/BJ48)-1)&gt;10,"NMF",(INDEX(SP_Company1876_EBITDA,0,COLUMN())/INDEX(SP_CS_ShareCount,0,COLUMN()))/(BJ51/BJ48)-1))</f>
        <v>4.6391664287753347</v>
      </c>
      <c r="BP115" s="129">
        <f t="shared" si="423"/>
        <v>1.5456760991083347</v>
      </c>
      <c r="BQ115" s="129">
        <f t="shared" si="423"/>
        <v>1.0184277640081727</v>
      </c>
      <c r="BR115" s="129">
        <f t="shared" si="423"/>
        <v>0.74215260121038829</v>
      </c>
      <c r="BS115" s="1247">
        <f t="shared" si="423"/>
        <v>1.3387306172944449</v>
      </c>
      <c r="BT115" s="129">
        <f t="shared" si="423"/>
        <v>0.31222119925419456</v>
      </c>
      <c r="BU115" s="129">
        <f t="shared" ref="BU115:CH115" si="424">IF(OR(INDEX(SP_Company1876_EBITDA,0,COLUMN())&lt;=0,BP51&lt;=0),"NMF",IF(ABS((INDEX(SP_Company1876_EBITDA,0,COLUMN())/INDEX(SP_CS_ShareCount,0,COLUMN()))/(BP51/BP48)-1)&gt;10,"NMF",(INDEX(SP_Company1876_EBITDA,0,COLUMN())/INDEX(SP_CS_ShareCount,0,COLUMN()))/(BP51/BP48)-1))</f>
        <v>0.54114956827351235</v>
      </c>
      <c r="BV115" s="129">
        <f t="shared" si="424"/>
        <v>0.64789033385679606</v>
      </c>
      <c r="BW115" s="129">
        <f t="shared" si="424"/>
        <v>0.82583920004061118</v>
      </c>
      <c r="BX115" s="1247">
        <f t="shared" si="424"/>
        <v>0.6100542550689898</v>
      </c>
      <c r="BY115" s="965">
        <f>IF(OR(INDEX(SP_Company1876_EBITDA,0,COLUMN())&lt;=0,BT51&lt;=0),"NMF",IF(ABS((INDEX(SP_Company1876_EBITDA,0,COLUMN())/INDEX(SP_CS_ShareCount,0,COLUMN()))/(BT51/BT48)-1)&gt;10,"NMF",(INDEX(SP_Company1876_EBITDA,0,COLUMN())/INDEX(SP_CS_ShareCount,0,COLUMN()))/(BT51/BT48)-1))</f>
        <v>1.3259188564946687</v>
      </c>
      <c r="BZ115" s="129">
        <f t="shared" si="424"/>
        <v>0.9775989364556259</v>
      </c>
      <c r="CA115" s="129">
        <f t="shared" si="424"/>
        <v>0.62373522551802174</v>
      </c>
      <c r="CB115" s="129">
        <f t="shared" si="424"/>
        <v>0.39420962028975048</v>
      </c>
      <c r="CC115" s="1247">
        <f t="shared" si="424"/>
        <v>0.74217502778570776</v>
      </c>
      <c r="CD115" s="129">
        <f t="shared" si="424"/>
        <v>0.28394214789099892</v>
      </c>
      <c r="CE115" s="129">
        <f t="shared" si="424"/>
        <v>0.28489180361876643</v>
      </c>
      <c r="CF115" s="129">
        <f t="shared" si="424"/>
        <v>0.24286474851028306</v>
      </c>
      <c r="CG115" s="129">
        <f t="shared" si="424"/>
        <v>0.23912061421504638</v>
      </c>
      <c r="CH115" s="1247">
        <f t="shared" si="424"/>
        <v>0.26140691964368945</v>
      </c>
      <c r="CI115" s="1247">
        <f>IF(OR(INDEX(SP_Company1876_EBITDA,0,COLUMN())&lt;=0,CH51&lt;=0),"NMF",IF(ABS((INDEX(SP_Company1876_EBITDA,0,COLUMN())/INDEX(SP_CS_ShareCount,0,COLUMN()))/(CH51/CH48)-1)&gt;10,"NMF",(INDEX(SP_Company1876_EBITDA,0,COLUMN())/INDEX(SP_CS_ShareCount,0,COLUMN()))/(CH51/CH48)-1))</f>
        <v>0.19118092831883904</v>
      </c>
      <c r="CJ115" s="1247">
        <f>IF(OR(INDEX(SP_Company1876_EBITDA,0,COLUMN())&lt;=0,CI51&lt;=0),"NMF",IF(ABS((INDEX(SP_Company1876_EBITDA,0,COLUMN())/INDEX(SP_CS_ShareCount,0,COLUMN()))/(CI51/CI48)-1)&gt;10,"NMF",(INDEX(SP_Company1876_EBITDA,0,COLUMN())/INDEX(SP_CS_ShareCount,0,COLUMN()))/(CI51/CI48)-1))</f>
        <v>0.17345569561684115</v>
      </c>
      <c r="CK115" s="1247">
        <f>IF(OR(INDEX(SP_Company1876_EBITDA,0,COLUMN())&lt;=0,CJ51&lt;=0),"NMF",IF(ABS((INDEX(SP_Company1876_EBITDA,0,COLUMN())/INDEX(SP_CS_ShareCount,0,COLUMN()))/(CJ51/CJ48)-1)&gt;10,"NMF",(INDEX(SP_Company1876_EBITDA,0,COLUMN())/INDEX(SP_CS_ShareCount,0,COLUMN()))/(CJ51/CJ48)-1))</f>
        <v>0.17443958775054358</v>
      </c>
      <c r="CL115" s="130"/>
    </row>
    <row r="116" spans="1:90" s="985" customFormat="1" x14ac:dyDescent="0.3">
      <c r="A116" s="219" t="s">
        <v>364</v>
      </c>
      <c r="B116" s="202"/>
      <c r="C116" s="1247"/>
      <c r="D116" s="1247">
        <f>IF(OR(INDEX(SP_Company1876_NI,0,COLUMN())&lt;=0,C52&lt;=0),"NMF",IF(ABS((INDEX(SP_Company1876_NI,0,COLUMN())/INDEX(SP_CS_ShareCount,0,COLUMN()))/(C52/C48)-1)&gt;10,"NMF",(INDEX(SP_Company1876_NI,0,COLUMN())/INDEX(SP_CS_ShareCount,0,COLUMN()))/(C52/C48)-1))</f>
        <v>-0.13887920584260105</v>
      </c>
      <c r="E116" s="1247">
        <f>IF(OR(INDEX(SP_Company1876_NI,0,COLUMN())&lt;=0,D52&lt;=0),"NMF",IF(ABS((INDEX(SP_Company1876_NI,0,COLUMN())/INDEX(SP_CS_ShareCount,0,COLUMN()))/(D52/D48)-1)&gt;10,"NMF",(INDEX(SP_Company1876_NI,0,COLUMN())/INDEX(SP_CS_ShareCount,0,COLUMN()))/(D52/D48)-1))</f>
        <v>2.075896927537777</v>
      </c>
      <c r="F116" s="1247">
        <f>IF(OR(INDEX(SP_Company1876_NI,0,COLUMN())&lt;=0,E52&lt;=0),"NMF",IF(ABS((INDEX(SP_Company1876_NI,0,COLUMN())/INDEX(SP_CS_ShareCount,0,COLUMN()))/(E52/E48)-1)&gt;10,"NMF",(INDEX(SP_Company1876_NI,0,COLUMN())/INDEX(SP_CS_ShareCount,0,COLUMN()))/(E52/E48)-1))</f>
        <v>0.45215175039370648</v>
      </c>
      <c r="G116" s="129"/>
      <c r="H116" s="129"/>
      <c r="I116" s="129"/>
      <c r="J116" s="129"/>
      <c r="K116" s="1247">
        <f t="shared" ref="K116:AP116" si="425">IF(OR(INDEX(SP_Company1876_NI,0,COLUMN())&lt;=0,F52&lt;=0),"NMF",IF(ABS((INDEX(SP_Company1876_NI,0,COLUMN())/INDEX(SP_CS_ShareCount,0,COLUMN()))/(F52/F48)-1)&gt;10,"NMF",(INDEX(SP_Company1876_NI,0,COLUMN())/INDEX(SP_CS_ShareCount,0,COLUMN()))/(F52/F48)-1))</f>
        <v>-1.7804777141657735E-2</v>
      </c>
      <c r="L116" s="129">
        <f t="shared" si="425"/>
        <v>0.17505920749174231</v>
      </c>
      <c r="M116" s="129">
        <f t="shared" si="425"/>
        <v>-0.13013043766812715</v>
      </c>
      <c r="N116" s="129">
        <f t="shared" si="425"/>
        <v>-0.36031932830399194</v>
      </c>
      <c r="O116" s="129">
        <f t="shared" si="425"/>
        <v>-5.943039191425481E-2</v>
      </c>
      <c r="P116" s="1247">
        <f t="shared" si="425"/>
        <v>-0.12139668733114484</v>
      </c>
      <c r="Q116" s="129">
        <f t="shared" si="425"/>
        <v>0.61027148579059487</v>
      </c>
      <c r="R116" s="129">
        <f t="shared" si="425"/>
        <v>0.32668622043508289</v>
      </c>
      <c r="S116" s="129">
        <f t="shared" si="425"/>
        <v>0.55966236565600314</v>
      </c>
      <c r="T116" s="129">
        <f t="shared" si="425"/>
        <v>0.3302259059942998</v>
      </c>
      <c r="U116" s="1247">
        <f t="shared" si="425"/>
        <v>0.45583492219915178</v>
      </c>
      <c r="V116" s="129">
        <f t="shared" si="425"/>
        <v>0.12239647769472084</v>
      </c>
      <c r="W116" s="129">
        <f t="shared" si="425"/>
        <v>0.15295980531738596</v>
      </c>
      <c r="X116" s="129">
        <f t="shared" si="425"/>
        <v>0.11881555418600898</v>
      </c>
      <c r="Y116" s="129">
        <f t="shared" si="425"/>
        <v>0.15755039779446234</v>
      </c>
      <c r="Z116" s="1247">
        <f t="shared" si="425"/>
        <v>0.15569476207837551</v>
      </c>
      <c r="AA116" s="129">
        <f t="shared" si="425"/>
        <v>0.3284141464072261</v>
      </c>
      <c r="AB116" s="129">
        <f t="shared" si="425"/>
        <v>0.44340852130325814</v>
      </c>
      <c r="AC116" s="129">
        <f t="shared" si="425"/>
        <v>0.88539245485428197</v>
      </c>
      <c r="AD116" s="129">
        <f t="shared" si="425"/>
        <v>0.94219653179190765</v>
      </c>
      <c r="AE116" s="1247">
        <f t="shared" si="425"/>
        <v>0.59857222074660199</v>
      </c>
      <c r="AF116" s="129">
        <f t="shared" si="425"/>
        <v>0.77641646716424906</v>
      </c>
      <c r="AG116" s="129">
        <f t="shared" si="425"/>
        <v>0.89943443897054709</v>
      </c>
      <c r="AH116" s="129">
        <f t="shared" si="425"/>
        <v>0.39706498951781977</v>
      </c>
      <c r="AI116" s="129">
        <f t="shared" si="425"/>
        <v>0.52573103647944408</v>
      </c>
      <c r="AJ116" s="1247">
        <f t="shared" si="425"/>
        <v>0.57798643714136677</v>
      </c>
      <c r="AK116" s="129">
        <f t="shared" si="425"/>
        <v>1.4070428173659493</v>
      </c>
      <c r="AL116" s="129">
        <f t="shared" si="425"/>
        <v>0.9026013309134906</v>
      </c>
      <c r="AM116" s="129">
        <f t="shared" si="425"/>
        <v>0.37954894876610923</v>
      </c>
      <c r="AN116" s="129">
        <f t="shared" si="425"/>
        <v>-0.53297211576582537</v>
      </c>
      <c r="AO116" s="1247">
        <f t="shared" si="425"/>
        <v>0.35157222723737025</v>
      </c>
      <c r="AP116" s="129">
        <f t="shared" si="425"/>
        <v>-0.5719617694835859</v>
      </c>
      <c r="AQ116" s="129">
        <f t="shared" ref="AQ116:BG116" si="426">IF(OR(INDEX(SP_Company1876_NI,0,COLUMN())&lt;=0,AL52&lt;=0),"NMF",IF(ABS((INDEX(SP_Company1876_NI,0,COLUMN())/INDEX(SP_CS_ShareCount,0,COLUMN()))/(AL52/AL48)-1)&gt;10,"NMF",(INDEX(SP_Company1876_NI,0,COLUMN())/INDEX(SP_CS_ShareCount,0,COLUMN()))/(AL52/AL48)-1))</f>
        <v>-0.36104701084039925</v>
      </c>
      <c r="AR116" s="129">
        <f t="shared" si="426"/>
        <v>-3.3974664387208753E-2</v>
      </c>
      <c r="AS116" s="129">
        <f t="shared" si="426"/>
        <v>1.3552932315204407</v>
      </c>
      <c r="AT116" s="1247">
        <f t="shared" si="426"/>
        <v>-0.13171743036680228</v>
      </c>
      <c r="AU116" s="129">
        <f t="shared" si="426"/>
        <v>1.0394396507128523</v>
      </c>
      <c r="AV116" s="129">
        <f t="shared" si="426"/>
        <v>0.76120090251876427</v>
      </c>
      <c r="AW116" s="129">
        <f t="shared" si="426"/>
        <v>0.62848189565124968</v>
      </c>
      <c r="AX116" s="129">
        <f t="shared" si="426"/>
        <v>0.64073233032358412</v>
      </c>
      <c r="AY116" s="1247">
        <f t="shared" si="426"/>
        <v>0.71722901486511614</v>
      </c>
      <c r="AZ116" s="129">
        <f t="shared" si="426"/>
        <v>1.0260900180261379</v>
      </c>
      <c r="BA116" s="129">
        <f t="shared" si="426"/>
        <v>0.89672318146245411</v>
      </c>
      <c r="BB116" s="129">
        <f t="shared" si="426"/>
        <v>0.60764981028686793</v>
      </c>
      <c r="BC116" s="129">
        <f t="shared" si="426"/>
        <v>0.69634579662187379</v>
      </c>
      <c r="BD116" s="1247">
        <f t="shared" si="426"/>
        <v>0.77043317465797267</v>
      </c>
      <c r="BE116" s="129">
        <f t="shared" si="426"/>
        <v>0.48443264252902085</v>
      </c>
      <c r="BF116" s="129">
        <f t="shared" si="426"/>
        <v>-0.50311692611938819</v>
      </c>
      <c r="BG116" s="129">
        <f t="shared" si="426"/>
        <v>-0.49961245411602984</v>
      </c>
      <c r="BH116" s="129">
        <f t="shared" ref="BH116:BN116" si="427">IF(OR(INDEX(SP_Company1876_NI,0,COLUMN())&lt;=0,BC52&lt;=0),"NMF",IF(ABS((INDEX(SP_Company1876_NI,0,COLUMN())/INDEX(SP_CS_ShareCount,0,COLUMN()))/(BC52/BC48)-1)&gt;10,"NMF",(INDEX(SP_Company1876_NI,0,COLUMN())/INDEX(SP_CS_ShareCount,0,COLUMN()))/(BC52/BC48)-1))</f>
        <v>-0.33376722679462711</v>
      </c>
      <c r="BI116" s="1247">
        <f t="shared" si="427"/>
        <v>-0.24016467879884607</v>
      </c>
      <c r="BJ116" s="129">
        <f t="shared" si="427"/>
        <v>-0.19811708624986446</v>
      </c>
      <c r="BK116" s="129">
        <f t="shared" si="427"/>
        <v>4.2606265161902757</v>
      </c>
      <c r="BL116" s="129">
        <f t="shared" si="427"/>
        <v>5.9011992221261886</v>
      </c>
      <c r="BM116" s="129">
        <f t="shared" si="427"/>
        <v>4.879593345205099</v>
      </c>
      <c r="BN116" s="1247">
        <f t="shared" si="427"/>
        <v>2.8917948394704331</v>
      </c>
      <c r="BO116" s="129">
        <f t="shared" ref="BO116:BT116" si="428">IF(OR(INDEX(SP_Company1876_NI,0,COLUMN())&lt;=0,BJ52&lt;=0),"NMF",IF(ABS((INDEX(SP_Company1876_NI,0,COLUMN())/INDEX(SP_CS_ShareCount,0,COLUMN()))/(BJ52/BJ48)-1)&gt;10,"NMF",(INDEX(SP_Company1876_NI,0,COLUMN())/INDEX(SP_CS_ShareCount,0,COLUMN()))/(BJ52/BJ48)-1))</f>
        <v>4.6256977889302098</v>
      </c>
      <c r="BP116" s="129">
        <f t="shared" si="428"/>
        <v>1.5311367164795495</v>
      </c>
      <c r="BQ116" s="129">
        <f t="shared" si="428"/>
        <v>1.0124178488552009</v>
      </c>
      <c r="BR116" s="129">
        <f t="shared" si="428"/>
        <v>0.7330070053561204</v>
      </c>
      <c r="BS116" s="1247">
        <f t="shared" si="428"/>
        <v>1.3212683533651699</v>
      </c>
      <c r="BT116" s="129">
        <f t="shared" si="428"/>
        <v>0.32320168712513042</v>
      </c>
      <c r="BU116" s="129">
        <f t="shared" ref="BU116:CH116" si="429">IF(OR(INDEX(SP_Company1876_NI,0,COLUMN())&lt;=0,BP52&lt;=0),"NMF",IF(ABS((INDEX(SP_Company1876_NI,0,COLUMN())/INDEX(SP_CS_ShareCount,0,COLUMN()))/(BP52/BP48)-1)&gt;10,"NMF",(INDEX(SP_Company1876_NI,0,COLUMN())/INDEX(SP_CS_ShareCount,0,COLUMN()))/(BP52/BP48)-1))</f>
        <v>0.54172699957320569</v>
      </c>
      <c r="BV116" s="129">
        <f t="shared" si="429"/>
        <v>0.60787039945543753</v>
      </c>
      <c r="BW116" s="129">
        <f t="shared" si="429"/>
        <v>0.81254272545820294</v>
      </c>
      <c r="BX116" s="1247">
        <f t="shared" si="429"/>
        <v>0.59938582787149031</v>
      </c>
      <c r="BY116" s="965">
        <f>IF(OR(INDEX(SP_Company1876_NI,0,COLUMN())&lt;=0,BT52&lt;=0),"NMF",IF(ABS((INDEX(SP_Company1876_NI,0,COLUMN())/INDEX(SP_CS_ShareCount,0,COLUMN()))/(BT52/BT48)-1)&gt;10,"NMF",(INDEX(SP_Company1876_NI,0,COLUMN())/INDEX(SP_CS_ShareCount,0,COLUMN()))/(BT52/BT48)-1))</f>
        <v>1.3163583981040485</v>
      </c>
      <c r="BZ116" s="129">
        <f t="shared" si="429"/>
        <v>0.92765501768308267</v>
      </c>
      <c r="CA116" s="129">
        <f t="shared" si="429"/>
        <v>0.65156166349037492</v>
      </c>
      <c r="CB116" s="129">
        <f t="shared" si="429"/>
        <v>0.35821223211879505</v>
      </c>
      <c r="CC116" s="1247">
        <f t="shared" si="429"/>
        <v>0.72437114193188767</v>
      </c>
      <c r="CD116" s="129">
        <f t="shared" si="429"/>
        <v>0.32048977523140243</v>
      </c>
      <c r="CE116" s="129">
        <f t="shared" si="429"/>
        <v>0.35900321415127889</v>
      </c>
      <c r="CF116" s="129">
        <f t="shared" si="429"/>
        <v>0.28574364426031607</v>
      </c>
      <c r="CG116" s="129">
        <f t="shared" si="429"/>
        <v>0.28824247278034587</v>
      </c>
      <c r="CH116" s="1247">
        <f t="shared" si="429"/>
        <v>0.31212229488567256</v>
      </c>
      <c r="CI116" s="1247">
        <f>IF(OR(INDEX(SP_Company1876_NI,0,COLUMN())&lt;=0,CH52&lt;=0),"NMF",IF(ABS((INDEX(SP_Company1876_NI,0,COLUMN())/INDEX(SP_CS_ShareCount,0,COLUMN()))/(CH52/CH48)-1)&gt;10,"NMF",(INDEX(SP_Company1876_NI,0,COLUMN())/INDEX(SP_CS_ShareCount,0,COLUMN()))/(CH52/CH48)-1))</f>
        <v>0.22035393684065419</v>
      </c>
      <c r="CJ116" s="1247">
        <f>IF(OR(INDEX(SP_Company1876_NI,0,COLUMN())&lt;=0,CI52&lt;=0),"NMF",IF(ABS((INDEX(SP_Company1876_NI,0,COLUMN())/INDEX(SP_CS_ShareCount,0,COLUMN()))/(CI52/CI48)-1)&gt;10,"NMF",(INDEX(SP_Company1876_NI,0,COLUMN())/INDEX(SP_CS_ShareCount,0,COLUMN()))/(CI52/CI48)-1))</f>
        <v>0.19801914528116371</v>
      </c>
      <c r="CK116" s="1247">
        <f>IF(OR(INDEX(SP_Company1876_NI,0,COLUMN())&lt;=0,CJ52&lt;=0),"NMF",IF(ABS((INDEX(SP_Company1876_NI,0,COLUMN())/INDEX(SP_CS_ShareCount,0,COLUMN()))/(CJ52/CJ48)-1)&gt;10,"NMF",(INDEX(SP_Company1876_NI,0,COLUMN())/INDEX(SP_CS_ShareCount,0,COLUMN()))/(CJ52/CJ48)-1))</f>
        <v>0.19566668642911744</v>
      </c>
      <c r="CL116" s="130"/>
    </row>
    <row r="117" spans="1:90" s="985" customFormat="1" x14ac:dyDescent="0.3">
      <c r="A117" s="219" t="s">
        <v>365</v>
      </c>
      <c r="B117" s="202"/>
      <c r="C117" s="1247"/>
      <c r="D117" s="1247">
        <f ca="1">IFERROR(IF(OR(INDEX(SP_CFA_CFO,0,COLUMN())&lt;=0,C66&lt;=0),"NMF",IF(ABS((INDEX(SP_CFA_CFO,0,COLUMN())/INDEX(SP_GF_ShareCount,0,COLUMN()))/(C66/C48)-1)&gt;10,"NMF",(INDEX(SP_CFA_CFO,0,COLUMN())/INDEX(SP_GF_ShareCount,0,COLUMN()))/(C66/C48)-1)),"N/A")</f>
        <v>0.95108173610968594</v>
      </c>
      <c r="E117" s="1247">
        <f ca="1">IFERROR(IF(OR(INDEX(SP_CFA_CFO,0,COLUMN())&lt;=0,D66&lt;=0),"NMF",IF(ABS((INDEX(SP_CFA_CFO,0,COLUMN())/INDEX(SP_GF_ShareCount,0,COLUMN()))/(D66/D48)-1)&gt;10,"NMF",(INDEX(SP_CFA_CFO,0,COLUMN())/INDEX(SP_GF_ShareCount,0,COLUMN()))/(D66/D48)-1)),"N/A")</f>
        <v>0.29333841590853593</v>
      </c>
      <c r="F117" s="1247">
        <f ca="1">IFERROR(IF(OR(INDEX(SP_CFA_CFO,0,COLUMN())&lt;=0,E66&lt;=0),"NMF",IF(ABS((INDEX(SP_CFA_CFO,0,COLUMN())/INDEX(SP_GF_ShareCount,0,COLUMN()))/(E66/E48)-1)&gt;10,"NMF",(INDEX(SP_CFA_CFO,0,COLUMN())/INDEX(SP_GF_ShareCount,0,COLUMN()))/(E66/E48)-1)),"N/A")</f>
        <v>0.28487886278347752</v>
      </c>
      <c r="G117" s="129"/>
      <c r="H117" s="129"/>
      <c r="I117" s="129"/>
      <c r="J117" s="129"/>
      <c r="K117" s="1247">
        <f t="shared" ref="K117:AP117" ca="1" si="430">IFERROR(IF(OR(INDEX(SP_CFA_CFO,0,COLUMN())&lt;=0,F66&lt;=0),"NMF",IF(ABS((INDEX(SP_CFA_CFO,0,COLUMN())/INDEX(SP_GF_ShareCount,0,COLUMN()))/(F66/F48)-1)&gt;10,"NMF",(INDEX(SP_CFA_CFO,0,COLUMN())/INDEX(SP_GF_ShareCount,0,COLUMN()))/(F66/F48)-1)),"N/A")</f>
        <v>-0.10593003212253016</v>
      </c>
      <c r="L117" s="129" t="str">
        <f t="shared" ca="1" si="430"/>
        <v>NMF</v>
      </c>
      <c r="M117" s="129">
        <f t="shared" ca="1" si="430"/>
        <v>-0.49452495705979316</v>
      </c>
      <c r="N117" s="129">
        <f t="shared" ca="1" si="430"/>
        <v>-4.4723405686950657E-2</v>
      </c>
      <c r="O117" s="129">
        <f t="shared" ca="1" si="430"/>
        <v>-4.2791803126956518E-2</v>
      </c>
      <c r="P117" s="1247">
        <f t="shared" ca="1" si="430"/>
        <v>6.5198162644988233E-2</v>
      </c>
      <c r="Q117" s="129">
        <f t="shared" ca="1" si="430"/>
        <v>-6.597947473294663E-2</v>
      </c>
      <c r="R117" s="129">
        <f t="shared" ca="1" si="430"/>
        <v>3.1747574273154111E-2</v>
      </c>
      <c r="S117" s="129">
        <f t="shared" ca="1" si="430"/>
        <v>0.40408465021717088</v>
      </c>
      <c r="T117" s="129">
        <f t="shared" ca="1" si="430"/>
        <v>0.14593468867785164</v>
      </c>
      <c r="U117" s="1247">
        <f t="shared" ca="1" si="430"/>
        <v>0.14557011396979824</v>
      </c>
      <c r="V117" s="129">
        <f t="shared" ca="1" si="430"/>
        <v>0.65232966463199094</v>
      </c>
      <c r="W117" s="129">
        <f t="shared" ca="1" si="430"/>
        <v>0.75635945048309172</v>
      </c>
      <c r="X117" s="129">
        <f t="shared" ca="1" si="430"/>
        <v>0.18693693693693691</v>
      </c>
      <c r="Y117" s="129">
        <f t="shared" ca="1" si="430"/>
        <v>0.13315497589387748</v>
      </c>
      <c r="Z117" s="1247">
        <f t="shared" ca="1" si="430"/>
        <v>0.31323748947861585</v>
      </c>
      <c r="AA117" s="129">
        <f t="shared" ca="1" si="430"/>
        <v>0.28304992556967812</v>
      </c>
      <c r="AB117" s="129">
        <f t="shared" ca="1" si="430"/>
        <v>0.15187179166145004</v>
      </c>
      <c r="AC117" s="129">
        <f t="shared" ca="1" si="430"/>
        <v>0.54643962848297201</v>
      </c>
      <c r="AD117" s="129">
        <f t="shared" ca="1" si="430"/>
        <v>0.2820732349841939</v>
      </c>
      <c r="AE117" s="1247">
        <f t="shared" ca="1" si="430"/>
        <v>0.30772920696324957</v>
      </c>
      <c r="AF117" s="129">
        <f t="shared" ca="1" si="430"/>
        <v>-0.19917205381650194</v>
      </c>
      <c r="AG117" s="129">
        <f t="shared" ca="1" si="430"/>
        <v>2.2952305246422893</v>
      </c>
      <c r="AH117" s="129">
        <f t="shared" ca="1" si="430"/>
        <v>1.6012306235948408</v>
      </c>
      <c r="AI117" s="129">
        <f t="shared" ca="1" si="430"/>
        <v>0.87448320713522554</v>
      </c>
      <c r="AJ117" s="1247">
        <f t="shared" ca="1" si="430"/>
        <v>1.0210064635272391</v>
      </c>
      <c r="AK117" s="129">
        <f t="shared" ca="1" si="430"/>
        <v>4.1322989599619326</v>
      </c>
      <c r="AL117" s="129">
        <f t="shared" ca="1" si="430"/>
        <v>0.30332368794326237</v>
      </c>
      <c r="AM117" s="129">
        <f t="shared" ca="1" si="430"/>
        <v>-0.5784103716508211</v>
      </c>
      <c r="AN117" s="129">
        <f t="shared" ca="1" si="430"/>
        <v>-0.33018717538145281</v>
      </c>
      <c r="AO117" s="1247">
        <f t="shared" ca="1" si="430"/>
        <v>7.3956365593287332E-2</v>
      </c>
      <c r="AP117" s="129">
        <f t="shared" ca="1" si="430"/>
        <v>-0.49364130679009577</v>
      </c>
      <c r="AQ117" s="129">
        <f t="shared" ref="AQ117:BI117" ca="1" si="431">IFERROR(IF(OR(INDEX(SP_CFA_CFO,0,COLUMN())&lt;=0,AL66&lt;=0),"NMF",IF(ABS((INDEX(SP_CFA_CFO,0,COLUMN())/INDEX(SP_GF_ShareCount,0,COLUMN()))/(AL66/AL48)-1)&gt;10,"NMF",(INDEX(SP_CFA_CFO,0,COLUMN())/INDEX(SP_GF_ShareCount,0,COLUMN()))/(AL66/AL48)-1)),"N/A")</f>
        <v>4.0170125602765339E-2</v>
      </c>
      <c r="AR117" s="129">
        <f t="shared" ca="1" si="431"/>
        <v>2.4057003116631113</v>
      </c>
      <c r="AS117" s="129">
        <f t="shared" ca="1" si="431"/>
        <v>0.62614900171789878</v>
      </c>
      <c r="AT117" s="1247">
        <f t="shared" ca="1" si="431"/>
        <v>0.2843236176785664</v>
      </c>
      <c r="AU117" s="129">
        <f t="shared" ca="1" si="431"/>
        <v>0.2503215434083601</v>
      </c>
      <c r="AV117" s="129">
        <f t="shared" ca="1" si="431"/>
        <v>0.64740176401518279</v>
      </c>
      <c r="AW117" s="129">
        <f t="shared" ca="1" si="431"/>
        <v>-0.23497677119628346</v>
      </c>
      <c r="AX117" s="129">
        <f t="shared" ca="1" si="431"/>
        <v>0.38856141451620752</v>
      </c>
      <c r="AY117" s="1247">
        <f t="shared" ca="1" si="431"/>
        <v>0.20338017089489036</v>
      </c>
      <c r="AZ117" s="129">
        <f t="shared" ca="1" si="431"/>
        <v>1.0289858099734026</v>
      </c>
      <c r="BA117" s="129">
        <f t="shared" ca="1" si="431"/>
        <v>0.69262363256380843</v>
      </c>
      <c r="BB117" s="129">
        <f t="shared" ca="1" si="431"/>
        <v>0.17922357338124328</v>
      </c>
      <c r="BC117" s="129">
        <f t="shared" ca="1" si="431"/>
        <v>0.45523622687132348</v>
      </c>
      <c r="BD117" s="1247">
        <f t="shared" ca="1" si="431"/>
        <v>0.55021698962718446</v>
      </c>
      <c r="BE117" s="129">
        <f t="shared" ca="1" si="431"/>
        <v>-7.9584160823231387E-2</v>
      </c>
      <c r="BF117" s="129">
        <f t="shared" ca="1" si="431"/>
        <v>-0.52346147963992418</v>
      </c>
      <c r="BG117" s="129">
        <f t="shared" ca="1" si="431"/>
        <v>-0.73790806645238738</v>
      </c>
      <c r="BH117" s="129">
        <f t="shared" ca="1" si="431"/>
        <v>-0.23847234983876064</v>
      </c>
      <c r="BI117" s="1247">
        <f t="shared" ca="1" si="431"/>
        <v>-0.37373706717370547</v>
      </c>
      <c r="BJ117" s="129">
        <f t="shared" ref="BJ117:BO117" ca="1" si="432">IFERROR(IF(OR(INDEX(SP_CFA_CFO,0,COLUMN())&lt;=0,BE66&lt;=0),"NMF",IF(ABS((INDEX(SP_CFA_CFO,0,COLUMN())/INDEX(SP_GF_ShareCount,0,COLUMN()))/(BE66/BE48)-1)&gt;10,"NMF",(INDEX(SP_CFA_CFO,0,COLUMN())/INDEX(SP_GF_ShareCount,0,COLUMN()))/(BE66/BE48)-1)),"N/A")</f>
        <v>0.7134295703901683</v>
      </c>
      <c r="BK117" s="129">
        <f t="shared" ca="1" si="432"/>
        <v>4.0324280893459745</v>
      </c>
      <c r="BL117" s="129" t="str">
        <f t="shared" ca="1" si="432"/>
        <v>NMF</v>
      </c>
      <c r="BM117" s="129">
        <f t="shared" ca="1" si="432"/>
        <v>4.0885075890751628</v>
      </c>
      <c r="BN117" s="1247">
        <f t="shared" ca="1" si="432"/>
        <v>4.0055698292103852</v>
      </c>
      <c r="BO117" s="129">
        <f t="shared" ca="1" si="432"/>
        <v>4.273502276385039</v>
      </c>
      <c r="BP117" s="129">
        <f t="shared" ref="BP117:CC117" ca="1" si="433">IFERROR(IF(OR(INDEX(SP_CFA_CFO,0,COLUMN())&lt;=0,BK66&lt;=0),"NMF",IF(ABS((INDEX(SP_CFA_CFO,0,COLUMN())/INDEX(SP_GF_ShareCount,0,COLUMN()))/(BK66/BK48)-1)&gt;10,"NMF",(INDEX(SP_CFA_CFO,0,COLUMN())/INDEX(SP_GF_ShareCount,0,COLUMN()))/(BK66/BK48)-1)),"N/A")</f>
        <v>1.2953363634261144</v>
      </c>
      <c r="BQ117" s="129">
        <f t="shared" ca="1" si="433"/>
        <v>1.4202279055471063</v>
      </c>
      <c r="BR117" s="129">
        <f t="shared" ca="1" si="433"/>
        <v>0.45748122628608656</v>
      </c>
      <c r="BS117" s="1247">
        <f t="shared" ca="1" si="433"/>
        <v>1.2940690327224176</v>
      </c>
      <c r="BT117" s="129">
        <f t="shared" ref="BT117:BY117" ca="1" si="434">IFERROR(IF(OR(INDEX(SP_CFA_CFO,0,COLUMN())&lt;=0,BO66&lt;=0),"NMF",IF(ABS((INDEX(SP_CFA_CFO,0,COLUMN())/INDEX(SP_GF_ShareCount,0,COLUMN()))/(BO66/BO48)-1)&gt;10,"NMF",(INDEX(SP_CFA_CFO,0,COLUMN())/INDEX(SP_GF_ShareCount,0,COLUMN()))/(BO66/BO48)-1)),"N/A")</f>
        <v>0.80676284869400727</v>
      </c>
      <c r="BU117" s="129">
        <f t="shared" ca="1" si="434"/>
        <v>7.4193721485535713E-2</v>
      </c>
      <c r="BV117" s="129">
        <f t="shared" ca="1" si="434"/>
        <v>0.36343675019219335</v>
      </c>
      <c r="BW117" s="129">
        <f t="shared" ca="1" si="434"/>
        <v>1.2006038361825428</v>
      </c>
      <c r="BX117" s="1247">
        <f t="shared" ca="1" si="434"/>
        <v>0.62170031272277981</v>
      </c>
      <c r="BY117" s="965">
        <f t="shared" ca="1" si="434"/>
        <v>0.85299805950416219</v>
      </c>
      <c r="BZ117" s="129">
        <f t="shared" ca="1" si="433"/>
        <v>1.7624322141591406</v>
      </c>
      <c r="CA117" s="129">
        <f t="shared" ca="1" si="433"/>
        <v>0.60579648417152776</v>
      </c>
      <c r="CB117" s="129">
        <f t="shared" ca="1" si="433"/>
        <v>0.55671716924275327</v>
      </c>
      <c r="CC117" s="1247">
        <f t="shared" ca="1" si="433"/>
        <v>0.82774623771421152</v>
      </c>
      <c r="CD117" s="129">
        <f ca="1">IFERROR(IF(OR(INDEX(SP_CFA_CFO,0,COLUMN())&lt;=0,BY66&lt;=0),"NMF",IF(ABS((INDEX(SP_CFA_CFO,0,COLUMN())/INDEX(SP_GF_ShareCount,0,COLUMN()))/(BY66/BY48)-1)&gt;10,"NMF",(INDEX(SP_CFA_CFO,0,COLUMN())/INDEX(SP_GF_ShareCount,0,COLUMN()))/(BY66/BY48)-1)),"N/A")</f>
        <v>0.40504434627191621</v>
      </c>
      <c r="CE117" s="129">
        <f ca="1">IFERROR(IF(OR(INDEX(SP_CFA_CFO,0,COLUMN())&lt;=0,BZ66&lt;=0),"NMF",IF(ABS((INDEX(SP_CFA_CFO,0,COLUMN())/INDEX(SP_GF_ShareCount,0,COLUMN()))/(BZ66/BZ48)-1)&gt;10,"NMF",(INDEX(SP_CFA_CFO,0,COLUMN())/INDEX(SP_GF_ShareCount,0,COLUMN()))/(BZ66/BZ48)-1)),"N/A")</f>
        <v>0.4120604156611769</v>
      </c>
      <c r="CF117" s="129">
        <f ca="1">IFERROR(IF(OR(INDEX(SP_CFA_CFO,0,COLUMN())&lt;=0,CA66&lt;=0),"NMF",IF(ABS((INDEX(SP_CFA_CFO,0,COLUMN())/INDEX(SP_GF_ShareCount,0,COLUMN()))/(CA66/CA48)-1)&gt;10,"NMF",(INDEX(SP_CFA_CFO,0,COLUMN())/INDEX(SP_GF_ShareCount,0,COLUMN()))/(CA66/CA48)-1)),"N/A")</f>
        <v>0.33221341235264701</v>
      </c>
      <c r="CG117" s="129">
        <f ca="1">IFERROR(IF(OR(INDEX(SP_CFA_CFO,0,COLUMN())&lt;=0,CB66&lt;=0),"NMF",IF(ABS((INDEX(SP_CFA_CFO,0,COLUMN())/INDEX(SP_GF_ShareCount,0,COLUMN()))/(CB66/CB48)-1)&gt;10,"NMF",(INDEX(SP_CFA_CFO,0,COLUMN())/INDEX(SP_GF_ShareCount,0,COLUMN()))/(CB66/CB48)-1)),"N/A")</f>
        <v>0.30075478898525754</v>
      </c>
      <c r="CH117" s="1247">
        <f ca="1">IFERROR(IF(OR(INDEX(SP_CFA_CFO,0,COLUMN())&lt;=0,CC66&lt;=0),"NMF",IF(ABS((INDEX(SP_CFA_CFO,0,COLUMN())/INDEX(SP_GF_ShareCount,0,COLUMN()))/(CC66/CC48)-1)&gt;10,"NMF",(INDEX(SP_CFA_CFO,0,COLUMN())/INDEX(SP_GF_ShareCount,0,COLUMN()))/(CC66/CC48)-1)),"N/A")</f>
        <v>0.36026854713404521</v>
      </c>
      <c r="CI117" s="1247">
        <f ca="1">IFERROR(IF(OR(INDEX(SP_CFA_CFO,0,COLUMN())&lt;=0,CH66&lt;=0),"NMF",IF(ABS((INDEX(SP_CFA_CFO,0,COLUMN())/INDEX(SP_GF_ShareCount,0,COLUMN()))/(CH66/CH48)-1)&gt;10,"NMF",(INDEX(SP_CFA_CFO,0,COLUMN())/INDEX(SP_GF_ShareCount,0,COLUMN()))/(CH66/CH48)-1)),"N/A")</f>
        <v>0.2288934207133333</v>
      </c>
      <c r="CJ117" s="1247">
        <f ca="1">IFERROR(IF(OR(INDEX(SP_CFA_CFO,0,COLUMN())&lt;=0,CI66&lt;=0),"NMF",IF(ABS((INDEX(SP_CFA_CFO,0,COLUMN())/INDEX(SP_GF_ShareCount,0,COLUMN()))/(CI66/CI48)-1)&gt;10,"NMF",(INDEX(SP_CFA_CFO,0,COLUMN())/INDEX(SP_GF_ShareCount,0,COLUMN()))/(CI66/CI48)-1)),"N/A")</f>
        <v>0.19919284213782174</v>
      </c>
      <c r="CK117" s="1247">
        <f ca="1">IFERROR(IF(OR(INDEX(SP_CFA_CFO,0,COLUMN())&lt;=0,CJ66&lt;=0),"NMF",IF(ABS((INDEX(SP_CFA_CFO,0,COLUMN())/INDEX(SP_GF_ShareCount,0,COLUMN()))/(CJ66/CJ48)-1)&gt;10,"NMF",(INDEX(SP_CFA_CFO,0,COLUMN())/INDEX(SP_GF_ShareCount,0,COLUMN()))/(CJ66/CJ48)-1)),"N/A")</f>
        <v>0.19410515686486107</v>
      </c>
      <c r="CL117" s="130"/>
    </row>
    <row r="118" spans="1:90" s="985" customFormat="1" x14ac:dyDescent="0.3">
      <c r="A118" s="219" t="s">
        <v>366</v>
      </c>
      <c r="B118" s="202"/>
      <c r="C118" s="1247"/>
      <c r="D118" s="1247" t="str">
        <f ca="1">IF(OR(INDEX(SP_CFA_FCF_PreDiv,0,COLUMN())&lt;=0,C68&lt;=0),"NMF",IF(ABS((INDEX(SP_CFA_FCF_PreDiv,0,COLUMN())/INDEX(SP_CS_ShareCount,0,COLUMN()))/(C68/C48)-1)&gt;10,"NMF",(INDEX(SP_CFA_FCF_PreDiv,0,COLUMN())/INDEX(SP_CS_ShareCount,0,COLUMN()))/(C68/C48)-1))</f>
        <v>NMF</v>
      </c>
      <c r="E118" s="1247">
        <f ca="1">IF(OR(INDEX(SP_CFA_FCF_PreDiv,0,COLUMN())&lt;=0,D68&lt;=0),"NMF",IF(ABS((INDEX(SP_CFA_FCF_PreDiv,0,COLUMN())/INDEX(SP_CS_ShareCount,0,COLUMN()))/(D68/D48)-1)&gt;10,"NMF",(INDEX(SP_CFA_FCF_PreDiv,0,COLUMN())/INDEX(SP_CS_ShareCount,0,COLUMN()))/(D68/D48)-1))</f>
        <v>0.28599832305864248</v>
      </c>
      <c r="F118" s="1247">
        <f ca="1">IF(OR(INDEX(SP_CFA_FCF_PreDiv,0,COLUMN())&lt;=0,E68&lt;=0),"NMF",IF(ABS((INDEX(SP_CFA_FCF_PreDiv,0,COLUMN())/INDEX(SP_CS_ShareCount,0,COLUMN()))/(E68/E48)-1)&gt;10,"NMF",(INDEX(SP_CFA_FCF_PreDiv,0,COLUMN())/INDEX(SP_CS_ShareCount,0,COLUMN()))/(E68/E48)-1))</f>
        <v>0.25582885868146632</v>
      </c>
      <c r="G118" s="129"/>
      <c r="H118" s="129"/>
      <c r="I118" s="129"/>
      <c r="J118" s="129"/>
      <c r="K118" s="1247">
        <f t="shared" ref="K118:AP118" ca="1" si="435">IF(OR(INDEX(SP_CFA_FCF_PreDiv,0,COLUMN())&lt;=0,F68&lt;=0),"NMF",IF(ABS((INDEX(SP_CFA_FCF_PreDiv,0,COLUMN())/INDEX(SP_CS_ShareCount,0,COLUMN()))/(F68/F48)-1)&gt;10,"NMF",(INDEX(SP_CFA_FCF_PreDiv,0,COLUMN())/INDEX(SP_CS_ShareCount,0,COLUMN()))/(F68/F48)-1))</f>
        <v>-0.1762085474483418</v>
      </c>
      <c r="L118" s="129" t="str">
        <f t="shared" ca="1" si="435"/>
        <v>NMF</v>
      </c>
      <c r="M118" s="129">
        <f t="shared" ca="1" si="435"/>
        <v>-0.90809482125562979</v>
      </c>
      <c r="N118" s="129">
        <f t="shared" ca="1" si="435"/>
        <v>-7.3388170626214055E-2</v>
      </c>
      <c r="O118" s="129">
        <f t="shared" ca="1" si="435"/>
        <v>-0.10600418499819786</v>
      </c>
      <c r="P118" s="1247">
        <f t="shared" ca="1" si="435"/>
        <v>-1.575846794087854E-2</v>
      </c>
      <c r="Q118" s="129">
        <f t="shared" ca="1" si="435"/>
        <v>0.2245354486462019</v>
      </c>
      <c r="R118" s="129">
        <f t="shared" ca="1" si="435"/>
        <v>5.500061858346263</v>
      </c>
      <c r="S118" s="129">
        <f t="shared" ca="1" si="435"/>
        <v>0.55432403636334171</v>
      </c>
      <c r="T118" s="129">
        <f t="shared" ca="1" si="435"/>
        <v>0.27523046155113606</v>
      </c>
      <c r="U118" s="1247">
        <f t="shared" ca="1" si="435"/>
        <v>0.4456909721615967</v>
      </c>
      <c r="V118" s="129">
        <f t="shared" ca="1" si="435"/>
        <v>0.76403296678451449</v>
      </c>
      <c r="W118" s="129">
        <f t="shared" ca="1" si="435"/>
        <v>0.9989347107762927</v>
      </c>
      <c r="X118" s="129">
        <f t="shared" ca="1" si="435"/>
        <v>0.29791032274685758</v>
      </c>
      <c r="Y118" s="129">
        <f t="shared" ca="1" si="435"/>
        <v>0.13079781921773437</v>
      </c>
      <c r="Z118" s="1247">
        <f t="shared" ca="1" si="435"/>
        <v>0.38411368972367699</v>
      </c>
      <c r="AA118" s="129">
        <f t="shared" ca="1" si="435"/>
        <v>0.15443510737628396</v>
      </c>
      <c r="AB118" s="129">
        <f t="shared" ca="1" si="435"/>
        <v>5.8992805755395672E-2</v>
      </c>
      <c r="AC118" s="129">
        <f t="shared" ca="1" si="435"/>
        <v>0.3963244872417051</v>
      </c>
      <c r="AD118" s="129">
        <f t="shared" ca="1" si="435"/>
        <v>0.1068023960469886</v>
      </c>
      <c r="AE118" s="1247">
        <f t="shared" ca="1" si="435"/>
        <v>0.10216158701007205</v>
      </c>
      <c r="AF118" s="129">
        <f t="shared" ca="1" si="435"/>
        <v>-0.24298540965207627</v>
      </c>
      <c r="AG118" s="129">
        <f t="shared" ca="1" si="435"/>
        <v>2.6109350237717908</v>
      </c>
      <c r="AH118" s="129">
        <f t="shared" ca="1" si="435"/>
        <v>1.6398493120071516</v>
      </c>
      <c r="AI118" s="129">
        <f t="shared" ca="1" si="435"/>
        <v>0.39701492537313432</v>
      </c>
      <c r="AJ118" s="1247">
        <f t="shared" ca="1" si="435"/>
        <v>0.84105449691613732</v>
      </c>
      <c r="AK118" s="129">
        <f t="shared" ca="1" si="435"/>
        <v>4.8109076433121025</v>
      </c>
      <c r="AL118" s="129">
        <f t="shared" ca="1" si="435"/>
        <v>0.20814254600332704</v>
      </c>
      <c r="AM118" s="129">
        <f t="shared" ca="1" si="435"/>
        <v>-0.69075136035275353</v>
      </c>
      <c r="AN118" s="129">
        <f t="shared" ca="1" si="435"/>
        <v>-0.24903321201091899</v>
      </c>
      <c r="AO118" s="1247">
        <f t="shared" ca="1" si="435"/>
        <v>8.737702828494287E-2</v>
      </c>
      <c r="AP118" s="129">
        <f t="shared" ca="1" si="435"/>
        <v>-0.54810593035364585</v>
      </c>
      <c r="AQ118" s="129">
        <f t="shared" ref="AQ118:BG118" ca="1" si="436">IF(OR(INDEX(SP_CFA_FCF_PreDiv,0,COLUMN())&lt;=0,AL68&lt;=0),"NMF",IF(ABS((INDEX(SP_CFA_FCF_PreDiv,0,COLUMN())/INDEX(SP_CS_ShareCount,0,COLUMN()))/(AL68/AL48)-1)&gt;10,"NMF",(INDEX(SP_CFA_FCF_PreDiv,0,COLUMN())/INDEX(SP_CS_ShareCount,0,COLUMN()))/(AL68/AL48)-1))</f>
        <v>6.5082079909886126E-2</v>
      </c>
      <c r="AR118" s="129">
        <f t="shared" ca="1" si="436"/>
        <v>3.59761175457069</v>
      </c>
      <c r="AS118" s="129">
        <f t="shared" ca="1" si="436"/>
        <v>0.89316372988565673</v>
      </c>
      <c r="AT118" s="1247">
        <f t="shared" ca="1" si="436"/>
        <v>0.36577718140611526</v>
      </c>
      <c r="AU118" s="129">
        <f t="shared" ca="1" si="436"/>
        <v>0.25933798967506827</v>
      </c>
      <c r="AV118" s="129">
        <f t="shared" ca="1" si="436"/>
        <v>0.61156232013813394</v>
      </c>
      <c r="AW118" s="129">
        <f t="shared" ca="1" si="436"/>
        <v>-0.48640558768548026</v>
      </c>
      <c r="AX118" s="129">
        <f t="shared" ca="1" si="436"/>
        <v>0.32799194476409665</v>
      </c>
      <c r="AY118" s="1247">
        <f t="shared" ca="1" si="436"/>
        <v>7.6145408572090068E-2</v>
      </c>
      <c r="AZ118" s="129">
        <f t="shared" ca="1" si="436"/>
        <v>1.0506238023914518</v>
      </c>
      <c r="BA118" s="129">
        <f t="shared" ca="1" si="436"/>
        <v>0.82847424939732628</v>
      </c>
      <c r="BB118" s="129">
        <f t="shared" ca="1" si="436"/>
        <v>0.5958821237413614</v>
      </c>
      <c r="BC118" s="129">
        <f t="shared" ca="1" si="436"/>
        <v>0.5331146640468607</v>
      </c>
      <c r="BD118" s="1247">
        <f t="shared" ca="1" si="436"/>
        <v>0.70996071563999696</v>
      </c>
      <c r="BE118" s="129">
        <f t="shared" ca="1" si="436"/>
        <v>-0.13311106438790932</v>
      </c>
      <c r="BF118" s="129">
        <f t="shared" ca="1" si="436"/>
        <v>-0.66213035014802735</v>
      </c>
      <c r="BG118" s="129" t="str">
        <f t="shared" ca="1" si="436"/>
        <v>NMF</v>
      </c>
      <c r="BH118" s="129">
        <f t="shared" ref="BH118:BN118" ca="1" si="437">IF(OR(INDEX(SP_CFA_FCF_PreDiv,0,COLUMN())&lt;=0,BC68&lt;=0),"NMF",IF(ABS((INDEX(SP_CFA_FCF_PreDiv,0,COLUMN())/INDEX(SP_CS_ShareCount,0,COLUMN()))/(BC68/BC48)-1)&gt;10,"NMF",(INDEX(SP_CFA_FCF_PreDiv,0,COLUMN())/INDEX(SP_CS_ShareCount,0,COLUMN()))/(BC68/BC48)-1))</f>
        <v>-0.35315271468743237</v>
      </c>
      <c r="BI118" s="1247">
        <f t="shared" ca="1" si="437"/>
        <v>-0.52114832968802172</v>
      </c>
      <c r="BJ118" s="129">
        <f t="shared" ca="1" si="437"/>
        <v>0.97810248257163868</v>
      </c>
      <c r="BK118" s="129">
        <f t="shared" ca="1" si="437"/>
        <v>6.299877652557206</v>
      </c>
      <c r="BL118" s="129" t="str">
        <f t="shared" ca="1" si="437"/>
        <v>NMF</v>
      </c>
      <c r="BM118" s="129">
        <f t="shared" ca="1" si="437"/>
        <v>5.4377707648813214</v>
      </c>
      <c r="BN118" s="1247">
        <f t="shared" ca="1" si="437"/>
        <v>6.1500394118660333</v>
      </c>
      <c r="BO118" s="129">
        <f t="shared" ref="BO118:BT118" ca="1" si="438">IF(OR(INDEX(SP_CFA_FCF_PreDiv,0,COLUMN())&lt;=0,BJ68&lt;=0),"NMF",IF(ABS((INDEX(SP_CFA_FCF_PreDiv,0,COLUMN())/INDEX(SP_CS_ShareCount,0,COLUMN()))/(BJ68/BJ48)-1)&gt;10,"NMF",(INDEX(SP_CFA_FCF_PreDiv,0,COLUMN())/INDEX(SP_CS_ShareCount,0,COLUMN()))/(BJ68/BJ48)-1))</f>
        <v>4.6327812769911807</v>
      </c>
      <c r="BP118" s="129">
        <f t="shared" ca="1" si="438"/>
        <v>1.2440942762364244</v>
      </c>
      <c r="BQ118" s="129">
        <f t="shared" ca="1" si="438"/>
        <v>1.4020076223635169</v>
      </c>
      <c r="BR118" s="129">
        <f t="shared" ca="1" si="438"/>
        <v>0.39455193012000023</v>
      </c>
      <c r="BS118" s="1247">
        <f t="shared" ca="1" si="438"/>
        <v>1.2744981153231771</v>
      </c>
      <c r="BT118" s="129">
        <f t="shared" ca="1" si="438"/>
        <v>0.7722370778178711</v>
      </c>
      <c r="BU118" s="129">
        <f t="shared" ref="BU118:CH118" ca="1" si="439">IF(OR(INDEX(SP_CFA_FCF_PreDiv,0,COLUMN())&lt;=0,BP68&lt;=0),"NMF",IF(ABS((INDEX(SP_CFA_FCF_PreDiv,0,COLUMN())/INDEX(SP_CS_ShareCount,0,COLUMN()))/(BP68/BP48)-1)&gt;10,"NMF",(INDEX(SP_CFA_FCF_PreDiv,0,COLUMN())/INDEX(SP_CS_ShareCount,0,COLUMN()))/(BP68/BP48)-1))</f>
        <v>1.0590182477404397E-2</v>
      </c>
      <c r="BV118" s="129">
        <f t="shared" ca="1" si="439"/>
        <v>0.33210306099104159</v>
      </c>
      <c r="BW118" s="129">
        <f t="shared" ca="1" si="439"/>
        <v>1.2695114061434642</v>
      </c>
      <c r="BX118" s="1247">
        <f t="shared" ca="1" si="439"/>
        <v>0.61287006915470288</v>
      </c>
      <c r="BY118" s="965">
        <f ca="1">IF(OR(INDEX(SP_CFA_FCF_PreDiv,0,COLUMN())&lt;=0,BT68&lt;=0),"NMF",IF(ABS((INDEX(SP_CFA_FCF_PreDiv,0,COLUMN())/INDEX(SP_CS_ShareCount,0,COLUMN()))/(BT68/BT48)-1)&gt;10,"NMF",(INDEX(SP_CFA_FCF_PreDiv,0,COLUMN())/INDEX(SP_CS_ShareCount,0,COLUMN()))/(BT68/BT48)-1))</f>
        <v>0.87712370524029803</v>
      </c>
      <c r="BZ118" s="129">
        <f t="shared" ca="1" si="439"/>
        <v>2.1182813349011731</v>
      </c>
      <c r="CA118" s="129">
        <f t="shared" ca="1" si="439"/>
        <v>0.70987817133540432</v>
      </c>
      <c r="CB118" s="129">
        <f t="shared" ca="1" si="439"/>
        <v>0.60468261642846266</v>
      </c>
      <c r="CC118" s="1247">
        <f t="shared" ca="1" si="439"/>
        <v>0.91079474297058249</v>
      </c>
      <c r="CD118" s="129">
        <f t="shared" ca="1" si="439"/>
        <v>0.44918308348436886</v>
      </c>
      <c r="CE118" s="129">
        <f t="shared" ca="1" si="439"/>
        <v>0.41527935194452459</v>
      </c>
      <c r="CF118" s="129">
        <f t="shared" ca="1" si="439"/>
        <v>0.33507147135514415</v>
      </c>
      <c r="CG118" s="129">
        <f t="shared" ca="1" si="439"/>
        <v>0.30249799505952701</v>
      </c>
      <c r="CH118" s="1247">
        <f t="shared" ca="1" si="439"/>
        <v>0.37338830780532617</v>
      </c>
      <c r="CI118" s="1247">
        <f ca="1">IF(OR(INDEX(SP_CFA_FCF_PreDiv,0,COLUMN())&lt;=0,CH68&lt;=0),"NMF",IF(ABS((INDEX(SP_CFA_FCF_PreDiv,0,COLUMN())/INDEX(SP_CS_ShareCount,0,COLUMN()))/(CH68/CH48)-1)&gt;10,"NMF",(INDEX(SP_CFA_FCF_PreDiv,0,COLUMN())/INDEX(SP_CS_ShareCount,0,COLUMN()))/(CH68/CH48)-1))</f>
        <v>0.23006719140602439</v>
      </c>
      <c r="CJ118" s="1247">
        <f ca="1">IF(OR(INDEX(SP_CFA_FCF_PreDiv,0,COLUMN())&lt;=0,CI68&lt;=0),"NMF",IF(ABS((INDEX(SP_CFA_FCF_PreDiv,0,COLUMN())/INDEX(SP_CS_ShareCount,0,COLUMN()))/(CI68/CI48)-1)&gt;10,"NMF",(INDEX(SP_CFA_FCF_PreDiv,0,COLUMN())/INDEX(SP_CS_ShareCount,0,COLUMN()))/(CI68/CI48)-1))</f>
        <v>0.20002325648762032</v>
      </c>
      <c r="CK118" s="1247">
        <f ca="1">IF(OR(INDEX(SP_CFA_FCF_PreDiv,0,COLUMN())&lt;=0,CJ68&lt;=0),"NMF",IF(ABS((INDEX(SP_CFA_FCF_PreDiv,0,COLUMN())/INDEX(SP_CS_ShareCount,0,COLUMN()))/(CJ68/CJ48)-1)&gt;10,"NMF",(INDEX(SP_CFA_FCF_PreDiv,0,COLUMN())/INDEX(SP_CS_ShareCount,0,COLUMN()))/(CJ68/CJ48)-1))</f>
        <v>0.19477948072642604</v>
      </c>
      <c r="CL118" s="130"/>
    </row>
    <row r="119" spans="1:90" x14ac:dyDescent="0.3">
      <c r="A119" s="196"/>
      <c r="B119" s="200"/>
      <c r="C119" s="1246"/>
      <c r="D119" s="1246"/>
      <c r="E119" s="1246"/>
      <c r="F119" s="1246"/>
      <c r="G119" s="883"/>
      <c r="H119" s="883"/>
      <c r="I119" s="883"/>
      <c r="J119" s="883"/>
      <c r="K119" s="1246"/>
      <c r="L119" s="883"/>
      <c r="M119" s="883"/>
      <c r="N119" s="883"/>
      <c r="O119" s="883"/>
      <c r="P119" s="1246"/>
      <c r="Q119" s="883"/>
      <c r="R119" s="883"/>
      <c r="S119" s="883"/>
      <c r="T119" s="883"/>
      <c r="U119" s="1246"/>
      <c r="V119" s="883"/>
      <c r="W119" s="883"/>
      <c r="X119" s="883"/>
      <c r="Y119" s="883"/>
      <c r="Z119" s="1246"/>
      <c r="AA119" s="883"/>
      <c r="AB119" s="883"/>
      <c r="AC119" s="883"/>
      <c r="AD119" s="883"/>
      <c r="AE119" s="1246"/>
      <c r="AF119" s="883"/>
      <c r="AG119" s="883"/>
      <c r="AH119" s="883"/>
      <c r="AI119" s="883"/>
      <c r="AJ119" s="1246"/>
      <c r="AK119" s="883"/>
      <c r="AL119" s="883"/>
      <c r="AM119" s="883"/>
      <c r="AN119" s="883"/>
      <c r="AO119" s="1246"/>
      <c r="AP119" s="883"/>
      <c r="AQ119" s="883"/>
      <c r="AR119" s="883"/>
      <c r="AS119" s="883"/>
      <c r="AT119" s="1246"/>
      <c r="AU119" s="883"/>
      <c r="AV119" s="883"/>
      <c r="AW119" s="883"/>
      <c r="AX119" s="883"/>
      <c r="AY119" s="1246"/>
      <c r="AZ119" s="883"/>
      <c r="BA119" s="883"/>
      <c r="BB119" s="883"/>
      <c r="BC119" s="883"/>
      <c r="BD119" s="1246"/>
      <c r="BE119" s="883"/>
      <c r="BF119" s="883"/>
      <c r="BG119" s="883"/>
      <c r="BH119" s="883"/>
      <c r="BI119" s="1246"/>
      <c r="BJ119" s="883"/>
      <c r="BK119" s="883"/>
      <c r="BL119" s="883"/>
      <c r="BM119" s="883"/>
      <c r="BN119" s="1246"/>
      <c r="BO119" s="883"/>
      <c r="BP119" s="883"/>
      <c r="BQ119" s="883"/>
      <c r="BR119" s="883"/>
      <c r="BS119" s="1246"/>
      <c r="BT119" s="883"/>
      <c r="BU119" s="883"/>
      <c r="BV119" s="883"/>
      <c r="BW119" s="883"/>
      <c r="BX119" s="1246"/>
      <c r="BY119" s="1044"/>
      <c r="BZ119" s="883"/>
      <c r="CA119" s="883"/>
      <c r="CB119" s="883"/>
      <c r="CC119" s="1246"/>
      <c r="CD119" s="883"/>
      <c r="CE119" s="883"/>
      <c r="CF119" s="883"/>
      <c r="CG119" s="883"/>
      <c r="CH119" s="1246"/>
      <c r="CI119" s="1246"/>
      <c r="CJ119" s="1246"/>
      <c r="CK119" s="1246"/>
      <c r="CL119" s="883"/>
    </row>
    <row r="120" spans="1:90" x14ac:dyDescent="0.3">
      <c r="A120" s="126" t="s">
        <v>367</v>
      </c>
      <c r="B120" s="884"/>
      <c r="C120" s="884"/>
      <c r="D120" s="884"/>
      <c r="E120" s="884"/>
      <c r="F120" s="884"/>
      <c r="G120" s="884"/>
      <c r="H120" s="884"/>
      <c r="I120" s="884"/>
      <c r="J120" s="884"/>
      <c r="K120" s="884"/>
      <c r="L120" s="884"/>
      <c r="M120" s="884"/>
      <c r="N120" s="884"/>
      <c r="O120" s="884"/>
      <c r="P120" s="884"/>
      <c r="Q120" s="884"/>
      <c r="R120" s="884"/>
      <c r="S120" s="884"/>
      <c r="T120" s="884"/>
      <c r="U120" s="884"/>
      <c r="V120" s="884"/>
      <c r="W120" s="884"/>
      <c r="X120" s="884"/>
      <c r="Y120" s="884"/>
      <c r="Z120" s="884"/>
      <c r="AA120" s="884"/>
      <c r="AB120" s="884"/>
      <c r="AC120" s="884"/>
      <c r="AD120" s="884"/>
      <c r="AE120" s="884"/>
      <c r="AF120" s="884"/>
      <c r="AG120" s="884"/>
      <c r="AH120" s="884"/>
      <c r="AI120" s="884"/>
      <c r="AJ120" s="884"/>
      <c r="AK120" s="884"/>
      <c r="AL120" s="884"/>
      <c r="AM120" s="884"/>
      <c r="AN120" s="884"/>
      <c r="AO120" s="884"/>
      <c r="AP120" s="884"/>
      <c r="AQ120" s="884"/>
      <c r="AR120" s="884"/>
      <c r="AS120" s="884"/>
      <c r="AT120" s="884"/>
      <c r="AU120" s="884"/>
      <c r="AV120" s="884"/>
      <c r="AW120" s="884"/>
      <c r="AX120" s="884"/>
      <c r="AY120" s="884"/>
      <c r="AZ120" s="884"/>
      <c r="BA120" s="884"/>
      <c r="BB120" s="884"/>
      <c r="BC120" s="884"/>
      <c r="BD120" s="884"/>
      <c r="BE120" s="884"/>
      <c r="BF120" s="884"/>
      <c r="BG120" s="884"/>
      <c r="BH120" s="884"/>
      <c r="BI120" s="884"/>
      <c r="BJ120" s="884"/>
      <c r="BK120" s="884"/>
      <c r="BL120" s="884"/>
      <c r="BM120" s="884"/>
      <c r="BN120" s="884"/>
      <c r="BO120" s="884"/>
      <c r="BP120" s="884"/>
      <c r="BQ120" s="884"/>
      <c r="BR120" s="884"/>
      <c r="BS120" s="884"/>
      <c r="BT120" s="884"/>
      <c r="BU120" s="884"/>
      <c r="BV120" s="884"/>
      <c r="BW120" s="884"/>
      <c r="BX120" s="884"/>
      <c r="BY120" s="1045"/>
      <c r="BZ120" s="884"/>
      <c r="CA120" s="884"/>
      <c r="CB120" s="884"/>
      <c r="CC120" s="884"/>
      <c r="CD120" s="884"/>
      <c r="CE120" s="884"/>
      <c r="CF120" s="884"/>
      <c r="CG120" s="884"/>
      <c r="CH120" s="884"/>
      <c r="CI120" s="884"/>
      <c r="CJ120" s="884"/>
      <c r="CK120" s="884"/>
      <c r="CL120" s="885"/>
    </row>
    <row r="121" spans="1:90" s="999" customFormat="1" x14ac:dyDescent="0.3">
      <c r="A121" s="220" t="str">
        <f>"P/E - "&amp;SP.ValuationToggle</f>
        <v>P/E - EoP</v>
      </c>
      <c r="B121" s="221"/>
      <c r="C121" s="1256">
        <f>INDEX(SP_CS_StockPrice,0,COLUMN())/INDEX(SP_Company1876_EPS,0,COLUMN())</f>
        <v>27.186754136407927</v>
      </c>
      <c r="D121" s="1256">
        <f>INDEX(SP_CS_StockPrice,0,COLUMN())/INDEX(SP_Company1876_EPS,0,COLUMN())</f>
        <v>59.822919728680134</v>
      </c>
      <c r="E121" s="1256">
        <f>INDEX(SP_CS_StockPrice,0,COLUMN())/INDEX(SP_Company1876_EPS,0,COLUMN())</f>
        <v>29.359195657558345</v>
      </c>
      <c r="F121" s="1256">
        <f>INDEX(SP_CS_StockPrice,0,COLUMN())/INDEX(SP_Company1876_EPS,0,COLUMN())</f>
        <v>12.421318453280616</v>
      </c>
      <c r="G121" s="1047"/>
      <c r="H121" s="1047"/>
      <c r="I121" s="1047"/>
      <c r="J121" s="1047"/>
      <c r="K121" s="1256">
        <f>INDEX(SP_CS_StockPrice,0,COLUMN())/INDEX(SP_Company1876_EPS,0,COLUMN())</f>
        <v>10.570779312247984</v>
      </c>
      <c r="L121" s="1047"/>
      <c r="M121" s="1047"/>
      <c r="N121" s="1047"/>
      <c r="O121" s="1047"/>
      <c r="P121" s="1256">
        <f>INDEX(SP_CS_StockPrice,0,COLUMN())/INDEX(SP_Company1876_EPS,0,COLUMN())</f>
        <v>15.8832359914141</v>
      </c>
      <c r="Q121" s="1047"/>
      <c r="R121" s="1047"/>
      <c r="S121" s="1047"/>
      <c r="T121" s="1047"/>
      <c r="U121" s="1256">
        <f>INDEX(SP_CS_StockPrice,0,COLUMN())/INDEX(SP_Company1876_EPS,0,COLUMN())</f>
        <v>13.498504868913857</v>
      </c>
      <c r="V121" s="1047"/>
      <c r="W121" s="138"/>
      <c r="X121" s="138"/>
      <c r="Y121" s="138"/>
      <c r="Z121" s="1256">
        <f>INDEX(SP_CS_StockPrice,0,COLUMN())/INDEX(SP_Company1876_EPS,0,COLUMN())</f>
        <v>17.529860064585574</v>
      </c>
      <c r="AA121" s="138"/>
      <c r="AB121" s="138"/>
      <c r="AC121" s="138"/>
      <c r="AD121" s="138"/>
      <c r="AE121" s="1256">
        <f>INDEX(SP_CS_StockPrice,0,COLUMN())/INDEX(SP_Company1876_EPS,0,COLUMN())</f>
        <v>35.960075634792005</v>
      </c>
      <c r="AF121" s="138"/>
      <c r="AG121" s="138"/>
      <c r="AH121" s="138"/>
      <c r="AI121" s="138"/>
      <c r="AJ121" s="1256">
        <f>INDEX(SP_CS_StockPrice,0,COLUMN())/INDEX(SP_Company1876_EPS,0,COLUMN())</f>
        <v>49.330774716369525</v>
      </c>
      <c r="AK121" s="138"/>
      <c r="AL121" s="138"/>
      <c r="AM121" s="138"/>
      <c r="AN121" s="138"/>
      <c r="AO121" s="1256">
        <f>INDEX(SP_CS_StockPrice,0,COLUMN())/INDEX(SP_Company1876_EPS,0,COLUMN())</f>
        <v>20.69306299782766</v>
      </c>
      <c r="AP121" s="138"/>
      <c r="AQ121" s="138"/>
      <c r="AR121" s="138"/>
      <c r="AS121" s="138"/>
      <c r="AT121" s="1256">
        <f>INDEX(SP_CS_StockPrice,0,COLUMN())/INDEX(SP_Company1876_EPS,0,COLUMN())</f>
        <v>42.433122905027929</v>
      </c>
      <c r="AU121" s="138"/>
      <c r="AV121" s="138"/>
      <c r="AW121" s="138"/>
      <c r="AX121" s="138"/>
      <c r="AY121" s="1256">
        <f>INDEX(SP_CS_StockPrice,0,COLUMN())/INDEX(SP_Company1876_EPS,0,COLUMN())</f>
        <v>51.983833041261754</v>
      </c>
      <c r="AZ121" s="138"/>
      <c r="BA121" s="138"/>
      <c r="BB121" s="138"/>
      <c r="BC121" s="138"/>
      <c r="BD121" s="1256">
        <f>INDEX(SP_CS_StockPrice,0,COLUMN())/INDEX(SP_Company1876_EPS,0,COLUMN())</f>
        <v>51.424993338662404</v>
      </c>
      <c r="BE121" s="138"/>
      <c r="BF121" s="138"/>
      <c r="BG121" s="138"/>
      <c r="BH121" s="138"/>
      <c r="BI121" s="1256">
        <f>INDEX(SP_CS_StockPrice,0,COLUMN())/INDEX(SP_Company1876_EPS,0,COLUMN())</f>
        <v>57.421867081042308</v>
      </c>
      <c r="BJ121" s="138"/>
      <c r="BK121" s="138"/>
      <c r="BL121" s="138"/>
      <c r="BM121" s="138"/>
      <c r="BN121" s="1256">
        <f>INDEX(SP_CS_StockPrice,0,COLUMN())/INDEX(SP_Company1876_EPS,0,COLUMN())</f>
        <v>47.10674486258975</v>
      </c>
      <c r="BO121" s="138"/>
      <c r="BP121" s="138"/>
      <c r="BQ121" s="138"/>
      <c r="BR121" s="138"/>
      <c r="BS121" s="1256">
        <f>INDEX(SP_CS_StockPrice,0,COLUMN())/INDEX(SP_Company1876_EPS,0,COLUMN())</f>
        <v>47.634100585740256</v>
      </c>
      <c r="BT121" s="138"/>
      <c r="BU121" s="138"/>
      <c r="BV121" s="138"/>
      <c r="BW121" s="138"/>
      <c r="BX121" s="1256">
        <f>INDEX(SP_CS_StockPrice,0,COLUMN())/INDEX(SP_Company1876_EPS,0,COLUMN())</f>
        <v>39.32188329615289</v>
      </c>
      <c r="BY121" s="959"/>
      <c r="BZ121" s="138"/>
      <c r="CA121" s="138"/>
      <c r="CB121" s="138"/>
      <c r="CC121" s="1256">
        <f>INDEX(SP_CS_StockPrice,0,COLUMN())/INDEX(SP_Company1876_EPS,0,COLUMN())</f>
        <v>27.034802916117091</v>
      </c>
      <c r="CD121" s="138"/>
      <c r="CE121" s="138"/>
      <c r="CF121" s="138"/>
      <c r="CG121" s="138"/>
      <c r="CH121" s="1256">
        <f>INDEX(SP_CS_StockPrice,0,COLUMN())/INDEX(SP_Company1876_EPS,0,COLUMN())</f>
        <v>20.603874365592333</v>
      </c>
      <c r="CI121" s="1256">
        <f>INDEX(SP_CS_StockPrice,0,COLUMN())/INDEX(SP_Company1876_EPS,0,COLUMN())</f>
        <v>16.883523495596059</v>
      </c>
      <c r="CJ121" s="1256">
        <f>INDEX(SP_CS_StockPrice,0,COLUMN())/INDEX(SP_Company1876_EPS,0,COLUMN())</f>
        <v>14.092866180058964</v>
      </c>
      <c r="CK121" s="1256">
        <f>INDEX(SP_CS_StockPrice,0,COLUMN())/INDEX(SP_Company1876_EPS,0,COLUMN())</f>
        <v>11.786617742230147</v>
      </c>
      <c r="CL121" s="138"/>
    </row>
    <row r="122" spans="1:90" s="999" customFormat="1" x14ac:dyDescent="0.3">
      <c r="A122" s="220" t="str">
        <f>"EV/Sales - "&amp;SP.ValuationToggle</f>
        <v>EV/Sales - EoP</v>
      </c>
      <c r="B122" s="221"/>
      <c r="C122" s="1256">
        <f>INDEX(SP_CS_EV,0,COLUMN())/INDEX(SP_GF_Rev,0,COLUMN())</f>
        <v>0.89084166375900464</v>
      </c>
      <c r="D122" s="1256">
        <f>INDEX(SP_CS_EV,0,COLUMN())/INDEX(SP_GF_Rev,0,COLUMN())</f>
        <v>2.0854643461382949</v>
      </c>
      <c r="E122" s="1256">
        <f>INDEX(SP_CS_EV,0,COLUMN())/INDEX(SP_GF_Rev,0,COLUMN())</f>
        <v>3.3408985148515131</v>
      </c>
      <c r="F122" s="1256">
        <f>INDEX(SP_CS_EV,0,COLUMN())/INDEX(SP_GF_Rev,0,COLUMN())</f>
        <v>1.5359513292128681</v>
      </c>
      <c r="G122" s="1047"/>
      <c r="H122" s="1047"/>
      <c r="I122" s="1047"/>
      <c r="J122" s="1047"/>
      <c r="K122" s="1256">
        <f>INDEX(SP_CS_EV,0,COLUMN())/INDEX(SP_GF_Rev,0,COLUMN())</f>
        <v>0.92495375309188277</v>
      </c>
      <c r="L122" s="1047"/>
      <c r="M122" s="1047"/>
      <c r="N122" s="1047"/>
      <c r="O122" s="1047"/>
      <c r="P122" s="1256">
        <f>INDEX(SP_CS_EV,0,COLUMN())/INDEX(SP_GF_Rev,0,COLUMN())</f>
        <v>1.3885903115858405</v>
      </c>
      <c r="Q122" s="1047"/>
      <c r="R122" s="1047"/>
      <c r="S122" s="1047"/>
      <c r="T122" s="1047"/>
      <c r="U122" s="1256">
        <f>INDEX(SP_CS_EV,0,COLUMN())/INDEX(SP_GF_Rev,0,COLUMN())</f>
        <v>1.5914562115335329</v>
      </c>
      <c r="V122" s="1047"/>
      <c r="W122" s="138"/>
      <c r="X122" s="138"/>
      <c r="Y122" s="138"/>
      <c r="Z122" s="1256">
        <f>INDEX(SP_CS_EV,0,COLUMN())/INDEX(SP_GF_Rev,0,COLUMN())</f>
        <v>2.5991716566866265</v>
      </c>
      <c r="AA122" s="138"/>
      <c r="AB122" s="138"/>
      <c r="AC122" s="138"/>
      <c r="AD122" s="138"/>
      <c r="AE122" s="1256">
        <f>INDEX(SP_CS_EV,0,COLUMN())/INDEX(SP_GF_Rev,0,COLUMN())</f>
        <v>10.457577424023153</v>
      </c>
      <c r="AF122" s="138"/>
      <c r="AG122" s="138"/>
      <c r="AH122" s="138"/>
      <c r="AI122" s="138"/>
      <c r="AJ122" s="1256">
        <f>INDEX(SP_CS_EV,0,COLUMN())/INDEX(SP_GF_Rev,0,COLUMN())</f>
        <v>15.440609429689108</v>
      </c>
      <c r="AK122" s="138"/>
      <c r="AL122" s="138"/>
      <c r="AM122" s="138"/>
      <c r="AN122" s="138"/>
      <c r="AO122" s="1256">
        <f>INDEX(SP_CS_EV,0,COLUMN())/INDEX(SP_GF_Rev,0,COLUMN())</f>
        <v>6.8419230112666432</v>
      </c>
      <c r="AP122" s="138"/>
      <c r="AQ122" s="138"/>
      <c r="AR122" s="138"/>
      <c r="AS122" s="138"/>
      <c r="AT122" s="1256">
        <f>INDEX(SP_CS_EV,0,COLUMN())/INDEX(SP_GF_Rev,0,COLUMN())</f>
        <v>13.225316907858582</v>
      </c>
      <c r="AU122" s="138"/>
      <c r="AV122" s="138"/>
      <c r="AW122" s="138"/>
      <c r="AX122" s="138"/>
      <c r="AY122" s="1256">
        <f>INDEX(SP_CS_EV,0,COLUMN())/INDEX(SP_GF_Rev,0,COLUMN())</f>
        <v>19.43138170914543</v>
      </c>
      <c r="AZ122" s="138"/>
      <c r="BA122" s="138"/>
      <c r="BB122" s="138"/>
      <c r="BC122" s="138"/>
      <c r="BD122" s="1256">
        <f>INDEX(SP_CS_EV,0,COLUMN())/INDEX(SP_GF_Rev,0,COLUMN())</f>
        <v>21.249201159247974</v>
      </c>
      <c r="BE122" s="138"/>
      <c r="BF122" s="138"/>
      <c r="BG122" s="138"/>
      <c r="BH122" s="138"/>
      <c r="BI122" s="1256">
        <f>INDEX(SP_CS_EV,0,COLUMN())/INDEX(SP_GF_Rev,0,COLUMN())</f>
        <v>17.563616074738636</v>
      </c>
      <c r="BJ122" s="138"/>
      <c r="BK122" s="138"/>
      <c r="BL122" s="138"/>
      <c r="BM122" s="138"/>
      <c r="BN122" s="1256">
        <f>INDEX(SP_CS_EV,0,COLUMN())/INDEX(SP_GF_Rev,0,COLUMN())</f>
        <v>24.679479990807916</v>
      </c>
      <c r="BO122" s="138"/>
      <c r="BP122" s="138"/>
      <c r="BQ122" s="138"/>
      <c r="BR122" s="138"/>
      <c r="BS122" s="1256">
        <f>INDEX(SP_CS_EV,0,COLUMN())/INDEX(SP_GF_Rev,0,COLUMN())</f>
        <v>26.73562058897906</v>
      </c>
      <c r="BT122" s="138"/>
      <c r="BU122" s="138"/>
      <c r="BV122" s="138"/>
      <c r="BW122" s="138"/>
      <c r="BX122" s="1256">
        <f>INDEX(SP_CS_EV,0,COLUMN())/INDEX(SP_GF_Rev,0,COLUMN())</f>
        <v>20.996811306949215</v>
      </c>
      <c r="BY122" s="959"/>
      <c r="BZ122" s="138"/>
      <c r="CA122" s="138"/>
      <c r="CB122" s="138"/>
      <c r="CC122" s="1256">
        <f>INDEX(SP_CS_EV,0,COLUMN())/INDEX(SP_GF_Rev,0,COLUMN())</f>
        <v>14.702292306334348</v>
      </c>
      <c r="CD122" s="138"/>
      <c r="CE122" s="138"/>
      <c r="CF122" s="138"/>
      <c r="CG122" s="138"/>
      <c r="CH122" s="1256">
        <f>INDEX(SP_CS_EV,0,COLUMN())/INDEX(SP_GF_Rev,0,COLUMN())</f>
        <v>11.08321054254219</v>
      </c>
      <c r="CI122" s="1256">
        <f>INDEX(SP_CS_EV,0,COLUMN())/INDEX(SP_GF_Rev,0,COLUMN())</f>
        <v>8.7612366772567718</v>
      </c>
      <c r="CJ122" s="1256">
        <f>INDEX(SP_CS_EV,0,COLUMN())/INDEX(SP_GF_Rev,0,COLUMN())</f>
        <v>6.9086751466301752</v>
      </c>
      <c r="CK122" s="1256">
        <f>INDEX(SP_CS_EV,0,COLUMN())/INDEX(SP_GF_Rev,0,COLUMN())</f>
        <v>5.3143241196162618</v>
      </c>
      <c r="CL122" s="138"/>
    </row>
    <row r="123" spans="1:90" s="999" customFormat="1" x14ac:dyDescent="0.3">
      <c r="A123" s="220" t="str">
        <f>"EV/EBITDA - "&amp;SP.ValuationToggle</f>
        <v>EV/EBITDA - EoP</v>
      </c>
      <c r="B123" s="221"/>
      <c r="C123" s="1256"/>
      <c r="D123" s="1256">
        <f>INDEX(SP_CS_EV,0,COLUMN())/INDEX(SP_Company1876_EBITDA,0,COLUMN())</f>
        <v>23.12324779219956</v>
      </c>
      <c r="E123" s="1256">
        <f>INDEX(SP_CS_EV,0,COLUMN())/INDEX(SP_Company1876_EBITDA,0,COLUMN())</f>
        <v>17.958726481008661</v>
      </c>
      <c r="F123" s="1256">
        <f>INDEX(SP_CS_EV,0,COLUMN())/INDEX(SP_Company1876_EBITDA,0,COLUMN())</f>
        <v>6.300468790823186</v>
      </c>
      <c r="G123" s="1047"/>
      <c r="H123" s="1047"/>
      <c r="I123" s="1047"/>
      <c r="J123" s="1047"/>
      <c r="K123" s="1256">
        <f>INDEX(SP_CS_EV,0,COLUMN())/INDEX(SP_Company1876_EBITDA,0,COLUMN())</f>
        <v>3.9629080760479725</v>
      </c>
      <c r="L123" s="1047"/>
      <c r="M123" s="1047"/>
      <c r="N123" s="1047"/>
      <c r="O123" s="1047"/>
      <c r="P123" s="1256">
        <f>INDEX(SP_CS_EV,0,COLUMN())/INDEX(SP_Company1876_EBITDA,0,COLUMN())</f>
        <v>6.9042724321382982</v>
      </c>
      <c r="Q123" s="1047"/>
      <c r="R123" s="1047"/>
      <c r="S123" s="1047"/>
      <c r="T123" s="1047"/>
      <c r="U123" s="1256">
        <f>INDEX(SP_CS_EV,0,COLUMN())/INDEX(SP_Company1876_EBITDA,0,COLUMN())</f>
        <v>6.7923409137648143</v>
      </c>
      <c r="V123" s="1047"/>
      <c r="W123" s="138"/>
      <c r="X123" s="138"/>
      <c r="Y123" s="138"/>
      <c r="Z123" s="1256">
        <f>INDEX(SP_CS_EV,0,COLUMN())/INDEX(SP_Company1876_EBITDA,0,COLUMN())</f>
        <v>10.42582065652522</v>
      </c>
      <c r="AA123" s="138"/>
      <c r="AB123" s="138"/>
      <c r="AC123" s="138"/>
      <c r="AD123" s="138"/>
      <c r="AE123" s="1256">
        <f>INDEX(SP_CS_EV,0,COLUMN())/INDEX(SP_Company1876_EBITDA,0,COLUMN())</f>
        <v>30.881136752136747</v>
      </c>
      <c r="AF123" s="138"/>
      <c r="AG123" s="138"/>
      <c r="AH123" s="138"/>
      <c r="AI123" s="138"/>
      <c r="AJ123" s="1256">
        <f>INDEX(SP_CS_EV,0,COLUMN())/INDEX(SP_Company1876_EBITDA,0,COLUMN())</f>
        <v>39.88037224142515</v>
      </c>
      <c r="AK123" s="138"/>
      <c r="AL123" s="138"/>
      <c r="AM123" s="138"/>
      <c r="AN123" s="138"/>
      <c r="AO123" s="1256">
        <f>INDEX(SP_CS_EV,0,COLUMN())/INDEX(SP_Company1876_EBITDA,0,COLUMN())</f>
        <v>17.275855603448274</v>
      </c>
      <c r="AP123" s="138"/>
      <c r="AQ123" s="138"/>
      <c r="AR123" s="138"/>
      <c r="AS123" s="138"/>
      <c r="AT123" s="1256">
        <f>INDEX(SP_CS_EV,0,COLUMN())/INDEX(SP_Company1876_EBITDA,0,COLUMN())</f>
        <v>35.295529210461993</v>
      </c>
      <c r="AU123" s="138"/>
      <c r="AV123" s="138"/>
      <c r="AW123" s="138"/>
      <c r="AX123" s="138"/>
      <c r="AY123" s="1256">
        <f>INDEX(SP_CS_EV,0,COLUMN())/INDEX(SP_Company1876_EBITDA,0,COLUMN())</f>
        <v>44.453051173000418</v>
      </c>
      <c r="AZ123" s="138"/>
      <c r="BA123" s="138"/>
      <c r="BB123" s="138"/>
      <c r="BC123" s="138"/>
      <c r="BD123" s="1256">
        <f>INDEX(SP_CS_EV,0,COLUMN())/INDEX(SP_Company1876_EBITDA,0,COLUMN())</f>
        <v>42.996842342680999</v>
      </c>
      <c r="BE123" s="138"/>
      <c r="BF123" s="138"/>
      <c r="BG123" s="138"/>
      <c r="BH123" s="138"/>
      <c r="BI123" s="1256">
        <f>INDEX(SP_CS_EV,0,COLUMN())/INDEX(SP_Company1876_EBITDA,0,COLUMN())</f>
        <v>47.932110481586399</v>
      </c>
      <c r="BJ123" s="138"/>
      <c r="BK123" s="138"/>
      <c r="BL123" s="138"/>
      <c r="BM123" s="138"/>
      <c r="BN123" s="1256">
        <f>INDEX(SP_CS_EV,0,COLUMN())/INDEX(SP_Company1876_EBITDA,0,COLUMN())</f>
        <v>39.5372693804565</v>
      </c>
      <c r="BO123" s="138"/>
      <c r="BP123" s="138"/>
      <c r="BQ123" s="138"/>
      <c r="BR123" s="138"/>
      <c r="BS123" s="1256">
        <f>INDEX(SP_CS_EV,0,COLUMN())/INDEX(SP_Company1876_EBITDA,0,COLUMN())</f>
        <v>39.619785146491033</v>
      </c>
      <c r="BT123" s="138"/>
      <c r="BU123" s="138"/>
      <c r="BV123" s="138"/>
      <c r="BW123" s="138"/>
      <c r="BX123" s="1256">
        <f>INDEX(SP_CS_EV,0,COLUMN())/INDEX(SP_Company1876_EBITDA,0,COLUMN())</f>
        <v>32.465786688625535</v>
      </c>
      <c r="BY123" s="959"/>
      <c r="BZ123" s="138"/>
      <c r="CA123" s="138"/>
      <c r="CB123" s="138"/>
      <c r="CC123" s="1256">
        <f>INDEX(SP_CS_EV,0,COLUMN())/INDEX(SP_Company1876_EBITDA,0,COLUMN())</f>
        <v>21.686802666644688</v>
      </c>
      <c r="CD123" s="138"/>
      <c r="CE123" s="138"/>
      <c r="CF123" s="138"/>
      <c r="CG123" s="138"/>
      <c r="CH123" s="1256">
        <f>INDEX(SP_CS_EV,0,COLUMN())/INDEX(SP_Company1876_EBITDA,0,COLUMN())</f>
        <v>16.419575678691469</v>
      </c>
      <c r="CI123" s="1256">
        <f>INDEX(SP_CS_EV,0,COLUMN())/INDEX(SP_Company1876_EBITDA,0,COLUMN())</f>
        <v>12.996950252073473</v>
      </c>
      <c r="CJ123" s="1256">
        <f>INDEX(SP_CS_EV,0,COLUMN())/INDEX(SP_Company1876_EBITDA,0,COLUMN())</f>
        <v>10.259330256772589</v>
      </c>
      <c r="CK123" s="1256">
        <f>INDEX(SP_CS_EV,0,COLUMN())/INDEX(SP_Company1876_EBITDA,0,COLUMN())</f>
        <v>7.8955391384135556</v>
      </c>
      <c r="CL123" s="138"/>
    </row>
    <row r="124" spans="1:90" s="999" customFormat="1" x14ac:dyDescent="0.3">
      <c r="A124" s="220" t="str">
        <f>"P/CF - "&amp;SP.ValuationToggle</f>
        <v>P/CF - EoP</v>
      </c>
      <c r="B124" s="221"/>
      <c r="C124" s="1256">
        <f ca="1">INDEX(SP_CS_StockPrice,0,COLUMN())/INDEX(SP_CFA_CFO_PerShare,0,COLUMN())</f>
        <v>17.166999878488934</v>
      </c>
      <c r="D124" s="1256">
        <f ca="1">INDEX(SP_CS_StockPrice,0,COLUMN())/INDEX(SP_CFA_CFO_PerShare,0,COLUMN())</f>
        <v>17.713889810703826</v>
      </c>
      <c r="E124" s="1256">
        <f ca="1">INDEX(SP_CS_StockPrice,0,COLUMN())/INDEX(SP_CFA_CFO_PerShare,0,COLUMN())</f>
        <v>21.167613611424734</v>
      </c>
      <c r="F124" s="1256">
        <f ca="1">INDEX(SP_CS_StockPrice,0,COLUMN())/INDEX(SP_CFA_CFO_PerShare,0,COLUMN())</f>
        <v>10.172910806946222</v>
      </c>
      <c r="G124" s="1047"/>
      <c r="H124" s="1047"/>
      <c r="I124" s="1047"/>
      <c r="J124" s="1047"/>
      <c r="K124" s="1256">
        <f ca="1">INDEX(SP_CS_StockPrice,0,COLUMN())/INDEX(SP_CFA_CFO_PerShare,0,COLUMN())</f>
        <v>9.3036819145518166</v>
      </c>
      <c r="L124" s="1047"/>
      <c r="M124" s="1047"/>
      <c r="N124" s="1047"/>
      <c r="O124" s="1047"/>
      <c r="P124" s="1256">
        <f ca="1">INDEX(SP_CS_StockPrice,0,COLUMN())/INDEX(SP_CFA_CFO_PerShare,0,COLUMN())</f>
        <v>10.816118305637579</v>
      </c>
      <c r="Q124" s="1047"/>
      <c r="R124" s="1047"/>
      <c r="S124" s="1047"/>
      <c r="T124" s="1047"/>
      <c r="U124" s="1256">
        <f ca="1">INDEX(SP_CS_StockPrice,0,COLUMN())/INDEX(SP_CFA_CFO_PerShare,0,COLUMN())</f>
        <v>11.783882982781458</v>
      </c>
      <c r="V124" s="1047"/>
      <c r="W124" s="138"/>
      <c r="X124" s="138"/>
      <c r="Y124" s="138"/>
      <c r="Z124" s="1256">
        <f ca="1">INDEX(SP_CS_StockPrice,0,COLUMN())/INDEX(SP_CFA_CFO_PerShare,0,COLUMN())</f>
        <v>14.084127659574468</v>
      </c>
      <c r="AA124" s="138"/>
      <c r="AB124" s="138"/>
      <c r="AC124" s="138"/>
      <c r="AD124" s="138"/>
      <c r="AE124" s="1256">
        <f ca="1">INDEX(SP_CS_StockPrice,0,COLUMN())/INDEX(SP_CFA_CFO_PerShare,0,COLUMN())</f>
        <v>45.600394736842098</v>
      </c>
      <c r="AF124" s="138"/>
      <c r="AG124" s="138"/>
      <c r="AH124" s="138"/>
      <c r="AI124" s="138"/>
      <c r="AJ124" s="1256">
        <f ca="1">INDEX(SP_CS_StockPrice,0,COLUMN())/INDEX(SP_CFA_CFO_PerShare,0,COLUMN())</f>
        <v>44.288429468874931</v>
      </c>
      <c r="AK124" s="138"/>
      <c r="AL124" s="138"/>
      <c r="AM124" s="138"/>
      <c r="AN124" s="138"/>
      <c r="AO124" s="1256">
        <f ca="1">INDEX(SP_CS_StockPrice,0,COLUMN())/INDEX(SP_CFA_CFO_PerShare,0,COLUMN())</f>
        <v>22.867745124231895</v>
      </c>
      <c r="AP124" s="138"/>
      <c r="AQ124" s="138"/>
      <c r="AR124" s="138"/>
      <c r="AS124" s="138"/>
      <c r="AT124" s="1256">
        <f ca="1">INDEX(SP_CS_StockPrice,0,COLUMN())/INDEX(SP_CFA_CFO_PerShare,0,COLUMN())</f>
        <v>32.062173913043473</v>
      </c>
      <c r="AU124" s="138"/>
      <c r="AV124" s="138"/>
      <c r="AW124" s="138"/>
      <c r="AX124" s="138"/>
      <c r="AY124" s="1256">
        <f ca="1">INDEX(SP_CS_StockPrice,0,COLUMN())/INDEX(SP_CFA_CFO_PerShare,0,COLUMN())</f>
        <v>56.314203023016155</v>
      </c>
      <c r="AZ124" s="138"/>
      <c r="BA124" s="138"/>
      <c r="BB124" s="138"/>
      <c r="BC124" s="138"/>
      <c r="BD124" s="1256">
        <f ca="1">INDEX(SP_CS_StockPrice,0,COLUMN())/INDEX(SP_CFA_CFO_PerShare,0,COLUMN())</f>
        <v>63.820597277119013</v>
      </c>
      <c r="BE124" s="138"/>
      <c r="BF124" s="138"/>
      <c r="BG124" s="138"/>
      <c r="BH124" s="138"/>
      <c r="BI124" s="1256">
        <f ca="1">INDEX(SP_CS_StockPrice,0,COLUMN())/INDEX(SP_CFA_CFO_PerShare,0,COLUMN())</f>
        <v>84.209533770608047</v>
      </c>
      <c r="BJ124" s="138"/>
      <c r="BK124" s="138"/>
      <c r="BL124" s="138"/>
      <c r="BM124" s="138"/>
      <c r="BN124" s="1256">
        <f ca="1">INDEX(SP_CS_StockPrice,0,COLUMN())/INDEX(SP_CFA_CFO_PerShare,0,COLUMN())</f>
        <v>54.056649341402633</v>
      </c>
      <c r="BO124" s="138"/>
      <c r="BP124" s="138"/>
      <c r="BQ124" s="138"/>
      <c r="BR124" s="138"/>
      <c r="BS124" s="1256">
        <f ca="1">INDEX(SP_CS_StockPrice,0,COLUMN())/INDEX(SP_CFA_CFO_PerShare,0,COLUMN())</f>
        <v>54.952617141787208</v>
      </c>
      <c r="BT124" s="138"/>
      <c r="BU124" s="138"/>
      <c r="BV124" s="138"/>
      <c r="BW124" s="138"/>
      <c r="BX124" s="1256">
        <f ca="1">INDEX(SP_CS_StockPrice,0,COLUMN())/INDEX(SP_CFA_CFO_PerShare,0,COLUMN())</f>
        <v>44.638266321384755</v>
      </c>
      <c r="BY124" s="959"/>
      <c r="BZ124" s="138"/>
      <c r="CA124" s="138"/>
      <c r="CB124" s="138"/>
      <c r="CC124" s="1256">
        <f ca="1">INDEX(SP_CS_StockPrice,0,COLUMN())/INDEX(SP_CFA_CFO_PerShare,0,COLUMN())</f>
        <v>29.137049383718381</v>
      </c>
      <c r="CD124" s="138"/>
      <c r="CE124" s="138"/>
      <c r="CF124" s="138"/>
      <c r="CG124" s="138"/>
      <c r="CH124" s="1256">
        <f ca="1">INDEX(SP_CS_StockPrice,0,COLUMN())/INDEX(SP_CFA_CFO_PerShare,0,COLUMN())</f>
        <v>21.388545015297918</v>
      </c>
      <c r="CI124" s="1256">
        <f ca="1">INDEX(SP_CS_StockPrice,0,COLUMN())/INDEX(SP_CFA_CFO_PerShare,0,COLUMN())</f>
        <v>17.404719282232428</v>
      </c>
      <c r="CJ124" s="1256">
        <f ca="1">INDEX(SP_CS_StockPrice,0,COLUMN())/INDEX(SP_CFA_CFO_PerShare,0,COLUMN())</f>
        <v>14.513695104454374</v>
      </c>
      <c r="CK124" s="1256">
        <f ca="1">INDEX(SP_CS_StockPrice,0,COLUMN())/INDEX(SP_CFA_CFO_PerShare,0,COLUMN())</f>
        <v>12.154453082306649</v>
      </c>
      <c r="CL124" s="138"/>
    </row>
    <row r="125" spans="1:90" s="985" customFormat="1" x14ac:dyDescent="0.3">
      <c r="A125" s="219" t="str">
        <f>"FCF Yield % to "&amp;SP.ValuationToggle&amp;" Market Cap"</f>
        <v>FCF Yield % to EoP Market Cap</v>
      </c>
      <c r="B125" s="202"/>
      <c r="C125" s="1247">
        <f ca="1">INDEX(SP_CFA_FCF_PreDiv,0,COLUMN())/INDEX(SP_CS_MarketCap,0,COLUMN())</f>
        <v>-3.6981724211954586E-2</v>
      </c>
      <c r="D125" s="1247">
        <f ca="1">INDEX(SP_CFA_FCF_PreDiv,0,COLUMN())/INDEX(SP_CS_MarketCap,0,COLUMN())</f>
        <v>4.7472274638164023E-2</v>
      </c>
      <c r="E125" s="1247">
        <f ca="1">INDEX(SP_CFA_FCF_PreDiv,0,COLUMN())/INDEX(SP_CS_MarketCap,0,COLUMN())</f>
        <v>4.0398923807746699E-2</v>
      </c>
      <c r="F125" s="1247">
        <f ca="1">INDEX(SP_CFA_FCF_PreDiv,0,COLUMN())/INDEX(SP_CS_MarketCap,0,COLUMN())</f>
        <v>8.3299897351668498E-2</v>
      </c>
      <c r="G125" s="129"/>
      <c r="H125" s="129"/>
      <c r="I125" s="129"/>
      <c r="J125" s="129"/>
      <c r="K125" s="1247">
        <f ca="1">INDEX(SP_CFA_FCF_PreDiv,0,COLUMN())/INDEX(SP_CS_MarketCap,0,COLUMN())</f>
        <v>8.3578098986141117E-2</v>
      </c>
      <c r="L125" s="129"/>
      <c r="M125" s="129"/>
      <c r="N125" s="129"/>
      <c r="O125" s="129"/>
      <c r="P125" s="1247">
        <f ca="1">INDEX(SP_CFA_FCF_PreDiv,0,COLUMN())/INDEX(SP_CS_MarketCap,0,COLUMN())</f>
        <v>6.4204313537687907E-2</v>
      </c>
      <c r="Q125" s="129"/>
      <c r="R125" s="129"/>
      <c r="S125" s="129"/>
      <c r="T125" s="129"/>
      <c r="U125" s="1247">
        <f ca="1">INDEX(SP_CFA_FCF_PreDiv,0,COLUMN())/INDEX(SP_CS_MarketCap,0,COLUMN())</f>
        <v>7.3434381911280128E-2</v>
      </c>
      <c r="V125" s="129"/>
      <c r="W125" s="129"/>
      <c r="X125" s="129"/>
      <c r="Y125" s="129"/>
      <c r="Z125" s="1247">
        <f ca="1">INDEX(SP_CFA_FCF_PreDiv,0,COLUMN())/INDEX(SP_CS_MarketCap,0,COLUMN())</f>
        <v>6.580517679476218E-2</v>
      </c>
      <c r="AA125" s="129"/>
      <c r="AB125" s="129"/>
      <c r="AC125" s="129"/>
      <c r="AD125" s="129"/>
      <c r="AE125" s="1247">
        <f ca="1">INDEX(SP_CFA_FCF_PreDiv,0,COLUMN())/INDEX(SP_CS_MarketCap,0,COLUMN())</f>
        <v>1.9621252124433369E-2</v>
      </c>
      <c r="AF125" s="129"/>
      <c r="AG125" s="129"/>
      <c r="AH125" s="129"/>
      <c r="AI125" s="129"/>
      <c r="AJ125" s="1247">
        <f ca="1">IFERROR(INDEX(SP_CFA_FCF_PreDiv,0,COLUMN())/INDEX(SP_CS_MarketCap,0,COLUMN()),"n/a")</f>
        <v>1.8755873702627397E-2</v>
      </c>
      <c r="AK125" s="129"/>
      <c r="AL125" s="129"/>
      <c r="AM125" s="129"/>
      <c r="AN125" s="129"/>
      <c r="AO125" s="1247">
        <f ca="1">INDEX(SP_CFA_FCF_PreDiv,0,COLUMN())/INDEX(SP_CS_MarketCap,0,COLUMN())</f>
        <v>3.6719876411854722E-2</v>
      </c>
      <c r="AP125" s="129"/>
      <c r="AQ125" s="129"/>
      <c r="AR125" s="129"/>
      <c r="AS125" s="129"/>
      <c r="AT125" s="1247">
        <f ca="1">INDEX(SP_CFA_FCF_PreDiv,0,COLUMN())/INDEX(SP_CS_MarketCap,0,COLUMN())</f>
        <v>2.7985952781172843E-2</v>
      </c>
      <c r="AU125" s="129"/>
      <c r="AV125" s="129"/>
      <c r="AW125" s="129"/>
      <c r="AX125" s="129"/>
      <c r="AY125" s="1247">
        <f ca="1">INDEX(SP_CFA_FCF_PreDiv,0,COLUMN())/INDEX(SP_CS_MarketCap,0,COLUMN())</f>
        <v>1.4317030229460756E-2</v>
      </c>
      <c r="AZ125" s="129"/>
      <c r="BA125" s="129"/>
      <c r="BB125" s="129"/>
      <c r="BC125" s="129"/>
      <c r="BD125" s="1247">
        <f ca="1">INDEX(SP_CFA_FCF_PreDiv,0,COLUMN())/INDEX(SP_CS_MarketCap,0,COLUMN())</f>
        <v>1.3989863714092053E-2</v>
      </c>
      <c r="BE125" s="129"/>
      <c r="BF125" s="129"/>
      <c r="BG125" s="129"/>
      <c r="BH125" s="129"/>
      <c r="BI125" s="1247">
        <f ca="1">INDEX(SP_CFA_FCF_PreDiv,0,COLUMN())/INDEX(SP_CS_MarketCap,0,COLUMN())</f>
        <v>8.0164036501750927E-3</v>
      </c>
      <c r="BJ125" s="129"/>
      <c r="BK125" s="129"/>
      <c r="BL125" s="129"/>
      <c r="BM125" s="129"/>
      <c r="BN125" s="1247">
        <f ca="1">INDEX(SP_CFA_FCF_PreDiv,0,COLUMN())/INDEX(SP_CS_MarketCap,0,COLUMN())</f>
        <v>1.7795105023060077E-2</v>
      </c>
      <c r="BO125" s="129"/>
      <c r="BP125" s="129"/>
      <c r="BQ125" s="129"/>
      <c r="BR125" s="129"/>
      <c r="BS125" s="1247">
        <f ca="1">INDEX(SP_CFA_FCF_PreDiv,0,COLUMN())/INDEX(SP_CS_MarketCap,0,COLUMN())</f>
        <v>1.7278662331637034E-2</v>
      </c>
      <c r="BT125" s="129"/>
      <c r="BU125" s="129"/>
      <c r="BV125" s="129"/>
      <c r="BW125" s="129"/>
      <c r="BX125" s="1247">
        <f ca="1">INDEX(SP_CFA_FCF_PreDiv,0,COLUMN())/INDEX(SP_CS_MarketCap,0,COLUMN())</f>
        <v>2.1084572471799332E-2</v>
      </c>
      <c r="BY125" s="965"/>
      <c r="BZ125" s="129"/>
      <c r="CA125" s="129"/>
      <c r="CB125" s="129"/>
      <c r="CC125" s="1247">
        <f ca="1">INDEX(SP_CFA_FCF_PreDiv,0,COLUMN())/INDEX(SP_CS_MarketCap,0,COLUMN())</f>
        <v>3.3819280137059857E-2</v>
      </c>
      <c r="CD125" s="129"/>
      <c r="CE125" s="129"/>
      <c r="CF125" s="129"/>
      <c r="CG125" s="129"/>
      <c r="CH125" s="1247">
        <f ca="1">INDEX(SP_CFA_FCF_PreDiv,0,COLUMN())/INDEX(SP_CS_MarketCap,0,COLUMN())</f>
        <v>4.6515466053932517E-2</v>
      </c>
      <c r="CI125" s="1247">
        <f ca="1">INDEX(SP_CFA_FCF_PreDiv,0,COLUMN())/INDEX(SP_CS_MarketCap,0,COLUMN())</f>
        <v>5.7217148685903031E-2</v>
      </c>
      <c r="CJ125" s="1247">
        <f ca="1">INDEX(SP_CFA_FCF_PreDiv,0,COLUMN())/INDEX(SP_CS_MarketCap,0,COLUMN())</f>
        <v>6.8661909092993717E-2</v>
      </c>
      <c r="CK125" s="1247">
        <f ca="1">INDEX(SP_CFA_FCF_PreDiv,0,COLUMN())/INDEX(SP_CS_MarketCap,0,COLUMN())</f>
        <v>8.2035840091812112E-2</v>
      </c>
      <c r="CL125" s="130"/>
    </row>
    <row r="126" spans="1:90" s="985" customFormat="1" x14ac:dyDescent="0.3">
      <c r="A126" s="219" t="str">
        <f>"FCF Yield % to "&amp;SP.ValuationToggle&amp;" Enterprise Value"</f>
        <v>FCF Yield % to EoP Enterprise Value</v>
      </c>
      <c r="B126" s="202"/>
      <c r="C126" s="1247">
        <f ca="1">INDEX(SP_CFA_FCF_PreDiv,0,COLUMN())/INDEX(SP_CS_EV,0,COLUMN())</f>
        <v>-5.1887785031520958E-2</v>
      </c>
      <c r="D126" s="1247">
        <f ca="1">INDEX(SP_CFA_FCF_PreDiv,0,COLUMN())/INDEX(SP_CS_EV,0,COLUMN())</f>
        <v>5.9131499443826639E-2</v>
      </c>
      <c r="E126" s="1247">
        <f ca="1">INDEX(SP_CFA_FCF_PreDiv,0,COLUMN())/INDEX(SP_CS_EV,0,COLUMN())</f>
        <v>4.8818636357784564E-2</v>
      </c>
      <c r="F126" s="1247">
        <f ca="1">INDEX(SP_CFA_FCF_PreDiv,0,COLUMN())/INDEX(SP_CS_EV,0,COLUMN())</f>
        <v>0.12546294349263501</v>
      </c>
      <c r="G126" s="129"/>
      <c r="H126" s="129"/>
      <c r="I126" s="129"/>
      <c r="J126" s="129"/>
      <c r="K126" s="1247">
        <f ca="1">INDEX(SP_CFA_FCF_PreDiv,0,COLUMN())/INDEX(SP_CS_EV,0,COLUMN())</f>
        <v>0.16187704838166186</v>
      </c>
      <c r="L126" s="129"/>
      <c r="M126" s="129"/>
      <c r="N126" s="129"/>
      <c r="O126" s="129"/>
      <c r="P126" s="1247">
        <f ca="1">INDEX(SP_CFA_FCF_PreDiv,0,COLUMN())/INDEX(SP_CS_EV,0,COLUMN())</f>
        <v>0.10112460163682944</v>
      </c>
      <c r="Q126" s="129"/>
      <c r="R126" s="129"/>
      <c r="S126" s="129"/>
      <c r="T126" s="129"/>
      <c r="U126" s="1247">
        <f ca="1">INDEX(SP_CFA_FCF_PreDiv,0,COLUMN())/INDEX(SP_CS_EV,0,COLUMN())</f>
        <v>0.10521797996132116</v>
      </c>
      <c r="V126" s="129"/>
      <c r="W126" s="129"/>
      <c r="X126" s="129"/>
      <c r="Y126" s="129"/>
      <c r="Z126" s="1247">
        <f ca="1">INDEX(SP_CFA_FCF_PreDiv,0,COLUMN())/INDEX(SP_CS_EV,0,COLUMN())</f>
        <v>8.3628670273425063E-2</v>
      </c>
      <c r="AA126" s="129"/>
      <c r="AB126" s="129"/>
      <c r="AC126" s="129"/>
      <c r="AD126" s="129"/>
      <c r="AE126" s="1247">
        <f ca="1">INDEX(SP_CFA_FCF_PreDiv,0,COLUMN())/INDEX(SP_CS_EV,0,COLUMN())</f>
        <v>2.0702483993630946E-2</v>
      </c>
      <c r="AF126" s="129"/>
      <c r="AG126" s="129"/>
      <c r="AH126" s="129"/>
      <c r="AI126" s="129"/>
      <c r="AJ126" s="1247">
        <f ca="1">INDEX(SP_CFA_FCF_PreDiv,0,COLUMN())/INDEX(SP_CS_EV,0,COLUMN())</f>
        <v>1.9394615963935751E-2</v>
      </c>
      <c r="AK126" s="129"/>
      <c r="AL126" s="129"/>
      <c r="AM126" s="129"/>
      <c r="AN126" s="129"/>
      <c r="AO126" s="1247">
        <f ca="1">INDEX(SP_CFA_FCF_PreDiv,0,COLUMN())/INDEX(SP_CS_EV,0,COLUMN())</f>
        <v>3.9209096510390416E-2</v>
      </c>
      <c r="AP126" s="129"/>
      <c r="AQ126" s="129"/>
      <c r="AR126" s="129"/>
      <c r="AS126" s="129"/>
      <c r="AT126" s="1247">
        <f ca="1">INDEX(SP_CFA_FCF_PreDiv,0,COLUMN())/INDEX(SP_CS_EV,0,COLUMN())</f>
        <v>2.9585714809083837E-2</v>
      </c>
      <c r="AU126" s="129"/>
      <c r="AV126" s="129"/>
      <c r="AW126" s="129"/>
      <c r="AX126" s="129"/>
      <c r="AY126" s="1247">
        <f ca="1">INDEX(SP_CFA_FCF_PreDiv,0,COLUMN())/INDEX(SP_CS_EV,0,COLUMN())</f>
        <v>1.4486836530123035E-2</v>
      </c>
      <c r="AZ126" s="129"/>
      <c r="BA126" s="129"/>
      <c r="BB126" s="129"/>
      <c r="BC126" s="129"/>
      <c r="BD126" s="1247">
        <f ca="1">INDEX(SP_CFA_FCF_PreDiv,0,COLUMN())/INDEX(SP_CS_EV,0,COLUMN())</f>
        <v>1.4219244239824725E-2</v>
      </c>
      <c r="BE126" s="129"/>
      <c r="BF126" s="129"/>
      <c r="BG126" s="129"/>
      <c r="BH126" s="129"/>
      <c r="BI126" s="1247">
        <f ca="1">INDEX(SP_CFA_FCF_PreDiv,0,COLUMN())/INDEX(SP_CS_EV,0,COLUMN())</f>
        <v>8.0378084324293653E-3</v>
      </c>
      <c r="BJ126" s="129"/>
      <c r="BK126" s="129"/>
      <c r="BL126" s="129"/>
      <c r="BM126" s="129"/>
      <c r="BN126" s="1247">
        <f ca="1">INDEX(SP_CFA_FCF_PreDiv,0,COLUMN())/INDEX(SP_CS_EV,0,COLUMN())</f>
        <v>1.7971786908414219E-2</v>
      </c>
      <c r="BO126" s="129"/>
      <c r="BP126" s="129"/>
      <c r="BQ126" s="129"/>
      <c r="BR126" s="129"/>
      <c r="BS126" s="1247">
        <f ca="1">INDEX(SP_CFA_FCF_PreDiv,0,COLUMN())/INDEX(SP_CS_EV,0,COLUMN())</f>
        <v>1.7441795741916889E-2</v>
      </c>
      <c r="BT126" s="129"/>
      <c r="BU126" s="129"/>
      <c r="BV126" s="129"/>
      <c r="BW126" s="129"/>
      <c r="BX126" s="1247">
        <f ca="1">INDEX(SP_CFA_FCF_PreDiv,0,COLUMN())/INDEX(SP_CS_EV,0,COLUMN())</f>
        <v>2.1322408186252036E-2</v>
      </c>
      <c r="BY126" s="965"/>
      <c r="BZ126" s="129"/>
      <c r="CA126" s="129"/>
      <c r="CB126" s="129"/>
      <c r="CC126" s="1247">
        <f ca="1">INDEX(SP_CFA_FCF_PreDiv,0,COLUMN())/INDEX(SP_CS_EV,0,COLUMN())</f>
        <v>3.5009741945397674E-2</v>
      </c>
      <c r="CD126" s="129"/>
      <c r="CE126" s="129"/>
      <c r="CF126" s="129"/>
      <c r="CG126" s="129"/>
      <c r="CH126" s="1247">
        <f ca="1">INDEX(SP_CFA_FCF_PreDiv,0,COLUMN())/INDEX(SP_CS_EV,0,COLUMN())</f>
        <v>5.0345498375443359E-2</v>
      </c>
      <c r="CI126" s="1247">
        <f ca="1">INDEX(SP_CFA_FCF_PreDiv,0,COLUMN())/INDEX(SP_CS_EV,0,COLUMN())</f>
        <v>6.5679860407665505E-2</v>
      </c>
      <c r="CJ126" s="1247">
        <f ca="1">INDEX(SP_CFA_FCF_PreDiv,0,COLUMN())/INDEX(SP_CS_EV,0,COLUMN())</f>
        <v>8.5089825468870839E-2</v>
      </c>
      <c r="CK126" s="1247">
        <f ca="1">INDEX(SP_CFA_FCF_PreDiv,0,COLUMN())/INDEX(SP_CS_EV,0,COLUMN())</f>
        <v>0.11247912416241507</v>
      </c>
      <c r="CL126" s="130"/>
    </row>
    <row r="127" spans="1:90" s="985" customFormat="1" x14ac:dyDescent="0.3">
      <c r="A127" s="219"/>
      <c r="B127" s="202"/>
      <c r="C127" s="1247"/>
      <c r="D127" s="1247"/>
      <c r="E127" s="1247"/>
      <c r="F127" s="1247"/>
      <c r="G127" s="129"/>
      <c r="H127" s="129"/>
      <c r="I127" s="129"/>
      <c r="J127" s="129"/>
      <c r="K127" s="1247"/>
      <c r="L127" s="129"/>
      <c r="M127" s="129"/>
      <c r="N127" s="129"/>
      <c r="O127" s="129"/>
      <c r="P127" s="1247"/>
      <c r="Q127" s="129"/>
      <c r="R127" s="129"/>
      <c r="S127" s="129"/>
      <c r="T127" s="129"/>
      <c r="U127" s="1247"/>
      <c r="V127" s="129"/>
      <c r="W127" s="129"/>
      <c r="X127" s="129"/>
      <c r="Y127" s="129"/>
      <c r="Z127" s="1247"/>
      <c r="AA127" s="129"/>
      <c r="AB127" s="129"/>
      <c r="AC127" s="129"/>
      <c r="AD127" s="129"/>
      <c r="AE127" s="1247"/>
      <c r="AF127" s="129"/>
      <c r="AG127" s="129"/>
      <c r="AH127" s="129"/>
      <c r="AI127" s="129"/>
      <c r="AJ127" s="1247"/>
      <c r="AK127" s="129"/>
      <c r="AL127" s="129"/>
      <c r="AM127" s="129"/>
      <c r="AN127" s="129"/>
      <c r="AO127" s="1247"/>
      <c r="AP127" s="129"/>
      <c r="AQ127" s="129"/>
      <c r="AR127" s="129"/>
      <c r="AS127" s="129"/>
      <c r="AT127" s="1247"/>
      <c r="AU127" s="129"/>
      <c r="AV127" s="129"/>
      <c r="AW127" s="129"/>
      <c r="AX127" s="129"/>
      <c r="AY127" s="1247"/>
      <c r="AZ127" s="129"/>
      <c r="BA127" s="129"/>
      <c r="BB127" s="129"/>
      <c r="BC127" s="129"/>
      <c r="BD127" s="1247"/>
      <c r="BE127" s="129"/>
      <c r="BF127" s="129"/>
      <c r="BG127" s="129"/>
      <c r="BH127" s="129"/>
      <c r="BI127" s="1247"/>
      <c r="BJ127" s="129"/>
      <c r="BK127" s="129"/>
      <c r="BL127" s="129"/>
      <c r="BM127" s="129"/>
      <c r="BN127" s="1247"/>
      <c r="BO127" s="129"/>
      <c r="BP127" s="129"/>
      <c r="BQ127" s="129"/>
      <c r="BR127" s="129"/>
      <c r="BS127" s="1247"/>
      <c r="BT127" s="129"/>
      <c r="BU127" s="129"/>
      <c r="BV127" s="129"/>
      <c r="BW127" s="129"/>
      <c r="BX127" s="1247"/>
      <c r="BY127" s="965"/>
      <c r="BZ127" s="129"/>
      <c r="CA127" s="129"/>
      <c r="CB127" s="129"/>
      <c r="CC127" s="1247"/>
      <c r="CD127" s="129"/>
      <c r="CE127" s="129"/>
      <c r="CF127" s="129"/>
      <c r="CG127" s="129"/>
      <c r="CH127" s="1247"/>
      <c r="CI127" s="1247"/>
      <c r="CJ127" s="1247"/>
      <c r="CK127" s="1247"/>
      <c r="CL127" s="130"/>
    </row>
    <row r="128" spans="1:90" x14ac:dyDescent="0.3">
      <c r="A128" s="126" t="s">
        <v>368</v>
      </c>
      <c r="B128" s="884"/>
      <c r="C128" s="884"/>
      <c r="D128" s="884"/>
      <c r="E128" s="884"/>
      <c r="F128" s="884"/>
      <c r="G128" s="884"/>
      <c r="H128" s="884"/>
      <c r="I128" s="884"/>
      <c r="J128" s="884"/>
      <c r="K128" s="884"/>
      <c r="L128" s="884"/>
      <c r="M128" s="884"/>
      <c r="N128" s="884"/>
      <c r="O128" s="884"/>
      <c r="P128" s="884"/>
      <c r="Q128" s="884"/>
      <c r="R128" s="884"/>
      <c r="S128" s="884"/>
      <c r="T128" s="884"/>
      <c r="U128" s="884"/>
      <c r="V128" s="884"/>
      <c r="W128" s="884"/>
      <c r="X128" s="884"/>
      <c r="Y128" s="884"/>
      <c r="Z128" s="884"/>
      <c r="AA128" s="884"/>
      <c r="AB128" s="884"/>
      <c r="AC128" s="884"/>
      <c r="AD128" s="884"/>
      <c r="AE128" s="884"/>
      <c r="AF128" s="884"/>
      <c r="AG128" s="884"/>
      <c r="AH128" s="884"/>
      <c r="AI128" s="884"/>
      <c r="AJ128" s="884"/>
      <c r="AK128" s="884"/>
      <c r="AL128" s="884"/>
      <c r="AM128" s="884"/>
      <c r="AN128" s="884"/>
      <c r="AO128" s="884"/>
      <c r="AP128" s="884"/>
      <c r="AQ128" s="884"/>
      <c r="AR128" s="884"/>
      <c r="AS128" s="884"/>
      <c r="AT128" s="884"/>
      <c r="AU128" s="884"/>
      <c r="AV128" s="884"/>
      <c r="AW128" s="884"/>
      <c r="AX128" s="884"/>
      <c r="AY128" s="884"/>
      <c r="AZ128" s="884"/>
      <c r="BA128" s="884"/>
      <c r="BB128" s="884"/>
      <c r="BC128" s="884"/>
      <c r="BD128" s="884"/>
      <c r="BE128" s="884"/>
      <c r="BF128" s="884"/>
      <c r="BG128" s="884"/>
      <c r="BH128" s="884"/>
      <c r="BI128" s="884"/>
      <c r="BJ128" s="884"/>
      <c r="BK128" s="884"/>
      <c r="BL128" s="884"/>
      <c r="BM128" s="884"/>
      <c r="BN128" s="884"/>
      <c r="BO128" s="884"/>
      <c r="BP128" s="884"/>
      <c r="BQ128" s="884"/>
      <c r="BR128" s="884"/>
      <c r="BS128" s="884"/>
      <c r="BT128" s="884"/>
      <c r="BU128" s="884"/>
      <c r="BV128" s="884"/>
      <c r="BW128" s="884"/>
      <c r="BX128" s="884"/>
      <c r="BY128" s="1045"/>
      <c r="BZ128" s="884"/>
      <c r="CA128" s="884"/>
      <c r="CB128" s="884"/>
      <c r="CC128" s="884"/>
      <c r="CD128" s="884"/>
      <c r="CE128" s="884"/>
      <c r="CF128" s="884"/>
      <c r="CG128" s="884"/>
      <c r="CH128" s="884"/>
      <c r="CI128" s="884"/>
      <c r="CJ128" s="884"/>
      <c r="CK128" s="884"/>
      <c r="CL128" s="130"/>
    </row>
    <row r="129" spans="1:90" hidden="1" outlineLevel="1" x14ac:dyDescent="0.3">
      <c r="A129" s="885" t="s">
        <v>369</v>
      </c>
      <c r="B129" s="171"/>
      <c r="C129" s="387">
        <f t="shared" ref="C129:AH129" si="440">ROUND(INDEX(SP_Company1876_EBITDA,0,COLUMN())-INDEX(MO_RIS_EBITDA_Adj,0,COLUMN()),6)</f>
        <v>0</v>
      </c>
      <c r="D129" s="387">
        <f t="shared" si="440"/>
        <v>0</v>
      </c>
      <c r="E129" s="387">
        <f t="shared" si="440"/>
        <v>0</v>
      </c>
      <c r="F129" s="387">
        <f t="shared" si="440"/>
        <v>0</v>
      </c>
      <c r="G129" s="387">
        <f t="shared" si="440"/>
        <v>0</v>
      </c>
      <c r="H129" s="387">
        <f t="shared" si="440"/>
        <v>0</v>
      </c>
      <c r="I129" s="387">
        <f t="shared" si="440"/>
        <v>0</v>
      </c>
      <c r="J129" s="387">
        <f t="shared" si="440"/>
        <v>0</v>
      </c>
      <c r="K129" s="387">
        <f t="shared" si="440"/>
        <v>0</v>
      </c>
      <c r="L129" s="387">
        <f t="shared" si="440"/>
        <v>0</v>
      </c>
      <c r="M129" s="387">
        <f t="shared" si="440"/>
        <v>0</v>
      </c>
      <c r="N129" s="387">
        <f t="shared" si="440"/>
        <v>0</v>
      </c>
      <c r="O129" s="387">
        <f t="shared" si="440"/>
        <v>0</v>
      </c>
      <c r="P129" s="387">
        <f t="shared" si="440"/>
        <v>0</v>
      </c>
      <c r="Q129" s="387">
        <f t="shared" si="440"/>
        <v>0</v>
      </c>
      <c r="R129" s="387">
        <f t="shared" si="440"/>
        <v>0</v>
      </c>
      <c r="S129" s="387">
        <f t="shared" si="440"/>
        <v>0</v>
      </c>
      <c r="T129" s="387">
        <f t="shared" si="440"/>
        <v>0</v>
      </c>
      <c r="U129" s="387">
        <f t="shared" si="440"/>
        <v>0</v>
      </c>
      <c r="V129" s="387">
        <f t="shared" si="440"/>
        <v>0</v>
      </c>
      <c r="W129" s="387">
        <f t="shared" si="440"/>
        <v>0</v>
      </c>
      <c r="X129" s="387">
        <f t="shared" si="440"/>
        <v>0</v>
      </c>
      <c r="Y129" s="387">
        <f t="shared" si="440"/>
        <v>0</v>
      </c>
      <c r="Z129" s="387">
        <f t="shared" si="440"/>
        <v>0</v>
      </c>
      <c r="AA129" s="387">
        <f t="shared" si="440"/>
        <v>0</v>
      </c>
      <c r="AB129" s="387">
        <f t="shared" si="440"/>
        <v>0</v>
      </c>
      <c r="AC129" s="387">
        <f t="shared" si="440"/>
        <v>0</v>
      </c>
      <c r="AD129" s="387">
        <f t="shared" si="440"/>
        <v>0</v>
      </c>
      <c r="AE129" s="387">
        <f t="shared" si="440"/>
        <v>0</v>
      </c>
      <c r="AF129" s="387">
        <f t="shared" si="440"/>
        <v>0</v>
      </c>
      <c r="AG129" s="387">
        <f t="shared" si="440"/>
        <v>0</v>
      </c>
      <c r="AH129" s="387">
        <f t="shared" si="440"/>
        <v>0</v>
      </c>
      <c r="AI129" s="387">
        <f t="shared" ref="AI129:BG129" si="441">ROUND(INDEX(SP_Company1876_EBITDA,0,COLUMN())-INDEX(MO_RIS_EBITDA_Adj,0,COLUMN()),6)</f>
        <v>0</v>
      </c>
      <c r="AJ129" s="387">
        <f t="shared" si="441"/>
        <v>0</v>
      </c>
      <c r="AK129" s="387">
        <f t="shared" si="441"/>
        <v>0</v>
      </c>
      <c r="AL129" s="387">
        <f t="shared" si="441"/>
        <v>0</v>
      </c>
      <c r="AM129" s="387">
        <f t="shared" si="441"/>
        <v>0</v>
      </c>
      <c r="AN129" s="387">
        <f t="shared" si="441"/>
        <v>0</v>
      </c>
      <c r="AO129" s="387">
        <f t="shared" si="441"/>
        <v>0</v>
      </c>
      <c r="AP129" s="387">
        <f t="shared" si="441"/>
        <v>0</v>
      </c>
      <c r="AQ129" s="387">
        <f t="shared" si="441"/>
        <v>0</v>
      </c>
      <c r="AR129" s="387">
        <f t="shared" si="441"/>
        <v>0</v>
      </c>
      <c r="AS129" s="387">
        <f t="shared" si="441"/>
        <v>0</v>
      </c>
      <c r="AT129" s="387">
        <f t="shared" si="441"/>
        <v>0</v>
      </c>
      <c r="AU129" s="387">
        <f t="shared" si="441"/>
        <v>0</v>
      </c>
      <c r="AV129" s="387">
        <f t="shared" si="441"/>
        <v>0</v>
      </c>
      <c r="AW129" s="387">
        <f t="shared" si="441"/>
        <v>0</v>
      </c>
      <c r="AX129" s="387">
        <f t="shared" si="441"/>
        <v>0</v>
      </c>
      <c r="AY129" s="387">
        <f t="shared" si="441"/>
        <v>0</v>
      </c>
      <c r="AZ129" s="387">
        <f t="shared" si="441"/>
        <v>0</v>
      </c>
      <c r="BA129" s="387">
        <f t="shared" si="441"/>
        <v>0</v>
      </c>
      <c r="BB129" s="387">
        <f t="shared" si="441"/>
        <v>0</v>
      </c>
      <c r="BC129" s="387">
        <f t="shared" si="441"/>
        <v>0</v>
      </c>
      <c r="BD129" s="387">
        <f t="shared" si="441"/>
        <v>0</v>
      </c>
      <c r="BE129" s="387">
        <f t="shared" si="441"/>
        <v>0</v>
      </c>
      <c r="BF129" s="387">
        <f t="shared" si="441"/>
        <v>0</v>
      </c>
      <c r="BG129" s="387">
        <f t="shared" si="441"/>
        <v>0</v>
      </c>
      <c r="BH129" s="387">
        <f t="shared" ref="BH129:BN129" si="442">ROUND(INDEX(SP_Company1876_EBITDA,0,COLUMN())-INDEX(MO_RIS_EBITDA_Adj,0,COLUMN()),6)</f>
        <v>0</v>
      </c>
      <c r="BI129" s="387">
        <f t="shared" si="442"/>
        <v>0</v>
      </c>
      <c r="BJ129" s="387">
        <f t="shared" si="442"/>
        <v>0</v>
      </c>
      <c r="BK129" s="387">
        <f t="shared" si="442"/>
        <v>0</v>
      </c>
      <c r="BL129" s="387">
        <f t="shared" si="442"/>
        <v>0</v>
      </c>
      <c r="BM129" s="387">
        <f t="shared" si="442"/>
        <v>0</v>
      </c>
      <c r="BN129" s="387">
        <f t="shared" si="442"/>
        <v>0</v>
      </c>
      <c r="BO129" s="387">
        <f t="shared" ref="BO129:BT129" si="443">ROUND(INDEX(SP_Company1876_EBITDA,0,COLUMN())-INDEX(MO_RIS_EBITDA_Adj,0,COLUMN()),6)</f>
        <v>0</v>
      </c>
      <c r="BP129" s="387">
        <f t="shared" si="443"/>
        <v>0</v>
      </c>
      <c r="BQ129" s="387">
        <f t="shared" si="443"/>
        <v>0</v>
      </c>
      <c r="BR129" s="387">
        <f t="shared" si="443"/>
        <v>0</v>
      </c>
      <c r="BS129" s="387">
        <f t="shared" si="443"/>
        <v>0</v>
      </c>
      <c r="BT129" s="387">
        <f t="shared" si="443"/>
        <v>0</v>
      </c>
      <c r="BU129" s="387">
        <f>ROUND(INDEX(SP_Company1876_EBITDA,0,COLUMN())-INDEX(MO_RIS_EBITDA_Adj,0,COLUMN()),6)</f>
        <v>0</v>
      </c>
      <c r="BV129" s="387">
        <f>ROUND(INDEX(SP_Company1876_EBITDA,0,COLUMN())-INDEX(MO_RIS_EBITDA_Adj,0,COLUMN()),6)</f>
        <v>0</v>
      </c>
      <c r="BW129" s="387">
        <f>ROUND(INDEX(SP_Company1876_EBITDA,0,COLUMN())-INDEX(MO_RIS_EBITDA_Adj,0,COLUMN()),6)</f>
        <v>0</v>
      </c>
      <c r="BX129" s="387">
        <f>ROUND(INDEX(SP_Company1876_EBITDA,0,COLUMN())-INDEX(MO_RIS_EBITDA_Adj,0,COLUMN()),6)</f>
        <v>0</v>
      </c>
      <c r="BY129" s="1018">
        <f>ROUND(INDEX(SP_Company1876_EBITDA,0,COLUMN())-INDEX(MO_RIS_EBITDA_Adj,0,COLUMN()),6)</f>
        <v>0</v>
      </c>
      <c r="BZ129" s="387">
        <f t="shared" ref="BZ129:CC129" si="444">ROUND(INDEX(SP_Company1876_EBITDA,0,COLUMN())-INDEX(MO_RIS_EBITDA_Adj,0,COLUMN()),6)</f>
        <v>0</v>
      </c>
      <c r="CA129" s="387">
        <f t="shared" si="444"/>
        <v>0</v>
      </c>
      <c r="CB129" s="387">
        <f t="shared" si="444"/>
        <v>0</v>
      </c>
      <c r="CC129" s="387">
        <f t="shared" si="444"/>
        <v>0</v>
      </c>
      <c r="CD129" s="387">
        <f t="shared" ref="CD129:CK129" si="445">ROUND(INDEX(SP_Company1876_EBITDA,0,COLUMN())-INDEX(MO_RIS_EBITDA_Adj,0,COLUMN()),6)</f>
        <v>0</v>
      </c>
      <c r="CE129" s="387">
        <f t="shared" si="445"/>
        <v>0</v>
      </c>
      <c r="CF129" s="387">
        <f t="shared" si="445"/>
        <v>0</v>
      </c>
      <c r="CG129" s="387">
        <f t="shared" si="445"/>
        <v>0</v>
      </c>
      <c r="CH129" s="387">
        <f t="shared" si="445"/>
        <v>0</v>
      </c>
      <c r="CI129" s="387">
        <f t="shared" si="445"/>
        <v>0</v>
      </c>
      <c r="CJ129" s="387">
        <f t="shared" si="445"/>
        <v>0</v>
      </c>
      <c r="CK129" s="387">
        <f t="shared" si="445"/>
        <v>0</v>
      </c>
      <c r="CL129" s="130"/>
    </row>
    <row r="130" spans="1:90" hidden="1" outlineLevel="1" x14ac:dyDescent="0.3">
      <c r="A130" s="885" t="s">
        <v>370</v>
      </c>
      <c r="B130" s="171"/>
      <c r="C130" s="387">
        <f t="shared" ref="C130:AH130" si="446">ROUND(INDEX(SP_Company1876_NI,0,COLUMN())-INDEX(MO_RIS_NI_NONGAAP_Diluted,0,COLUMN()),6)</f>
        <v>0</v>
      </c>
      <c r="D130" s="387">
        <f t="shared" si="446"/>
        <v>0</v>
      </c>
      <c r="E130" s="387">
        <f t="shared" si="446"/>
        <v>0</v>
      </c>
      <c r="F130" s="387">
        <f t="shared" si="446"/>
        <v>0</v>
      </c>
      <c r="G130" s="387">
        <f t="shared" si="446"/>
        <v>0</v>
      </c>
      <c r="H130" s="387">
        <f t="shared" si="446"/>
        <v>0</v>
      </c>
      <c r="I130" s="387">
        <f t="shared" si="446"/>
        <v>0</v>
      </c>
      <c r="J130" s="387">
        <f t="shared" si="446"/>
        <v>0</v>
      </c>
      <c r="K130" s="387">
        <f t="shared" si="446"/>
        <v>0</v>
      </c>
      <c r="L130" s="387">
        <f t="shared" si="446"/>
        <v>0</v>
      </c>
      <c r="M130" s="387">
        <f t="shared" si="446"/>
        <v>0</v>
      </c>
      <c r="N130" s="387">
        <f t="shared" si="446"/>
        <v>0</v>
      </c>
      <c r="O130" s="387">
        <f t="shared" si="446"/>
        <v>0</v>
      </c>
      <c r="P130" s="387">
        <f t="shared" si="446"/>
        <v>0</v>
      </c>
      <c r="Q130" s="387">
        <f t="shared" si="446"/>
        <v>0</v>
      </c>
      <c r="R130" s="387">
        <f t="shared" si="446"/>
        <v>0</v>
      </c>
      <c r="S130" s="387">
        <f t="shared" si="446"/>
        <v>0</v>
      </c>
      <c r="T130" s="387">
        <f t="shared" si="446"/>
        <v>0</v>
      </c>
      <c r="U130" s="387">
        <f t="shared" si="446"/>
        <v>0</v>
      </c>
      <c r="V130" s="387">
        <f t="shared" si="446"/>
        <v>0</v>
      </c>
      <c r="W130" s="387">
        <f t="shared" si="446"/>
        <v>0</v>
      </c>
      <c r="X130" s="387">
        <f t="shared" si="446"/>
        <v>0</v>
      </c>
      <c r="Y130" s="387">
        <f t="shared" si="446"/>
        <v>0</v>
      </c>
      <c r="Z130" s="387">
        <f t="shared" si="446"/>
        <v>0</v>
      </c>
      <c r="AA130" s="387">
        <f t="shared" si="446"/>
        <v>0</v>
      </c>
      <c r="AB130" s="387">
        <f t="shared" si="446"/>
        <v>0</v>
      </c>
      <c r="AC130" s="387">
        <f t="shared" si="446"/>
        <v>0</v>
      </c>
      <c r="AD130" s="387">
        <f t="shared" si="446"/>
        <v>0</v>
      </c>
      <c r="AE130" s="387">
        <f t="shared" si="446"/>
        <v>0</v>
      </c>
      <c r="AF130" s="387">
        <f t="shared" si="446"/>
        <v>0</v>
      </c>
      <c r="AG130" s="387">
        <f t="shared" si="446"/>
        <v>0</v>
      </c>
      <c r="AH130" s="387">
        <f t="shared" si="446"/>
        <v>0</v>
      </c>
      <c r="AI130" s="387">
        <f t="shared" ref="AI130:BG130" si="447">ROUND(INDEX(SP_Company1876_NI,0,COLUMN())-INDEX(MO_RIS_NI_NONGAAP_Diluted,0,COLUMN()),6)</f>
        <v>0</v>
      </c>
      <c r="AJ130" s="387">
        <f t="shared" si="447"/>
        <v>0</v>
      </c>
      <c r="AK130" s="387">
        <f t="shared" si="447"/>
        <v>0</v>
      </c>
      <c r="AL130" s="387">
        <f t="shared" si="447"/>
        <v>0</v>
      </c>
      <c r="AM130" s="387">
        <f t="shared" si="447"/>
        <v>0</v>
      </c>
      <c r="AN130" s="387">
        <f t="shared" si="447"/>
        <v>0</v>
      </c>
      <c r="AO130" s="387">
        <f t="shared" si="447"/>
        <v>0</v>
      </c>
      <c r="AP130" s="387">
        <f t="shared" si="447"/>
        <v>0</v>
      </c>
      <c r="AQ130" s="387">
        <f t="shared" si="447"/>
        <v>0</v>
      </c>
      <c r="AR130" s="387">
        <f t="shared" si="447"/>
        <v>0</v>
      </c>
      <c r="AS130" s="387">
        <f t="shared" si="447"/>
        <v>0</v>
      </c>
      <c r="AT130" s="387">
        <f t="shared" si="447"/>
        <v>0</v>
      </c>
      <c r="AU130" s="387">
        <f t="shared" si="447"/>
        <v>0</v>
      </c>
      <c r="AV130" s="387">
        <f t="shared" si="447"/>
        <v>0</v>
      </c>
      <c r="AW130" s="387">
        <f t="shared" si="447"/>
        <v>0</v>
      </c>
      <c r="AX130" s="387">
        <f t="shared" si="447"/>
        <v>0</v>
      </c>
      <c r="AY130" s="387">
        <f t="shared" si="447"/>
        <v>0</v>
      </c>
      <c r="AZ130" s="387">
        <f t="shared" si="447"/>
        <v>0</v>
      </c>
      <c r="BA130" s="387">
        <f t="shared" si="447"/>
        <v>0</v>
      </c>
      <c r="BB130" s="387">
        <f t="shared" si="447"/>
        <v>0</v>
      </c>
      <c r="BC130" s="387">
        <f t="shared" si="447"/>
        <v>0</v>
      </c>
      <c r="BD130" s="387">
        <f t="shared" si="447"/>
        <v>0</v>
      </c>
      <c r="BE130" s="387">
        <f t="shared" si="447"/>
        <v>0</v>
      </c>
      <c r="BF130" s="387">
        <f t="shared" si="447"/>
        <v>0</v>
      </c>
      <c r="BG130" s="387">
        <f t="shared" si="447"/>
        <v>0</v>
      </c>
      <c r="BH130" s="387">
        <f t="shared" ref="BH130:BN130" si="448">ROUND(INDEX(SP_Company1876_NI,0,COLUMN())-INDEX(MO_RIS_NI_NONGAAP_Diluted,0,COLUMN()),6)</f>
        <v>0</v>
      </c>
      <c r="BI130" s="387">
        <f t="shared" si="448"/>
        <v>0</v>
      </c>
      <c r="BJ130" s="387">
        <f t="shared" si="448"/>
        <v>0</v>
      </c>
      <c r="BK130" s="387">
        <f t="shared" si="448"/>
        <v>0</v>
      </c>
      <c r="BL130" s="387">
        <f t="shared" si="448"/>
        <v>0</v>
      </c>
      <c r="BM130" s="387">
        <f t="shared" si="448"/>
        <v>0</v>
      </c>
      <c r="BN130" s="387">
        <f t="shared" si="448"/>
        <v>0</v>
      </c>
      <c r="BO130" s="387">
        <f t="shared" ref="BO130:BT130" si="449">ROUND(INDEX(SP_Company1876_NI,0,COLUMN())-INDEX(MO_RIS_NI_NONGAAP_Diluted,0,COLUMN()),6)</f>
        <v>0</v>
      </c>
      <c r="BP130" s="387">
        <f t="shared" si="449"/>
        <v>0</v>
      </c>
      <c r="BQ130" s="387">
        <f t="shared" si="449"/>
        <v>0</v>
      </c>
      <c r="BR130" s="387">
        <f t="shared" si="449"/>
        <v>0</v>
      </c>
      <c r="BS130" s="387">
        <f t="shared" si="449"/>
        <v>0</v>
      </c>
      <c r="BT130" s="387">
        <f t="shared" si="449"/>
        <v>0</v>
      </c>
      <c r="BU130" s="387">
        <f>ROUND(INDEX(SP_Company1876_NI,0,COLUMN())-INDEX(MO_RIS_NI_NONGAAP_Diluted,0,COLUMN()),6)</f>
        <v>0</v>
      </c>
      <c r="BV130" s="387">
        <f>ROUND(INDEX(SP_Company1876_NI,0,COLUMN())-INDEX(MO_RIS_NI_NONGAAP_Diluted,0,COLUMN()),6)</f>
        <v>0</v>
      </c>
      <c r="BW130" s="387">
        <f>ROUND(INDEX(SP_Company1876_NI,0,COLUMN())-INDEX(MO_RIS_NI_NONGAAP_Diluted,0,COLUMN()),6)</f>
        <v>0</v>
      </c>
      <c r="BX130" s="387">
        <f>ROUND(INDEX(SP_Company1876_NI,0,COLUMN())-INDEX(MO_RIS_NI_NONGAAP_Diluted,0,COLUMN()),6)</f>
        <v>0</v>
      </c>
      <c r="BY130" s="1018">
        <f>ROUND(INDEX(SP_Company1876_NI,0,COLUMN())-INDEX(MO_RIS_NI_NONGAAP_Diluted,0,COLUMN()),6)</f>
        <v>0</v>
      </c>
      <c r="BZ130" s="387">
        <f t="shared" ref="BZ130:CC130" si="450">ROUND(INDEX(SP_Company1876_NI,0,COLUMN())-INDEX(MO_RIS_NI_NONGAAP_Diluted,0,COLUMN()),6)</f>
        <v>0</v>
      </c>
      <c r="CA130" s="387">
        <f t="shared" si="450"/>
        <v>0</v>
      </c>
      <c r="CB130" s="387">
        <f t="shared" si="450"/>
        <v>0</v>
      </c>
      <c r="CC130" s="387">
        <f t="shared" si="450"/>
        <v>0</v>
      </c>
      <c r="CD130" s="387">
        <f t="shared" ref="CD130:CK130" si="451">ROUND(INDEX(SP_Company1876_NI,0,COLUMN())-INDEX(MO_RIS_NI_NONGAAP_Diluted,0,COLUMN()),6)</f>
        <v>0</v>
      </c>
      <c r="CE130" s="387">
        <f t="shared" si="451"/>
        <v>0</v>
      </c>
      <c r="CF130" s="387">
        <f t="shared" si="451"/>
        <v>0</v>
      </c>
      <c r="CG130" s="387">
        <f t="shared" si="451"/>
        <v>0</v>
      </c>
      <c r="CH130" s="387">
        <f t="shared" si="451"/>
        <v>0</v>
      </c>
      <c r="CI130" s="387">
        <f t="shared" si="451"/>
        <v>0</v>
      </c>
      <c r="CJ130" s="387">
        <f t="shared" si="451"/>
        <v>0</v>
      </c>
      <c r="CK130" s="387">
        <f t="shared" si="451"/>
        <v>0</v>
      </c>
      <c r="CL130" s="130"/>
    </row>
    <row r="131" spans="1:90" hidden="1" outlineLevel="1" x14ac:dyDescent="0.3">
      <c r="A131" s="885" t="s">
        <v>371</v>
      </c>
      <c r="B131" s="171"/>
      <c r="C131" s="387">
        <f t="shared" ref="C131:AH131" si="452">ROUND(C45-INDEX(MO_RIS_NI_GAAP_Diluted,0,COLUMN()),6)</f>
        <v>0</v>
      </c>
      <c r="D131" s="387">
        <f t="shared" si="452"/>
        <v>0</v>
      </c>
      <c r="E131" s="387">
        <f t="shared" si="452"/>
        <v>0</v>
      </c>
      <c r="F131" s="387">
        <f t="shared" si="452"/>
        <v>0</v>
      </c>
      <c r="G131" s="387">
        <f t="shared" si="452"/>
        <v>0</v>
      </c>
      <c r="H131" s="387">
        <f t="shared" si="452"/>
        <v>0</v>
      </c>
      <c r="I131" s="387">
        <f t="shared" si="452"/>
        <v>0</v>
      </c>
      <c r="J131" s="387">
        <f t="shared" si="452"/>
        <v>0</v>
      </c>
      <c r="K131" s="387">
        <f t="shared" si="452"/>
        <v>0</v>
      </c>
      <c r="L131" s="387">
        <f t="shared" si="452"/>
        <v>0</v>
      </c>
      <c r="M131" s="387">
        <f t="shared" si="452"/>
        <v>0</v>
      </c>
      <c r="N131" s="387">
        <f t="shared" si="452"/>
        <v>0</v>
      </c>
      <c r="O131" s="387">
        <f t="shared" si="452"/>
        <v>0</v>
      </c>
      <c r="P131" s="387">
        <f t="shared" si="452"/>
        <v>0</v>
      </c>
      <c r="Q131" s="387">
        <f t="shared" si="452"/>
        <v>0</v>
      </c>
      <c r="R131" s="387">
        <f t="shared" si="452"/>
        <v>0</v>
      </c>
      <c r="S131" s="387">
        <f t="shared" si="452"/>
        <v>0</v>
      </c>
      <c r="T131" s="387">
        <f t="shared" si="452"/>
        <v>0</v>
      </c>
      <c r="U131" s="387">
        <f t="shared" si="452"/>
        <v>0</v>
      </c>
      <c r="V131" s="387">
        <f t="shared" si="452"/>
        <v>0</v>
      </c>
      <c r="W131" s="387">
        <f t="shared" si="452"/>
        <v>0</v>
      </c>
      <c r="X131" s="387">
        <f t="shared" si="452"/>
        <v>0</v>
      </c>
      <c r="Y131" s="387">
        <f t="shared" si="452"/>
        <v>0</v>
      </c>
      <c r="Z131" s="387">
        <f t="shared" si="452"/>
        <v>0</v>
      </c>
      <c r="AA131" s="387">
        <f t="shared" si="452"/>
        <v>0</v>
      </c>
      <c r="AB131" s="387">
        <f t="shared" si="452"/>
        <v>0</v>
      </c>
      <c r="AC131" s="387">
        <f t="shared" si="452"/>
        <v>0</v>
      </c>
      <c r="AD131" s="387">
        <f t="shared" si="452"/>
        <v>0</v>
      </c>
      <c r="AE131" s="387">
        <f t="shared" si="452"/>
        <v>0</v>
      </c>
      <c r="AF131" s="387">
        <f t="shared" si="452"/>
        <v>0</v>
      </c>
      <c r="AG131" s="387">
        <f t="shared" si="452"/>
        <v>0</v>
      </c>
      <c r="AH131" s="387">
        <f t="shared" si="452"/>
        <v>0</v>
      </c>
      <c r="AI131" s="387">
        <f t="shared" ref="AI131:BG131" si="453">ROUND(AI45-INDEX(MO_RIS_NI_GAAP_Diluted,0,COLUMN()),6)</f>
        <v>0</v>
      </c>
      <c r="AJ131" s="387">
        <f t="shared" si="453"/>
        <v>0</v>
      </c>
      <c r="AK131" s="387">
        <f t="shared" si="453"/>
        <v>0</v>
      </c>
      <c r="AL131" s="387">
        <f t="shared" si="453"/>
        <v>0</v>
      </c>
      <c r="AM131" s="387">
        <f t="shared" si="453"/>
        <v>0</v>
      </c>
      <c r="AN131" s="387">
        <f t="shared" si="453"/>
        <v>0</v>
      </c>
      <c r="AO131" s="387">
        <f t="shared" si="453"/>
        <v>0</v>
      </c>
      <c r="AP131" s="387">
        <f t="shared" si="453"/>
        <v>0</v>
      </c>
      <c r="AQ131" s="387">
        <f t="shared" si="453"/>
        <v>0</v>
      </c>
      <c r="AR131" s="387">
        <f t="shared" si="453"/>
        <v>0</v>
      </c>
      <c r="AS131" s="387">
        <f t="shared" si="453"/>
        <v>0</v>
      </c>
      <c r="AT131" s="387">
        <f t="shared" si="453"/>
        <v>0</v>
      </c>
      <c r="AU131" s="387">
        <f t="shared" si="453"/>
        <v>0</v>
      </c>
      <c r="AV131" s="387">
        <f t="shared" si="453"/>
        <v>0</v>
      </c>
      <c r="AW131" s="387">
        <f t="shared" si="453"/>
        <v>0</v>
      </c>
      <c r="AX131" s="387">
        <f t="shared" si="453"/>
        <v>0</v>
      </c>
      <c r="AY131" s="387">
        <f t="shared" si="453"/>
        <v>0</v>
      </c>
      <c r="AZ131" s="387">
        <f t="shared" si="453"/>
        <v>0</v>
      </c>
      <c r="BA131" s="387">
        <f t="shared" si="453"/>
        <v>0</v>
      </c>
      <c r="BB131" s="387">
        <f t="shared" si="453"/>
        <v>0</v>
      </c>
      <c r="BC131" s="387">
        <f t="shared" si="453"/>
        <v>0</v>
      </c>
      <c r="BD131" s="387">
        <f t="shared" si="453"/>
        <v>0</v>
      </c>
      <c r="BE131" s="387">
        <f t="shared" si="453"/>
        <v>0</v>
      </c>
      <c r="BF131" s="387">
        <f t="shared" si="453"/>
        <v>0</v>
      </c>
      <c r="BG131" s="387">
        <f t="shared" si="453"/>
        <v>0</v>
      </c>
      <c r="BH131" s="387">
        <f t="shared" ref="BH131:BN131" si="454">ROUND(BH45-INDEX(MO_RIS_NI_GAAP_Diluted,0,COLUMN()),6)</f>
        <v>0</v>
      </c>
      <c r="BI131" s="387">
        <f t="shared" si="454"/>
        <v>0</v>
      </c>
      <c r="BJ131" s="387">
        <f t="shared" si="454"/>
        <v>0</v>
      </c>
      <c r="BK131" s="387">
        <f t="shared" si="454"/>
        <v>0</v>
      </c>
      <c r="BL131" s="387">
        <f t="shared" si="454"/>
        <v>0</v>
      </c>
      <c r="BM131" s="387">
        <f t="shared" si="454"/>
        <v>0</v>
      </c>
      <c r="BN131" s="387">
        <f t="shared" si="454"/>
        <v>0</v>
      </c>
      <c r="BO131" s="387">
        <f t="shared" ref="BO131:BT131" si="455">ROUND(BO45-INDEX(MO_RIS_NI_GAAP_Diluted,0,COLUMN()),6)</f>
        <v>0</v>
      </c>
      <c r="BP131" s="387">
        <f t="shared" si="455"/>
        <v>0</v>
      </c>
      <c r="BQ131" s="387">
        <f t="shared" si="455"/>
        <v>0</v>
      </c>
      <c r="BR131" s="387">
        <f t="shared" si="455"/>
        <v>0</v>
      </c>
      <c r="BS131" s="387">
        <f t="shared" si="455"/>
        <v>0</v>
      </c>
      <c r="BT131" s="387">
        <f t="shared" si="455"/>
        <v>0</v>
      </c>
      <c r="BU131" s="387">
        <f>ROUND(BU45-INDEX(MO_RIS_NI_GAAP_Diluted,0,COLUMN()),6)</f>
        <v>0</v>
      </c>
      <c r="BV131" s="387">
        <f>ROUND(BV45-INDEX(MO_RIS_NI_GAAP_Diluted,0,COLUMN()),6)</f>
        <v>0</v>
      </c>
      <c r="BW131" s="387">
        <f>ROUND(BW45-INDEX(MO_RIS_NI_GAAP_Diluted,0,COLUMN()),6)</f>
        <v>0</v>
      </c>
      <c r="BX131" s="387">
        <f>ROUND(BX45-INDEX(MO_RIS_NI_GAAP_Diluted,0,COLUMN()),6)</f>
        <v>0</v>
      </c>
      <c r="BY131" s="1018">
        <f>ROUND(BY45-INDEX(MO_RIS_NI_GAAP_Diluted,0,COLUMN()),6)</f>
        <v>0</v>
      </c>
      <c r="BZ131" s="387">
        <f t="shared" ref="BZ131:CC131" si="456">ROUND(BZ45-INDEX(MO_RIS_NI_GAAP_Diluted,0,COLUMN()),6)</f>
        <v>0</v>
      </c>
      <c r="CA131" s="387">
        <f t="shared" si="456"/>
        <v>0</v>
      </c>
      <c r="CB131" s="387">
        <f t="shared" si="456"/>
        <v>0</v>
      </c>
      <c r="CC131" s="387">
        <f t="shared" si="456"/>
        <v>0</v>
      </c>
      <c r="CD131" s="387">
        <f t="shared" ref="CD131:CK131" si="457">ROUND(CD45-INDEX(MO_RIS_NI_GAAP_Diluted,0,COLUMN()),6)</f>
        <v>0</v>
      </c>
      <c r="CE131" s="387">
        <f t="shared" si="457"/>
        <v>0</v>
      </c>
      <c r="CF131" s="387">
        <f t="shared" si="457"/>
        <v>0</v>
      </c>
      <c r="CG131" s="387">
        <f t="shared" si="457"/>
        <v>0</v>
      </c>
      <c r="CH131" s="387">
        <f t="shared" si="457"/>
        <v>0</v>
      </c>
      <c r="CI131" s="387">
        <f t="shared" si="457"/>
        <v>0</v>
      </c>
      <c r="CJ131" s="387">
        <f t="shared" si="457"/>
        <v>0</v>
      </c>
      <c r="CK131" s="387">
        <f t="shared" si="457"/>
        <v>0</v>
      </c>
      <c r="CL131" s="130"/>
    </row>
    <row r="132" spans="1:90" hidden="1" outlineLevel="1" x14ac:dyDescent="0.3">
      <c r="A132" s="885" t="s">
        <v>372</v>
      </c>
      <c r="B132" s="171"/>
      <c r="C132" s="387">
        <f t="shared" ref="C132:AH132" ca="1" si="458">ROUND(INDEX(SP_CFA_NetChange,0,COLUMN())-INDEX(MO_CFS_NetChange,0,COLUMN()),6)</f>
        <v>0</v>
      </c>
      <c r="D132" s="387">
        <f t="shared" ca="1" si="458"/>
        <v>0</v>
      </c>
      <c r="E132" s="387">
        <f t="shared" ca="1" si="458"/>
        <v>0</v>
      </c>
      <c r="F132" s="387">
        <f t="shared" ca="1" si="458"/>
        <v>0</v>
      </c>
      <c r="G132" s="387">
        <f t="shared" ca="1" si="458"/>
        <v>0</v>
      </c>
      <c r="H132" s="387">
        <f t="shared" ca="1" si="458"/>
        <v>0</v>
      </c>
      <c r="I132" s="387">
        <f t="shared" ca="1" si="458"/>
        <v>0</v>
      </c>
      <c r="J132" s="387">
        <f t="shared" ca="1" si="458"/>
        <v>0</v>
      </c>
      <c r="K132" s="387">
        <f t="shared" ca="1" si="458"/>
        <v>0</v>
      </c>
      <c r="L132" s="387">
        <f t="shared" ca="1" si="458"/>
        <v>0</v>
      </c>
      <c r="M132" s="387">
        <f t="shared" ca="1" si="458"/>
        <v>0</v>
      </c>
      <c r="N132" s="387">
        <f t="shared" ca="1" si="458"/>
        <v>0</v>
      </c>
      <c r="O132" s="387">
        <f t="shared" ca="1" si="458"/>
        <v>0</v>
      </c>
      <c r="P132" s="387">
        <f t="shared" ca="1" si="458"/>
        <v>0</v>
      </c>
      <c r="Q132" s="387">
        <f t="shared" ca="1" si="458"/>
        <v>0</v>
      </c>
      <c r="R132" s="387">
        <f t="shared" ca="1" si="458"/>
        <v>0</v>
      </c>
      <c r="S132" s="387">
        <f t="shared" ca="1" si="458"/>
        <v>0</v>
      </c>
      <c r="T132" s="387">
        <f t="shared" ca="1" si="458"/>
        <v>0</v>
      </c>
      <c r="U132" s="387">
        <f t="shared" ca="1" si="458"/>
        <v>0</v>
      </c>
      <c r="V132" s="387">
        <f t="shared" ca="1" si="458"/>
        <v>0</v>
      </c>
      <c r="W132" s="387">
        <f t="shared" ca="1" si="458"/>
        <v>0</v>
      </c>
      <c r="X132" s="387">
        <f t="shared" ca="1" si="458"/>
        <v>0</v>
      </c>
      <c r="Y132" s="387">
        <f t="shared" ca="1" si="458"/>
        <v>0</v>
      </c>
      <c r="Z132" s="387">
        <f t="shared" ca="1" si="458"/>
        <v>0</v>
      </c>
      <c r="AA132" s="387">
        <f t="shared" ca="1" si="458"/>
        <v>0</v>
      </c>
      <c r="AB132" s="387">
        <f t="shared" ca="1" si="458"/>
        <v>0</v>
      </c>
      <c r="AC132" s="387">
        <f t="shared" ca="1" si="458"/>
        <v>0</v>
      </c>
      <c r="AD132" s="387">
        <f t="shared" ca="1" si="458"/>
        <v>0</v>
      </c>
      <c r="AE132" s="387">
        <f t="shared" ca="1" si="458"/>
        <v>0</v>
      </c>
      <c r="AF132" s="387">
        <f t="shared" ca="1" si="458"/>
        <v>0</v>
      </c>
      <c r="AG132" s="387">
        <f t="shared" ca="1" si="458"/>
        <v>0</v>
      </c>
      <c r="AH132" s="387">
        <f t="shared" ca="1" si="458"/>
        <v>0</v>
      </c>
      <c r="AI132" s="387">
        <f t="shared" ref="AI132:BG132" ca="1" si="459">ROUND(INDEX(SP_CFA_NetChange,0,COLUMN())-INDEX(MO_CFS_NetChange,0,COLUMN()),6)</f>
        <v>0</v>
      </c>
      <c r="AJ132" s="387">
        <f t="shared" ca="1" si="459"/>
        <v>0</v>
      </c>
      <c r="AK132" s="387">
        <f t="shared" ca="1" si="459"/>
        <v>0</v>
      </c>
      <c r="AL132" s="387">
        <f t="shared" ca="1" si="459"/>
        <v>0</v>
      </c>
      <c r="AM132" s="387">
        <f t="shared" ca="1" si="459"/>
        <v>0</v>
      </c>
      <c r="AN132" s="387">
        <f t="shared" ca="1" si="459"/>
        <v>0</v>
      </c>
      <c r="AO132" s="387">
        <f t="shared" ca="1" si="459"/>
        <v>0</v>
      </c>
      <c r="AP132" s="387">
        <f t="shared" ca="1" si="459"/>
        <v>0</v>
      </c>
      <c r="AQ132" s="387">
        <f t="shared" ca="1" si="459"/>
        <v>0</v>
      </c>
      <c r="AR132" s="387">
        <f t="shared" ca="1" si="459"/>
        <v>0</v>
      </c>
      <c r="AS132" s="387">
        <f t="shared" ca="1" si="459"/>
        <v>0</v>
      </c>
      <c r="AT132" s="387">
        <f t="shared" ca="1" si="459"/>
        <v>0</v>
      </c>
      <c r="AU132" s="387">
        <f t="shared" ca="1" si="459"/>
        <v>0</v>
      </c>
      <c r="AV132" s="387">
        <f t="shared" ca="1" si="459"/>
        <v>0</v>
      </c>
      <c r="AW132" s="387">
        <f t="shared" ca="1" si="459"/>
        <v>0</v>
      </c>
      <c r="AX132" s="387">
        <f t="shared" ca="1" si="459"/>
        <v>0</v>
      </c>
      <c r="AY132" s="387">
        <f t="shared" ca="1" si="459"/>
        <v>0</v>
      </c>
      <c r="AZ132" s="387">
        <f t="shared" ca="1" si="459"/>
        <v>0</v>
      </c>
      <c r="BA132" s="387">
        <f t="shared" ca="1" si="459"/>
        <v>0</v>
      </c>
      <c r="BB132" s="387">
        <f t="shared" ca="1" si="459"/>
        <v>0</v>
      </c>
      <c r="BC132" s="387">
        <f t="shared" ca="1" si="459"/>
        <v>0</v>
      </c>
      <c r="BD132" s="387">
        <f t="shared" ca="1" si="459"/>
        <v>0</v>
      </c>
      <c r="BE132" s="387">
        <f t="shared" ca="1" si="459"/>
        <v>0</v>
      </c>
      <c r="BF132" s="387">
        <f t="shared" ca="1" si="459"/>
        <v>0</v>
      </c>
      <c r="BG132" s="387">
        <f t="shared" ca="1" si="459"/>
        <v>0</v>
      </c>
      <c r="BH132" s="387">
        <f t="shared" ref="BH132:BN132" ca="1" si="460">ROUND(INDEX(SP_CFA_NetChange,0,COLUMN())-INDEX(MO_CFS_NetChange,0,COLUMN()),6)</f>
        <v>0</v>
      </c>
      <c r="BI132" s="387">
        <f t="shared" ca="1" si="460"/>
        <v>0</v>
      </c>
      <c r="BJ132" s="387">
        <f t="shared" ca="1" si="460"/>
        <v>0</v>
      </c>
      <c r="BK132" s="387">
        <f t="shared" ca="1" si="460"/>
        <v>0</v>
      </c>
      <c r="BL132" s="387">
        <f t="shared" ca="1" si="460"/>
        <v>0</v>
      </c>
      <c r="BM132" s="387">
        <f t="shared" ca="1" si="460"/>
        <v>0</v>
      </c>
      <c r="BN132" s="387">
        <f t="shared" ca="1" si="460"/>
        <v>0</v>
      </c>
      <c r="BO132" s="387">
        <f t="shared" ref="BO132:BT132" ca="1" si="461">ROUND(INDEX(SP_CFA_NetChange,0,COLUMN())-INDEX(MO_CFS_NetChange,0,COLUMN()),6)</f>
        <v>0</v>
      </c>
      <c r="BP132" s="387">
        <f t="shared" ca="1" si="461"/>
        <v>0</v>
      </c>
      <c r="BQ132" s="387">
        <f t="shared" ca="1" si="461"/>
        <v>0</v>
      </c>
      <c r="BR132" s="387">
        <f t="shared" ca="1" si="461"/>
        <v>0</v>
      </c>
      <c r="BS132" s="387">
        <f t="shared" ca="1" si="461"/>
        <v>0</v>
      </c>
      <c r="BT132" s="387">
        <f t="shared" ca="1" si="461"/>
        <v>0</v>
      </c>
      <c r="BU132" s="387">
        <f ca="1">ROUND(INDEX(SP_CFA_NetChange,0,COLUMN())-INDEX(MO_CFS_NetChange,0,COLUMN()),6)</f>
        <v>0</v>
      </c>
      <c r="BV132" s="387">
        <f ca="1">ROUND(INDEX(SP_CFA_NetChange,0,COLUMN())-INDEX(MO_CFS_NetChange,0,COLUMN()),6)</f>
        <v>0</v>
      </c>
      <c r="BW132" s="387">
        <f ca="1">ROUND(INDEX(SP_CFA_NetChange,0,COLUMN())-INDEX(MO_CFS_NetChange,0,COLUMN()),6)</f>
        <v>0</v>
      </c>
      <c r="BX132" s="387">
        <f ca="1">ROUND(INDEX(SP_CFA_NetChange,0,COLUMN())-INDEX(MO_CFS_NetChange,0,COLUMN()),6)</f>
        <v>0</v>
      </c>
      <c r="BY132" s="1018">
        <f ca="1">ROUND(INDEX(SP_CFA_NetChange,0,COLUMN())-INDEX(MO_CFS_NetChange,0,COLUMN()),6)</f>
        <v>0</v>
      </c>
      <c r="BZ132" s="387">
        <f t="shared" ref="BZ132:CC132" ca="1" si="462">ROUND(INDEX(SP_CFA_NetChange,0,COLUMN())-INDEX(MO_CFS_NetChange,0,COLUMN()),6)</f>
        <v>0</v>
      </c>
      <c r="CA132" s="387">
        <f t="shared" ca="1" si="462"/>
        <v>0</v>
      </c>
      <c r="CB132" s="387">
        <f t="shared" ca="1" si="462"/>
        <v>0</v>
      </c>
      <c r="CC132" s="387">
        <f t="shared" ca="1" si="462"/>
        <v>0</v>
      </c>
      <c r="CD132" s="387">
        <f t="shared" ref="CD132:CK132" ca="1" si="463">ROUND(INDEX(SP_CFA_NetChange,0,COLUMN())-INDEX(MO_CFS_NetChange,0,COLUMN()),6)</f>
        <v>0</v>
      </c>
      <c r="CE132" s="387">
        <f t="shared" ca="1" si="463"/>
        <v>0</v>
      </c>
      <c r="CF132" s="387">
        <f t="shared" ca="1" si="463"/>
        <v>0</v>
      </c>
      <c r="CG132" s="387">
        <f t="shared" ca="1" si="463"/>
        <v>0</v>
      </c>
      <c r="CH132" s="387">
        <f t="shared" ca="1" si="463"/>
        <v>0</v>
      </c>
      <c r="CI132" s="387">
        <f t="shared" ca="1" si="463"/>
        <v>0</v>
      </c>
      <c r="CJ132" s="387">
        <f t="shared" ca="1" si="463"/>
        <v>0</v>
      </c>
      <c r="CK132" s="387">
        <f t="shared" ca="1" si="463"/>
        <v>0</v>
      </c>
      <c r="CL132" s="130"/>
    </row>
    <row r="133" spans="1:90" collapsed="1" x14ac:dyDescent="0.3">
      <c r="A133" s="130"/>
      <c r="B133" s="130"/>
      <c r="C133" s="185"/>
      <c r="D133" s="185"/>
      <c r="E133" s="185"/>
      <c r="F133" s="185"/>
      <c r="G133" s="130"/>
      <c r="H133" s="130"/>
      <c r="I133" s="130"/>
      <c r="J133" s="130"/>
      <c r="K133" s="185"/>
      <c r="L133" s="130"/>
      <c r="M133" s="130"/>
      <c r="N133" s="130"/>
      <c r="O133" s="130"/>
      <c r="P133" s="185"/>
      <c r="Q133" s="130"/>
      <c r="R133" s="130"/>
      <c r="S133" s="130"/>
      <c r="T133" s="130"/>
      <c r="U133" s="185"/>
      <c r="V133" s="130"/>
      <c r="W133" s="130"/>
      <c r="X133" s="130"/>
      <c r="Y133" s="130"/>
      <c r="Z133" s="185"/>
      <c r="AA133" s="130"/>
      <c r="AB133" s="130"/>
      <c r="AC133" s="130"/>
      <c r="AD133" s="130"/>
      <c r="AE133" s="185"/>
      <c r="AF133" s="130"/>
      <c r="AG133" s="130"/>
      <c r="AH133" s="130"/>
      <c r="AI133" s="130"/>
      <c r="AJ133" s="185"/>
      <c r="AK133" s="130"/>
      <c r="AL133" s="130"/>
      <c r="AM133" s="130"/>
      <c r="AN133" s="130"/>
      <c r="AO133" s="185"/>
      <c r="AP133" s="130"/>
      <c r="AQ133" s="130"/>
      <c r="AR133" s="130"/>
      <c r="AS133" s="130"/>
      <c r="AT133" s="185"/>
      <c r="AU133" s="130"/>
      <c r="AV133" s="130"/>
      <c r="AW133" s="130"/>
      <c r="AX133" s="130"/>
      <c r="AY133" s="185"/>
      <c r="AZ133" s="130"/>
      <c r="BA133" s="130"/>
      <c r="BB133" s="130"/>
      <c r="BC133" s="130"/>
      <c r="BD133" s="185"/>
      <c r="BE133" s="130"/>
      <c r="BF133" s="130"/>
      <c r="BG133" s="130"/>
      <c r="BH133" s="130"/>
      <c r="BI133" s="185"/>
      <c r="BJ133" s="130"/>
      <c r="BK133" s="130"/>
      <c r="BL133" s="130"/>
      <c r="BM133" s="130"/>
      <c r="BN133" s="185"/>
      <c r="BO133" s="130"/>
      <c r="BP133" s="130"/>
      <c r="BQ133" s="130"/>
      <c r="BR133" s="130"/>
      <c r="BS133" s="185"/>
      <c r="BT133" s="130"/>
      <c r="BU133" s="130"/>
      <c r="BV133" s="130"/>
      <c r="BW133" s="130"/>
      <c r="BX133" s="185"/>
      <c r="BY133" s="953"/>
      <c r="BZ133" s="130"/>
      <c r="CA133" s="130"/>
      <c r="CB133" s="130"/>
      <c r="CC133" s="185"/>
      <c r="CD133" s="130"/>
      <c r="CE133" s="130"/>
      <c r="CF133" s="130"/>
      <c r="CG133" s="130"/>
      <c r="CH133" s="185"/>
      <c r="CI133" s="185"/>
      <c r="CJ133" s="185"/>
      <c r="CK133" s="185"/>
      <c r="CL133" s="130"/>
    </row>
    <row r="134" spans="1:90" x14ac:dyDescent="0.3">
      <c r="A134" s="573" t="s">
        <v>1247</v>
      </c>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c r="AH134" s="127"/>
      <c r="AI134" s="127"/>
      <c r="AJ134" s="127"/>
      <c r="AK134" s="127"/>
      <c r="AL134" s="127"/>
      <c r="AM134" s="127"/>
      <c r="AN134" s="127"/>
      <c r="AO134" s="127"/>
      <c r="AP134" s="127"/>
      <c r="AQ134" s="127"/>
      <c r="AR134" s="127"/>
      <c r="AS134" s="127"/>
      <c r="AT134" s="127"/>
      <c r="AU134" s="127"/>
      <c r="AV134" s="127"/>
      <c r="AW134" s="127"/>
      <c r="AX134" s="127"/>
      <c r="AY134" s="127"/>
      <c r="AZ134" s="127"/>
      <c r="BA134" s="127"/>
      <c r="BB134" s="127"/>
      <c r="BC134" s="127"/>
      <c r="BD134" s="127"/>
      <c r="BE134" s="127"/>
      <c r="BF134" s="127"/>
      <c r="BG134" s="127"/>
      <c r="BH134" s="127"/>
      <c r="BI134" s="127"/>
      <c r="BJ134" s="127"/>
      <c r="BK134" s="127"/>
      <c r="BL134" s="127"/>
      <c r="BM134" s="127"/>
      <c r="BN134" s="127"/>
      <c r="BO134" s="127"/>
      <c r="BP134" s="127"/>
      <c r="BQ134" s="127"/>
      <c r="BR134" s="127"/>
      <c r="BS134" s="127"/>
      <c r="BT134" s="127"/>
      <c r="BU134" s="127"/>
      <c r="BV134" s="127"/>
      <c r="BW134" s="127"/>
      <c r="BX134" s="127"/>
      <c r="BY134" s="127"/>
      <c r="BZ134" s="127"/>
      <c r="CA134" s="127"/>
      <c r="CB134" s="127"/>
      <c r="CC134" s="127"/>
      <c r="CD134" s="127"/>
      <c r="CE134" s="127"/>
      <c r="CF134" s="127"/>
      <c r="CG134" s="127"/>
      <c r="CH134" s="127"/>
      <c r="CI134" s="127"/>
      <c r="CJ134" s="127"/>
      <c r="CK134" s="127"/>
      <c r="CL134" s="130"/>
    </row>
    <row r="135" spans="1:90" collapsed="1" x14ac:dyDescent="0.3">
      <c r="A135" s="574"/>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c r="BA135" s="130"/>
      <c r="BB135" s="130"/>
      <c r="BC135" s="130"/>
      <c r="BD135" s="130"/>
      <c r="BE135" s="130"/>
      <c r="BF135" s="130"/>
      <c r="BG135" s="130"/>
      <c r="BH135" s="130"/>
      <c r="BI135" s="130"/>
      <c r="BJ135" s="130"/>
      <c r="BK135" s="130"/>
      <c r="BL135" s="130"/>
      <c r="BM135" s="130"/>
      <c r="BN135" s="130"/>
      <c r="BO135" s="130"/>
      <c r="BP135" s="130"/>
      <c r="BQ135" s="130"/>
      <c r="BR135" s="130"/>
      <c r="BS135" s="130"/>
      <c r="BT135" s="130"/>
      <c r="BU135" s="130"/>
      <c r="BV135" s="130"/>
      <c r="BW135" s="130"/>
      <c r="BX135" s="130"/>
      <c r="BY135" s="130"/>
      <c r="BZ135" s="130"/>
      <c r="CA135" s="130"/>
      <c r="CB135" s="130"/>
      <c r="CC135" s="130"/>
      <c r="CD135" s="130"/>
      <c r="CE135" s="130"/>
      <c r="CF135" s="130"/>
      <c r="CG135" s="130"/>
      <c r="CH135" s="130"/>
      <c r="CI135" s="130"/>
      <c r="CJ135" s="130"/>
      <c r="CK135" s="130"/>
      <c r="CL135" s="130"/>
    </row>
  </sheetData>
  <conditionalFormatting sqref="C129:CK132">
    <cfRule type="cellIs" dxfId="21" priority="287" operator="notEqual">
      <formula>0</formula>
    </cfRule>
    <cfRule type="cellIs" dxfId="20" priority="288" operator="equal">
      <formula>0</formula>
    </cfRule>
  </conditionalFormatting>
  <dataValidations count="1">
    <dataValidation type="list" allowBlank="1" showInputMessage="1" showErrorMessage="1" sqref="B4" xr:uid="{00000000-0002-0000-0400-000000000000}">
      <formula1>OFFSET(tb_ValuationToggle,1,0,4,1)</formula1>
    </dataValidation>
  </dataValidations>
  <pageMargins left="0.7" right="0.7" top="0.75" bottom="0.75" header="0.3" footer="0.3"/>
  <pageSetup scale="38"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63D2-AA59-47E8-9276-58782C024799}">
  <sheetPr codeName="Sheet7"/>
  <dimension ref="A1:AX496"/>
  <sheetViews>
    <sheetView workbookViewId="0">
      <pane xSplit="2" ySplit="5" topLeftCell="C6" activePane="bottomRight" state="frozenSplit"/>
      <selection pane="topRight" activeCell="C1" sqref="C1"/>
      <selection pane="bottomLeft" activeCell="A6" sqref="A6"/>
      <selection pane="bottomRight"/>
    </sheetView>
  </sheetViews>
  <sheetFormatPr defaultRowHeight="14.4" outlineLevelRow="2" outlineLevelCol="1" x14ac:dyDescent="0.3"/>
  <cols>
    <col min="1" max="1" width="50.6640625" customWidth="1"/>
    <col min="2" max="6" width="9.6640625" customWidth="1"/>
    <col min="7" max="10" width="9.6640625" hidden="1" customWidth="1" outlineLevel="1"/>
    <col min="11" max="11" width="9.6640625" customWidth="1" collapsed="1"/>
    <col min="12" max="15" width="9.6640625" hidden="1" customWidth="1" outlineLevel="1"/>
    <col min="16" max="16" width="9.6640625" customWidth="1" collapsed="1"/>
    <col min="17" max="20" width="9.6640625" hidden="1" customWidth="1" outlineLevel="1"/>
    <col min="21" max="21" width="9.6640625" customWidth="1" collapsed="1"/>
    <col min="22" max="25" width="9.6640625" hidden="1" customWidth="1" outlineLevel="1"/>
    <col min="26" max="26" width="9.6640625" customWidth="1" collapsed="1"/>
    <col min="27" max="30" width="9.6640625" hidden="1" customWidth="1" outlineLevel="1"/>
    <col min="31" max="31" width="9.6640625" customWidth="1" collapsed="1"/>
    <col min="32" max="35" width="9.6640625" hidden="1" customWidth="1" outlineLevel="1"/>
    <col min="36" max="36" width="9.6640625" customWidth="1" collapsed="1"/>
    <col min="37" max="40" width="9.6640625" hidden="1" customWidth="1" outlineLevel="1"/>
    <col min="41" max="41" width="9.6640625" customWidth="1" collapsed="1"/>
    <col min="42" max="45" width="9.6640625" hidden="1" customWidth="1" outlineLevel="1"/>
    <col min="46" max="46" width="9.6640625" customWidth="1" collapsed="1"/>
    <col min="47" max="49" width="9.6640625" customWidth="1"/>
    <col min="50" max="50" width="8.6640625" customWidth="1"/>
    <col min="51" max="51" width="9.33203125" customWidth="1"/>
  </cols>
  <sheetData>
    <row r="1" spans="1:50" s="228" customFormat="1" ht="28.8" x14ac:dyDescent="0.55000000000000004">
      <c r="A1" s="31" t="s">
        <v>415</v>
      </c>
      <c r="AL1" s="322"/>
    </row>
    <row r="2" spans="1:50" s="32" customFormat="1" x14ac:dyDescent="0.3">
      <c r="A2" s="325" t="str">
        <f>CHOOSE(MO.DataSourceIndex,MO.Ticker.Bloomberg,MO.Ticker.CapIQ,MO.Ticker.FactSet,MO.Ticker.Thomson)</f>
        <v>Company1719 US</v>
      </c>
      <c r="B2" s="156"/>
      <c r="C2" s="290">
        <f>EOMONTH(C4,-12)</f>
        <v>39813</v>
      </c>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c r="AI2" s="155"/>
      <c r="AJ2" s="155"/>
      <c r="AK2" s="155"/>
      <c r="AL2" s="323"/>
      <c r="AM2" s="155"/>
      <c r="AN2" s="155"/>
      <c r="AO2" s="155"/>
      <c r="AP2" s="155"/>
      <c r="AQ2" s="155"/>
      <c r="AR2" s="155"/>
      <c r="AS2" s="155"/>
      <c r="AT2" s="155"/>
      <c r="AU2" s="155"/>
      <c r="AV2" s="155"/>
      <c r="AW2" s="155"/>
      <c r="AX2" s="237"/>
    </row>
    <row r="3" spans="1:50" s="15" customFormat="1" x14ac:dyDescent="0.3">
      <c r="A3" s="222" t="str">
        <f>HP.TradeCurrency</f>
        <v>USD</v>
      </c>
      <c r="B3" s="151">
        <f>IF(MO.RealTime="OFF",MO.LastPriceHardcoded,MO.LastPriceFormula)</f>
        <v>222.82</v>
      </c>
      <c r="C3" s="291">
        <f>C4-C2</f>
        <v>365</v>
      </c>
      <c r="D3" s="291">
        <f t="shared" ref="D3:J3" si="0">D4-C4</f>
        <v>365</v>
      </c>
      <c r="E3" s="291">
        <f t="shared" si="0"/>
        <v>365</v>
      </c>
      <c r="F3" s="291">
        <f t="shared" si="0"/>
        <v>366</v>
      </c>
      <c r="G3" s="291">
        <f t="shared" si="0"/>
        <v>90</v>
      </c>
      <c r="H3" s="291">
        <f t="shared" si="0"/>
        <v>91</v>
      </c>
      <c r="I3" s="291">
        <f t="shared" si="0"/>
        <v>92</v>
      </c>
      <c r="J3" s="291">
        <f t="shared" si="0"/>
        <v>92</v>
      </c>
      <c r="K3" s="291">
        <f>K4-F4</f>
        <v>365</v>
      </c>
      <c r="L3" s="291">
        <f>L4-K4</f>
        <v>90</v>
      </c>
      <c r="M3" s="291">
        <f>M4-L4</f>
        <v>91</v>
      </c>
      <c r="N3" s="291">
        <f>N4-M4</f>
        <v>92</v>
      </c>
      <c r="O3" s="291">
        <f>O4-N4</f>
        <v>92</v>
      </c>
      <c r="P3" s="291">
        <f>P4-K4</f>
        <v>365</v>
      </c>
      <c r="Q3" s="291">
        <f>Q4-P4</f>
        <v>90</v>
      </c>
      <c r="R3" s="291">
        <f>R4-Q4</f>
        <v>91</v>
      </c>
      <c r="S3" s="291">
        <f>S4-R4</f>
        <v>92</v>
      </c>
      <c r="T3" s="291">
        <f>T4-S4</f>
        <v>92</v>
      </c>
      <c r="U3" s="291">
        <f>U4-P4</f>
        <v>365</v>
      </c>
      <c r="V3" s="291">
        <f>V4-U4</f>
        <v>91</v>
      </c>
      <c r="W3" s="291">
        <f>W4-V4</f>
        <v>91</v>
      </c>
      <c r="X3" s="291">
        <f>X4-W4</f>
        <v>92</v>
      </c>
      <c r="Y3" s="70">
        <f>Y4-X4</f>
        <v>92</v>
      </c>
      <c r="Z3" s="70">
        <f>Z4-U4</f>
        <v>366</v>
      </c>
      <c r="AA3" s="291">
        <f>AA4-Z4</f>
        <v>90</v>
      </c>
      <c r="AB3" s="291">
        <f>AB4-AA4</f>
        <v>91</v>
      </c>
      <c r="AC3" s="291">
        <f>AC4-AB4</f>
        <v>92</v>
      </c>
      <c r="AD3" s="70">
        <f>AD4-AC4</f>
        <v>92</v>
      </c>
      <c r="AE3" s="70">
        <f>AE4-Z4</f>
        <v>365</v>
      </c>
      <c r="AF3" s="291">
        <f>AF4-AE4</f>
        <v>90</v>
      </c>
      <c r="AG3" s="291">
        <f>AG4-AF4</f>
        <v>91</v>
      </c>
      <c r="AH3" s="291">
        <f>AH4-AG4</f>
        <v>92</v>
      </c>
      <c r="AI3" s="70">
        <f>AI4-AH4</f>
        <v>92</v>
      </c>
      <c r="AJ3" s="70">
        <f>AJ4-AE4</f>
        <v>365</v>
      </c>
      <c r="AK3" s="291">
        <f>AK4-AJ4</f>
        <v>90</v>
      </c>
      <c r="AL3" s="300">
        <f>AL4-AK4</f>
        <v>91</v>
      </c>
      <c r="AM3" s="70">
        <f>AM4-AL4</f>
        <v>92</v>
      </c>
      <c r="AN3" s="70">
        <f>AN4-AM4</f>
        <v>92</v>
      </c>
      <c r="AO3" s="70">
        <f>AO4-AJ4</f>
        <v>365</v>
      </c>
      <c r="AP3" s="70">
        <f>AP4-AO4</f>
        <v>91</v>
      </c>
      <c r="AQ3" s="70">
        <f>AQ4-AP4</f>
        <v>91</v>
      </c>
      <c r="AR3" s="70">
        <f>AR4-AQ4</f>
        <v>92</v>
      </c>
      <c r="AS3" s="70">
        <f>AS4-AR4</f>
        <v>92</v>
      </c>
      <c r="AT3" s="70">
        <f>AT4-AO4</f>
        <v>366</v>
      </c>
      <c r="AU3" s="70">
        <f>AU4-AT4</f>
        <v>365</v>
      </c>
      <c r="AV3" s="70">
        <f>AV4-AU4</f>
        <v>365</v>
      </c>
      <c r="AW3" s="70">
        <f>AW4-AV4</f>
        <v>365</v>
      </c>
      <c r="AX3" s="326"/>
    </row>
    <row r="4" spans="1:50" x14ac:dyDescent="0.3">
      <c r="A4" s="223" t="str">
        <f>FP.DataSourceName</f>
        <v>Bloomberg</v>
      </c>
      <c r="B4" s="224" t="str">
        <f>IF(AND(MO.RealTimeStockPriceToggle,MO.LastPriceFormula&lt;&gt;"N/A"),"ON","OFF")</f>
        <v>OFF</v>
      </c>
      <c r="C4" s="327">
        <v>40178</v>
      </c>
      <c r="D4" s="292">
        <f>EOMONTH(C4,12)</f>
        <v>40543</v>
      </c>
      <c r="E4" s="292">
        <f>EOMONTH(D4,12)</f>
        <v>40908</v>
      </c>
      <c r="F4" s="292">
        <f>EOMONTH(E4,12)</f>
        <v>41274</v>
      </c>
      <c r="G4" s="292">
        <f>EOMONTH(F4,3)</f>
        <v>41364</v>
      </c>
      <c r="H4" s="292">
        <f>EOMONTH(G4,3)</f>
        <v>41455</v>
      </c>
      <c r="I4" s="292">
        <f>EOMONTH(H4,3)</f>
        <v>41547</v>
      </c>
      <c r="J4" s="292">
        <f>EOMONTH(I4,3)</f>
        <v>41639</v>
      </c>
      <c r="K4" s="292">
        <f>J4</f>
        <v>41639</v>
      </c>
      <c r="L4" s="292">
        <f>EOMONTH(K4,3)</f>
        <v>41729</v>
      </c>
      <c r="M4" s="292">
        <f>EOMONTH(L4,3)</f>
        <v>41820</v>
      </c>
      <c r="N4" s="292">
        <f>EOMONTH(M4,3)</f>
        <v>41912</v>
      </c>
      <c r="O4" s="292">
        <f>EOMONTH(N4,3)</f>
        <v>42004</v>
      </c>
      <c r="P4" s="292">
        <f>O4</f>
        <v>42004</v>
      </c>
      <c r="Q4" s="292">
        <f>EOMONTH(P4,3)</f>
        <v>42094</v>
      </c>
      <c r="R4" s="292">
        <f>EOMONTH(Q4,3)</f>
        <v>42185</v>
      </c>
      <c r="S4" s="292">
        <f>EOMONTH(R4,3)</f>
        <v>42277</v>
      </c>
      <c r="T4" s="292">
        <f>EOMONTH(S4,3)</f>
        <v>42369</v>
      </c>
      <c r="U4" s="292">
        <f>T4</f>
        <v>42369</v>
      </c>
      <c r="V4" s="292">
        <f>EOMONTH(U4,3)</f>
        <v>42460</v>
      </c>
      <c r="W4" s="293">
        <f>EOMONTH(V4,3)</f>
        <v>42551</v>
      </c>
      <c r="X4" s="293">
        <f>EOMONTH(W4,3)</f>
        <v>42643</v>
      </c>
      <c r="Y4" s="71">
        <f>EOMONTH(X4,3)</f>
        <v>42735</v>
      </c>
      <c r="Z4" s="71">
        <f>Y4</f>
        <v>42735</v>
      </c>
      <c r="AA4" s="293">
        <f>EOMONTH(Z4,3)</f>
        <v>42825</v>
      </c>
      <c r="AB4" s="293">
        <f>EOMONTH(AA4,3)</f>
        <v>42916</v>
      </c>
      <c r="AC4" s="293">
        <f>EOMONTH(AB4,3)</f>
        <v>43008</v>
      </c>
      <c r="AD4" s="71">
        <f>EOMONTH(AC4,3)</f>
        <v>43100</v>
      </c>
      <c r="AE4" s="71">
        <f>AD4</f>
        <v>43100</v>
      </c>
      <c r="AF4" s="293">
        <f>EOMONTH(AE4,3)</f>
        <v>43190</v>
      </c>
      <c r="AG4" s="293">
        <f>EOMONTH(AF4,3)</f>
        <v>43281</v>
      </c>
      <c r="AH4" s="293">
        <f>EOMONTH(AG4,3)</f>
        <v>43373</v>
      </c>
      <c r="AI4" s="71">
        <f>EOMONTH(AH4,3)</f>
        <v>43465</v>
      </c>
      <c r="AJ4" s="71">
        <f>AI4</f>
        <v>43465</v>
      </c>
      <c r="AK4" s="293">
        <f>EOMONTH(AJ4,3)</f>
        <v>43555</v>
      </c>
      <c r="AL4" s="301">
        <f>EOMONTH(AK4,3)</f>
        <v>43646</v>
      </c>
      <c r="AM4" s="71">
        <f>EOMONTH(AL4,3)</f>
        <v>43738</v>
      </c>
      <c r="AN4" s="71">
        <f>EOMONTH(AM4,3)</f>
        <v>43830</v>
      </c>
      <c r="AO4" s="71">
        <f>AN4</f>
        <v>43830</v>
      </c>
      <c r="AP4" s="71">
        <f>EOMONTH(AO4,3)</f>
        <v>43921</v>
      </c>
      <c r="AQ4" s="71">
        <f>EOMONTH(AP4,3)</f>
        <v>44012</v>
      </c>
      <c r="AR4" s="71">
        <f>EOMONTH(AQ4,3)</f>
        <v>44104</v>
      </c>
      <c r="AS4" s="71">
        <f>EOMONTH(AR4,3)</f>
        <v>44196</v>
      </c>
      <c r="AT4" s="71">
        <f>AS4</f>
        <v>44196</v>
      </c>
      <c r="AU4" s="71">
        <f>EOMONTH(AT4,12)</f>
        <v>44561</v>
      </c>
      <c r="AV4" s="71">
        <f>EOMONTH(AU4,12)</f>
        <v>44926</v>
      </c>
      <c r="AW4" s="71">
        <f>EOMONTH(AV4,12)</f>
        <v>45291</v>
      </c>
      <c r="AX4" s="155"/>
    </row>
    <row r="5" spans="1:50" s="32" customFormat="1" x14ac:dyDescent="0.3">
      <c r="A5" s="74" t="s">
        <v>12</v>
      </c>
      <c r="B5" s="152"/>
      <c r="C5" s="328" t="s">
        <v>13</v>
      </c>
      <c r="D5" s="294" t="str">
        <f>CONCATENATE("FY",RIGHT(C5,4)+1)</f>
        <v>FY2010</v>
      </c>
      <c r="E5" s="294" t="str">
        <f>CONCATENATE("FY",RIGHT(D5,4)+1)</f>
        <v>FY2011</v>
      </c>
      <c r="F5" s="294" t="str">
        <f>CONCATENATE("FY",RIGHT(E5,4)+1)</f>
        <v>FY2012</v>
      </c>
      <c r="G5" s="294" t="str">
        <f>CONCATENATE("Q1","-",RIGHT(F5,4)+1)</f>
        <v>Q1-2013</v>
      </c>
      <c r="H5" s="294" t="str">
        <f>CONCATENATE("Q2","-",RIGHT(G5,4))</f>
        <v>Q2-2013</v>
      </c>
      <c r="I5" s="294" t="str">
        <f>CONCATENATE("Q3","-",RIGHT(H5,4))</f>
        <v>Q3-2013</v>
      </c>
      <c r="J5" s="294" t="str">
        <f>CONCATENATE("Q4","-",RIGHT(I5,4))</f>
        <v>Q4-2013</v>
      </c>
      <c r="K5" s="294" t="str">
        <f>CONCATENATE("FY",RIGHT(F5,4)+1)</f>
        <v>FY2013</v>
      </c>
      <c r="L5" s="294" t="str">
        <f>CONCATENATE("Q1","-",RIGHT(K5,4)+1)</f>
        <v>Q1-2014</v>
      </c>
      <c r="M5" s="294" t="str">
        <f>CONCATENATE("Q2","-",RIGHT(L5,4))</f>
        <v>Q2-2014</v>
      </c>
      <c r="N5" s="294" t="str">
        <f>CONCATENATE("Q3","-",RIGHT(M5,4))</f>
        <v>Q3-2014</v>
      </c>
      <c r="O5" s="294" t="str">
        <f>CONCATENATE("Q4","-",RIGHT(N5,4))</f>
        <v>Q4-2014</v>
      </c>
      <c r="P5" s="294" t="str">
        <f>CONCATENATE("FY",RIGHT(K5,4)+1)</f>
        <v>FY2014</v>
      </c>
      <c r="Q5" s="294" t="str">
        <f>CONCATENATE("Q1","-",RIGHT(P5,4)+1)</f>
        <v>Q1-2015</v>
      </c>
      <c r="R5" s="294" t="str">
        <f>CONCATENATE("Q2","-",RIGHT(Q5,4))</f>
        <v>Q2-2015</v>
      </c>
      <c r="S5" s="294" t="str">
        <f>CONCATENATE("Q3","-",RIGHT(R5,4))</f>
        <v>Q3-2015</v>
      </c>
      <c r="T5" s="294" t="str">
        <f>CONCATENATE("Q4","-",RIGHT(S5,4))</f>
        <v>Q4-2015</v>
      </c>
      <c r="U5" s="294" t="str">
        <f>CONCATENATE("FY",RIGHT(P5,4)+1)</f>
        <v>FY2015</v>
      </c>
      <c r="V5" s="294" t="str">
        <f>CONCATENATE("Q1","-",RIGHT(U5,4)+1)</f>
        <v>Q1-2016</v>
      </c>
      <c r="W5" s="295" t="str">
        <f>CONCATENATE("Q2","-",RIGHT(V5,4))</f>
        <v>Q2-2016</v>
      </c>
      <c r="X5" s="295" t="str">
        <f>CONCATENATE("Q3","-",RIGHT(W5,4))</f>
        <v>Q3-2016</v>
      </c>
      <c r="Y5" s="47" t="str">
        <f>CONCATENATE("Q4","-",RIGHT(X5,4))</f>
        <v>Q4-2016</v>
      </c>
      <c r="Z5" s="47" t="str">
        <f>CONCATENATE("FY",RIGHT(U5,4)+1)</f>
        <v>FY2016</v>
      </c>
      <c r="AA5" s="295" t="str">
        <f>CONCATENATE("Q1","-",RIGHT(Z5,4)+1)</f>
        <v>Q1-2017</v>
      </c>
      <c r="AB5" s="295" t="str">
        <f>CONCATENATE("Q2","-",RIGHT(AA5,4))</f>
        <v>Q2-2017</v>
      </c>
      <c r="AC5" s="295" t="str">
        <f>CONCATENATE("Q3","-",RIGHT(AB5,4))</f>
        <v>Q3-2017</v>
      </c>
      <c r="AD5" s="47" t="str">
        <f>CONCATENATE("Q4","-",RIGHT(AC5,4))</f>
        <v>Q4-2017</v>
      </c>
      <c r="AE5" s="47" t="str">
        <f>CONCATENATE("FY",RIGHT(Z5,4)+1)</f>
        <v>FY2017</v>
      </c>
      <c r="AF5" s="295" t="str">
        <f>CONCATENATE("Q1","-",RIGHT(AE5,4)+1)</f>
        <v>Q1-2018</v>
      </c>
      <c r="AG5" s="295" t="str">
        <f>CONCATENATE("Q2","-",RIGHT(AF5,4))</f>
        <v>Q2-2018</v>
      </c>
      <c r="AH5" s="295" t="str">
        <f>CONCATENATE("Q3","-",RIGHT(AG5,4))</f>
        <v>Q3-2018</v>
      </c>
      <c r="AI5" s="47" t="str">
        <f>CONCATENATE("Q4","-",RIGHT(AH5,4))</f>
        <v>Q4-2018</v>
      </c>
      <c r="AJ5" s="47" t="str">
        <f>CONCATENATE("FY",RIGHT(AE5,4)+1)</f>
        <v>FY2018</v>
      </c>
      <c r="AK5" s="295" t="str">
        <f>CONCATENATE("Q1","-",RIGHT(AJ5,4)+1)</f>
        <v>Q1-2019</v>
      </c>
      <c r="AL5" s="302" t="str">
        <f>CONCATENATE("Q2","-",RIGHT(AK5,4))</f>
        <v>Q2-2019</v>
      </c>
      <c r="AM5" s="47" t="str">
        <f>CONCATENATE("Q3","-",RIGHT(AL5,4))</f>
        <v>Q3-2019</v>
      </c>
      <c r="AN5" s="47" t="str">
        <f>CONCATENATE("Q4","-",RIGHT(AM5,4))</f>
        <v>Q4-2019</v>
      </c>
      <c r="AO5" s="47" t="str">
        <f>CONCATENATE("FY",RIGHT(AJ5,4)+1)</f>
        <v>FY2019</v>
      </c>
      <c r="AP5" s="47" t="str">
        <f>CONCATENATE("Q1","-",RIGHT(AO5,4)+1)</f>
        <v>Q1-2020</v>
      </c>
      <c r="AQ5" s="47" t="str">
        <f>CONCATENATE("Q2","-",RIGHT(AP5,4))</f>
        <v>Q2-2020</v>
      </c>
      <c r="AR5" s="47" t="str">
        <f>CONCATENATE("Q3","-",RIGHT(AQ5,4))</f>
        <v>Q3-2020</v>
      </c>
      <c r="AS5" s="47" t="str">
        <f>CONCATENATE("Q4","-",RIGHT(AR5,4))</f>
        <v>Q4-2020</v>
      </c>
      <c r="AT5" s="47" t="str">
        <f>CONCATENATE("FY",RIGHT(AO5,4)+1)</f>
        <v>FY2020</v>
      </c>
      <c r="AU5" s="47" t="str">
        <f>CONCATENATE("FY",RIGHT(AT5,4)+1)</f>
        <v>FY2021</v>
      </c>
      <c r="AV5" s="47" t="str">
        <f>CONCATENATE("FY",RIGHT(AU5,4)+1)</f>
        <v>FY2022</v>
      </c>
      <c r="AW5" s="47" t="str">
        <f>CONCATENATE("FY",RIGHT(AV5,4)+1)</f>
        <v>FY2023</v>
      </c>
      <c r="AX5" s="237"/>
    </row>
    <row r="6" spans="1:50" s="16" customFormat="1" x14ac:dyDescent="0.3">
      <c r="A6" s="46" t="s">
        <v>14</v>
      </c>
      <c r="B6" s="46"/>
      <c r="C6" s="46"/>
      <c r="D6" s="46"/>
      <c r="E6" s="46"/>
      <c r="F6" s="46"/>
      <c r="G6" s="46"/>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303"/>
      <c r="AM6" s="46"/>
      <c r="AN6" s="46"/>
      <c r="AO6" s="46"/>
      <c r="AP6" s="46"/>
      <c r="AQ6" s="46"/>
      <c r="AR6" s="46"/>
      <c r="AS6" s="46"/>
      <c r="AT6" s="46"/>
      <c r="AU6" s="46"/>
      <c r="AV6" s="46"/>
      <c r="AW6" s="46"/>
      <c r="AX6" s="25"/>
    </row>
    <row r="7" spans="1:50" s="333" customFormat="1" x14ac:dyDescent="0.3">
      <c r="A7" s="329" t="s">
        <v>416</v>
      </c>
      <c r="B7" s="34"/>
      <c r="C7" s="285"/>
      <c r="D7" s="285">
        <f t="shared" ref="D7:F11" si="1">D14/C14-1</f>
        <v>0.46335830852920035</v>
      </c>
      <c r="E7" s="285">
        <f t="shared" si="1"/>
        <v>-0.18351744695774153</v>
      </c>
      <c r="F7" s="285">
        <f t="shared" si="1"/>
        <v>1.042414741001632</v>
      </c>
      <c r="G7" s="330"/>
      <c r="H7" s="330"/>
      <c r="I7" s="330"/>
      <c r="J7" s="330"/>
      <c r="K7" s="285">
        <f t="shared" ref="K7:T11" si="2">K14/F14-1</f>
        <v>-0.40257405129175727</v>
      </c>
      <c r="L7" s="330">
        <f t="shared" si="2"/>
        <v>0.14317895116237156</v>
      </c>
      <c r="M7" s="330">
        <f t="shared" si="2"/>
        <v>7.8914374216387584E-2</v>
      </c>
      <c r="N7" s="330">
        <f t="shared" si="2"/>
        <v>0.16075066362121104</v>
      </c>
      <c r="O7" s="330">
        <f t="shared" si="2"/>
        <v>0.54883779211828876</v>
      </c>
      <c r="P7" s="285">
        <f t="shared" si="2"/>
        <v>0.24680993364661985</v>
      </c>
      <c r="Q7" s="330">
        <f t="shared" si="2"/>
        <v>1.3100023646252068</v>
      </c>
      <c r="R7" s="330">
        <f t="shared" si="2"/>
        <v>0.98106500786109807</v>
      </c>
      <c r="S7" s="330">
        <f t="shared" si="2"/>
        <v>9.1208849651651214E-2</v>
      </c>
      <c r="T7" s="330">
        <f t="shared" si="2"/>
        <v>-0.4576271186440678</v>
      </c>
      <c r="U7" s="285">
        <f t="shared" ref="U7:AD11" si="3">U14/P14-1</f>
        <v>0.30172219085262553</v>
      </c>
      <c r="V7" s="330">
        <f t="shared" si="3"/>
        <v>-2.6478315760739779E-2</v>
      </c>
      <c r="W7" s="330">
        <f t="shared" si="3"/>
        <v>0.60584520892998861</v>
      </c>
      <c r="X7" s="330">
        <f t="shared" si="3"/>
        <v>1.5081391948532996</v>
      </c>
      <c r="Y7" s="330">
        <f t="shared" si="3"/>
        <v>2.2897523866348442</v>
      </c>
      <c r="Z7" s="285">
        <f t="shared" si="3"/>
        <v>0.85048907974927879</v>
      </c>
      <c r="AA7" s="330">
        <f t="shared" si="3"/>
        <v>0.4868739266061477</v>
      </c>
      <c r="AB7" s="330">
        <f t="shared" si="3"/>
        <v>-0.26807623713444639</v>
      </c>
      <c r="AC7" s="330">
        <f t="shared" si="3"/>
        <v>-6.5834985037503513E-2</v>
      </c>
      <c r="AD7" s="330">
        <f t="shared" si="3"/>
        <v>-0.16894511324219508</v>
      </c>
      <c r="AE7" s="285">
        <f t="shared" ref="AE7:AL11" si="4">AE14/Z14-1</f>
        <v>-5.5232915887740819E-2</v>
      </c>
      <c r="AF7" s="330">
        <f t="shared" si="4"/>
        <v>-0.32612795247748805</v>
      </c>
      <c r="AG7" s="330">
        <f t="shared" si="4"/>
        <v>-0.15057393652937212</v>
      </c>
      <c r="AH7" s="330">
        <f t="shared" si="4"/>
        <v>-3.4883720930232509E-2</v>
      </c>
      <c r="AI7" s="330">
        <f t="shared" si="4"/>
        <v>0.2347437051586323</v>
      </c>
      <c r="AJ7" s="285">
        <f t="shared" si="4"/>
        <v>-7.4657602223104358E-2</v>
      </c>
      <c r="AK7" s="330">
        <f t="shared" si="4"/>
        <v>1.1206492461608422</v>
      </c>
      <c r="AL7" s="331">
        <f t="shared" si="4"/>
        <v>0.83334485380521173</v>
      </c>
      <c r="AM7" s="29"/>
      <c r="AN7" s="29"/>
      <c r="AO7" s="48"/>
      <c r="AP7" s="29"/>
      <c r="AQ7" s="29"/>
      <c r="AR7" s="29"/>
      <c r="AS7" s="29"/>
      <c r="AT7" s="48"/>
      <c r="AU7" s="7"/>
      <c r="AV7" s="7"/>
      <c r="AW7" s="7"/>
      <c r="AX7" s="332"/>
    </row>
    <row r="8" spans="1:50" s="333" customFormat="1" x14ac:dyDescent="0.3">
      <c r="A8" s="329" t="s">
        <v>417</v>
      </c>
      <c r="B8" s="34"/>
      <c r="C8" s="285"/>
      <c r="D8" s="285">
        <f t="shared" si="1"/>
        <v>8.9820651114432382E-2</v>
      </c>
      <c r="E8" s="285">
        <f t="shared" si="1"/>
        <v>0.46089289707088033</v>
      </c>
      <c r="F8" s="285">
        <f t="shared" si="1"/>
        <v>0.58840455491612564</v>
      </c>
      <c r="G8" s="330"/>
      <c r="H8" s="330"/>
      <c r="I8" s="330"/>
      <c r="J8" s="330"/>
      <c r="K8" s="285">
        <f t="shared" si="2"/>
        <v>-0.23299929337701542</v>
      </c>
      <c r="L8" s="330">
        <f t="shared" si="2"/>
        <v>0.31772857867162418</v>
      </c>
      <c r="M8" s="330">
        <f t="shared" si="2"/>
        <v>-1.8187249012644791E-2</v>
      </c>
      <c r="N8" s="330">
        <f t="shared" si="2"/>
        <v>0.37868267358857888</v>
      </c>
      <c r="O8" s="330">
        <f t="shared" si="2"/>
        <v>0.27878090856814253</v>
      </c>
      <c r="P8" s="285">
        <f t="shared" si="2"/>
        <v>0.23734704645767546</v>
      </c>
      <c r="Q8" s="330">
        <f t="shared" si="2"/>
        <v>0.87591381300500193</v>
      </c>
      <c r="R8" s="330">
        <f t="shared" si="2"/>
        <v>1.1654666531453879</v>
      </c>
      <c r="S8" s="330">
        <f t="shared" si="2"/>
        <v>0.54743357416864735</v>
      </c>
      <c r="T8" s="330">
        <f t="shared" si="2"/>
        <v>0.72969691519021507</v>
      </c>
      <c r="U8" s="285">
        <f t="shared" si="3"/>
        <v>0.79540131855040697</v>
      </c>
      <c r="V8" s="330">
        <f t="shared" si="3"/>
        <v>0.58841828188561851</v>
      </c>
      <c r="W8" s="330">
        <f t="shared" si="3"/>
        <v>0.28753843992444672</v>
      </c>
      <c r="X8" s="330">
        <f t="shared" si="3"/>
        <v>0.27786227034919109</v>
      </c>
      <c r="Y8" s="330">
        <f t="shared" si="3"/>
        <v>1.2205901468867353E-2</v>
      </c>
      <c r="Z8" s="285">
        <f t="shared" si="3"/>
        <v>0.27165041150013747</v>
      </c>
      <c r="AA8" s="330">
        <f t="shared" si="3"/>
        <v>-0.30818232686265223</v>
      </c>
      <c r="AB8" s="330">
        <f t="shared" si="3"/>
        <v>-2.4926952873995156E-2</v>
      </c>
      <c r="AC8" s="330">
        <f t="shared" si="3"/>
        <v>2.6778700816452172E-3</v>
      </c>
      <c r="AD8" s="330">
        <f t="shared" si="3"/>
        <v>0.24415364265625694</v>
      </c>
      <c r="AE8" s="285">
        <f t="shared" si="4"/>
        <v>-3.397232170386344E-2</v>
      </c>
      <c r="AF8" s="330">
        <f t="shared" si="4"/>
        <v>0.83616935232999445</v>
      </c>
      <c r="AG8" s="330">
        <f t="shared" si="4"/>
        <v>0.69981970780230029</v>
      </c>
      <c r="AH8" s="330">
        <f t="shared" si="4"/>
        <v>0.54363953612591542</v>
      </c>
      <c r="AI8" s="330">
        <f t="shared" si="4"/>
        <v>0.14518842703935664</v>
      </c>
      <c r="AJ8" s="285">
        <f t="shared" si="4"/>
        <v>0.52143810707544991</v>
      </c>
      <c r="AK8" s="330">
        <f t="shared" si="4"/>
        <v>-8.1498674301784813E-2</v>
      </c>
      <c r="AL8" s="331">
        <f t="shared" si="4"/>
        <v>-0.11751323989817708</v>
      </c>
      <c r="AM8" s="29"/>
      <c r="AN8" s="29"/>
      <c r="AO8" s="48"/>
      <c r="AP8" s="29"/>
      <c r="AQ8" s="29"/>
      <c r="AR8" s="29"/>
      <c r="AS8" s="29"/>
      <c r="AT8" s="48"/>
      <c r="AU8" s="7"/>
      <c r="AV8" s="7"/>
      <c r="AW8" s="7"/>
      <c r="AX8" s="332"/>
    </row>
    <row r="9" spans="1:50" s="333" customFormat="1" x14ac:dyDescent="0.3">
      <c r="A9" s="329" t="s">
        <v>418</v>
      </c>
      <c r="B9" s="34"/>
      <c r="C9" s="285"/>
      <c r="D9" s="285">
        <f t="shared" si="1"/>
        <v>0.94687875150060008</v>
      </c>
      <c r="E9" s="285">
        <f t="shared" si="1"/>
        <v>2.9256975489440422</v>
      </c>
      <c r="F9" s="285">
        <f t="shared" si="1"/>
        <v>1.2020340846619022</v>
      </c>
      <c r="G9" s="330"/>
      <c r="H9" s="330"/>
      <c r="I9" s="330"/>
      <c r="J9" s="330"/>
      <c r="K9" s="285">
        <f t="shared" si="2"/>
        <v>-0.13699615409763954</v>
      </c>
      <c r="L9" s="330">
        <f t="shared" si="2"/>
        <v>-9.0415658923448938E-2</v>
      </c>
      <c r="M9" s="330">
        <f t="shared" si="2"/>
        <v>-0.11664233950475023</v>
      </c>
      <c r="N9" s="330">
        <f t="shared" si="2"/>
        <v>1.6430296133884692E-2</v>
      </c>
      <c r="O9" s="330">
        <f t="shared" si="2"/>
        <v>0.27202987494210351</v>
      </c>
      <c r="P9" s="285">
        <f t="shared" si="2"/>
        <v>1.5284053339210901E-2</v>
      </c>
      <c r="Q9" s="330">
        <f t="shared" si="2"/>
        <v>6.5671088025229363E-2</v>
      </c>
      <c r="R9" s="330">
        <f t="shared" si="2"/>
        <v>0.21831516697588116</v>
      </c>
      <c r="S9" s="330">
        <f t="shared" si="2"/>
        <v>0.41509433962264164</v>
      </c>
      <c r="T9" s="330">
        <f t="shared" si="2"/>
        <v>0.17562185658041418</v>
      </c>
      <c r="U9" s="285">
        <f t="shared" si="3"/>
        <v>0.22098600435540661</v>
      </c>
      <c r="V9" s="330">
        <f t="shared" si="3"/>
        <v>0.27144805175965425</v>
      </c>
      <c r="W9" s="330">
        <f t="shared" si="3"/>
        <v>0.18668950912508619</v>
      </c>
      <c r="X9" s="330">
        <f t="shared" si="3"/>
        <v>-3.9170284611674822E-3</v>
      </c>
      <c r="Y9" s="330">
        <f t="shared" si="3"/>
        <v>0.1375779162956372</v>
      </c>
      <c r="Z9" s="285">
        <f t="shared" si="3"/>
        <v>0.13393933669302194</v>
      </c>
      <c r="AA9" s="330">
        <f t="shared" si="3"/>
        <v>7.5827761677657923E-2</v>
      </c>
      <c r="AB9" s="330">
        <f t="shared" si="3"/>
        <v>0.12664166984139724</v>
      </c>
      <c r="AC9" s="330">
        <f t="shared" si="3"/>
        <v>9.7923366006741341E-2</v>
      </c>
      <c r="AD9" s="330">
        <f t="shared" si="3"/>
        <v>6.9071726367735842E-2</v>
      </c>
      <c r="AE9" s="285">
        <f t="shared" si="4"/>
        <v>9.188908434313503E-2</v>
      </c>
      <c r="AF9" s="330">
        <f t="shared" si="4"/>
        <v>0.18031222160946836</v>
      </c>
      <c r="AG9" s="330">
        <f t="shared" si="4"/>
        <v>1.5750413782056993E-2</v>
      </c>
      <c r="AH9" s="330">
        <f t="shared" si="4"/>
        <v>-5.6336785644970577E-2</v>
      </c>
      <c r="AI9" s="330">
        <f t="shared" si="4"/>
        <v>0.29366165796510857</v>
      </c>
      <c r="AJ9" s="285">
        <f t="shared" si="4"/>
        <v>0.11058356818467385</v>
      </c>
      <c r="AK9" s="330">
        <f t="shared" si="4"/>
        <v>0.47461678077883818</v>
      </c>
      <c r="AL9" s="331">
        <f t="shared" si="4"/>
        <v>0.29319830395626756</v>
      </c>
      <c r="AM9" s="29"/>
      <c r="AN9" s="29"/>
      <c r="AO9" s="48"/>
      <c r="AP9" s="29"/>
      <c r="AQ9" s="29"/>
      <c r="AR9" s="29"/>
      <c r="AS9" s="29"/>
      <c r="AT9" s="48"/>
      <c r="AU9" s="7"/>
      <c r="AV9" s="7"/>
      <c r="AW9" s="7"/>
      <c r="AX9" s="332"/>
    </row>
    <row r="10" spans="1:50" s="333" customFormat="1" x14ac:dyDescent="0.3">
      <c r="A10" s="334" t="s">
        <v>419</v>
      </c>
      <c r="B10" s="335"/>
      <c r="C10" s="336"/>
      <c r="D10" s="336">
        <f t="shared" si="1"/>
        <v>1.0043478260869567</v>
      </c>
      <c r="E10" s="336">
        <f t="shared" si="1"/>
        <v>2.4603217642805491</v>
      </c>
      <c r="F10" s="336">
        <f t="shared" si="1"/>
        <v>1.1364764267990077</v>
      </c>
      <c r="G10" s="337"/>
      <c r="H10" s="337"/>
      <c r="I10" s="337"/>
      <c r="J10" s="337"/>
      <c r="K10" s="336">
        <f t="shared" si="2"/>
        <v>-0.15598752980010999</v>
      </c>
      <c r="L10" s="337">
        <f t="shared" si="2"/>
        <v>0.78613985575415479</v>
      </c>
      <c r="M10" s="337">
        <f t="shared" si="2"/>
        <v>0.56316847086277311</v>
      </c>
      <c r="N10" s="337">
        <f t="shared" si="2"/>
        <v>8.4407860303563842E-2</v>
      </c>
      <c r="O10" s="337">
        <f t="shared" si="2"/>
        <v>0.41046581972171858</v>
      </c>
      <c r="P10" s="336">
        <f t="shared" si="2"/>
        <v>0.41474013558143574</v>
      </c>
      <c r="Q10" s="337">
        <f t="shared" si="2"/>
        <v>7.0707514044943798E-2</v>
      </c>
      <c r="R10" s="337">
        <f t="shared" si="2"/>
        <v>0.16437901720920589</v>
      </c>
      <c r="S10" s="337">
        <f t="shared" si="2"/>
        <v>0.46031328155850981</v>
      </c>
      <c r="T10" s="337">
        <f t="shared" si="2"/>
        <v>0.24898134248337955</v>
      </c>
      <c r="U10" s="336">
        <f t="shared" si="3"/>
        <v>0.23581930622107539</v>
      </c>
      <c r="V10" s="337">
        <f t="shared" si="3"/>
        <v>0.29223201475712246</v>
      </c>
      <c r="W10" s="337">
        <f t="shared" si="3"/>
        <v>0.27882047081448769</v>
      </c>
      <c r="X10" s="337">
        <f t="shared" si="3"/>
        <v>0.11486689501832825</v>
      </c>
      <c r="Y10" s="337">
        <f t="shared" si="3"/>
        <v>0.17138850732600708</v>
      </c>
      <c r="Z10" s="336">
        <f t="shared" si="3"/>
        <v>0.2052195526097762</v>
      </c>
      <c r="AA10" s="337">
        <f t="shared" si="3"/>
        <v>0.10363532546631116</v>
      </c>
      <c r="AB10" s="337">
        <f t="shared" si="3"/>
        <v>0.14974378968474977</v>
      </c>
      <c r="AC10" s="337">
        <f t="shared" si="3"/>
        <v>-1.0888020482414662E-2</v>
      </c>
      <c r="AD10" s="337">
        <f t="shared" si="3"/>
        <v>6.9870275816585892E-3</v>
      </c>
      <c r="AE10" s="336">
        <f t="shared" si="4"/>
        <v>5.8610022685089858E-2</v>
      </c>
      <c r="AF10" s="337">
        <f t="shared" si="4"/>
        <v>0.40021844729958911</v>
      </c>
      <c r="AG10" s="337">
        <f t="shared" si="4"/>
        <v>0.10805377255661885</v>
      </c>
      <c r="AH10" s="337">
        <f t="shared" si="4"/>
        <v>0.342824446200376</v>
      </c>
      <c r="AI10" s="337">
        <f t="shared" si="4"/>
        <v>0.2758194036730619</v>
      </c>
      <c r="AJ10" s="336">
        <f t="shared" si="4"/>
        <v>0.27491623159043077</v>
      </c>
      <c r="AK10" s="337">
        <f t="shared" si="4"/>
        <v>0.11066406650928862</v>
      </c>
      <c r="AL10" s="338">
        <f t="shared" si="4"/>
        <v>0.37338783718795066</v>
      </c>
      <c r="AM10" s="339"/>
      <c r="AN10" s="339"/>
      <c r="AO10" s="340"/>
      <c r="AP10" s="339"/>
      <c r="AQ10" s="339"/>
      <c r="AR10" s="339"/>
      <c r="AS10" s="339"/>
      <c r="AT10" s="340"/>
      <c r="AU10" s="341"/>
      <c r="AV10" s="341"/>
      <c r="AW10" s="341"/>
      <c r="AX10" s="332"/>
    </row>
    <row r="11" spans="1:50" s="16" customFormat="1" x14ac:dyDescent="0.3">
      <c r="A11" s="96" t="s">
        <v>15</v>
      </c>
      <c r="B11" s="33"/>
      <c r="C11" s="6"/>
      <c r="D11" s="6">
        <f t="shared" si="1"/>
        <v>0.33259798007652286</v>
      </c>
      <c r="E11" s="6">
        <f t="shared" si="1"/>
        <v>0.67648085876875319</v>
      </c>
      <c r="F11" s="6">
        <f t="shared" si="1"/>
        <v>0.93171482462941335</v>
      </c>
      <c r="G11" s="23"/>
      <c r="H11" s="23"/>
      <c r="I11" s="23"/>
      <c r="J11" s="23"/>
      <c r="K11" s="6">
        <f t="shared" si="2"/>
        <v>-0.22037384259952597</v>
      </c>
      <c r="L11" s="23">
        <f t="shared" si="2"/>
        <v>0.19164660568127112</v>
      </c>
      <c r="M11" s="23">
        <f t="shared" si="2"/>
        <v>4.7418710781517159E-2</v>
      </c>
      <c r="N11" s="23">
        <f t="shared" si="2"/>
        <v>0.15990659863357259</v>
      </c>
      <c r="O11" s="23">
        <f t="shared" si="2"/>
        <v>0.34241493136480861</v>
      </c>
      <c r="P11" s="6">
        <f t="shared" si="2"/>
        <v>0.1875160077451874</v>
      </c>
      <c r="Q11" s="23">
        <f t="shared" si="2"/>
        <v>0.48153572655097876</v>
      </c>
      <c r="R11" s="23">
        <f t="shared" si="2"/>
        <v>0.58668780331248871</v>
      </c>
      <c r="S11" s="23">
        <f t="shared" si="2"/>
        <v>0.41976505285482335</v>
      </c>
      <c r="T11" s="23">
        <f t="shared" si="2"/>
        <v>0.25386207092037738</v>
      </c>
      <c r="U11" s="6">
        <f t="shared" si="3"/>
        <v>0.41947895929895274</v>
      </c>
      <c r="V11" s="23">
        <f t="shared" si="3"/>
        <v>0.34181012442474845</v>
      </c>
      <c r="W11" s="23">
        <f t="shared" si="3"/>
        <v>0.31660210361144459</v>
      </c>
      <c r="X11" s="23">
        <f t="shared" si="3"/>
        <v>0.30829107756583429</v>
      </c>
      <c r="Y11" s="86">
        <f t="shared" si="3"/>
        <v>0.25283146829433711</v>
      </c>
      <c r="Z11" s="51">
        <f t="shared" si="3"/>
        <v>0.30291123469170667</v>
      </c>
      <c r="AA11" s="23">
        <f t="shared" si="3"/>
        <v>-4.1456226817742969E-2</v>
      </c>
      <c r="AB11" s="23">
        <f t="shared" si="3"/>
        <v>-1.321688446515612E-2</v>
      </c>
      <c r="AC11" s="23">
        <f t="shared" si="3"/>
        <v>6.636605697311948E-3</v>
      </c>
      <c r="AD11" s="86">
        <f t="shared" si="3"/>
        <v>7.1748858694671958E-2</v>
      </c>
      <c r="AE11" s="51">
        <f t="shared" si="4"/>
        <v>7.4577433416755934E-3</v>
      </c>
      <c r="AF11" s="23">
        <f t="shared" si="4"/>
        <v>0.33049917572660625</v>
      </c>
      <c r="AG11" s="23">
        <f t="shared" si="4"/>
        <v>0.2665572130853644</v>
      </c>
      <c r="AH11" s="23">
        <f t="shared" si="4"/>
        <v>0.23709453741487563</v>
      </c>
      <c r="AI11" s="86">
        <f t="shared" si="4"/>
        <v>0.22093096670188217</v>
      </c>
      <c r="AJ11" s="51">
        <f t="shared" si="4"/>
        <v>0.26027528872209849</v>
      </c>
      <c r="AK11" s="23">
        <f t="shared" si="4"/>
        <v>0.21600398406374488</v>
      </c>
      <c r="AL11" s="305">
        <f t="shared" si="4"/>
        <v>0.15593268321028675</v>
      </c>
      <c r="AM11" s="86"/>
      <c r="AN11" s="86"/>
      <c r="AO11" s="51"/>
      <c r="AP11" s="86"/>
      <c r="AQ11" s="86"/>
      <c r="AR11" s="86"/>
      <c r="AS11" s="86"/>
      <c r="AT11" s="51"/>
      <c r="AU11" s="51"/>
      <c r="AV11" s="51"/>
      <c r="AW11" s="51"/>
      <c r="AX11" s="25"/>
    </row>
    <row r="12" spans="1:50" s="16" customFormat="1" x14ac:dyDescent="0.3">
      <c r="A12" s="96"/>
      <c r="B12" s="33"/>
      <c r="C12" s="6"/>
      <c r="D12" s="6"/>
      <c r="E12" s="6"/>
      <c r="F12" s="6"/>
      <c r="G12" s="23"/>
      <c r="H12" s="23"/>
      <c r="I12" s="23"/>
      <c r="J12" s="23"/>
      <c r="K12" s="6"/>
      <c r="L12" s="23"/>
      <c r="M12" s="23"/>
      <c r="N12" s="23"/>
      <c r="O12" s="23"/>
      <c r="P12" s="6"/>
      <c r="Q12" s="23"/>
      <c r="R12" s="23"/>
      <c r="S12" s="23"/>
      <c r="T12" s="23"/>
      <c r="U12" s="6"/>
      <c r="V12" s="23"/>
      <c r="W12" s="23"/>
      <c r="X12" s="23"/>
      <c r="Y12" s="23"/>
      <c r="Z12" s="6"/>
      <c r="AA12" s="23"/>
      <c r="AB12" s="23"/>
      <c r="AC12" s="23"/>
      <c r="AD12" s="23"/>
      <c r="AE12" s="6"/>
      <c r="AF12" s="23"/>
      <c r="AG12" s="23"/>
      <c r="AH12" s="23"/>
      <c r="AI12" s="23"/>
      <c r="AJ12" s="6"/>
      <c r="AK12" s="23"/>
      <c r="AL12" s="305"/>
      <c r="AM12" s="23"/>
      <c r="AN12" s="23"/>
      <c r="AO12" s="6"/>
      <c r="AP12" s="23"/>
      <c r="AQ12" s="23"/>
      <c r="AR12" s="23"/>
      <c r="AS12" s="23"/>
      <c r="AT12" s="6"/>
      <c r="AU12" s="6"/>
      <c r="AV12" s="6"/>
      <c r="AW12" s="6"/>
      <c r="AX12" s="25"/>
    </row>
    <row r="13" spans="1:50" s="9" customFormat="1" x14ac:dyDescent="0.3">
      <c r="A13" s="45" t="s">
        <v>420</v>
      </c>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306"/>
      <c r="AM13" s="45"/>
      <c r="AN13" s="45"/>
      <c r="AO13" s="45"/>
      <c r="AP13" s="45"/>
      <c r="AQ13" s="45"/>
      <c r="AR13" s="45"/>
      <c r="AS13" s="45"/>
      <c r="AT13" s="45"/>
      <c r="AU13" s="45"/>
      <c r="AV13" s="45"/>
      <c r="AW13" s="45"/>
      <c r="AX13" s="22"/>
    </row>
    <row r="14" spans="1:50" s="5" customFormat="1" x14ac:dyDescent="0.3">
      <c r="A14" s="36" t="s">
        <v>421</v>
      </c>
      <c r="B14" s="342"/>
      <c r="C14" s="343">
        <v>38.972000000000001</v>
      </c>
      <c r="D14" s="343">
        <v>57.03</v>
      </c>
      <c r="E14" s="343">
        <v>46.564</v>
      </c>
      <c r="F14" s="343">
        <v>95.102999999999994</v>
      </c>
      <c r="G14" s="228">
        <v>11.098000000000001</v>
      </c>
      <c r="H14" s="228">
        <v>13.558999999999999</v>
      </c>
      <c r="I14" s="228">
        <v>16.199000000000002</v>
      </c>
      <c r="J14" s="228">
        <f>K14-SUM(G14:I14)</f>
        <v>15.960999999999999</v>
      </c>
      <c r="K14" s="343">
        <v>56.817</v>
      </c>
      <c r="L14" s="228">
        <v>12.686999999999999</v>
      </c>
      <c r="M14" s="228">
        <v>14.629</v>
      </c>
      <c r="N14" s="228">
        <v>18.803000000000001</v>
      </c>
      <c r="O14" s="228">
        <f>P14-SUM(L14:N14)</f>
        <v>24.721000000000004</v>
      </c>
      <c r="P14" s="343">
        <v>70.84</v>
      </c>
      <c r="Q14" s="228">
        <v>29.306999999999999</v>
      </c>
      <c r="R14" s="228">
        <v>28.981000000000002</v>
      </c>
      <c r="S14" s="228">
        <v>20.518000000000001</v>
      </c>
      <c r="T14" s="228">
        <f>U14-SUM(Q14:S14)</f>
        <v>13.408000000000001</v>
      </c>
      <c r="U14" s="343">
        <v>92.213999999999999</v>
      </c>
      <c r="V14" s="228">
        <v>28.530999999999999</v>
      </c>
      <c r="W14" s="228">
        <v>46.539000000000001</v>
      </c>
      <c r="X14" s="228">
        <v>51.462000000000003</v>
      </c>
      <c r="Y14" s="93">
        <f>Z14-SUM(V14:X14)</f>
        <v>44.108999999999995</v>
      </c>
      <c r="Z14" s="344">
        <v>170.64099999999999</v>
      </c>
      <c r="AA14" s="228">
        <v>42.421999999999997</v>
      </c>
      <c r="AB14" s="228">
        <v>34.063000000000002</v>
      </c>
      <c r="AC14" s="228">
        <v>48.073999999999998</v>
      </c>
      <c r="AD14" s="93">
        <f>AE14-SUM(AA14:AC14)</f>
        <v>36.657000000000011</v>
      </c>
      <c r="AE14" s="344">
        <v>161.21600000000001</v>
      </c>
      <c r="AF14" s="228">
        <v>28.587</v>
      </c>
      <c r="AG14" s="228">
        <v>28.934000000000001</v>
      </c>
      <c r="AH14" s="228">
        <v>46.396999999999998</v>
      </c>
      <c r="AI14" s="93">
        <f>AJ14-SUM(AF14:AH14)</f>
        <v>45.262</v>
      </c>
      <c r="AJ14" s="344">
        <v>149.18</v>
      </c>
      <c r="AK14" s="228">
        <v>60.622999999999998</v>
      </c>
      <c r="AL14" s="322">
        <v>53.045999999999999</v>
      </c>
      <c r="AM14" s="93"/>
      <c r="AN14" s="93"/>
      <c r="AO14" s="344"/>
      <c r="AP14" s="93"/>
      <c r="AQ14" s="93"/>
      <c r="AR14" s="93"/>
      <c r="AS14" s="93"/>
      <c r="AT14" s="344"/>
      <c r="AU14" s="344"/>
      <c r="AV14" s="344"/>
      <c r="AW14" s="344"/>
      <c r="AX14" s="228"/>
    </row>
    <row r="15" spans="1:50" s="5" customFormat="1" x14ac:dyDescent="0.3">
      <c r="A15" s="36" t="s">
        <v>422</v>
      </c>
      <c r="B15" s="342"/>
      <c r="C15" s="343">
        <v>61.555999999999997</v>
      </c>
      <c r="D15" s="343">
        <v>67.084999999999994</v>
      </c>
      <c r="E15" s="343">
        <v>98.004000000000005</v>
      </c>
      <c r="F15" s="343">
        <v>155.66999999999999</v>
      </c>
      <c r="G15" s="228">
        <v>23.667999999999999</v>
      </c>
      <c r="H15" s="228">
        <v>30.131</v>
      </c>
      <c r="I15" s="228">
        <v>30.82</v>
      </c>
      <c r="J15" s="228">
        <f>K15-SUM(G15:I15)</f>
        <v>34.78</v>
      </c>
      <c r="K15" s="343">
        <v>119.399</v>
      </c>
      <c r="L15" s="228">
        <v>31.187999999999999</v>
      </c>
      <c r="M15" s="228">
        <v>29.582999999999998</v>
      </c>
      <c r="N15" s="228">
        <v>42.491</v>
      </c>
      <c r="O15" s="228">
        <f>P15-SUM(L15:N15)</f>
        <v>44.475999999999999</v>
      </c>
      <c r="P15" s="343">
        <v>147.738</v>
      </c>
      <c r="Q15" s="228">
        <v>58.506</v>
      </c>
      <c r="R15" s="228">
        <v>64.061000000000007</v>
      </c>
      <c r="S15" s="228">
        <v>65.751999999999995</v>
      </c>
      <c r="T15" s="228">
        <f>U15-SUM(Q15:S15)</f>
        <v>76.930000000000007</v>
      </c>
      <c r="U15" s="343">
        <v>265.24900000000002</v>
      </c>
      <c r="V15" s="228">
        <v>92.932000000000002</v>
      </c>
      <c r="W15" s="228">
        <v>82.480999999999995</v>
      </c>
      <c r="X15" s="228">
        <v>84.022000000000006</v>
      </c>
      <c r="Y15" s="93">
        <f>Z15-SUM(V15:X15)</f>
        <v>77.868999999999971</v>
      </c>
      <c r="Z15" s="344">
        <v>337.30399999999997</v>
      </c>
      <c r="AA15" s="228">
        <v>64.292000000000002</v>
      </c>
      <c r="AB15" s="228">
        <v>80.424999999999997</v>
      </c>
      <c r="AC15" s="228">
        <v>84.247</v>
      </c>
      <c r="AD15" s="93">
        <f>AE15-SUM(AA15:AC15)</f>
        <v>96.881000000000029</v>
      </c>
      <c r="AE15" s="344">
        <v>325.84500000000003</v>
      </c>
      <c r="AF15" s="228">
        <v>118.051</v>
      </c>
      <c r="AG15" s="228">
        <v>136.708</v>
      </c>
      <c r="AH15" s="228">
        <v>130.047</v>
      </c>
      <c r="AI15" s="93">
        <f>AJ15-SUM(AF15:AH15)</f>
        <v>110.94699999999995</v>
      </c>
      <c r="AJ15" s="344">
        <v>495.75299999999999</v>
      </c>
      <c r="AK15" s="228">
        <v>108.43</v>
      </c>
      <c r="AL15" s="322">
        <v>120.643</v>
      </c>
      <c r="AM15" s="93"/>
      <c r="AN15" s="93"/>
      <c r="AO15" s="344"/>
      <c r="AP15" s="93"/>
      <c r="AQ15" s="93"/>
      <c r="AR15" s="93"/>
      <c r="AS15" s="93"/>
      <c r="AT15" s="344"/>
      <c r="AU15" s="344"/>
      <c r="AV15" s="344"/>
      <c r="AW15" s="344"/>
      <c r="AX15" s="228"/>
    </row>
    <row r="16" spans="1:50" s="5" customFormat="1" x14ac:dyDescent="0.3">
      <c r="A16" s="36" t="s">
        <v>423</v>
      </c>
      <c r="B16" s="342"/>
      <c r="C16" s="343">
        <v>9.9960000000000004</v>
      </c>
      <c r="D16" s="343">
        <v>19.460999999999999</v>
      </c>
      <c r="E16" s="343">
        <v>76.397999999999996</v>
      </c>
      <c r="F16" s="343">
        <v>168.23099999999999</v>
      </c>
      <c r="G16" s="228">
        <v>35.558</v>
      </c>
      <c r="H16" s="228">
        <v>39.051000000000002</v>
      </c>
      <c r="I16" s="228">
        <v>36.030999999999999</v>
      </c>
      <c r="J16" s="228">
        <f>K16-SUM(G16:I16)</f>
        <v>34.543999999999983</v>
      </c>
      <c r="K16" s="343">
        <v>145.184</v>
      </c>
      <c r="L16" s="228">
        <v>32.343000000000004</v>
      </c>
      <c r="M16" s="228">
        <v>34.496000000000002</v>
      </c>
      <c r="N16" s="228">
        <v>36.622999999999998</v>
      </c>
      <c r="O16" s="228">
        <f>P16-SUM(L16:N16)</f>
        <v>43.941000000000003</v>
      </c>
      <c r="P16" s="343">
        <v>147.40299999999999</v>
      </c>
      <c r="Q16" s="228">
        <v>34.466999999999999</v>
      </c>
      <c r="R16" s="228">
        <v>42.027000000000001</v>
      </c>
      <c r="S16" s="228">
        <v>51.825000000000003</v>
      </c>
      <c r="T16" s="228">
        <f>U16-SUM(Q16:S16)</f>
        <v>51.657999999999987</v>
      </c>
      <c r="U16" s="343">
        <v>179.977</v>
      </c>
      <c r="V16" s="228">
        <v>43.823</v>
      </c>
      <c r="W16" s="228">
        <v>49.872999999999998</v>
      </c>
      <c r="X16" s="228">
        <v>51.622</v>
      </c>
      <c r="Y16" s="93">
        <f>Z16-SUM(V16:X16)</f>
        <v>58.765000000000015</v>
      </c>
      <c r="Z16" s="344">
        <v>204.083</v>
      </c>
      <c r="AA16" s="228">
        <v>47.146000000000001</v>
      </c>
      <c r="AB16" s="228">
        <v>56.189</v>
      </c>
      <c r="AC16" s="228">
        <v>56.677</v>
      </c>
      <c r="AD16" s="93">
        <f>AE16-SUM(AA16:AC16)</f>
        <v>62.824000000000012</v>
      </c>
      <c r="AE16" s="344">
        <v>222.83600000000001</v>
      </c>
      <c r="AF16" s="228">
        <v>55.646999999999998</v>
      </c>
      <c r="AG16" s="228">
        <v>57.073999999999998</v>
      </c>
      <c r="AH16" s="228">
        <v>53.484000000000002</v>
      </c>
      <c r="AI16" s="93">
        <f>AJ16-SUM(AF16:AH16)</f>
        <v>81.272999999999996</v>
      </c>
      <c r="AJ16" s="344">
        <v>247.47800000000001</v>
      </c>
      <c r="AK16" s="228">
        <v>82.058000000000007</v>
      </c>
      <c r="AL16" s="322">
        <v>73.808000000000007</v>
      </c>
      <c r="AM16" s="93"/>
      <c r="AN16" s="93"/>
      <c r="AO16" s="344"/>
      <c r="AP16" s="93"/>
      <c r="AQ16" s="93"/>
      <c r="AR16" s="93"/>
      <c r="AS16" s="93"/>
      <c r="AT16" s="344"/>
      <c r="AU16" s="344"/>
      <c r="AV16" s="344"/>
      <c r="AW16" s="344"/>
      <c r="AX16" s="228"/>
    </row>
    <row r="17" spans="1:50" s="5" customFormat="1" x14ac:dyDescent="0.3">
      <c r="A17" s="36" t="s">
        <v>424</v>
      </c>
      <c r="B17" s="342"/>
      <c r="C17" s="343">
        <v>5.52</v>
      </c>
      <c r="D17" s="343">
        <v>11.064</v>
      </c>
      <c r="E17" s="343">
        <v>38.284999999999997</v>
      </c>
      <c r="F17" s="343">
        <v>81.795000000000002</v>
      </c>
      <c r="G17" s="228">
        <v>12.756</v>
      </c>
      <c r="H17" s="228">
        <v>15.427</v>
      </c>
      <c r="I17" s="228">
        <v>21.016999999999999</v>
      </c>
      <c r="J17" s="228">
        <f>K17-SUM(G17:I17)</f>
        <v>19.835999999999999</v>
      </c>
      <c r="K17" s="343">
        <v>69.036000000000001</v>
      </c>
      <c r="L17" s="228">
        <v>22.783999999999999</v>
      </c>
      <c r="M17" s="228">
        <v>24.114999999999998</v>
      </c>
      <c r="N17" s="228">
        <v>22.791</v>
      </c>
      <c r="O17" s="228">
        <f>P17-SUM(L17:N17)</f>
        <v>27.978000000000009</v>
      </c>
      <c r="P17" s="343">
        <v>97.668000000000006</v>
      </c>
      <c r="Q17" s="228">
        <v>24.395</v>
      </c>
      <c r="R17" s="228">
        <v>28.079000000000001</v>
      </c>
      <c r="S17" s="228">
        <v>33.281999999999996</v>
      </c>
      <c r="T17" s="228">
        <f>U17-SUM(Q17:S17)</f>
        <v>34.944000000000003</v>
      </c>
      <c r="U17" s="343">
        <v>120.7</v>
      </c>
      <c r="V17" s="228">
        <v>31.524000000000001</v>
      </c>
      <c r="W17" s="228">
        <v>35.908000000000001</v>
      </c>
      <c r="X17" s="228">
        <v>37.104999999999997</v>
      </c>
      <c r="Y17" s="93">
        <f>Z17-SUM(V17:X17)</f>
        <v>40.932999999999993</v>
      </c>
      <c r="Z17" s="344">
        <v>145.47</v>
      </c>
      <c r="AA17" s="228">
        <v>34.790999999999997</v>
      </c>
      <c r="AB17" s="228">
        <v>41.284999999999997</v>
      </c>
      <c r="AC17" s="228">
        <v>36.701000000000001</v>
      </c>
      <c r="AD17" s="93">
        <f>AE17-SUM(AA17:AC17)</f>
        <v>41.219000000000023</v>
      </c>
      <c r="AE17" s="344">
        <v>153.99600000000001</v>
      </c>
      <c r="AF17" s="228">
        <v>48.715000000000003</v>
      </c>
      <c r="AG17" s="228">
        <v>45.746000000000002</v>
      </c>
      <c r="AH17" s="228">
        <v>49.283000000000001</v>
      </c>
      <c r="AI17" s="93">
        <f>AJ17-SUM(AF17:AH17)</f>
        <v>52.587999999999965</v>
      </c>
      <c r="AJ17" s="344">
        <v>196.33199999999999</v>
      </c>
      <c r="AK17" s="345">
        <v>54.106000000000002</v>
      </c>
      <c r="AL17" s="346">
        <v>62.826999999999998</v>
      </c>
      <c r="AM17" s="93"/>
      <c r="AN17" s="93"/>
      <c r="AO17" s="344"/>
      <c r="AP17" s="93"/>
      <c r="AQ17" s="93"/>
      <c r="AR17" s="93"/>
      <c r="AS17" s="93"/>
      <c r="AT17" s="344"/>
      <c r="AU17" s="344"/>
      <c r="AV17" s="344"/>
      <c r="AW17" s="344"/>
      <c r="AX17" s="228"/>
    </row>
    <row r="18" spans="1:50" s="9" customFormat="1" x14ac:dyDescent="0.3">
      <c r="A18" s="347" t="s">
        <v>21</v>
      </c>
      <c r="B18" s="348"/>
      <c r="C18" s="349">
        <f t="shared" ref="C18:AL18" si="5">SUM(C14:C17)</f>
        <v>116.04399999999998</v>
      </c>
      <c r="D18" s="349">
        <f t="shared" si="5"/>
        <v>154.63999999999999</v>
      </c>
      <c r="E18" s="349">
        <f t="shared" si="5"/>
        <v>259.25099999999998</v>
      </c>
      <c r="F18" s="349">
        <f t="shared" si="5"/>
        <v>500.79899999999998</v>
      </c>
      <c r="G18" s="350">
        <f t="shared" si="5"/>
        <v>83.08</v>
      </c>
      <c r="H18" s="350">
        <f t="shared" si="5"/>
        <v>98.168000000000006</v>
      </c>
      <c r="I18" s="350">
        <f t="shared" si="5"/>
        <v>104.06700000000001</v>
      </c>
      <c r="J18" s="350">
        <f t="shared" si="5"/>
        <v>105.12099999999998</v>
      </c>
      <c r="K18" s="349">
        <f t="shared" si="5"/>
        <v>390.43599999999998</v>
      </c>
      <c r="L18" s="350">
        <f t="shared" si="5"/>
        <v>99.00200000000001</v>
      </c>
      <c r="M18" s="350">
        <f t="shared" si="5"/>
        <v>102.82299999999999</v>
      </c>
      <c r="N18" s="350">
        <f t="shared" si="5"/>
        <v>120.708</v>
      </c>
      <c r="O18" s="350">
        <f t="shared" si="5"/>
        <v>141.11600000000001</v>
      </c>
      <c r="P18" s="349">
        <f t="shared" si="5"/>
        <v>463.649</v>
      </c>
      <c r="Q18" s="350">
        <f t="shared" si="5"/>
        <v>146.67500000000001</v>
      </c>
      <c r="R18" s="350">
        <f t="shared" si="5"/>
        <v>163.14800000000002</v>
      </c>
      <c r="S18" s="350">
        <f t="shared" si="5"/>
        <v>171.37700000000001</v>
      </c>
      <c r="T18" s="350">
        <f t="shared" si="5"/>
        <v>176.94</v>
      </c>
      <c r="U18" s="349">
        <f t="shared" si="5"/>
        <v>658.1400000000001</v>
      </c>
      <c r="V18" s="350">
        <f t="shared" si="5"/>
        <v>196.81</v>
      </c>
      <c r="W18" s="350">
        <f t="shared" si="5"/>
        <v>214.80099999999999</v>
      </c>
      <c r="X18" s="350">
        <f t="shared" si="5"/>
        <v>224.21099999999998</v>
      </c>
      <c r="Y18" s="351">
        <f t="shared" si="5"/>
        <v>221.67599999999999</v>
      </c>
      <c r="Z18" s="352">
        <f t="shared" si="5"/>
        <v>857.49799999999993</v>
      </c>
      <c r="AA18" s="350">
        <f t="shared" si="5"/>
        <v>188.65100000000001</v>
      </c>
      <c r="AB18" s="350">
        <f t="shared" si="5"/>
        <v>211.96199999999999</v>
      </c>
      <c r="AC18" s="350">
        <f t="shared" si="5"/>
        <v>225.69899999999998</v>
      </c>
      <c r="AD18" s="351">
        <f t="shared" si="5"/>
        <v>237.58100000000007</v>
      </c>
      <c r="AE18" s="352">
        <f t="shared" si="5"/>
        <v>863.89300000000003</v>
      </c>
      <c r="AF18" s="350">
        <f t="shared" si="5"/>
        <v>251</v>
      </c>
      <c r="AG18" s="350">
        <f t="shared" si="5"/>
        <v>268.46199999999999</v>
      </c>
      <c r="AH18" s="350">
        <f t="shared" si="5"/>
        <v>279.21100000000001</v>
      </c>
      <c r="AI18" s="351">
        <f t="shared" si="5"/>
        <v>290.06999999999994</v>
      </c>
      <c r="AJ18" s="352">
        <f t="shared" si="5"/>
        <v>1088.7429999999999</v>
      </c>
      <c r="AK18" s="350">
        <f t="shared" si="5"/>
        <v>305.21699999999998</v>
      </c>
      <c r="AL18" s="353">
        <f t="shared" si="5"/>
        <v>310.32400000000001</v>
      </c>
      <c r="AM18" s="351"/>
      <c r="AN18" s="351"/>
      <c r="AO18" s="352"/>
      <c r="AP18" s="351"/>
      <c r="AQ18" s="351"/>
      <c r="AR18" s="351"/>
      <c r="AS18" s="351"/>
      <c r="AT18" s="352"/>
      <c r="AU18" s="352"/>
      <c r="AV18" s="352"/>
      <c r="AW18" s="352"/>
      <c r="AX18" s="22"/>
    </row>
    <row r="19" spans="1:50" s="5" customFormat="1" x14ac:dyDescent="0.3">
      <c r="A19" s="354"/>
      <c r="B19" s="342"/>
      <c r="C19" s="343"/>
      <c r="D19" s="343"/>
      <c r="E19" s="343"/>
      <c r="F19" s="343"/>
      <c r="G19" s="228"/>
      <c r="H19" s="228"/>
      <c r="I19" s="228"/>
      <c r="J19" s="228"/>
      <c r="K19" s="343"/>
      <c r="L19" s="228"/>
      <c r="M19" s="228"/>
      <c r="N19" s="228"/>
      <c r="O19" s="228"/>
      <c r="P19" s="343"/>
      <c r="Q19" s="228"/>
      <c r="R19" s="228"/>
      <c r="S19" s="228"/>
      <c r="T19" s="228"/>
      <c r="U19" s="343"/>
      <c r="V19" s="228"/>
      <c r="W19" s="228"/>
      <c r="X19" s="228"/>
      <c r="Y19" s="228"/>
      <c r="Z19" s="343"/>
      <c r="AA19" s="228"/>
      <c r="AB19" s="228"/>
      <c r="AC19" s="228"/>
      <c r="AD19" s="228"/>
      <c r="AE19" s="343"/>
      <c r="AF19" s="228"/>
      <c r="AG19" s="228"/>
      <c r="AH19" s="228"/>
      <c r="AI19" s="228"/>
      <c r="AJ19" s="343"/>
      <c r="AK19" s="228"/>
      <c r="AL19" s="322"/>
      <c r="AM19" s="228"/>
      <c r="AN19" s="228"/>
      <c r="AO19" s="343"/>
      <c r="AP19" s="228"/>
      <c r="AQ19" s="228"/>
      <c r="AR19" s="228"/>
      <c r="AS19" s="228"/>
      <c r="AT19" s="343"/>
      <c r="AU19" s="343"/>
      <c r="AV19" s="343"/>
      <c r="AW19" s="343"/>
      <c r="AX19" s="228"/>
    </row>
    <row r="20" spans="1:50" s="9" customFormat="1" x14ac:dyDescent="0.3">
      <c r="A20" s="45" t="s">
        <v>425</v>
      </c>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306"/>
      <c r="AM20" s="45"/>
      <c r="AN20" s="45"/>
      <c r="AO20" s="45"/>
      <c r="AP20" s="45"/>
      <c r="AQ20" s="45"/>
      <c r="AR20" s="45"/>
      <c r="AS20" s="45"/>
      <c r="AT20" s="45"/>
      <c r="AU20" s="45"/>
      <c r="AV20" s="45"/>
      <c r="AW20" s="45"/>
      <c r="AX20" s="22"/>
    </row>
    <row r="21" spans="1:50" s="5" customFormat="1" hidden="1" outlineLevel="1" x14ac:dyDescent="0.3">
      <c r="A21" s="36" t="s">
        <v>426</v>
      </c>
      <c r="B21" s="342"/>
      <c r="C21" s="343"/>
      <c r="D21" s="343"/>
      <c r="E21" s="343"/>
      <c r="F21" s="343"/>
      <c r="G21" s="228"/>
      <c r="H21" s="228"/>
      <c r="I21" s="228"/>
      <c r="J21" s="228"/>
      <c r="K21" s="343"/>
      <c r="L21" s="228"/>
      <c r="M21" s="228"/>
      <c r="N21" s="228"/>
      <c r="O21" s="228"/>
      <c r="P21" s="343"/>
      <c r="Q21" s="228"/>
      <c r="R21" s="228"/>
      <c r="S21" s="228"/>
      <c r="T21" s="228"/>
      <c r="U21" s="343"/>
      <c r="V21" s="228"/>
      <c r="W21" s="228"/>
      <c r="X21" s="228"/>
      <c r="Y21" s="228"/>
      <c r="Z21" s="343"/>
      <c r="AA21" s="228"/>
      <c r="AB21" s="228"/>
      <c r="AC21" s="228"/>
      <c r="AD21" s="228"/>
      <c r="AE21" s="343"/>
      <c r="AF21" s="228"/>
      <c r="AG21" s="228"/>
      <c r="AH21" s="228"/>
      <c r="AI21" s="228">
        <f>AJ21-SUM(AF21:AH21)</f>
        <v>10.177</v>
      </c>
      <c r="AJ21" s="343">
        <v>10.177</v>
      </c>
      <c r="AK21" s="228">
        <v>23.193000000000001</v>
      </c>
      <c r="AL21" s="322">
        <v>28.62</v>
      </c>
      <c r="AM21" s="228"/>
      <c r="AN21" s="228"/>
      <c r="AO21" s="343"/>
      <c r="AP21" s="228"/>
      <c r="AQ21" s="228"/>
      <c r="AR21" s="228"/>
      <c r="AS21" s="228"/>
      <c r="AT21" s="343"/>
      <c r="AU21" s="343"/>
      <c r="AV21" s="343"/>
      <c r="AW21" s="343"/>
      <c r="AX21" s="228"/>
    </row>
    <row r="22" spans="1:50" s="5" customFormat="1" hidden="1" outlineLevel="1" x14ac:dyDescent="0.3">
      <c r="A22" s="36" t="s">
        <v>427</v>
      </c>
      <c r="B22" s="342"/>
      <c r="C22" s="343"/>
      <c r="D22" s="343">
        <v>0</v>
      </c>
      <c r="E22" s="343">
        <v>0</v>
      </c>
      <c r="F22" s="343">
        <v>0</v>
      </c>
      <c r="G22" s="228"/>
      <c r="H22" s="228"/>
      <c r="I22" s="228"/>
      <c r="J22" s="228">
        <f t="shared" ref="J22:J27" si="6">K22-SUM(G22:I22)</f>
        <v>0</v>
      </c>
      <c r="K22" s="343">
        <v>0</v>
      </c>
      <c r="L22" s="228">
        <v>0</v>
      </c>
      <c r="M22" s="228">
        <v>0</v>
      </c>
      <c r="N22" s="228">
        <v>0</v>
      </c>
      <c r="O22" s="228">
        <f t="shared" ref="O22:O27" si="7">P22-SUM(L22:N22)</f>
        <v>0</v>
      </c>
      <c r="P22" s="343">
        <v>0</v>
      </c>
      <c r="Q22" s="228">
        <v>0</v>
      </c>
      <c r="R22" s="228">
        <v>5.8470000000000004</v>
      </c>
      <c r="S22" s="228">
        <v>14.430999999999999</v>
      </c>
      <c r="T22" s="228">
        <f t="shared" ref="T22:T27" si="8">U22-SUM(Q22:S22)</f>
        <v>18.731000000000002</v>
      </c>
      <c r="U22" s="343">
        <v>39.009</v>
      </c>
      <c r="V22" s="228">
        <v>21.003</v>
      </c>
      <c r="W22" s="228">
        <v>24.779</v>
      </c>
      <c r="X22" s="228">
        <v>30.715</v>
      </c>
      <c r="Y22" s="228">
        <f>Z22-SUM(V22:X22)</f>
        <v>48.751999999999995</v>
      </c>
      <c r="Z22" s="343">
        <v>125.249</v>
      </c>
      <c r="AA22" s="228">
        <v>39.622999999999998</v>
      </c>
      <c r="AB22" s="228">
        <v>59.436</v>
      </c>
      <c r="AC22" s="228">
        <v>45.067</v>
      </c>
      <c r="AD22" s="228">
        <f>AE22-SUM(AA22:AC22)</f>
        <v>50.134999999999991</v>
      </c>
      <c r="AE22" s="343">
        <v>194.261</v>
      </c>
      <c r="AF22" s="228">
        <v>55.945999999999998</v>
      </c>
      <c r="AG22" s="228">
        <v>59.319000000000003</v>
      </c>
      <c r="AH22" s="228">
        <v>51.658000000000001</v>
      </c>
      <c r="AI22" s="228">
        <f>AJ22-SUM(AF22:AH22)</f>
        <v>67.731999999999999</v>
      </c>
      <c r="AJ22" s="343">
        <v>234.655</v>
      </c>
      <c r="AK22" s="228">
        <v>59.643000000000001</v>
      </c>
      <c r="AL22" s="322">
        <v>66.643000000000001</v>
      </c>
      <c r="AM22" s="228"/>
      <c r="AN22" s="228"/>
      <c r="AO22" s="343"/>
      <c r="AP22" s="228"/>
      <c r="AQ22" s="228"/>
      <c r="AR22" s="228"/>
      <c r="AS22" s="228"/>
      <c r="AT22" s="343"/>
      <c r="AU22" s="343"/>
      <c r="AV22" s="343"/>
      <c r="AW22" s="343"/>
      <c r="AX22" s="228"/>
    </row>
    <row r="23" spans="1:50" s="5" customFormat="1" hidden="1" outlineLevel="1" x14ac:dyDescent="0.3">
      <c r="A23" s="36" t="s">
        <v>428</v>
      </c>
      <c r="B23" s="342"/>
      <c r="C23" s="343"/>
      <c r="D23" s="343">
        <v>0</v>
      </c>
      <c r="E23" s="343">
        <v>13.853</v>
      </c>
      <c r="F23" s="343">
        <v>236.72800000000001</v>
      </c>
      <c r="G23" s="228">
        <v>41.832000000000001</v>
      </c>
      <c r="H23" s="228">
        <v>50.753999999999998</v>
      </c>
      <c r="I23" s="228">
        <v>50.139000000000003</v>
      </c>
      <c r="J23" s="228">
        <f t="shared" si="6"/>
        <v>57.575000000000017</v>
      </c>
      <c r="K23" s="343">
        <v>200.3</v>
      </c>
      <c r="L23" s="228">
        <v>51.432000000000002</v>
      </c>
      <c r="M23" s="228">
        <v>51.555</v>
      </c>
      <c r="N23" s="228">
        <v>73.394000000000005</v>
      </c>
      <c r="O23" s="228">
        <f t="shared" si="7"/>
        <v>88.404000000000025</v>
      </c>
      <c r="P23" s="343">
        <v>264.78500000000003</v>
      </c>
      <c r="Q23" s="228">
        <v>82.866</v>
      </c>
      <c r="R23" s="228">
        <v>90.68</v>
      </c>
      <c r="S23" s="228">
        <v>95.483000000000004</v>
      </c>
      <c r="T23" s="228">
        <f t="shared" si="8"/>
        <v>78.730999999999995</v>
      </c>
      <c r="U23" s="343">
        <v>347.76</v>
      </c>
      <c r="V23" s="228">
        <v>80.341999999999999</v>
      </c>
      <c r="W23" s="228">
        <v>74.510000000000005</v>
      </c>
      <c r="X23" s="228">
        <v>77.677999999999997</v>
      </c>
      <c r="Y23" s="228">
        <f>Z23-SUM(V23:X23)</f>
        <v>69.563000000000017</v>
      </c>
      <c r="Z23" s="343">
        <v>302.09300000000002</v>
      </c>
      <c r="AA23" s="228">
        <v>49.829000000000001</v>
      </c>
      <c r="AB23" s="228">
        <v>42.978000000000002</v>
      </c>
      <c r="AC23" s="228">
        <v>46.122999999999998</v>
      </c>
      <c r="AD23" s="228">
        <f>AE23-SUM(AA23:AC23)</f>
        <v>42.534999999999997</v>
      </c>
      <c r="AE23" s="343">
        <v>181.465</v>
      </c>
      <c r="AF23" s="228">
        <v>41.747999999999998</v>
      </c>
      <c r="AG23" s="228">
        <v>35.649000000000001</v>
      </c>
      <c r="AH23" s="228">
        <v>33.226999999999997</v>
      </c>
      <c r="AI23" s="228">
        <f>AJ23-SUM(AF23:AH23)</f>
        <v>38.544000000000011</v>
      </c>
      <c r="AJ23" s="343">
        <v>149.16800000000001</v>
      </c>
      <c r="AK23" s="228">
        <v>40.597999999999999</v>
      </c>
      <c r="AL23" s="322">
        <v>28.972000000000001</v>
      </c>
      <c r="AM23" s="228"/>
      <c r="AN23" s="228"/>
      <c r="AO23" s="343"/>
      <c r="AP23" s="228"/>
      <c r="AQ23" s="228"/>
      <c r="AR23" s="228"/>
      <c r="AS23" s="228"/>
      <c r="AT23" s="343"/>
      <c r="AU23" s="343"/>
      <c r="AV23" s="343"/>
      <c r="AW23" s="343"/>
      <c r="AX23" s="228"/>
    </row>
    <row r="24" spans="1:50" s="5" customFormat="1" hidden="1" outlineLevel="2" x14ac:dyDescent="0.3">
      <c r="A24" s="36" t="s">
        <v>429</v>
      </c>
      <c r="B24" s="342"/>
      <c r="C24" s="343">
        <v>41.021999999999998</v>
      </c>
      <c r="D24" s="343">
        <v>17.568999999999999</v>
      </c>
      <c r="E24" s="343">
        <v>0</v>
      </c>
      <c r="F24" s="343"/>
      <c r="G24" s="228"/>
      <c r="H24" s="228"/>
      <c r="I24" s="228"/>
      <c r="J24" s="228">
        <f t="shared" si="6"/>
        <v>0</v>
      </c>
      <c r="K24" s="343"/>
      <c r="L24" s="228"/>
      <c r="M24" s="228"/>
      <c r="N24" s="228"/>
      <c r="O24" s="228">
        <f t="shared" si="7"/>
        <v>0</v>
      </c>
      <c r="P24" s="343"/>
      <c r="Q24" s="228"/>
      <c r="R24" s="228"/>
      <c r="S24" s="228"/>
      <c r="T24" s="228">
        <f t="shared" si="8"/>
        <v>0</v>
      </c>
      <c r="U24" s="343"/>
      <c r="V24" s="228"/>
      <c r="W24" s="228"/>
      <c r="X24" s="228"/>
      <c r="Y24" s="228"/>
      <c r="Z24" s="343"/>
      <c r="AA24" s="228"/>
      <c r="AB24" s="228"/>
      <c r="AC24" s="228"/>
      <c r="AD24" s="228"/>
      <c r="AE24" s="343"/>
      <c r="AF24" s="228"/>
      <c r="AG24" s="228"/>
      <c r="AH24" s="228"/>
      <c r="AI24" s="228"/>
      <c r="AJ24" s="343"/>
      <c r="AK24" s="228"/>
      <c r="AL24" s="322"/>
      <c r="AM24" s="228"/>
      <c r="AN24" s="228"/>
      <c r="AO24" s="343"/>
      <c r="AP24" s="228"/>
      <c r="AQ24" s="228"/>
      <c r="AR24" s="228"/>
      <c r="AS24" s="228"/>
      <c r="AT24" s="343"/>
      <c r="AU24" s="343"/>
      <c r="AV24" s="343"/>
      <c r="AW24" s="343"/>
      <c r="AX24" s="228"/>
    </row>
    <row r="25" spans="1:50" s="5" customFormat="1" hidden="1" outlineLevel="2" x14ac:dyDescent="0.3">
      <c r="A25" s="36" t="s">
        <v>430</v>
      </c>
      <c r="B25" s="342"/>
      <c r="C25" s="343">
        <v>61.408999999999999</v>
      </c>
      <c r="D25" s="343">
        <v>108.009</v>
      </c>
      <c r="E25" s="343">
        <v>173.41200000000001</v>
      </c>
      <c r="F25" s="343">
        <v>175.65</v>
      </c>
      <c r="G25" s="228">
        <v>24.962</v>
      </c>
      <c r="H25" s="228">
        <v>24.934999999999999</v>
      </c>
      <c r="I25" s="228">
        <v>18.568000000000001</v>
      </c>
      <c r="J25" s="228">
        <f t="shared" si="6"/>
        <v>18.319000000000003</v>
      </c>
      <c r="K25" s="343">
        <v>86.784000000000006</v>
      </c>
      <c r="L25" s="228">
        <v>0</v>
      </c>
      <c r="M25" s="228">
        <v>0</v>
      </c>
      <c r="N25" s="228">
        <v>0</v>
      </c>
      <c r="O25" s="228">
        <f t="shared" si="7"/>
        <v>0</v>
      </c>
      <c r="P25" s="343">
        <v>0</v>
      </c>
      <c r="Q25" s="228">
        <v>0</v>
      </c>
      <c r="R25" s="228">
        <v>0</v>
      </c>
      <c r="S25" s="228">
        <v>0</v>
      </c>
      <c r="T25" s="228">
        <f t="shared" si="8"/>
        <v>0</v>
      </c>
      <c r="U25" s="343">
        <v>0</v>
      </c>
      <c r="V25" s="228">
        <v>0</v>
      </c>
      <c r="W25" s="228"/>
      <c r="X25" s="228"/>
      <c r="Y25" s="228"/>
      <c r="Z25" s="343"/>
      <c r="AA25" s="228"/>
      <c r="AB25" s="228"/>
      <c r="AC25" s="228"/>
      <c r="AD25" s="228"/>
      <c r="AE25" s="343"/>
      <c r="AF25" s="228"/>
      <c r="AG25" s="228"/>
      <c r="AH25" s="228"/>
      <c r="AI25" s="228"/>
      <c r="AJ25" s="343"/>
      <c r="AK25" s="228"/>
      <c r="AL25" s="322"/>
      <c r="AM25" s="228"/>
      <c r="AN25" s="228"/>
      <c r="AO25" s="343"/>
      <c r="AP25" s="228"/>
      <c r="AQ25" s="228"/>
      <c r="AR25" s="228"/>
      <c r="AS25" s="228"/>
      <c r="AT25" s="343"/>
      <c r="AU25" s="343"/>
      <c r="AV25" s="343"/>
      <c r="AW25" s="343"/>
      <c r="AX25" s="228"/>
    </row>
    <row r="26" spans="1:50" s="5" customFormat="1" hidden="1" outlineLevel="2" x14ac:dyDescent="0.3">
      <c r="A26" s="36" t="s">
        <v>431</v>
      </c>
      <c r="B26" s="342"/>
      <c r="C26" s="343">
        <v>5.6120000000000001</v>
      </c>
      <c r="D26" s="343">
        <v>8.3640000000000008</v>
      </c>
      <c r="E26" s="343"/>
      <c r="F26" s="343"/>
      <c r="G26" s="228"/>
      <c r="H26" s="228"/>
      <c r="I26" s="228"/>
      <c r="J26" s="228">
        <f t="shared" si="6"/>
        <v>0</v>
      </c>
      <c r="K26" s="343"/>
      <c r="L26" s="228"/>
      <c r="M26" s="228"/>
      <c r="N26" s="228"/>
      <c r="O26" s="228">
        <f t="shared" si="7"/>
        <v>0</v>
      </c>
      <c r="P26" s="343"/>
      <c r="Q26" s="228"/>
      <c r="R26" s="228"/>
      <c r="S26" s="228"/>
      <c r="T26" s="228">
        <f t="shared" si="8"/>
        <v>0</v>
      </c>
      <c r="U26" s="343"/>
      <c r="V26" s="228"/>
      <c r="W26" s="228"/>
      <c r="X26" s="228"/>
      <c r="Y26" s="228"/>
      <c r="Z26" s="343"/>
      <c r="AA26" s="228"/>
      <c r="AB26" s="228"/>
      <c r="AC26" s="228"/>
      <c r="AD26" s="228"/>
      <c r="AE26" s="343"/>
      <c r="AF26" s="228"/>
      <c r="AG26" s="228"/>
      <c r="AH26" s="228"/>
      <c r="AI26" s="228"/>
      <c r="AJ26" s="343"/>
      <c r="AK26" s="228"/>
      <c r="AL26" s="322"/>
      <c r="AM26" s="228"/>
      <c r="AN26" s="228"/>
      <c r="AO26" s="343"/>
      <c r="AP26" s="228"/>
      <c r="AQ26" s="228"/>
      <c r="AR26" s="228"/>
      <c r="AS26" s="228"/>
      <c r="AT26" s="343"/>
      <c r="AU26" s="343"/>
      <c r="AV26" s="343"/>
      <c r="AW26" s="343"/>
      <c r="AX26" s="228"/>
    </row>
    <row r="27" spans="1:50" s="5" customFormat="1" hidden="1" outlineLevel="1" collapsed="1" x14ac:dyDescent="0.3">
      <c r="A27" s="36" t="s">
        <v>432</v>
      </c>
      <c r="B27" s="342"/>
      <c r="C27" s="343">
        <v>0</v>
      </c>
      <c r="D27" s="343">
        <v>0</v>
      </c>
      <c r="E27" s="343">
        <v>34.156999999999996</v>
      </c>
      <c r="F27" s="343">
        <v>33.457000000000001</v>
      </c>
      <c r="G27" s="228">
        <v>4.1459999999999999</v>
      </c>
      <c r="H27" s="228">
        <v>5.1070000000000002</v>
      </c>
      <c r="I27" s="228">
        <v>7.7649999999999997</v>
      </c>
      <c r="J27" s="228">
        <f t="shared" si="6"/>
        <v>4.1929999999999978</v>
      </c>
      <c r="K27" s="343">
        <v>21.210999999999999</v>
      </c>
      <c r="L27" s="228">
        <f>3.683+14.058</f>
        <v>17.741</v>
      </c>
      <c r="M27" s="228">
        <v>18.956</v>
      </c>
      <c r="N27" s="228">
        <v>19.187999999999999</v>
      </c>
      <c r="O27" s="228">
        <f t="shared" si="7"/>
        <v>17.004999999999995</v>
      </c>
      <c r="P27" s="343">
        <v>72.89</v>
      </c>
      <c r="Q27" s="228">
        <v>18.443000000000001</v>
      </c>
      <c r="R27" s="228">
        <v>17.358000000000001</v>
      </c>
      <c r="S27" s="228">
        <v>12.446999999999999</v>
      </c>
      <c r="T27" s="228">
        <f t="shared" si="8"/>
        <v>15.496999999999993</v>
      </c>
      <c r="U27" s="343">
        <v>63.744999999999997</v>
      </c>
      <c r="V27" s="228">
        <v>11.827999999999999</v>
      </c>
      <c r="W27" s="228">
        <v>11.715</v>
      </c>
      <c r="X27" s="228">
        <v>12.428000000000001</v>
      </c>
      <c r="Y27" s="228">
        <f>Z27-SUM(V27:X27)</f>
        <v>14.015999999999998</v>
      </c>
      <c r="Z27" s="343">
        <v>49.987000000000002</v>
      </c>
      <c r="AA27" s="228">
        <v>7.5330000000000004</v>
      </c>
      <c r="AB27" s="228">
        <v>5.6970000000000001</v>
      </c>
      <c r="AC27" s="228">
        <v>8.9949999999999992</v>
      </c>
      <c r="AD27" s="228">
        <f>AE27-SUM(AA27:AC27)</f>
        <v>9.3739999999999988</v>
      </c>
      <c r="AE27" s="343">
        <v>31.599</v>
      </c>
      <c r="AF27" s="228">
        <v>5.444</v>
      </c>
      <c r="AG27" s="228">
        <v>7.1429999999999998</v>
      </c>
      <c r="AH27" s="228">
        <v>12.98</v>
      </c>
      <c r="AI27" s="228">
        <f>AJ27-SUM(AF27:AH27)</f>
        <v>18.792000000000002</v>
      </c>
      <c r="AJ27" s="343">
        <v>44.359000000000002</v>
      </c>
      <c r="AK27" s="345">
        <v>14.704000000000001</v>
      </c>
      <c r="AL27" s="322">
        <v>8.6460000000000008</v>
      </c>
      <c r="AM27" s="228"/>
      <c r="AN27" s="228"/>
      <c r="AO27" s="343"/>
      <c r="AP27" s="228"/>
      <c r="AQ27" s="228"/>
      <c r="AR27" s="228"/>
      <c r="AS27" s="228"/>
      <c r="AT27" s="343"/>
      <c r="AU27" s="343"/>
      <c r="AV27" s="343"/>
      <c r="AW27" s="343"/>
      <c r="AX27" s="228"/>
    </row>
    <row r="28" spans="1:50" s="9" customFormat="1" hidden="1" outlineLevel="1" x14ac:dyDescent="0.3">
      <c r="A28" s="347" t="s">
        <v>433</v>
      </c>
      <c r="B28" s="348"/>
      <c r="C28" s="349">
        <f t="shared" ref="C28:AH28" si="9">SUM(C22:C27)</f>
        <v>108.04299999999999</v>
      </c>
      <c r="D28" s="349">
        <f t="shared" si="9"/>
        <v>133.94200000000001</v>
      </c>
      <c r="E28" s="349">
        <f t="shared" si="9"/>
        <v>221.42200000000003</v>
      </c>
      <c r="F28" s="349">
        <f t="shared" si="9"/>
        <v>445.83500000000004</v>
      </c>
      <c r="G28" s="350">
        <f t="shared" si="9"/>
        <v>70.94</v>
      </c>
      <c r="H28" s="350">
        <f t="shared" si="9"/>
        <v>80.795999999999992</v>
      </c>
      <c r="I28" s="350">
        <f t="shared" si="9"/>
        <v>76.472000000000008</v>
      </c>
      <c r="J28" s="350">
        <f t="shared" si="9"/>
        <v>80.087000000000018</v>
      </c>
      <c r="K28" s="349">
        <f t="shared" si="9"/>
        <v>308.29500000000002</v>
      </c>
      <c r="L28" s="350">
        <f t="shared" si="9"/>
        <v>69.173000000000002</v>
      </c>
      <c r="M28" s="350">
        <f t="shared" si="9"/>
        <v>70.510999999999996</v>
      </c>
      <c r="N28" s="350">
        <f t="shared" si="9"/>
        <v>92.582000000000008</v>
      </c>
      <c r="O28" s="350">
        <f t="shared" si="9"/>
        <v>105.40900000000002</v>
      </c>
      <c r="P28" s="349">
        <f t="shared" si="9"/>
        <v>337.67500000000001</v>
      </c>
      <c r="Q28" s="350">
        <f t="shared" si="9"/>
        <v>101.309</v>
      </c>
      <c r="R28" s="350">
        <f t="shared" si="9"/>
        <v>113.88500000000001</v>
      </c>
      <c r="S28" s="350">
        <f t="shared" si="9"/>
        <v>122.361</v>
      </c>
      <c r="T28" s="350">
        <f t="shared" si="9"/>
        <v>112.95899999999997</v>
      </c>
      <c r="U28" s="349">
        <f t="shared" si="9"/>
        <v>450.51400000000001</v>
      </c>
      <c r="V28" s="350">
        <f t="shared" si="9"/>
        <v>113.173</v>
      </c>
      <c r="W28" s="350">
        <f t="shared" si="9"/>
        <v>111.004</v>
      </c>
      <c r="X28" s="350">
        <f t="shared" si="9"/>
        <v>120.821</v>
      </c>
      <c r="Y28" s="351">
        <f t="shared" si="9"/>
        <v>132.33100000000002</v>
      </c>
      <c r="Z28" s="352">
        <f t="shared" si="9"/>
        <v>477.32900000000001</v>
      </c>
      <c r="AA28" s="350">
        <f t="shared" si="9"/>
        <v>96.984999999999999</v>
      </c>
      <c r="AB28" s="350">
        <f t="shared" si="9"/>
        <v>108.111</v>
      </c>
      <c r="AC28" s="350">
        <f t="shared" si="9"/>
        <v>100.185</v>
      </c>
      <c r="AD28" s="351">
        <f t="shared" si="9"/>
        <v>102.04399999999998</v>
      </c>
      <c r="AE28" s="352">
        <f t="shared" si="9"/>
        <v>407.32499999999999</v>
      </c>
      <c r="AF28" s="350">
        <f t="shared" si="9"/>
        <v>103.13799999999999</v>
      </c>
      <c r="AG28" s="350">
        <f t="shared" si="9"/>
        <v>102.111</v>
      </c>
      <c r="AH28" s="350">
        <f t="shared" si="9"/>
        <v>97.864999999999995</v>
      </c>
      <c r="AI28" s="351">
        <f>SUM(AI21:AI27)</f>
        <v>135.245</v>
      </c>
      <c r="AJ28" s="352">
        <f>SUM(AJ21:AJ27)</f>
        <v>438.35899999999998</v>
      </c>
      <c r="AK28" s="350">
        <f>SUM(AK21:AK27)</f>
        <v>138.13800000000001</v>
      </c>
      <c r="AL28" s="353">
        <f>SUM(AL21:AL27)</f>
        <v>132.88100000000003</v>
      </c>
      <c r="AM28" s="351"/>
      <c r="AN28" s="351"/>
      <c r="AO28" s="352"/>
      <c r="AP28" s="351"/>
      <c r="AQ28" s="351"/>
      <c r="AR28" s="351"/>
      <c r="AS28" s="351"/>
      <c r="AT28" s="352"/>
      <c r="AU28" s="352"/>
      <c r="AV28" s="352"/>
      <c r="AW28" s="352"/>
      <c r="AX28" s="22"/>
    </row>
    <row r="29" spans="1:50" s="5" customFormat="1" hidden="1" outlineLevel="1" x14ac:dyDescent="0.3">
      <c r="A29" s="36" t="s">
        <v>434</v>
      </c>
      <c r="B29" s="342"/>
      <c r="C29" s="343">
        <v>1.899</v>
      </c>
      <c r="D29" s="343">
        <v>8.2230000000000008</v>
      </c>
      <c r="E29" s="343">
        <v>24.251999999999999</v>
      </c>
      <c r="F29" s="343">
        <v>42.523000000000003</v>
      </c>
      <c r="G29" s="228">
        <v>7.84</v>
      </c>
      <c r="H29" s="228">
        <v>13.941000000000001</v>
      </c>
      <c r="I29" s="228">
        <v>15.146000000000001</v>
      </c>
      <c r="J29" s="228">
        <f>K29-SUM(G29:I29)</f>
        <v>15.981000000000002</v>
      </c>
      <c r="K29" s="343">
        <v>52.908000000000001</v>
      </c>
      <c r="L29" s="228">
        <v>18.997</v>
      </c>
      <c r="M29" s="228">
        <v>19.228999999999999</v>
      </c>
      <c r="N29" s="228">
        <v>19.66</v>
      </c>
      <c r="O29" s="228">
        <f>P29-SUM(L29:N29)</f>
        <v>25.584000000000003</v>
      </c>
      <c r="P29" s="343">
        <v>83.47</v>
      </c>
      <c r="Q29" s="228">
        <v>34.68</v>
      </c>
      <c r="R29" s="228">
        <v>38.984000000000002</v>
      </c>
      <c r="S29" s="228">
        <v>35.459000000000003</v>
      </c>
      <c r="T29" s="228">
        <f>U29-SUM(Q29:S29)</f>
        <v>46.097999999999999</v>
      </c>
      <c r="U29" s="343">
        <v>155.221</v>
      </c>
      <c r="V29" s="228">
        <v>68.625</v>
      </c>
      <c r="W29" s="228">
        <v>88.027000000000001</v>
      </c>
      <c r="X29" s="228">
        <v>89.558000000000007</v>
      </c>
      <c r="Y29" s="228">
        <f>Z29-SUM(V29:X29)</f>
        <v>71.031000000000006</v>
      </c>
      <c r="Z29" s="343">
        <v>317.24099999999999</v>
      </c>
      <c r="AA29" s="228">
        <v>80.477000000000004</v>
      </c>
      <c r="AB29" s="228">
        <v>87.022999999999996</v>
      </c>
      <c r="AC29" s="228">
        <v>110.673</v>
      </c>
      <c r="AD29" s="228">
        <f>AE29-SUM(AA29:AC29)</f>
        <v>122.83199999999999</v>
      </c>
      <c r="AE29" s="343">
        <v>401.005</v>
      </c>
      <c r="AF29" s="228">
        <v>136.94800000000001</v>
      </c>
      <c r="AG29" s="228">
        <v>157.47</v>
      </c>
      <c r="AH29" s="228">
        <v>175.517</v>
      </c>
      <c r="AI29" s="228">
        <f>AJ29-SUM(AF29:AH29)</f>
        <v>148.536</v>
      </c>
      <c r="AJ29" s="343">
        <v>618.471</v>
      </c>
      <c r="AK29" s="228">
        <v>160.893</v>
      </c>
      <c r="AL29" s="322">
        <v>169.131</v>
      </c>
      <c r="AM29" s="228"/>
      <c r="AN29" s="228"/>
      <c r="AO29" s="343"/>
      <c r="AP29" s="228"/>
      <c r="AQ29" s="228"/>
      <c r="AR29" s="228"/>
      <c r="AS29" s="228"/>
      <c r="AT29" s="343"/>
      <c r="AU29" s="343"/>
      <c r="AV29" s="343"/>
      <c r="AW29" s="343"/>
      <c r="AX29" s="228"/>
    </row>
    <row r="30" spans="1:50" s="5" customFormat="1" hidden="1" outlineLevel="1" x14ac:dyDescent="0.3">
      <c r="A30" s="36" t="s">
        <v>435</v>
      </c>
      <c r="B30" s="342"/>
      <c r="C30" s="343">
        <v>6.1020000000000003</v>
      </c>
      <c r="D30" s="343">
        <v>12.475</v>
      </c>
      <c r="E30" s="343">
        <v>13.577</v>
      </c>
      <c r="F30" s="343">
        <v>11.917</v>
      </c>
      <c r="G30" s="228">
        <v>4.3</v>
      </c>
      <c r="H30" s="228">
        <v>3.431</v>
      </c>
      <c r="I30" s="228">
        <v>12.449</v>
      </c>
      <c r="J30" s="228">
        <f>K30-SUM(G30:I30)</f>
        <v>9.0530000000000008</v>
      </c>
      <c r="K30" s="343">
        <v>29.233000000000001</v>
      </c>
      <c r="L30" s="228">
        <v>10.832000000000001</v>
      </c>
      <c r="M30" s="228">
        <v>13.083</v>
      </c>
      <c r="N30" s="228">
        <v>8.4659999999999993</v>
      </c>
      <c r="O30" s="228">
        <f>P30-SUM(L30:N30)</f>
        <v>10.122999999999998</v>
      </c>
      <c r="P30" s="343">
        <v>42.503999999999998</v>
      </c>
      <c r="Q30" s="228">
        <v>10.686</v>
      </c>
      <c r="R30" s="228">
        <v>10.279</v>
      </c>
      <c r="S30" s="228">
        <v>13.557</v>
      </c>
      <c r="T30" s="228">
        <f>U30-SUM(Q30:S30)</f>
        <v>17.883000000000003</v>
      </c>
      <c r="U30" s="343">
        <v>52.405000000000001</v>
      </c>
      <c r="V30" s="228">
        <v>15.012</v>
      </c>
      <c r="W30" s="228">
        <v>15.77</v>
      </c>
      <c r="X30" s="228">
        <v>13.832000000000001</v>
      </c>
      <c r="Y30" s="228">
        <f>Z30-SUM(V30:X30)</f>
        <v>18.313999999999993</v>
      </c>
      <c r="Z30" s="343">
        <v>62.927999999999997</v>
      </c>
      <c r="AA30" s="228">
        <v>11.189</v>
      </c>
      <c r="AB30" s="228">
        <v>16.827999999999999</v>
      </c>
      <c r="AC30" s="228">
        <v>14.840999999999999</v>
      </c>
      <c r="AD30" s="228">
        <f>AE30-SUM(AA30:AC30)</f>
        <v>12.705000000000005</v>
      </c>
      <c r="AE30" s="343">
        <v>55.563000000000002</v>
      </c>
      <c r="AF30" s="228">
        <v>10.914</v>
      </c>
      <c r="AG30" s="228">
        <v>8.8810000000000002</v>
      </c>
      <c r="AH30" s="228">
        <v>5.8289999999999997</v>
      </c>
      <c r="AI30" s="228">
        <f>AJ30-SUM(AF30:AH30)</f>
        <v>6.2889999999999979</v>
      </c>
      <c r="AJ30" s="343">
        <v>31.913</v>
      </c>
      <c r="AK30" s="345">
        <v>6.1859999999999999</v>
      </c>
      <c r="AL30" s="322">
        <v>8.3119999999999994</v>
      </c>
      <c r="AM30" s="228"/>
      <c r="AN30" s="228"/>
      <c r="AO30" s="343"/>
      <c r="AP30" s="228"/>
      <c r="AQ30" s="228"/>
      <c r="AR30" s="228"/>
      <c r="AS30" s="228"/>
      <c r="AT30" s="343"/>
      <c r="AU30" s="343"/>
      <c r="AV30" s="343"/>
      <c r="AW30" s="343"/>
      <c r="AX30" s="228"/>
    </row>
    <row r="31" spans="1:50" s="9" customFormat="1" hidden="1" outlineLevel="1" x14ac:dyDescent="0.3">
      <c r="A31" s="347" t="s">
        <v>21</v>
      </c>
      <c r="B31" s="348"/>
      <c r="C31" s="349">
        <f t="shared" ref="C31:AL31" si="10">SUM(C28:C30)</f>
        <v>116.044</v>
      </c>
      <c r="D31" s="349">
        <f t="shared" si="10"/>
        <v>154.64000000000001</v>
      </c>
      <c r="E31" s="349">
        <f t="shared" si="10"/>
        <v>259.25100000000003</v>
      </c>
      <c r="F31" s="349">
        <f t="shared" si="10"/>
        <v>500.27500000000003</v>
      </c>
      <c r="G31" s="350">
        <f t="shared" si="10"/>
        <v>83.08</v>
      </c>
      <c r="H31" s="350">
        <f t="shared" si="10"/>
        <v>98.167999999999992</v>
      </c>
      <c r="I31" s="350">
        <f t="shared" si="10"/>
        <v>104.06700000000001</v>
      </c>
      <c r="J31" s="350">
        <f t="shared" si="10"/>
        <v>105.12100000000001</v>
      </c>
      <c r="K31" s="349">
        <f t="shared" si="10"/>
        <v>390.43600000000004</v>
      </c>
      <c r="L31" s="350">
        <f t="shared" si="10"/>
        <v>99.00200000000001</v>
      </c>
      <c r="M31" s="350">
        <f t="shared" si="10"/>
        <v>102.82299999999999</v>
      </c>
      <c r="N31" s="350">
        <f t="shared" si="10"/>
        <v>120.708</v>
      </c>
      <c r="O31" s="350">
        <f t="shared" si="10"/>
        <v>141.11600000000001</v>
      </c>
      <c r="P31" s="349">
        <f t="shared" si="10"/>
        <v>463.649</v>
      </c>
      <c r="Q31" s="350">
        <f t="shared" si="10"/>
        <v>146.67500000000001</v>
      </c>
      <c r="R31" s="350">
        <f t="shared" si="10"/>
        <v>163.148</v>
      </c>
      <c r="S31" s="350">
        <f t="shared" si="10"/>
        <v>171.37699999999998</v>
      </c>
      <c r="T31" s="350">
        <f t="shared" si="10"/>
        <v>176.93999999999997</v>
      </c>
      <c r="U31" s="349">
        <f t="shared" si="10"/>
        <v>658.14</v>
      </c>
      <c r="V31" s="350">
        <f t="shared" si="10"/>
        <v>196.81</v>
      </c>
      <c r="W31" s="350">
        <f t="shared" si="10"/>
        <v>214.80100000000002</v>
      </c>
      <c r="X31" s="350">
        <f t="shared" si="10"/>
        <v>224.21100000000001</v>
      </c>
      <c r="Y31" s="351">
        <f t="shared" si="10"/>
        <v>221.67600000000002</v>
      </c>
      <c r="Z31" s="352">
        <f t="shared" si="10"/>
        <v>857.49799999999993</v>
      </c>
      <c r="AA31" s="350">
        <f t="shared" si="10"/>
        <v>188.65099999999998</v>
      </c>
      <c r="AB31" s="350">
        <f t="shared" si="10"/>
        <v>211.96200000000002</v>
      </c>
      <c r="AC31" s="350">
        <f t="shared" si="10"/>
        <v>225.69900000000001</v>
      </c>
      <c r="AD31" s="351">
        <f t="shared" si="10"/>
        <v>237.58099999999999</v>
      </c>
      <c r="AE31" s="352">
        <f t="shared" si="10"/>
        <v>863.89299999999992</v>
      </c>
      <c r="AF31" s="350">
        <f t="shared" si="10"/>
        <v>251</v>
      </c>
      <c r="AG31" s="350">
        <f t="shared" si="10"/>
        <v>268.46199999999999</v>
      </c>
      <c r="AH31" s="350">
        <f t="shared" si="10"/>
        <v>279.21100000000001</v>
      </c>
      <c r="AI31" s="351">
        <f t="shared" si="10"/>
        <v>290.07</v>
      </c>
      <c r="AJ31" s="352">
        <f t="shared" si="10"/>
        <v>1088.7429999999999</v>
      </c>
      <c r="AK31" s="350">
        <f t="shared" si="10"/>
        <v>305.21699999999998</v>
      </c>
      <c r="AL31" s="353">
        <f t="shared" si="10"/>
        <v>310.32400000000007</v>
      </c>
      <c r="AM31" s="351"/>
      <c r="AN31" s="351"/>
      <c r="AO31" s="352"/>
      <c r="AP31" s="351"/>
      <c r="AQ31" s="351"/>
      <c r="AR31" s="351"/>
      <c r="AS31" s="351"/>
      <c r="AT31" s="352"/>
      <c r="AU31" s="352"/>
      <c r="AV31" s="352"/>
      <c r="AW31" s="352"/>
      <c r="AX31" s="22"/>
    </row>
    <row r="32" spans="1:50" s="5" customFormat="1" collapsed="1" x14ac:dyDescent="0.3">
      <c r="A32" s="354"/>
      <c r="B32" s="342"/>
      <c r="C32" s="343"/>
      <c r="D32" s="343"/>
      <c r="E32" s="343"/>
      <c r="F32" s="343"/>
      <c r="G32" s="228"/>
      <c r="H32" s="228"/>
      <c r="I32" s="228"/>
      <c r="J32" s="228"/>
      <c r="K32" s="343"/>
      <c r="L32" s="228"/>
      <c r="M32" s="228"/>
      <c r="N32" s="228"/>
      <c r="O32" s="228"/>
      <c r="P32" s="343"/>
      <c r="Q32" s="228"/>
      <c r="R32" s="228"/>
      <c r="S32" s="228"/>
      <c r="T32" s="228"/>
      <c r="U32" s="343"/>
      <c r="V32" s="228"/>
      <c r="W32" s="228"/>
      <c r="X32" s="228"/>
      <c r="Y32" s="228"/>
      <c r="Z32" s="343"/>
      <c r="AA32" s="228"/>
      <c r="AB32" s="228"/>
      <c r="AC32" s="228"/>
      <c r="AD32" s="228"/>
      <c r="AE32" s="343"/>
      <c r="AF32" s="228"/>
      <c r="AG32" s="228"/>
      <c r="AH32" s="228"/>
      <c r="AI32" s="228"/>
      <c r="AJ32" s="343"/>
      <c r="AK32" s="228"/>
      <c r="AL32" s="322"/>
      <c r="AM32" s="228"/>
      <c r="AN32" s="228"/>
      <c r="AO32" s="343"/>
      <c r="AP32" s="228"/>
      <c r="AQ32" s="228"/>
      <c r="AR32" s="228"/>
      <c r="AS32" s="228"/>
      <c r="AT32" s="343"/>
      <c r="AU32" s="343"/>
      <c r="AV32" s="343"/>
      <c r="AW32" s="343"/>
      <c r="AX32" s="228"/>
    </row>
    <row r="33" spans="1:50" s="9" customFormat="1" x14ac:dyDescent="0.3">
      <c r="A33" s="45" t="s">
        <v>436</v>
      </c>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306"/>
      <c r="AM33" s="45"/>
      <c r="AN33" s="45"/>
      <c r="AO33" s="45"/>
      <c r="AP33" s="45"/>
      <c r="AQ33" s="45"/>
      <c r="AR33" s="45"/>
      <c r="AS33" s="45"/>
      <c r="AT33" s="45"/>
      <c r="AU33" s="45"/>
      <c r="AV33" s="45"/>
      <c r="AW33" s="45"/>
      <c r="AX33" s="22"/>
    </row>
    <row r="34" spans="1:50" s="333" customFormat="1" hidden="1" outlineLevel="1" x14ac:dyDescent="0.3">
      <c r="A34" s="355" t="s">
        <v>437</v>
      </c>
      <c r="B34" s="356"/>
      <c r="C34" s="357"/>
      <c r="D34" s="357"/>
      <c r="E34" s="357">
        <v>0.19</v>
      </c>
      <c r="F34" s="357">
        <v>0.2</v>
      </c>
      <c r="G34" s="332">
        <v>0.16</v>
      </c>
      <c r="H34" s="332">
        <v>0.1</v>
      </c>
      <c r="I34" s="332">
        <v>0.12</v>
      </c>
      <c r="J34" s="332">
        <f>((K34*K$56)-SUMPRODUCT(G34:I34,G$56:I$56))/J$56</f>
        <v>0.14420562970291378</v>
      </c>
      <c r="K34" s="357">
        <v>0.13</v>
      </c>
      <c r="L34" s="332">
        <v>0</v>
      </c>
      <c r="M34" s="332">
        <v>0</v>
      </c>
      <c r="N34" s="332">
        <v>0.15</v>
      </c>
      <c r="O34" s="332"/>
      <c r="P34" s="357">
        <v>0.11</v>
      </c>
      <c r="Q34" s="332">
        <v>0.12</v>
      </c>
      <c r="R34" s="332">
        <v>0.15</v>
      </c>
      <c r="S34" s="332">
        <v>0.14000000000000001</v>
      </c>
      <c r="T34" s="332">
        <f>((U34*U$56)-SUMPRODUCT(Q34:S34,Q$56:S$56))/T$56</f>
        <v>0.14735853961794962</v>
      </c>
      <c r="U34" s="357">
        <v>0.14000000000000001</v>
      </c>
      <c r="V34" s="332">
        <v>0.2</v>
      </c>
      <c r="W34" s="332">
        <v>0.12</v>
      </c>
      <c r="X34" s="332">
        <v>0.17</v>
      </c>
      <c r="Y34" s="332">
        <f>((Z34*Z$56)-SUMPRODUCT(V34:X34,V$56:X$56))/Y$56</f>
        <v>0.15313200346451569</v>
      </c>
      <c r="Z34" s="357">
        <v>0.16</v>
      </c>
      <c r="AA34" s="332">
        <v>0.13</v>
      </c>
      <c r="AB34" s="332">
        <v>0.14000000000000001</v>
      </c>
      <c r="AC34" s="332">
        <v>0.11799999999999999</v>
      </c>
      <c r="AD34" s="332">
        <f>((AE34*AE$56)-SUMPRODUCT(AA34:AC34,AA$56:AC$56))/AD$56</f>
        <v>0.13247817796877698</v>
      </c>
      <c r="AE34" s="357">
        <v>0.13</v>
      </c>
      <c r="AF34" s="332">
        <v>0.17</v>
      </c>
      <c r="AG34" s="332">
        <v>0.13</v>
      </c>
      <c r="AH34" s="332"/>
      <c r="AI34" s="332"/>
      <c r="AJ34" s="357">
        <v>0.12</v>
      </c>
      <c r="AK34" s="332"/>
      <c r="AL34" s="358">
        <v>0.13500000000000001</v>
      </c>
      <c r="AM34" s="332"/>
      <c r="AN34" s="332"/>
      <c r="AO34" s="357"/>
      <c r="AP34" s="332"/>
      <c r="AQ34" s="332"/>
      <c r="AR34" s="332"/>
      <c r="AS34" s="332"/>
      <c r="AT34" s="357"/>
      <c r="AU34" s="357"/>
      <c r="AV34" s="357"/>
      <c r="AW34" s="357"/>
      <c r="AX34" s="332"/>
    </row>
    <row r="35" spans="1:50" s="333" customFormat="1" hidden="1" outlineLevel="1" x14ac:dyDescent="0.3">
      <c r="A35" s="355" t="s">
        <v>438</v>
      </c>
      <c r="B35" s="356"/>
      <c r="C35" s="357"/>
      <c r="D35" s="357"/>
      <c r="E35" s="357">
        <v>0</v>
      </c>
      <c r="F35" s="357">
        <v>0</v>
      </c>
      <c r="G35" s="332">
        <v>0</v>
      </c>
      <c r="H35" s="332">
        <v>0</v>
      </c>
      <c r="I35" s="332">
        <v>0</v>
      </c>
      <c r="J35" s="332"/>
      <c r="K35" s="357">
        <v>0</v>
      </c>
      <c r="L35" s="332">
        <v>0.12</v>
      </c>
      <c r="M35" s="332">
        <v>0</v>
      </c>
      <c r="N35" s="332">
        <v>0.11</v>
      </c>
      <c r="O35" s="332"/>
      <c r="P35" s="357">
        <v>0.11</v>
      </c>
      <c r="Q35" s="332"/>
      <c r="R35" s="332"/>
      <c r="S35" s="332"/>
      <c r="T35" s="332"/>
      <c r="U35" s="357"/>
      <c r="V35" s="332"/>
      <c r="W35" s="332"/>
      <c r="X35" s="332"/>
      <c r="Y35" s="332"/>
      <c r="Z35" s="357"/>
      <c r="AA35" s="332">
        <v>0.13</v>
      </c>
      <c r="AB35" s="332">
        <v>0.11</v>
      </c>
      <c r="AC35" s="332"/>
      <c r="AD35" s="332"/>
      <c r="AE35" s="357">
        <v>0.11</v>
      </c>
      <c r="AF35" s="332">
        <v>0.1</v>
      </c>
      <c r="AG35" s="332">
        <v>0.14000000000000001</v>
      </c>
      <c r="AH35" s="332">
        <v>0.11</v>
      </c>
      <c r="AI35" s="332">
        <f>((AJ35*AJ$56)-SUMPRODUCT(AF35:AH35,AF$56:AH$56))/AI$56</f>
        <v>0.12842165684145204</v>
      </c>
      <c r="AJ35" s="357">
        <v>0.12</v>
      </c>
      <c r="AK35" s="332">
        <v>0.15</v>
      </c>
      <c r="AL35" s="358"/>
      <c r="AM35" s="332"/>
      <c r="AN35" s="332"/>
      <c r="AO35" s="357"/>
      <c r="AP35" s="332"/>
      <c r="AQ35" s="332"/>
      <c r="AR35" s="332"/>
      <c r="AS35" s="332"/>
      <c r="AT35" s="357"/>
      <c r="AU35" s="357"/>
      <c r="AV35" s="357"/>
      <c r="AW35" s="357"/>
      <c r="AX35" s="332"/>
    </row>
    <row r="36" spans="1:50" s="333" customFormat="1" hidden="1" outlineLevel="1" x14ac:dyDescent="0.3">
      <c r="A36" s="355" t="s">
        <v>439</v>
      </c>
      <c r="B36" s="356"/>
      <c r="C36" s="357"/>
      <c r="D36" s="357"/>
      <c r="E36" s="357">
        <v>0.17</v>
      </c>
      <c r="F36" s="357">
        <v>0.19</v>
      </c>
      <c r="G36" s="332">
        <v>0.19</v>
      </c>
      <c r="H36" s="332">
        <v>0.19</v>
      </c>
      <c r="I36" s="332">
        <v>0.17</v>
      </c>
      <c r="J36" s="332">
        <f>((K36*K$56)-SUMPRODUCT(G36:I36,G$56:I$56))/J$56</f>
        <v>0.13551630977635304</v>
      </c>
      <c r="K36" s="357">
        <v>0.17</v>
      </c>
      <c r="L36" s="332">
        <v>0</v>
      </c>
      <c r="M36" s="332">
        <v>0.11</v>
      </c>
      <c r="N36" s="332">
        <v>0.11</v>
      </c>
      <c r="O36" s="332"/>
      <c r="P36" s="357">
        <v>0.1</v>
      </c>
      <c r="Q36" s="332"/>
      <c r="R36" s="332"/>
      <c r="S36" s="332"/>
      <c r="T36" s="332"/>
      <c r="U36" s="357"/>
      <c r="V36" s="332"/>
      <c r="W36" s="332"/>
      <c r="X36" s="332"/>
      <c r="Y36" s="332"/>
      <c r="Z36" s="357"/>
      <c r="AA36" s="332"/>
      <c r="AB36" s="332">
        <v>0.15</v>
      </c>
      <c r="AC36" s="332"/>
      <c r="AD36" s="332"/>
      <c r="AE36" s="357"/>
      <c r="AF36" s="332"/>
      <c r="AG36" s="332"/>
      <c r="AH36" s="332"/>
      <c r="AI36" s="332"/>
      <c r="AJ36" s="357"/>
      <c r="AK36" s="332"/>
      <c r="AL36" s="358"/>
      <c r="AM36" s="332"/>
      <c r="AN36" s="332"/>
      <c r="AO36" s="357"/>
      <c r="AP36" s="332"/>
      <c r="AQ36" s="332"/>
      <c r="AR36" s="332"/>
      <c r="AS36" s="332"/>
      <c r="AT36" s="357"/>
      <c r="AU36" s="357"/>
      <c r="AV36" s="357"/>
      <c r="AW36" s="357"/>
      <c r="AX36" s="332"/>
    </row>
    <row r="37" spans="1:50" s="333" customFormat="1" collapsed="1" x14ac:dyDescent="0.3">
      <c r="A37" s="329"/>
      <c r="B37" s="34"/>
      <c r="C37" s="285"/>
      <c r="D37" s="285"/>
      <c r="E37" s="285"/>
      <c r="F37" s="285"/>
      <c r="G37" s="330"/>
      <c r="H37" s="330"/>
      <c r="I37" s="330"/>
      <c r="J37" s="330"/>
      <c r="K37" s="285"/>
      <c r="L37" s="330"/>
      <c r="M37" s="330"/>
      <c r="N37" s="330"/>
      <c r="O37" s="330"/>
      <c r="P37" s="285"/>
      <c r="Q37" s="330"/>
      <c r="R37" s="330"/>
      <c r="S37" s="330"/>
      <c r="T37" s="330"/>
      <c r="U37" s="285"/>
      <c r="V37" s="330"/>
      <c r="W37" s="330"/>
      <c r="X37" s="330"/>
      <c r="Y37" s="330"/>
      <c r="Z37" s="285"/>
      <c r="AA37" s="330"/>
      <c r="AB37" s="330"/>
      <c r="AC37" s="330"/>
      <c r="AD37" s="330"/>
      <c r="AE37" s="285"/>
      <c r="AF37" s="330"/>
      <c r="AG37" s="330"/>
      <c r="AH37" s="330"/>
      <c r="AI37" s="330"/>
      <c r="AJ37" s="285"/>
      <c r="AK37" s="330"/>
      <c r="AL37" s="331"/>
      <c r="AM37" s="330"/>
      <c r="AN37" s="330"/>
      <c r="AO37" s="285"/>
      <c r="AP37" s="330"/>
      <c r="AQ37" s="330"/>
      <c r="AR37" s="330"/>
      <c r="AS37" s="330"/>
      <c r="AT37" s="285"/>
      <c r="AU37" s="285"/>
      <c r="AV37" s="285"/>
      <c r="AW37" s="285"/>
      <c r="AX37" s="332"/>
    </row>
    <row r="38" spans="1:50" s="16" customFormat="1" x14ac:dyDescent="0.3">
      <c r="A38" s="46" t="s">
        <v>32</v>
      </c>
      <c r="B38" s="46"/>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303"/>
      <c r="AM38" s="46"/>
      <c r="AN38" s="46"/>
      <c r="AO38" s="46"/>
      <c r="AP38" s="46"/>
      <c r="AQ38" s="46"/>
      <c r="AR38" s="46"/>
      <c r="AS38" s="46"/>
      <c r="AT38" s="46"/>
      <c r="AU38" s="46"/>
      <c r="AV38" s="46"/>
      <c r="AW38" s="46"/>
      <c r="AX38" s="25"/>
    </row>
    <row r="39" spans="1:50" s="16" customFormat="1" x14ac:dyDescent="0.3">
      <c r="A39" s="359" t="s">
        <v>33</v>
      </c>
      <c r="B39" s="33"/>
      <c r="C39" s="6">
        <f t="shared" ref="C39:AL39" si="11">C136/C133</f>
        <v>0.24705284202543865</v>
      </c>
      <c r="D39" s="6">
        <f t="shared" si="11"/>
        <v>0.26222193481634765</v>
      </c>
      <c r="E39" s="6">
        <f t="shared" si="11"/>
        <v>0.35492630693806393</v>
      </c>
      <c r="F39" s="6">
        <f t="shared" si="11"/>
        <v>0.31536804186909323</v>
      </c>
      <c r="G39" s="23">
        <f t="shared" si="11"/>
        <v>0.34843524313914298</v>
      </c>
      <c r="H39" s="23">
        <f t="shared" si="11"/>
        <v>0.32768315540705728</v>
      </c>
      <c r="I39" s="23">
        <f t="shared" si="11"/>
        <v>0.35428137642095958</v>
      </c>
      <c r="J39" s="23">
        <f t="shared" si="11"/>
        <v>0.34528781118901092</v>
      </c>
      <c r="K39" s="6">
        <f t="shared" si="11"/>
        <v>0.34392832628138803</v>
      </c>
      <c r="L39" s="23">
        <f t="shared" si="11"/>
        <v>0.34071028868103675</v>
      </c>
      <c r="M39" s="23">
        <f t="shared" si="11"/>
        <v>0.33487643815099738</v>
      </c>
      <c r="N39" s="23">
        <f t="shared" si="11"/>
        <v>0.32621698644663155</v>
      </c>
      <c r="O39" s="23">
        <f t="shared" si="11"/>
        <v>0.29146942940559545</v>
      </c>
      <c r="P39" s="6">
        <f t="shared" si="11"/>
        <v>0.32065635858159941</v>
      </c>
      <c r="Q39" s="23">
        <f t="shared" si="11"/>
        <v>0.28012272029998297</v>
      </c>
      <c r="R39" s="23">
        <f t="shared" si="11"/>
        <v>0.28917302081545587</v>
      </c>
      <c r="S39" s="23">
        <f t="shared" si="11"/>
        <v>0.28667207384888282</v>
      </c>
      <c r="T39" s="23">
        <f t="shared" si="11"/>
        <v>0.29283938058098791</v>
      </c>
      <c r="U39" s="6">
        <f t="shared" si="11"/>
        <v>0.28749050354028022</v>
      </c>
      <c r="V39" s="23">
        <f t="shared" si="11"/>
        <v>0.35811696560134137</v>
      </c>
      <c r="W39" s="23">
        <f t="shared" si="11"/>
        <v>0.3715392386441404</v>
      </c>
      <c r="X39" s="23">
        <f t="shared" si="11"/>
        <v>0.34873846510652912</v>
      </c>
      <c r="Y39" s="23">
        <f t="shared" si="11"/>
        <v>0.33159656435518486</v>
      </c>
      <c r="Z39" s="6">
        <f t="shared" si="11"/>
        <v>0.35217108378095341</v>
      </c>
      <c r="AA39" s="23">
        <f t="shared" si="11"/>
        <v>0.34163614293059669</v>
      </c>
      <c r="AB39" s="23">
        <f t="shared" si="11"/>
        <v>0.34641586699502747</v>
      </c>
      <c r="AC39" s="23">
        <f t="shared" si="11"/>
        <v>0.34264662227125503</v>
      </c>
      <c r="AD39" s="23">
        <f t="shared" si="11"/>
        <v>0.3587744811243323</v>
      </c>
      <c r="AE39" s="6">
        <f t="shared" si="11"/>
        <v>0.34778612629110317</v>
      </c>
      <c r="AF39" s="23">
        <f t="shared" si="11"/>
        <v>0.35457370517928288</v>
      </c>
      <c r="AG39" s="23">
        <f t="shared" si="11"/>
        <v>0.38615521004834952</v>
      </c>
      <c r="AH39" s="23">
        <f t="shared" si="11"/>
        <v>0.34225728929017835</v>
      </c>
      <c r="AI39" s="23">
        <f t="shared" si="11"/>
        <v>0.34593374013169237</v>
      </c>
      <c r="AJ39" s="6">
        <f t="shared" si="11"/>
        <v>0.35690057249507001</v>
      </c>
      <c r="AK39" s="23">
        <f t="shared" si="11"/>
        <v>0.35412837423865645</v>
      </c>
      <c r="AL39" s="305">
        <f t="shared" si="11"/>
        <v>0.35457779610987228</v>
      </c>
      <c r="AM39" s="26"/>
      <c r="AN39" s="26"/>
      <c r="AO39" s="6"/>
      <c r="AP39" s="26"/>
      <c r="AQ39" s="26"/>
      <c r="AR39" s="26"/>
      <c r="AS39" s="26"/>
      <c r="AT39" s="6"/>
      <c r="AU39" s="13"/>
      <c r="AV39" s="13"/>
      <c r="AW39" s="13"/>
      <c r="AX39" s="25"/>
    </row>
    <row r="40" spans="1:50" s="87" customFormat="1" x14ac:dyDescent="0.3">
      <c r="A40" s="360" t="s">
        <v>34</v>
      </c>
      <c r="B40" s="85"/>
      <c r="C40" s="51">
        <f t="shared" ref="C40:AL40" si="12">(C133-C141)/C133</f>
        <v>0.24705284202543862</v>
      </c>
      <c r="D40" s="51">
        <f t="shared" si="12"/>
        <v>0.25973228142783233</v>
      </c>
      <c r="E40" s="51">
        <f t="shared" si="12"/>
        <v>0.31933917323366157</v>
      </c>
      <c r="F40" s="51">
        <f t="shared" si="12"/>
        <v>0.29711520989458839</v>
      </c>
      <c r="G40" s="86">
        <f t="shared" si="12"/>
        <v>0.31929465575349064</v>
      </c>
      <c r="H40" s="86">
        <f t="shared" si="12"/>
        <v>0.30591435090864644</v>
      </c>
      <c r="I40" s="86">
        <f t="shared" si="12"/>
        <v>0.30882988843725673</v>
      </c>
      <c r="J40" s="86">
        <f t="shared" si="12"/>
        <v>0.30793086062727726</v>
      </c>
      <c r="K40" s="51">
        <f t="shared" si="12"/>
        <v>0.3099073855894437</v>
      </c>
      <c r="L40" s="86">
        <f t="shared" si="12"/>
        <v>0.31165026969152138</v>
      </c>
      <c r="M40" s="86">
        <f t="shared" si="12"/>
        <v>0.30721725683942308</v>
      </c>
      <c r="N40" s="86">
        <f t="shared" si="12"/>
        <v>0.29587102760380424</v>
      </c>
      <c r="O40" s="86">
        <f t="shared" si="12"/>
        <v>0.27694237365004681</v>
      </c>
      <c r="P40" s="51">
        <f t="shared" si="12"/>
        <v>0.29599546208446476</v>
      </c>
      <c r="Q40" s="86">
        <f t="shared" si="12"/>
        <v>0.26634395772967445</v>
      </c>
      <c r="R40" s="86">
        <f t="shared" si="12"/>
        <v>0.27272782994581612</v>
      </c>
      <c r="S40" s="86">
        <f t="shared" si="12"/>
        <v>0.27111572731463379</v>
      </c>
      <c r="T40" s="86">
        <f t="shared" si="12"/>
        <v>0.27763648694472703</v>
      </c>
      <c r="U40" s="51">
        <f t="shared" si="12"/>
        <v>0.27220500197526365</v>
      </c>
      <c r="V40" s="86">
        <f t="shared" si="12"/>
        <v>0.28594583608556468</v>
      </c>
      <c r="W40" s="86">
        <f t="shared" si="12"/>
        <v>0.28570630490547066</v>
      </c>
      <c r="X40" s="86">
        <f t="shared" si="12"/>
        <v>0.28239470855578003</v>
      </c>
      <c r="Y40" s="86">
        <f t="shared" si="12"/>
        <v>0.2808829101932549</v>
      </c>
      <c r="Z40" s="51">
        <f t="shared" si="12"/>
        <v>0.28365197353229976</v>
      </c>
      <c r="AA40" s="86">
        <f t="shared" si="12"/>
        <v>0.2829563585668774</v>
      </c>
      <c r="AB40" s="86">
        <f t="shared" si="12"/>
        <v>0.29362810315056476</v>
      </c>
      <c r="AC40" s="86">
        <f t="shared" si="12"/>
        <v>0.2934040469829286</v>
      </c>
      <c r="AD40" s="86">
        <f t="shared" si="12"/>
        <v>0.31200727330889255</v>
      </c>
      <c r="AE40" s="51">
        <f t="shared" si="12"/>
        <v>0.29629595331829284</v>
      </c>
      <c r="AF40" s="86">
        <f t="shared" si="12"/>
        <v>0.30957768924302792</v>
      </c>
      <c r="AG40" s="86">
        <f t="shared" si="12"/>
        <v>0.3091163740119644</v>
      </c>
      <c r="AH40" s="86">
        <f t="shared" si="12"/>
        <v>0.30378817453467089</v>
      </c>
      <c r="AI40" s="86">
        <f t="shared" si="12"/>
        <v>0.31017340641914026</v>
      </c>
      <c r="AJ40" s="51">
        <f t="shared" si="12"/>
        <v>0.30813883533579545</v>
      </c>
      <c r="AK40" s="86">
        <f t="shared" si="12"/>
        <v>0.32008046733963058</v>
      </c>
      <c r="AL40" s="319">
        <f t="shared" si="12"/>
        <v>0.32053595596860063</v>
      </c>
      <c r="AM40" s="86"/>
      <c r="AN40" s="86"/>
      <c r="AO40" s="51"/>
      <c r="AP40" s="86"/>
      <c r="AQ40" s="86"/>
      <c r="AR40" s="86"/>
      <c r="AS40" s="86"/>
      <c r="AT40" s="51"/>
      <c r="AU40" s="51"/>
      <c r="AV40" s="51"/>
      <c r="AW40" s="51"/>
      <c r="AX40" s="238"/>
    </row>
    <row r="41" spans="1:50" s="87" customFormat="1" x14ac:dyDescent="0.3">
      <c r="A41" s="361" t="s">
        <v>35</v>
      </c>
      <c r="B41" s="88"/>
      <c r="C41" s="50">
        <f t="shared" ref="C41:AL41" si="13">1-C39</f>
        <v>0.75294715797456135</v>
      </c>
      <c r="D41" s="50">
        <f t="shared" si="13"/>
        <v>0.7377780651836523</v>
      </c>
      <c r="E41" s="50">
        <f t="shared" si="13"/>
        <v>0.64507369306193607</v>
      </c>
      <c r="F41" s="50">
        <f t="shared" si="13"/>
        <v>0.68463195813090683</v>
      </c>
      <c r="G41" s="49">
        <f t="shared" si="13"/>
        <v>0.65156475686085702</v>
      </c>
      <c r="H41" s="49">
        <f t="shared" si="13"/>
        <v>0.67231684459294272</v>
      </c>
      <c r="I41" s="49">
        <f t="shared" si="13"/>
        <v>0.64571862357904042</v>
      </c>
      <c r="J41" s="49">
        <f t="shared" si="13"/>
        <v>0.65471218881098903</v>
      </c>
      <c r="K41" s="50">
        <f t="shared" si="13"/>
        <v>0.65607167371861197</v>
      </c>
      <c r="L41" s="49">
        <f t="shared" si="13"/>
        <v>0.6592897113189633</v>
      </c>
      <c r="M41" s="49">
        <f t="shared" si="13"/>
        <v>0.66512356184900256</v>
      </c>
      <c r="N41" s="49">
        <f t="shared" si="13"/>
        <v>0.67378301355336845</v>
      </c>
      <c r="O41" s="49">
        <f t="shared" si="13"/>
        <v>0.7085305705944045</v>
      </c>
      <c r="P41" s="50">
        <f t="shared" si="13"/>
        <v>0.67934364141840065</v>
      </c>
      <c r="Q41" s="49">
        <f t="shared" si="13"/>
        <v>0.71987727970001703</v>
      </c>
      <c r="R41" s="49">
        <f t="shared" si="13"/>
        <v>0.71082697918454407</v>
      </c>
      <c r="S41" s="49">
        <f t="shared" si="13"/>
        <v>0.71332792615111718</v>
      </c>
      <c r="T41" s="49">
        <f t="shared" si="13"/>
        <v>0.70716061941901209</v>
      </c>
      <c r="U41" s="50">
        <f t="shared" si="13"/>
        <v>0.71250949645971984</v>
      </c>
      <c r="V41" s="49">
        <f t="shared" si="13"/>
        <v>0.64188303439865857</v>
      </c>
      <c r="W41" s="49">
        <f t="shared" si="13"/>
        <v>0.6284607613558596</v>
      </c>
      <c r="X41" s="49">
        <f t="shared" si="13"/>
        <v>0.65126153489347094</v>
      </c>
      <c r="Y41" s="49">
        <f t="shared" si="13"/>
        <v>0.66840343564481519</v>
      </c>
      <c r="Z41" s="50">
        <f t="shared" si="13"/>
        <v>0.64782891621904659</v>
      </c>
      <c r="AA41" s="49">
        <f t="shared" si="13"/>
        <v>0.65836385706940326</v>
      </c>
      <c r="AB41" s="49">
        <f t="shared" si="13"/>
        <v>0.65358413300497253</v>
      </c>
      <c r="AC41" s="49">
        <f t="shared" si="13"/>
        <v>0.65735337772874503</v>
      </c>
      <c r="AD41" s="49">
        <f t="shared" si="13"/>
        <v>0.6412255188756677</v>
      </c>
      <c r="AE41" s="50">
        <f t="shared" si="13"/>
        <v>0.65221387370889683</v>
      </c>
      <c r="AF41" s="49">
        <f t="shared" si="13"/>
        <v>0.64542629482071712</v>
      </c>
      <c r="AG41" s="49">
        <f t="shared" si="13"/>
        <v>0.61384478995165048</v>
      </c>
      <c r="AH41" s="49">
        <f t="shared" si="13"/>
        <v>0.65774271070982171</v>
      </c>
      <c r="AI41" s="49">
        <f t="shared" si="13"/>
        <v>0.65406625986830758</v>
      </c>
      <c r="AJ41" s="50">
        <f t="shared" si="13"/>
        <v>0.64309942750492999</v>
      </c>
      <c r="AK41" s="49">
        <f t="shared" si="13"/>
        <v>0.64587162576134349</v>
      </c>
      <c r="AL41" s="362">
        <f t="shared" si="13"/>
        <v>0.64542220389012772</v>
      </c>
      <c r="AM41" s="49"/>
      <c r="AN41" s="49"/>
      <c r="AO41" s="50"/>
      <c r="AP41" s="49"/>
      <c r="AQ41" s="49"/>
      <c r="AR41" s="49"/>
      <c r="AS41" s="49"/>
      <c r="AT41" s="50"/>
      <c r="AU41" s="50"/>
      <c r="AV41" s="50"/>
      <c r="AW41" s="50"/>
      <c r="AX41" s="238"/>
    </row>
    <row r="42" spans="1:50" s="87" customFormat="1" x14ac:dyDescent="0.3">
      <c r="A42" s="363" t="s">
        <v>36</v>
      </c>
      <c r="B42" s="85"/>
      <c r="C42" s="51">
        <f t="shared" ref="C42:AL42" si="14">1-C40</f>
        <v>0.75294715797456135</v>
      </c>
      <c r="D42" s="51">
        <f t="shared" si="14"/>
        <v>0.74026771857216767</v>
      </c>
      <c r="E42" s="51">
        <f t="shared" si="14"/>
        <v>0.68066082676633843</v>
      </c>
      <c r="F42" s="51">
        <f t="shared" si="14"/>
        <v>0.70288479010541161</v>
      </c>
      <c r="G42" s="86">
        <f t="shared" si="14"/>
        <v>0.68070534424650941</v>
      </c>
      <c r="H42" s="86">
        <f t="shared" si="14"/>
        <v>0.69408564909135362</v>
      </c>
      <c r="I42" s="86">
        <f t="shared" si="14"/>
        <v>0.69117011156274333</v>
      </c>
      <c r="J42" s="86">
        <f t="shared" si="14"/>
        <v>0.69206913937272274</v>
      </c>
      <c r="K42" s="51">
        <f t="shared" si="14"/>
        <v>0.69009261441055636</v>
      </c>
      <c r="L42" s="86">
        <f t="shared" si="14"/>
        <v>0.68834973030847868</v>
      </c>
      <c r="M42" s="86">
        <f t="shared" si="14"/>
        <v>0.69278274316057686</v>
      </c>
      <c r="N42" s="86">
        <f t="shared" si="14"/>
        <v>0.70412897239619576</v>
      </c>
      <c r="O42" s="86">
        <f t="shared" si="14"/>
        <v>0.72305762634995319</v>
      </c>
      <c r="P42" s="51">
        <f t="shared" si="14"/>
        <v>0.7040045379155353</v>
      </c>
      <c r="Q42" s="86">
        <f t="shared" si="14"/>
        <v>0.73365604227032555</v>
      </c>
      <c r="R42" s="86">
        <f t="shared" si="14"/>
        <v>0.72727217005418388</v>
      </c>
      <c r="S42" s="86">
        <f t="shared" si="14"/>
        <v>0.72888427268536615</v>
      </c>
      <c r="T42" s="86">
        <f t="shared" si="14"/>
        <v>0.72236351305527302</v>
      </c>
      <c r="U42" s="51">
        <f t="shared" si="14"/>
        <v>0.72779499802473635</v>
      </c>
      <c r="V42" s="86">
        <f t="shared" si="14"/>
        <v>0.71405416391443532</v>
      </c>
      <c r="W42" s="86">
        <f t="shared" si="14"/>
        <v>0.71429369509452934</v>
      </c>
      <c r="X42" s="86">
        <f t="shared" si="14"/>
        <v>0.71760529144421992</v>
      </c>
      <c r="Y42" s="86">
        <f t="shared" si="14"/>
        <v>0.71911708980674516</v>
      </c>
      <c r="Z42" s="51">
        <f t="shared" si="14"/>
        <v>0.71634802646770024</v>
      </c>
      <c r="AA42" s="86">
        <f t="shared" si="14"/>
        <v>0.7170436414331226</v>
      </c>
      <c r="AB42" s="86">
        <f t="shared" si="14"/>
        <v>0.70637189684943524</v>
      </c>
      <c r="AC42" s="86">
        <f t="shared" si="14"/>
        <v>0.70659595301707134</v>
      </c>
      <c r="AD42" s="86">
        <f t="shared" si="14"/>
        <v>0.68799272669110745</v>
      </c>
      <c r="AE42" s="51">
        <f t="shared" si="14"/>
        <v>0.70370404668170716</v>
      </c>
      <c r="AF42" s="86">
        <f t="shared" si="14"/>
        <v>0.69042231075697202</v>
      </c>
      <c r="AG42" s="86">
        <f t="shared" si="14"/>
        <v>0.69088362598803554</v>
      </c>
      <c r="AH42" s="86">
        <f t="shared" si="14"/>
        <v>0.69621182546532911</v>
      </c>
      <c r="AI42" s="86">
        <f t="shared" si="14"/>
        <v>0.68982659358085974</v>
      </c>
      <c r="AJ42" s="51">
        <f t="shared" si="14"/>
        <v>0.69186116466420455</v>
      </c>
      <c r="AK42" s="86">
        <f t="shared" si="14"/>
        <v>0.67991953266036942</v>
      </c>
      <c r="AL42" s="319">
        <f t="shared" si="14"/>
        <v>0.67946404403139937</v>
      </c>
      <c r="AM42" s="86"/>
      <c r="AN42" s="86"/>
      <c r="AO42" s="51"/>
      <c r="AP42" s="86"/>
      <c r="AQ42" s="86"/>
      <c r="AR42" s="86"/>
      <c r="AS42" s="86"/>
      <c r="AT42" s="51"/>
      <c r="AU42" s="51"/>
      <c r="AV42" s="51"/>
      <c r="AW42" s="51"/>
      <c r="AX42" s="238"/>
    </row>
    <row r="43" spans="1:50" s="92" customFormat="1" x14ac:dyDescent="0.3">
      <c r="A43" s="89" t="s">
        <v>37</v>
      </c>
      <c r="B43" s="101"/>
      <c r="C43" s="364"/>
      <c r="D43" s="364"/>
      <c r="E43" s="364"/>
      <c r="F43" s="364"/>
      <c r="G43" s="90"/>
      <c r="H43" s="90"/>
      <c r="I43" s="90"/>
      <c r="J43" s="90"/>
      <c r="K43" s="364"/>
      <c r="L43" s="90"/>
      <c r="M43" s="90"/>
      <c r="N43" s="90"/>
      <c r="O43" s="90"/>
      <c r="P43" s="364"/>
      <c r="Q43" s="90"/>
      <c r="R43" s="90"/>
      <c r="S43" s="90"/>
      <c r="T43" s="90"/>
      <c r="U43" s="364"/>
      <c r="V43" s="90"/>
      <c r="W43" s="365"/>
      <c r="X43" s="365"/>
      <c r="Y43" s="365"/>
      <c r="Z43" s="91"/>
      <c r="AA43" s="366"/>
      <c r="AB43" s="365"/>
      <c r="AC43" s="365"/>
      <c r="AD43" s="365"/>
      <c r="AE43" s="91"/>
      <c r="AF43" s="366"/>
      <c r="AG43" s="365"/>
      <c r="AH43" s="365"/>
      <c r="AI43" s="365"/>
      <c r="AJ43" s="91"/>
      <c r="AK43" s="366"/>
      <c r="AL43" s="367"/>
      <c r="AM43" s="90"/>
      <c r="AN43" s="90"/>
      <c r="AO43" s="91"/>
      <c r="AP43" s="90"/>
      <c r="AQ43" s="90"/>
      <c r="AR43" s="90"/>
      <c r="AS43" s="90"/>
      <c r="AT43" s="91"/>
      <c r="AU43" s="91"/>
      <c r="AV43" s="91"/>
      <c r="AW43" s="91"/>
      <c r="AX43" s="90"/>
    </row>
    <row r="44" spans="1:50" s="16" customFormat="1" x14ac:dyDescent="0.3">
      <c r="A44" s="97"/>
      <c r="B44" s="33"/>
      <c r="C44" s="6"/>
      <c r="D44" s="6"/>
      <c r="E44" s="6"/>
      <c r="F44" s="6"/>
      <c r="G44" s="23"/>
      <c r="H44" s="23"/>
      <c r="I44" s="23"/>
      <c r="J44" s="23"/>
      <c r="K44" s="6"/>
      <c r="L44" s="23"/>
      <c r="M44" s="23"/>
      <c r="N44" s="23"/>
      <c r="O44" s="23"/>
      <c r="P44" s="6"/>
      <c r="Q44" s="23"/>
      <c r="R44" s="23"/>
      <c r="S44" s="23"/>
      <c r="T44" s="23"/>
      <c r="U44" s="6"/>
      <c r="V44" s="23"/>
      <c r="W44" s="23"/>
      <c r="X44" s="23"/>
      <c r="Y44" s="23"/>
      <c r="Z44" s="6"/>
      <c r="AA44" s="23"/>
      <c r="AB44" s="23"/>
      <c r="AC44" s="23"/>
      <c r="AD44" s="23"/>
      <c r="AE44" s="6"/>
      <c r="AF44" s="23"/>
      <c r="AG44" s="23"/>
      <c r="AH44" s="23"/>
      <c r="AI44" s="23"/>
      <c r="AJ44" s="6"/>
      <c r="AK44" s="23"/>
      <c r="AL44" s="305"/>
      <c r="AM44" s="26"/>
      <c r="AN44" s="26"/>
      <c r="AO44" s="51"/>
      <c r="AP44" s="26"/>
      <c r="AQ44" s="26"/>
      <c r="AR44" s="26"/>
      <c r="AS44" s="26"/>
      <c r="AT44" s="51"/>
      <c r="AU44" s="13"/>
      <c r="AV44" s="13"/>
      <c r="AW44" s="13"/>
      <c r="AX44" s="25"/>
    </row>
    <row r="45" spans="1:50" s="16" customFormat="1" x14ac:dyDescent="0.3">
      <c r="A45" s="368" t="s">
        <v>440</v>
      </c>
      <c r="B45" s="33"/>
      <c r="C45" s="6">
        <f t="shared" ref="C45:AL45" si="15">C148/C$133</f>
        <v>8.0598738409568785E-2</v>
      </c>
      <c r="D45" s="6">
        <f t="shared" si="15"/>
        <v>7.5944128297982416E-2</v>
      </c>
      <c r="E45" s="6">
        <f t="shared" si="15"/>
        <v>8.3968817863769085E-2</v>
      </c>
      <c r="F45" s="6">
        <f t="shared" si="15"/>
        <v>4.9003692100024164E-2</v>
      </c>
      <c r="G45" s="23">
        <f t="shared" si="15"/>
        <v>9.009388541165142E-2</v>
      </c>
      <c r="H45" s="23">
        <f t="shared" si="15"/>
        <v>0.10234495966098932</v>
      </c>
      <c r="I45" s="23">
        <f t="shared" si="15"/>
        <v>9.2959343499860667E-2</v>
      </c>
      <c r="J45" s="23">
        <f t="shared" si="15"/>
        <v>9.3606415464084256E-2</v>
      </c>
      <c r="K45" s="6">
        <f t="shared" si="15"/>
        <v>9.4883668514173902E-2</v>
      </c>
      <c r="L45" s="23">
        <f t="shared" si="15"/>
        <v>8.2978121654108006E-2</v>
      </c>
      <c r="M45" s="23">
        <f t="shared" si="15"/>
        <v>9.2012487478482452E-2</v>
      </c>
      <c r="N45" s="23">
        <f t="shared" si="15"/>
        <v>7.6092719620903346E-2</v>
      </c>
      <c r="O45" s="23">
        <f t="shared" si="15"/>
        <v>6.78165480880977E-2</v>
      </c>
      <c r="P45" s="6">
        <f t="shared" si="15"/>
        <v>7.8574525125687744E-2</v>
      </c>
      <c r="Q45" s="23">
        <f t="shared" si="15"/>
        <v>6.6139423896369523E-2</v>
      </c>
      <c r="R45" s="23">
        <f t="shared" si="15"/>
        <v>6.5400740432000393E-2</v>
      </c>
      <c r="S45" s="23">
        <f t="shared" si="15"/>
        <v>6.3859210979302944E-2</v>
      </c>
      <c r="T45" s="23">
        <f t="shared" si="15"/>
        <v>7.2889114954221762E-2</v>
      </c>
      <c r="U45" s="6">
        <f t="shared" si="15"/>
        <v>6.7177196341204004E-2</v>
      </c>
      <c r="V45" s="23">
        <f t="shared" si="15"/>
        <v>0.14195416899547786</v>
      </c>
      <c r="W45" s="23">
        <f t="shared" si="15"/>
        <v>6.2820936587818496E-2</v>
      </c>
      <c r="X45" s="23">
        <f t="shared" si="15"/>
        <v>6.0215600483473151E-2</v>
      </c>
      <c r="Y45" s="23">
        <f t="shared" si="15"/>
        <v>6.1301178296252201E-2</v>
      </c>
      <c r="Z45" s="6">
        <f t="shared" si="15"/>
        <v>7.990922427807412E-2</v>
      </c>
      <c r="AA45" s="23">
        <f t="shared" si="15"/>
        <v>6.6360634186937786E-2</v>
      </c>
      <c r="AB45" s="23">
        <f t="shared" si="15"/>
        <v>5.8859606910672678E-2</v>
      </c>
      <c r="AC45" s="23">
        <f t="shared" si="15"/>
        <v>5.7771633901789549E-2</v>
      </c>
      <c r="AD45" s="23">
        <f t="shared" si="15"/>
        <v>5.9499707468189805E-2</v>
      </c>
      <c r="AE45" s="6">
        <f t="shared" si="15"/>
        <v>6.0389423227182069E-2</v>
      </c>
      <c r="AF45" s="23">
        <f t="shared" si="15"/>
        <v>6.5800796812749002E-2</v>
      </c>
      <c r="AG45" s="23">
        <f t="shared" si="15"/>
        <v>8.8038530592784089E-2</v>
      </c>
      <c r="AH45" s="23">
        <f t="shared" si="15"/>
        <v>4.976523131251992E-2</v>
      </c>
      <c r="AI45" s="23">
        <f t="shared" si="15"/>
        <v>5.1104905712414245E-2</v>
      </c>
      <c r="AJ45" s="6">
        <f t="shared" si="15"/>
        <v>6.3256434254915991E-2</v>
      </c>
      <c r="AK45" s="23">
        <f t="shared" si="15"/>
        <v>6.3138684935635958E-2</v>
      </c>
      <c r="AL45" s="305">
        <f t="shared" si="15"/>
        <v>6.1867596447583821E-2</v>
      </c>
      <c r="AM45" s="26"/>
      <c r="AN45" s="26"/>
      <c r="AO45" s="6"/>
      <c r="AP45" s="26"/>
      <c r="AQ45" s="26"/>
      <c r="AR45" s="26"/>
      <c r="AS45" s="26"/>
      <c r="AT45" s="6"/>
      <c r="AU45" s="13"/>
      <c r="AV45" s="13"/>
      <c r="AW45" s="13"/>
      <c r="AX45" s="25"/>
    </row>
    <row r="46" spans="1:50" s="16" customFormat="1" x14ac:dyDescent="0.3">
      <c r="A46" s="368" t="s">
        <v>441</v>
      </c>
      <c r="B46" s="33"/>
      <c r="C46" s="6">
        <f t="shared" ref="C46:AL46" si="16">C152/C$133</f>
        <v>8.0598738409568785E-2</v>
      </c>
      <c r="D46" s="6">
        <f t="shared" si="16"/>
        <v>5.6835230212105542E-2</v>
      </c>
      <c r="E46" s="6">
        <f t="shared" si="16"/>
        <v>6.9959228701142906E-2</v>
      </c>
      <c r="F46" s="6">
        <f t="shared" si="16"/>
        <v>3.704879602395373E-2</v>
      </c>
      <c r="G46" s="23">
        <f t="shared" si="16"/>
        <v>6.6273471352912866E-2</v>
      </c>
      <c r="H46" s="23">
        <f t="shared" si="16"/>
        <v>6.3890473474044487E-2</v>
      </c>
      <c r="I46" s="23">
        <f t="shared" si="16"/>
        <v>6.5688450709638982E-2</v>
      </c>
      <c r="J46" s="23">
        <f t="shared" si="16"/>
        <v>7.1365378944264243E-2</v>
      </c>
      <c r="K46" s="6">
        <f t="shared" si="16"/>
        <v>6.6889323730393718E-2</v>
      </c>
      <c r="L46" s="23">
        <f t="shared" si="16"/>
        <v>6.2726005535241713E-2</v>
      </c>
      <c r="M46" s="23">
        <f t="shared" si="16"/>
        <v>7.0781828968226962E-2</v>
      </c>
      <c r="N46" s="23">
        <f t="shared" si="16"/>
        <v>5.8794777479537402E-2</v>
      </c>
      <c r="O46" s="23">
        <f t="shared" si="16"/>
        <v>5.3197369539952896E-2</v>
      </c>
      <c r="P46" s="6">
        <f t="shared" si="16"/>
        <v>6.0588936889759276E-2</v>
      </c>
      <c r="Q46" s="23">
        <f t="shared" si="16"/>
        <v>5.2442474859382984E-2</v>
      </c>
      <c r="R46" s="23">
        <f t="shared" si="16"/>
        <v>5.0855664795155325E-2</v>
      </c>
      <c r="S46" s="23">
        <f t="shared" si="16"/>
        <v>4.5326969196566633E-2</v>
      </c>
      <c r="T46" s="23">
        <f t="shared" si="16"/>
        <v>5.2938849327455621E-2</v>
      </c>
      <c r="U46" s="6">
        <f t="shared" si="16"/>
        <v>5.0329717081472033E-2</v>
      </c>
      <c r="V46" s="23">
        <f t="shared" si="16"/>
        <v>5.8396422945988506E-2</v>
      </c>
      <c r="W46" s="23">
        <f t="shared" si="16"/>
        <v>4.8496049832170242E-2</v>
      </c>
      <c r="X46" s="23">
        <f t="shared" si="16"/>
        <v>4.7722903871799324E-2</v>
      </c>
      <c r="Y46" s="23">
        <f t="shared" si="16"/>
        <v>4.9635504069001621E-2</v>
      </c>
      <c r="Z46" s="6">
        <f t="shared" si="16"/>
        <v>5.085959384161829E-2</v>
      </c>
      <c r="AA46" s="23">
        <f t="shared" si="16"/>
        <v>5.3681136066069092E-2</v>
      </c>
      <c r="AB46" s="23">
        <f t="shared" si="16"/>
        <v>4.5729894981175877E-2</v>
      </c>
      <c r="AC46" s="23">
        <f t="shared" si="16"/>
        <v>4.4067541282859023E-2</v>
      </c>
      <c r="AD46" s="23">
        <f t="shared" si="16"/>
        <v>4.0895526157394751E-2</v>
      </c>
      <c r="AE46" s="6">
        <f t="shared" si="16"/>
        <v>4.5703576716097948E-2</v>
      </c>
      <c r="AF46" s="23">
        <f t="shared" si="16"/>
        <v>3.9422310756972105E-2</v>
      </c>
      <c r="AG46" s="23">
        <f t="shared" si="16"/>
        <v>4.005781078886398E-2</v>
      </c>
      <c r="AH46" s="23">
        <f t="shared" si="16"/>
        <v>3.3275909616741463E-2</v>
      </c>
      <c r="AI46" s="23">
        <f t="shared" si="16"/>
        <v>3.4746785258730657E-2</v>
      </c>
      <c r="AJ46" s="6">
        <f t="shared" si="16"/>
        <v>3.6757067554050858E-2</v>
      </c>
      <c r="AK46" s="23">
        <f t="shared" si="16"/>
        <v>3.2606309609228848E-2</v>
      </c>
      <c r="AL46" s="305">
        <f t="shared" si="16"/>
        <v>3.4270633273610809E-2</v>
      </c>
      <c r="AM46" s="23"/>
      <c r="AN46" s="23"/>
      <c r="AO46" s="6"/>
      <c r="AP46" s="23"/>
      <c r="AQ46" s="23"/>
      <c r="AR46" s="23"/>
      <c r="AS46" s="23"/>
      <c r="AT46" s="6"/>
      <c r="AU46" s="6"/>
      <c r="AV46" s="6"/>
      <c r="AW46" s="6"/>
      <c r="AX46" s="25"/>
    </row>
    <row r="47" spans="1:50" s="16" customFormat="1" x14ac:dyDescent="0.3">
      <c r="A47" s="368" t="s">
        <v>442</v>
      </c>
      <c r="B47" s="33"/>
      <c r="C47" s="6">
        <f t="shared" ref="C47:AL47" si="17">C153/C$133</f>
        <v>0.14678914894350417</v>
      </c>
      <c r="D47" s="6">
        <f t="shared" si="17"/>
        <v>0.14293843766166581</v>
      </c>
      <c r="E47" s="6">
        <f t="shared" si="17"/>
        <v>0.15570238880467194</v>
      </c>
      <c r="F47" s="6">
        <f t="shared" si="17"/>
        <v>0.12194113806137792</v>
      </c>
      <c r="G47" s="23">
        <f t="shared" si="17"/>
        <v>0.19756860857005298</v>
      </c>
      <c r="H47" s="23">
        <f t="shared" si="17"/>
        <v>0.1711046369489039</v>
      </c>
      <c r="I47" s="23">
        <f t="shared" si="17"/>
        <v>0.17492576897575601</v>
      </c>
      <c r="J47" s="23">
        <f t="shared" si="17"/>
        <v>0.18197125217606377</v>
      </c>
      <c r="K47" s="6">
        <f t="shared" si="17"/>
        <v>0.18068006024034669</v>
      </c>
      <c r="L47" s="23">
        <f t="shared" si="17"/>
        <v>0.19473343972849033</v>
      </c>
      <c r="M47" s="23">
        <f t="shared" si="17"/>
        <v>0.18208961030119719</v>
      </c>
      <c r="N47" s="23">
        <f t="shared" si="17"/>
        <v>0.15626967558074029</v>
      </c>
      <c r="O47" s="23">
        <f t="shared" si="17"/>
        <v>0.14169194138155847</v>
      </c>
      <c r="P47" s="6">
        <f t="shared" si="17"/>
        <v>0.16577195248992233</v>
      </c>
      <c r="Q47" s="23">
        <f t="shared" si="17"/>
        <v>0.15379580705641724</v>
      </c>
      <c r="R47" s="23">
        <f t="shared" si="17"/>
        <v>0.14321965332091108</v>
      </c>
      <c r="S47" s="23">
        <f t="shared" si="17"/>
        <v>0.14480356173815623</v>
      </c>
      <c r="T47" s="23">
        <f t="shared" si="17"/>
        <v>0.15088730643155876</v>
      </c>
      <c r="U47" s="6">
        <f t="shared" si="17"/>
        <v>0.14805056674871608</v>
      </c>
      <c r="V47" s="23">
        <f t="shared" si="17"/>
        <v>0.1586707992480057</v>
      </c>
      <c r="W47" s="23">
        <f t="shared" si="17"/>
        <v>0.15165664964315809</v>
      </c>
      <c r="X47" s="23">
        <f t="shared" si="17"/>
        <v>0.15346258658138984</v>
      </c>
      <c r="Y47" s="23">
        <f t="shared" si="17"/>
        <v>0.16045038705137224</v>
      </c>
      <c r="Z47" s="6">
        <f t="shared" si="17"/>
        <v>0.15601202568402492</v>
      </c>
      <c r="AA47" s="23">
        <f t="shared" si="17"/>
        <v>0.18954047420898906</v>
      </c>
      <c r="AB47" s="23">
        <f t="shared" si="17"/>
        <v>0.17979637859616346</v>
      </c>
      <c r="AC47" s="23">
        <f t="shared" si="17"/>
        <v>0.167608186123997</v>
      </c>
      <c r="AD47" s="23">
        <f t="shared" si="17"/>
        <v>0.16314856827776628</v>
      </c>
      <c r="AE47" s="6">
        <f t="shared" si="17"/>
        <v>0.17416161492221835</v>
      </c>
      <c r="AF47" s="23">
        <f t="shared" si="17"/>
        <v>0.15734661354581672</v>
      </c>
      <c r="AG47" s="23">
        <f t="shared" si="17"/>
        <v>0.13287914118199226</v>
      </c>
      <c r="AH47" s="23">
        <f t="shared" si="17"/>
        <v>0.13016679142297402</v>
      </c>
      <c r="AI47" s="23">
        <f t="shared" si="17"/>
        <v>0.12770021029406695</v>
      </c>
      <c r="AJ47" s="6">
        <f t="shared" si="17"/>
        <v>0.13644450526892021</v>
      </c>
      <c r="AK47" s="23">
        <f t="shared" si="17"/>
        <v>0.13137210574771394</v>
      </c>
      <c r="AL47" s="305">
        <f t="shared" si="17"/>
        <v>0.12664827728438663</v>
      </c>
      <c r="AM47" s="26"/>
      <c r="AN47" s="26"/>
      <c r="AO47" s="6"/>
      <c r="AP47" s="26"/>
      <c r="AQ47" s="26"/>
      <c r="AR47" s="26"/>
      <c r="AS47" s="26"/>
      <c r="AT47" s="6"/>
      <c r="AU47" s="13"/>
      <c r="AV47" s="13"/>
      <c r="AW47" s="13"/>
      <c r="AX47" s="25"/>
    </row>
    <row r="48" spans="1:50" s="16" customFormat="1" x14ac:dyDescent="0.3">
      <c r="A48" s="368" t="s">
        <v>41</v>
      </c>
      <c r="B48" s="33"/>
      <c r="C48" s="6">
        <f t="shared" ref="C48:AL48" si="18">C157/C$133</f>
        <v>0.14678914894350417</v>
      </c>
      <c r="D48" s="6">
        <f t="shared" si="18"/>
        <v>0.12528453181583032</v>
      </c>
      <c r="E48" s="6">
        <f t="shared" si="18"/>
        <v>0.13077288033604501</v>
      </c>
      <c r="F48" s="6">
        <f t="shared" si="18"/>
        <v>0.10234844718140412</v>
      </c>
      <c r="G48" s="23">
        <f t="shared" si="18"/>
        <v>0.16671882522869524</v>
      </c>
      <c r="H48" s="23">
        <f t="shared" si="18"/>
        <v>0.14076888599136175</v>
      </c>
      <c r="I48" s="23">
        <f t="shared" si="18"/>
        <v>0.14124554373624687</v>
      </c>
      <c r="J48" s="23">
        <f t="shared" si="18"/>
        <v>0.14788672101673311</v>
      </c>
      <c r="K48" s="6">
        <f t="shared" si="18"/>
        <v>0.14833417000481511</v>
      </c>
      <c r="L48" s="23">
        <f t="shared" si="18"/>
        <v>0.15725944930405447</v>
      </c>
      <c r="M48" s="23">
        <f t="shared" si="18"/>
        <v>0.14618324693891444</v>
      </c>
      <c r="N48" s="23">
        <f t="shared" si="18"/>
        <v>0.12531066706432051</v>
      </c>
      <c r="O48" s="23">
        <f t="shared" si="18"/>
        <v>0.11593299129793931</v>
      </c>
      <c r="P48" s="6">
        <f t="shared" si="18"/>
        <v>0.13390733076098513</v>
      </c>
      <c r="Q48" s="23">
        <f t="shared" si="18"/>
        <v>0.13195841145389467</v>
      </c>
      <c r="R48" s="23">
        <f t="shared" si="18"/>
        <v>0.12377718390663692</v>
      </c>
      <c r="S48" s="23">
        <f t="shared" si="18"/>
        <v>0.12836611680680604</v>
      </c>
      <c r="T48" s="23">
        <f t="shared" si="18"/>
        <v>0.1354018311291964</v>
      </c>
      <c r="U48" s="6">
        <f t="shared" si="18"/>
        <v>0.1299206855684201</v>
      </c>
      <c r="V48" s="23">
        <f t="shared" si="18"/>
        <v>0.13465271073624308</v>
      </c>
      <c r="W48" s="23">
        <f t="shared" si="18"/>
        <v>0.1224621859302331</v>
      </c>
      <c r="X48" s="23">
        <f t="shared" si="18"/>
        <v>0.12640325407763223</v>
      </c>
      <c r="Y48" s="23">
        <f t="shared" si="18"/>
        <v>0.13320792507984622</v>
      </c>
      <c r="Z48" s="6">
        <f t="shared" si="18"/>
        <v>0.12907085497575504</v>
      </c>
      <c r="AA48" s="23">
        <f t="shared" si="18"/>
        <v>0.15970760822895186</v>
      </c>
      <c r="AB48" s="23">
        <f t="shared" si="18"/>
        <v>0.15035713948726659</v>
      </c>
      <c r="AC48" s="23">
        <f t="shared" si="18"/>
        <v>0.1383745608088649</v>
      </c>
      <c r="AD48" s="23">
        <f t="shared" si="18"/>
        <v>0.13668601445401776</v>
      </c>
      <c r="AE48" s="6">
        <f t="shared" si="18"/>
        <v>0.14550876092293835</v>
      </c>
      <c r="AF48" s="23">
        <f t="shared" si="18"/>
        <v>0.1334860557768924</v>
      </c>
      <c r="AG48" s="23">
        <f t="shared" si="18"/>
        <v>0.11154651310055055</v>
      </c>
      <c r="AH48" s="23">
        <f t="shared" si="18"/>
        <v>0.10614194999480681</v>
      </c>
      <c r="AI48" s="23">
        <f t="shared" si="18"/>
        <v>0.10282690385079464</v>
      </c>
      <c r="AJ48" s="6">
        <f t="shared" si="18"/>
        <v>0.11289441126142717</v>
      </c>
      <c r="AK48" s="23">
        <f t="shared" si="18"/>
        <v>0.10671423937722997</v>
      </c>
      <c r="AL48" s="305">
        <f t="shared" si="18"/>
        <v>0.10029195292661862</v>
      </c>
      <c r="AM48" s="23"/>
      <c r="AN48" s="23"/>
      <c r="AO48" s="6"/>
      <c r="AP48" s="23"/>
      <c r="AQ48" s="23"/>
      <c r="AR48" s="23"/>
      <c r="AS48" s="23"/>
      <c r="AT48" s="6"/>
      <c r="AU48" s="6"/>
      <c r="AV48" s="6"/>
      <c r="AW48" s="6"/>
      <c r="AX48" s="25"/>
    </row>
    <row r="49" spans="1:50" s="16" customFormat="1" x14ac:dyDescent="0.3">
      <c r="A49" s="368" t="s">
        <v>38</v>
      </c>
      <c r="B49" s="33"/>
      <c r="C49" s="6">
        <f t="shared" ref="C49:AL49" si="19">C143/C$133</f>
        <v>0.36400847954224258</v>
      </c>
      <c r="D49" s="6">
        <f t="shared" si="19"/>
        <v>0.36733057423693743</v>
      </c>
      <c r="E49" s="6">
        <f t="shared" si="19"/>
        <v>0.35682793894719789</v>
      </c>
      <c r="F49" s="6">
        <f t="shared" si="19"/>
        <v>0.27744863707794942</v>
      </c>
      <c r="G49" s="23">
        <f t="shared" si="19"/>
        <v>0.45918391911410689</v>
      </c>
      <c r="H49" s="23">
        <f t="shared" si="19"/>
        <v>0.39594368837095589</v>
      </c>
      <c r="I49" s="23">
        <f t="shared" si="19"/>
        <v>0.42863732018795586</v>
      </c>
      <c r="J49" s="23">
        <f t="shared" si="19"/>
        <v>0.45430503895510899</v>
      </c>
      <c r="K49" s="6">
        <f t="shared" si="19"/>
        <v>0.43382782325400326</v>
      </c>
      <c r="L49" s="23">
        <f t="shared" si="19"/>
        <v>0.48824266176440884</v>
      </c>
      <c r="M49" s="23">
        <f t="shared" si="19"/>
        <v>0.48146815401223464</v>
      </c>
      <c r="N49" s="23">
        <f t="shared" si="19"/>
        <v>0.44918315273221326</v>
      </c>
      <c r="O49" s="23">
        <f t="shared" si="19"/>
        <v>0.40260494911987321</v>
      </c>
      <c r="P49" s="6">
        <f t="shared" si="19"/>
        <v>0.45050674109078204</v>
      </c>
      <c r="Q49" s="23">
        <f t="shared" si="19"/>
        <v>0.39623657746718932</v>
      </c>
      <c r="R49" s="23">
        <f t="shared" si="19"/>
        <v>0.38355358324956484</v>
      </c>
      <c r="S49" s="23">
        <f t="shared" si="19"/>
        <v>0.38430477835415489</v>
      </c>
      <c r="T49" s="23">
        <f t="shared" si="19"/>
        <v>0.37086017859161302</v>
      </c>
      <c r="U49" s="6">
        <f t="shared" si="19"/>
        <v>0.38316315677515422</v>
      </c>
      <c r="V49" s="23">
        <f t="shared" si="19"/>
        <v>0.36092678217570245</v>
      </c>
      <c r="W49" s="23">
        <f t="shared" si="19"/>
        <v>0.38325706118686598</v>
      </c>
      <c r="X49" s="23">
        <f t="shared" si="19"/>
        <v>0.37291212295560877</v>
      </c>
      <c r="Y49" s="23">
        <f t="shared" si="19"/>
        <v>0.38637922012306247</v>
      </c>
      <c r="Z49" s="6">
        <f t="shared" si="19"/>
        <v>0.37623411366557119</v>
      </c>
      <c r="AA49" s="23">
        <f t="shared" si="19"/>
        <v>0.46907252015626738</v>
      </c>
      <c r="AB49" s="23">
        <f t="shared" si="19"/>
        <v>0.43568186750455273</v>
      </c>
      <c r="AC49" s="23">
        <f t="shared" si="19"/>
        <v>0.40281968462421186</v>
      </c>
      <c r="AD49" s="23">
        <f t="shared" si="19"/>
        <v>0.39617225283166574</v>
      </c>
      <c r="AE49" s="6">
        <f t="shared" si="19"/>
        <v>0.42352235751418288</v>
      </c>
      <c r="AF49" s="23">
        <f t="shared" si="19"/>
        <v>0.34432669322709164</v>
      </c>
      <c r="AG49" s="23">
        <f t="shared" si="19"/>
        <v>0.32463439890934287</v>
      </c>
      <c r="AH49" s="23">
        <f t="shared" si="19"/>
        <v>0.33283072658312174</v>
      </c>
      <c r="AI49" s="23">
        <f t="shared" si="19"/>
        <v>0.32349432895507979</v>
      </c>
      <c r="AJ49" s="6">
        <f t="shared" si="19"/>
        <v>0.33097250682668</v>
      </c>
      <c r="AK49" s="23">
        <f t="shared" si="19"/>
        <v>0.30209654114941176</v>
      </c>
      <c r="AL49" s="305">
        <f t="shared" si="19"/>
        <v>0.32008159214240595</v>
      </c>
      <c r="AM49" s="26"/>
      <c r="AN49" s="26"/>
      <c r="AO49" s="6"/>
      <c r="AP49" s="26"/>
      <c r="AQ49" s="26"/>
      <c r="AR49" s="26"/>
      <c r="AS49" s="26"/>
      <c r="AT49" s="6"/>
      <c r="AU49" s="13"/>
      <c r="AV49" s="13"/>
      <c r="AW49" s="13"/>
      <c r="AX49" s="25"/>
    </row>
    <row r="50" spans="1:50" s="16" customFormat="1" x14ac:dyDescent="0.3">
      <c r="A50" s="368" t="s">
        <v>39</v>
      </c>
      <c r="B50" s="33"/>
      <c r="C50" s="6">
        <f t="shared" ref="C50:AL50" si="20">C147/C$133</f>
        <v>0.36400847954224258</v>
      </c>
      <c r="D50" s="6">
        <f t="shared" si="20"/>
        <v>0.31539705121572692</v>
      </c>
      <c r="E50" s="6">
        <f t="shared" si="20"/>
        <v>0.31090333306332474</v>
      </c>
      <c r="F50" s="6">
        <f t="shared" si="20"/>
        <v>0.23879840015654985</v>
      </c>
      <c r="G50" s="23">
        <f t="shared" si="20"/>
        <v>0.38927539720751086</v>
      </c>
      <c r="H50" s="23">
        <f t="shared" si="20"/>
        <v>0.3285388313910847</v>
      </c>
      <c r="I50" s="23">
        <f t="shared" si="20"/>
        <v>0.35757732998933384</v>
      </c>
      <c r="J50" s="23">
        <f t="shared" si="20"/>
        <v>0.38586010407054738</v>
      </c>
      <c r="K50" s="6">
        <f t="shared" si="20"/>
        <v>0.36463594545584943</v>
      </c>
      <c r="L50" s="23">
        <f t="shared" si="20"/>
        <v>0.41479970101614111</v>
      </c>
      <c r="M50" s="23">
        <f t="shared" si="20"/>
        <v>0.41062797234081871</v>
      </c>
      <c r="N50" s="23">
        <f t="shared" si="20"/>
        <v>0.38152400835073069</v>
      </c>
      <c r="O50" s="23">
        <f t="shared" si="20"/>
        <v>0.3478202329998018</v>
      </c>
      <c r="P50" s="6">
        <f t="shared" si="20"/>
        <v>0.38482559004764383</v>
      </c>
      <c r="Q50" s="23">
        <f t="shared" si="20"/>
        <v>0.34356229759672746</v>
      </c>
      <c r="R50" s="23">
        <f t="shared" si="20"/>
        <v>0.3309142618971731</v>
      </c>
      <c r="S50" s="23">
        <f t="shared" si="20"/>
        <v>0.33956715311856317</v>
      </c>
      <c r="T50" s="23">
        <f t="shared" si="20"/>
        <v>0.32713349157906635</v>
      </c>
      <c r="U50" s="6">
        <f t="shared" si="20"/>
        <v>0.33496976327225214</v>
      </c>
      <c r="V50" s="23">
        <f t="shared" si="20"/>
        <v>0.31101570042172655</v>
      </c>
      <c r="W50" s="23">
        <f t="shared" si="20"/>
        <v>0.33144165995502817</v>
      </c>
      <c r="X50" s="23">
        <f t="shared" si="20"/>
        <v>0.32386011391055747</v>
      </c>
      <c r="Y50" s="23">
        <f t="shared" si="20"/>
        <v>0.33612569696313538</v>
      </c>
      <c r="Z50" s="6">
        <f t="shared" si="20"/>
        <v>0.32598326759945789</v>
      </c>
      <c r="AA50" s="23">
        <f t="shared" si="20"/>
        <v>0.42049074746489545</v>
      </c>
      <c r="AB50" s="23">
        <f t="shared" si="20"/>
        <v>0.38546531925533822</v>
      </c>
      <c r="AC50" s="23">
        <f t="shared" si="20"/>
        <v>0.35358597069548381</v>
      </c>
      <c r="AD50" s="23">
        <f t="shared" si="20"/>
        <v>0.35042785407924032</v>
      </c>
      <c r="AE50" s="6">
        <f t="shared" si="20"/>
        <v>0.37514715364055501</v>
      </c>
      <c r="AF50" s="23">
        <f t="shared" si="20"/>
        <v>0.30985258964143425</v>
      </c>
      <c r="AG50" s="23">
        <f t="shared" si="20"/>
        <v>0.29251812174534947</v>
      </c>
      <c r="AH50" s="23">
        <f t="shared" si="20"/>
        <v>0.29456934003316493</v>
      </c>
      <c r="AI50" s="23">
        <f t="shared" si="20"/>
        <v>0.28108732374943979</v>
      </c>
      <c r="AJ50" s="6">
        <f t="shared" si="20"/>
        <v>0.29399592006561703</v>
      </c>
      <c r="AK50" s="23">
        <f t="shared" si="20"/>
        <v>0.25779035899048874</v>
      </c>
      <c r="AL50" s="305">
        <f t="shared" si="20"/>
        <v>0.27203181191271053</v>
      </c>
      <c r="AM50" s="23"/>
      <c r="AN50" s="23"/>
      <c r="AO50" s="6"/>
      <c r="AP50" s="23"/>
      <c r="AQ50" s="23"/>
      <c r="AR50" s="23"/>
      <c r="AS50" s="23"/>
      <c r="AT50" s="6"/>
      <c r="AU50" s="6"/>
      <c r="AV50" s="6"/>
      <c r="AW50" s="6"/>
      <c r="AX50" s="25"/>
    </row>
    <row r="51" spans="1:50" s="16" customFormat="1" x14ac:dyDescent="0.3">
      <c r="A51" s="212" t="s">
        <v>42</v>
      </c>
      <c r="B51" s="83"/>
      <c r="C51" s="20">
        <f t="shared" ref="C51:AL51" si="21">C158/C$133</f>
        <v>0.1615507910792458</v>
      </c>
      <c r="D51" s="20">
        <f t="shared" si="21"/>
        <v>0.24275090532850493</v>
      </c>
      <c r="E51" s="20">
        <f t="shared" si="21"/>
        <v>0.16902538466582581</v>
      </c>
      <c r="F51" s="20">
        <f t="shared" si="21"/>
        <v>0.32468914674350391</v>
      </c>
      <c r="G51" s="21">
        <f t="shared" si="21"/>
        <v>5.8437650457390411E-2</v>
      </c>
      <c r="H51" s="21">
        <f t="shared" si="21"/>
        <v>0.16088745823486267</v>
      </c>
      <c r="I51" s="21">
        <f t="shared" si="21"/>
        <v>0.12665878712752357</v>
      </c>
      <c r="J51" s="21">
        <f t="shared" si="21"/>
        <v>8.6956935341178043E-2</v>
      </c>
      <c r="K51" s="20">
        <f t="shared" si="21"/>
        <v>0.11023317521949806</v>
      </c>
      <c r="L51" s="21">
        <f t="shared" si="21"/>
        <v>5.3564574453041275E-2</v>
      </c>
      <c r="M51" s="21">
        <f t="shared" si="21"/>
        <v>6.5189694912616794E-2</v>
      </c>
      <c r="N51" s="21">
        <f t="shared" si="21"/>
        <v>0.13849951950160722</v>
      </c>
      <c r="O51" s="21">
        <f t="shared" si="21"/>
        <v>0.20610703251225918</v>
      </c>
      <c r="P51" s="20">
        <f t="shared" si="21"/>
        <v>0.12468268021714701</v>
      </c>
      <c r="Q51" s="21">
        <f t="shared" si="21"/>
        <v>0.20569285836032045</v>
      </c>
      <c r="R51" s="21">
        <f t="shared" si="21"/>
        <v>0.22172505945521853</v>
      </c>
      <c r="S51" s="21">
        <f t="shared" si="21"/>
        <v>0.21562403356343043</v>
      </c>
      <c r="T51" s="21">
        <f t="shared" si="21"/>
        <v>0.20688934101955456</v>
      </c>
      <c r="U51" s="20">
        <f t="shared" si="21"/>
        <v>0.21257483210259215</v>
      </c>
      <c r="V51" s="21">
        <f t="shared" si="21"/>
        <v>0.20998932981047713</v>
      </c>
      <c r="W51" s="21">
        <f t="shared" si="21"/>
        <v>0.21189379937709779</v>
      </c>
      <c r="X51" s="21">
        <f t="shared" si="21"/>
        <v>0.21961901958423094</v>
      </c>
      <c r="Y51" s="21">
        <f t="shared" si="21"/>
        <v>0.20014796369476193</v>
      </c>
      <c r="Z51" s="20">
        <f t="shared" si="21"/>
        <v>0.21043431005086899</v>
      </c>
      <c r="AA51" s="21">
        <f t="shared" si="21"/>
        <v>8.3164149673206192E-2</v>
      </c>
      <c r="AB51" s="21">
        <f t="shared" si="21"/>
        <v>0.1248195431256546</v>
      </c>
      <c r="AC51" s="21">
        <f t="shared" si="21"/>
        <v>0.17056788022986369</v>
      </c>
      <c r="AD51" s="21">
        <f t="shared" si="21"/>
        <v>0.15998333200045461</v>
      </c>
      <c r="AE51" s="20">
        <f t="shared" si="21"/>
        <v>0.13734455540211585</v>
      </c>
      <c r="AF51" s="21">
        <f t="shared" si="21"/>
        <v>0.20766135458167331</v>
      </c>
      <c r="AG51" s="21">
        <f t="shared" si="21"/>
        <v>0.2467611803532716</v>
      </c>
      <c r="AH51" s="21">
        <f t="shared" si="21"/>
        <v>0.26222462582061595</v>
      </c>
      <c r="AI51" s="21">
        <f t="shared" si="21"/>
        <v>0.27116558072189467</v>
      </c>
      <c r="AJ51" s="20">
        <f t="shared" si="21"/>
        <v>0.24821376578310947</v>
      </c>
      <c r="AK51" s="21">
        <f t="shared" si="21"/>
        <v>0.28280862468342183</v>
      </c>
      <c r="AL51" s="304">
        <f t="shared" si="21"/>
        <v>0.27286964591845941</v>
      </c>
      <c r="AM51" s="21"/>
      <c r="AN51" s="21"/>
      <c r="AO51" s="20"/>
      <c r="AP51" s="21"/>
      <c r="AQ51" s="21"/>
      <c r="AR51" s="21"/>
      <c r="AS51" s="21"/>
      <c r="AT51" s="20"/>
      <c r="AU51" s="20"/>
      <c r="AV51" s="20"/>
      <c r="AW51" s="20"/>
      <c r="AX51" s="25"/>
    </row>
    <row r="52" spans="1:50" s="16" customFormat="1" x14ac:dyDescent="0.3">
      <c r="A52" s="206" t="s">
        <v>43</v>
      </c>
      <c r="B52" s="33"/>
      <c r="C52" s="6">
        <f t="shared" ref="C52:AL52" si="22">C160/C$133</f>
        <v>0.1615507910792458</v>
      </c>
      <c r="D52" s="6">
        <f t="shared" si="22"/>
        <v>0.24831867563372986</v>
      </c>
      <c r="E52" s="6">
        <f t="shared" si="22"/>
        <v>0.18597421032127162</v>
      </c>
      <c r="F52" s="6">
        <f t="shared" si="22"/>
        <v>0.32468914674350374</v>
      </c>
      <c r="G52" s="23">
        <f t="shared" si="22"/>
        <v>5.8437650457390418E-2</v>
      </c>
      <c r="H52" s="23">
        <f t="shared" si="22"/>
        <v>0.16088745823486272</v>
      </c>
      <c r="I52" s="23">
        <f t="shared" si="22"/>
        <v>0.12665878712752357</v>
      </c>
      <c r="J52" s="23">
        <f t="shared" si="22"/>
        <v>8.6956935341178002E-2</v>
      </c>
      <c r="K52" s="6">
        <f t="shared" si="22"/>
        <v>0.11023317521949824</v>
      </c>
      <c r="L52" s="23">
        <f t="shared" si="22"/>
        <v>5.3564574453041185E-2</v>
      </c>
      <c r="M52" s="23">
        <f t="shared" si="22"/>
        <v>6.5189694912616725E-2</v>
      </c>
      <c r="N52" s="23">
        <f t="shared" si="22"/>
        <v>0.1384995195016071</v>
      </c>
      <c r="O52" s="23">
        <f t="shared" si="22"/>
        <v>0.2061070325122592</v>
      </c>
      <c r="P52" s="6">
        <f t="shared" si="22"/>
        <v>0.12468268021714696</v>
      </c>
      <c r="Q52" s="23">
        <f t="shared" si="22"/>
        <v>0.20569285836032042</v>
      </c>
      <c r="R52" s="23">
        <f t="shared" si="22"/>
        <v>0.22172505945521853</v>
      </c>
      <c r="S52" s="23">
        <f t="shared" si="22"/>
        <v>0.21562403356343035</v>
      </c>
      <c r="T52" s="23">
        <f t="shared" si="22"/>
        <v>0.20688934101955461</v>
      </c>
      <c r="U52" s="6">
        <f t="shared" si="22"/>
        <v>0.2125748321025922</v>
      </c>
      <c r="V52" s="23">
        <f t="shared" si="22"/>
        <v>0.20998932981047719</v>
      </c>
      <c r="W52" s="23">
        <f t="shared" si="22"/>
        <v>0.21189379937709771</v>
      </c>
      <c r="X52" s="23">
        <f t="shared" si="22"/>
        <v>0.21961901958423091</v>
      </c>
      <c r="Y52" s="23">
        <f t="shared" si="22"/>
        <v>0.2001479636947619</v>
      </c>
      <c r="Z52" s="6">
        <f t="shared" si="22"/>
        <v>0.21043431005086896</v>
      </c>
      <c r="AA52" s="23">
        <f t="shared" si="22"/>
        <v>8.3164149673206136E-2</v>
      </c>
      <c r="AB52" s="23">
        <f t="shared" si="22"/>
        <v>0.12481954312565446</v>
      </c>
      <c r="AC52" s="23">
        <f t="shared" si="22"/>
        <v>0.17056788022986383</v>
      </c>
      <c r="AD52" s="23">
        <f t="shared" si="22"/>
        <v>0.1599833320004547</v>
      </c>
      <c r="AE52" s="6">
        <f t="shared" si="22"/>
        <v>0.13734455540211576</v>
      </c>
      <c r="AF52" s="23">
        <f t="shared" si="22"/>
        <v>0.20766135458167334</v>
      </c>
      <c r="AG52" s="23">
        <f t="shared" si="22"/>
        <v>0.24676118035327149</v>
      </c>
      <c r="AH52" s="23">
        <f t="shared" si="22"/>
        <v>0.2622246258206159</v>
      </c>
      <c r="AI52" s="23">
        <f t="shared" si="22"/>
        <v>0.27116558072189473</v>
      </c>
      <c r="AJ52" s="6">
        <f t="shared" si="22"/>
        <v>0.24821376578310952</v>
      </c>
      <c r="AK52" s="23">
        <f t="shared" si="22"/>
        <v>0.28280862468342199</v>
      </c>
      <c r="AL52" s="305">
        <f t="shared" si="22"/>
        <v>0.27286964591845941</v>
      </c>
      <c r="AM52" s="23"/>
      <c r="AN52" s="23"/>
      <c r="AO52" s="6"/>
      <c r="AP52" s="23"/>
      <c r="AQ52" s="23"/>
      <c r="AR52" s="23"/>
      <c r="AS52" s="23"/>
      <c r="AT52" s="6"/>
      <c r="AU52" s="6"/>
      <c r="AV52" s="6"/>
      <c r="AW52" s="6"/>
      <c r="AX52" s="25"/>
    </row>
    <row r="53" spans="1:50" s="82" customFormat="1" x14ac:dyDescent="0.3">
      <c r="A53" s="369" t="str">
        <f>CONCATENATE("Consensus Estimates - ",IFERROR(LEFT(A52,FIND("(",A52)-1),A52))</f>
        <v>Consensus Estimates - Company Reported Non-GAAP Operating Income Margin, %</v>
      </c>
      <c r="B53" s="84"/>
      <c r="C53" s="370"/>
      <c r="D53" s="370"/>
      <c r="E53" s="370"/>
      <c r="F53" s="370"/>
      <c r="G53" s="81"/>
      <c r="H53" s="81"/>
      <c r="I53" s="81"/>
      <c r="J53" s="81"/>
      <c r="K53" s="370"/>
      <c r="L53" s="81"/>
      <c r="M53" s="81"/>
      <c r="N53" s="81"/>
      <c r="O53" s="81"/>
      <c r="P53" s="370"/>
      <c r="Q53" s="81"/>
      <c r="R53" s="81"/>
      <c r="S53" s="81"/>
      <c r="T53" s="81"/>
      <c r="U53" s="370"/>
      <c r="V53" s="81"/>
      <c r="W53" s="81"/>
      <c r="X53" s="81"/>
      <c r="Y53" s="81"/>
      <c r="Z53" s="370"/>
      <c r="AA53" s="81"/>
      <c r="AB53" s="81"/>
      <c r="AC53" s="81"/>
      <c r="AD53" s="81"/>
      <c r="AE53" s="370"/>
      <c r="AF53" s="81"/>
      <c r="AG53" s="81"/>
      <c r="AH53" s="81"/>
      <c r="AI53" s="81"/>
      <c r="AJ53" s="370"/>
      <c r="AK53" s="81"/>
      <c r="AL53" s="320"/>
      <c r="AM53" s="371"/>
      <c r="AN53" s="371"/>
      <c r="AO53" s="372"/>
      <c r="AP53" s="371"/>
      <c r="AQ53" s="371"/>
      <c r="AR53" s="371"/>
      <c r="AS53" s="371"/>
      <c r="AT53" s="372"/>
      <c r="AU53" s="372"/>
      <c r="AV53" s="372"/>
      <c r="AW53" s="372"/>
      <c r="AX53" s="81"/>
    </row>
    <row r="54" spans="1:50" s="333" customFormat="1" x14ac:dyDescent="0.3">
      <c r="A54" s="332"/>
      <c r="B54" s="34"/>
      <c r="C54" s="373"/>
      <c r="D54" s="373"/>
      <c r="E54" s="373"/>
      <c r="F54" s="373"/>
      <c r="G54" s="374"/>
      <c r="H54" s="374"/>
      <c r="I54" s="374"/>
      <c r="J54" s="374"/>
      <c r="K54" s="373"/>
      <c r="L54" s="374"/>
      <c r="M54" s="374"/>
      <c r="N54" s="374"/>
      <c r="O54" s="374"/>
      <c r="P54" s="373"/>
      <c r="Q54" s="374"/>
      <c r="R54" s="374"/>
      <c r="S54" s="374"/>
      <c r="T54" s="374"/>
      <c r="U54" s="373"/>
      <c r="V54" s="374"/>
      <c r="W54" s="374"/>
      <c r="X54" s="374"/>
      <c r="Y54" s="374"/>
      <c r="Z54" s="357"/>
      <c r="AA54" s="374"/>
      <c r="AB54" s="374"/>
      <c r="AC54" s="374"/>
      <c r="AD54" s="374"/>
      <c r="AE54" s="357"/>
      <c r="AF54" s="374"/>
      <c r="AG54" s="374"/>
      <c r="AH54" s="374"/>
      <c r="AI54" s="374"/>
      <c r="AJ54" s="357"/>
      <c r="AK54" s="374"/>
      <c r="AL54" s="375"/>
      <c r="AM54" s="374"/>
      <c r="AN54" s="374"/>
      <c r="AO54" s="357"/>
      <c r="AP54" s="374"/>
      <c r="AQ54" s="374"/>
      <c r="AR54" s="374"/>
      <c r="AS54" s="374"/>
      <c r="AT54" s="357"/>
      <c r="AU54" s="357"/>
      <c r="AV54" s="357"/>
      <c r="AW54" s="357"/>
      <c r="AX54" s="332"/>
    </row>
    <row r="55" spans="1:50" s="9" customFormat="1" x14ac:dyDescent="0.3">
      <c r="A55" s="45" t="s">
        <v>44</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306"/>
      <c r="AM55" s="45"/>
      <c r="AN55" s="45"/>
      <c r="AO55" s="45"/>
      <c r="AP55" s="45"/>
      <c r="AQ55" s="45"/>
      <c r="AR55" s="45"/>
      <c r="AS55" s="45"/>
      <c r="AT55" s="45"/>
      <c r="AU55" s="45"/>
      <c r="AV55" s="45"/>
      <c r="AW55" s="45"/>
      <c r="AX55" s="22"/>
    </row>
    <row r="56" spans="1:50" s="9" customFormat="1" hidden="1" outlineLevel="1" x14ac:dyDescent="0.3">
      <c r="A56" s="35" t="s">
        <v>443</v>
      </c>
      <c r="B56" s="103"/>
      <c r="C56" s="4">
        <v>116.044</v>
      </c>
      <c r="D56" s="4">
        <v>154.63999999999999</v>
      </c>
      <c r="E56" s="4">
        <v>259.25099999999998</v>
      </c>
      <c r="F56" s="4">
        <v>500.79899999999998</v>
      </c>
      <c r="G56" s="22">
        <v>83.08</v>
      </c>
      <c r="H56" s="22">
        <v>98.168000000000006</v>
      </c>
      <c r="I56" s="22">
        <v>104.06699999999999</v>
      </c>
      <c r="J56" s="22">
        <f>K56-SUM(G56:I56)</f>
        <v>105.12099999999998</v>
      </c>
      <c r="K56" s="4">
        <v>390.43599999999998</v>
      </c>
      <c r="L56" s="22">
        <v>99.001999999999995</v>
      </c>
      <c r="M56" s="22">
        <v>102.82299999999999</v>
      </c>
      <c r="N56" s="22">
        <v>120.708</v>
      </c>
      <c r="O56" s="22">
        <f>P56-SUM(L56:N56)</f>
        <v>141.11599999999999</v>
      </c>
      <c r="P56" s="4">
        <v>463.649</v>
      </c>
      <c r="Q56" s="22">
        <v>146.67500000000001</v>
      </c>
      <c r="R56" s="22">
        <v>163.148</v>
      </c>
      <c r="S56" s="22">
        <v>171.37700000000001</v>
      </c>
      <c r="T56" s="22">
        <f>U56-SUM(Q56:S56)</f>
        <v>176.94</v>
      </c>
      <c r="U56" s="4">
        <v>658.14</v>
      </c>
      <c r="V56" s="22">
        <v>196.81</v>
      </c>
      <c r="W56" s="22">
        <v>214.80099999999999</v>
      </c>
      <c r="X56" s="22">
        <v>224.21100000000001</v>
      </c>
      <c r="Y56" s="22">
        <f>Z56-SUM(V56:X56)</f>
        <v>221.67600000000004</v>
      </c>
      <c r="Z56" s="4">
        <v>857.49800000000005</v>
      </c>
      <c r="AA56" s="22">
        <v>188.65100000000001</v>
      </c>
      <c r="AB56" s="22">
        <v>211.96199999999999</v>
      </c>
      <c r="AC56" s="22">
        <v>225.69900000000001</v>
      </c>
      <c r="AD56" s="22">
        <f>AE56-SUM(AA56:AC56)</f>
        <v>237.58100000000002</v>
      </c>
      <c r="AE56" s="4">
        <v>863.89300000000003</v>
      </c>
      <c r="AF56" s="22">
        <v>251</v>
      </c>
      <c r="AG56" s="22">
        <v>268.46199999999999</v>
      </c>
      <c r="AH56" s="22">
        <v>279.21100000000001</v>
      </c>
      <c r="AI56" s="22">
        <v>290.07</v>
      </c>
      <c r="AJ56" s="4">
        <v>1088.7429999999999</v>
      </c>
      <c r="AK56" s="22">
        <v>305.21699999999998</v>
      </c>
      <c r="AL56" s="308">
        <v>310.32400000000001</v>
      </c>
      <c r="AM56" s="22"/>
      <c r="AN56" s="22"/>
      <c r="AO56" s="4"/>
      <c r="AP56" s="22"/>
      <c r="AQ56" s="22"/>
      <c r="AR56" s="22"/>
      <c r="AS56" s="22"/>
      <c r="AT56" s="4"/>
      <c r="AU56" s="4"/>
      <c r="AV56" s="4"/>
      <c r="AW56" s="4"/>
      <c r="AX56" s="22"/>
    </row>
    <row r="57" spans="1:50" s="5" customFormat="1" hidden="1" outlineLevel="1" x14ac:dyDescent="0.3">
      <c r="A57" s="36" t="s">
        <v>444</v>
      </c>
      <c r="B57" s="376"/>
      <c r="C57" s="343">
        <v>28.669</v>
      </c>
      <c r="D57" s="343">
        <v>40.549999999999997</v>
      </c>
      <c r="E57" s="343">
        <v>92.015000000000001</v>
      </c>
      <c r="F57" s="343">
        <v>157.93600000000001</v>
      </c>
      <c r="G57" s="228">
        <v>28.948</v>
      </c>
      <c r="H57" s="228">
        <v>32.167999999999999</v>
      </c>
      <c r="I57" s="228">
        <v>36.869</v>
      </c>
      <c r="J57" s="228">
        <f>K57-SUM(G57:I57)</f>
        <v>36.297000000000011</v>
      </c>
      <c r="K57" s="343">
        <v>134.28200000000001</v>
      </c>
      <c r="L57" s="228">
        <v>33.731000000000002</v>
      </c>
      <c r="M57" s="228">
        <v>34.433</v>
      </c>
      <c r="N57" s="228">
        <v>39.377000000000002</v>
      </c>
      <c r="O57" s="228">
        <f>P57-SUM(L57:N57)</f>
        <v>41.131</v>
      </c>
      <c r="P57" s="343">
        <v>148.672</v>
      </c>
      <c r="Q57" s="228">
        <v>41.087000000000003</v>
      </c>
      <c r="R57" s="228">
        <v>47.177999999999997</v>
      </c>
      <c r="S57" s="228">
        <v>49.128999999999998</v>
      </c>
      <c r="T57" s="228">
        <f>U57-SUM(Q57:S57)</f>
        <v>51.814999999999998</v>
      </c>
      <c r="U57" s="343">
        <v>189.209</v>
      </c>
      <c r="V57" s="228">
        <v>70.480999999999995</v>
      </c>
      <c r="W57" s="228">
        <v>79.807000000000002</v>
      </c>
      <c r="X57" s="228">
        <v>78.191000000000003</v>
      </c>
      <c r="Y57" s="228">
        <f>Z57-SUM(V57:X57)</f>
        <v>73.506999999999977</v>
      </c>
      <c r="Z57" s="343">
        <v>301.98599999999999</v>
      </c>
      <c r="AA57" s="228">
        <v>64.45</v>
      </c>
      <c r="AB57" s="228">
        <v>73.427000000000007</v>
      </c>
      <c r="AC57" s="228">
        <v>77.334999999999994</v>
      </c>
      <c r="AD57" s="228">
        <f>AE57-SUM(AA57:AC57)</f>
        <v>85.238</v>
      </c>
      <c r="AE57" s="343">
        <v>300.45</v>
      </c>
      <c r="AF57" s="228">
        <v>88.998000000000005</v>
      </c>
      <c r="AG57" s="228">
        <v>103.66800000000001</v>
      </c>
      <c r="AH57" s="228">
        <v>95.561999999999998</v>
      </c>
      <c r="AI57" s="228">
        <v>100.345</v>
      </c>
      <c r="AJ57" s="343">
        <v>388.57299999999998</v>
      </c>
      <c r="AK57" s="345">
        <v>108.086</v>
      </c>
      <c r="AL57" s="322">
        <v>110.03400000000001</v>
      </c>
      <c r="AM57" s="228"/>
      <c r="AN57" s="228"/>
      <c r="AO57" s="343"/>
      <c r="AP57" s="228"/>
      <c r="AQ57" s="228"/>
      <c r="AR57" s="228"/>
      <c r="AS57" s="228"/>
      <c r="AT57" s="343"/>
      <c r="AU57" s="343"/>
      <c r="AV57" s="343"/>
      <c r="AW57" s="343"/>
      <c r="AX57" s="228"/>
    </row>
    <row r="58" spans="1:50" s="9" customFormat="1" hidden="1" outlineLevel="1" x14ac:dyDescent="0.3">
      <c r="A58" s="347" t="s">
        <v>47</v>
      </c>
      <c r="B58" s="377"/>
      <c r="C58" s="349">
        <f t="shared" ref="C58:AL58" si="23">C56-C57</f>
        <v>87.375</v>
      </c>
      <c r="D58" s="349">
        <f t="shared" si="23"/>
        <v>114.08999999999999</v>
      </c>
      <c r="E58" s="349">
        <f t="shared" si="23"/>
        <v>167.23599999999999</v>
      </c>
      <c r="F58" s="349">
        <f t="shared" si="23"/>
        <v>342.86299999999994</v>
      </c>
      <c r="G58" s="350">
        <f t="shared" si="23"/>
        <v>54.131999999999998</v>
      </c>
      <c r="H58" s="350">
        <f t="shared" si="23"/>
        <v>66</v>
      </c>
      <c r="I58" s="350">
        <f t="shared" si="23"/>
        <v>67.197999999999993</v>
      </c>
      <c r="J58" s="350">
        <f t="shared" si="23"/>
        <v>68.82399999999997</v>
      </c>
      <c r="K58" s="349">
        <f t="shared" si="23"/>
        <v>256.154</v>
      </c>
      <c r="L58" s="350">
        <f t="shared" si="23"/>
        <v>65.270999999999987</v>
      </c>
      <c r="M58" s="350">
        <f t="shared" si="23"/>
        <v>68.389999999999986</v>
      </c>
      <c r="N58" s="350">
        <f t="shared" si="23"/>
        <v>81.330999999999989</v>
      </c>
      <c r="O58" s="350">
        <f t="shared" si="23"/>
        <v>99.984999999999985</v>
      </c>
      <c r="P58" s="349">
        <f t="shared" si="23"/>
        <v>314.97699999999998</v>
      </c>
      <c r="Q58" s="350">
        <f t="shared" si="23"/>
        <v>105.58800000000001</v>
      </c>
      <c r="R58" s="350">
        <f t="shared" si="23"/>
        <v>115.97</v>
      </c>
      <c r="S58" s="350">
        <f t="shared" si="23"/>
        <v>122.24800000000002</v>
      </c>
      <c r="T58" s="350">
        <f t="shared" si="23"/>
        <v>125.125</v>
      </c>
      <c r="U58" s="349">
        <f t="shared" si="23"/>
        <v>468.93099999999998</v>
      </c>
      <c r="V58" s="350">
        <f t="shared" si="23"/>
        <v>126.32900000000001</v>
      </c>
      <c r="W58" s="350">
        <f t="shared" si="23"/>
        <v>134.99399999999997</v>
      </c>
      <c r="X58" s="350">
        <f t="shared" si="23"/>
        <v>146.02000000000001</v>
      </c>
      <c r="Y58" s="351">
        <f t="shared" si="23"/>
        <v>148.16900000000007</v>
      </c>
      <c r="Z58" s="352">
        <f t="shared" si="23"/>
        <v>555.51200000000006</v>
      </c>
      <c r="AA58" s="350">
        <f t="shared" si="23"/>
        <v>124.20100000000001</v>
      </c>
      <c r="AB58" s="350">
        <f t="shared" si="23"/>
        <v>138.53499999999997</v>
      </c>
      <c r="AC58" s="350">
        <f t="shared" si="23"/>
        <v>148.36400000000003</v>
      </c>
      <c r="AD58" s="351">
        <f t="shared" si="23"/>
        <v>152.34300000000002</v>
      </c>
      <c r="AE58" s="352">
        <f t="shared" si="23"/>
        <v>563.44299999999998</v>
      </c>
      <c r="AF58" s="350">
        <f t="shared" si="23"/>
        <v>162.00200000000001</v>
      </c>
      <c r="AG58" s="350">
        <f t="shared" si="23"/>
        <v>164.79399999999998</v>
      </c>
      <c r="AH58" s="350">
        <f t="shared" si="23"/>
        <v>183.649</v>
      </c>
      <c r="AI58" s="351">
        <f t="shared" si="23"/>
        <v>189.72499999999999</v>
      </c>
      <c r="AJ58" s="352">
        <f t="shared" si="23"/>
        <v>700.17</v>
      </c>
      <c r="AK58" s="350">
        <f t="shared" si="23"/>
        <v>197.13099999999997</v>
      </c>
      <c r="AL58" s="353">
        <f t="shared" si="23"/>
        <v>200.29000000000002</v>
      </c>
      <c r="AM58" s="351"/>
      <c r="AN58" s="351"/>
      <c r="AO58" s="352"/>
      <c r="AP58" s="351"/>
      <c r="AQ58" s="351"/>
      <c r="AR58" s="351"/>
      <c r="AS58" s="351"/>
      <c r="AT58" s="352"/>
      <c r="AU58" s="352"/>
      <c r="AV58" s="352"/>
      <c r="AW58" s="352"/>
      <c r="AX58" s="22"/>
    </row>
    <row r="59" spans="1:50" s="5" customFormat="1" hidden="1" outlineLevel="1" x14ac:dyDescent="0.3">
      <c r="A59" s="36" t="s">
        <v>48</v>
      </c>
      <c r="B59" s="376"/>
      <c r="C59" s="343">
        <v>42.241</v>
      </c>
      <c r="D59" s="343">
        <v>56.804000000000002</v>
      </c>
      <c r="E59" s="343">
        <v>92.507999999999996</v>
      </c>
      <c r="F59" s="343">
        <v>138.946</v>
      </c>
      <c r="G59" s="228">
        <v>38.149000000000001</v>
      </c>
      <c r="H59" s="228">
        <v>38.869</v>
      </c>
      <c r="I59" s="228">
        <v>44.606999999999999</v>
      </c>
      <c r="J59" s="228">
        <f>K59-SUM(G59:I59)</f>
        <v>47.757000000000005</v>
      </c>
      <c r="K59" s="343">
        <v>169.38200000000001</v>
      </c>
      <c r="L59" s="228">
        <v>48.337000000000003</v>
      </c>
      <c r="M59" s="228">
        <v>49.506</v>
      </c>
      <c r="N59" s="228">
        <v>54.22</v>
      </c>
      <c r="O59" s="228">
        <f>P59-SUM(L59:N59)</f>
        <v>56.814000000000021</v>
      </c>
      <c r="P59" s="343">
        <v>208.87700000000001</v>
      </c>
      <c r="Q59" s="228">
        <v>58.118000000000002</v>
      </c>
      <c r="R59" s="228">
        <v>62.576000000000001</v>
      </c>
      <c r="S59" s="228">
        <v>65.861000000000004</v>
      </c>
      <c r="T59" s="228">
        <f>U59-SUM(Q59:S59)</f>
        <v>65.62</v>
      </c>
      <c r="U59" s="343">
        <v>252.17500000000001</v>
      </c>
      <c r="V59" s="228">
        <v>71.034000000000006</v>
      </c>
      <c r="W59" s="228">
        <v>82.323999999999998</v>
      </c>
      <c r="X59" s="228">
        <v>83.611000000000004</v>
      </c>
      <c r="Y59" s="228">
        <f>Z59-SUM(V59:X59)</f>
        <v>85.65100000000001</v>
      </c>
      <c r="Z59" s="343">
        <v>322.62</v>
      </c>
      <c r="AA59" s="228">
        <v>88.491</v>
      </c>
      <c r="AB59" s="228">
        <v>92.347999999999999</v>
      </c>
      <c r="AC59" s="228">
        <v>90.915999999999997</v>
      </c>
      <c r="AD59" s="228">
        <f>AE59-SUM(AA59:AC59)</f>
        <v>94.12299999999999</v>
      </c>
      <c r="AE59" s="343">
        <v>365.87799999999999</v>
      </c>
      <c r="AF59" s="228">
        <v>86.426000000000002</v>
      </c>
      <c r="AG59" s="228">
        <v>87.152000000000001</v>
      </c>
      <c r="AH59" s="228">
        <v>92.93</v>
      </c>
      <c r="AI59" s="228">
        <v>93.835999999999999</v>
      </c>
      <c r="AJ59" s="343">
        <v>360.34400000000005</v>
      </c>
      <c r="AK59" s="228">
        <v>92.204999999999998</v>
      </c>
      <c r="AL59" s="322">
        <v>99.328999999999994</v>
      </c>
      <c r="AM59" s="228"/>
      <c r="AN59" s="228"/>
      <c r="AO59" s="343"/>
      <c r="AP59" s="228"/>
      <c r="AQ59" s="228"/>
      <c r="AR59" s="228"/>
      <c r="AS59" s="228"/>
      <c r="AT59" s="343"/>
      <c r="AU59" s="343"/>
      <c r="AV59" s="343"/>
      <c r="AW59" s="343"/>
      <c r="AX59" s="228"/>
    </row>
    <row r="60" spans="1:50" s="5" customFormat="1" hidden="1" outlineLevel="1" x14ac:dyDescent="0.3">
      <c r="A60" s="36" t="s">
        <v>445</v>
      </c>
      <c r="B60" s="376"/>
      <c r="C60" s="343">
        <v>17.033999999999999</v>
      </c>
      <c r="D60" s="343">
        <v>22.103999999999999</v>
      </c>
      <c r="E60" s="343">
        <v>40.366</v>
      </c>
      <c r="F60" s="343">
        <v>61.067999999999998</v>
      </c>
      <c r="G60" s="228">
        <v>16.414000000000001</v>
      </c>
      <c r="H60" s="228">
        <v>16.797000000000001</v>
      </c>
      <c r="I60" s="228">
        <v>18.204000000000001</v>
      </c>
      <c r="J60" s="228">
        <f>K60-SUM(G60:I60)</f>
        <v>19.128999999999998</v>
      </c>
      <c r="K60" s="343">
        <v>70.543999999999997</v>
      </c>
      <c r="L60" s="228">
        <v>19.279</v>
      </c>
      <c r="M60" s="228">
        <v>18.722999999999999</v>
      </c>
      <c r="N60" s="228">
        <v>18.863</v>
      </c>
      <c r="O60" s="228">
        <f>P60-SUM(L60:N60)</f>
        <v>19.995000000000005</v>
      </c>
      <c r="P60" s="343">
        <v>76.86</v>
      </c>
      <c r="Q60" s="228">
        <v>22.558</v>
      </c>
      <c r="R60" s="228">
        <v>23.366</v>
      </c>
      <c r="S60" s="228">
        <v>24.815999999999999</v>
      </c>
      <c r="T60" s="228">
        <f>U60-SUM(Q60:S60)</f>
        <v>26.698000000000008</v>
      </c>
      <c r="U60" s="343">
        <v>97.438000000000002</v>
      </c>
      <c r="V60" s="228">
        <v>31.228000000000002</v>
      </c>
      <c r="W60" s="228">
        <v>32.576000000000001</v>
      </c>
      <c r="X60" s="228">
        <v>34.408000000000001</v>
      </c>
      <c r="Y60" s="228">
        <f>Z60-SUM(V60:X60)</f>
        <v>35.567999999999998</v>
      </c>
      <c r="Z60" s="343">
        <v>133.78</v>
      </c>
      <c r="AA60" s="228">
        <v>35.756999999999998</v>
      </c>
      <c r="AB60" s="228">
        <v>38.11</v>
      </c>
      <c r="AC60" s="228">
        <v>37.829000000000001</v>
      </c>
      <c r="AD60" s="228">
        <f>AE60-SUM(AA60:AC60)</f>
        <v>38.760999999999996</v>
      </c>
      <c r="AE60" s="343">
        <v>150.45699999999999</v>
      </c>
      <c r="AF60" s="228">
        <v>39.494</v>
      </c>
      <c r="AG60" s="228">
        <v>35.673000000000002</v>
      </c>
      <c r="AH60" s="228">
        <v>36.344000000000001</v>
      </c>
      <c r="AI60" s="228">
        <v>37.042000000000002</v>
      </c>
      <c r="AJ60" s="343">
        <v>148.553</v>
      </c>
      <c r="AK60" s="228">
        <v>40.097000000000001</v>
      </c>
      <c r="AL60" s="322">
        <v>39.302</v>
      </c>
      <c r="AM60" s="228"/>
      <c r="AN60" s="228"/>
      <c r="AO60" s="343"/>
      <c r="AP60" s="228"/>
      <c r="AQ60" s="228"/>
      <c r="AR60" s="228"/>
      <c r="AS60" s="228"/>
      <c r="AT60" s="343"/>
      <c r="AU60" s="343"/>
      <c r="AV60" s="343"/>
      <c r="AW60" s="343"/>
      <c r="AX60" s="228"/>
    </row>
    <row r="61" spans="1:50" s="5" customFormat="1" hidden="1" outlineLevel="1" x14ac:dyDescent="0.3">
      <c r="A61" s="36" t="s">
        <v>446</v>
      </c>
      <c r="B61" s="376"/>
      <c r="C61" s="343">
        <v>9.3529999999999998</v>
      </c>
      <c r="D61" s="343">
        <v>11.744</v>
      </c>
      <c r="E61" s="343">
        <v>21.768999999999998</v>
      </c>
      <c r="F61" s="343">
        <v>24.541</v>
      </c>
      <c r="G61" s="228">
        <v>7.4850000000000003</v>
      </c>
      <c r="H61" s="228">
        <v>10.047000000000001</v>
      </c>
      <c r="I61" s="228">
        <v>9.6739999999999995</v>
      </c>
      <c r="J61" s="228">
        <f>K61-SUM(G61:I61)</f>
        <v>9.84</v>
      </c>
      <c r="K61" s="343">
        <v>37.045999999999999</v>
      </c>
      <c r="L61" s="228">
        <v>8.2149999999999999</v>
      </c>
      <c r="M61" s="228">
        <v>9.4610000000000003</v>
      </c>
      <c r="N61" s="228">
        <v>9.1850000000000005</v>
      </c>
      <c r="O61" s="228">
        <f>P61-SUM(L61:N61)</f>
        <v>9.5699999999999932</v>
      </c>
      <c r="P61" s="343">
        <v>36.430999999999997</v>
      </c>
      <c r="Q61" s="228">
        <v>9.7010000000000005</v>
      </c>
      <c r="R61" s="228">
        <v>10.67</v>
      </c>
      <c r="S61" s="228">
        <v>10.944000000000001</v>
      </c>
      <c r="T61" s="228">
        <f>U61-SUM(Q61:S61)</f>
        <v>12.896999999999998</v>
      </c>
      <c r="U61" s="343">
        <v>44.212000000000003</v>
      </c>
      <c r="V61" s="228">
        <v>27.937999999999999</v>
      </c>
      <c r="W61" s="228">
        <v>13.494</v>
      </c>
      <c r="X61" s="228">
        <v>13.500999999999999</v>
      </c>
      <c r="Y61" s="228">
        <f>Z61-SUM(V61:X61)</f>
        <v>13.589000000000006</v>
      </c>
      <c r="Z61" s="343">
        <v>68.522000000000006</v>
      </c>
      <c r="AA61" s="228">
        <v>12.519</v>
      </c>
      <c r="AB61" s="228">
        <v>12.476000000000001</v>
      </c>
      <c r="AC61" s="228">
        <v>13.039</v>
      </c>
      <c r="AD61" s="228">
        <f>AE61-SUM(AA61:AC61)</f>
        <v>14.136000000000003</v>
      </c>
      <c r="AE61" s="343">
        <v>52.17</v>
      </c>
      <c r="AF61" s="228">
        <v>16.515999999999998</v>
      </c>
      <c r="AG61" s="228">
        <v>23.635000000000002</v>
      </c>
      <c r="AH61" s="228">
        <v>13.895</v>
      </c>
      <c r="AI61" s="228">
        <v>14.824</v>
      </c>
      <c r="AJ61" s="343">
        <v>68.86999999999999</v>
      </c>
      <c r="AK61" s="228">
        <v>19.271000000000001</v>
      </c>
      <c r="AL61" s="322">
        <v>19.199000000000002</v>
      </c>
      <c r="AM61" s="228"/>
      <c r="AN61" s="228"/>
      <c r="AO61" s="343"/>
      <c r="AP61" s="228"/>
      <c r="AQ61" s="228"/>
      <c r="AR61" s="228"/>
      <c r="AS61" s="228"/>
      <c r="AT61" s="343"/>
      <c r="AU61" s="343"/>
      <c r="AV61" s="343"/>
      <c r="AW61" s="343"/>
      <c r="AX61" s="228"/>
    </row>
    <row r="62" spans="1:50" s="5" customFormat="1" hidden="1" outlineLevel="1" x14ac:dyDescent="0.3">
      <c r="A62" s="36" t="s">
        <v>447</v>
      </c>
      <c r="B62" s="376"/>
      <c r="C62" s="343"/>
      <c r="D62" s="343"/>
      <c r="E62" s="343"/>
      <c r="F62" s="343"/>
      <c r="G62" s="228"/>
      <c r="H62" s="228"/>
      <c r="I62" s="228"/>
      <c r="J62" s="228"/>
      <c r="K62" s="343"/>
      <c r="L62" s="228"/>
      <c r="M62" s="228"/>
      <c r="N62" s="228"/>
      <c r="O62" s="228"/>
      <c r="P62" s="343"/>
      <c r="Q62" s="228"/>
      <c r="R62" s="228"/>
      <c r="S62" s="228"/>
      <c r="T62" s="228"/>
      <c r="U62" s="343"/>
      <c r="V62" s="228"/>
      <c r="W62" s="228"/>
      <c r="X62" s="228"/>
      <c r="Y62" s="228"/>
      <c r="Z62" s="343"/>
      <c r="AA62" s="228"/>
      <c r="AB62" s="228"/>
      <c r="AC62" s="228"/>
      <c r="AD62" s="228"/>
      <c r="AE62" s="343"/>
      <c r="AF62" s="228">
        <v>7.5869999999999997</v>
      </c>
      <c r="AG62" s="228">
        <v>1.774</v>
      </c>
      <c r="AH62" s="228">
        <v>0.94699999999999995</v>
      </c>
      <c r="AI62" s="228">
        <v>2.1000000000000001E-2</v>
      </c>
      <c r="AJ62" s="343">
        <v>10.329000000000001</v>
      </c>
      <c r="AK62" s="228">
        <v>0.90300000000000002</v>
      </c>
      <c r="AL62" s="322">
        <v>0.27500000000000002</v>
      </c>
      <c r="AM62" s="228"/>
      <c r="AN62" s="228"/>
      <c r="AO62" s="343"/>
      <c r="AP62" s="228"/>
      <c r="AQ62" s="228"/>
      <c r="AR62" s="228"/>
      <c r="AS62" s="228"/>
      <c r="AT62" s="343"/>
      <c r="AU62" s="343"/>
      <c r="AV62" s="343"/>
      <c r="AW62" s="343"/>
      <c r="AX62" s="228"/>
    </row>
    <row r="63" spans="1:50" s="5" customFormat="1" hidden="1" outlineLevel="1" x14ac:dyDescent="0.3">
      <c r="A63" s="36" t="s">
        <v>448</v>
      </c>
      <c r="B63" s="376"/>
      <c r="C63" s="343"/>
      <c r="D63" s="343"/>
      <c r="E63" s="343"/>
      <c r="F63" s="343"/>
      <c r="G63" s="228"/>
      <c r="H63" s="228"/>
      <c r="I63" s="228"/>
      <c r="J63" s="228"/>
      <c r="K63" s="343"/>
      <c r="L63" s="228"/>
      <c r="M63" s="228"/>
      <c r="N63" s="228"/>
      <c r="O63" s="228"/>
      <c r="P63" s="343"/>
      <c r="Q63" s="228"/>
      <c r="R63" s="228"/>
      <c r="S63" s="228"/>
      <c r="T63" s="228"/>
      <c r="U63" s="343"/>
      <c r="V63" s="228"/>
      <c r="W63" s="228"/>
      <c r="X63" s="228"/>
      <c r="Y63" s="228"/>
      <c r="Z63" s="343"/>
      <c r="AA63" s="228"/>
      <c r="AB63" s="228"/>
      <c r="AC63" s="228"/>
      <c r="AD63" s="228">
        <f>AE63-SUM(AA63:AC63)</f>
        <v>12.019</v>
      </c>
      <c r="AE63" s="343">
        <v>12.019</v>
      </c>
      <c r="AF63" s="228"/>
      <c r="AG63" s="228"/>
      <c r="AH63" s="228"/>
      <c r="AI63" s="228"/>
      <c r="AJ63" s="343">
        <v>0</v>
      </c>
      <c r="AK63" s="228"/>
      <c r="AL63" s="322"/>
      <c r="AM63" s="228"/>
      <c r="AN63" s="228"/>
      <c r="AO63" s="343"/>
      <c r="AP63" s="228"/>
      <c r="AQ63" s="228"/>
      <c r="AR63" s="228"/>
      <c r="AS63" s="228"/>
      <c r="AT63" s="343"/>
      <c r="AU63" s="343"/>
      <c r="AV63" s="343"/>
      <c r="AW63" s="343"/>
      <c r="AX63" s="228"/>
    </row>
    <row r="64" spans="1:50" s="9" customFormat="1" hidden="1" outlineLevel="1" x14ac:dyDescent="0.3">
      <c r="A64" s="347" t="s">
        <v>53</v>
      </c>
      <c r="B64" s="377"/>
      <c r="C64" s="349">
        <f t="shared" ref="C64:AL64" si="24">SUM(C59:C63)</f>
        <v>68.628</v>
      </c>
      <c r="D64" s="349">
        <f t="shared" si="24"/>
        <v>90.652000000000001</v>
      </c>
      <c r="E64" s="349">
        <f t="shared" si="24"/>
        <v>154.643</v>
      </c>
      <c r="F64" s="349">
        <f t="shared" si="24"/>
        <v>224.55500000000001</v>
      </c>
      <c r="G64" s="350">
        <f t="shared" si="24"/>
        <v>62.048000000000002</v>
      </c>
      <c r="H64" s="350">
        <f t="shared" si="24"/>
        <v>65.712999999999994</v>
      </c>
      <c r="I64" s="350">
        <f t="shared" si="24"/>
        <v>72.484999999999999</v>
      </c>
      <c r="J64" s="350">
        <f t="shared" si="24"/>
        <v>76.725999999999999</v>
      </c>
      <c r="K64" s="349">
        <f t="shared" si="24"/>
        <v>276.97199999999998</v>
      </c>
      <c r="L64" s="350">
        <f t="shared" si="24"/>
        <v>75.831000000000003</v>
      </c>
      <c r="M64" s="350">
        <f t="shared" si="24"/>
        <v>77.69</v>
      </c>
      <c r="N64" s="350">
        <f t="shared" si="24"/>
        <v>82.268000000000001</v>
      </c>
      <c r="O64" s="350">
        <f t="shared" si="24"/>
        <v>86.379000000000019</v>
      </c>
      <c r="P64" s="349">
        <f t="shared" si="24"/>
        <v>322.16800000000001</v>
      </c>
      <c r="Q64" s="350">
        <f t="shared" si="24"/>
        <v>90.37700000000001</v>
      </c>
      <c r="R64" s="350">
        <f t="shared" si="24"/>
        <v>96.612000000000009</v>
      </c>
      <c r="S64" s="350">
        <f t="shared" si="24"/>
        <v>101.62100000000001</v>
      </c>
      <c r="T64" s="350">
        <f t="shared" si="24"/>
        <v>105.215</v>
      </c>
      <c r="U64" s="349">
        <f t="shared" si="24"/>
        <v>393.82499999999999</v>
      </c>
      <c r="V64" s="350">
        <f t="shared" si="24"/>
        <v>130.19999999999999</v>
      </c>
      <c r="W64" s="350">
        <f t="shared" si="24"/>
        <v>128.39400000000001</v>
      </c>
      <c r="X64" s="350">
        <f t="shared" si="24"/>
        <v>131.52000000000001</v>
      </c>
      <c r="Y64" s="351">
        <f t="shared" si="24"/>
        <v>134.80800000000002</v>
      </c>
      <c r="Z64" s="352">
        <f t="shared" si="24"/>
        <v>524.92200000000003</v>
      </c>
      <c r="AA64" s="350">
        <f t="shared" si="24"/>
        <v>136.767</v>
      </c>
      <c r="AB64" s="350">
        <f t="shared" si="24"/>
        <v>142.934</v>
      </c>
      <c r="AC64" s="350">
        <f t="shared" si="24"/>
        <v>141.78399999999999</v>
      </c>
      <c r="AD64" s="351">
        <f t="shared" si="24"/>
        <v>159.03899999999999</v>
      </c>
      <c r="AE64" s="352">
        <f t="shared" si="24"/>
        <v>580.524</v>
      </c>
      <c r="AF64" s="350">
        <f t="shared" si="24"/>
        <v>150.023</v>
      </c>
      <c r="AG64" s="350">
        <f t="shared" si="24"/>
        <v>148.23400000000001</v>
      </c>
      <c r="AH64" s="350">
        <f t="shared" si="24"/>
        <v>144.11600000000001</v>
      </c>
      <c r="AI64" s="351">
        <f t="shared" si="24"/>
        <v>145.72299999999998</v>
      </c>
      <c r="AJ64" s="352">
        <f t="shared" si="24"/>
        <v>588.096</v>
      </c>
      <c r="AK64" s="350">
        <f t="shared" si="24"/>
        <v>152.47599999999997</v>
      </c>
      <c r="AL64" s="353">
        <f t="shared" si="24"/>
        <v>158.10500000000002</v>
      </c>
      <c r="AM64" s="351"/>
      <c r="AN64" s="351"/>
      <c r="AO64" s="352"/>
      <c r="AP64" s="351"/>
      <c r="AQ64" s="351"/>
      <c r="AR64" s="351"/>
      <c r="AS64" s="351"/>
      <c r="AT64" s="352"/>
      <c r="AU64" s="352"/>
      <c r="AV64" s="352"/>
      <c r="AW64" s="352"/>
      <c r="AX64" s="22"/>
    </row>
    <row r="65" spans="1:50" s="9" customFormat="1" hidden="1" outlineLevel="1" x14ac:dyDescent="0.3">
      <c r="A65" s="35" t="s">
        <v>449</v>
      </c>
      <c r="B65" s="103"/>
      <c r="C65" s="4">
        <f t="shared" ref="C65:AL65" si="25">C58-C64</f>
        <v>18.747</v>
      </c>
      <c r="D65" s="4">
        <f t="shared" si="25"/>
        <v>23.437999999999988</v>
      </c>
      <c r="E65" s="4">
        <f t="shared" si="25"/>
        <v>12.592999999999989</v>
      </c>
      <c r="F65" s="4">
        <f t="shared" si="25"/>
        <v>118.30799999999994</v>
      </c>
      <c r="G65" s="22">
        <f t="shared" si="25"/>
        <v>-7.9160000000000039</v>
      </c>
      <c r="H65" s="22">
        <f t="shared" si="25"/>
        <v>0.28700000000000614</v>
      </c>
      <c r="I65" s="22">
        <f t="shared" si="25"/>
        <v>-5.2870000000000061</v>
      </c>
      <c r="J65" s="22">
        <f t="shared" si="25"/>
        <v>-7.9020000000000294</v>
      </c>
      <c r="K65" s="4">
        <f t="shared" si="25"/>
        <v>-20.817999999999984</v>
      </c>
      <c r="L65" s="22">
        <f t="shared" si="25"/>
        <v>-10.560000000000016</v>
      </c>
      <c r="M65" s="22">
        <f t="shared" si="25"/>
        <v>-9.3000000000000114</v>
      </c>
      <c r="N65" s="22">
        <f t="shared" si="25"/>
        <v>-0.93700000000001182</v>
      </c>
      <c r="O65" s="22">
        <f t="shared" si="25"/>
        <v>13.605999999999966</v>
      </c>
      <c r="P65" s="4">
        <f t="shared" si="25"/>
        <v>-7.1910000000000309</v>
      </c>
      <c r="Q65" s="22">
        <f t="shared" si="25"/>
        <v>15.210999999999999</v>
      </c>
      <c r="R65" s="22">
        <f t="shared" si="25"/>
        <v>19.35799999999999</v>
      </c>
      <c r="S65" s="22">
        <f t="shared" si="25"/>
        <v>20.62700000000001</v>
      </c>
      <c r="T65" s="22">
        <f t="shared" si="25"/>
        <v>19.909999999999997</v>
      </c>
      <c r="U65" s="4">
        <f t="shared" si="25"/>
        <v>75.105999999999995</v>
      </c>
      <c r="V65" s="22">
        <f t="shared" si="25"/>
        <v>-3.8709999999999809</v>
      </c>
      <c r="W65" s="22">
        <f t="shared" si="25"/>
        <v>6.5999999999999659</v>
      </c>
      <c r="X65" s="22">
        <f t="shared" si="25"/>
        <v>14.5</v>
      </c>
      <c r="Y65" s="378">
        <f t="shared" si="25"/>
        <v>13.361000000000047</v>
      </c>
      <c r="Z65" s="117">
        <f t="shared" si="25"/>
        <v>30.590000000000032</v>
      </c>
      <c r="AA65" s="22">
        <f t="shared" si="25"/>
        <v>-12.565999999999988</v>
      </c>
      <c r="AB65" s="22">
        <f t="shared" si="25"/>
        <v>-4.3990000000000293</v>
      </c>
      <c r="AC65" s="22">
        <f t="shared" si="25"/>
        <v>6.5800000000000409</v>
      </c>
      <c r="AD65" s="378">
        <f t="shared" si="25"/>
        <v>-6.6959999999999695</v>
      </c>
      <c r="AE65" s="117">
        <f t="shared" si="25"/>
        <v>-17.081000000000017</v>
      </c>
      <c r="AF65" s="22">
        <f t="shared" si="25"/>
        <v>11.979000000000013</v>
      </c>
      <c r="AG65" s="22">
        <f t="shared" si="25"/>
        <v>16.559999999999974</v>
      </c>
      <c r="AH65" s="22">
        <f t="shared" si="25"/>
        <v>39.532999999999987</v>
      </c>
      <c r="AI65" s="378">
        <f t="shared" si="25"/>
        <v>44.00200000000001</v>
      </c>
      <c r="AJ65" s="117">
        <f t="shared" si="25"/>
        <v>112.07399999999996</v>
      </c>
      <c r="AK65" s="22">
        <f t="shared" si="25"/>
        <v>44.655000000000001</v>
      </c>
      <c r="AL65" s="308">
        <f t="shared" si="25"/>
        <v>42.185000000000002</v>
      </c>
      <c r="AM65" s="378"/>
      <c r="AN65" s="378"/>
      <c r="AO65" s="117"/>
      <c r="AP65" s="378"/>
      <c r="AQ65" s="378"/>
      <c r="AR65" s="378"/>
      <c r="AS65" s="378"/>
      <c r="AT65" s="117"/>
      <c r="AU65" s="117"/>
      <c r="AV65" s="117"/>
      <c r="AW65" s="117"/>
      <c r="AX65" s="22"/>
    </row>
    <row r="66" spans="1:50" s="5" customFormat="1" hidden="1" outlineLevel="1" x14ac:dyDescent="0.3">
      <c r="A66" s="36" t="s">
        <v>56</v>
      </c>
      <c r="B66" s="376"/>
      <c r="C66" s="343"/>
      <c r="D66" s="343"/>
      <c r="E66" s="343"/>
      <c r="F66" s="343"/>
      <c r="G66" s="228"/>
      <c r="H66" s="228"/>
      <c r="I66" s="228"/>
      <c r="J66" s="228"/>
      <c r="K66" s="343"/>
      <c r="L66" s="228"/>
      <c r="M66" s="228"/>
      <c r="N66" s="228"/>
      <c r="O66" s="228"/>
      <c r="P66" s="343"/>
      <c r="Q66" s="228"/>
      <c r="R66" s="228"/>
      <c r="S66" s="228"/>
      <c r="T66" s="228"/>
      <c r="U66" s="343"/>
      <c r="V66" s="228"/>
      <c r="W66" s="228">
        <v>-2.2149999999999999</v>
      </c>
      <c r="X66" s="228">
        <v>-2.1949999999999998</v>
      </c>
      <c r="Y66" s="228">
        <f>Z66-SUM(V66:X66)</f>
        <v>-2.9420000000000002</v>
      </c>
      <c r="Z66" s="343">
        <v>-7.3520000000000003</v>
      </c>
      <c r="AA66" s="228">
        <v>-1.9930000000000001</v>
      </c>
      <c r="AB66" s="228">
        <v>-1.996</v>
      </c>
      <c r="AC66" s="228">
        <v>-2.016</v>
      </c>
      <c r="AD66" s="228">
        <f>AE66-SUM(AA66:AC66)</f>
        <v>-1.9320000000000004</v>
      </c>
      <c r="AE66" s="343">
        <v>-7.9370000000000003</v>
      </c>
      <c r="AF66" s="228">
        <v>-1.171</v>
      </c>
      <c r="AG66" s="228">
        <v>-0.871</v>
      </c>
      <c r="AH66" s="228">
        <v>-6.6000000000000003E-2</v>
      </c>
      <c r="AI66" s="228">
        <v>-7.6999999999999999E-2</v>
      </c>
      <c r="AJ66" s="343">
        <v>-2.1850000000000001</v>
      </c>
      <c r="AK66" s="228">
        <v>-1.4E-2</v>
      </c>
      <c r="AL66" s="322">
        <v>-7.6999999999999999E-2</v>
      </c>
      <c r="AM66" s="228"/>
      <c r="AN66" s="228"/>
      <c r="AO66" s="343"/>
      <c r="AP66" s="228"/>
      <c r="AQ66" s="228"/>
      <c r="AR66" s="228"/>
      <c r="AS66" s="228"/>
      <c r="AT66" s="343"/>
      <c r="AU66" s="343"/>
      <c r="AV66" s="343"/>
      <c r="AW66" s="343"/>
      <c r="AX66" s="228"/>
    </row>
    <row r="67" spans="1:50" s="5" customFormat="1" hidden="1" outlineLevel="1" x14ac:dyDescent="0.3">
      <c r="A67" s="36" t="s">
        <v>450</v>
      </c>
      <c r="B67" s="376"/>
      <c r="C67" s="343">
        <v>0.51800000000000002</v>
      </c>
      <c r="D67" s="343">
        <v>-0.13500000000000001</v>
      </c>
      <c r="E67" s="343">
        <v>0.75900000000000001</v>
      </c>
      <c r="F67" s="343">
        <v>1.2589999999999999</v>
      </c>
      <c r="G67" s="228">
        <v>0.21299999999999999</v>
      </c>
      <c r="H67" s="228">
        <v>0.23200000000000001</v>
      </c>
      <c r="I67" s="228">
        <v>0.48199999999999998</v>
      </c>
      <c r="J67" s="228">
        <f>K67-SUM(G67:I67)</f>
        <v>0.30099999999999993</v>
      </c>
      <c r="K67" s="343">
        <v>1.228</v>
      </c>
      <c r="L67" s="228">
        <v>0.23400000000000001</v>
      </c>
      <c r="M67" s="228">
        <v>0.35699999999999998</v>
      </c>
      <c r="N67" s="228">
        <v>0.36099999999999999</v>
      </c>
      <c r="O67" s="228">
        <f>P67-SUM(L67:N67)</f>
        <v>0.49700000000000011</v>
      </c>
      <c r="P67" s="343">
        <v>1.4490000000000001</v>
      </c>
      <c r="Q67" s="228">
        <v>-2.4689999999999999</v>
      </c>
      <c r="R67" s="228">
        <v>0.91200000000000003</v>
      </c>
      <c r="S67" s="228">
        <v>0.441</v>
      </c>
      <c r="T67" s="228">
        <f>U67-SUM(Q67:S67)</f>
        <v>0.59199999999999986</v>
      </c>
      <c r="U67" s="343">
        <v>-0.52400000000000002</v>
      </c>
      <c r="V67" s="228">
        <v>-0.93700000000000006</v>
      </c>
      <c r="W67" s="228">
        <v>0.315</v>
      </c>
      <c r="X67" s="228">
        <v>0.60599999999999998</v>
      </c>
      <c r="Y67" s="228">
        <f>Z67-SUM(V67:X67)</f>
        <v>1.1060000000000003</v>
      </c>
      <c r="Z67" s="343">
        <v>1.0900000000000001</v>
      </c>
      <c r="AA67" s="228">
        <v>0.68300000000000005</v>
      </c>
      <c r="AB67" s="228">
        <v>0.82699999999999996</v>
      </c>
      <c r="AC67" s="228">
        <v>0.95599999999999996</v>
      </c>
      <c r="AD67" s="228">
        <f>AE67-SUM(AA67:AC67)</f>
        <v>0.64900000000000002</v>
      </c>
      <c r="AE67" s="343">
        <v>3.1150000000000002</v>
      </c>
      <c r="AF67" s="228">
        <v>0.63800000000000001</v>
      </c>
      <c r="AG67" s="228">
        <v>0.53300000000000003</v>
      </c>
      <c r="AH67" s="228">
        <v>1.1120000000000001</v>
      </c>
      <c r="AI67" s="228">
        <v>3.9E-2</v>
      </c>
      <c r="AJ67" s="343">
        <f>SUM(AF67:AI67)</f>
        <v>2.3220000000000005</v>
      </c>
      <c r="AK67" s="345">
        <v>8.2449999999999992</v>
      </c>
      <c r="AL67" s="322">
        <v>2.3449999999999998</v>
      </c>
      <c r="AM67" s="228"/>
      <c r="AN67" s="228"/>
      <c r="AO67" s="343"/>
      <c r="AP67" s="228"/>
      <c r="AQ67" s="228"/>
      <c r="AR67" s="228"/>
      <c r="AS67" s="228"/>
      <c r="AT67" s="343"/>
      <c r="AU67" s="343"/>
      <c r="AV67" s="343"/>
      <c r="AW67" s="343"/>
      <c r="AX67" s="228"/>
    </row>
    <row r="68" spans="1:50" s="9" customFormat="1" hidden="1" outlineLevel="1" x14ac:dyDescent="0.3">
      <c r="A68" s="347" t="s">
        <v>451</v>
      </c>
      <c r="B68" s="377"/>
      <c r="C68" s="349">
        <f t="shared" ref="C68:AL68" si="26">SUM(C65:C67)</f>
        <v>19.265000000000001</v>
      </c>
      <c r="D68" s="349">
        <f t="shared" si="26"/>
        <v>23.302999999999987</v>
      </c>
      <c r="E68" s="349">
        <f t="shared" si="26"/>
        <v>13.35199999999999</v>
      </c>
      <c r="F68" s="349">
        <f t="shared" si="26"/>
        <v>119.56699999999994</v>
      </c>
      <c r="G68" s="350">
        <f t="shared" si="26"/>
        <v>-7.7030000000000038</v>
      </c>
      <c r="H68" s="350">
        <f t="shared" si="26"/>
        <v>0.51900000000000612</v>
      </c>
      <c r="I68" s="350">
        <f t="shared" si="26"/>
        <v>-4.8050000000000059</v>
      </c>
      <c r="J68" s="350">
        <f t="shared" si="26"/>
        <v>-7.6010000000000293</v>
      </c>
      <c r="K68" s="349">
        <f t="shared" si="26"/>
        <v>-19.589999999999982</v>
      </c>
      <c r="L68" s="350">
        <f t="shared" si="26"/>
        <v>-10.326000000000016</v>
      </c>
      <c r="M68" s="350">
        <f t="shared" si="26"/>
        <v>-8.9430000000000121</v>
      </c>
      <c r="N68" s="350">
        <f t="shared" si="26"/>
        <v>-0.57600000000001184</v>
      </c>
      <c r="O68" s="350">
        <f t="shared" si="26"/>
        <v>14.102999999999966</v>
      </c>
      <c r="P68" s="349">
        <f t="shared" si="26"/>
        <v>-5.7420000000000311</v>
      </c>
      <c r="Q68" s="350">
        <f t="shared" si="26"/>
        <v>12.741999999999999</v>
      </c>
      <c r="R68" s="350">
        <f t="shared" si="26"/>
        <v>20.269999999999989</v>
      </c>
      <c r="S68" s="350">
        <f t="shared" si="26"/>
        <v>21.068000000000008</v>
      </c>
      <c r="T68" s="350">
        <f t="shared" si="26"/>
        <v>20.501999999999995</v>
      </c>
      <c r="U68" s="349">
        <f t="shared" si="26"/>
        <v>74.581999999999994</v>
      </c>
      <c r="V68" s="350">
        <f t="shared" si="26"/>
        <v>-4.8079999999999812</v>
      </c>
      <c r="W68" s="350">
        <f t="shared" si="26"/>
        <v>4.6999999999999664</v>
      </c>
      <c r="X68" s="350">
        <f t="shared" si="26"/>
        <v>12.911</v>
      </c>
      <c r="Y68" s="351">
        <f t="shared" si="26"/>
        <v>11.525000000000047</v>
      </c>
      <c r="Z68" s="352">
        <f t="shared" si="26"/>
        <v>24.328000000000031</v>
      </c>
      <c r="AA68" s="350">
        <f t="shared" si="26"/>
        <v>-13.875999999999989</v>
      </c>
      <c r="AB68" s="350">
        <f t="shared" si="26"/>
        <v>-5.5680000000000298</v>
      </c>
      <c r="AC68" s="350">
        <f t="shared" si="26"/>
        <v>5.5200000000000404</v>
      </c>
      <c r="AD68" s="351">
        <f t="shared" si="26"/>
        <v>-7.9789999999999699</v>
      </c>
      <c r="AE68" s="352">
        <f t="shared" si="26"/>
        <v>-21.90300000000002</v>
      </c>
      <c r="AF68" s="350">
        <f t="shared" si="26"/>
        <v>11.446000000000014</v>
      </c>
      <c r="AG68" s="350">
        <f t="shared" si="26"/>
        <v>16.221999999999973</v>
      </c>
      <c r="AH68" s="350">
        <f t="shared" si="26"/>
        <v>40.578999999999986</v>
      </c>
      <c r="AI68" s="351">
        <f t="shared" si="26"/>
        <v>43.964000000000013</v>
      </c>
      <c r="AJ68" s="352">
        <f t="shared" si="26"/>
        <v>112.21099999999996</v>
      </c>
      <c r="AK68" s="350">
        <f t="shared" si="26"/>
        <v>52.885999999999996</v>
      </c>
      <c r="AL68" s="353">
        <f t="shared" si="26"/>
        <v>44.453000000000003</v>
      </c>
      <c r="AM68" s="351"/>
      <c r="AN68" s="351"/>
      <c r="AO68" s="352"/>
      <c r="AP68" s="351"/>
      <c r="AQ68" s="351"/>
      <c r="AR68" s="351"/>
      <c r="AS68" s="351"/>
      <c r="AT68" s="352"/>
      <c r="AU68" s="352"/>
      <c r="AV68" s="352"/>
      <c r="AW68" s="352"/>
      <c r="AX68" s="22"/>
    </row>
    <row r="69" spans="1:50" s="5" customFormat="1" hidden="1" outlineLevel="1" x14ac:dyDescent="0.3">
      <c r="A69" s="36" t="s">
        <v>452</v>
      </c>
      <c r="B69" s="376"/>
      <c r="C69" s="343">
        <v>-6.3789999999999996</v>
      </c>
      <c r="D69" s="343">
        <v>-9.7629999999999999</v>
      </c>
      <c r="E69" s="343">
        <v>-3.375</v>
      </c>
      <c r="F69" s="343">
        <v>-8.1869999999999994</v>
      </c>
      <c r="G69" s="228">
        <v>-0.754</v>
      </c>
      <c r="H69" s="228">
        <v>-2.258</v>
      </c>
      <c r="I69" s="228">
        <v>-1.08</v>
      </c>
      <c r="J69" s="228">
        <f>K69-SUM(G69:I69)</f>
        <v>0.34000000000000075</v>
      </c>
      <c r="K69" s="343">
        <v>-3.7519999999999998</v>
      </c>
      <c r="L69" s="228">
        <v>-0.65400000000000003</v>
      </c>
      <c r="M69" s="228">
        <v>7.5999999999999998E-2</v>
      </c>
      <c r="N69" s="228">
        <v>1.167</v>
      </c>
      <c r="O69" s="228">
        <f>P69-SUM(L69:N69)</f>
        <v>-18.855999999999998</v>
      </c>
      <c r="P69" s="343">
        <v>-18.266999999999999</v>
      </c>
      <c r="Q69" s="228">
        <v>-2.246</v>
      </c>
      <c r="R69" s="228">
        <v>-1.022</v>
      </c>
      <c r="S69" s="228">
        <v>-1.1160000000000001</v>
      </c>
      <c r="T69" s="228">
        <f>U69-SUM(Q69:S69)</f>
        <v>22.696000000000002</v>
      </c>
      <c r="U69" s="343">
        <v>18.312000000000001</v>
      </c>
      <c r="V69" s="228">
        <v>-2.36</v>
      </c>
      <c r="W69" s="228">
        <v>-4.5999999999999999E-2</v>
      </c>
      <c r="X69" s="228">
        <v>-0.874</v>
      </c>
      <c r="Y69" s="228">
        <f>Z69-SUM(V69:X69)</f>
        <v>-2.5299999999999998</v>
      </c>
      <c r="Z69" s="343">
        <v>-5.81</v>
      </c>
      <c r="AA69" s="228">
        <v>1.6319999999999999</v>
      </c>
      <c r="AB69" s="228">
        <v>-2.423</v>
      </c>
      <c r="AC69" s="228">
        <v>-2.117</v>
      </c>
      <c r="AD69" s="228">
        <f>AE69-SUM(AA69:AC69)</f>
        <v>5.386000000000001</v>
      </c>
      <c r="AE69" s="343">
        <v>2.4780000000000002</v>
      </c>
      <c r="AF69" s="228">
        <v>26.396999999999998</v>
      </c>
      <c r="AG69" s="228">
        <v>0.30399999999999999</v>
      </c>
      <c r="AH69" s="228">
        <v>-3.5219999999999998</v>
      </c>
      <c r="AI69" s="228">
        <v>-1.1319999999999999</v>
      </c>
      <c r="AJ69" s="343">
        <v>22.047000000000001</v>
      </c>
      <c r="AK69" s="345">
        <v>-4.266</v>
      </c>
      <c r="AL69" s="322">
        <v>-6.024</v>
      </c>
      <c r="AM69" s="228"/>
      <c r="AN69" s="228"/>
      <c r="AO69" s="343"/>
      <c r="AP69" s="228"/>
      <c r="AQ69" s="228"/>
      <c r="AR69" s="228"/>
      <c r="AS69" s="228"/>
      <c r="AT69" s="343"/>
      <c r="AU69" s="343"/>
      <c r="AV69" s="343"/>
      <c r="AW69" s="343"/>
      <c r="AX69" s="228"/>
    </row>
    <row r="70" spans="1:50" s="9" customFormat="1" hidden="1" outlineLevel="1" x14ac:dyDescent="0.3">
      <c r="A70" s="379" t="s">
        <v>453</v>
      </c>
      <c r="B70" s="380"/>
      <c r="C70" s="381">
        <f t="shared" ref="C70:AL70" si="27">SUM(C68:C69)</f>
        <v>12.886000000000001</v>
      </c>
      <c r="D70" s="381">
        <f t="shared" si="27"/>
        <v>13.539999999999987</v>
      </c>
      <c r="E70" s="381">
        <f t="shared" si="27"/>
        <v>9.9769999999999897</v>
      </c>
      <c r="F70" s="381">
        <f t="shared" si="27"/>
        <v>111.37999999999994</v>
      </c>
      <c r="G70" s="382">
        <f t="shared" si="27"/>
        <v>-8.4570000000000043</v>
      </c>
      <c r="H70" s="382">
        <f t="shared" si="27"/>
        <v>-1.7389999999999939</v>
      </c>
      <c r="I70" s="382">
        <f t="shared" si="27"/>
        <v>-5.885000000000006</v>
      </c>
      <c r="J70" s="382">
        <f t="shared" si="27"/>
        <v>-7.2610000000000285</v>
      </c>
      <c r="K70" s="381">
        <f t="shared" si="27"/>
        <v>-23.341999999999981</v>
      </c>
      <c r="L70" s="382">
        <f t="shared" si="27"/>
        <v>-10.980000000000016</v>
      </c>
      <c r="M70" s="382">
        <f t="shared" si="27"/>
        <v>-8.8670000000000115</v>
      </c>
      <c r="N70" s="382">
        <f t="shared" si="27"/>
        <v>0.5909999999999882</v>
      </c>
      <c r="O70" s="382">
        <f t="shared" si="27"/>
        <v>-4.7530000000000321</v>
      </c>
      <c r="P70" s="381">
        <f t="shared" si="27"/>
        <v>-24.009000000000029</v>
      </c>
      <c r="Q70" s="382">
        <f t="shared" si="27"/>
        <v>10.495999999999999</v>
      </c>
      <c r="R70" s="382">
        <f t="shared" si="27"/>
        <v>19.24799999999999</v>
      </c>
      <c r="S70" s="382">
        <f t="shared" si="27"/>
        <v>19.952000000000009</v>
      </c>
      <c r="T70" s="382">
        <f t="shared" si="27"/>
        <v>43.197999999999993</v>
      </c>
      <c r="U70" s="381">
        <f t="shared" si="27"/>
        <v>92.893999999999991</v>
      </c>
      <c r="V70" s="382">
        <f t="shared" si="27"/>
        <v>-7.1679999999999815</v>
      </c>
      <c r="W70" s="382">
        <f t="shared" si="27"/>
        <v>4.6539999999999662</v>
      </c>
      <c r="X70" s="382">
        <f t="shared" si="27"/>
        <v>12.036999999999999</v>
      </c>
      <c r="Y70" s="383">
        <f t="shared" si="27"/>
        <v>8.9950000000000472</v>
      </c>
      <c r="Z70" s="384">
        <f t="shared" si="27"/>
        <v>18.518000000000033</v>
      </c>
      <c r="AA70" s="382">
        <f t="shared" si="27"/>
        <v>-12.243999999999989</v>
      </c>
      <c r="AB70" s="382">
        <f t="shared" si="27"/>
        <v>-7.9910000000000299</v>
      </c>
      <c r="AC70" s="382">
        <f t="shared" si="27"/>
        <v>3.4030000000000404</v>
      </c>
      <c r="AD70" s="383">
        <f t="shared" si="27"/>
        <v>-2.5929999999999689</v>
      </c>
      <c r="AE70" s="384">
        <f t="shared" si="27"/>
        <v>-19.425000000000018</v>
      </c>
      <c r="AF70" s="382">
        <f t="shared" si="27"/>
        <v>37.843000000000011</v>
      </c>
      <c r="AG70" s="382">
        <f t="shared" si="27"/>
        <v>16.525999999999971</v>
      </c>
      <c r="AH70" s="382">
        <f t="shared" si="27"/>
        <v>37.056999999999988</v>
      </c>
      <c r="AI70" s="383">
        <f t="shared" si="27"/>
        <v>42.832000000000015</v>
      </c>
      <c r="AJ70" s="384">
        <f t="shared" si="27"/>
        <v>134.25799999999995</v>
      </c>
      <c r="AK70" s="382">
        <f t="shared" si="27"/>
        <v>48.62</v>
      </c>
      <c r="AL70" s="385">
        <f t="shared" si="27"/>
        <v>38.429000000000002</v>
      </c>
      <c r="AM70" s="383"/>
      <c r="AN70" s="383"/>
      <c r="AO70" s="384"/>
      <c r="AP70" s="383"/>
      <c r="AQ70" s="383"/>
      <c r="AR70" s="383"/>
      <c r="AS70" s="383"/>
      <c r="AT70" s="384"/>
      <c r="AU70" s="384"/>
      <c r="AV70" s="384"/>
      <c r="AW70" s="384"/>
      <c r="AX70" s="22"/>
    </row>
    <row r="71" spans="1:50" s="5" customFormat="1" hidden="1" outlineLevel="1" x14ac:dyDescent="0.3">
      <c r="A71" s="36"/>
      <c r="B71" s="376"/>
      <c r="C71" s="343"/>
      <c r="D71" s="343"/>
      <c r="E71" s="343"/>
      <c r="F71" s="343"/>
      <c r="G71" s="228"/>
      <c r="H71" s="228"/>
      <c r="I71" s="228"/>
      <c r="J71" s="228"/>
      <c r="K71" s="343"/>
      <c r="L71" s="228"/>
      <c r="M71" s="228"/>
      <c r="N71" s="228"/>
      <c r="O71" s="228"/>
      <c r="P71" s="343"/>
      <c r="Q71" s="228"/>
      <c r="R71" s="228"/>
      <c r="S71" s="228"/>
      <c r="T71" s="228"/>
      <c r="U71" s="343"/>
      <c r="V71" s="228"/>
      <c r="W71" s="228"/>
      <c r="X71" s="228"/>
      <c r="Y71" s="228"/>
      <c r="Z71" s="343"/>
      <c r="AA71" s="228"/>
      <c r="AB71" s="228"/>
      <c r="AC71" s="228"/>
      <c r="AD71" s="228"/>
      <c r="AE71" s="343"/>
      <c r="AF71" s="228"/>
      <c r="AG71" s="228"/>
      <c r="AH71" s="228"/>
      <c r="AI71" s="228"/>
      <c r="AJ71" s="343"/>
      <c r="AK71" s="228"/>
      <c r="AL71" s="322"/>
      <c r="AM71" s="228"/>
      <c r="AN71" s="228"/>
      <c r="AO71" s="343"/>
      <c r="AP71" s="228"/>
      <c r="AQ71" s="228"/>
      <c r="AR71" s="228"/>
      <c r="AS71" s="228"/>
      <c r="AT71" s="343"/>
      <c r="AU71" s="343"/>
      <c r="AV71" s="343"/>
      <c r="AW71" s="343"/>
      <c r="AX71" s="228"/>
    </row>
    <row r="72" spans="1:50" s="5" customFormat="1" hidden="1" outlineLevel="1" x14ac:dyDescent="0.3">
      <c r="A72" s="386" t="s">
        <v>61</v>
      </c>
      <c r="B72" s="386"/>
      <c r="C72" s="387">
        <f t="shared" ref="C72:AL72" si="28">IF(ISBLANK(INDEX(MO_IS_FirstRow,0,COLUMN())),0,ROUND(C70-C288,6))</f>
        <v>0</v>
      </c>
      <c r="D72" s="387">
        <f t="shared" si="28"/>
        <v>0</v>
      </c>
      <c r="E72" s="387">
        <f t="shared" si="28"/>
        <v>0</v>
      </c>
      <c r="F72" s="387">
        <f t="shared" si="28"/>
        <v>0</v>
      </c>
      <c r="G72" s="387">
        <f t="shared" si="28"/>
        <v>0</v>
      </c>
      <c r="H72" s="387">
        <f t="shared" si="28"/>
        <v>0</v>
      </c>
      <c r="I72" s="387">
        <f t="shared" si="28"/>
        <v>-0.17699999999999999</v>
      </c>
      <c r="J72" s="387">
        <f t="shared" si="28"/>
        <v>0.17699999999999999</v>
      </c>
      <c r="K72" s="387">
        <f t="shared" si="28"/>
        <v>0</v>
      </c>
      <c r="L72" s="387">
        <f t="shared" si="28"/>
        <v>0</v>
      </c>
      <c r="M72" s="387">
        <f t="shared" si="28"/>
        <v>0</v>
      </c>
      <c r="N72" s="387">
        <f t="shared" si="28"/>
        <v>0</v>
      </c>
      <c r="O72" s="387">
        <f t="shared" si="28"/>
        <v>0</v>
      </c>
      <c r="P72" s="387">
        <f t="shared" si="28"/>
        <v>0</v>
      </c>
      <c r="Q72" s="387">
        <f t="shared" si="28"/>
        <v>0</v>
      </c>
      <c r="R72" s="387">
        <f t="shared" si="28"/>
        <v>0</v>
      </c>
      <c r="S72" s="387">
        <f t="shared" si="28"/>
        <v>0</v>
      </c>
      <c r="T72" s="387">
        <f t="shared" si="28"/>
        <v>0</v>
      </c>
      <c r="U72" s="387">
        <f t="shared" si="28"/>
        <v>0</v>
      </c>
      <c r="V72" s="387">
        <f t="shared" si="28"/>
        <v>0</v>
      </c>
      <c r="W72" s="387">
        <f t="shared" si="28"/>
        <v>0</v>
      </c>
      <c r="X72" s="387">
        <f t="shared" si="28"/>
        <v>0</v>
      </c>
      <c r="Y72" s="387">
        <f t="shared" si="28"/>
        <v>0</v>
      </c>
      <c r="Z72" s="387">
        <f t="shared" si="28"/>
        <v>0</v>
      </c>
      <c r="AA72" s="387">
        <f t="shared" si="28"/>
        <v>0</v>
      </c>
      <c r="AB72" s="387">
        <f t="shared" si="28"/>
        <v>0</v>
      </c>
      <c r="AC72" s="387">
        <f t="shared" si="28"/>
        <v>0</v>
      </c>
      <c r="AD72" s="387">
        <f t="shared" si="28"/>
        <v>0</v>
      </c>
      <c r="AE72" s="387">
        <f t="shared" si="28"/>
        <v>0</v>
      </c>
      <c r="AF72" s="387">
        <f t="shared" si="28"/>
        <v>0</v>
      </c>
      <c r="AG72" s="387">
        <f t="shared" si="28"/>
        <v>0</v>
      </c>
      <c r="AH72" s="387">
        <f t="shared" si="28"/>
        <v>0</v>
      </c>
      <c r="AI72" s="387">
        <f t="shared" si="28"/>
        <v>0</v>
      </c>
      <c r="AJ72" s="387">
        <f t="shared" si="28"/>
        <v>0</v>
      </c>
      <c r="AK72" s="387">
        <f t="shared" si="28"/>
        <v>0</v>
      </c>
      <c r="AL72" s="388">
        <f t="shared" si="28"/>
        <v>0</v>
      </c>
      <c r="AM72" s="387"/>
      <c r="AN72" s="387"/>
      <c r="AO72" s="387"/>
      <c r="AP72" s="387"/>
      <c r="AQ72" s="387"/>
      <c r="AR72" s="387"/>
      <c r="AS72" s="387"/>
      <c r="AT72" s="387"/>
      <c r="AU72" s="387"/>
      <c r="AV72" s="387"/>
      <c r="AW72" s="387"/>
      <c r="AX72" s="228"/>
    </row>
    <row r="73" spans="1:50" s="5" customFormat="1" collapsed="1" x14ac:dyDescent="0.3">
      <c r="A73" s="36"/>
      <c r="B73" s="376"/>
      <c r="C73" s="343"/>
      <c r="D73" s="343"/>
      <c r="E73" s="343"/>
      <c r="F73" s="343"/>
      <c r="G73" s="228"/>
      <c r="H73" s="228"/>
      <c r="I73" s="228"/>
      <c r="J73" s="228"/>
      <c r="K73" s="343"/>
      <c r="L73" s="228"/>
      <c r="M73" s="228"/>
      <c r="N73" s="228"/>
      <c r="O73" s="228"/>
      <c r="P73" s="343"/>
      <c r="Q73" s="228"/>
      <c r="R73" s="228"/>
      <c r="S73" s="228"/>
      <c r="T73" s="228"/>
      <c r="U73" s="343"/>
      <c r="V73" s="228"/>
      <c r="W73" s="228"/>
      <c r="X73" s="228"/>
      <c r="Y73" s="228"/>
      <c r="Z73" s="343"/>
      <c r="AA73" s="228"/>
      <c r="AB73" s="228"/>
      <c r="AC73" s="228"/>
      <c r="AD73" s="228"/>
      <c r="AE73" s="343"/>
      <c r="AF73" s="228"/>
      <c r="AG73" s="228"/>
      <c r="AH73" s="228"/>
      <c r="AI73" s="228"/>
      <c r="AJ73" s="343"/>
      <c r="AK73" s="228"/>
      <c r="AL73" s="322"/>
      <c r="AM73" s="228"/>
      <c r="AN73" s="228"/>
      <c r="AO73" s="343"/>
      <c r="AP73" s="228"/>
      <c r="AQ73" s="228"/>
      <c r="AR73" s="228"/>
      <c r="AS73" s="228"/>
      <c r="AT73" s="343"/>
      <c r="AU73" s="343"/>
      <c r="AV73" s="343"/>
      <c r="AW73" s="343"/>
      <c r="AX73" s="228"/>
    </row>
    <row r="74" spans="1:50" s="9" customFormat="1" x14ac:dyDescent="0.3">
      <c r="A74" s="45" t="s">
        <v>62</v>
      </c>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306"/>
      <c r="AM74" s="45"/>
      <c r="AN74" s="45"/>
      <c r="AO74" s="45"/>
      <c r="AP74" s="45"/>
      <c r="AQ74" s="45"/>
      <c r="AR74" s="45"/>
      <c r="AS74" s="45"/>
      <c r="AT74" s="45"/>
      <c r="AU74" s="45"/>
      <c r="AV74" s="45"/>
      <c r="AW74" s="45"/>
      <c r="AX74" s="22"/>
    </row>
    <row r="75" spans="1:50" s="9" customFormat="1" hidden="1" outlineLevel="1" x14ac:dyDescent="0.3">
      <c r="A75" s="347" t="s">
        <v>454</v>
      </c>
      <c r="B75" s="377"/>
      <c r="C75" s="349">
        <f t="shared" ref="C75:AL75" si="29">C70</f>
        <v>12.886000000000001</v>
      </c>
      <c r="D75" s="349">
        <f t="shared" si="29"/>
        <v>13.539999999999987</v>
      </c>
      <c r="E75" s="349">
        <f t="shared" si="29"/>
        <v>9.9769999999999897</v>
      </c>
      <c r="F75" s="349">
        <f t="shared" si="29"/>
        <v>111.37999999999994</v>
      </c>
      <c r="G75" s="350">
        <f t="shared" si="29"/>
        <v>-8.4570000000000043</v>
      </c>
      <c r="H75" s="350">
        <f t="shared" si="29"/>
        <v>-1.7389999999999939</v>
      </c>
      <c r="I75" s="350">
        <f t="shared" si="29"/>
        <v>-5.885000000000006</v>
      </c>
      <c r="J75" s="350">
        <f t="shared" si="29"/>
        <v>-7.2610000000000285</v>
      </c>
      <c r="K75" s="349">
        <f t="shared" si="29"/>
        <v>-23.341999999999981</v>
      </c>
      <c r="L75" s="350">
        <f t="shared" si="29"/>
        <v>-10.980000000000016</v>
      </c>
      <c r="M75" s="350">
        <f t="shared" si="29"/>
        <v>-8.8670000000000115</v>
      </c>
      <c r="N75" s="350">
        <f t="shared" si="29"/>
        <v>0.5909999999999882</v>
      </c>
      <c r="O75" s="350">
        <f t="shared" si="29"/>
        <v>-4.7530000000000321</v>
      </c>
      <c r="P75" s="349">
        <f t="shared" si="29"/>
        <v>-24.009000000000029</v>
      </c>
      <c r="Q75" s="350">
        <f t="shared" si="29"/>
        <v>10.495999999999999</v>
      </c>
      <c r="R75" s="350">
        <f t="shared" si="29"/>
        <v>19.24799999999999</v>
      </c>
      <c r="S75" s="350">
        <f t="shared" si="29"/>
        <v>19.952000000000009</v>
      </c>
      <c r="T75" s="350">
        <f t="shared" si="29"/>
        <v>43.197999999999993</v>
      </c>
      <c r="U75" s="349">
        <f t="shared" si="29"/>
        <v>92.893999999999991</v>
      </c>
      <c r="V75" s="350">
        <f t="shared" si="29"/>
        <v>-7.1679999999999815</v>
      </c>
      <c r="W75" s="350">
        <f t="shared" si="29"/>
        <v>4.6539999999999662</v>
      </c>
      <c r="X75" s="350">
        <f t="shared" si="29"/>
        <v>12.036999999999999</v>
      </c>
      <c r="Y75" s="350">
        <f t="shared" si="29"/>
        <v>8.9950000000000472</v>
      </c>
      <c r="Z75" s="349">
        <f t="shared" si="29"/>
        <v>18.518000000000033</v>
      </c>
      <c r="AA75" s="350">
        <f t="shared" si="29"/>
        <v>-12.243999999999989</v>
      </c>
      <c r="AB75" s="350">
        <f t="shared" si="29"/>
        <v>-7.9910000000000299</v>
      </c>
      <c r="AC75" s="350">
        <f t="shared" si="29"/>
        <v>3.4030000000000404</v>
      </c>
      <c r="AD75" s="350">
        <f t="shared" si="29"/>
        <v>-2.5929999999999689</v>
      </c>
      <c r="AE75" s="349">
        <f t="shared" si="29"/>
        <v>-19.425000000000018</v>
      </c>
      <c r="AF75" s="350">
        <f t="shared" si="29"/>
        <v>37.843000000000011</v>
      </c>
      <c r="AG75" s="350">
        <f t="shared" si="29"/>
        <v>16.525999999999971</v>
      </c>
      <c r="AH75" s="350">
        <f t="shared" si="29"/>
        <v>37.056999999999988</v>
      </c>
      <c r="AI75" s="350">
        <f t="shared" si="29"/>
        <v>42.832000000000015</v>
      </c>
      <c r="AJ75" s="349">
        <f t="shared" si="29"/>
        <v>134.25799999999995</v>
      </c>
      <c r="AK75" s="350">
        <f t="shared" si="29"/>
        <v>48.62</v>
      </c>
      <c r="AL75" s="353">
        <f t="shared" si="29"/>
        <v>38.429000000000002</v>
      </c>
      <c r="AM75" s="350"/>
      <c r="AN75" s="350"/>
      <c r="AO75" s="349"/>
      <c r="AP75" s="350"/>
      <c r="AQ75" s="350"/>
      <c r="AR75" s="350"/>
      <c r="AS75" s="350"/>
      <c r="AT75" s="349"/>
      <c r="AU75" s="349"/>
      <c r="AV75" s="349"/>
      <c r="AW75" s="349"/>
      <c r="AX75" s="22"/>
    </row>
    <row r="76" spans="1:50" s="5" customFormat="1" hidden="1" outlineLevel="1" x14ac:dyDescent="0.3">
      <c r="A76" s="36" t="s">
        <v>455</v>
      </c>
      <c r="B76" s="376"/>
      <c r="C76" s="343">
        <v>10.736000000000001</v>
      </c>
      <c r="D76" s="343">
        <v>14.101000000000001</v>
      </c>
      <c r="E76" s="343">
        <v>21.411999999999999</v>
      </c>
      <c r="F76" s="343">
        <v>35.018999999999998</v>
      </c>
      <c r="G76" s="228">
        <v>10.375</v>
      </c>
      <c r="H76" s="228">
        <v>11.164999999999999</v>
      </c>
      <c r="I76" s="228">
        <v>11.932</v>
      </c>
      <c r="J76" s="228">
        <f t="shared" ref="J76:J81" si="30">K76-SUM(G76:I76)</f>
        <v>11.665999999999997</v>
      </c>
      <c r="K76" s="343">
        <v>45.137999999999998</v>
      </c>
      <c r="L76" s="228">
        <v>11.638</v>
      </c>
      <c r="M76" s="228">
        <v>11.946999999999999</v>
      </c>
      <c r="N76" s="228">
        <v>11.849</v>
      </c>
      <c r="O76" s="228">
        <f t="shared" ref="O76:O81" si="31">P76-SUM(L76:N76)</f>
        <v>11.801000000000002</v>
      </c>
      <c r="P76" s="343">
        <v>47.234999999999999</v>
      </c>
      <c r="Q76" s="228">
        <v>11.718</v>
      </c>
      <c r="R76" s="228">
        <v>13.286</v>
      </c>
      <c r="S76" s="228">
        <v>12.83</v>
      </c>
      <c r="T76" s="228">
        <f t="shared" ref="T76:T81" si="32">U76-SUM(Q76:S76)</f>
        <v>12.930000000000007</v>
      </c>
      <c r="U76" s="343">
        <v>50.764000000000003</v>
      </c>
      <c r="V76" s="228">
        <v>18.265999999999998</v>
      </c>
      <c r="W76" s="228">
        <v>18.094000000000001</v>
      </c>
      <c r="X76" s="228">
        <v>17.576000000000001</v>
      </c>
      <c r="Y76" s="228">
        <v>17.181999999999999</v>
      </c>
      <c r="Z76" s="343">
        <v>71.117999999999995</v>
      </c>
      <c r="AA76" s="228">
        <v>14.768000000000001</v>
      </c>
      <c r="AB76" s="228">
        <v>17.664999999999999</v>
      </c>
      <c r="AC76" s="228">
        <v>18.559999999999999</v>
      </c>
      <c r="AD76" s="228">
        <v>17.870999999999999</v>
      </c>
      <c r="AE76" s="343">
        <v>68.864000000000004</v>
      </c>
      <c r="AF76" s="228">
        <v>14.974</v>
      </c>
      <c r="AG76" s="228">
        <v>14.916</v>
      </c>
      <c r="AH76" s="228">
        <v>19.155999999999999</v>
      </c>
      <c r="AI76" s="228">
        <v>22.295999999999999</v>
      </c>
      <c r="AJ76" s="343">
        <v>71.341999999999999</v>
      </c>
      <c r="AK76" s="228">
        <v>24.242000000000001</v>
      </c>
      <c r="AL76" s="322">
        <v>26.949000000000002</v>
      </c>
      <c r="AM76" s="228"/>
      <c r="AN76" s="228"/>
      <c r="AO76" s="343"/>
      <c r="AP76" s="228"/>
      <c r="AQ76" s="228"/>
      <c r="AR76" s="228"/>
      <c r="AS76" s="228"/>
      <c r="AT76" s="343"/>
      <c r="AU76" s="343"/>
      <c r="AV76" s="343"/>
      <c r="AW76" s="343"/>
      <c r="AX76" s="228"/>
    </row>
    <row r="77" spans="1:50" s="5" customFormat="1" hidden="1" outlineLevel="1" x14ac:dyDescent="0.3">
      <c r="A77" s="36" t="s">
        <v>456</v>
      </c>
      <c r="B77" s="376"/>
      <c r="C77" s="343">
        <v>0</v>
      </c>
      <c r="D77" s="343">
        <v>0</v>
      </c>
      <c r="E77" s="343">
        <v>9.8149999999999995</v>
      </c>
      <c r="F77" s="343">
        <v>9.2769999999999992</v>
      </c>
      <c r="G77" s="228">
        <v>2.3959999999999999</v>
      </c>
      <c r="H77" s="228">
        <v>2.5139999999999998</v>
      </c>
      <c r="I77" s="228">
        <v>4.5709999999999997</v>
      </c>
      <c r="J77" s="228">
        <f t="shared" si="30"/>
        <v>4.5250000000000004</v>
      </c>
      <c r="K77" s="343">
        <v>14.006</v>
      </c>
      <c r="L77" s="228">
        <v>3.5049999999999999</v>
      </c>
      <c r="M77" s="228">
        <v>3.012</v>
      </c>
      <c r="N77" s="228">
        <v>2.8849999999999998</v>
      </c>
      <c r="O77" s="228">
        <f t="shared" si="31"/>
        <v>2.7080000000000002</v>
      </c>
      <c r="P77" s="343">
        <v>12.11</v>
      </c>
      <c r="Q77" s="228">
        <v>2.2530000000000001</v>
      </c>
      <c r="R77" s="228">
        <v>2.4649999999999999</v>
      </c>
      <c r="S77" s="228">
        <v>2.464</v>
      </c>
      <c r="T77" s="228">
        <f t="shared" si="32"/>
        <v>2.4640000000000004</v>
      </c>
      <c r="U77" s="343">
        <v>9.6460000000000008</v>
      </c>
      <c r="V77" s="228">
        <v>11.647</v>
      </c>
      <c r="W77" s="228">
        <v>15.961</v>
      </c>
      <c r="X77" s="228">
        <v>15.944000000000001</v>
      </c>
      <c r="Y77" s="228">
        <v>13.066000000000001</v>
      </c>
      <c r="Z77" s="343">
        <v>56.613</v>
      </c>
      <c r="AA77" s="228">
        <v>13.01</v>
      </c>
      <c r="AB77" s="228">
        <v>13.038</v>
      </c>
      <c r="AC77" s="228">
        <v>13.067</v>
      </c>
      <c r="AD77" s="228">
        <v>13.067</v>
      </c>
      <c r="AE77" s="343">
        <v>52.18</v>
      </c>
      <c r="AF77" s="228">
        <v>13.305</v>
      </c>
      <c r="AG77" s="228">
        <v>13.333</v>
      </c>
      <c r="AH77" s="228">
        <v>12.455</v>
      </c>
      <c r="AI77" s="228">
        <v>11.993</v>
      </c>
      <c r="AJ77" s="343">
        <v>51.085999999999999</v>
      </c>
      <c r="AK77" s="228">
        <v>11.744</v>
      </c>
      <c r="AL77" s="322">
        <v>11.496</v>
      </c>
      <c r="AM77" s="228"/>
      <c r="AN77" s="228"/>
      <c r="AO77" s="343"/>
      <c r="AP77" s="228"/>
      <c r="AQ77" s="228"/>
      <c r="AR77" s="228"/>
      <c r="AS77" s="228"/>
      <c r="AT77" s="343"/>
      <c r="AU77" s="343"/>
      <c r="AV77" s="343"/>
      <c r="AW77" s="343"/>
      <c r="AX77" s="228"/>
    </row>
    <row r="78" spans="1:50" s="5" customFormat="1" hidden="1" outlineLevel="1" x14ac:dyDescent="0.3">
      <c r="A78" s="36" t="s">
        <v>457</v>
      </c>
      <c r="B78" s="376"/>
      <c r="C78" s="343">
        <v>0</v>
      </c>
      <c r="D78" s="343">
        <v>0</v>
      </c>
      <c r="E78" s="343">
        <v>0</v>
      </c>
      <c r="F78" s="343">
        <v>0</v>
      </c>
      <c r="G78" s="228">
        <v>0</v>
      </c>
      <c r="H78" s="228">
        <v>0</v>
      </c>
      <c r="I78" s="228">
        <v>0</v>
      </c>
      <c r="J78" s="228">
        <f t="shared" si="30"/>
        <v>0</v>
      </c>
      <c r="K78" s="343">
        <v>0</v>
      </c>
      <c r="L78" s="228">
        <v>0</v>
      </c>
      <c r="M78" s="228">
        <v>0</v>
      </c>
      <c r="N78" s="228">
        <v>1.25</v>
      </c>
      <c r="O78" s="228">
        <f t="shared" si="31"/>
        <v>0</v>
      </c>
      <c r="P78" s="343">
        <v>1.25</v>
      </c>
      <c r="Q78" s="228">
        <v>0</v>
      </c>
      <c r="R78" s="228">
        <v>0</v>
      </c>
      <c r="S78" s="228">
        <v>0</v>
      </c>
      <c r="T78" s="228">
        <f t="shared" si="32"/>
        <v>0</v>
      </c>
      <c r="U78" s="343">
        <v>0</v>
      </c>
      <c r="V78" s="228">
        <v>5.1059999999999999</v>
      </c>
      <c r="W78" s="228"/>
      <c r="X78" s="228"/>
      <c r="Y78" s="228">
        <v>-0.125</v>
      </c>
      <c r="Z78" s="343">
        <v>4.9809999999999999</v>
      </c>
      <c r="AA78" s="228">
        <v>0</v>
      </c>
      <c r="AB78" s="228"/>
      <c r="AC78" s="228"/>
      <c r="AD78" s="228"/>
      <c r="AE78" s="343"/>
      <c r="AF78" s="228"/>
      <c r="AG78" s="228">
        <v>9.1609999999999996</v>
      </c>
      <c r="AH78" s="228"/>
      <c r="AI78" s="228"/>
      <c r="AJ78" s="343">
        <v>9.1609999999999996</v>
      </c>
      <c r="AK78" s="228"/>
      <c r="AL78" s="322"/>
      <c r="AM78" s="228"/>
      <c r="AN78" s="228"/>
      <c r="AO78" s="343"/>
      <c r="AP78" s="228"/>
      <c r="AQ78" s="228"/>
      <c r="AR78" s="228"/>
      <c r="AS78" s="228"/>
      <c r="AT78" s="343"/>
      <c r="AU78" s="343"/>
      <c r="AV78" s="343"/>
      <c r="AW78" s="343"/>
      <c r="AX78" s="228"/>
    </row>
    <row r="79" spans="1:50" s="5" customFormat="1" hidden="1" outlineLevel="1" x14ac:dyDescent="0.3">
      <c r="A79" s="36" t="s">
        <v>458</v>
      </c>
      <c r="B79" s="376"/>
      <c r="C79" s="343">
        <v>0</v>
      </c>
      <c r="D79" s="343">
        <v>0.86099999999999999</v>
      </c>
      <c r="E79" s="343">
        <v>4.3940000000000001</v>
      </c>
      <c r="F79" s="343">
        <v>0</v>
      </c>
      <c r="G79" s="228">
        <v>0</v>
      </c>
      <c r="H79" s="228">
        <v>1.8280000000000001</v>
      </c>
      <c r="I79" s="228">
        <v>1.9650000000000001</v>
      </c>
      <c r="J79" s="228">
        <f t="shared" si="30"/>
        <v>0.91999999999999993</v>
      </c>
      <c r="K79" s="343">
        <v>4.7130000000000001</v>
      </c>
      <c r="L79" s="228">
        <v>0.72</v>
      </c>
      <c r="M79" s="228">
        <v>1.044</v>
      </c>
      <c r="N79" s="228">
        <v>1.671</v>
      </c>
      <c r="O79" s="228">
        <f t="shared" si="31"/>
        <v>0.9700000000000002</v>
      </c>
      <c r="P79" s="343">
        <v>4.4050000000000002</v>
      </c>
      <c r="Q79" s="228">
        <v>0.98799999999999999</v>
      </c>
      <c r="R79" s="228">
        <v>1.0649999999999999</v>
      </c>
      <c r="S79" s="228">
        <v>1.032</v>
      </c>
      <c r="T79" s="228">
        <f t="shared" si="32"/>
        <v>1.2530000000000001</v>
      </c>
      <c r="U79" s="343">
        <v>4.3380000000000001</v>
      </c>
      <c r="V79" s="228">
        <v>10.18</v>
      </c>
      <c r="W79" s="228">
        <v>4.8600000000000003</v>
      </c>
      <c r="X79" s="228">
        <v>1.2210000000000001</v>
      </c>
      <c r="Y79" s="228">
        <v>0.88400000000000001</v>
      </c>
      <c r="Z79" s="343">
        <v>17.145</v>
      </c>
      <c r="AA79" s="228">
        <v>0.47699999999999998</v>
      </c>
      <c r="AB79" s="228">
        <v>0.153</v>
      </c>
      <c r="AC79" s="228">
        <v>0.28999999999999998</v>
      </c>
      <c r="AD79" s="228">
        <v>1.748</v>
      </c>
      <c r="AE79" s="343">
        <v>2.669</v>
      </c>
      <c r="AF79" s="228">
        <v>4.2779999999999996</v>
      </c>
      <c r="AG79" s="228">
        <v>10.502000000000001</v>
      </c>
      <c r="AH79" s="228">
        <v>1.125</v>
      </c>
      <c r="AI79" s="228">
        <v>0.34499999999999997</v>
      </c>
      <c r="AJ79" s="343">
        <v>16.248999999999999</v>
      </c>
      <c r="AK79" s="228">
        <v>4.774</v>
      </c>
      <c r="AL79" s="322">
        <v>3.7730000000000001</v>
      </c>
      <c r="AM79" s="228"/>
      <c r="AN79" s="228"/>
      <c r="AO79" s="343"/>
      <c r="AP79" s="228"/>
      <c r="AQ79" s="228"/>
      <c r="AR79" s="228"/>
      <c r="AS79" s="228"/>
      <c r="AT79" s="343"/>
      <c r="AU79" s="343"/>
      <c r="AV79" s="343"/>
      <c r="AW79" s="343"/>
      <c r="AX79" s="228"/>
    </row>
    <row r="80" spans="1:50" s="5" customFormat="1" hidden="1" outlineLevel="1" x14ac:dyDescent="0.3">
      <c r="A80" s="36" t="s">
        <v>459</v>
      </c>
      <c r="B80" s="376"/>
      <c r="C80" s="343">
        <v>0</v>
      </c>
      <c r="D80" s="343">
        <v>0</v>
      </c>
      <c r="E80" s="343">
        <v>0</v>
      </c>
      <c r="F80" s="343">
        <v>0</v>
      </c>
      <c r="G80" s="228">
        <v>0</v>
      </c>
      <c r="H80" s="228">
        <v>0</v>
      </c>
      <c r="I80" s="228">
        <v>0</v>
      </c>
      <c r="J80" s="228">
        <f t="shared" si="30"/>
        <v>0</v>
      </c>
      <c r="K80" s="343">
        <v>0</v>
      </c>
      <c r="L80" s="228">
        <v>0</v>
      </c>
      <c r="M80" s="228">
        <v>0</v>
      </c>
      <c r="N80" s="228">
        <v>0</v>
      </c>
      <c r="O80" s="228">
        <f t="shared" si="31"/>
        <v>0</v>
      </c>
      <c r="P80" s="343">
        <v>0</v>
      </c>
      <c r="Q80" s="228">
        <v>3.1890000000000001</v>
      </c>
      <c r="R80" s="228">
        <v>0</v>
      </c>
      <c r="S80" s="228">
        <v>0</v>
      </c>
      <c r="T80" s="228">
        <f t="shared" si="32"/>
        <v>0</v>
      </c>
      <c r="U80" s="343">
        <v>3.1890000000000001</v>
      </c>
      <c r="V80" s="228">
        <v>0</v>
      </c>
      <c r="W80" s="228"/>
      <c r="X80" s="228"/>
      <c r="Y80" s="228"/>
      <c r="Z80" s="343"/>
      <c r="AA80" s="228"/>
      <c r="AB80" s="228"/>
      <c r="AC80" s="228"/>
      <c r="AD80" s="228"/>
      <c r="AE80" s="343"/>
      <c r="AF80" s="228"/>
      <c r="AG80" s="228"/>
      <c r="AH80" s="228"/>
      <c r="AI80" s="228"/>
      <c r="AJ80" s="343"/>
      <c r="AK80" s="228"/>
      <c r="AL80" s="322"/>
      <c r="AM80" s="228"/>
      <c r="AN80" s="228"/>
      <c r="AO80" s="343"/>
      <c r="AP80" s="228"/>
      <c r="AQ80" s="228"/>
      <c r="AR80" s="228"/>
      <c r="AS80" s="228"/>
      <c r="AT80" s="343"/>
      <c r="AU80" s="343"/>
      <c r="AV80" s="343"/>
      <c r="AW80" s="343"/>
      <c r="AX80" s="228"/>
    </row>
    <row r="81" spans="1:50" s="5" customFormat="1" hidden="1" outlineLevel="1" x14ac:dyDescent="0.3">
      <c r="A81" s="36" t="s">
        <v>460</v>
      </c>
      <c r="B81" s="376"/>
      <c r="C81" s="343">
        <v>0</v>
      </c>
      <c r="D81" s="343">
        <v>0</v>
      </c>
      <c r="E81" s="343">
        <v>0</v>
      </c>
      <c r="F81" s="343">
        <v>0</v>
      </c>
      <c r="G81" s="228">
        <v>0</v>
      </c>
      <c r="H81" s="228">
        <v>0</v>
      </c>
      <c r="I81" s="228">
        <v>0</v>
      </c>
      <c r="J81" s="228">
        <f t="shared" si="30"/>
        <v>0</v>
      </c>
      <c r="K81" s="343">
        <v>0</v>
      </c>
      <c r="L81" s="228">
        <v>0</v>
      </c>
      <c r="M81" s="228">
        <v>0</v>
      </c>
      <c r="N81" s="228"/>
      <c r="O81" s="228">
        <f t="shared" si="31"/>
        <v>17.231000000000002</v>
      </c>
      <c r="P81" s="343">
        <v>17.231000000000002</v>
      </c>
      <c r="Q81" s="228"/>
      <c r="R81" s="228">
        <v>0</v>
      </c>
      <c r="S81" s="228"/>
      <c r="T81" s="228">
        <f t="shared" si="32"/>
        <v>-22.41</v>
      </c>
      <c r="U81" s="343">
        <v>-22.41</v>
      </c>
      <c r="V81" s="228">
        <v>1.2649999999999999</v>
      </c>
      <c r="W81" s="228">
        <v>-0.88700000000000001</v>
      </c>
      <c r="X81" s="228">
        <v>-0.58499999999999996</v>
      </c>
      <c r="Y81" s="228">
        <v>1.294</v>
      </c>
      <c r="Z81" s="343">
        <v>1.0860000000000001</v>
      </c>
      <c r="AA81" s="228">
        <v>-1.351</v>
      </c>
      <c r="AB81" s="228">
        <v>-0.49199999999999999</v>
      </c>
      <c r="AC81" s="228">
        <v>1.2929999999999999</v>
      </c>
      <c r="AD81" s="228">
        <v>0.79900000000000004</v>
      </c>
      <c r="AE81" s="343">
        <v>0.25</v>
      </c>
      <c r="AF81" s="228">
        <v>-26.603999999999999</v>
      </c>
      <c r="AG81" s="228">
        <v>0.36599999999999999</v>
      </c>
      <c r="AH81" s="228">
        <v>0.67300000000000004</v>
      </c>
      <c r="AI81" s="228">
        <v>-1.8779999999999999</v>
      </c>
      <c r="AJ81" s="343">
        <v>-27.442</v>
      </c>
      <c r="AK81" s="228">
        <v>1.359</v>
      </c>
      <c r="AL81" s="322">
        <v>1.573</v>
      </c>
      <c r="AM81" s="228"/>
      <c r="AN81" s="228"/>
      <c r="AO81" s="343"/>
      <c r="AP81" s="228"/>
      <c r="AQ81" s="228"/>
      <c r="AR81" s="228"/>
      <c r="AS81" s="228"/>
      <c r="AT81" s="343"/>
      <c r="AU81" s="343"/>
      <c r="AV81" s="343"/>
      <c r="AW81" s="343"/>
      <c r="AX81" s="228"/>
    </row>
    <row r="82" spans="1:50" s="5" customFormat="1" hidden="1" outlineLevel="1" x14ac:dyDescent="0.3">
      <c r="A82" s="36" t="s">
        <v>461</v>
      </c>
      <c r="B82" s="376"/>
      <c r="C82" s="343"/>
      <c r="D82" s="343"/>
      <c r="E82" s="343"/>
      <c r="F82" s="343"/>
      <c r="G82" s="228"/>
      <c r="H82" s="228"/>
      <c r="I82" s="228"/>
      <c r="J82" s="228"/>
      <c r="K82" s="343"/>
      <c r="L82" s="228"/>
      <c r="M82" s="228"/>
      <c r="N82" s="228"/>
      <c r="O82" s="228"/>
      <c r="P82" s="343"/>
      <c r="Q82" s="228"/>
      <c r="R82" s="228"/>
      <c r="S82" s="228"/>
      <c r="T82" s="228"/>
      <c r="U82" s="343"/>
      <c r="V82" s="228"/>
      <c r="W82" s="228"/>
      <c r="X82" s="228"/>
      <c r="Y82" s="228"/>
      <c r="Z82" s="343"/>
      <c r="AA82" s="228"/>
      <c r="AB82" s="228"/>
      <c r="AC82" s="228"/>
      <c r="AD82" s="228">
        <v>12.019</v>
      </c>
      <c r="AE82" s="343">
        <v>12.019</v>
      </c>
      <c r="AF82" s="228">
        <v>7.5869999999999997</v>
      </c>
      <c r="AG82" s="228">
        <v>1.774</v>
      </c>
      <c r="AH82" s="228">
        <v>0.94699999999999995</v>
      </c>
      <c r="AI82" s="228">
        <v>1.5149999999999999</v>
      </c>
      <c r="AJ82" s="343">
        <v>11.823</v>
      </c>
      <c r="AK82" s="228">
        <v>2.6579999999999999</v>
      </c>
      <c r="AL82" s="322">
        <v>0.27500000000000002</v>
      </c>
      <c r="AM82" s="228"/>
      <c r="AN82" s="228"/>
      <c r="AO82" s="343"/>
      <c r="AP82" s="228"/>
      <c r="AQ82" s="228"/>
      <c r="AR82" s="228"/>
      <c r="AS82" s="228"/>
      <c r="AT82" s="343"/>
      <c r="AU82" s="343"/>
      <c r="AV82" s="343"/>
      <c r="AW82" s="343"/>
      <c r="AX82" s="228"/>
    </row>
    <row r="83" spans="1:50" s="5" customFormat="1" hidden="1" outlineLevel="1" x14ac:dyDescent="0.3">
      <c r="A83" s="36" t="s">
        <v>57</v>
      </c>
      <c r="B83" s="376"/>
      <c r="C83" s="343"/>
      <c r="D83" s="343"/>
      <c r="E83" s="343"/>
      <c r="F83" s="343"/>
      <c r="G83" s="228"/>
      <c r="H83" s="228"/>
      <c r="I83" s="228"/>
      <c r="J83" s="228"/>
      <c r="K83" s="343"/>
      <c r="L83" s="228"/>
      <c r="M83" s="228"/>
      <c r="N83" s="228"/>
      <c r="O83" s="228"/>
      <c r="P83" s="343"/>
      <c r="Q83" s="228"/>
      <c r="R83" s="228"/>
      <c r="S83" s="228"/>
      <c r="T83" s="228"/>
      <c r="U83" s="343"/>
      <c r="V83" s="228"/>
      <c r="W83" s="228"/>
      <c r="X83" s="228"/>
      <c r="Y83" s="228"/>
      <c r="Z83" s="343"/>
      <c r="AA83" s="228"/>
      <c r="AB83" s="228"/>
      <c r="AC83" s="228"/>
      <c r="AD83" s="228"/>
      <c r="AE83" s="343"/>
      <c r="AF83" s="228"/>
      <c r="AG83" s="228"/>
      <c r="AH83" s="228"/>
      <c r="AI83" s="228"/>
      <c r="AJ83" s="343"/>
      <c r="AK83" s="228">
        <v>-9.1280000000000001</v>
      </c>
      <c r="AL83" s="322">
        <v>-0.441</v>
      </c>
      <c r="AM83" s="228"/>
      <c r="AN83" s="228"/>
      <c r="AO83" s="343"/>
      <c r="AP83" s="228"/>
      <c r="AQ83" s="228"/>
      <c r="AR83" s="228"/>
      <c r="AS83" s="228"/>
      <c r="AT83" s="343"/>
      <c r="AU83" s="343"/>
      <c r="AV83" s="343"/>
      <c r="AW83" s="343"/>
      <c r="AX83" s="228"/>
    </row>
    <row r="84" spans="1:50" s="5" customFormat="1" hidden="1" outlineLevel="1" x14ac:dyDescent="0.3">
      <c r="A84" s="36" t="s">
        <v>462</v>
      </c>
      <c r="B84" s="376"/>
      <c r="C84" s="343"/>
      <c r="D84" s="343"/>
      <c r="E84" s="343"/>
      <c r="F84" s="343"/>
      <c r="G84" s="228"/>
      <c r="H84" s="228"/>
      <c r="I84" s="228"/>
      <c r="J84" s="228"/>
      <c r="K84" s="343"/>
      <c r="L84" s="228"/>
      <c r="M84" s="228"/>
      <c r="N84" s="228"/>
      <c r="O84" s="228"/>
      <c r="P84" s="343"/>
      <c r="Q84" s="228"/>
      <c r="R84" s="228"/>
      <c r="S84" s="228"/>
      <c r="T84" s="228"/>
      <c r="U84" s="343"/>
      <c r="V84" s="228"/>
      <c r="W84" s="228"/>
      <c r="X84" s="228"/>
      <c r="Y84" s="228"/>
      <c r="Z84" s="343"/>
      <c r="AA84" s="228"/>
      <c r="AB84" s="228"/>
      <c r="AC84" s="228"/>
      <c r="AD84" s="228"/>
      <c r="AE84" s="343"/>
      <c r="AF84" s="228"/>
      <c r="AG84" s="228"/>
      <c r="AH84" s="228"/>
      <c r="AI84" s="228"/>
      <c r="AJ84" s="343"/>
      <c r="AK84" s="228">
        <v>2.2490000000000001</v>
      </c>
      <c r="AL84" s="322">
        <v>1.8</v>
      </c>
      <c r="AM84" s="228"/>
      <c r="AN84" s="228"/>
      <c r="AO84" s="343"/>
      <c r="AP84" s="228"/>
      <c r="AQ84" s="228"/>
      <c r="AR84" s="228"/>
      <c r="AS84" s="228"/>
      <c r="AT84" s="343"/>
      <c r="AU84" s="343"/>
      <c r="AV84" s="343"/>
      <c r="AW84" s="343"/>
      <c r="AX84" s="228"/>
    </row>
    <row r="85" spans="1:50" s="5" customFormat="1" hidden="1" outlineLevel="1" x14ac:dyDescent="0.3">
      <c r="A85" s="36" t="s">
        <v>463</v>
      </c>
      <c r="B85" s="376"/>
      <c r="C85" s="343">
        <v>5.0359999999999996</v>
      </c>
      <c r="D85" s="343">
        <v>8.1809999999999992</v>
      </c>
      <c r="E85" s="343">
        <v>0</v>
      </c>
      <c r="F85" s="343">
        <v>0</v>
      </c>
      <c r="G85" s="228">
        <v>0</v>
      </c>
      <c r="H85" s="228">
        <v>0</v>
      </c>
      <c r="I85" s="228">
        <v>0</v>
      </c>
      <c r="J85" s="228">
        <f>K85-SUM(G85:I85)</f>
        <v>0</v>
      </c>
      <c r="K85" s="343">
        <v>0</v>
      </c>
      <c r="L85" s="228">
        <v>0</v>
      </c>
      <c r="M85" s="228">
        <v>0</v>
      </c>
      <c r="N85" s="228"/>
      <c r="O85" s="228">
        <f>P85-SUM(L85:N85)</f>
        <v>0</v>
      </c>
      <c r="P85" s="343"/>
      <c r="Q85" s="228">
        <v>0</v>
      </c>
      <c r="R85" s="228">
        <v>0</v>
      </c>
      <c r="S85" s="228"/>
      <c r="T85" s="228">
        <f>U85-SUM(Q85:S85)</f>
        <v>0</v>
      </c>
      <c r="U85" s="343"/>
      <c r="V85" s="228"/>
      <c r="W85" s="228"/>
      <c r="X85" s="228"/>
      <c r="Y85" s="228"/>
      <c r="Z85" s="343"/>
      <c r="AA85" s="228"/>
      <c r="AB85" s="228"/>
      <c r="AC85" s="228"/>
      <c r="AD85" s="228"/>
      <c r="AE85" s="343"/>
      <c r="AF85" s="228"/>
      <c r="AG85" s="228"/>
      <c r="AH85" s="228"/>
      <c r="AI85" s="228"/>
      <c r="AJ85" s="343"/>
      <c r="AK85" s="228"/>
      <c r="AL85" s="322"/>
      <c r="AM85" s="228"/>
      <c r="AN85" s="228"/>
      <c r="AO85" s="343"/>
      <c r="AP85" s="228"/>
      <c r="AQ85" s="228"/>
      <c r="AR85" s="228"/>
      <c r="AS85" s="228"/>
      <c r="AT85" s="343"/>
      <c r="AU85" s="343"/>
      <c r="AV85" s="343"/>
      <c r="AW85" s="343"/>
      <c r="AX85" s="228"/>
    </row>
    <row r="86" spans="1:50" s="9" customFormat="1" hidden="1" outlineLevel="1" x14ac:dyDescent="0.3">
      <c r="A86" s="347" t="s">
        <v>67</v>
      </c>
      <c r="B86" s="377"/>
      <c r="C86" s="349">
        <f t="shared" ref="C86:AL86" si="33">SUM(C75:C85)</f>
        <v>28.658000000000001</v>
      </c>
      <c r="D86" s="349">
        <f t="shared" si="33"/>
        <v>36.682999999999986</v>
      </c>
      <c r="E86" s="349">
        <f t="shared" si="33"/>
        <v>45.597999999999985</v>
      </c>
      <c r="F86" s="349">
        <f t="shared" si="33"/>
        <v>155.67599999999993</v>
      </c>
      <c r="G86" s="350">
        <f t="shared" si="33"/>
        <v>4.3139999999999956</v>
      </c>
      <c r="H86" s="350">
        <f t="shared" si="33"/>
        <v>13.768000000000004</v>
      </c>
      <c r="I86" s="350">
        <f t="shared" si="33"/>
        <v>12.582999999999995</v>
      </c>
      <c r="J86" s="350">
        <f t="shared" si="33"/>
        <v>9.8499999999999677</v>
      </c>
      <c r="K86" s="349">
        <f t="shared" si="33"/>
        <v>40.515000000000022</v>
      </c>
      <c r="L86" s="350">
        <f t="shared" si="33"/>
        <v>4.8829999999999831</v>
      </c>
      <c r="M86" s="350">
        <f t="shared" si="33"/>
        <v>7.1359999999999886</v>
      </c>
      <c r="N86" s="350">
        <f t="shared" si="33"/>
        <v>18.245999999999988</v>
      </c>
      <c r="O86" s="350">
        <f t="shared" si="33"/>
        <v>27.956999999999972</v>
      </c>
      <c r="P86" s="349">
        <f t="shared" si="33"/>
        <v>58.221999999999973</v>
      </c>
      <c r="Q86" s="350">
        <f t="shared" si="33"/>
        <v>28.643999999999998</v>
      </c>
      <c r="R86" s="350">
        <f t="shared" si="33"/>
        <v>36.063999999999993</v>
      </c>
      <c r="S86" s="350">
        <f t="shared" si="33"/>
        <v>36.278000000000006</v>
      </c>
      <c r="T86" s="350">
        <f t="shared" si="33"/>
        <v>37.435000000000002</v>
      </c>
      <c r="U86" s="349">
        <f t="shared" si="33"/>
        <v>138.42099999999996</v>
      </c>
      <c r="V86" s="350">
        <f t="shared" si="33"/>
        <v>39.296000000000021</v>
      </c>
      <c r="W86" s="350">
        <f t="shared" si="33"/>
        <v>42.681999999999967</v>
      </c>
      <c r="X86" s="350">
        <f t="shared" si="33"/>
        <v>46.193000000000005</v>
      </c>
      <c r="Y86" s="351">
        <f t="shared" si="33"/>
        <v>41.296000000000042</v>
      </c>
      <c r="Z86" s="352">
        <f t="shared" si="33"/>
        <v>169.46100000000004</v>
      </c>
      <c r="AA86" s="350">
        <f t="shared" si="33"/>
        <v>14.660000000000011</v>
      </c>
      <c r="AB86" s="350">
        <f t="shared" si="33"/>
        <v>22.372999999999966</v>
      </c>
      <c r="AC86" s="350">
        <f t="shared" si="33"/>
        <v>36.613000000000042</v>
      </c>
      <c r="AD86" s="351">
        <f t="shared" si="33"/>
        <v>42.91100000000003</v>
      </c>
      <c r="AE86" s="352">
        <f t="shared" si="33"/>
        <v>116.55699999999999</v>
      </c>
      <c r="AF86" s="350">
        <f t="shared" si="33"/>
        <v>51.383000000000024</v>
      </c>
      <c r="AG86" s="350">
        <f t="shared" si="33"/>
        <v>66.577999999999975</v>
      </c>
      <c r="AH86" s="350">
        <f t="shared" si="33"/>
        <v>71.412999999999997</v>
      </c>
      <c r="AI86" s="351">
        <f t="shared" si="33"/>
        <v>77.103000000000009</v>
      </c>
      <c r="AJ86" s="352">
        <f t="shared" si="33"/>
        <v>266.47699999999998</v>
      </c>
      <c r="AK86" s="350">
        <f t="shared" si="33"/>
        <v>86.517999999999986</v>
      </c>
      <c r="AL86" s="353">
        <f t="shared" si="33"/>
        <v>83.853999999999985</v>
      </c>
      <c r="AM86" s="351"/>
      <c r="AN86" s="351"/>
      <c r="AO86" s="352"/>
      <c r="AP86" s="351"/>
      <c r="AQ86" s="351"/>
      <c r="AR86" s="351"/>
      <c r="AS86" s="351"/>
      <c r="AT86" s="352"/>
      <c r="AU86" s="352"/>
      <c r="AV86" s="352"/>
      <c r="AW86" s="352"/>
      <c r="AX86" s="22"/>
    </row>
    <row r="87" spans="1:50" s="9" customFormat="1" hidden="1" outlineLevel="1" x14ac:dyDescent="0.3">
      <c r="A87" s="35"/>
      <c r="B87" s="103"/>
      <c r="C87" s="4"/>
      <c r="D87" s="4"/>
      <c r="E87" s="4"/>
      <c r="F87" s="4"/>
      <c r="G87" s="22"/>
      <c r="H87" s="22"/>
      <c r="I87" s="22"/>
      <c r="J87" s="22"/>
      <c r="K87" s="4"/>
      <c r="L87" s="22"/>
      <c r="M87" s="22"/>
      <c r="N87" s="22"/>
      <c r="O87" s="22"/>
      <c r="P87" s="4"/>
      <c r="Q87" s="22"/>
      <c r="R87" s="22"/>
      <c r="S87" s="22"/>
      <c r="T87" s="22"/>
      <c r="U87" s="4"/>
      <c r="V87" s="22"/>
      <c r="W87" s="22"/>
      <c r="X87" s="22"/>
      <c r="Y87" s="378"/>
      <c r="Z87" s="117"/>
      <c r="AA87" s="22"/>
      <c r="AB87" s="22"/>
      <c r="AC87" s="22"/>
      <c r="AD87" s="378"/>
      <c r="AE87" s="117"/>
      <c r="AF87" s="22"/>
      <c r="AG87" s="22"/>
      <c r="AH87" s="22"/>
      <c r="AI87" s="378"/>
      <c r="AJ87" s="117"/>
      <c r="AK87" s="22"/>
      <c r="AL87" s="308"/>
      <c r="AM87" s="378"/>
      <c r="AN87" s="378"/>
      <c r="AO87" s="117"/>
      <c r="AP87" s="378"/>
      <c r="AQ87" s="378"/>
      <c r="AR87" s="378"/>
      <c r="AS87" s="378"/>
      <c r="AT87" s="117"/>
      <c r="AU87" s="117"/>
      <c r="AV87" s="117"/>
      <c r="AW87" s="117"/>
      <c r="AX87" s="22"/>
    </row>
    <row r="88" spans="1:50" s="9" customFormat="1" hidden="1" outlineLevel="1" x14ac:dyDescent="0.3">
      <c r="A88" s="35" t="s">
        <v>464</v>
      </c>
      <c r="B88" s="103"/>
      <c r="C88" s="4">
        <f t="shared" ref="C88:AL88" si="34">C58</f>
        <v>87.375</v>
      </c>
      <c r="D88" s="4">
        <f t="shared" si="34"/>
        <v>114.08999999999999</v>
      </c>
      <c r="E88" s="4">
        <f t="shared" si="34"/>
        <v>167.23599999999999</v>
      </c>
      <c r="F88" s="4">
        <f t="shared" si="34"/>
        <v>342.86299999999994</v>
      </c>
      <c r="G88" s="22">
        <f t="shared" si="34"/>
        <v>54.131999999999998</v>
      </c>
      <c r="H88" s="22">
        <f t="shared" si="34"/>
        <v>66</v>
      </c>
      <c r="I88" s="22">
        <f t="shared" si="34"/>
        <v>67.197999999999993</v>
      </c>
      <c r="J88" s="22">
        <f t="shared" si="34"/>
        <v>68.82399999999997</v>
      </c>
      <c r="K88" s="4">
        <f t="shared" si="34"/>
        <v>256.154</v>
      </c>
      <c r="L88" s="22">
        <f t="shared" si="34"/>
        <v>65.270999999999987</v>
      </c>
      <c r="M88" s="22">
        <f t="shared" si="34"/>
        <v>68.389999999999986</v>
      </c>
      <c r="N88" s="22">
        <f t="shared" si="34"/>
        <v>81.330999999999989</v>
      </c>
      <c r="O88" s="22">
        <f t="shared" si="34"/>
        <v>99.984999999999985</v>
      </c>
      <c r="P88" s="4">
        <f t="shared" si="34"/>
        <v>314.97699999999998</v>
      </c>
      <c r="Q88" s="22">
        <f t="shared" si="34"/>
        <v>105.58800000000001</v>
      </c>
      <c r="R88" s="22">
        <f t="shared" si="34"/>
        <v>115.97</v>
      </c>
      <c r="S88" s="22">
        <f t="shared" si="34"/>
        <v>122.24800000000002</v>
      </c>
      <c r="T88" s="22">
        <f t="shared" si="34"/>
        <v>125.125</v>
      </c>
      <c r="U88" s="4">
        <f t="shared" si="34"/>
        <v>468.93099999999998</v>
      </c>
      <c r="V88" s="22">
        <f t="shared" si="34"/>
        <v>126.32900000000001</v>
      </c>
      <c r="W88" s="22">
        <f t="shared" si="34"/>
        <v>134.99399999999997</v>
      </c>
      <c r="X88" s="22">
        <f t="shared" si="34"/>
        <v>146.02000000000001</v>
      </c>
      <c r="Y88" s="378">
        <f t="shared" si="34"/>
        <v>148.16900000000007</v>
      </c>
      <c r="Z88" s="117">
        <f t="shared" si="34"/>
        <v>555.51200000000006</v>
      </c>
      <c r="AA88" s="22">
        <f t="shared" si="34"/>
        <v>124.20100000000001</v>
      </c>
      <c r="AB88" s="22">
        <f t="shared" si="34"/>
        <v>138.53499999999997</v>
      </c>
      <c r="AC88" s="22">
        <f t="shared" si="34"/>
        <v>148.36400000000003</v>
      </c>
      <c r="AD88" s="378">
        <f t="shared" si="34"/>
        <v>152.34300000000002</v>
      </c>
      <c r="AE88" s="117">
        <f t="shared" si="34"/>
        <v>563.44299999999998</v>
      </c>
      <c r="AF88" s="22">
        <f t="shared" si="34"/>
        <v>162.00200000000001</v>
      </c>
      <c r="AG88" s="22">
        <f t="shared" si="34"/>
        <v>164.79399999999998</v>
      </c>
      <c r="AH88" s="22">
        <f t="shared" si="34"/>
        <v>183.649</v>
      </c>
      <c r="AI88" s="378">
        <f t="shared" si="34"/>
        <v>189.72499999999999</v>
      </c>
      <c r="AJ88" s="117">
        <f t="shared" si="34"/>
        <v>700.17</v>
      </c>
      <c r="AK88" s="22">
        <f t="shared" si="34"/>
        <v>197.13099999999997</v>
      </c>
      <c r="AL88" s="308">
        <f t="shared" si="34"/>
        <v>200.29000000000002</v>
      </c>
      <c r="AM88" s="378"/>
      <c r="AN88" s="378"/>
      <c r="AO88" s="117"/>
      <c r="AP88" s="378"/>
      <c r="AQ88" s="378"/>
      <c r="AR88" s="378"/>
      <c r="AS88" s="378"/>
      <c r="AT88" s="117"/>
      <c r="AU88" s="117"/>
      <c r="AV88" s="117"/>
      <c r="AW88" s="117"/>
      <c r="AX88" s="22"/>
    </row>
    <row r="89" spans="1:50" s="5" customFormat="1" hidden="1" outlineLevel="1" x14ac:dyDescent="0.3">
      <c r="A89" s="36" t="s">
        <v>455</v>
      </c>
      <c r="B89" s="376"/>
      <c r="C89" s="343"/>
      <c r="D89" s="343">
        <v>0.38500000000000001</v>
      </c>
      <c r="E89" s="343">
        <v>0.98</v>
      </c>
      <c r="F89" s="343">
        <v>1.621</v>
      </c>
      <c r="G89" s="228">
        <v>0.46400000000000002</v>
      </c>
      <c r="H89" s="228">
        <v>0.434</v>
      </c>
      <c r="I89" s="228">
        <v>0.46100000000000002</v>
      </c>
      <c r="J89" s="228">
        <v>0.46899999999999997</v>
      </c>
      <c r="K89" s="343">
        <v>1.8280000000000001</v>
      </c>
      <c r="L89" s="228">
        <v>0.52200000000000002</v>
      </c>
      <c r="M89" s="228">
        <v>0.53200000000000003</v>
      </c>
      <c r="N89" s="228">
        <v>0.53200000000000003</v>
      </c>
      <c r="O89" s="228">
        <v>0.57599999999999996</v>
      </c>
      <c r="P89" s="343">
        <v>2.1619999999999999</v>
      </c>
      <c r="Q89" s="228">
        <v>0.54700000000000004</v>
      </c>
      <c r="R89" s="228">
        <v>0.61</v>
      </c>
      <c r="S89" s="228">
        <v>0.59199999999999997</v>
      </c>
      <c r="T89" s="228">
        <v>0.61699999999999999</v>
      </c>
      <c r="U89" s="343">
        <v>2.3660000000000001</v>
      </c>
      <c r="V89" s="228">
        <v>0.47499999999999998</v>
      </c>
      <c r="W89" s="228">
        <v>0.67100000000000004</v>
      </c>
      <c r="X89" s="228">
        <v>0.627</v>
      </c>
      <c r="Y89" s="93">
        <v>0.60199999999999998</v>
      </c>
      <c r="Z89" s="344">
        <v>2.375</v>
      </c>
      <c r="AA89" s="228">
        <v>0.48199999999999998</v>
      </c>
      <c r="AB89" s="228">
        <v>0.57499999999999996</v>
      </c>
      <c r="AC89" s="228">
        <v>0.47299999999999998</v>
      </c>
      <c r="AD89" s="93">
        <v>0.47</v>
      </c>
      <c r="AE89" s="344">
        <v>2</v>
      </c>
      <c r="AF89" s="228">
        <v>0.41099999999999998</v>
      </c>
      <c r="AG89" s="228">
        <v>0.41499999999999998</v>
      </c>
      <c r="AH89" s="228">
        <v>0.51500000000000001</v>
      </c>
      <c r="AI89" s="93">
        <v>0.60899999999999999</v>
      </c>
      <c r="AJ89" s="344">
        <v>1.95</v>
      </c>
      <c r="AK89" s="228">
        <v>0.68400000000000005</v>
      </c>
      <c r="AL89" s="322">
        <v>0.82899999999999996</v>
      </c>
      <c r="AM89" s="93"/>
      <c r="AN89" s="93"/>
      <c r="AO89" s="344"/>
      <c r="AP89" s="93"/>
      <c r="AQ89" s="93"/>
      <c r="AR89" s="93"/>
      <c r="AS89" s="93"/>
      <c r="AT89" s="344"/>
      <c r="AU89" s="344"/>
      <c r="AV89" s="344"/>
      <c r="AW89" s="344"/>
      <c r="AX89" s="228"/>
    </row>
    <row r="90" spans="1:50" s="5" customFormat="1" hidden="1" outlineLevel="1" x14ac:dyDescent="0.3">
      <c r="A90" s="36" t="s">
        <v>465</v>
      </c>
      <c r="B90" s="376"/>
      <c r="C90" s="343"/>
      <c r="D90" s="343">
        <v>0</v>
      </c>
      <c r="E90" s="343">
        <v>8.2460000000000004</v>
      </c>
      <c r="F90" s="343">
        <v>7.52</v>
      </c>
      <c r="G90" s="228">
        <v>1.9570000000000001</v>
      </c>
      <c r="H90" s="228">
        <v>1.7030000000000001</v>
      </c>
      <c r="I90" s="228">
        <v>3.57</v>
      </c>
      <c r="J90" s="228">
        <v>3.25</v>
      </c>
      <c r="K90" s="343">
        <v>10.548</v>
      </c>
      <c r="L90" s="228">
        <v>2.2709999999999999</v>
      </c>
      <c r="M90" s="228">
        <v>1.7769999999999999</v>
      </c>
      <c r="N90" s="228">
        <v>1.651</v>
      </c>
      <c r="O90" s="228">
        <v>1.474</v>
      </c>
      <c r="P90" s="343">
        <v>7.173</v>
      </c>
      <c r="Q90" s="228">
        <v>1.474</v>
      </c>
      <c r="R90" s="228">
        <v>2.073</v>
      </c>
      <c r="S90" s="228">
        <v>2.0739999999999998</v>
      </c>
      <c r="T90" s="228">
        <v>2.073</v>
      </c>
      <c r="U90" s="343">
        <v>7.694</v>
      </c>
      <c r="V90" s="228">
        <v>10.429</v>
      </c>
      <c r="W90" s="228">
        <v>13.532999999999999</v>
      </c>
      <c r="X90" s="228">
        <v>13.519</v>
      </c>
      <c r="Y90" s="93">
        <v>10.64</v>
      </c>
      <c r="Z90" s="344">
        <v>48.119</v>
      </c>
      <c r="AA90" s="228">
        <v>10.587999999999999</v>
      </c>
      <c r="AB90" s="228">
        <v>10.614000000000001</v>
      </c>
      <c r="AC90" s="228">
        <v>10.641</v>
      </c>
      <c r="AD90" s="93">
        <v>10.641</v>
      </c>
      <c r="AE90" s="344">
        <v>42.481999999999999</v>
      </c>
      <c r="AF90" s="228">
        <v>10.882999999999999</v>
      </c>
      <c r="AG90" s="228">
        <v>11.106</v>
      </c>
      <c r="AH90" s="228">
        <v>10.226000000000001</v>
      </c>
      <c r="AI90" s="93">
        <v>9.7639999999999993</v>
      </c>
      <c r="AJ90" s="344">
        <v>41.978000000000002</v>
      </c>
      <c r="AK90" s="228">
        <v>9.7080000000000002</v>
      </c>
      <c r="AL90" s="322">
        <v>9.7349999999999994</v>
      </c>
      <c r="AM90" s="93"/>
      <c r="AN90" s="93"/>
      <c r="AO90" s="344"/>
      <c r="AP90" s="93"/>
      <c r="AQ90" s="93"/>
      <c r="AR90" s="93"/>
      <c r="AS90" s="93"/>
      <c r="AT90" s="344"/>
      <c r="AU90" s="344"/>
      <c r="AV90" s="344"/>
      <c r="AW90" s="344"/>
      <c r="AX90" s="228"/>
    </row>
    <row r="91" spans="1:50" s="5" customFormat="1" hidden="1" outlineLevel="1" x14ac:dyDescent="0.3">
      <c r="A91" s="36" t="s">
        <v>457</v>
      </c>
      <c r="B91" s="376"/>
      <c r="C91" s="343"/>
      <c r="D91" s="343">
        <v>0</v>
      </c>
      <c r="E91" s="343">
        <v>0</v>
      </c>
      <c r="F91" s="343">
        <v>0</v>
      </c>
      <c r="G91" s="228">
        <v>0</v>
      </c>
      <c r="H91" s="228">
        <v>0</v>
      </c>
      <c r="I91" s="228">
        <v>0</v>
      </c>
      <c r="J91" s="228">
        <v>0</v>
      </c>
      <c r="K91" s="343">
        <v>0</v>
      </c>
      <c r="L91" s="228">
        <v>0</v>
      </c>
      <c r="M91" s="228">
        <v>0</v>
      </c>
      <c r="N91" s="228">
        <v>1.25</v>
      </c>
      <c r="O91" s="228">
        <v>0</v>
      </c>
      <c r="P91" s="343">
        <v>1.25</v>
      </c>
      <c r="Q91" s="228"/>
      <c r="R91" s="228"/>
      <c r="S91" s="228"/>
      <c r="T91" s="228"/>
      <c r="U91" s="343"/>
      <c r="V91" s="228"/>
      <c r="W91" s="228"/>
      <c r="X91" s="228"/>
      <c r="Y91" s="93"/>
      <c r="Z91" s="344"/>
      <c r="AA91" s="228"/>
      <c r="AB91" s="228"/>
      <c r="AC91" s="228"/>
      <c r="AD91" s="93"/>
      <c r="AE91" s="344"/>
      <c r="AF91" s="228"/>
      <c r="AG91" s="228">
        <v>9.1609999999999996</v>
      </c>
      <c r="AH91" s="228"/>
      <c r="AI91" s="93"/>
      <c r="AJ91" s="344">
        <v>9.1609999999999996</v>
      </c>
      <c r="AK91" s="228"/>
      <c r="AL91" s="322"/>
      <c r="AM91" s="93"/>
      <c r="AN91" s="93"/>
      <c r="AO91" s="344"/>
      <c r="AP91" s="93"/>
      <c r="AQ91" s="93"/>
      <c r="AR91" s="93"/>
      <c r="AS91" s="93"/>
      <c r="AT91" s="344"/>
      <c r="AU91" s="344"/>
      <c r="AV91" s="344"/>
      <c r="AW91" s="344"/>
      <c r="AX91" s="228"/>
    </row>
    <row r="92" spans="1:50" s="5" customFormat="1" hidden="1" outlineLevel="1" x14ac:dyDescent="0.3">
      <c r="A92" s="36" t="s">
        <v>458</v>
      </c>
      <c r="B92" s="376"/>
      <c r="C92" s="343"/>
      <c r="D92" s="343">
        <v>0</v>
      </c>
      <c r="E92" s="343">
        <v>0</v>
      </c>
      <c r="F92" s="343">
        <v>0</v>
      </c>
      <c r="G92" s="228">
        <v>0</v>
      </c>
      <c r="H92" s="228">
        <v>0</v>
      </c>
      <c r="I92" s="228">
        <v>0.69899999999999995</v>
      </c>
      <c r="J92" s="228">
        <v>0.20799999999999999</v>
      </c>
      <c r="K92" s="343">
        <v>0.90700000000000003</v>
      </c>
      <c r="L92" s="228">
        <v>8.4000000000000005E-2</v>
      </c>
      <c r="M92" s="228">
        <v>0.53500000000000003</v>
      </c>
      <c r="N92" s="228">
        <v>0.23</v>
      </c>
      <c r="O92" s="228">
        <v>0</v>
      </c>
      <c r="P92" s="343">
        <v>0.84899999999999998</v>
      </c>
      <c r="Q92" s="228">
        <v>0</v>
      </c>
      <c r="R92" s="228">
        <v>0</v>
      </c>
      <c r="S92" s="228">
        <v>0</v>
      </c>
      <c r="T92" s="228">
        <v>0</v>
      </c>
      <c r="U92" s="343">
        <v>0</v>
      </c>
      <c r="V92" s="228">
        <v>3.3</v>
      </c>
      <c r="W92" s="228">
        <v>4.2329999999999997</v>
      </c>
      <c r="X92" s="228">
        <v>0.72899999999999998</v>
      </c>
      <c r="Y92" s="93">
        <v>0</v>
      </c>
      <c r="Z92" s="344">
        <v>8.2609999999999992</v>
      </c>
      <c r="AA92" s="228">
        <v>0</v>
      </c>
      <c r="AB92" s="228">
        <v>0</v>
      </c>
      <c r="AC92" s="228">
        <v>0</v>
      </c>
      <c r="AD92" s="93"/>
      <c r="AE92" s="344"/>
      <c r="AF92" s="228"/>
      <c r="AG92" s="228"/>
      <c r="AH92" s="228"/>
      <c r="AI92" s="93"/>
      <c r="AJ92" s="344"/>
      <c r="AK92" s="228"/>
      <c r="AL92" s="322"/>
      <c r="AM92" s="93"/>
      <c r="AN92" s="93"/>
      <c r="AO92" s="344"/>
      <c r="AP92" s="93"/>
      <c r="AQ92" s="93"/>
      <c r="AR92" s="93"/>
      <c r="AS92" s="93"/>
      <c r="AT92" s="344"/>
      <c r="AU92" s="344"/>
      <c r="AV92" s="344"/>
      <c r="AW92" s="344"/>
      <c r="AX92" s="228"/>
    </row>
    <row r="93" spans="1:50" s="9" customFormat="1" hidden="1" outlineLevel="1" x14ac:dyDescent="0.3">
      <c r="A93" s="347" t="s">
        <v>90</v>
      </c>
      <c r="B93" s="377"/>
      <c r="C93" s="349">
        <f t="shared" ref="C93:AL93" si="35">SUM(C88:C92)</f>
        <v>87.375</v>
      </c>
      <c r="D93" s="349">
        <f t="shared" si="35"/>
        <v>114.47499999999999</v>
      </c>
      <c r="E93" s="349">
        <f t="shared" si="35"/>
        <v>176.46199999999999</v>
      </c>
      <c r="F93" s="349">
        <f t="shared" si="35"/>
        <v>352.00399999999991</v>
      </c>
      <c r="G93" s="350">
        <f t="shared" si="35"/>
        <v>56.552999999999997</v>
      </c>
      <c r="H93" s="350">
        <f t="shared" si="35"/>
        <v>68.137</v>
      </c>
      <c r="I93" s="350">
        <f t="shared" si="35"/>
        <v>71.927999999999983</v>
      </c>
      <c r="J93" s="350">
        <f t="shared" si="35"/>
        <v>72.750999999999962</v>
      </c>
      <c r="K93" s="349">
        <f t="shared" si="35"/>
        <v>269.43699999999995</v>
      </c>
      <c r="L93" s="350">
        <f t="shared" si="35"/>
        <v>68.147999999999996</v>
      </c>
      <c r="M93" s="350">
        <f t="shared" si="35"/>
        <v>71.23399999999998</v>
      </c>
      <c r="N93" s="350">
        <f t="shared" si="35"/>
        <v>84.993999999999986</v>
      </c>
      <c r="O93" s="350">
        <f t="shared" si="35"/>
        <v>102.03499999999998</v>
      </c>
      <c r="P93" s="349">
        <f t="shared" si="35"/>
        <v>326.41099999999994</v>
      </c>
      <c r="Q93" s="350">
        <f t="shared" si="35"/>
        <v>107.60900000000001</v>
      </c>
      <c r="R93" s="350">
        <f t="shared" si="35"/>
        <v>118.65299999999999</v>
      </c>
      <c r="S93" s="350">
        <f t="shared" si="35"/>
        <v>124.91400000000002</v>
      </c>
      <c r="T93" s="350">
        <f t="shared" si="35"/>
        <v>127.815</v>
      </c>
      <c r="U93" s="349">
        <f t="shared" si="35"/>
        <v>478.99099999999999</v>
      </c>
      <c r="V93" s="350">
        <f t="shared" si="35"/>
        <v>140.53300000000002</v>
      </c>
      <c r="W93" s="350">
        <f t="shared" si="35"/>
        <v>153.43099999999995</v>
      </c>
      <c r="X93" s="350">
        <f t="shared" si="35"/>
        <v>160.89500000000004</v>
      </c>
      <c r="Y93" s="351">
        <f t="shared" si="35"/>
        <v>159.41100000000006</v>
      </c>
      <c r="Z93" s="352">
        <f t="shared" si="35"/>
        <v>614.26700000000005</v>
      </c>
      <c r="AA93" s="350">
        <f t="shared" si="35"/>
        <v>135.27100000000002</v>
      </c>
      <c r="AB93" s="350">
        <f t="shared" si="35"/>
        <v>149.72399999999996</v>
      </c>
      <c r="AC93" s="350">
        <f t="shared" si="35"/>
        <v>159.47800000000004</v>
      </c>
      <c r="AD93" s="351">
        <f t="shared" si="35"/>
        <v>163.45400000000001</v>
      </c>
      <c r="AE93" s="352">
        <f t="shared" si="35"/>
        <v>607.92499999999995</v>
      </c>
      <c r="AF93" s="350">
        <f t="shared" si="35"/>
        <v>173.29600000000002</v>
      </c>
      <c r="AG93" s="350">
        <f t="shared" si="35"/>
        <v>185.47599999999997</v>
      </c>
      <c r="AH93" s="350">
        <f t="shared" si="35"/>
        <v>194.39</v>
      </c>
      <c r="AI93" s="351">
        <f t="shared" si="35"/>
        <v>200.09800000000001</v>
      </c>
      <c r="AJ93" s="352">
        <f t="shared" si="35"/>
        <v>753.2589999999999</v>
      </c>
      <c r="AK93" s="350">
        <f t="shared" si="35"/>
        <v>207.52299999999997</v>
      </c>
      <c r="AL93" s="353">
        <f t="shared" si="35"/>
        <v>210.85400000000004</v>
      </c>
      <c r="AM93" s="351"/>
      <c r="AN93" s="351"/>
      <c r="AO93" s="352"/>
      <c r="AP93" s="351"/>
      <c r="AQ93" s="351"/>
      <c r="AR93" s="351"/>
      <c r="AS93" s="351"/>
      <c r="AT93" s="352"/>
      <c r="AU93" s="352"/>
      <c r="AV93" s="352"/>
      <c r="AW93" s="352"/>
      <c r="AX93" s="22"/>
    </row>
    <row r="94" spans="1:50" s="9" customFormat="1" hidden="1" outlineLevel="1" x14ac:dyDescent="0.3">
      <c r="A94" s="35"/>
      <c r="B94" s="103"/>
      <c r="C94" s="4"/>
      <c r="D94" s="4"/>
      <c r="E94" s="4"/>
      <c r="F94" s="4"/>
      <c r="G94" s="22"/>
      <c r="H94" s="22"/>
      <c r="I94" s="22"/>
      <c r="J94" s="22"/>
      <c r="K94" s="4"/>
      <c r="L94" s="22"/>
      <c r="M94" s="22"/>
      <c r="N94" s="22"/>
      <c r="O94" s="22"/>
      <c r="P94" s="4"/>
      <c r="Q94" s="22"/>
      <c r="R94" s="22"/>
      <c r="S94" s="22"/>
      <c r="T94" s="22"/>
      <c r="U94" s="4"/>
      <c r="V94" s="22"/>
      <c r="W94" s="22"/>
      <c r="X94" s="22"/>
      <c r="Y94" s="378"/>
      <c r="Z94" s="117"/>
      <c r="AA94" s="22"/>
      <c r="AB94" s="22"/>
      <c r="AC94" s="22"/>
      <c r="AD94" s="378"/>
      <c r="AE94" s="117"/>
      <c r="AF94" s="22"/>
      <c r="AG94" s="22"/>
      <c r="AH94" s="22"/>
      <c r="AI94" s="378"/>
      <c r="AJ94" s="117"/>
      <c r="AK94" s="22"/>
      <c r="AL94" s="308"/>
      <c r="AM94" s="378"/>
      <c r="AN94" s="378"/>
      <c r="AO94" s="117"/>
      <c r="AP94" s="378"/>
      <c r="AQ94" s="378"/>
      <c r="AR94" s="378"/>
      <c r="AS94" s="378"/>
      <c r="AT94" s="117"/>
      <c r="AU94" s="117"/>
      <c r="AV94" s="117"/>
      <c r="AW94" s="117"/>
      <c r="AX94" s="22"/>
    </row>
    <row r="95" spans="1:50" s="9" customFormat="1" hidden="1" outlineLevel="1" x14ac:dyDescent="0.3">
      <c r="A95" s="35" t="s">
        <v>305</v>
      </c>
      <c r="B95" s="103"/>
      <c r="C95" s="4">
        <f t="shared" ref="C95:AL95" si="36">C64</f>
        <v>68.628</v>
      </c>
      <c r="D95" s="4">
        <f t="shared" si="36"/>
        <v>90.652000000000001</v>
      </c>
      <c r="E95" s="4">
        <f t="shared" si="36"/>
        <v>154.643</v>
      </c>
      <c r="F95" s="4">
        <f t="shared" si="36"/>
        <v>224.55500000000001</v>
      </c>
      <c r="G95" s="22">
        <f t="shared" si="36"/>
        <v>62.048000000000002</v>
      </c>
      <c r="H95" s="22">
        <f t="shared" si="36"/>
        <v>65.712999999999994</v>
      </c>
      <c r="I95" s="22">
        <f t="shared" si="36"/>
        <v>72.484999999999999</v>
      </c>
      <c r="J95" s="22">
        <f t="shared" si="36"/>
        <v>76.725999999999999</v>
      </c>
      <c r="K95" s="4">
        <f t="shared" si="36"/>
        <v>276.97199999999998</v>
      </c>
      <c r="L95" s="22">
        <f t="shared" si="36"/>
        <v>75.831000000000003</v>
      </c>
      <c r="M95" s="22">
        <f t="shared" si="36"/>
        <v>77.69</v>
      </c>
      <c r="N95" s="22">
        <f t="shared" si="36"/>
        <v>82.268000000000001</v>
      </c>
      <c r="O95" s="22">
        <f t="shared" si="36"/>
        <v>86.379000000000019</v>
      </c>
      <c r="P95" s="4">
        <f t="shared" si="36"/>
        <v>322.16800000000001</v>
      </c>
      <c r="Q95" s="22">
        <f t="shared" si="36"/>
        <v>90.37700000000001</v>
      </c>
      <c r="R95" s="22">
        <f t="shared" si="36"/>
        <v>96.612000000000009</v>
      </c>
      <c r="S95" s="22">
        <f t="shared" si="36"/>
        <v>101.62100000000001</v>
      </c>
      <c r="T95" s="22">
        <f t="shared" si="36"/>
        <v>105.215</v>
      </c>
      <c r="U95" s="4">
        <f t="shared" si="36"/>
        <v>393.82499999999999</v>
      </c>
      <c r="V95" s="22">
        <f t="shared" si="36"/>
        <v>130.19999999999999</v>
      </c>
      <c r="W95" s="22">
        <f t="shared" si="36"/>
        <v>128.39400000000001</v>
      </c>
      <c r="X95" s="22">
        <f t="shared" si="36"/>
        <v>131.52000000000001</v>
      </c>
      <c r="Y95" s="378">
        <f t="shared" si="36"/>
        <v>134.80800000000002</v>
      </c>
      <c r="Z95" s="117">
        <f t="shared" si="36"/>
        <v>524.92200000000003</v>
      </c>
      <c r="AA95" s="22">
        <f t="shared" si="36"/>
        <v>136.767</v>
      </c>
      <c r="AB95" s="22">
        <f t="shared" si="36"/>
        <v>142.934</v>
      </c>
      <c r="AC95" s="22">
        <f t="shared" si="36"/>
        <v>141.78399999999999</v>
      </c>
      <c r="AD95" s="378">
        <f t="shared" si="36"/>
        <v>159.03899999999999</v>
      </c>
      <c r="AE95" s="117">
        <f t="shared" si="36"/>
        <v>580.524</v>
      </c>
      <c r="AF95" s="22">
        <f t="shared" si="36"/>
        <v>150.023</v>
      </c>
      <c r="AG95" s="22">
        <f t="shared" si="36"/>
        <v>148.23400000000001</v>
      </c>
      <c r="AH95" s="22">
        <f t="shared" si="36"/>
        <v>144.11600000000001</v>
      </c>
      <c r="AI95" s="378">
        <f t="shared" si="36"/>
        <v>145.72299999999998</v>
      </c>
      <c r="AJ95" s="117">
        <f t="shared" si="36"/>
        <v>588.096</v>
      </c>
      <c r="AK95" s="22">
        <f t="shared" si="36"/>
        <v>152.47599999999997</v>
      </c>
      <c r="AL95" s="308">
        <f t="shared" si="36"/>
        <v>158.10500000000002</v>
      </c>
      <c r="AM95" s="378"/>
      <c r="AN95" s="378"/>
      <c r="AO95" s="117"/>
      <c r="AP95" s="378"/>
      <c r="AQ95" s="378"/>
      <c r="AR95" s="378"/>
      <c r="AS95" s="378"/>
      <c r="AT95" s="117"/>
      <c r="AU95" s="117"/>
      <c r="AV95" s="117"/>
      <c r="AW95" s="117"/>
      <c r="AX95" s="22"/>
    </row>
    <row r="96" spans="1:50" s="5" customFormat="1" hidden="1" outlineLevel="1" x14ac:dyDescent="0.3">
      <c r="A96" s="36" t="s">
        <v>455</v>
      </c>
      <c r="B96" s="376"/>
      <c r="C96" s="343"/>
      <c r="D96" s="343">
        <v>-13.715999999999999</v>
      </c>
      <c r="E96" s="343">
        <v>-20.431999999999999</v>
      </c>
      <c r="F96" s="343">
        <v>-33.398000000000003</v>
      </c>
      <c r="G96" s="228">
        <v>-9.9109999999999996</v>
      </c>
      <c r="H96" s="228">
        <v>-10.731</v>
      </c>
      <c r="I96" s="228">
        <v>-11.471</v>
      </c>
      <c r="J96" s="228">
        <v>-11.196999999999999</v>
      </c>
      <c r="K96" s="343">
        <v>-43.31</v>
      </c>
      <c r="L96" s="228">
        <v>-11.116</v>
      </c>
      <c r="M96" s="228">
        <v>-11.414999999999999</v>
      </c>
      <c r="N96" s="228">
        <v>-11.317</v>
      </c>
      <c r="O96" s="228">
        <v>-11.225</v>
      </c>
      <c r="P96" s="343">
        <v>-45.073</v>
      </c>
      <c r="Q96" s="228">
        <v>-11.170999999999999</v>
      </c>
      <c r="R96" s="228">
        <v>-12.676</v>
      </c>
      <c r="S96" s="228">
        <v>-12.238</v>
      </c>
      <c r="T96" s="228">
        <v>-12.313000000000001</v>
      </c>
      <c r="U96" s="343">
        <v>-48.398000000000003</v>
      </c>
      <c r="V96" s="228">
        <v>-17.791</v>
      </c>
      <c r="W96" s="228">
        <v>-17.422999999999998</v>
      </c>
      <c r="X96" s="228">
        <v>-16.949000000000002</v>
      </c>
      <c r="Y96" s="93">
        <v>-16.579999999999998</v>
      </c>
      <c r="Z96" s="344">
        <v>-68.742999999999995</v>
      </c>
      <c r="AA96" s="228">
        <v>-14.286</v>
      </c>
      <c r="AB96" s="228">
        <v>-17.09</v>
      </c>
      <c r="AC96" s="228">
        <v>-18.087</v>
      </c>
      <c r="AD96" s="93">
        <v>-17.401</v>
      </c>
      <c r="AE96" s="344">
        <v>-66.864000000000004</v>
      </c>
      <c r="AF96" s="228">
        <v>-14.563000000000001</v>
      </c>
      <c r="AG96" s="228">
        <v>-14.500999999999999</v>
      </c>
      <c r="AH96" s="228">
        <v>-18.640999999999998</v>
      </c>
      <c r="AI96" s="93">
        <v>-21.687000000000001</v>
      </c>
      <c r="AJ96" s="344">
        <v>-69.391999999999996</v>
      </c>
      <c r="AK96" s="228">
        <v>-23.558</v>
      </c>
      <c r="AL96" s="322">
        <v>-26.12</v>
      </c>
      <c r="AM96" s="93"/>
      <c r="AN96" s="93"/>
      <c r="AO96" s="344"/>
      <c r="AP96" s="93"/>
      <c r="AQ96" s="93"/>
      <c r="AR96" s="93"/>
      <c r="AS96" s="93"/>
      <c r="AT96" s="344"/>
      <c r="AU96" s="344"/>
      <c r="AV96" s="344"/>
      <c r="AW96" s="344"/>
      <c r="AX96" s="228"/>
    </row>
    <row r="97" spans="1:50" s="5" customFormat="1" hidden="1" outlineLevel="1" x14ac:dyDescent="0.3">
      <c r="A97" s="36" t="s">
        <v>465</v>
      </c>
      <c r="B97" s="376"/>
      <c r="C97" s="343"/>
      <c r="D97" s="343">
        <v>-0.86099999999999999</v>
      </c>
      <c r="E97" s="343">
        <v>-5.9630000000000001</v>
      </c>
      <c r="F97" s="343">
        <v>-1.7569999999999999</v>
      </c>
      <c r="G97" s="228">
        <v>-0.439</v>
      </c>
      <c r="H97" s="228">
        <v>-0.81100000000000005</v>
      </c>
      <c r="I97" s="228">
        <v>-1.0009999999999999</v>
      </c>
      <c r="J97" s="228">
        <v>-1.2070000000000001</v>
      </c>
      <c r="K97" s="343">
        <v>-3.4580000000000002</v>
      </c>
      <c r="L97" s="228">
        <v>-1.234</v>
      </c>
      <c r="M97" s="228">
        <v>-1.2350000000000001</v>
      </c>
      <c r="N97" s="228">
        <v>-1.234</v>
      </c>
      <c r="O97" s="228">
        <v>-1.234</v>
      </c>
      <c r="P97" s="343">
        <v>-4.9370000000000003</v>
      </c>
      <c r="Q97" s="228">
        <v>-0.77900000000000003</v>
      </c>
      <c r="R97" s="228">
        <v>-0.39200000000000002</v>
      </c>
      <c r="S97" s="228">
        <v>-0.39</v>
      </c>
      <c r="T97" s="228">
        <v>-0.39100000000000001</v>
      </c>
      <c r="U97" s="343">
        <v>-1.952</v>
      </c>
      <c r="V97" s="228">
        <v>-1.218</v>
      </c>
      <c r="W97" s="228">
        <v>-2.4279999999999999</v>
      </c>
      <c r="X97" s="228">
        <v>-2.4249999999999998</v>
      </c>
      <c r="Y97" s="93">
        <v>-2.4260000000000002</v>
      </c>
      <c r="Z97" s="344">
        <v>-8.4939999999999998</v>
      </c>
      <c r="AA97" s="228">
        <v>-2.4220000000000002</v>
      </c>
      <c r="AB97" s="228">
        <v>-2.4239999999999999</v>
      </c>
      <c r="AC97" s="228">
        <v>-2.4260000000000002</v>
      </c>
      <c r="AD97" s="93">
        <v>-2.4260000000000002</v>
      </c>
      <c r="AE97" s="344">
        <v>-9.6980000000000004</v>
      </c>
      <c r="AF97" s="228">
        <v>-2.4220000000000002</v>
      </c>
      <c r="AG97" s="228">
        <v>-2.2269999999999999</v>
      </c>
      <c r="AH97" s="228">
        <v>-2.2290000000000001</v>
      </c>
      <c r="AI97" s="93">
        <v>-2.2290000000000001</v>
      </c>
      <c r="AJ97" s="344">
        <v>-9.1080000000000005</v>
      </c>
      <c r="AK97" s="228">
        <v>-2.036</v>
      </c>
      <c r="AL97" s="322">
        <v>-1.7609999999999999</v>
      </c>
      <c r="AM97" s="93"/>
      <c r="AN97" s="93"/>
      <c r="AO97" s="344"/>
      <c r="AP97" s="93"/>
      <c r="AQ97" s="93"/>
      <c r="AR97" s="93"/>
      <c r="AS97" s="93"/>
      <c r="AT97" s="344"/>
      <c r="AU97" s="344"/>
      <c r="AV97" s="344"/>
      <c r="AW97" s="344"/>
      <c r="AX97" s="228"/>
    </row>
    <row r="98" spans="1:50" s="5" customFormat="1" hidden="1" outlineLevel="1" x14ac:dyDescent="0.3">
      <c r="A98" s="36" t="s">
        <v>457</v>
      </c>
      <c r="B98" s="376"/>
      <c r="C98" s="343"/>
      <c r="D98" s="343">
        <v>0</v>
      </c>
      <c r="E98" s="343">
        <v>0</v>
      </c>
      <c r="F98" s="343">
        <v>0</v>
      </c>
      <c r="G98" s="228">
        <v>0</v>
      </c>
      <c r="H98" s="228">
        <v>0</v>
      </c>
      <c r="I98" s="228">
        <v>0</v>
      </c>
      <c r="J98" s="228">
        <v>0</v>
      </c>
      <c r="K98" s="343">
        <v>0</v>
      </c>
      <c r="L98" s="228">
        <v>0</v>
      </c>
      <c r="M98" s="228">
        <v>0</v>
      </c>
      <c r="N98" s="228">
        <v>0</v>
      </c>
      <c r="O98" s="228">
        <v>0</v>
      </c>
      <c r="P98" s="343">
        <v>0</v>
      </c>
      <c r="Q98" s="228">
        <v>0</v>
      </c>
      <c r="R98" s="228"/>
      <c r="S98" s="228">
        <v>0</v>
      </c>
      <c r="T98" s="228">
        <v>0</v>
      </c>
      <c r="U98" s="343">
        <v>0</v>
      </c>
      <c r="V98" s="228">
        <v>-5.1059999999999999</v>
      </c>
      <c r="W98" s="228">
        <v>0</v>
      </c>
      <c r="X98" s="228">
        <v>0</v>
      </c>
      <c r="Y98" s="93">
        <v>0.125</v>
      </c>
      <c r="Z98" s="344">
        <v>-4.9809999999999999</v>
      </c>
      <c r="AA98" s="228">
        <v>0</v>
      </c>
      <c r="AB98" s="228">
        <v>0</v>
      </c>
      <c r="AC98" s="228">
        <v>0</v>
      </c>
      <c r="AD98" s="93"/>
      <c r="AE98" s="344"/>
      <c r="AF98" s="228"/>
      <c r="AG98" s="228"/>
      <c r="AH98" s="228"/>
      <c r="AI98" s="93">
        <v>0</v>
      </c>
      <c r="AJ98" s="344">
        <v>0</v>
      </c>
      <c r="AK98" s="228"/>
      <c r="AL98" s="322"/>
      <c r="AM98" s="93"/>
      <c r="AN98" s="93"/>
      <c r="AO98" s="344"/>
      <c r="AP98" s="93"/>
      <c r="AQ98" s="93"/>
      <c r="AR98" s="93"/>
      <c r="AS98" s="93"/>
      <c r="AT98" s="344"/>
      <c r="AU98" s="344"/>
      <c r="AV98" s="344"/>
      <c r="AW98" s="344"/>
      <c r="AX98" s="228"/>
    </row>
    <row r="99" spans="1:50" s="5" customFormat="1" hidden="1" outlineLevel="1" x14ac:dyDescent="0.3">
      <c r="A99" s="36" t="s">
        <v>461</v>
      </c>
      <c r="B99" s="376"/>
      <c r="C99" s="343"/>
      <c r="D99" s="343"/>
      <c r="E99" s="343"/>
      <c r="F99" s="343"/>
      <c r="G99" s="228"/>
      <c r="H99" s="228"/>
      <c r="I99" s="228"/>
      <c r="J99" s="228"/>
      <c r="K99" s="343"/>
      <c r="L99" s="228"/>
      <c r="M99" s="228"/>
      <c r="N99" s="228"/>
      <c r="O99" s="228"/>
      <c r="P99" s="343"/>
      <c r="Q99" s="228"/>
      <c r="R99" s="228"/>
      <c r="S99" s="228"/>
      <c r="T99" s="228"/>
      <c r="U99" s="343"/>
      <c r="V99" s="228"/>
      <c r="W99" s="228"/>
      <c r="X99" s="228"/>
      <c r="Y99" s="93"/>
      <c r="Z99" s="344"/>
      <c r="AA99" s="228"/>
      <c r="AB99" s="228"/>
      <c r="AC99" s="228"/>
      <c r="AD99" s="93">
        <v>-12.019</v>
      </c>
      <c r="AE99" s="344">
        <v>-12.019</v>
      </c>
      <c r="AF99" s="228">
        <v>-7.5869999999999997</v>
      </c>
      <c r="AG99" s="228">
        <v>-1.774</v>
      </c>
      <c r="AH99" s="228">
        <v>-0.94699999999999995</v>
      </c>
      <c r="AI99" s="93">
        <v>-2.1000000000000001E-2</v>
      </c>
      <c r="AJ99" s="344">
        <v>-10.329000000000001</v>
      </c>
      <c r="AK99" s="228">
        <v>-0.90300000000000002</v>
      </c>
      <c r="AL99" s="322">
        <v>-0.27500000000000002</v>
      </c>
      <c r="AM99" s="93"/>
      <c r="AN99" s="93"/>
      <c r="AO99" s="344"/>
      <c r="AP99" s="93"/>
      <c r="AQ99" s="93"/>
      <c r="AR99" s="93"/>
      <c r="AS99" s="93"/>
      <c r="AT99" s="344"/>
      <c r="AU99" s="344"/>
      <c r="AV99" s="344"/>
      <c r="AW99" s="344"/>
      <c r="AX99" s="228"/>
    </row>
    <row r="100" spans="1:50" s="5" customFormat="1" hidden="1" outlineLevel="1" x14ac:dyDescent="0.3">
      <c r="A100" s="36" t="s">
        <v>458</v>
      </c>
      <c r="B100" s="376"/>
      <c r="C100" s="343"/>
      <c r="D100" s="343">
        <v>0</v>
      </c>
      <c r="E100" s="343">
        <v>0</v>
      </c>
      <c r="F100" s="343">
        <v>0</v>
      </c>
      <c r="G100" s="228">
        <v>0</v>
      </c>
      <c r="H100" s="228">
        <v>-1.8280000000000001</v>
      </c>
      <c r="I100" s="228">
        <v>-1.266</v>
      </c>
      <c r="J100" s="228">
        <v>-0.71199999999999997</v>
      </c>
      <c r="K100" s="343">
        <v>-3.806</v>
      </c>
      <c r="L100" s="228">
        <v>-0.63600000000000001</v>
      </c>
      <c r="M100" s="228">
        <v>-0.50900000000000001</v>
      </c>
      <c r="N100" s="228">
        <v>-1.4410000000000001</v>
      </c>
      <c r="O100" s="228">
        <v>-0.97</v>
      </c>
      <c r="P100" s="343">
        <v>-3.556</v>
      </c>
      <c r="Q100" s="228">
        <v>-0.98799999999999999</v>
      </c>
      <c r="R100" s="228">
        <v>-1.0649999999999999</v>
      </c>
      <c r="S100" s="228">
        <v>-1.032</v>
      </c>
      <c r="T100" s="228">
        <v>-1.3029999999999999</v>
      </c>
      <c r="U100" s="343">
        <v>-4.3879999999999999</v>
      </c>
      <c r="V100" s="228">
        <v>-6.88</v>
      </c>
      <c r="W100" s="228">
        <v>-0.627</v>
      </c>
      <c r="X100" s="228">
        <v>-0.49199999999999999</v>
      </c>
      <c r="Y100" s="93">
        <v>-0.88400000000000001</v>
      </c>
      <c r="Z100" s="344">
        <v>-8.8840000000000003</v>
      </c>
      <c r="AA100" s="228">
        <v>-0.47699999999999998</v>
      </c>
      <c r="AB100" s="228">
        <v>-0.153</v>
      </c>
      <c r="AC100" s="228">
        <v>-0.28999999999999998</v>
      </c>
      <c r="AD100" s="93">
        <v>-1.748</v>
      </c>
      <c r="AE100" s="344">
        <v>-2.669</v>
      </c>
      <c r="AF100" s="228">
        <v>-4.2779999999999996</v>
      </c>
      <c r="AG100" s="228">
        <v>-10.502000000000001</v>
      </c>
      <c r="AH100" s="228">
        <v>-1.125</v>
      </c>
      <c r="AI100" s="93">
        <v>-0.34499999999999997</v>
      </c>
      <c r="AJ100" s="344">
        <v>-16.248999999999999</v>
      </c>
      <c r="AK100" s="345">
        <v>-4.774</v>
      </c>
      <c r="AL100" s="322">
        <v>-3.7730000000000001</v>
      </c>
      <c r="AM100" s="93"/>
      <c r="AN100" s="93"/>
      <c r="AO100" s="344"/>
      <c r="AP100" s="93"/>
      <c r="AQ100" s="93"/>
      <c r="AR100" s="93"/>
      <c r="AS100" s="93"/>
      <c r="AT100" s="344"/>
      <c r="AU100" s="344"/>
      <c r="AV100" s="344"/>
      <c r="AW100" s="344"/>
      <c r="AX100" s="228"/>
    </row>
    <row r="101" spans="1:50" s="9" customFormat="1" hidden="1" outlineLevel="1" x14ac:dyDescent="0.3">
      <c r="A101" s="347" t="s">
        <v>306</v>
      </c>
      <c r="B101" s="377"/>
      <c r="C101" s="349">
        <f t="shared" ref="C101:AL101" si="37">SUM(C95:C100)</f>
        <v>68.628</v>
      </c>
      <c r="D101" s="349">
        <f t="shared" si="37"/>
        <v>76.075000000000003</v>
      </c>
      <c r="E101" s="349">
        <f t="shared" si="37"/>
        <v>128.24800000000002</v>
      </c>
      <c r="F101" s="349">
        <f t="shared" si="37"/>
        <v>189.4</v>
      </c>
      <c r="G101" s="350">
        <f t="shared" si="37"/>
        <v>51.698</v>
      </c>
      <c r="H101" s="350">
        <f t="shared" si="37"/>
        <v>52.342999999999989</v>
      </c>
      <c r="I101" s="350">
        <f t="shared" si="37"/>
        <v>58.747</v>
      </c>
      <c r="J101" s="350">
        <f t="shared" si="37"/>
        <v>63.61</v>
      </c>
      <c r="K101" s="349">
        <f t="shared" si="37"/>
        <v>226.39799999999997</v>
      </c>
      <c r="L101" s="350">
        <f t="shared" si="37"/>
        <v>62.844999999999999</v>
      </c>
      <c r="M101" s="350">
        <f t="shared" si="37"/>
        <v>64.531000000000006</v>
      </c>
      <c r="N101" s="350">
        <f t="shared" si="37"/>
        <v>68.275999999999996</v>
      </c>
      <c r="O101" s="350">
        <f t="shared" si="37"/>
        <v>72.950000000000031</v>
      </c>
      <c r="P101" s="349">
        <f t="shared" si="37"/>
        <v>268.60200000000003</v>
      </c>
      <c r="Q101" s="350">
        <f t="shared" si="37"/>
        <v>77.439000000000021</v>
      </c>
      <c r="R101" s="350">
        <f t="shared" si="37"/>
        <v>82.479000000000013</v>
      </c>
      <c r="S101" s="350">
        <f t="shared" si="37"/>
        <v>87.961000000000013</v>
      </c>
      <c r="T101" s="350">
        <f t="shared" si="37"/>
        <v>91.207999999999998</v>
      </c>
      <c r="U101" s="349">
        <f t="shared" si="37"/>
        <v>339.08699999999999</v>
      </c>
      <c r="V101" s="350">
        <f t="shared" si="37"/>
        <v>99.204999999999998</v>
      </c>
      <c r="W101" s="350">
        <f t="shared" si="37"/>
        <v>107.91600000000001</v>
      </c>
      <c r="X101" s="350">
        <f t="shared" si="37"/>
        <v>111.65400000000001</v>
      </c>
      <c r="Y101" s="351">
        <f t="shared" si="37"/>
        <v>115.04300000000002</v>
      </c>
      <c r="Z101" s="352">
        <f t="shared" si="37"/>
        <v>433.82000000000005</v>
      </c>
      <c r="AA101" s="350">
        <f t="shared" si="37"/>
        <v>119.58199999999999</v>
      </c>
      <c r="AB101" s="350">
        <f t="shared" si="37"/>
        <v>123.26699999999998</v>
      </c>
      <c r="AC101" s="350">
        <f t="shared" si="37"/>
        <v>120.98099999999998</v>
      </c>
      <c r="AD101" s="351">
        <f t="shared" si="37"/>
        <v>125.44499999999998</v>
      </c>
      <c r="AE101" s="352">
        <f t="shared" si="37"/>
        <v>489.274</v>
      </c>
      <c r="AF101" s="350">
        <f t="shared" si="37"/>
        <v>121.173</v>
      </c>
      <c r="AG101" s="350">
        <f t="shared" si="37"/>
        <v>119.23</v>
      </c>
      <c r="AH101" s="350">
        <f t="shared" si="37"/>
        <v>121.17400000000002</v>
      </c>
      <c r="AI101" s="351">
        <f t="shared" si="37"/>
        <v>121.44099999999999</v>
      </c>
      <c r="AJ101" s="352">
        <f t="shared" si="37"/>
        <v>483.01799999999992</v>
      </c>
      <c r="AK101" s="350">
        <f t="shared" si="37"/>
        <v>121.20499999999997</v>
      </c>
      <c r="AL101" s="353">
        <f t="shared" si="37"/>
        <v>126.17600000000002</v>
      </c>
      <c r="AM101" s="351"/>
      <c r="AN101" s="351"/>
      <c r="AO101" s="352"/>
      <c r="AP101" s="351"/>
      <c r="AQ101" s="351"/>
      <c r="AR101" s="351"/>
      <c r="AS101" s="351"/>
      <c r="AT101" s="352"/>
      <c r="AU101" s="352"/>
      <c r="AV101" s="352"/>
      <c r="AW101" s="352"/>
      <c r="AX101" s="22"/>
    </row>
    <row r="102" spans="1:50" s="9" customFormat="1" hidden="1" outlineLevel="1" x14ac:dyDescent="0.3">
      <c r="A102" s="35"/>
      <c r="B102" s="103"/>
      <c r="C102" s="4"/>
      <c r="D102" s="4"/>
      <c r="E102" s="4"/>
      <c r="F102" s="4"/>
      <c r="G102" s="22"/>
      <c r="H102" s="22"/>
      <c r="I102" s="22"/>
      <c r="J102" s="22"/>
      <c r="K102" s="4"/>
      <c r="L102" s="22"/>
      <c r="M102" s="22"/>
      <c r="N102" s="22"/>
      <c r="O102" s="22"/>
      <c r="P102" s="4"/>
      <c r="Q102" s="22"/>
      <c r="R102" s="22"/>
      <c r="S102" s="22"/>
      <c r="T102" s="22"/>
      <c r="U102" s="4"/>
      <c r="V102" s="22"/>
      <c r="W102" s="22"/>
      <c r="X102" s="22"/>
      <c r="Y102" s="378"/>
      <c r="Z102" s="117"/>
      <c r="AA102" s="22"/>
      <c r="AB102" s="22"/>
      <c r="AC102" s="22"/>
      <c r="AD102" s="378"/>
      <c r="AE102" s="117"/>
      <c r="AF102" s="22"/>
      <c r="AG102" s="22"/>
      <c r="AH102" s="22"/>
      <c r="AI102" s="378"/>
      <c r="AJ102" s="117"/>
      <c r="AK102" s="22"/>
      <c r="AL102" s="308"/>
      <c r="AM102" s="378"/>
      <c r="AN102" s="378"/>
      <c r="AO102" s="117"/>
      <c r="AP102" s="378"/>
      <c r="AQ102" s="378"/>
      <c r="AR102" s="378"/>
      <c r="AS102" s="378"/>
      <c r="AT102" s="117"/>
      <c r="AU102" s="117"/>
      <c r="AV102" s="117"/>
      <c r="AW102" s="117"/>
      <c r="AX102" s="22"/>
    </row>
    <row r="103" spans="1:50" s="9" customFormat="1" hidden="1" outlineLevel="1" x14ac:dyDescent="0.3">
      <c r="A103" s="35" t="s">
        <v>466</v>
      </c>
      <c r="B103" s="103"/>
      <c r="C103" s="4">
        <f t="shared" ref="C103:AL103" si="38">C65</f>
        <v>18.747</v>
      </c>
      <c r="D103" s="4">
        <f t="shared" si="38"/>
        <v>23.437999999999988</v>
      </c>
      <c r="E103" s="4">
        <f t="shared" si="38"/>
        <v>12.592999999999989</v>
      </c>
      <c r="F103" s="4">
        <f t="shared" si="38"/>
        <v>118.30799999999994</v>
      </c>
      <c r="G103" s="22">
        <f t="shared" si="38"/>
        <v>-7.9160000000000039</v>
      </c>
      <c r="H103" s="22">
        <f t="shared" si="38"/>
        <v>0.28700000000000614</v>
      </c>
      <c r="I103" s="22">
        <f t="shared" si="38"/>
        <v>-5.2870000000000061</v>
      </c>
      <c r="J103" s="22">
        <f t="shared" si="38"/>
        <v>-7.9020000000000294</v>
      </c>
      <c r="K103" s="4">
        <f t="shared" si="38"/>
        <v>-20.817999999999984</v>
      </c>
      <c r="L103" s="22">
        <f t="shared" si="38"/>
        <v>-10.560000000000016</v>
      </c>
      <c r="M103" s="22">
        <f t="shared" si="38"/>
        <v>-9.3000000000000114</v>
      </c>
      <c r="N103" s="22">
        <f t="shared" si="38"/>
        <v>-0.93700000000001182</v>
      </c>
      <c r="O103" s="22">
        <f t="shared" si="38"/>
        <v>13.605999999999966</v>
      </c>
      <c r="P103" s="4">
        <f t="shared" si="38"/>
        <v>-7.1910000000000309</v>
      </c>
      <c r="Q103" s="22">
        <f t="shared" si="38"/>
        <v>15.210999999999999</v>
      </c>
      <c r="R103" s="22">
        <f t="shared" si="38"/>
        <v>19.35799999999999</v>
      </c>
      <c r="S103" s="22">
        <f t="shared" si="38"/>
        <v>20.62700000000001</v>
      </c>
      <c r="T103" s="22">
        <f t="shared" si="38"/>
        <v>19.909999999999997</v>
      </c>
      <c r="U103" s="4">
        <f t="shared" si="38"/>
        <v>75.105999999999995</v>
      </c>
      <c r="V103" s="22">
        <f t="shared" si="38"/>
        <v>-3.8709999999999809</v>
      </c>
      <c r="W103" s="22">
        <f t="shared" si="38"/>
        <v>6.5999999999999659</v>
      </c>
      <c r="X103" s="22">
        <f t="shared" si="38"/>
        <v>14.5</v>
      </c>
      <c r="Y103" s="378">
        <f t="shared" si="38"/>
        <v>13.361000000000047</v>
      </c>
      <c r="Z103" s="117">
        <f t="shared" si="38"/>
        <v>30.590000000000032</v>
      </c>
      <c r="AA103" s="22">
        <f t="shared" si="38"/>
        <v>-12.565999999999988</v>
      </c>
      <c r="AB103" s="22">
        <f t="shared" si="38"/>
        <v>-4.3990000000000293</v>
      </c>
      <c r="AC103" s="22">
        <f t="shared" si="38"/>
        <v>6.5800000000000409</v>
      </c>
      <c r="AD103" s="378">
        <f t="shared" si="38"/>
        <v>-6.6959999999999695</v>
      </c>
      <c r="AE103" s="117">
        <f t="shared" si="38"/>
        <v>-17.081000000000017</v>
      </c>
      <c r="AF103" s="22">
        <f t="shared" si="38"/>
        <v>11.979000000000013</v>
      </c>
      <c r="AG103" s="22">
        <f t="shared" si="38"/>
        <v>16.559999999999974</v>
      </c>
      <c r="AH103" s="22">
        <f t="shared" si="38"/>
        <v>39.532999999999987</v>
      </c>
      <c r="AI103" s="378">
        <f t="shared" si="38"/>
        <v>44.00200000000001</v>
      </c>
      <c r="AJ103" s="117">
        <f t="shared" si="38"/>
        <v>112.07399999999996</v>
      </c>
      <c r="AK103" s="22">
        <f t="shared" si="38"/>
        <v>44.655000000000001</v>
      </c>
      <c r="AL103" s="308">
        <f t="shared" si="38"/>
        <v>42.185000000000002</v>
      </c>
      <c r="AM103" s="378"/>
      <c r="AN103" s="378"/>
      <c r="AO103" s="117"/>
      <c r="AP103" s="378"/>
      <c r="AQ103" s="378"/>
      <c r="AR103" s="378"/>
      <c r="AS103" s="378"/>
      <c r="AT103" s="117"/>
      <c r="AU103" s="117"/>
      <c r="AV103" s="117"/>
      <c r="AW103" s="117"/>
      <c r="AX103" s="22"/>
    </row>
    <row r="104" spans="1:50" s="5" customFormat="1" hidden="1" outlineLevel="1" x14ac:dyDescent="0.3">
      <c r="A104" s="36" t="s">
        <v>455</v>
      </c>
      <c r="B104" s="376"/>
      <c r="C104" s="343"/>
      <c r="D104" s="343">
        <v>14.101000000000001</v>
      </c>
      <c r="E104" s="343">
        <v>21.411999999999999</v>
      </c>
      <c r="F104" s="343">
        <v>35.018999999999998</v>
      </c>
      <c r="G104" s="228">
        <v>10.375</v>
      </c>
      <c r="H104" s="228">
        <v>11.164999999999999</v>
      </c>
      <c r="I104" s="228">
        <v>11.932</v>
      </c>
      <c r="J104" s="228">
        <v>11.666</v>
      </c>
      <c r="K104" s="343">
        <v>45.137999999999998</v>
      </c>
      <c r="L104" s="228">
        <v>11.638</v>
      </c>
      <c r="M104" s="228">
        <v>11.946999999999999</v>
      </c>
      <c r="N104" s="228">
        <v>11.849</v>
      </c>
      <c r="O104" s="228">
        <v>11.801</v>
      </c>
      <c r="P104" s="343">
        <v>47.234999999999999</v>
      </c>
      <c r="Q104" s="228">
        <v>11.718</v>
      </c>
      <c r="R104" s="228">
        <v>13.286</v>
      </c>
      <c r="S104" s="228">
        <v>12.83</v>
      </c>
      <c r="T104" s="228">
        <v>12.93</v>
      </c>
      <c r="U104" s="343">
        <v>50.764000000000003</v>
      </c>
      <c r="V104" s="228">
        <v>18.265999999999998</v>
      </c>
      <c r="W104" s="228">
        <v>18.094000000000001</v>
      </c>
      <c r="X104" s="228">
        <v>17.576000000000001</v>
      </c>
      <c r="Y104" s="93">
        <v>17.181999999999999</v>
      </c>
      <c r="Z104" s="344">
        <v>71.117999999999995</v>
      </c>
      <c r="AA104" s="228">
        <v>14.768000000000001</v>
      </c>
      <c r="AB104" s="228">
        <v>17.664999999999999</v>
      </c>
      <c r="AC104" s="228">
        <v>18.559999999999999</v>
      </c>
      <c r="AD104" s="93">
        <v>17.870999999999999</v>
      </c>
      <c r="AE104" s="344">
        <v>68.864000000000004</v>
      </c>
      <c r="AF104" s="228">
        <v>14.974</v>
      </c>
      <c r="AG104" s="228">
        <v>14.916</v>
      </c>
      <c r="AH104" s="228">
        <v>19.155999999999999</v>
      </c>
      <c r="AI104" s="93">
        <v>22.295999999999999</v>
      </c>
      <c r="AJ104" s="344">
        <v>71.341999999999999</v>
      </c>
      <c r="AK104" s="228">
        <v>24.242000000000001</v>
      </c>
      <c r="AL104" s="322">
        <v>26.949000000000002</v>
      </c>
      <c r="AM104" s="93"/>
      <c r="AN104" s="93"/>
      <c r="AO104" s="344"/>
      <c r="AP104" s="93"/>
      <c r="AQ104" s="93"/>
      <c r="AR104" s="93"/>
      <c r="AS104" s="93"/>
      <c r="AT104" s="344"/>
      <c r="AU104" s="344"/>
      <c r="AV104" s="344"/>
      <c r="AW104" s="344"/>
      <c r="AX104" s="228"/>
    </row>
    <row r="105" spans="1:50" s="5" customFormat="1" hidden="1" outlineLevel="1" x14ac:dyDescent="0.3">
      <c r="A105" s="36" t="s">
        <v>457</v>
      </c>
      <c r="B105" s="376"/>
      <c r="C105" s="343"/>
      <c r="D105" s="343">
        <v>0</v>
      </c>
      <c r="E105" s="343">
        <v>0</v>
      </c>
      <c r="F105" s="343">
        <v>0</v>
      </c>
      <c r="G105" s="228">
        <v>0</v>
      </c>
      <c r="H105" s="228">
        <v>0</v>
      </c>
      <c r="I105" s="228">
        <v>0</v>
      </c>
      <c r="J105" s="228">
        <v>0</v>
      </c>
      <c r="K105" s="343">
        <v>0</v>
      </c>
      <c r="L105" s="228">
        <v>0</v>
      </c>
      <c r="M105" s="228">
        <v>0</v>
      </c>
      <c r="N105" s="228">
        <v>1.25</v>
      </c>
      <c r="O105" s="228">
        <v>0</v>
      </c>
      <c r="P105" s="343">
        <v>1.25</v>
      </c>
      <c r="Q105" s="228">
        <v>0</v>
      </c>
      <c r="R105" s="228">
        <v>0</v>
      </c>
      <c r="S105" s="228">
        <v>0</v>
      </c>
      <c r="T105" s="228">
        <v>0</v>
      </c>
      <c r="U105" s="343">
        <v>0</v>
      </c>
      <c r="V105" s="228">
        <v>5.1059999999999999</v>
      </c>
      <c r="W105" s="228">
        <v>0</v>
      </c>
      <c r="X105" s="228">
        <v>0</v>
      </c>
      <c r="Y105" s="93">
        <v>-0.125</v>
      </c>
      <c r="Z105" s="344">
        <v>4.9809999999999999</v>
      </c>
      <c r="AA105" s="228">
        <v>0</v>
      </c>
      <c r="AB105" s="228">
        <v>0</v>
      </c>
      <c r="AC105" s="228">
        <v>0</v>
      </c>
      <c r="AD105" s="93"/>
      <c r="AE105" s="344"/>
      <c r="AF105" s="228"/>
      <c r="AG105" s="228">
        <v>9.1609999999999996</v>
      </c>
      <c r="AH105" s="228"/>
      <c r="AI105" s="93"/>
      <c r="AJ105" s="344">
        <v>9.1609999999999996</v>
      </c>
      <c r="AK105" s="228"/>
      <c r="AL105" s="322"/>
      <c r="AM105" s="93"/>
      <c r="AN105" s="93"/>
      <c r="AO105" s="344"/>
      <c r="AP105" s="93"/>
      <c r="AQ105" s="93"/>
      <c r="AR105" s="93"/>
      <c r="AS105" s="93"/>
      <c r="AT105" s="344"/>
      <c r="AU105" s="344"/>
      <c r="AV105" s="344"/>
      <c r="AW105" s="344"/>
      <c r="AX105" s="228"/>
    </row>
    <row r="106" spans="1:50" s="5" customFormat="1" hidden="1" outlineLevel="1" x14ac:dyDescent="0.3">
      <c r="A106" s="36" t="s">
        <v>456</v>
      </c>
      <c r="B106" s="376"/>
      <c r="C106" s="343"/>
      <c r="D106" s="343">
        <v>0.86099999999999999</v>
      </c>
      <c r="E106" s="343">
        <v>14.209</v>
      </c>
      <c r="F106" s="343">
        <v>9.2769999999999992</v>
      </c>
      <c r="G106" s="228">
        <v>2.3959999999999999</v>
      </c>
      <c r="H106" s="228">
        <v>2.5139999999999998</v>
      </c>
      <c r="I106" s="228">
        <v>4.5709999999999997</v>
      </c>
      <c r="J106" s="228">
        <v>4.4569999999999999</v>
      </c>
      <c r="K106" s="343">
        <v>14.006</v>
      </c>
      <c r="L106" s="228">
        <v>3.5049999999999999</v>
      </c>
      <c r="M106" s="228">
        <v>3.012</v>
      </c>
      <c r="N106" s="228">
        <v>2.8849999999999998</v>
      </c>
      <c r="O106" s="228">
        <v>2.7080000000000002</v>
      </c>
      <c r="P106" s="343">
        <v>12.11</v>
      </c>
      <c r="Q106" s="228">
        <v>2.2530000000000001</v>
      </c>
      <c r="R106" s="228">
        <v>2.4649999999999999</v>
      </c>
      <c r="S106" s="228">
        <v>2.464</v>
      </c>
      <c r="T106" s="228">
        <v>2.464</v>
      </c>
      <c r="U106" s="343">
        <v>9.6460000000000008</v>
      </c>
      <c r="V106" s="228">
        <v>11.647</v>
      </c>
      <c r="W106" s="228">
        <v>15.961</v>
      </c>
      <c r="X106" s="228">
        <v>15.944000000000001</v>
      </c>
      <c r="Y106" s="93">
        <v>13.066000000000001</v>
      </c>
      <c r="Z106" s="344">
        <v>56.613</v>
      </c>
      <c r="AA106" s="228">
        <v>13.01</v>
      </c>
      <c r="AB106" s="228">
        <v>13.038</v>
      </c>
      <c r="AC106" s="228">
        <v>13.067</v>
      </c>
      <c r="AD106" s="93">
        <v>13.067</v>
      </c>
      <c r="AE106" s="344">
        <v>52.18</v>
      </c>
      <c r="AF106" s="228">
        <v>13.305</v>
      </c>
      <c r="AG106" s="228">
        <v>13.333</v>
      </c>
      <c r="AH106" s="228">
        <v>12.455</v>
      </c>
      <c r="AI106" s="93">
        <v>11.993</v>
      </c>
      <c r="AJ106" s="344">
        <v>51.085999999999999</v>
      </c>
      <c r="AK106" s="228">
        <v>11.744</v>
      </c>
      <c r="AL106" s="322">
        <v>11.496</v>
      </c>
      <c r="AM106" s="93"/>
      <c r="AN106" s="93"/>
      <c r="AO106" s="344"/>
      <c r="AP106" s="93"/>
      <c r="AQ106" s="93"/>
      <c r="AR106" s="93"/>
      <c r="AS106" s="93"/>
      <c r="AT106" s="344"/>
      <c r="AU106" s="344"/>
      <c r="AV106" s="344"/>
      <c r="AW106" s="344"/>
      <c r="AX106" s="228"/>
    </row>
    <row r="107" spans="1:50" s="5" customFormat="1" hidden="1" outlineLevel="1" x14ac:dyDescent="0.3">
      <c r="A107" s="36" t="s">
        <v>461</v>
      </c>
      <c r="B107" s="376"/>
      <c r="C107" s="343"/>
      <c r="D107" s="343"/>
      <c r="E107" s="343"/>
      <c r="F107" s="343"/>
      <c r="G107" s="228"/>
      <c r="H107" s="228"/>
      <c r="I107" s="228"/>
      <c r="J107" s="228"/>
      <c r="K107" s="343"/>
      <c r="L107" s="228"/>
      <c r="M107" s="228"/>
      <c r="N107" s="228"/>
      <c r="O107" s="228"/>
      <c r="P107" s="343"/>
      <c r="Q107" s="228"/>
      <c r="R107" s="228"/>
      <c r="S107" s="228"/>
      <c r="T107" s="228"/>
      <c r="U107" s="343"/>
      <c r="V107" s="228"/>
      <c r="W107" s="228"/>
      <c r="X107" s="228"/>
      <c r="Y107" s="93"/>
      <c r="Z107" s="344"/>
      <c r="AA107" s="228"/>
      <c r="AB107" s="228"/>
      <c r="AC107" s="228"/>
      <c r="AD107" s="93">
        <v>12.019</v>
      </c>
      <c r="AE107" s="344">
        <v>12.019</v>
      </c>
      <c r="AF107" s="228">
        <v>7.5869999999999997</v>
      </c>
      <c r="AG107" s="228">
        <v>1.774</v>
      </c>
      <c r="AH107" s="228">
        <v>0.94699999999999995</v>
      </c>
      <c r="AI107" s="93">
        <v>2.1000000000000001E-2</v>
      </c>
      <c r="AJ107" s="344">
        <v>10.329000000000001</v>
      </c>
      <c r="AK107" s="228">
        <v>0.90300000000000002</v>
      </c>
      <c r="AL107" s="322">
        <v>0.27500000000000002</v>
      </c>
      <c r="AM107" s="93"/>
      <c r="AN107" s="93"/>
      <c r="AO107" s="344"/>
      <c r="AP107" s="93"/>
      <c r="AQ107" s="93"/>
      <c r="AR107" s="93"/>
      <c r="AS107" s="93"/>
      <c r="AT107" s="344"/>
      <c r="AU107" s="344"/>
      <c r="AV107" s="344"/>
      <c r="AW107" s="344"/>
      <c r="AX107" s="228"/>
    </row>
    <row r="108" spans="1:50" s="5" customFormat="1" hidden="1" outlineLevel="1" x14ac:dyDescent="0.3">
      <c r="A108" s="36" t="s">
        <v>458</v>
      </c>
      <c r="B108" s="376"/>
      <c r="C108" s="343"/>
      <c r="D108" s="343">
        <v>0</v>
      </c>
      <c r="E108" s="343">
        <v>0</v>
      </c>
      <c r="F108" s="343">
        <v>0</v>
      </c>
      <c r="G108" s="228">
        <v>0</v>
      </c>
      <c r="H108" s="228">
        <v>1.8280000000000001</v>
      </c>
      <c r="I108" s="228">
        <v>1.9650000000000001</v>
      </c>
      <c r="J108" s="228">
        <v>0.92</v>
      </c>
      <c r="K108" s="343">
        <v>4.7130000000000001</v>
      </c>
      <c r="L108" s="228">
        <v>0.72</v>
      </c>
      <c r="M108" s="228">
        <v>1.044</v>
      </c>
      <c r="N108" s="228">
        <v>1.671</v>
      </c>
      <c r="O108" s="228">
        <v>0.97</v>
      </c>
      <c r="P108" s="343">
        <v>4.4050000000000002</v>
      </c>
      <c r="Q108" s="228">
        <v>0.98799999999999999</v>
      </c>
      <c r="R108" s="228">
        <v>1.0649999999999999</v>
      </c>
      <c r="S108" s="228">
        <v>1.032</v>
      </c>
      <c r="T108" s="228">
        <v>1.3029999999999999</v>
      </c>
      <c r="U108" s="343">
        <v>4.3879999999999999</v>
      </c>
      <c r="V108" s="228">
        <v>10.18</v>
      </c>
      <c r="W108" s="228">
        <v>4.8600000000000003</v>
      </c>
      <c r="X108" s="228">
        <v>1.2210000000000001</v>
      </c>
      <c r="Y108" s="93">
        <v>0.88400000000000001</v>
      </c>
      <c r="Z108" s="344">
        <v>17.145</v>
      </c>
      <c r="AA108" s="228">
        <v>0.47699999999999998</v>
      </c>
      <c r="AB108" s="228">
        <v>0.153</v>
      </c>
      <c r="AC108" s="228">
        <v>0.28999999999999998</v>
      </c>
      <c r="AD108" s="93">
        <v>1.748</v>
      </c>
      <c r="AE108" s="344">
        <v>2.669</v>
      </c>
      <c r="AF108" s="228">
        <v>4.2779999999999996</v>
      </c>
      <c r="AG108" s="228">
        <v>10.502000000000001</v>
      </c>
      <c r="AH108" s="228">
        <v>1.125</v>
      </c>
      <c r="AI108" s="93">
        <v>0.34499999999999997</v>
      </c>
      <c r="AJ108" s="344">
        <v>16.248999999999999</v>
      </c>
      <c r="AK108" s="345">
        <v>4.774</v>
      </c>
      <c r="AL108" s="322">
        <v>3.7730000000000001</v>
      </c>
      <c r="AM108" s="93"/>
      <c r="AN108" s="93"/>
      <c r="AO108" s="344"/>
      <c r="AP108" s="93"/>
      <c r="AQ108" s="93"/>
      <c r="AR108" s="93"/>
      <c r="AS108" s="93"/>
      <c r="AT108" s="344"/>
      <c r="AU108" s="344"/>
      <c r="AV108" s="344"/>
      <c r="AW108" s="344"/>
      <c r="AX108" s="228"/>
    </row>
    <row r="109" spans="1:50" s="9" customFormat="1" hidden="1" outlineLevel="1" x14ac:dyDescent="0.3">
      <c r="A109" s="347" t="s">
        <v>467</v>
      </c>
      <c r="B109" s="377"/>
      <c r="C109" s="349">
        <f t="shared" ref="C109:AL109" si="39">SUM(C103:C108)</f>
        <v>18.747</v>
      </c>
      <c r="D109" s="349">
        <f t="shared" si="39"/>
        <v>38.399999999999984</v>
      </c>
      <c r="E109" s="349">
        <f t="shared" si="39"/>
        <v>48.213999999999984</v>
      </c>
      <c r="F109" s="349">
        <f t="shared" si="39"/>
        <v>162.60399999999993</v>
      </c>
      <c r="G109" s="350">
        <f t="shared" si="39"/>
        <v>4.854999999999996</v>
      </c>
      <c r="H109" s="350">
        <f t="shared" si="39"/>
        <v>15.794000000000004</v>
      </c>
      <c r="I109" s="350">
        <f t="shared" si="39"/>
        <v>13.180999999999994</v>
      </c>
      <c r="J109" s="350">
        <f t="shared" si="39"/>
        <v>9.1409999999999716</v>
      </c>
      <c r="K109" s="349">
        <f t="shared" si="39"/>
        <v>43.039000000000016</v>
      </c>
      <c r="L109" s="350">
        <f t="shared" si="39"/>
        <v>5.3029999999999831</v>
      </c>
      <c r="M109" s="350">
        <f t="shared" si="39"/>
        <v>6.7029999999999887</v>
      </c>
      <c r="N109" s="350">
        <f t="shared" si="39"/>
        <v>16.717999999999989</v>
      </c>
      <c r="O109" s="350">
        <f t="shared" si="39"/>
        <v>29.084999999999965</v>
      </c>
      <c r="P109" s="349">
        <f t="shared" si="39"/>
        <v>57.808999999999969</v>
      </c>
      <c r="Q109" s="350">
        <f t="shared" si="39"/>
        <v>30.169999999999998</v>
      </c>
      <c r="R109" s="350">
        <f t="shared" si="39"/>
        <v>36.173999999999992</v>
      </c>
      <c r="S109" s="350">
        <f t="shared" si="39"/>
        <v>36.953000000000003</v>
      </c>
      <c r="T109" s="350">
        <f t="shared" si="39"/>
        <v>36.606999999999992</v>
      </c>
      <c r="U109" s="349">
        <f t="shared" si="39"/>
        <v>139.90400000000002</v>
      </c>
      <c r="V109" s="350">
        <f t="shared" si="39"/>
        <v>41.328000000000017</v>
      </c>
      <c r="W109" s="350">
        <f t="shared" si="39"/>
        <v>45.514999999999965</v>
      </c>
      <c r="X109" s="350">
        <f t="shared" si="39"/>
        <v>49.241</v>
      </c>
      <c r="Y109" s="351">
        <f t="shared" si="39"/>
        <v>44.368000000000045</v>
      </c>
      <c r="Z109" s="352">
        <f t="shared" si="39"/>
        <v>180.44700000000003</v>
      </c>
      <c r="AA109" s="350">
        <f t="shared" si="39"/>
        <v>15.689000000000012</v>
      </c>
      <c r="AB109" s="350">
        <f t="shared" si="39"/>
        <v>26.456999999999969</v>
      </c>
      <c r="AC109" s="350">
        <f t="shared" si="39"/>
        <v>38.497000000000035</v>
      </c>
      <c r="AD109" s="351">
        <f t="shared" si="39"/>
        <v>38.009000000000029</v>
      </c>
      <c r="AE109" s="352">
        <f t="shared" si="39"/>
        <v>118.651</v>
      </c>
      <c r="AF109" s="350">
        <f t="shared" si="39"/>
        <v>52.123000000000012</v>
      </c>
      <c r="AG109" s="350">
        <f t="shared" si="39"/>
        <v>66.245999999999967</v>
      </c>
      <c r="AH109" s="350">
        <f t="shared" si="39"/>
        <v>73.215999999999994</v>
      </c>
      <c r="AI109" s="351">
        <f t="shared" si="39"/>
        <v>78.656999999999996</v>
      </c>
      <c r="AJ109" s="352">
        <f t="shared" si="39"/>
        <v>270.24099999999999</v>
      </c>
      <c r="AK109" s="350">
        <f t="shared" si="39"/>
        <v>86.318000000000012</v>
      </c>
      <c r="AL109" s="353">
        <f t="shared" si="39"/>
        <v>84.677999999999997</v>
      </c>
      <c r="AM109" s="351"/>
      <c r="AN109" s="351"/>
      <c r="AO109" s="352"/>
      <c r="AP109" s="351"/>
      <c r="AQ109" s="351"/>
      <c r="AR109" s="351"/>
      <c r="AS109" s="351"/>
      <c r="AT109" s="352"/>
      <c r="AU109" s="352"/>
      <c r="AV109" s="352"/>
      <c r="AW109" s="352"/>
      <c r="AX109" s="22"/>
    </row>
    <row r="110" spans="1:50" s="9" customFormat="1" hidden="1" outlineLevel="1" x14ac:dyDescent="0.3">
      <c r="A110" s="35"/>
      <c r="B110" s="103"/>
      <c r="C110" s="4"/>
      <c r="D110" s="4"/>
      <c r="E110" s="4"/>
      <c r="F110" s="4"/>
      <c r="G110" s="22"/>
      <c r="H110" s="22"/>
      <c r="I110" s="22"/>
      <c r="J110" s="22"/>
      <c r="K110" s="4"/>
      <c r="L110" s="22"/>
      <c r="M110" s="22"/>
      <c r="N110" s="22"/>
      <c r="O110" s="22"/>
      <c r="P110" s="4"/>
      <c r="Q110" s="22"/>
      <c r="R110" s="22"/>
      <c r="S110" s="22"/>
      <c r="T110" s="22"/>
      <c r="U110" s="4"/>
      <c r="V110" s="22"/>
      <c r="W110" s="22"/>
      <c r="X110" s="22"/>
      <c r="Y110" s="378"/>
      <c r="Z110" s="117"/>
      <c r="AA110" s="22"/>
      <c r="AB110" s="22"/>
      <c r="AC110" s="22"/>
      <c r="AD110" s="378"/>
      <c r="AE110" s="117"/>
      <c r="AF110" s="22"/>
      <c r="AG110" s="22"/>
      <c r="AH110" s="22"/>
      <c r="AI110" s="378"/>
      <c r="AJ110" s="117"/>
      <c r="AK110" s="22"/>
      <c r="AL110" s="308"/>
      <c r="AM110" s="378"/>
      <c r="AN110" s="378"/>
      <c r="AO110" s="117"/>
      <c r="AP110" s="378"/>
      <c r="AQ110" s="378"/>
      <c r="AR110" s="378"/>
      <c r="AS110" s="378"/>
      <c r="AT110" s="117"/>
      <c r="AU110" s="117"/>
      <c r="AV110" s="117"/>
      <c r="AW110" s="117"/>
      <c r="AX110" s="22"/>
    </row>
    <row r="111" spans="1:50" s="5" customFormat="1" hidden="1" outlineLevel="1" x14ac:dyDescent="0.3">
      <c r="A111" s="36" t="s">
        <v>468</v>
      </c>
      <c r="B111" s="376"/>
      <c r="C111" s="343"/>
      <c r="D111" s="343">
        <v>0.38500000000000001</v>
      </c>
      <c r="E111" s="343">
        <v>0.98</v>
      </c>
      <c r="F111" s="343">
        <v>1.621</v>
      </c>
      <c r="G111" s="228">
        <v>0.46400000000000002</v>
      </c>
      <c r="H111" s="228">
        <v>0.434</v>
      </c>
      <c r="I111" s="228">
        <v>0.46100000000000002</v>
      </c>
      <c r="J111" s="228">
        <f>K111-SUM(G111:I111)</f>
        <v>0.46900000000000008</v>
      </c>
      <c r="K111" s="343">
        <v>1.8280000000000001</v>
      </c>
      <c r="L111" s="228">
        <v>0.52200000000000002</v>
      </c>
      <c r="M111" s="228">
        <v>0.53200000000000003</v>
      </c>
      <c r="N111" s="228">
        <v>0.53200000000000003</v>
      </c>
      <c r="O111" s="228">
        <f>P111-SUM(L111:N111)</f>
        <v>0.57599999999999985</v>
      </c>
      <c r="P111" s="343">
        <v>2.1619999999999999</v>
      </c>
      <c r="Q111" s="228">
        <v>0.54700000000000004</v>
      </c>
      <c r="R111" s="228">
        <v>0.61</v>
      </c>
      <c r="S111" s="228">
        <v>0.59199999999999997</v>
      </c>
      <c r="T111" s="228">
        <f>U111-SUM(Q111:S111)</f>
        <v>0.61699999999999999</v>
      </c>
      <c r="U111" s="343">
        <v>2.3660000000000001</v>
      </c>
      <c r="V111" s="228">
        <v>0.47499999999999998</v>
      </c>
      <c r="W111" s="228">
        <v>0.67100000000000004</v>
      </c>
      <c r="X111" s="228">
        <v>0.627</v>
      </c>
      <c r="Y111" s="93">
        <f>Z111-SUM(V111:X111)</f>
        <v>0.60200000000000009</v>
      </c>
      <c r="Z111" s="344">
        <v>2.375</v>
      </c>
      <c r="AA111" s="228">
        <v>0.48199999999999998</v>
      </c>
      <c r="AB111" s="228">
        <v>0.57499999999999996</v>
      </c>
      <c r="AC111" s="228">
        <v>0.47299999999999998</v>
      </c>
      <c r="AD111" s="93">
        <v>0.47</v>
      </c>
      <c r="AE111" s="344">
        <v>2</v>
      </c>
      <c r="AF111" s="228">
        <v>0.41099999999999998</v>
      </c>
      <c r="AG111" s="228">
        <v>0.41499999999999998</v>
      </c>
      <c r="AH111" s="228">
        <v>0.51500000000000001</v>
      </c>
      <c r="AI111" s="93">
        <v>0.60899999999999999</v>
      </c>
      <c r="AJ111" s="344">
        <v>1.95</v>
      </c>
      <c r="AK111" s="228">
        <v>0.68400000000000005</v>
      </c>
      <c r="AL111" s="322">
        <v>0.82899999999999996</v>
      </c>
      <c r="AM111" s="93"/>
      <c r="AN111" s="93"/>
      <c r="AO111" s="344"/>
      <c r="AP111" s="93"/>
      <c r="AQ111" s="93"/>
      <c r="AR111" s="93"/>
      <c r="AS111" s="93"/>
      <c r="AT111" s="344"/>
      <c r="AU111" s="344"/>
      <c r="AV111" s="344"/>
      <c r="AW111" s="344"/>
      <c r="AX111" s="228"/>
    </row>
    <row r="112" spans="1:50" s="5" customFormat="1" hidden="1" outlineLevel="1" x14ac:dyDescent="0.3">
      <c r="A112" s="36" t="s">
        <v>469</v>
      </c>
      <c r="B112" s="376"/>
      <c r="C112" s="343"/>
      <c r="D112" s="343">
        <v>8.0310000000000006</v>
      </c>
      <c r="E112" s="343">
        <v>11.906000000000001</v>
      </c>
      <c r="F112" s="343">
        <v>19.356000000000002</v>
      </c>
      <c r="G112" s="228">
        <v>5.8079999999999998</v>
      </c>
      <c r="H112" s="228">
        <v>6.4420000000000002</v>
      </c>
      <c r="I112" s="228">
        <v>6.8979999999999997</v>
      </c>
      <c r="J112" s="228">
        <f>K112-SUM(G112:I112)</f>
        <v>6.8079999999999998</v>
      </c>
      <c r="K112" s="343">
        <v>25.956</v>
      </c>
      <c r="L112" s="228">
        <v>6.6779999999999999</v>
      </c>
      <c r="M112" s="228">
        <v>6.7530000000000001</v>
      </c>
      <c r="N112" s="228">
        <v>6.7560000000000002</v>
      </c>
      <c r="O112" s="228">
        <f>P112-SUM(L112:N112)</f>
        <v>6.791999999999998</v>
      </c>
      <c r="P112" s="343">
        <v>26.978999999999999</v>
      </c>
      <c r="Q112" s="228">
        <v>6.7679999999999998</v>
      </c>
      <c r="R112" s="228">
        <v>7.5529999999999999</v>
      </c>
      <c r="S112" s="228">
        <v>7.1829999999999998</v>
      </c>
      <c r="T112" s="228">
        <f>U112-SUM(Q112:S112)</f>
        <v>7.3170000000000037</v>
      </c>
      <c r="U112" s="343">
        <v>28.821000000000002</v>
      </c>
      <c r="V112" s="228">
        <v>9.1519999999999992</v>
      </c>
      <c r="W112" s="228">
        <v>10.77</v>
      </c>
      <c r="X112" s="228">
        <v>10.396000000000001</v>
      </c>
      <c r="Y112" s="93">
        <f>Z112-SUM(V112:X112)</f>
        <v>10.157000000000004</v>
      </c>
      <c r="Z112" s="344">
        <v>40.475000000000001</v>
      </c>
      <c r="AA112" s="228">
        <v>8.69</v>
      </c>
      <c r="AB112" s="228">
        <v>10.297000000000001</v>
      </c>
      <c r="AC112" s="228">
        <v>10.811</v>
      </c>
      <c r="AD112" s="93">
        <v>10.478999999999999</v>
      </c>
      <c r="AE112" s="344">
        <v>40.277999999999999</v>
      </c>
      <c r="AF112" s="228">
        <v>8.1739999999999995</v>
      </c>
      <c r="AG112" s="228">
        <v>8.34</v>
      </c>
      <c r="AH112" s="228">
        <v>10.395</v>
      </c>
      <c r="AI112" s="93">
        <v>12.013</v>
      </c>
      <c r="AJ112" s="344">
        <v>38.921999999999997</v>
      </c>
      <c r="AK112" s="228">
        <v>13.241</v>
      </c>
      <c r="AL112" s="322">
        <v>14.486000000000001</v>
      </c>
      <c r="AM112" s="93"/>
      <c r="AN112" s="93"/>
      <c r="AO112" s="344"/>
      <c r="AP112" s="93"/>
      <c r="AQ112" s="93"/>
      <c r="AR112" s="93"/>
      <c r="AS112" s="93"/>
      <c r="AT112" s="344"/>
      <c r="AU112" s="344"/>
      <c r="AV112" s="344"/>
      <c r="AW112" s="344"/>
      <c r="AX112" s="228"/>
    </row>
    <row r="113" spans="1:50" s="5" customFormat="1" hidden="1" outlineLevel="1" x14ac:dyDescent="0.3">
      <c r="A113" s="36" t="s">
        <v>470</v>
      </c>
      <c r="B113" s="376"/>
      <c r="C113" s="343"/>
      <c r="D113" s="343">
        <v>2.73</v>
      </c>
      <c r="E113" s="343">
        <v>4.8940000000000001</v>
      </c>
      <c r="F113" s="343">
        <v>8.0549999999999997</v>
      </c>
      <c r="G113" s="228">
        <v>2.1240000000000001</v>
      </c>
      <c r="H113" s="228">
        <v>2.3420000000000001</v>
      </c>
      <c r="I113" s="228">
        <v>2.407</v>
      </c>
      <c r="J113" s="228">
        <f>K113-SUM(G113:I113)</f>
        <v>2.3250000000000002</v>
      </c>
      <c r="K113" s="343">
        <v>9.1980000000000004</v>
      </c>
      <c r="L113" s="228">
        <v>2.4329999999999998</v>
      </c>
      <c r="M113" s="228">
        <v>2.4790000000000001</v>
      </c>
      <c r="N113" s="228">
        <v>2.4729999999999999</v>
      </c>
      <c r="O113" s="228">
        <f>P113-SUM(L113:N113)</f>
        <v>2.370000000000001</v>
      </c>
      <c r="P113" s="343">
        <v>9.7550000000000008</v>
      </c>
      <c r="Q113" s="228">
        <v>2.3940000000000001</v>
      </c>
      <c r="R113" s="228">
        <v>2.75</v>
      </c>
      <c r="S113" s="228">
        <v>2.621</v>
      </c>
      <c r="T113" s="228">
        <f>U113-SUM(Q113:S113)</f>
        <v>2.5439999999999987</v>
      </c>
      <c r="U113" s="343">
        <v>10.308999999999999</v>
      </c>
      <c r="V113" s="228">
        <v>3.6480000000000001</v>
      </c>
      <c r="W113" s="228">
        <v>3.8889999999999998</v>
      </c>
      <c r="X113" s="228">
        <v>3.8370000000000002</v>
      </c>
      <c r="Y113" s="93">
        <f>Z113-SUM(V113:X113)</f>
        <v>3.8089999999999993</v>
      </c>
      <c r="Z113" s="344">
        <v>15.183</v>
      </c>
      <c r="AA113" s="228">
        <v>3.3380000000000001</v>
      </c>
      <c r="AB113" s="228">
        <v>4.01</v>
      </c>
      <c r="AC113" s="228">
        <v>4.3360000000000003</v>
      </c>
      <c r="AD113" s="93">
        <v>4.0090000000000003</v>
      </c>
      <c r="AE113" s="344">
        <v>15.693</v>
      </c>
      <c r="AF113" s="228">
        <v>3.5990000000000002</v>
      </c>
      <c r="AG113" s="228">
        <v>3.6459999999999999</v>
      </c>
      <c r="AH113" s="228">
        <v>4.6449999999999996</v>
      </c>
      <c r="AI113" s="93">
        <v>5.1520000000000001</v>
      </c>
      <c r="AJ113" s="344">
        <v>17.042000000000002</v>
      </c>
      <c r="AK113" s="228">
        <v>5.6520000000000001</v>
      </c>
      <c r="AL113" s="322">
        <v>6.5039999999999996</v>
      </c>
      <c r="AM113" s="93"/>
      <c r="AN113" s="93"/>
      <c r="AO113" s="344"/>
      <c r="AP113" s="93"/>
      <c r="AQ113" s="93"/>
      <c r="AR113" s="93"/>
      <c r="AS113" s="93"/>
      <c r="AT113" s="344"/>
      <c r="AU113" s="344"/>
      <c r="AV113" s="344"/>
      <c r="AW113" s="344"/>
      <c r="AX113" s="228"/>
    </row>
    <row r="114" spans="1:50" s="5" customFormat="1" hidden="1" outlineLevel="1" x14ac:dyDescent="0.3">
      <c r="A114" s="36" t="s">
        <v>471</v>
      </c>
      <c r="B114" s="376"/>
      <c r="C114" s="343"/>
      <c r="D114" s="343">
        <v>2.9550000000000001</v>
      </c>
      <c r="E114" s="343">
        <v>3.6320000000000001</v>
      </c>
      <c r="F114" s="343">
        <v>5.9870000000000001</v>
      </c>
      <c r="G114" s="228">
        <v>1.9790000000000001</v>
      </c>
      <c r="H114" s="228">
        <v>1.9470000000000001</v>
      </c>
      <c r="I114" s="228">
        <v>2.1659999999999999</v>
      </c>
      <c r="J114" s="228">
        <f>K114-SUM(G114:I114)</f>
        <v>2.0640000000000001</v>
      </c>
      <c r="K114" s="343">
        <v>8.1560000000000006</v>
      </c>
      <c r="L114" s="228">
        <v>2.0049999999999999</v>
      </c>
      <c r="M114" s="228">
        <v>2.1829999999999998</v>
      </c>
      <c r="N114" s="228">
        <v>2.0880000000000001</v>
      </c>
      <c r="O114" s="228">
        <f>P114-SUM(L114:N114)</f>
        <v>2.0630000000000006</v>
      </c>
      <c r="P114" s="343">
        <v>8.3390000000000004</v>
      </c>
      <c r="Q114" s="228">
        <v>2.0089999999999999</v>
      </c>
      <c r="R114" s="228">
        <v>2.3730000000000002</v>
      </c>
      <c r="S114" s="228">
        <v>2.4340000000000002</v>
      </c>
      <c r="T114" s="228">
        <f>U114-SUM(Q114:S114)</f>
        <v>2.4520000000000008</v>
      </c>
      <c r="U114" s="343">
        <v>9.2680000000000007</v>
      </c>
      <c r="V114" s="228">
        <v>4.9909999999999997</v>
      </c>
      <c r="W114" s="228">
        <v>2.7639999999999998</v>
      </c>
      <c r="X114" s="228">
        <v>2.7160000000000002</v>
      </c>
      <c r="Y114" s="93">
        <f>Z114-SUM(V114:X114)</f>
        <v>2.6140000000000008</v>
      </c>
      <c r="Z114" s="344">
        <v>13.085000000000001</v>
      </c>
      <c r="AA114" s="228">
        <v>2.258</v>
      </c>
      <c r="AB114" s="228">
        <v>2.7829999999999999</v>
      </c>
      <c r="AC114" s="228">
        <v>2.94</v>
      </c>
      <c r="AD114" s="93">
        <v>2.9129999999999998</v>
      </c>
      <c r="AE114" s="344">
        <v>10.893000000000001</v>
      </c>
      <c r="AF114" s="228">
        <v>2.79</v>
      </c>
      <c r="AG114" s="228">
        <v>2.5150000000000001</v>
      </c>
      <c r="AH114" s="228">
        <v>3.601</v>
      </c>
      <c r="AI114" s="93">
        <v>4.5220000000000002</v>
      </c>
      <c r="AJ114" s="344">
        <v>13.427999999999999</v>
      </c>
      <c r="AK114" s="345">
        <v>4.665</v>
      </c>
      <c r="AL114" s="322">
        <v>5.13</v>
      </c>
      <c r="AM114" s="93"/>
      <c r="AN114" s="93"/>
      <c r="AO114" s="344"/>
      <c r="AP114" s="93"/>
      <c r="AQ114" s="93"/>
      <c r="AR114" s="93"/>
      <c r="AS114" s="93"/>
      <c r="AT114" s="344"/>
      <c r="AU114" s="344"/>
      <c r="AV114" s="344"/>
      <c r="AW114" s="344"/>
      <c r="AX114" s="228"/>
    </row>
    <row r="115" spans="1:50" s="9" customFormat="1" hidden="1" outlineLevel="1" x14ac:dyDescent="0.3">
      <c r="A115" s="347" t="s">
        <v>472</v>
      </c>
      <c r="B115" s="377"/>
      <c r="C115" s="349">
        <f t="shared" ref="C115:AL115" si="40">SUM(C111:C114)</f>
        <v>0</v>
      </c>
      <c r="D115" s="349">
        <f t="shared" si="40"/>
        <v>14.101000000000001</v>
      </c>
      <c r="E115" s="349">
        <f t="shared" si="40"/>
        <v>21.412000000000003</v>
      </c>
      <c r="F115" s="349">
        <f t="shared" si="40"/>
        <v>35.018999999999998</v>
      </c>
      <c r="G115" s="350">
        <f t="shared" si="40"/>
        <v>10.375</v>
      </c>
      <c r="H115" s="350">
        <f t="shared" si="40"/>
        <v>11.164999999999999</v>
      </c>
      <c r="I115" s="350">
        <f t="shared" si="40"/>
        <v>11.932</v>
      </c>
      <c r="J115" s="350">
        <f t="shared" si="40"/>
        <v>11.666</v>
      </c>
      <c r="K115" s="349">
        <f t="shared" si="40"/>
        <v>45.137999999999998</v>
      </c>
      <c r="L115" s="350">
        <f t="shared" si="40"/>
        <v>11.637999999999998</v>
      </c>
      <c r="M115" s="350">
        <f t="shared" si="40"/>
        <v>11.946999999999999</v>
      </c>
      <c r="N115" s="350">
        <f t="shared" si="40"/>
        <v>11.849</v>
      </c>
      <c r="O115" s="350">
        <f t="shared" si="40"/>
        <v>11.801</v>
      </c>
      <c r="P115" s="349">
        <f t="shared" si="40"/>
        <v>47.234999999999999</v>
      </c>
      <c r="Q115" s="350">
        <f t="shared" si="40"/>
        <v>11.718</v>
      </c>
      <c r="R115" s="350">
        <f t="shared" si="40"/>
        <v>13.286000000000001</v>
      </c>
      <c r="S115" s="350">
        <f t="shared" si="40"/>
        <v>12.829999999999998</v>
      </c>
      <c r="T115" s="350">
        <f t="shared" si="40"/>
        <v>12.930000000000003</v>
      </c>
      <c r="U115" s="349">
        <f t="shared" si="40"/>
        <v>50.764000000000003</v>
      </c>
      <c r="V115" s="350">
        <f t="shared" si="40"/>
        <v>18.265999999999998</v>
      </c>
      <c r="W115" s="350">
        <f t="shared" si="40"/>
        <v>18.093999999999998</v>
      </c>
      <c r="X115" s="350">
        <f t="shared" si="40"/>
        <v>17.576000000000001</v>
      </c>
      <c r="Y115" s="351">
        <f t="shared" si="40"/>
        <v>17.182000000000002</v>
      </c>
      <c r="Z115" s="352">
        <f t="shared" si="40"/>
        <v>71.117999999999995</v>
      </c>
      <c r="AA115" s="350">
        <f t="shared" si="40"/>
        <v>14.767999999999997</v>
      </c>
      <c r="AB115" s="350">
        <f t="shared" si="40"/>
        <v>17.664999999999999</v>
      </c>
      <c r="AC115" s="350">
        <f t="shared" si="40"/>
        <v>18.560000000000002</v>
      </c>
      <c r="AD115" s="351">
        <f t="shared" si="40"/>
        <v>17.870999999999999</v>
      </c>
      <c r="AE115" s="352">
        <f t="shared" si="40"/>
        <v>68.864000000000004</v>
      </c>
      <c r="AF115" s="350">
        <f t="shared" si="40"/>
        <v>14.974</v>
      </c>
      <c r="AG115" s="350">
        <f t="shared" si="40"/>
        <v>14.916</v>
      </c>
      <c r="AH115" s="350">
        <f t="shared" si="40"/>
        <v>19.155999999999999</v>
      </c>
      <c r="AI115" s="351">
        <f t="shared" si="40"/>
        <v>22.295999999999999</v>
      </c>
      <c r="AJ115" s="352">
        <f t="shared" si="40"/>
        <v>71.341999999999999</v>
      </c>
      <c r="AK115" s="350">
        <f t="shared" si="40"/>
        <v>24.241999999999997</v>
      </c>
      <c r="AL115" s="353">
        <f t="shared" si="40"/>
        <v>26.949000000000002</v>
      </c>
      <c r="AM115" s="351"/>
      <c r="AN115" s="351"/>
      <c r="AO115" s="352"/>
      <c r="AP115" s="351"/>
      <c r="AQ115" s="351"/>
      <c r="AR115" s="351"/>
      <c r="AS115" s="351"/>
      <c r="AT115" s="352"/>
      <c r="AU115" s="352"/>
      <c r="AV115" s="352"/>
      <c r="AW115" s="352"/>
      <c r="AX115" s="22"/>
    </row>
    <row r="116" spans="1:50" s="9" customFormat="1" hidden="1" outlineLevel="1" x14ac:dyDescent="0.3">
      <c r="A116" s="35"/>
      <c r="B116" s="103"/>
      <c r="C116" s="4"/>
      <c r="D116" s="4"/>
      <c r="E116" s="4"/>
      <c r="F116" s="4"/>
      <c r="G116" s="22"/>
      <c r="H116" s="22"/>
      <c r="I116" s="22"/>
      <c r="J116" s="22"/>
      <c r="K116" s="4"/>
      <c r="L116" s="22"/>
      <c r="M116" s="22"/>
      <c r="N116" s="22"/>
      <c r="O116" s="22"/>
      <c r="P116" s="4"/>
      <c r="Q116" s="22"/>
      <c r="R116" s="22"/>
      <c r="S116" s="22"/>
      <c r="T116" s="22"/>
      <c r="U116" s="4"/>
      <c r="V116" s="22"/>
      <c r="W116" s="22"/>
      <c r="X116" s="22"/>
      <c r="Y116" s="378"/>
      <c r="Z116" s="117"/>
      <c r="AA116" s="22"/>
      <c r="AB116" s="22"/>
      <c r="AC116" s="22"/>
      <c r="AD116" s="378"/>
      <c r="AE116" s="117"/>
      <c r="AF116" s="22"/>
      <c r="AG116" s="22"/>
      <c r="AH116" s="22"/>
      <c r="AI116" s="378"/>
      <c r="AJ116" s="117"/>
      <c r="AK116" s="22"/>
      <c r="AL116" s="308"/>
      <c r="AM116" s="378"/>
      <c r="AN116" s="378"/>
      <c r="AO116" s="117"/>
      <c r="AP116" s="378"/>
      <c r="AQ116" s="378"/>
      <c r="AR116" s="378"/>
      <c r="AS116" s="378"/>
      <c r="AT116" s="117"/>
      <c r="AU116" s="117"/>
      <c r="AV116" s="117"/>
      <c r="AW116" s="117"/>
      <c r="AX116" s="22"/>
    </row>
    <row r="117" spans="1:50" s="5" customFormat="1" hidden="1" outlineLevel="1" x14ac:dyDescent="0.3">
      <c r="A117" s="36" t="s">
        <v>473</v>
      </c>
      <c r="B117" s="376"/>
      <c r="C117" s="343"/>
      <c r="D117" s="343"/>
      <c r="E117" s="343">
        <v>8.2460000000000004</v>
      </c>
      <c r="F117" s="343">
        <v>7.52</v>
      </c>
      <c r="G117" s="228">
        <v>1.9570000000000001</v>
      </c>
      <c r="H117" s="228">
        <v>1.7030000000000001</v>
      </c>
      <c r="I117" s="228">
        <v>3.57</v>
      </c>
      <c r="J117" s="228">
        <v>3.25</v>
      </c>
      <c r="K117" s="343">
        <v>10.548</v>
      </c>
      <c r="L117" s="228">
        <v>2.2709999999999999</v>
      </c>
      <c r="M117" s="228">
        <v>1.7769999999999999</v>
      </c>
      <c r="N117" s="228">
        <v>1.651</v>
      </c>
      <c r="O117" s="228">
        <v>1.474</v>
      </c>
      <c r="P117" s="343">
        <v>7.173</v>
      </c>
      <c r="Q117" s="228">
        <v>1.474</v>
      </c>
      <c r="R117" s="228">
        <v>2.073</v>
      </c>
      <c r="S117" s="228">
        <v>2.0739999999999998</v>
      </c>
      <c r="T117" s="228">
        <v>2.073</v>
      </c>
      <c r="U117" s="343">
        <v>7.694</v>
      </c>
      <c r="V117" s="228">
        <v>10.429</v>
      </c>
      <c r="W117" s="228">
        <v>13.532999999999999</v>
      </c>
      <c r="X117" s="228">
        <v>13.519</v>
      </c>
      <c r="Y117" s="93">
        <v>10.64</v>
      </c>
      <c r="Z117" s="344">
        <v>48.119</v>
      </c>
      <c r="AA117" s="228">
        <v>10.587999999999999</v>
      </c>
      <c r="AB117" s="228">
        <v>10.614000000000001</v>
      </c>
      <c r="AC117" s="228">
        <v>10.641</v>
      </c>
      <c r="AD117" s="93">
        <v>10.641</v>
      </c>
      <c r="AE117" s="344">
        <v>42.481999999999999</v>
      </c>
      <c r="AF117" s="228">
        <v>10.882999999999999</v>
      </c>
      <c r="AG117" s="228">
        <v>11.106</v>
      </c>
      <c r="AH117" s="228">
        <v>10.226000000000001</v>
      </c>
      <c r="AI117" s="93">
        <v>9.7639999999999993</v>
      </c>
      <c r="AJ117" s="344">
        <v>41.978000000000002</v>
      </c>
      <c r="AK117" s="228">
        <v>9.7080000000000002</v>
      </c>
      <c r="AL117" s="322">
        <v>9.7349999999999994</v>
      </c>
      <c r="AM117" s="93"/>
      <c r="AN117" s="93"/>
      <c r="AO117" s="344"/>
      <c r="AP117" s="93"/>
      <c r="AQ117" s="93"/>
      <c r="AR117" s="93"/>
      <c r="AS117" s="93"/>
      <c r="AT117" s="344"/>
      <c r="AU117" s="344"/>
      <c r="AV117" s="344"/>
      <c r="AW117" s="344"/>
      <c r="AX117" s="228"/>
    </row>
    <row r="118" spans="1:50" s="5" customFormat="1" hidden="1" outlineLevel="1" x14ac:dyDescent="0.3">
      <c r="A118" s="36" t="s">
        <v>474</v>
      </c>
      <c r="B118" s="376"/>
      <c r="C118" s="343"/>
      <c r="D118" s="343"/>
      <c r="E118" s="343">
        <v>0</v>
      </c>
      <c r="F118" s="343">
        <v>0</v>
      </c>
      <c r="G118" s="228">
        <v>0</v>
      </c>
      <c r="H118" s="228">
        <v>0.17499999999999999</v>
      </c>
      <c r="I118" s="228">
        <v>0.16400000000000001</v>
      </c>
      <c r="J118" s="228">
        <v>0.16800000000000001</v>
      </c>
      <c r="K118" s="343">
        <v>0.50700000000000001</v>
      </c>
      <c r="L118" s="228">
        <v>0.19500000000000001</v>
      </c>
      <c r="M118" s="228">
        <v>0.19600000000000001</v>
      </c>
      <c r="N118" s="228">
        <v>0.19500000000000001</v>
      </c>
      <c r="O118" s="228">
        <v>0.19500000000000001</v>
      </c>
      <c r="P118" s="343">
        <v>0.78100000000000003</v>
      </c>
      <c r="Q118" s="228">
        <v>0.19500000000000001</v>
      </c>
      <c r="R118" s="228">
        <v>0.19500000000000001</v>
      </c>
      <c r="S118" s="228">
        <v>0.19400000000000001</v>
      </c>
      <c r="T118" s="228">
        <v>0.19500000000000001</v>
      </c>
      <c r="U118" s="343">
        <v>0.77900000000000003</v>
      </c>
      <c r="V118" s="228">
        <v>0.19500000000000001</v>
      </c>
      <c r="W118" s="228">
        <v>0.19600000000000001</v>
      </c>
      <c r="X118" s="228">
        <v>0.19500000000000001</v>
      </c>
      <c r="Y118" s="93">
        <v>0.19600000000000001</v>
      </c>
      <c r="Z118" s="344">
        <v>0.78100000000000003</v>
      </c>
      <c r="AA118" s="228">
        <v>0.192</v>
      </c>
      <c r="AB118" s="228">
        <v>0.19400000000000001</v>
      </c>
      <c r="AC118" s="228">
        <v>0.19600000000000001</v>
      </c>
      <c r="AD118" s="93">
        <v>0.19600000000000001</v>
      </c>
      <c r="AE118" s="344">
        <v>0.77900000000000003</v>
      </c>
      <c r="AF118" s="228">
        <v>0.192</v>
      </c>
      <c r="AG118" s="228">
        <v>0.19400000000000001</v>
      </c>
      <c r="AH118" s="228">
        <v>0.19600000000000001</v>
      </c>
      <c r="AI118" s="93">
        <v>0.19600000000000001</v>
      </c>
      <c r="AJ118" s="344">
        <v>0.77800000000000002</v>
      </c>
      <c r="AK118" s="228">
        <v>0.192</v>
      </c>
      <c r="AL118" s="322">
        <v>0.19400000000000001</v>
      </c>
      <c r="AM118" s="93"/>
      <c r="AN118" s="93"/>
      <c r="AO118" s="344"/>
      <c r="AP118" s="93"/>
      <c r="AQ118" s="93"/>
      <c r="AR118" s="93"/>
      <c r="AS118" s="93"/>
      <c r="AT118" s="344"/>
      <c r="AU118" s="344"/>
      <c r="AV118" s="344"/>
      <c r="AW118" s="344"/>
      <c r="AX118" s="228"/>
    </row>
    <row r="119" spans="1:50" s="5" customFormat="1" hidden="1" outlineLevel="1" x14ac:dyDescent="0.3">
      <c r="A119" s="36" t="s">
        <v>475</v>
      </c>
      <c r="B119" s="376"/>
      <c r="C119" s="343"/>
      <c r="D119" s="343"/>
      <c r="E119" s="343">
        <v>1.569</v>
      </c>
      <c r="F119" s="343">
        <v>1.7569999999999999</v>
      </c>
      <c r="G119" s="228">
        <v>0.439</v>
      </c>
      <c r="H119" s="228">
        <v>0.63600000000000001</v>
      </c>
      <c r="I119" s="228">
        <v>0.83699999999999997</v>
      </c>
      <c r="J119" s="228">
        <v>1.0389999999999999</v>
      </c>
      <c r="K119" s="343">
        <v>2.9510000000000001</v>
      </c>
      <c r="L119" s="228">
        <v>1.0389999999999999</v>
      </c>
      <c r="M119" s="228">
        <v>1.0389999999999999</v>
      </c>
      <c r="N119" s="228">
        <v>1.0389999999999999</v>
      </c>
      <c r="O119" s="228">
        <v>1.0389999999999999</v>
      </c>
      <c r="P119" s="343">
        <v>4.1559999999999997</v>
      </c>
      <c r="Q119" s="228">
        <v>0.58399999999999996</v>
      </c>
      <c r="R119" s="228">
        <v>0.19700000000000001</v>
      </c>
      <c r="S119" s="228">
        <v>0.19600000000000001</v>
      </c>
      <c r="T119" s="228">
        <v>0.19600000000000001</v>
      </c>
      <c r="U119" s="343">
        <v>1.173</v>
      </c>
      <c r="V119" s="228">
        <v>1.0229999999999999</v>
      </c>
      <c r="W119" s="228">
        <v>2.2320000000000002</v>
      </c>
      <c r="X119" s="228">
        <v>2.23</v>
      </c>
      <c r="Y119" s="93">
        <v>2.23</v>
      </c>
      <c r="Z119" s="344">
        <v>7.7130000000000001</v>
      </c>
      <c r="AA119" s="228">
        <v>2.23</v>
      </c>
      <c r="AB119" s="228">
        <v>2.23</v>
      </c>
      <c r="AC119" s="228">
        <v>2.23</v>
      </c>
      <c r="AD119" s="93">
        <v>2.23</v>
      </c>
      <c r="AE119" s="344">
        <v>8.9190000000000005</v>
      </c>
      <c r="AF119" s="228">
        <v>2.23</v>
      </c>
      <c r="AG119" s="228">
        <v>2.0329999999999999</v>
      </c>
      <c r="AH119" s="228">
        <v>2.0329999999999999</v>
      </c>
      <c r="AI119" s="93">
        <v>2.0329999999999999</v>
      </c>
      <c r="AJ119" s="344">
        <v>8.33</v>
      </c>
      <c r="AK119" s="345">
        <v>1.8440000000000001</v>
      </c>
      <c r="AL119" s="322">
        <v>1.5669999999999999</v>
      </c>
      <c r="AM119" s="93"/>
      <c r="AN119" s="93"/>
      <c r="AO119" s="344"/>
      <c r="AP119" s="93"/>
      <c r="AQ119" s="93"/>
      <c r="AR119" s="93"/>
      <c r="AS119" s="93"/>
      <c r="AT119" s="344"/>
      <c r="AU119" s="344"/>
      <c r="AV119" s="344"/>
      <c r="AW119" s="344"/>
      <c r="AX119" s="228"/>
    </row>
    <row r="120" spans="1:50" s="9" customFormat="1" hidden="1" outlineLevel="1" x14ac:dyDescent="0.3">
      <c r="A120" s="347" t="s">
        <v>476</v>
      </c>
      <c r="B120" s="377"/>
      <c r="C120" s="349">
        <f t="shared" ref="C120:AL120" si="41">SUM(C117:C119)</f>
        <v>0</v>
      </c>
      <c r="D120" s="349">
        <f t="shared" si="41"/>
        <v>0</v>
      </c>
      <c r="E120" s="349">
        <f t="shared" si="41"/>
        <v>9.8150000000000013</v>
      </c>
      <c r="F120" s="349">
        <f t="shared" si="41"/>
        <v>9.2769999999999992</v>
      </c>
      <c r="G120" s="350">
        <f t="shared" si="41"/>
        <v>2.3959999999999999</v>
      </c>
      <c r="H120" s="350">
        <f t="shared" si="41"/>
        <v>2.5140000000000002</v>
      </c>
      <c r="I120" s="350">
        <f t="shared" si="41"/>
        <v>4.5709999999999997</v>
      </c>
      <c r="J120" s="350">
        <f t="shared" si="41"/>
        <v>4.4569999999999999</v>
      </c>
      <c r="K120" s="349">
        <f t="shared" si="41"/>
        <v>14.006</v>
      </c>
      <c r="L120" s="350">
        <f t="shared" si="41"/>
        <v>3.5049999999999999</v>
      </c>
      <c r="M120" s="350">
        <f t="shared" si="41"/>
        <v>3.0119999999999996</v>
      </c>
      <c r="N120" s="350">
        <f t="shared" si="41"/>
        <v>2.8849999999999998</v>
      </c>
      <c r="O120" s="350">
        <f t="shared" si="41"/>
        <v>2.7080000000000002</v>
      </c>
      <c r="P120" s="349">
        <f t="shared" si="41"/>
        <v>12.11</v>
      </c>
      <c r="Q120" s="350">
        <f t="shared" si="41"/>
        <v>2.2530000000000001</v>
      </c>
      <c r="R120" s="350">
        <f t="shared" si="41"/>
        <v>2.4649999999999999</v>
      </c>
      <c r="S120" s="350">
        <f t="shared" si="41"/>
        <v>2.464</v>
      </c>
      <c r="T120" s="350">
        <f t="shared" si="41"/>
        <v>2.464</v>
      </c>
      <c r="U120" s="349">
        <f t="shared" si="41"/>
        <v>9.6460000000000008</v>
      </c>
      <c r="V120" s="350">
        <f t="shared" si="41"/>
        <v>11.647</v>
      </c>
      <c r="W120" s="350">
        <f t="shared" si="41"/>
        <v>15.960999999999999</v>
      </c>
      <c r="X120" s="350">
        <f t="shared" si="41"/>
        <v>15.944000000000001</v>
      </c>
      <c r="Y120" s="351">
        <f t="shared" si="41"/>
        <v>13.066000000000001</v>
      </c>
      <c r="Z120" s="352">
        <f t="shared" si="41"/>
        <v>56.613</v>
      </c>
      <c r="AA120" s="350">
        <f t="shared" si="41"/>
        <v>13.01</v>
      </c>
      <c r="AB120" s="350">
        <f t="shared" si="41"/>
        <v>13.038000000000002</v>
      </c>
      <c r="AC120" s="350">
        <f t="shared" si="41"/>
        <v>13.067</v>
      </c>
      <c r="AD120" s="351">
        <f t="shared" si="41"/>
        <v>13.067</v>
      </c>
      <c r="AE120" s="352">
        <f t="shared" si="41"/>
        <v>52.180000000000007</v>
      </c>
      <c r="AF120" s="350">
        <f t="shared" si="41"/>
        <v>13.305</v>
      </c>
      <c r="AG120" s="350">
        <f t="shared" si="41"/>
        <v>13.333</v>
      </c>
      <c r="AH120" s="350">
        <f t="shared" si="41"/>
        <v>12.455</v>
      </c>
      <c r="AI120" s="351">
        <f t="shared" si="41"/>
        <v>11.992999999999999</v>
      </c>
      <c r="AJ120" s="352">
        <f t="shared" si="41"/>
        <v>51.085999999999999</v>
      </c>
      <c r="AK120" s="350">
        <f t="shared" si="41"/>
        <v>11.744</v>
      </c>
      <c r="AL120" s="353">
        <f t="shared" si="41"/>
        <v>11.496</v>
      </c>
      <c r="AM120" s="351"/>
      <c r="AN120" s="351"/>
      <c r="AO120" s="352"/>
      <c r="AP120" s="351"/>
      <c r="AQ120" s="351"/>
      <c r="AR120" s="351"/>
      <c r="AS120" s="351"/>
      <c r="AT120" s="352"/>
      <c r="AU120" s="352"/>
      <c r="AV120" s="352"/>
      <c r="AW120" s="352"/>
      <c r="AX120" s="22"/>
    </row>
    <row r="121" spans="1:50" s="9" customFormat="1" hidden="1" outlineLevel="1" x14ac:dyDescent="0.3">
      <c r="A121" s="35"/>
      <c r="B121" s="103"/>
      <c r="C121" s="4"/>
      <c r="D121" s="4"/>
      <c r="E121" s="4"/>
      <c r="F121" s="4"/>
      <c r="G121" s="22"/>
      <c r="H121" s="22"/>
      <c r="I121" s="22"/>
      <c r="J121" s="22"/>
      <c r="K121" s="4"/>
      <c r="L121" s="22"/>
      <c r="M121" s="22"/>
      <c r="N121" s="22"/>
      <c r="O121" s="22"/>
      <c r="P121" s="4"/>
      <c r="Q121" s="22"/>
      <c r="R121" s="22"/>
      <c r="S121" s="22"/>
      <c r="T121" s="22"/>
      <c r="U121" s="4"/>
      <c r="V121" s="22"/>
      <c r="W121" s="22"/>
      <c r="X121" s="22"/>
      <c r="Y121" s="378"/>
      <c r="Z121" s="117"/>
      <c r="AA121" s="22"/>
      <c r="AB121" s="22"/>
      <c r="AC121" s="22"/>
      <c r="AD121" s="378"/>
      <c r="AE121" s="117"/>
      <c r="AF121" s="22"/>
      <c r="AG121" s="22"/>
      <c r="AH121" s="22"/>
      <c r="AI121" s="378"/>
      <c r="AJ121" s="117"/>
      <c r="AK121" s="22"/>
      <c r="AL121" s="308"/>
      <c r="AM121" s="378"/>
      <c r="AN121" s="378"/>
      <c r="AO121" s="117"/>
      <c r="AP121" s="378"/>
      <c r="AQ121" s="378"/>
      <c r="AR121" s="378"/>
      <c r="AS121" s="378"/>
      <c r="AT121" s="117"/>
      <c r="AU121" s="117"/>
      <c r="AV121" s="117"/>
      <c r="AW121" s="117"/>
      <c r="AX121" s="22"/>
    </row>
    <row r="122" spans="1:50" s="5" customFormat="1" hidden="1" outlineLevel="1" x14ac:dyDescent="0.3">
      <c r="A122" s="36" t="s">
        <v>477</v>
      </c>
      <c r="B122" s="376"/>
      <c r="C122" s="343"/>
      <c r="D122" s="343"/>
      <c r="E122" s="343"/>
      <c r="F122" s="343"/>
      <c r="G122" s="228"/>
      <c r="H122" s="228">
        <v>0</v>
      </c>
      <c r="I122" s="228">
        <v>0.69899999999999995</v>
      </c>
      <c r="J122" s="228">
        <v>0.20799999999999999</v>
      </c>
      <c r="K122" s="343">
        <v>0.90700000000000003</v>
      </c>
      <c r="L122" s="228">
        <v>8.4000000000000005E-2</v>
      </c>
      <c r="M122" s="228">
        <v>0.53500000000000003</v>
      </c>
      <c r="N122" s="228">
        <v>0.23</v>
      </c>
      <c r="O122" s="228">
        <v>0</v>
      </c>
      <c r="P122" s="343">
        <v>0.84899999999999998</v>
      </c>
      <c r="Q122" s="228">
        <v>0</v>
      </c>
      <c r="R122" s="228">
        <v>0</v>
      </c>
      <c r="S122" s="228">
        <v>0</v>
      </c>
      <c r="T122" s="228">
        <v>0</v>
      </c>
      <c r="U122" s="343">
        <v>0</v>
      </c>
      <c r="V122" s="228">
        <v>3.3</v>
      </c>
      <c r="W122" s="228">
        <v>4.2329999999999997</v>
      </c>
      <c r="X122" s="228">
        <v>0.72899999999999998</v>
      </c>
      <c r="Y122" s="93">
        <v>0</v>
      </c>
      <c r="Z122" s="344">
        <v>8.2609999999999992</v>
      </c>
      <c r="AA122" s="228">
        <v>0</v>
      </c>
      <c r="AB122" s="228">
        <v>0</v>
      </c>
      <c r="AC122" s="228">
        <v>0</v>
      </c>
      <c r="AD122" s="93">
        <v>0</v>
      </c>
      <c r="AE122" s="344">
        <v>0</v>
      </c>
      <c r="AF122" s="228">
        <v>0</v>
      </c>
      <c r="AG122" s="228">
        <v>0</v>
      </c>
      <c r="AH122" s="228">
        <v>0</v>
      </c>
      <c r="AI122" s="93"/>
      <c r="AJ122" s="344"/>
      <c r="AK122" s="228"/>
      <c r="AL122" s="322"/>
      <c r="AM122" s="93"/>
      <c r="AN122" s="93"/>
      <c r="AO122" s="344"/>
      <c r="AP122" s="93"/>
      <c r="AQ122" s="93"/>
      <c r="AR122" s="93"/>
      <c r="AS122" s="93"/>
      <c r="AT122" s="344"/>
      <c r="AU122" s="344"/>
      <c r="AV122" s="344"/>
      <c r="AW122" s="344"/>
      <c r="AX122" s="228"/>
    </row>
    <row r="123" spans="1:50" s="5" customFormat="1" hidden="1" outlineLevel="1" x14ac:dyDescent="0.3">
      <c r="A123" s="36" t="s">
        <v>478</v>
      </c>
      <c r="B123" s="376"/>
      <c r="C123" s="343"/>
      <c r="D123" s="343"/>
      <c r="E123" s="343"/>
      <c r="F123" s="343"/>
      <c r="G123" s="228"/>
      <c r="H123" s="228">
        <v>0</v>
      </c>
      <c r="I123" s="228">
        <v>0.33300000000000002</v>
      </c>
      <c r="J123" s="228">
        <v>0.219</v>
      </c>
      <c r="K123" s="343">
        <v>0.55200000000000005</v>
      </c>
      <c r="L123" s="228">
        <v>0.39800000000000002</v>
      </c>
      <c r="M123" s="228">
        <v>0.33500000000000002</v>
      </c>
      <c r="N123" s="228">
        <v>1.216</v>
      </c>
      <c r="O123" s="228">
        <v>0.74399999999999999</v>
      </c>
      <c r="P123" s="343">
        <v>2.6930000000000001</v>
      </c>
      <c r="Q123" s="228">
        <v>0.76300000000000001</v>
      </c>
      <c r="R123" s="228">
        <v>0.84</v>
      </c>
      <c r="S123" s="228">
        <v>0.28999999999999998</v>
      </c>
      <c r="T123" s="228">
        <v>0.22500000000000001</v>
      </c>
      <c r="U123" s="343">
        <v>2.1179999999999999</v>
      </c>
      <c r="V123" s="228">
        <v>0.47599999999999998</v>
      </c>
      <c r="W123" s="228">
        <v>0.16400000000000001</v>
      </c>
      <c r="X123" s="228">
        <v>0.40699999999999997</v>
      </c>
      <c r="Y123" s="93">
        <v>0.78700000000000003</v>
      </c>
      <c r="Z123" s="344">
        <v>1.8340000000000001</v>
      </c>
      <c r="AA123" s="228">
        <v>0.28299999999999997</v>
      </c>
      <c r="AB123" s="228">
        <v>0.153</v>
      </c>
      <c r="AC123" s="228">
        <v>0.105</v>
      </c>
      <c r="AD123" s="93">
        <v>0.193</v>
      </c>
      <c r="AE123" s="344">
        <v>0.73399999999999999</v>
      </c>
      <c r="AF123" s="228">
        <v>0.28699999999999998</v>
      </c>
      <c r="AG123" s="228">
        <v>8.7999999999999995E-2</v>
      </c>
      <c r="AH123" s="228">
        <v>9.1999999999999998E-2</v>
      </c>
      <c r="AI123" s="93">
        <v>9.1999999999999998E-2</v>
      </c>
      <c r="AJ123" s="344">
        <v>0.55800000000000005</v>
      </c>
      <c r="AK123" s="228">
        <v>0.09</v>
      </c>
      <c r="AL123" s="322">
        <v>0.23100000000000001</v>
      </c>
      <c r="AM123" s="93"/>
      <c r="AN123" s="93"/>
      <c r="AO123" s="344"/>
      <c r="AP123" s="93"/>
      <c r="AQ123" s="93"/>
      <c r="AR123" s="93"/>
      <c r="AS123" s="93"/>
      <c r="AT123" s="344"/>
      <c r="AU123" s="344"/>
      <c r="AV123" s="344"/>
      <c r="AW123" s="344"/>
      <c r="AX123" s="228"/>
    </row>
    <row r="124" spans="1:50" s="5" customFormat="1" hidden="1" outlineLevel="1" x14ac:dyDescent="0.3">
      <c r="A124" s="36" t="s">
        <v>479</v>
      </c>
      <c r="B124" s="376"/>
      <c r="C124" s="343"/>
      <c r="D124" s="343"/>
      <c r="E124" s="343"/>
      <c r="F124" s="343"/>
      <c r="G124" s="228"/>
      <c r="H124" s="228">
        <v>0</v>
      </c>
      <c r="I124" s="228">
        <v>0.26100000000000001</v>
      </c>
      <c r="J124" s="228">
        <v>0.219</v>
      </c>
      <c r="K124" s="343">
        <v>0.48</v>
      </c>
      <c r="L124" s="228">
        <v>0.23799999999999999</v>
      </c>
      <c r="M124" s="228">
        <v>0.17399999999999999</v>
      </c>
      <c r="N124" s="228">
        <v>0.22500000000000001</v>
      </c>
      <c r="O124" s="228">
        <v>0.22600000000000001</v>
      </c>
      <c r="P124" s="343">
        <v>0.86299999999999999</v>
      </c>
      <c r="Q124" s="228">
        <v>0.22500000000000001</v>
      </c>
      <c r="R124" s="228">
        <v>0.22500000000000001</v>
      </c>
      <c r="S124" s="228">
        <v>0</v>
      </c>
      <c r="T124" s="228">
        <v>0</v>
      </c>
      <c r="U124" s="343">
        <v>0.45</v>
      </c>
      <c r="V124" s="228">
        <v>5.6000000000000001E-2</v>
      </c>
      <c r="W124" s="228">
        <v>0.15</v>
      </c>
      <c r="X124" s="228">
        <v>0</v>
      </c>
      <c r="Y124" s="93">
        <v>0</v>
      </c>
      <c r="Z124" s="344">
        <v>0.20599999999999999</v>
      </c>
      <c r="AA124" s="228">
        <v>0.06</v>
      </c>
      <c r="AB124" s="228">
        <v>0</v>
      </c>
      <c r="AC124" s="228">
        <v>3.2000000000000001E-2</v>
      </c>
      <c r="AD124" s="93">
        <v>4.8000000000000001E-2</v>
      </c>
      <c r="AE124" s="344">
        <v>0.14099999999999999</v>
      </c>
      <c r="AF124" s="228">
        <v>0.16</v>
      </c>
      <c r="AG124" s="228">
        <v>4.8000000000000001E-2</v>
      </c>
      <c r="AH124" s="228">
        <v>0.03</v>
      </c>
      <c r="AI124" s="93">
        <v>0.03</v>
      </c>
      <c r="AJ124" s="344">
        <v>0.26800000000000002</v>
      </c>
      <c r="AK124" s="228">
        <v>0.03</v>
      </c>
      <c r="AL124" s="322">
        <v>0.108</v>
      </c>
      <c r="AM124" s="93"/>
      <c r="AN124" s="93"/>
      <c r="AO124" s="344"/>
      <c r="AP124" s="93"/>
      <c r="AQ124" s="93"/>
      <c r="AR124" s="93"/>
      <c r="AS124" s="93"/>
      <c r="AT124" s="344"/>
      <c r="AU124" s="344"/>
      <c r="AV124" s="344"/>
      <c r="AW124" s="344"/>
      <c r="AX124" s="228"/>
    </row>
    <row r="125" spans="1:50" s="5" customFormat="1" hidden="1" outlineLevel="1" x14ac:dyDescent="0.3">
      <c r="A125" s="36" t="s">
        <v>480</v>
      </c>
      <c r="B125" s="376"/>
      <c r="C125" s="343"/>
      <c r="D125" s="343"/>
      <c r="E125" s="343"/>
      <c r="F125" s="343"/>
      <c r="G125" s="228"/>
      <c r="H125" s="228">
        <v>1.8280000000000001</v>
      </c>
      <c r="I125" s="228">
        <v>0.67200000000000004</v>
      </c>
      <c r="J125" s="228">
        <v>0.27400000000000002</v>
      </c>
      <c r="K125" s="343">
        <v>2.774</v>
      </c>
      <c r="L125" s="228"/>
      <c r="M125" s="228">
        <v>0</v>
      </c>
      <c r="N125" s="228">
        <v>0</v>
      </c>
      <c r="O125" s="228">
        <v>0</v>
      </c>
      <c r="P125" s="343">
        <v>0</v>
      </c>
      <c r="Q125" s="228">
        <v>0</v>
      </c>
      <c r="R125" s="228">
        <v>0</v>
      </c>
      <c r="S125" s="228">
        <v>0.74199999999999999</v>
      </c>
      <c r="T125" s="228">
        <v>1.0780000000000001</v>
      </c>
      <c r="U125" s="343">
        <v>1.8199999999999998</v>
      </c>
      <c r="V125" s="228">
        <v>6.3479999999999999</v>
      </c>
      <c r="W125" s="228">
        <v>0.313</v>
      </c>
      <c r="X125" s="228">
        <v>8.5000000000000006E-2</v>
      </c>
      <c r="Y125" s="93">
        <v>9.7000000000000003E-2</v>
      </c>
      <c r="Z125" s="344">
        <v>6.8440000000000003</v>
      </c>
      <c r="AA125" s="228">
        <v>0.13400000000000001</v>
      </c>
      <c r="AB125" s="228">
        <v>0</v>
      </c>
      <c r="AC125" s="228">
        <v>0.153</v>
      </c>
      <c r="AD125" s="93">
        <v>1.5069999999999999</v>
      </c>
      <c r="AE125" s="344">
        <v>1.794</v>
      </c>
      <c r="AF125" s="228">
        <v>3.831</v>
      </c>
      <c r="AG125" s="228">
        <v>10.366</v>
      </c>
      <c r="AH125" s="228">
        <v>1.0029999999999999</v>
      </c>
      <c r="AI125" s="93">
        <v>0.223</v>
      </c>
      <c r="AJ125" s="344">
        <v>15.423</v>
      </c>
      <c r="AK125" s="345">
        <v>4.6539999999999999</v>
      </c>
      <c r="AL125" s="322">
        <v>3.4340000000000002</v>
      </c>
      <c r="AM125" s="93"/>
      <c r="AN125" s="93"/>
      <c r="AO125" s="344"/>
      <c r="AP125" s="93"/>
      <c r="AQ125" s="93"/>
      <c r="AR125" s="93"/>
      <c r="AS125" s="93"/>
      <c r="AT125" s="344"/>
      <c r="AU125" s="344"/>
      <c r="AV125" s="344"/>
      <c r="AW125" s="344"/>
      <c r="AX125" s="228"/>
    </row>
    <row r="126" spans="1:50" s="9" customFormat="1" hidden="1" outlineLevel="1" x14ac:dyDescent="0.3">
      <c r="A126" s="347" t="s">
        <v>481</v>
      </c>
      <c r="B126" s="377"/>
      <c r="C126" s="349">
        <f t="shared" ref="C126:AL126" si="42">SUM(C122:C125)</f>
        <v>0</v>
      </c>
      <c r="D126" s="349">
        <f t="shared" si="42"/>
        <v>0</v>
      </c>
      <c r="E126" s="349">
        <f t="shared" si="42"/>
        <v>0</v>
      </c>
      <c r="F126" s="349">
        <f t="shared" si="42"/>
        <v>0</v>
      </c>
      <c r="G126" s="350">
        <f t="shared" si="42"/>
        <v>0</v>
      </c>
      <c r="H126" s="350">
        <f t="shared" si="42"/>
        <v>1.8280000000000001</v>
      </c>
      <c r="I126" s="350">
        <f t="shared" si="42"/>
        <v>1.9650000000000003</v>
      </c>
      <c r="J126" s="350">
        <f t="shared" si="42"/>
        <v>0.92</v>
      </c>
      <c r="K126" s="349">
        <f t="shared" si="42"/>
        <v>4.7130000000000001</v>
      </c>
      <c r="L126" s="350">
        <f t="shared" si="42"/>
        <v>0.72</v>
      </c>
      <c r="M126" s="350">
        <f t="shared" si="42"/>
        <v>1.044</v>
      </c>
      <c r="N126" s="350">
        <f t="shared" si="42"/>
        <v>1.671</v>
      </c>
      <c r="O126" s="350">
        <f t="shared" si="42"/>
        <v>0.97</v>
      </c>
      <c r="P126" s="349">
        <f t="shared" si="42"/>
        <v>4.4049999999999994</v>
      </c>
      <c r="Q126" s="350">
        <f t="shared" si="42"/>
        <v>0.98799999999999999</v>
      </c>
      <c r="R126" s="350">
        <f t="shared" si="42"/>
        <v>1.0649999999999999</v>
      </c>
      <c r="S126" s="350">
        <f t="shared" si="42"/>
        <v>1.032</v>
      </c>
      <c r="T126" s="350">
        <f t="shared" si="42"/>
        <v>1.3030000000000002</v>
      </c>
      <c r="U126" s="349">
        <f t="shared" si="42"/>
        <v>4.3879999999999999</v>
      </c>
      <c r="V126" s="350">
        <f t="shared" si="42"/>
        <v>10.18</v>
      </c>
      <c r="W126" s="350">
        <f t="shared" si="42"/>
        <v>4.8599999999999994</v>
      </c>
      <c r="X126" s="350">
        <f t="shared" si="42"/>
        <v>1.2209999999999999</v>
      </c>
      <c r="Y126" s="351">
        <f t="shared" si="42"/>
        <v>0.88400000000000001</v>
      </c>
      <c r="Z126" s="352">
        <f t="shared" si="42"/>
        <v>17.145</v>
      </c>
      <c r="AA126" s="350">
        <f t="shared" si="42"/>
        <v>0.47699999999999998</v>
      </c>
      <c r="AB126" s="350">
        <f t="shared" si="42"/>
        <v>0.153</v>
      </c>
      <c r="AC126" s="350">
        <f t="shared" si="42"/>
        <v>0.29000000000000004</v>
      </c>
      <c r="AD126" s="351">
        <f t="shared" si="42"/>
        <v>1.7479999999999998</v>
      </c>
      <c r="AE126" s="352">
        <f t="shared" si="42"/>
        <v>2.669</v>
      </c>
      <c r="AF126" s="350">
        <f t="shared" si="42"/>
        <v>4.2779999999999996</v>
      </c>
      <c r="AG126" s="350">
        <f t="shared" si="42"/>
        <v>10.501999999999999</v>
      </c>
      <c r="AH126" s="350">
        <f t="shared" si="42"/>
        <v>1.125</v>
      </c>
      <c r="AI126" s="351">
        <f t="shared" si="42"/>
        <v>0.34499999999999997</v>
      </c>
      <c r="AJ126" s="352">
        <f t="shared" si="42"/>
        <v>16.248999999999999</v>
      </c>
      <c r="AK126" s="350">
        <f t="shared" si="42"/>
        <v>4.774</v>
      </c>
      <c r="AL126" s="353">
        <f t="shared" si="42"/>
        <v>3.7730000000000001</v>
      </c>
      <c r="AM126" s="351"/>
      <c r="AN126" s="351"/>
      <c r="AO126" s="352"/>
      <c r="AP126" s="351"/>
      <c r="AQ126" s="351"/>
      <c r="AR126" s="351"/>
      <c r="AS126" s="351"/>
      <c r="AT126" s="352"/>
      <c r="AU126" s="352"/>
      <c r="AV126" s="352"/>
      <c r="AW126" s="352"/>
      <c r="AX126" s="22"/>
    </row>
    <row r="127" spans="1:50" s="9" customFormat="1" hidden="1" outlineLevel="1" x14ac:dyDescent="0.3">
      <c r="A127" s="35"/>
      <c r="B127" s="103"/>
      <c r="C127" s="4"/>
      <c r="D127" s="4"/>
      <c r="E127" s="4"/>
      <c r="F127" s="4"/>
      <c r="G127" s="22"/>
      <c r="H127" s="22"/>
      <c r="I127" s="22"/>
      <c r="J127" s="22"/>
      <c r="K127" s="4"/>
      <c r="L127" s="22"/>
      <c r="M127" s="22"/>
      <c r="N127" s="22"/>
      <c r="O127" s="22"/>
      <c r="P127" s="4"/>
      <c r="Q127" s="22"/>
      <c r="R127" s="22"/>
      <c r="S127" s="22"/>
      <c r="T127" s="22"/>
      <c r="U127" s="4"/>
      <c r="V127" s="22"/>
      <c r="W127" s="22"/>
      <c r="X127" s="22"/>
      <c r="Y127" s="378"/>
      <c r="Z127" s="117"/>
      <c r="AA127" s="22"/>
      <c r="AB127" s="22"/>
      <c r="AC127" s="22"/>
      <c r="AD127" s="378"/>
      <c r="AE127" s="117"/>
      <c r="AF127" s="22"/>
      <c r="AG127" s="22"/>
      <c r="AH127" s="22"/>
      <c r="AI127" s="378"/>
      <c r="AJ127" s="117"/>
      <c r="AK127" s="22"/>
      <c r="AL127" s="308"/>
      <c r="AM127" s="378"/>
      <c r="AN127" s="378"/>
      <c r="AO127" s="117"/>
      <c r="AP127" s="378"/>
      <c r="AQ127" s="378"/>
      <c r="AR127" s="378"/>
      <c r="AS127" s="378"/>
      <c r="AT127" s="117"/>
      <c r="AU127" s="117"/>
      <c r="AV127" s="117"/>
      <c r="AW127" s="117"/>
      <c r="AX127" s="22"/>
    </row>
    <row r="128" spans="1:50" s="5" customFormat="1" hidden="1" outlineLevel="1" x14ac:dyDescent="0.3">
      <c r="A128" s="36" t="s">
        <v>482</v>
      </c>
      <c r="B128" s="376"/>
      <c r="C128" s="343"/>
      <c r="D128" s="343"/>
      <c r="E128" s="343"/>
      <c r="F128" s="343"/>
      <c r="G128" s="228"/>
      <c r="H128" s="228"/>
      <c r="I128" s="228"/>
      <c r="J128" s="228"/>
      <c r="K128" s="343"/>
      <c r="L128" s="228"/>
      <c r="M128" s="228"/>
      <c r="N128" s="228">
        <v>1.25</v>
      </c>
      <c r="O128" s="228">
        <v>0</v>
      </c>
      <c r="P128" s="343">
        <v>1.25</v>
      </c>
      <c r="Q128" s="228">
        <v>0</v>
      </c>
      <c r="R128" s="228">
        <v>0</v>
      </c>
      <c r="S128" s="228">
        <v>0</v>
      </c>
      <c r="T128" s="228">
        <v>0</v>
      </c>
      <c r="U128" s="343">
        <v>0</v>
      </c>
      <c r="V128" s="228">
        <v>0</v>
      </c>
      <c r="W128" s="228">
        <v>0</v>
      </c>
      <c r="X128" s="228">
        <v>0</v>
      </c>
      <c r="Y128" s="93">
        <v>0</v>
      </c>
      <c r="Z128" s="344">
        <v>0</v>
      </c>
      <c r="AA128" s="228"/>
      <c r="AB128" s="228"/>
      <c r="AC128" s="228"/>
      <c r="AD128" s="93"/>
      <c r="AE128" s="344"/>
      <c r="AF128" s="228"/>
      <c r="AG128" s="228">
        <v>9.1609999999999996</v>
      </c>
      <c r="AH128" s="228">
        <v>0</v>
      </c>
      <c r="AI128" s="378"/>
      <c r="AJ128" s="344">
        <v>9.1609999999999996</v>
      </c>
      <c r="AK128" s="228"/>
      <c r="AL128" s="322"/>
      <c r="AM128" s="93"/>
      <c r="AN128" s="93"/>
      <c r="AO128" s="344"/>
      <c r="AP128" s="93"/>
      <c r="AQ128" s="93"/>
      <c r="AR128" s="93"/>
      <c r="AS128" s="93"/>
      <c r="AT128" s="344"/>
      <c r="AU128" s="344"/>
      <c r="AV128" s="344"/>
      <c r="AW128" s="344"/>
      <c r="AX128" s="228"/>
    </row>
    <row r="129" spans="1:50" s="5" customFormat="1" hidden="1" outlineLevel="1" x14ac:dyDescent="0.3">
      <c r="A129" s="36" t="s">
        <v>483</v>
      </c>
      <c r="B129" s="376"/>
      <c r="C129" s="343"/>
      <c r="D129" s="343"/>
      <c r="E129" s="343"/>
      <c r="F129" s="343"/>
      <c r="G129" s="228"/>
      <c r="H129" s="228"/>
      <c r="I129" s="228"/>
      <c r="J129" s="228"/>
      <c r="K129" s="343"/>
      <c r="L129" s="228"/>
      <c r="M129" s="228"/>
      <c r="N129" s="228">
        <v>0</v>
      </c>
      <c r="O129" s="228">
        <v>0</v>
      </c>
      <c r="P129" s="343">
        <v>0</v>
      </c>
      <c r="Q129" s="228">
        <v>0</v>
      </c>
      <c r="R129" s="228">
        <v>0</v>
      </c>
      <c r="S129" s="228">
        <v>0</v>
      </c>
      <c r="T129" s="228">
        <v>0</v>
      </c>
      <c r="U129" s="343">
        <v>0</v>
      </c>
      <c r="V129" s="228">
        <v>5.1059999999999999</v>
      </c>
      <c r="W129" s="228">
        <v>0</v>
      </c>
      <c r="X129" s="228">
        <v>0</v>
      </c>
      <c r="Y129" s="93">
        <v>-0.125</v>
      </c>
      <c r="Z129" s="344">
        <v>4.9809999999999999</v>
      </c>
      <c r="AA129" s="228"/>
      <c r="AB129" s="228"/>
      <c r="AC129" s="228"/>
      <c r="AD129" s="93"/>
      <c r="AE129" s="344"/>
      <c r="AF129" s="228"/>
      <c r="AG129" s="228"/>
      <c r="AH129" s="228"/>
      <c r="AI129" s="93"/>
      <c r="AJ129" s="344"/>
      <c r="AK129" s="228"/>
      <c r="AL129" s="322"/>
      <c r="AM129" s="93"/>
      <c r="AN129" s="93"/>
      <c r="AO129" s="344"/>
      <c r="AP129" s="93"/>
      <c r="AQ129" s="93"/>
      <c r="AR129" s="93"/>
      <c r="AS129" s="93"/>
      <c r="AT129" s="344"/>
      <c r="AU129" s="344"/>
      <c r="AV129" s="344"/>
      <c r="AW129" s="344"/>
      <c r="AX129" s="228"/>
    </row>
    <row r="130" spans="1:50" s="9" customFormat="1" hidden="1" outlineLevel="1" x14ac:dyDescent="0.3">
      <c r="A130" s="347" t="s">
        <v>484</v>
      </c>
      <c r="B130" s="377"/>
      <c r="C130" s="349">
        <f t="shared" ref="C130:AL130" si="43">SUM(C128:C129)</f>
        <v>0</v>
      </c>
      <c r="D130" s="349">
        <f t="shared" si="43"/>
        <v>0</v>
      </c>
      <c r="E130" s="349">
        <f t="shared" si="43"/>
        <v>0</v>
      </c>
      <c r="F130" s="349">
        <f t="shared" si="43"/>
        <v>0</v>
      </c>
      <c r="G130" s="350">
        <f t="shared" si="43"/>
        <v>0</v>
      </c>
      <c r="H130" s="350">
        <f t="shared" si="43"/>
        <v>0</v>
      </c>
      <c r="I130" s="350">
        <f t="shared" si="43"/>
        <v>0</v>
      </c>
      <c r="J130" s="350">
        <f t="shared" si="43"/>
        <v>0</v>
      </c>
      <c r="K130" s="349">
        <f t="shared" si="43"/>
        <v>0</v>
      </c>
      <c r="L130" s="350">
        <f t="shared" si="43"/>
        <v>0</v>
      </c>
      <c r="M130" s="350">
        <f t="shared" si="43"/>
        <v>0</v>
      </c>
      <c r="N130" s="350">
        <f t="shared" si="43"/>
        <v>1.25</v>
      </c>
      <c r="O130" s="350">
        <f t="shared" si="43"/>
        <v>0</v>
      </c>
      <c r="P130" s="349">
        <f t="shared" si="43"/>
        <v>1.25</v>
      </c>
      <c r="Q130" s="350">
        <f t="shared" si="43"/>
        <v>0</v>
      </c>
      <c r="R130" s="350">
        <f t="shared" si="43"/>
        <v>0</v>
      </c>
      <c r="S130" s="350">
        <f t="shared" si="43"/>
        <v>0</v>
      </c>
      <c r="T130" s="350">
        <f t="shared" si="43"/>
        <v>0</v>
      </c>
      <c r="U130" s="349">
        <f t="shared" si="43"/>
        <v>0</v>
      </c>
      <c r="V130" s="350">
        <f t="shared" si="43"/>
        <v>5.1059999999999999</v>
      </c>
      <c r="W130" s="350">
        <f t="shared" si="43"/>
        <v>0</v>
      </c>
      <c r="X130" s="350">
        <f t="shared" si="43"/>
        <v>0</v>
      </c>
      <c r="Y130" s="351">
        <f t="shared" si="43"/>
        <v>-0.125</v>
      </c>
      <c r="Z130" s="352">
        <f t="shared" si="43"/>
        <v>4.9809999999999999</v>
      </c>
      <c r="AA130" s="350">
        <f t="shared" si="43"/>
        <v>0</v>
      </c>
      <c r="AB130" s="350">
        <f t="shared" si="43"/>
        <v>0</v>
      </c>
      <c r="AC130" s="350">
        <f t="shared" si="43"/>
        <v>0</v>
      </c>
      <c r="AD130" s="351">
        <f t="shared" si="43"/>
        <v>0</v>
      </c>
      <c r="AE130" s="352">
        <f t="shared" si="43"/>
        <v>0</v>
      </c>
      <c r="AF130" s="350">
        <f t="shared" si="43"/>
        <v>0</v>
      </c>
      <c r="AG130" s="350">
        <f t="shared" si="43"/>
        <v>9.1609999999999996</v>
      </c>
      <c r="AH130" s="350">
        <f t="shared" si="43"/>
        <v>0</v>
      </c>
      <c r="AI130" s="351">
        <f t="shared" si="43"/>
        <v>0</v>
      </c>
      <c r="AJ130" s="352">
        <f t="shared" si="43"/>
        <v>9.1609999999999996</v>
      </c>
      <c r="AK130" s="350">
        <f t="shared" si="43"/>
        <v>0</v>
      </c>
      <c r="AL130" s="353">
        <f t="shared" si="43"/>
        <v>0</v>
      </c>
      <c r="AM130" s="351"/>
      <c r="AN130" s="351"/>
      <c r="AO130" s="352"/>
      <c r="AP130" s="351"/>
      <c r="AQ130" s="351"/>
      <c r="AR130" s="351"/>
      <c r="AS130" s="351"/>
      <c r="AT130" s="352"/>
      <c r="AU130" s="352"/>
      <c r="AV130" s="352"/>
      <c r="AW130" s="352"/>
      <c r="AX130" s="22"/>
    </row>
    <row r="131" spans="1:50" s="9" customFormat="1" collapsed="1" x14ac:dyDescent="0.3">
      <c r="A131" s="35"/>
      <c r="B131" s="103"/>
      <c r="C131" s="4"/>
      <c r="D131" s="4"/>
      <c r="E131" s="4"/>
      <c r="F131" s="4"/>
      <c r="G131" s="22"/>
      <c r="H131" s="22"/>
      <c r="I131" s="22"/>
      <c r="J131" s="22"/>
      <c r="K131" s="4"/>
      <c r="L131" s="22"/>
      <c r="M131" s="22"/>
      <c r="N131" s="22"/>
      <c r="O131" s="22"/>
      <c r="P131" s="4"/>
      <c r="Q131" s="22"/>
      <c r="R131" s="22"/>
      <c r="S131" s="22"/>
      <c r="T131" s="22"/>
      <c r="U131" s="4"/>
      <c r="V131" s="22"/>
      <c r="W131" s="22"/>
      <c r="X131" s="22"/>
      <c r="Y131" s="22"/>
      <c r="Z131" s="4"/>
      <c r="AA131" s="22"/>
      <c r="AB131" s="22"/>
      <c r="AC131" s="22"/>
      <c r="AD131" s="22"/>
      <c r="AE131" s="4"/>
      <c r="AF131" s="22"/>
      <c r="AG131" s="22"/>
      <c r="AH131" s="22"/>
      <c r="AI131" s="22"/>
      <c r="AJ131" s="4"/>
      <c r="AK131" s="22"/>
      <c r="AL131" s="308"/>
      <c r="AM131" s="22"/>
      <c r="AN131" s="22"/>
      <c r="AO131" s="4"/>
      <c r="AP131" s="22"/>
      <c r="AQ131" s="22"/>
      <c r="AR131" s="22"/>
      <c r="AS131" s="22"/>
      <c r="AT131" s="4"/>
      <c r="AU131" s="4"/>
      <c r="AV131" s="4"/>
      <c r="AW131" s="4"/>
      <c r="AX131" s="22"/>
    </row>
    <row r="132" spans="1:50" s="9" customFormat="1" x14ac:dyDescent="0.3">
      <c r="A132" s="45" t="s">
        <v>85</v>
      </c>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306"/>
      <c r="AM132" s="45"/>
      <c r="AN132" s="45"/>
      <c r="AO132" s="45"/>
      <c r="AP132" s="45"/>
      <c r="AQ132" s="45"/>
      <c r="AR132" s="45"/>
      <c r="AS132" s="45"/>
      <c r="AT132" s="45"/>
      <c r="AU132" s="45"/>
      <c r="AV132" s="45"/>
      <c r="AW132" s="45"/>
      <c r="AX132" s="22"/>
    </row>
    <row r="133" spans="1:50" s="9" customFormat="1" x14ac:dyDescent="0.3">
      <c r="A133" s="35" t="s">
        <v>86</v>
      </c>
      <c r="B133" s="103"/>
      <c r="C133" s="4">
        <f t="shared" ref="C133:AL133" si="44">C56</f>
        <v>116.044</v>
      </c>
      <c r="D133" s="4">
        <f t="shared" si="44"/>
        <v>154.63999999999999</v>
      </c>
      <c r="E133" s="4">
        <f t="shared" si="44"/>
        <v>259.25099999999998</v>
      </c>
      <c r="F133" s="4">
        <f t="shared" si="44"/>
        <v>500.79899999999998</v>
      </c>
      <c r="G133" s="22">
        <f t="shared" si="44"/>
        <v>83.08</v>
      </c>
      <c r="H133" s="22">
        <f t="shared" si="44"/>
        <v>98.168000000000006</v>
      </c>
      <c r="I133" s="22">
        <f t="shared" si="44"/>
        <v>104.06699999999999</v>
      </c>
      <c r="J133" s="22">
        <f t="shared" si="44"/>
        <v>105.12099999999998</v>
      </c>
      <c r="K133" s="4">
        <f t="shared" si="44"/>
        <v>390.43599999999998</v>
      </c>
      <c r="L133" s="22">
        <f t="shared" si="44"/>
        <v>99.001999999999995</v>
      </c>
      <c r="M133" s="22">
        <f t="shared" si="44"/>
        <v>102.82299999999999</v>
      </c>
      <c r="N133" s="22">
        <f t="shared" si="44"/>
        <v>120.708</v>
      </c>
      <c r="O133" s="22">
        <f t="shared" si="44"/>
        <v>141.11599999999999</v>
      </c>
      <c r="P133" s="4">
        <f t="shared" si="44"/>
        <v>463.649</v>
      </c>
      <c r="Q133" s="22">
        <f t="shared" si="44"/>
        <v>146.67500000000001</v>
      </c>
      <c r="R133" s="22">
        <f t="shared" si="44"/>
        <v>163.148</v>
      </c>
      <c r="S133" s="22">
        <f t="shared" si="44"/>
        <v>171.37700000000001</v>
      </c>
      <c r="T133" s="22">
        <f t="shared" si="44"/>
        <v>176.94</v>
      </c>
      <c r="U133" s="4">
        <f t="shared" si="44"/>
        <v>658.14</v>
      </c>
      <c r="V133" s="22">
        <f t="shared" si="44"/>
        <v>196.81</v>
      </c>
      <c r="W133" s="22">
        <f t="shared" si="44"/>
        <v>214.80099999999999</v>
      </c>
      <c r="X133" s="22">
        <f t="shared" si="44"/>
        <v>224.21100000000001</v>
      </c>
      <c r="Y133" s="22">
        <f t="shared" si="44"/>
        <v>221.67600000000004</v>
      </c>
      <c r="Z133" s="4">
        <f t="shared" si="44"/>
        <v>857.49800000000005</v>
      </c>
      <c r="AA133" s="22">
        <f t="shared" si="44"/>
        <v>188.65100000000001</v>
      </c>
      <c r="AB133" s="22">
        <f t="shared" si="44"/>
        <v>211.96199999999999</v>
      </c>
      <c r="AC133" s="22">
        <f t="shared" si="44"/>
        <v>225.69900000000001</v>
      </c>
      <c r="AD133" s="22">
        <f t="shared" si="44"/>
        <v>237.58100000000002</v>
      </c>
      <c r="AE133" s="4">
        <f t="shared" si="44"/>
        <v>863.89300000000003</v>
      </c>
      <c r="AF133" s="22">
        <f t="shared" si="44"/>
        <v>251</v>
      </c>
      <c r="AG133" s="22">
        <f t="shared" si="44"/>
        <v>268.46199999999999</v>
      </c>
      <c r="AH133" s="22">
        <f t="shared" si="44"/>
        <v>279.21100000000001</v>
      </c>
      <c r="AI133" s="22">
        <f t="shared" si="44"/>
        <v>290.07</v>
      </c>
      <c r="AJ133" s="4">
        <f t="shared" si="44"/>
        <v>1088.7429999999999</v>
      </c>
      <c r="AK133" s="22">
        <f t="shared" si="44"/>
        <v>305.21699999999998</v>
      </c>
      <c r="AL133" s="308">
        <f t="shared" si="44"/>
        <v>310.32400000000001</v>
      </c>
      <c r="AM133" s="378"/>
      <c r="AN133" s="378"/>
      <c r="AO133" s="117"/>
      <c r="AP133" s="378"/>
      <c r="AQ133" s="378"/>
      <c r="AR133" s="378"/>
      <c r="AS133" s="378"/>
      <c r="AT133" s="117"/>
      <c r="AU133" s="117"/>
      <c r="AV133" s="117"/>
      <c r="AW133" s="117"/>
      <c r="AX133" s="22"/>
    </row>
    <row r="134" spans="1:50" s="116" customFormat="1" x14ac:dyDescent="0.3">
      <c r="A134" s="111" t="str">
        <f>CONCATENATE("Consensus Estimates - ",IFERROR(LEFT(A133,FIND("(",A133)-1),A133))</f>
        <v>Consensus Estimates - Net Revenue</v>
      </c>
      <c r="B134" s="112"/>
      <c r="C134" s="389"/>
      <c r="D134" s="389"/>
      <c r="E134" s="389"/>
      <c r="F134" s="389"/>
      <c r="G134" s="113"/>
      <c r="H134" s="113"/>
      <c r="I134" s="113"/>
      <c r="J134" s="113"/>
      <c r="K134" s="389"/>
      <c r="L134" s="113"/>
      <c r="M134" s="113"/>
      <c r="N134" s="113"/>
      <c r="O134" s="113"/>
      <c r="P134" s="389"/>
      <c r="Q134" s="113"/>
      <c r="R134" s="113"/>
      <c r="S134" s="113"/>
      <c r="T134" s="113"/>
      <c r="U134" s="389"/>
      <c r="V134" s="113"/>
      <c r="W134" s="114"/>
      <c r="X134" s="114"/>
      <c r="Y134" s="114"/>
      <c r="Z134" s="115"/>
      <c r="AA134" s="24"/>
      <c r="AB134" s="114"/>
      <c r="AC134" s="114"/>
      <c r="AD134" s="114"/>
      <c r="AE134" s="115"/>
      <c r="AF134" s="24"/>
      <c r="AG134" s="114"/>
      <c r="AH134" s="114"/>
      <c r="AI134" s="114"/>
      <c r="AJ134" s="115"/>
      <c r="AK134" s="24"/>
      <c r="AL134" s="390"/>
      <c r="AM134" s="113"/>
      <c r="AN134" s="113"/>
      <c r="AO134" s="115"/>
      <c r="AP134" s="113"/>
      <c r="AQ134" s="113"/>
      <c r="AR134" s="113"/>
      <c r="AS134" s="113"/>
      <c r="AT134" s="115"/>
      <c r="AU134" s="115"/>
      <c r="AV134" s="115"/>
      <c r="AW134" s="115"/>
      <c r="AX134" s="113"/>
    </row>
    <row r="135" spans="1:50" s="9" customFormat="1" x14ac:dyDescent="0.3">
      <c r="A135" s="35"/>
      <c r="B135" s="103"/>
      <c r="C135" s="4"/>
      <c r="D135" s="4"/>
      <c r="E135" s="4"/>
      <c r="F135" s="4"/>
      <c r="G135" s="22"/>
      <c r="H135" s="22"/>
      <c r="I135" s="22"/>
      <c r="J135" s="22"/>
      <c r="K135" s="4"/>
      <c r="L135" s="22"/>
      <c r="M135" s="22"/>
      <c r="N135" s="22"/>
      <c r="O135" s="22"/>
      <c r="P135" s="4"/>
      <c r="Q135" s="22"/>
      <c r="R135" s="22"/>
      <c r="S135" s="22"/>
      <c r="T135" s="22"/>
      <c r="U135" s="4"/>
      <c r="V135" s="22"/>
      <c r="W135" s="22"/>
      <c r="X135" s="22"/>
      <c r="Y135" s="22"/>
      <c r="Z135" s="4"/>
      <c r="AA135" s="22"/>
      <c r="AB135" s="22"/>
      <c r="AC135" s="22"/>
      <c r="AD135" s="22"/>
      <c r="AE135" s="4"/>
      <c r="AF135" s="22"/>
      <c r="AG135" s="22"/>
      <c r="AH135" s="22"/>
      <c r="AI135" s="22"/>
      <c r="AJ135" s="4"/>
      <c r="AK135" s="22"/>
      <c r="AL135" s="308"/>
      <c r="AM135" s="22"/>
      <c r="AN135" s="22"/>
      <c r="AO135" s="4"/>
      <c r="AP135" s="22"/>
      <c r="AQ135" s="22"/>
      <c r="AR135" s="22"/>
      <c r="AS135" s="22"/>
      <c r="AT135" s="4"/>
      <c r="AU135" s="4"/>
      <c r="AV135" s="4"/>
      <c r="AW135" s="4"/>
      <c r="AX135" s="22"/>
    </row>
    <row r="136" spans="1:50" s="5" customFormat="1" x14ac:dyDescent="0.3">
      <c r="A136" s="197" t="s">
        <v>87</v>
      </c>
      <c r="B136" s="376"/>
      <c r="C136" s="343">
        <f t="shared" ref="C136:AL136" si="45">C57</f>
        <v>28.669</v>
      </c>
      <c r="D136" s="343">
        <f t="shared" si="45"/>
        <v>40.549999999999997</v>
      </c>
      <c r="E136" s="343">
        <f t="shared" si="45"/>
        <v>92.015000000000001</v>
      </c>
      <c r="F136" s="343">
        <f t="shared" si="45"/>
        <v>157.93600000000001</v>
      </c>
      <c r="G136" s="228">
        <f t="shared" si="45"/>
        <v>28.948</v>
      </c>
      <c r="H136" s="228">
        <f t="shared" si="45"/>
        <v>32.167999999999999</v>
      </c>
      <c r="I136" s="228">
        <f t="shared" si="45"/>
        <v>36.869</v>
      </c>
      <c r="J136" s="228">
        <f t="shared" si="45"/>
        <v>36.297000000000011</v>
      </c>
      <c r="K136" s="343">
        <f t="shared" si="45"/>
        <v>134.28200000000001</v>
      </c>
      <c r="L136" s="228">
        <f t="shared" si="45"/>
        <v>33.731000000000002</v>
      </c>
      <c r="M136" s="228">
        <f t="shared" si="45"/>
        <v>34.433</v>
      </c>
      <c r="N136" s="228">
        <f t="shared" si="45"/>
        <v>39.377000000000002</v>
      </c>
      <c r="O136" s="228">
        <f t="shared" si="45"/>
        <v>41.131</v>
      </c>
      <c r="P136" s="343">
        <f t="shared" si="45"/>
        <v>148.672</v>
      </c>
      <c r="Q136" s="228">
        <f t="shared" si="45"/>
        <v>41.087000000000003</v>
      </c>
      <c r="R136" s="228">
        <f t="shared" si="45"/>
        <v>47.177999999999997</v>
      </c>
      <c r="S136" s="228">
        <f t="shared" si="45"/>
        <v>49.128999999999998</v>
      </c>
      <c r="T136" s="228">
        <f t="shared" si="45"/>
        <v>51.814999999999998</v>
      </c>
      <c r="U136" s="343">
        <f t="shared" si="45"/>
        <v>189.209</v>
      </c>
      <c r="V136" s="228">
        <f t="shared" si="45"/>
        <v>70.480999999999995</v>
      </c>
      <c r="W136" s="228">
        <f t="shared" si="45"/>
        <v>79.807000000000002</v>
      </c>
      <c r="X136" s="228">
        <f t="shared" si="45"/>
        <v>78.191000000000003</v>
      </c>
      <c r="Y136" s="228">
        <f t="shared" si="45"/>
        <v>73.506999999999977</v>
      </c>
      <c r="Z136" s="343">
        <f t="shared" si="45"/>
        <v>301.98599999999999</v>
      </c>
      <c r="AA136" s="228">
        <f t="shared" si="45"/>
        <v>64.45</v>
      </c>
      <c r="AB136" s="228">
        <f t="shared" si="45"/>
        <v>73.427000000000007</v>
      </c>
      <c r="AC136" s="228">
        <f t="shared" si="45"/>
        <v>77.334999999999994</v>
      </c>
      <c r="AD136" s="228">
        <f t="shared" si="45"/>
        <v>85.238</v>
      </c>
      <c r="AE136" s="343">
        <f t="shared" si="45"/>
        <v>300.45</v>
      </c>
      <c r="AF136" s="228">
        <f t="shared" si="45"/>
        <v>88.998000000000005</v>
      </c>
      <c r="AG136" s="228">
        <f t="shared" si="45"/>
        <v>103.66800000000001</v>
      </c>
      <c r="AH136" s="228">
        <f t="shared" si="45"/>
        <v>95.561999999999998</v>
      </c>
      <c r="AI136" s="228">
        <f t="shared" si="45"/>
        <v>100.345</v>
      </c>
      <c r="AJ136" s="343">
        <f t="shared" si="45"/>
        <v>388.57299999999998</v>
      </c>
      <c r="AK136" s="228">
        <f t="shared" si="45"/>
        <v>108.086</v>
      </c>
      <c r="AL136" s="322">
        <f t="shared" si="45"/>
        <v>110.03400000000001</v>
      </c>
      <c r="AM136" s="228"/>
      <c r="AN136" s="228"/>
      <c r="AO136" s="343"/>
      <c r="AP136" s="228"/>
      <c r="AQ136" s="228"/>
      <c r="AR136" s="228"/>
      <c r="AS136" s="228"/>
      <c r="AT136" s="343"/>
      <c r="AU136" s="343"/>
      <c r="AV136" s="343"/>
      <c r="AW136" s="343"/>
      <c r="AX136" s="228"/>
    </row>
    <row r="137" spans="1:50" s="9" customFormat="1" x14ac:dyDescent="0.3">
      <c r="A137" s="197" t="s">
        <v>485</v>
      </c>
      <c r="B137" s="376"/>
      <c r="C137" s="343">
        <f t="shared" ref="C137:AL137" si="46">-C111</f>
        <v>0</v>
      </c>
      <c r="D137" s="343">
        <f t="shared" si="46"/>
        <v>-0.38500000000000001</v>
      </c>
      <c r="E137" s="343">
        <f t="shared" si="46"/>
        <v>-0.98</v>
      </c>
      <c r="F137" s="343">
        <f t="shared" si="46"/>
        <v>-1.621</v>
      </c>
      <c r="G137" s="228">
        <f t="shared" si="46"/>
        <v>-0.46400000000000002</v>
      </c>
      <c r="H137" s="228">
        <f t="shared" si="46"/>
        <v>-0.434</v>
      </c>
      <c r="I137" s="228">
        <f t="shared" si="46"/>
        <v>-0.46100000000000002</v>
      </c>
      <c r="J137" s="228">
        <f t="shared" si="46"/>
        <v>-0.46900000000000008</v>
      </c>
      <c r="K137" s="343">
        <f t="shared" si="46"/>
        <v>-1.8280000000000001</v>
      </c>
      <c r="L137" s="228">
        <f t="shared" si="46"/>
        <v>-0.52200000000000002</v>
      </c>
      <c r="M137" s="228">
        <f t="shared" si="46"/>
        <v>-0.53200000000000003</v>
      </c>
      <c r="N137" s="228">
        <f t="shared" si="46"/>
        <v>-0.53200000000000003</v>
      </c>
      <c r="O137" s="228">
        <f t="shared" si="46"/>
        <v>-0.57599999999999985</v>
      </c>
      <c r="P137" s="343">
        <f t="shared" si="46"/>
        <v>-2.1619999999999999</v>
      </c>
      <c r="Q137" s="228">
        <f t="shared" si="46"/>
        <v>-0.54700000000000004</v>
      </c>
      <c r="R137" s="228">
        <f t="shared" si="46"/>
        <v>-0.61</v>
      </c>
      <c r="S137" s="228">
        <f t="shared" si="46"/>
        <v>-0.59199999999999997</v>
      </c>
      <c r="T137" s="228">
        <f t="shared" si="46"/>
        <v>-0.61699999999999999</v>
      </c>
      <c r="U137" s="343">
        <f t="shared" si="46"/>
        <v>-2.3660000000000001</v>
      </c>
      <c r="V137" s="228">
        <f t="shared" si="46"/>
        <v>-0.47499999999999998</v>
      </c>
      <c r="W137" s="228">
        <f t="shared" si="46"/>
        <v>-0.67100000000000004</v>
      </c>
      <c r="X137" s="228">
        <f t="shared" si="46"/>
        <v>-0.627</v>
      </c>
      <c r="Y137" s="228">
        <f t="shared" si="46"/>
        <v>-0.60200000000000009</v>
      </c>
      <c r="Z137" s="343">
        <f t="shared" si="46"/>
        <v>-2.375</v>
      </c>
      <c r="AA137" s="228">
        <f t="shared" si="46"/>
        <v>-0.48199999999999998</v>
      </c>
      <c r="AB137" s="228">
        <f t="shared" si="46"/>
        <v>-0.57499999999999996</v>
      </c>
      <c r="AC137" s="228">
        <f t="shared" si="46"/>
        <v>-0.47299999999999998</v>
      </c>
      <c r="AD137" s="228">
        <f t="shared" si="46"/>
        <v>-0.47</v>
      </c>
      <c r="AE137" s="343">
        <f t="shared" si="46"/>
        <v>-2</v>
      </c>
      <c r="AF137" s="228">
        <f t="shared" si="46"/>
        <v>-0.41099999999999998</v>
      </c>
      <c r="AG137" s="228">
        <f t="shared" si="46"/>
        <v>-0.41499999999999998</v>
      </c>
      <c r="AH137" s="228">
        <f t="shared" si="46"/>
        <v>-0.51500000000000001</v>
      </c>
      <c r="AI137" s="228">
        <f t="shared" si="46"/>
        <v>-0.60899999999999999</v>
      </c>
      <c r="AJ137" s="343">
        <f t="shared" si="46"/>
        <v>-1.95</v>
      </c>
      <c r="AK137" s="228">
        <f t="shared" si="46"/>
        <v>-0.68400000000000005</v>
      </c>
      <c r="AL137" s="322">
        <f t="shared" si="46"/>
        <v>-0.82899999999999996</v>
      </c>
      <c r="AM137" s="391"/>
      <c r="AN137" s="391"/>
      <c r="AO137" s="343"/>
      <c r="AP137" s="391"/>
      <c r="AQ137" s="391"/>
      <c r="AR137" s="391"/>
      <c r="AS137" s="391"/>
      <c r="AT137" s="343"/>
      <c r="AU137" s="392"/>
      <c r="AV137" s="392"/>
      <c r="AW137" s="392"/>
      <c r="AX137" s="22"/>
    </row>
    <row r="138" spans="1:50" s="9" customFormat="1" x14ac:dyDescent="0.3">
      <c r="A138" s="197" t="s">
        <v>486</v>
      </c>
      <c r="B138" s="376"/>
      <c r="C138" s="343">
        <f t="shared" ref="C138:AL138" si="47">-C90</f>
        <v>0</v>
      </c>
      <c r="D138" s="343">
        <f t="shared" si="47"/>
        <v>0</v>
      </c>
      <c r="E138" s="343">
        <f t="shared" si="47"/>
        <v>-8.2460000000000004</v>
      </c>
      <c r="F138" s="343">
        <f t="shared" si="47"/>
        <v>-7.52</v>
      </c>
      <c r="G138" s="228">
        <f t="shared" si="47"/>
        <v>-1.9570000000000001</v>
      </c>
      <c r="H138" s="228">
        <f t="shared" si="47"/>
        <v>-1.7030000000000001</v>
      </c>
      <c r="I138" s="228">
        <f t="shared" si="47"/>
        <v>-3.57</v>
      </c>
      <c r="J138" s="228">
        <f t="shared" si="47"/>
        <v>-3.25</v>
      </c>
      <c r="K138" s="343">
        <f t="shared" si="47"/>
        <v>-10.548</v>
      </c>
      <c r="L138" s="228">
        <f t="shared" si="47"/>
        <v>-2.2709999999999999</v>
      </c>
      <c r="M138" s="228">
        <f t="shared" si="47"/>
        <v>-1.7769999999999999</v>
      </c>
      <c r="N138" s="228">
        <f t="shared" si="47"/>
        <v>-1.651</v>
      </c>
      <c r="O138" s="228">
        <f t="shared" si="47"/>
        <v>-1.474</v>
      </c>
      <c r="P138" s="343">
        <f t="shared" si="47"/>
        <v>-7.173</v>
      </c>
      <c r="Q138" s="228">
        <f t="shared" si="47"/>
        <v>-1.474</v>
      </c>
      <c r="R138" s="228">
        <f t="shared" si="47"/>
        <v>-2.073</v>
      </c>
      <c r="S138" s="228">
        <f t="shared" si="47"/>
        <v>-2.0739999999999998</v>
      </c>
      <c r="T138" s="228">
        <f t="shared" si="47"/>
        <v>-2.073</v>
      </c>
      <c r="U138" s="343">
        <f t="shared" si="47"/>
        <v>-7.694</v>
      </c>
      <c r="V138" s="228">
        <f t="shared" si="47"/>
        <v>-10.429</v>
      </c>
      <c r="W138" s="228">
        <f t="shared" si="47"/>
        <v>-13.532999999999999</v>
      </c>
      <c r="X138" s="228">
        <f t="shared" si="47"/>
        <v>-13.519</v>
      </c>
      <c r="Y138" s="228">
        <f t="shared" si="47"/>
        <v>-10.64</v>
      </c>
      <c r="Z138" s="343">
        <f t="shared" si="47"/>
        <v>-48.119</v>
      </c>
      <c r="AA138" s="228">
        <f t="shared" si="47"/>
        <v>-10.587999999999999</v>
      </c>
      <c r="AB138" s="228">
        <f t="shared" si="47"/>
        <v>-10.614000000000001</v>
      </c>
      <c r="AC138" s="228">
        <f t="shared" si="47"/>
        <v>-10.641</v>
      </c>
      <c r="AD138" s="228">
        <f t="shared" si="47"/>
        <v>-10.641</v>
      </c>
      <c r="AE138" s="343">
        <f t="shared" si="47"/>
        <v>-42.481999999999999</v>
      </c>
      <c r="AF138" s="228">
        <f t="shared" si="47"/>
        <v>-10.882999999999999</v>
      </c>
      <c r="AG138" s="228">
        <f t="shared" si="47"/>
        <v>-11.106</v>
      </c>
      <c r="AH138" s="228">
        <f t="shared" si="47"/>
        <v>-10.226000000000001</v>
      </c>
      <c r="AI138" s="228">
        <f t="shared" si="47"/>
        <v>-9.7639999999999993</v>
      </c>
      <c r="AJ138" s="343">
        <f t="shared" si="47"/>
        <v>-41.978000000000002</v>
      </c>
      <c r="AK138" s="228">
        <f t="shared" si="47"/>
        <v>-9.7080000000000002</v>
      </c>
      <c r="AL138" s="322">
        <f t="shared" si="47"/>
        <v>-9.7349999999999994</v>
      </c>
      <c r="AM138" s="391"/>
      <c r="AN138" s="391"/>
      <c r="AO138" s="343"/>
      <c r="AP138" s="391"/>
      <c r="AQ138" s="391"/>
      <c r="AR138" s="391"/>
      <c r="AS138" s="391"/>
      <c r="AT138" s="343"/>
      <c r="AU138" s="392"/>
      <c r="AV138" s="392"/>
      <c r="AW138" s="392"/>
      <c r="AX138" s="22"/>
    </row>
    <row r="139" spans="1:50" s="9" customFormat="1" x14ac:dyDescent="0.3">
      <c r="A139" s="197" t="s">
        <v>487</v>
      </c>
      <c r="B139" s="376"/>
      <c r="C139" s="343">
        <f t="shared" ref="C139:AL139" si="48">-C92</f>
        <v>0</v>
      </c>
      <c r="D139" s="343">
        <f t="shared" si="48"/>
        <v>0</v>
      </c>
      <c r="E139" s="343">
        <f t="shared" si="48"/>
        <v>0</v>
      </c>
      <c r="F139" s="343">
        <f t="shared" si="48"/>
        <v>0</v>
      </c>
      <c r="G139" s="228">
        <f t="shared" si="48"/>
        <v>0</v>
      </c>
      <c r="H139" s="228">
        <f t="shared" si="48"/>
        <v>0</v>
      </c>
      <c r="I139" s="228">
        <f t="shared" si="48"/>
        <v>-0.69899999999999995</v>
      </c>
      <c r="J139" s="228">
        <f t="shared" si="48"/>
        <v>-0.20799999999999999</v>
      </c>
      <c r="K139" s="343">
        <f t="shared" si="48"/>
        <v>-0.90700000000000003</v>
      </c>
      <c r="L139" s="228">
        <f t="shared" si="48"/>
        <v>-8.4000000000000005E-2</v>
      </c>
      <c r="M139" s="228">
        <f t="shared" si="48"/>
        <v>-0.53500000000000003</v>
      </c>
      <c r="N139" s="228">
        <f t="shared" si="48"/>
        <v>-0.23</v>
      </c>
      <c r="O139" s="228">
        <f t="shared" si="48"/>
        <v>0</v>
      </c>
      <c r="P139" s="343">
        <f t="shared" si="48"/>
        <v>-0.84899999999999998</v>
      </c>
      <c r="Q139" s="228">
        <f t="shared" si="48"/>
        <v>0</v>
      </c>
      <c r="R139" s="228">
        <f t="shared" si="48"/>
        <v>0</v>
      </c>
      <c r="S139" s="228">
        <f t="shared" si="48"/>
        <v>0</v>
      </c>
      <c r="T139" s="228">
        <f t="shared" si="48"/>
        <v>0</v>
      </c>
      <c r="U139" s="343">
        <f t="shared" si="48"/>
        <v>0</v>
      </c>
      <c r="V139" s="228">
        <f t="shared" si="48"/>
        <v>-3.3</v>
      </c>
      <c r="W139" s="228">
        <f t="shared" si="48"/>
        <v>-4.2329999999999997</v>
      </c>
      <c r="X139" s="228">
        <f t="shared" si="48"/>
        <v>-0.72899999999999998</v>
      </c>
      <c r="Y139" s="228">
        <f t="shared" si="48"/>
        <v>0</v>
      </c>
      <c r="Z139" s="343">
        <f t="shared" si="48"/>
        <v>-8.2609999999999992</v>
      </c>
      <c r="AA139" s="228">
        <f t="shared" si="48"/>
        <v>0</v>
      </c>
      <c r="AB139" s="228">
        <f t="shared" si="48"/>
        <v>0</v>
      </c>
      <c r="AC139" s="228">
        <f t="shared" si="48"/>
        <v>0</v>
      </c>
      <c r="AD139" s="228">
        <f t="shared" si="48"/>
        <v>0</v>
      </c>
      <c r="AE139" s="343">
        <f t="shared" si="48"/>
        <v>0</v>
      </c>
      <c r="AF139" s="228">
        <f t="shared" si="48"/>
        <v>0</v>
      </c>
      <c r="AG139" s="228">
        <f t="shared" si="48"/>
        <v>0</v>
      </c>
      <c r="AH139" s="228">
        <f t="shared" si="48"/>
        <v>0</v>
      </c>
      <c r="AI139" s="228">
        <f t="shared" si="48"/>
        <v>0</v>
      </c>
      <c r="AJ139" s="343">
        <f t="shared" si="48"/>
        <v>0</v>
      </c>
      <c r="AK139" s="228">
        <f t="shared" si="48"/>
        <v>0</v>
      </c>
      <c r="AL139" s="322">
        <f t="shared" si="48"/>
        <v>0</v>
      </c>
      <c r="AM139" s="391"/>
      <c r="AN139" s="391"/>
      <c r="AO139" s="343"/>
      <c r="AP139" s="391"/>
      <c r="AQ139" s="391"/>
      <c r="AR139" s="391"/>
      <c r="AS139" s="391"/>
      <c r="AT139" s="343"/>
      <c r="AU139" s="392"/>
      <c r="AV139" s="392"/>
      <c r="AW139" s="392"/>
      <c r="AX139" s="22"/>
    </row>
    <row r="140" spans="1:50" s="5" customFormat="1" x14ac:dyDescent="0.3">
      <c r="A140" s="197" t="s">
        <v>488</v>
      </c>
      <c r="B140" s="376"/>
      <c r="C140" s="343">
        <f t="shared" ref="C140:AL140" si="49">ROUND(-(SUM(C89:C92)-C89-C90-C92),6)</f>
        <v>0</v>
      </c>
      <c r="D140" s="343">
        <f t="shared" si="49"/>
        <v>0</v>
      </c>
      <c r="E140" s="343">
        <f t="shared" si="49"/>
        <v>0</v>
      </c>
      <c r="F140" s="343">
        <f t="shared" si="49"/>
        <v>0</v>
      </c>
      <c r="G140" s="228">
        <f t="shared" si="49"/>
        <v>0</v>
      </c>
      <c r="H140" s="228">
        <f t="shared" si="49"/>
        <v>0</v>
      </c>
      <c r="I140" s="228">
        <f t="shared" si="49"/>
        <v>0</v>
      </c>
      <c r="J140" s="228">
        <f t="shared" si="49"/>
        <v>0</v>
      </c>
      <c r="K140" s="343">
        <f t="shared" si="49"/>
        <v>0</v>
      </c>
      <c r="L140" s="228">
        <f t="shared" si="49"/>
        <v>0</v>
      </c>
      <c r="M140" s="228">
        <f t="shared" si="49"/>
        <v>0</v>
      </c>
      <c r="N140" s="228">
        <f t="shared" si="49"/>
        <v>-1.25</v>
      </c>
      <c r="O140" s="228">
        <f t="shared" si="49"/>
        <v>0</v>
      </c>
      <c r="P140" s="343">
        <f t="shared" si="49"/>
        <v>-1.25</v>
      </c>
      <c r="Q140" s="228">
        <f t="shared" si="49"/>
        <v>0</v>
      </c>
      <c r="R140" s="228">
        <f t="shared" si="49"/>
        <v>0</v>
      </c>
      <c r="S140" s="228">
        <f t="shared" si="49"/>
        <v>0</v>
      </c>
      <c r="T140" s="228">
        <f t="shared" si="49"/>
        <v>0</v>
      </c>
      <c r="U140" s="343">
        <f t="shared" si="49"/>
        <v>0</v>
      </c>
      <c r="V140" s="228">
        <f t="shared" si="49"/>
        <v>0</v>
      </c>
      <c r="W140" s="228">
        <f t="shared" si="49"/>
        <v>0</v>
      </c>
      <c r="X140" s="228">
        <f t="shared" si="49"/>
        <v>0</v>
      </c>
      <c r="Y140" s="228">
        <f t="shared" si="49"/>
        <v>0</v>
      </c>
      <c r="Z140" s="343">
        <f t="shared" si="49"/>
        <v>0</v>
      </c>
      <c r="AA140" s="228">
        <f t="shared" si="49"/>
        <v>0</v>
      </c>
      <c r="AB140" s="228">
        <f t="shared" si="49"/>
        <v>0</v>
      </c>
      <c r="AC140" s="228">
        <f t="shared" si="49"/>
        <v>0</v>
      </c>
      <c r="AD140" s="228">
        <f t="shared" si="49"/>
        <v>0</v>
      </c>
      <c r="AE140" s="343">
        <f t="shared" si="49"/>
        <v>0</v>
      </c>
      <c r="AF140" s="228">
        <f t="shared" si="49"/>
        <v>0</v>
      </c>
      <c r="AG140" s="228">
        <f t="shared" si="49"/>
        <v>-9.1609999999999996</v>
      </c>
      <c r="AH140" s="228">
        <f t="shared" si="49"/>
        <v>0</v>
      </c>
      <c r="AI140" s="228">
        <f t="shared" si="49"/>
        <v>0</v>
      </c>
      <c r="AJ140" s="343">
        <f t="shared" si="49"/>
        <v>-9.1609999999999996</v>
      </c>
      <c r="AK140" s="228">
        <f t="shared" si="49"/>
        <v>0</v>
      </c>
      <c r="AL140" s="322">
        <f t="shared" si="49"/>
        <v>0</v>
      </c>
      <c r="AM140" s="391"/>
      <c r="AN140" s="391"/>
      <c r="AO140" s="343"/>
      <c r="AP140" s="391"/>
      <c r="AQ140" s="391"/>
      <c r="AR140" s="391"/>
      <c r="AS140" s="391"/>
      <c r="AT140" s="343"/>
      <c r="AU140" s="392"/>
      <c r="AV140" s="392"/>
      <c r="AW140" s="392"/>
      <c r="AX140" s="228"/>
    </row>
    <row r="141" spans="1:50" s="9" customFormat="1" x14ac:dyDescent="0.3">
      <c r="A141" s="199" t="s">
        <v>90</v>
      </c>
      <c r="B141" s="377"/>
      <c r="C141" s="349">
        <f t="shared" ref="C141:AL141" si="50">C133-SUM(C136:C140)</f>
        <v>87.375</v>
      </c>
      <c r="D141" s="349">
        <f t="shared" si="50"/>
        <v>114.47499999999999</v>
      </c>
      <c r="E141" s="349">
        <f t="shared" si="50"/>
        <v>176.46199999999999</v>
      </c>
      <c r="F141" s="349">
        <f t="shared" si="50"/>
        <v>352.00400000000002</v>
      </c>
      <c r="G141" s="350">
        <f t="shared" si="50"/>
        <v>56.552999999999997</v>
      </c>
      <c r="H141" s="350">
        <f t="shared" si="50"/>
        <v>68.137</v>
      </c>
      <c r="I141" s="350">
        <f t="shared" si="50"/>
        <v>71.927999999999997</v>
      </c>
      <c r="J141" s="350">
        <f t="shared" si="50"/>
        <v>72.750999999999976</v>
      </c>
      <c r="K141" s="349">
        <f t="shared" si="50"/>
        <v>269.43699999999995</v>
      </c>
      <c r="L141" s="350">
        <f t="shared" si="50"/>
        <v>68.147999999999996</v>
      </c>
      <c r="M141" s="350">
        <f t="shared" si="50"/>
        <v>71.233999999999995</v>
      </c>
      <c r="N141" s="350">
        <f t="shared" si="50"/>
        <v>84.994</v>
      </c>
      <c r="O141" s="350">
        <f t="shared" si="50"/>
        <v>102.03499999999998</v>
      </c>
      <c r="P141" s="349">
        <f t="shared" si="50"/>
        <v>326.411</v>
      </c>
      <c r="Q141" s="350">
        <f t="shared" si="50"/>
        <v>107.60900000000001</v>
      </c>
      <c r="R141" s="350">
        <f t="shared" si="50"/>
        <v>118.65299999999999</v>
      </c>
      <c r="S141" s="350">
        <f t="shared" si="50"/>
        <v>124.91400000000002</v>
      </c>
      <c r="T141" s="350">
        <f t="shared" si="50"/>
        <v>127.815</v>
      </c>
      <c r="U141" s="349">
        <f t="shared" si="50"/>
        <v>478.99099999999999</v>
      </c>
      <c r="V141" s="350">
        <f t="shared" si="50"/>
        <v>140.53300000000002</v>
      </c>
      <c r="W141" s="350">
        <f t="shared" si="50"/>
        <v>153.43099999999998</v>
      </c>
      <c r="X141" s="350">
        <f t="shared" si="50"/>
        <v>160.89500000000001</v>
      </c>
      <c r="Y141" s="350">
        <f t="shared" si="50"/>
        <v>159.41100000000006</v>
      </c>
      <c r="Z141" s="349">
        <f t="shared" si="50"/>
        <v>614.26700000000005</v>
      </c>
      <c r="AA141" s="350">
        <f t="shared" si="50"/>
        <v>135.27100000000002</v>
      </c>
      <c r="AB141" s="350">
        <f t="shared" si="50"/>
        <v>149.72399999999999</v>
      </c>
      <c r="AC141" s="350">
        <f t="shared" si="50"/>
        <v>159.47800000000001</v>
      </c>
      <c r="AD141" s="350">
        <f t="shared" si="50"/>
        <v>163.45400000000001</v>
      </c>
      <c r="AE141" s="349">
        <f t="shared" si="50"/>
        <v>607.92500000000007</v>
      </c>
      <c r="AF141" s="350">
        <f t="shared" si="50"/>
        <v>173.29599999999999</v>
      </c>
      <c r="AG141" s="350">
        <f t="shared" si="50"/>
        <v>185.476</v>
      </c>
      <c r="AH141" s="350">
        <f t="shared" si="50"/>
        <v>194.39000000000001</v>
      </c>
      <c r="AI141" s="350">
        <f t="shared" si="50"/>
        <v>200.09799999999998</v>
      </c>
      <c r="AJ141" s="349">
        <f t="shared" si="50"/>
        <v>753.25900000000001</v>
      </c>
      <c r="AK141" s="350">
        <f t="shared" si="50"/>
        <v>207.52299999999997</v>
      </c>
      <c r="AL141" s="353">
        <f t="shared" si="50"/>
        <v>210.85399999999998</v>
      </c>
      <c r="AM141" s="350"/>
      <c r="AN141" s="350"/>
      <c r="AO141" s="349"/>
      <c r="AP141" s="350"/>
      <c r="AQ141" s="350"/>
      <c r="AR141" s="350"/>
      <c r="AS141" s="350"/>
      <c r="AT141" s="349"/>
      <c r="AU141" s="349"/>
      <c r="AV141" s="349"/>
      <c r="AW141" s="349"/>
      <c r="AX141" s="22"/>
    </row>
    <row r="142" spans="1:50" s="5" customFormat="1" x14ac:dyDescent="0.3">
      <c r="A142" s="196"/>
      <c r="B142" s="376"/>
      <c r="C142" s="343"/>
      <c r="D142" s="343"/>
      <c r="E142" s="343"/>
      <c r="F142" s="343"/>
      <c r="G142" s="228"/>
      <c r="H142" s="228"/>
      <c r="I142" s="228"/>
      <c r="J142" s="228"/>
      <c r="K142" s="343"/>
      <c r="L142" s="228"/>
      <c r="M142" s="228"/>
      <c r="N142" s="228"/>
      <c r="O142" s="228"/>
      <c r="P142" s="343"/>
      <c r="Q142" s="228"/>
      <c r="R142" s="228"/>
      <c r="S142" s="228"/>
      <c r="T142" s="228"/>
      <c r="U142" s="343"/>
      <c r="V142" s="228"/>
      <c r="W142" s="228"/>
      <c r="X142" s="228"/>
      <c r="Y142" s="228"/>
      <c r="Z142" s="343"/>
      <c r="AA142" s="228"/>
      <c r="AB142" s="228"/>
      <c r="AC142" s="228"/>
      <c r="AD142" s="228"/>
      <c r="AE142" s="343"/>
      <c r="AF142" s="228"/>
      <c r="AG142" s="228"/>
      <c r="AH142" s="228"/>
      <c r="AI142" s="228"/>
      <c r="AJ142" s="343"/>
      <c r="AK142" s="228"/>
      <c r="AL142" s="322"/>
      <c r="AM142" s="228"/>
      <c r="AN142" s="228"/>
      <c r="AO142" s="343"/>
      <c r="AP142" s="228"/>
      <c r="AQ142" s="228"/>
      <c r="AR142" s="228"/>
      <c r="AS142" s="228"/>
      <c r="AT142" s="343"/>
      <c r="AU142" s="343"/>
      <c r="AV142" s="343"/>
      <c r="AW142" s="343"/>
      <c r="AX142" s="228"/>
    </row>
    <row r="143" spans="1:50" s="9" customFormat="1" x14ac:dyDescent="0.3">
      <c r="A143" s="393" t="s">
        <v>91</v>
      </c>
      <c r="B143" s="376"/>
      <c r="C143" s="343">
        <f t="shared" ref="C143:AL143" si="51">C59</f>
        <v>42.241</v>
      </c>
      <c r="D143" s="343">
        <f t="shared" si="51"/>
        <v>56.804000000000002</v>
      </c>
      <c r="E143" s="343">
        <f t="shared" si="51"/>
        <v>92.507999999999996</v>
      </c>
      <c r="F143" s="343">
        <f t="shared" si="51"/>
        <v>138.946</v>
      </c>
      <c r="G143" s="228">
        <f t="shared" si="51"/>
        <v>38.149000000000001</v>
      </c>
      <c r="H143" s="228">
        <f t="shared" si="51"/>
        <v>38.869</v>
      </c>
      <c r="I143" s="228">
        <f t="shared" si="51"/>
        <v>44.606999999999999</v>
      </c>
      <c r="J143" s="228">
        <f t="shared" si="51"/>
        <v>47.757000000000005</v>
      </c>
      <c r="K143" s="343">
        <f t="shared" si="51"/>
        <v>169.38200000000001</v>
      </c>
      <c r="L143" s="228">
        <f t="shared" si="51"/>
        <v>48.337000000000003</v>
      </c>
      <c r="M143" s="228">
        <f t="shared" si="51"/>
        <v>49.506</v>
      </c>
      <c r="N143" s="228">
        <f t="shared" si="51"/>
        <v>54.22</v>
      </c>
      <c r="O143" s="228">
        <f t="shared" si="51"/>
        <v>56.814000000000021</v>
      </c>
      <c r="P143" s="343">
        <f t="shared" si="51"/>
        <v>208.87700000000001</v>
      </c>
      <c r="Q143" s="228">
        <f t="shared" si="51"/>
        <v>58.118000000000002</v>
      </c>
      <c r="R143" s="228">
        <f t="shared" si="51"/>
        <v>62.576000000000001</v>
      </c>
      <c r="S143" s="228">
        <f t="shared" si="51"/>
        <v>65.861000000000004</v>
      </c>
      <c r="T143" s="228">
        <f t="shared" si="51"/>
        <v>65.62</v>
      </c>
      <c r="U143" s="343">
        <f t="shared" si="51"/>
        <v>252.17500000000001</v>
      </c>
      <c r="V143" s="228">
        <f t="shared" si="51"/>
        <v>71.034000000000006</v>
      </c>
      <c r="W143" s="228">
        <f t="shared" si="51"/>
        <v>82.323999999999998</v>
      </c>
      <c r="X143" s="228">
        <f t="shared" si="51"/>
        <v>83.611000000000004</v>
      </c>
      <c r="Y143" s="228">
        <f t="shared" si="51"/>
        <v>85.65100000000001</v>
      </c>
      <c r="Z143" s="343">
        <f t="shared" si="51"/>
        <v>322.62</v>
      </c>
      <c r="AA143" s="228">
        <f t="shared" si="51"/>
        <v>88.491</v>
      </c>
      <c r="AB143" s="228">
        <f t="shared" si="51"/>
        <v>92.347999999999999</v>
      </c>
      <c r="AC143" s="228">
        <f t="shared" si="51"/>
        <v>90.915999999999997</v>
      </c>
      <c r="AD143" s="228">
        <f t="shared" si="51"/>
        <v>94.12299999999999</v>
      </c>
      <c r="AE143" s="343">
        <f t="shared" si="51"/>
        <v>365.87799999999999</v>
      </c>
      <c r="AF143" s="228">
        <f t="shared" si="51"/>
        <v>86.426000000000002</v>
      </c>
      <c r="AG143" s="228">
        <f t="shared" si="51"/>
        <v>87.152000000000001</v>
      </c>
      <c r="AH143" s="228">
        <f t="shared" si="51"/>
        <v>92.93</v>
      </c>
      <c r="AI143" s="228">
        <f t="shared" si="51"/>
        <v>93.835999999999999</v>
      </c>
      <c r="AJ143" s="343">
        <f t="shared" si="51"/>
        <v>360.34400000000005</v>
      </c>
      <c r="AK143" s="228">
        <f t="shared" si="51"/>
        <v>92.204999999999998</v>
      </c>
      <c r="AL143" s="322">
        <f t="shared" si="51"/>
        <v>99.328999999999994</v>
      </c>
      <c r="AM143" s="228"/>
      <c r="AN143" s="228"/>
      <c r="AO143" s="343"/>
      <c r="AP143" s="228"/>
      <c r="AQ143" s="228"/>
      <c r="AR143" s="228"/>
      <c r="AS143" s="228"/>
      <c r="AT143" s="343"/>
      <c r="AU143" s="343"/>
      <c r="AV143" s="343"/>
      <c r="AW143" s="343"/>
      <c r="AX143" s="22"/>
    </row>
    <row r="144" spans="1:50" s="9" customFormat="1" x14ac:dyDescent="0.3">
      <c r="A144" s="394" t="s">
        <v>92</v>
      </c>
      <c r="B144" s="376"/>
      <c r="C144" s="343">
        <f t="shared" ref="C144:AL144" si="52">C112</f>
        <v>0</v>
      </c>
      <c r="D144" s="343">
        <f t="shared" si="52"/>
        <v>8.0310000000000006</v>
      </c>
      <c r="E144" s="343">
        <f t="shared" si="52"/>
        <v>11.906000000000001</v>
      </c>
      <c r="F144" s="343">
        <f t="shared" si="52"/>
        <v>19.356000000000002</v>
      </c>
      <c r="G144" s="228">
        <f t="shared" si="52"/>
        <v>5.8079999999999998</v>
      </c>
      <c r="H144" s="228">
        <f t="shared" si="52"/>
        <v>6.4420000000000002</v>
      </c>
      <c r="I144" s="228">
        <f t="shared" si="52"/>
        <v>6.8979999999999997</v>
      </c>
      <c r="J144" s="228">
        <f t="shared" si="52"/>
        <v>6.8079999999999998</v>
      </c>
      <c r="K144" s="343">
        <f t="shared" si="52"/>
        <v>25.956</v>
      </c>
      <c r="L144" s="228">
        <f t="shared" si="52"/>
        <v>6.6779999999999999</v>
      </c>
      <c r="M144" s="228">
        <f t="shared" si="52"/>
        <v>6.7530000000000001</v>
      </c>
      <c r="N144" s="228">
        <f t="shared" si="52"/>
        <v>6.7560000000000002</v>
      </c>
      <c r="O144" s="228">
        <f t="shared" si="52"/>
        <v>6.791999999999998</v>
      </c>
      <c r="P144" s="343">
        <f t="shared" si="52"/>
        <v>26.978999999999999</v>
      </c>
      <c r="Q144" s="228">
        <f t="shared" si="52"/>
        <v>6.7679999999999998</v>
      </c>
      <c r="R144" s="228">
        <f t="shared" si="52"/>
        <v>7.5529999999999999</v>
      </c>
      <c r="S144" s="228">
        <f t="shared" si="52"/>
        <v>7.1829999999999998</v>
      </c>
      <c r="T144" s="228">
        <f t="shared" si="52"/>
        <v>7.3170000000000037</v>
      </c>
      <c r="U144" s="343">
        <f t="shared" si="52"/>
        <v>28.821000000000002</v>
      </c>
      <c r="V144" s="228">
        <f t="shared" si="52"/>
        <v>9.1519999999999992</v>
      </c>
      <c r="W144" s="228">
        <f t="shared" si="52"/>
        <v>10.77</v>
      </c>
      <c r="X144" s="228">
        <f t="shared" si="52"/>
        <v>10.396000000000001</v>
      </c>
      <c r="Y144" s="228">
        <f t="shared" si="52"/>
        <v>10.157000000000004</v>
      </c>
      <c r="Z144" s="343">
        <f t="shared" si="52"/>
        <v>40.475000000000001</v>
      </c>
      <c r="AA144" s="228">
        <f t="shared" si="52"/>
        <v>8.69</v>
      </c>
      <c r="AB144" s="228">
        <f t="shared" si="52"/>
        <v>10.297000000000001</v>
      </c>
      <c r="AC144" s="228">
        <f t="shared" si="52"/>
        <v>10.811</v>
      </c>
      <c r="AD144" s="228">
        <f t="shared" si="52"/>
        <v>10.478999999999999</v>
      </c>
      <c r="AE144" s="343">
        <f t="shared" si="52"/>
        <v>40.277999999999999</v>
      </c>
      <c r="AF144" s="228">
        <f t="shared" si="52"/>
        <v>8.1739999999999995</v>
      </c>
      <c r="AG144" s="228">
        <f t="shared" si="52"/>
        <v>8.34</v>
      </c>
      <c r="AH144" s="228">
        <f t="shared" si="52"/>
        <v>10.395</v>
      </c>
      <c r="AI144" s="228">
        <f t="shared" si="52"/>
        <v>12.013</v>
      </c>
      <c r="AJ144" s="343">
        <f t="shared" si="52"/>
        <v>38.921999999999997</v>
      </c>
      <c r="AK144" s="228">
        <f t="shared" si="52"/>
        <v>13.241</v>
      </c>
      <c r="AL144" s="322">
        <f t="shared" si="52"/>
        <v>14.486000000000001</v>
      </c>
      <c r="AM144" s="391"/>
      <c r="AN144" s="391"/>
      <c r="AO144" s="343"/>
      <c r="AP144" s="391"/>
      <c r="AQ144" s="391"/>
      <c r="AR144" s="391"/>
      <c r="AS144" s="391"/>
      <c r="AT144" s="343"/>
      <c r="AU144" s="392"/>
      <c r="AV144" s="392"/>
      <c r="AW144" s="392"/>
      <c r="AX144" s="22"/>
    </row>
    <row r="145" spans="1:50" s="9" customFormat="1" x14ac:dyDescent="0.3">
      <c r="A145" s="394" t="s">
        <v>489</v>
      </c>
      <c r="B145" s="376"/>
      <c r="C145" s="343">
        <f t="shared" ref="C145:AL145" si="53">C118</f>
        <v>0</v>
      </c>
      <c r="D145" s="343">
        <f t="shared" si="53"/>
        <v>0</v>
      </c>
      <c r="E145" s="343">
        <f t="shared" si="53"/>
        <v>0</v>
      </c>
      <c r="F145" s="343">
        <f t="shared" si="53"/>
        <v>0</v>
      </c>
      <c r="G145" s="228">
        <f t="shared" si="53"/>
        <v>0</v>
      </c>
      <c r="H145" s="228">
        <f t="shared" si="53"/>
        <v>0.17499999999999999</v>
      </c>
      <c r="I145" s="228">
        <f t="shared" si="53"/>
        <v>0.16400000000000001</v>
      </c>
      <c r="J145" s="228">
        <f t="shared" si="53"/>
        <v>0.16800000000000001</v>
      </c>
      <c r="K145" s="343">
        <f t="shared" si="53"/>
        <v>0.50700000000000001</v>
      </c>
      <c r="L145" s="228">
        <f t="shared" si="53"/>
        <v>0.19500000000000001</v>
      </c>
      <c r="M145" s="228">
        <f t="shared" si="53"/>
        <v>0.19600000000000001</v>
      </c>
      <c r="N145" s="228">
        <f t="shared" si="53"/>
        <v>0.19500000000000001</v>
      </c>
      <c r="O145" s="228">
        <f t="shared" si="53"/>
        <v>0.19500000000000001</v>
      </c>
      <c r="P145" s="343">
        <f t="shared" si="53"/>
        <v>0.78100000000000003</v>
      </c>
      <c r="Q145" s="228">
        <f t="shared" si="53"/>
        <v>0.19500000000000001</v>
      </c>
      <c r="R145" s="228">
        <f t="shared" si="53"/>
        <v>0.19500000000000001</v>
      </c>
      <c r="S145" s="228">
        <f t="shared" si="53"/>
        <v>0.19400000000000001</v>
      </c>
      <c r="T145" s="228">
        <f t="shared" si="53"/>
        <v>0.19500000000000001</v>
      </c>
      <c r="U145" s="343">
        <f t="shared" si="53"/>
        <v>0.77900000000000003</v>
      </c>
      <c r="V145" s="228">
        <f t="shared" si="53"/>
        <v>0.19500000000000001</v>
      </c>
      <c r="W145" s="228">
        <f t="shared" si="53"/>
        <v>0.19600000000000001</v>
      </c>
      <c r="X145" s="228">
        <f t="shared" si="53"/>
        <v>0.19500000000000001</v>
      </c>
      <c r="Y145" s="228">
        <f t="shared" si="53"/>
        <v>0.19600000000000001</v>
      </c>
      <c r="Z145" s="343">
        <f t="shared" si="53"/>
        <v>0.78100000000000003</v>
      </c>
      <c r="AA145" s="228">
        <f t="shared" si="53"/>
        <v>0.192</v>
      </c>
      <c r="AB145" s="228">
        <f t="shared" si="53"/>
        <v>0.19400000000000001</v>
      </c>
      <c r="AC145" s="228">
        <f t="shared" si="53"/>
        <v>0.19600000000000001</v>
      </c>
      <c r="AD145" s="228">
        <f t="shared" si="53"/>
        <v>0.19600000000000001</v>
      </c>
      <c r="AE145" s="343">
        <f t="shared" si="53"/>
        <v>0.77900000000000003</v>
      </c>
      <c r="AF145" s="228">
        <f t="shared" si="53"/>
        <v>0.192</v>
      </c>
      <c r="AG145" s="228">
        <f t="shared" si="53"/>
        <v>0.19400000000000001</v>
      </c>
      <c r="AH145" s="228">
        <f t="shared" si="53"/>
        <v>0.19600000000000001</v>
      </c>
      <c r="AI145" s="228">
        <f t="shared" si="53"/>
        <v>0.19600000000000001</v>
      </c>
      <c r="AJ145" s="343">
        <f t="shared" si="53"/>
        <v>0.77800000000000002</v>
      </c>
      <c r="AK145" s="228">
        <f t="shared" si="53"/>
        <v>0.192</v>
      </c>
      <c r="AL145" s="322">
        <f t="shared" si="53"/>
        <v>0.19400000000000001</v>
      </c>
      <c r="AM145" s="391"/>
      <c r="AN145" s="391"/>
      <c r="AO145" s="343"/>
      <c r="AP145" s="391"/>
      <c r="AQ145" s="391"/>
      <c r="AR145" s="391"/>
      <c r="AS145" s="391"/>
      <c r="AT145" s="343"/>
      <c r="AU145" s="392"/>
      <c r="AV145" s="392"/>
      <c r="AW145" s="392"/>
      <c r="AX145" s="22"/>
    </row>
    <row r="146" spans="1:50" s="9" customFormat="1" x14ac:dyDescent="0.3">
      <c r="A146" s="394" t="s">
        <v>490</v>
      </c>
      <c r="B146" s="376"/>
      <c r="C146" s="343">
        <f t="shared" ref="C146:AL146" si="54">C123</f>
        <v>0</v>
      </c>
      <c r="D146" s="343">
        <f t="shared" si="54"/>
        <v>0</v>
      </c>
      <c r="E146" s="343">
        <f t="shared" si="54"/>
        <v>0</v>
      </c>
      <c r="F146" s="343">
        <f t="shared" si="54"/>
        <v>0</v>
      </c>
      <c r="G146" s="228">
        <f t="shared" si="54"/>
        <v>0</v>
      </c>
      <c r="H146" s="228">
        <f t="shared" si="54"/>
        <v>0</v>
      </c>
      <c r="I146" s="228">
        <f t="shared" si="54"/>
        <v>0.33300000000000002</v>
      </c>
      <c r="J146" s="228">
        <f t="shared" si="54"/>
        <v>0.219</v>
      </c>
      <c r="K146" s="343">
        <f t="shared" si="54"/>
        <v>0.55200000000000005</v>
      </c>
      <c r="L146" s="228">
        <f t="shared" si="54"/>
        <v>0.39800000000000002</v>
      </c>
      <c r="M146" s="228">
        <f t="shared" si="54"/>
        <v>0.33500000000000002</v>
      </c>
      <c r="N146" s="228">
        <f t="shared" si="54"/>
        <v>1.216</v>
      </c>
      <c r="O146" s="228">
        <f t="shared" si="54"/>
        <v>0.74399999999999999</v>
      </c>
      <c r="P146" s="343">
        <f t="shared" si="54"/>
        <v>2.6930000000000001</v>
      </c>
      <c r="Q146" s="228">
        <f t="shared" si="54"/>
        <v>0.76300000000000001</v>
      </c>
      <c r="R146" s="228">
        <f t="shared" si="54"/>
        <v>0.84</v>
      </c>
      <c r="S146" s="228">
        <f t="shared" si="54"/>
        <v>0.28999999999999998</v>
      </c>
      <c r="T146" s="228">
        <f t="shared" si="54"/>
        <v>0.22500000000000001</v>
      </c>
      <c r="U146" s="343">
        <f t="shared" si="54"/>
        <v>2.1179999999999999</v>
      </c>
      <c r="V146" s="228">
        <f t="shared" si="54"/>
        <v>0.47599999999999998</v>
      </c>
      <c r="W146" s="228">
        <f t="shared" si="54"/>
        <v>0.16400000000000001</v>
      </c>
      <c r="X146" s="228">
        <f t="shared" si="54"/>
        <v>0.40699999999999997</v>
      </c>
      <c r="Y146" s="228">
        <f t="shared" si="54"/>
        <v>0.78700000000000003</v>
      </c>
      <c r="Z146" s="343">
        <f t="shared" si="54"/>
        <v>1.8340000000000001</v>
      </c>
      <c r="AA146" s="228">
        <f t="shared" si="54"/>
        <v>0.28299999999999997</v>
      </c>
      <c r="AB146" s="228">
        <f t="shared" si="54"/>
        <v>0.153</v>
      </c>
      <c r="AC146" s="228">
        <f t="shared" si="54"/>
        <v>0.105</v>
      </c>
      <c r="AD146" s="228">
        <f t="shared" si="54"/>
        <v>0.193</v>
      </c>
      <c r="AE146" s="343">
        <f t="shared" si="54"/>
        <v>0.73399999999999999</v>
      </c>
      <c r="AF146" s="228">
        <f t="shared" si="54"/>
        <v>0.28699999999999998</v>
      </c>
      <c r="AG146" s="228">
        <f t="shared" si="54"/>
        <v>8.7999999999999995E-2</v>
      </c>
      <c r="AH146" s="228">
        <f t="shared" si="54"/>
        <v>9.1999999999999998E-2</v>
      </c>
      <c r="AI146" s="228">
        <f t="shared" si="54"/>
        <v>9.1999999999999998E-2</v>
      </c>
      <c r="AJ146" s="343">
        <f t="shared" si="54"/>
        <v>0.55800000000000005</v>
      </c>
      <c r="AK146" s="228">
        <f t="shared" si="54"/>
        <v>0.09</v>
      </c>
      <c r="AL146" s="322">
        <f t="shared" si="54"/>
        <v>0.23100000000000001</v>
      </c>
      <c r="AM146" s="391"/>
      <c r="AN146" s="391"/>
      <c r="AO146" s="343"/>
      <c r="AP146" s="391"/>
      <c r="AQ146" s="391"/>
      <c r="AR146" s="391"/>
      <c r="AS146" s="391"/>
      <c r="AT146" s="343"/>
      <c r="AU146" s="392"/>
      <c r="AV146" s="392"/>
      <c r="AW146" s="392"/>
      <c r="AX146" s="22"/>
    </row>
    <row r="147" spans="1:50" s="116" customFormat="1" x14ac:dyDescent="0.3">
      <c r="A147" s="395" t="s">
        <v>93</v>
      </c>
      <c r="B147" s="396"/>
      <c r="C147" s="397">
        <f t="shared" ref="C147:AL147" si="55">C143-SUM(C144:C146)</f>
        <v>42.241</v>
      </c>
      <c r="D147" s="397">
        <f t="shared" si="55"/>
        <v>48.773000000000003</v>
      </c>
      <c r="E147" s="397">
        <f t="shared" si="55"/>
        <v>80.60199999999999</v>
      </c>
      <c r="F147" s="397">
        <f t="shared" si="55"/>
        <v>119.59</v>
      </c>
      <c r="G147" s="398">
        <f t="shared" si="55"/>
        <v>32.341000000000001</v>
      </c>
      <c r="H147" s="398">
        <f t="shared" si="55"/>
        <v>32.252000000000002</v>
      </c>
      <c r="I147" s="398">
        <f t="shared" si="55"/>
        <v>37.212000000000003</v>
      </c>
      <c r="J147" s="398">
        <f t="shared" si="55"/>
        <v>40.562000000000005</v>
      </c>
      <c r="K147" s="397">
        <f t="shared" si="55"/>
        <v>142.36700000000002</v>
      </c>
      <c r="L147" s="398">
        <f t="shared" si="55"/>
        <v>41.066000000000003</v>
      </c>
      <c r="M147" s="398">
        <f t="shared" si="55"/>
        <v>42.222000000000001</v>
      </c>
      <c r="N147" s="398">
        <f t="shared" si="55"/>
        <v>46.052999999999997</v>
      </c>
      <c r="O147" s="398">
        <f t="shared" si="55"/>
        <v>49.083000000000027</v>
      </c>
      <c r="P147" s="397">
        <f t="shared" si="55"/>
        <v>178.42400000000001</v>
      </c>
      <c r="Q147" s="398">
        <f t="shared" si="55"/>
        <v>50.392000000000003</v>
      </c>
      <c r="R147" s="398">
        <f t="shared" si="55"/>
        <v>53.988</v>
      </c>
      <c r="S147" s="398">
        <f t="shared" si="55"/>
        <v>58.194000000000003</v>
      </c>
      <c r="T147" s="398">
        <f t="shared" si="55"/>
        <v>57.883000000000003</v>
      </c>
      <c r="U147" s="397">
        <f t="shared" si="55"/>
        <v>220.45700000000002</v>
      </c>
      <c r="V147" s="398">
        <f t="shared" si="55"/>
        <v>61.211000000000006</v>
      </c>
      <c r="W147" s="399">
        <f t="shared" si="55"/>
        <v>71.194000000000003</v>
      </c>
      <c r="X147" s="399">
        <f t="shared" si="55"/>
        <v>72.613</v>
      </c>
      <c r="Y147" s="399">
        <f t="shared" si="55"/>
        <v>74.51100000000001</v>
      </c>
      <c r="Z147" s="400">
        <f t="shared" si="55"/>
        <v>279.52999999999997</v>
      </c>
      <c r="AA147" s="401">
        <f t="shared" si="55"/>
        <v>79.325999999999993</v>
      </c>
      <c r="AB147" s="399">
        <f t="shared" si="55"/>
        <v>81.703999999999994</v>
      </c>
      <c r="AC147" s="399">
        <f t="shared" si="55"/>
        <v>79.804000000000002</v>
      </c>
      <c r="AD147" s="399">
        <f t="shared" si="55"/>
        <v>83.254999999999995</v>
      </c>
      <c r="AE147" s="400">
        <f t="shared" si="55"/>
        <v>324.08699999999999</v>
      </c>
      <c r="AF147" s="401">
        <f t="shared" si="55"/>
        <v>77.772999999999996</v>
      </c>
      <c r="AG147" s="399">
        <f t="shared" si="55"/>
        <v>78.53</v>
      </c>
      <c r="AH147" s="399">
        <f t="shared" si="55"/>
        <v>82.247000000000014</v>
      </c>
      <c r="AI147" s="399">
        <f t="shared" si="55"/>
        <v>81.534999999999997</v>
      </c>
      <c r="AJ147" s="400">
        <f t="shared" si="55"/>
        <v>320.08600000000007</v>
      </c>
      <c r="AK147" s="401">
        <f t="shared" si="55"/>
        <v>78.682000000000002</v>
      </c>
      <c r="AL147" s="402">
        <f t="shared" si="55"/>
        <v>84.417999999999992</v>
      </c>
      <c r="AM147" s="401"/>
      <c r="AN147" s="401"/>
      <c r="AO147" s="403"/>
      <c r="AP147" s="401"/>
      <c r="AQ147" s="401"/>
      <c r="AR147" s="401"/>
      <c r="AS147" s="401"/>
      <c r="AT147" s="403"/>
      <c r="AU147" s="403"/>
      <c r="AV147" s="403"/>
      <c r="AW147" s="403"/>
      <c r="AX147" s="113"/>
    </row>
    <row r="148" spans="1:50" s="409" customFormat="1" x14ac:dyDescent="0.3">
      <c r="A148" s="404" t="s">
        <v>491</v>
      </c>
      <c r="B148" s="376"/>
      <c r="C148" s="343">
        <f t="shared" ref="C148:AL148" si="56">C61</f>
        <v>9.3529999999999998</v>
      </c>
      <c r="D148" s="343">
        <f t="shared" si="56"/>
        <v>11.744</v>
      </c>
      <c r="E148" s="343">
        <f t="shared" si="56"/>
        <v>21.768999999999998</v>
      </c>
      <c r="F148" s="343">
        <f t="shared" si="56"/>
        <v>24.541</v>
      </c>
      <c r="G148" s="228">
        <f t="shared" si="56"/>
        <v>7.4850000000000003</v>
      </c>
      <c r="H148" s="228">
        <f t="shared" si="56"/>
        <v>10.047000000000001</v>
      </c>
      <c r="I148" s="228">
        <f t="shared" si="56"/>
        <v>9.6739999999999995</v>
      </c>
      <c r="J148" s="228">
        <f t="shared" si="56"/>
        <v>9.84</v>
      </c>
      <c r="K148" s="343">
        <f t="shared" si="56"/>
        <v>37.045999999999999</v>
      </c>
      <c r="L148" s="228">
        <f t="shared" si="56"/>
        <v>8.2149999999999999</v>
      </c>
      <c r="M148" s="228">
        <f t="shared" si="56"/>
        <v>9.4610000000000003</v>
      </c>
      <c r="N148" s="228">
        <f t="shared" si="56"/>
        <v>9.1850000000000005</v>
      </c>
      <c r="O148" s="228">
        <f t="shared" si="56"/>
        <v>9.5699999999999932</v>
      </c>
      <c r="P148" s="343">
        <f t="shared" si="56"/>
        <v>36.430999999999997</v>
      </c>
      <c r="Q148" s="228">
        <f t="shared" si="56"/>
        <v>9.7010000000000005</v>
      </c>
      <c r="R148" s="228">
        <f t="shared" si="56"/>
        <v>10.67</v>
      </c>
      <c r="S148" s="228">
        <f t="shared" si="56"/>
        <v>10.944000000000001</v>
      </c>
      <c r="T148" s="228">
        <f t="shared" si="56"/>
        <v>12.896999999999998</v>
      </c>
      <c r="U148" s="343">
        <f t="shared" si="56"/>
        <v>44.212000000000003</v>
      </c>
      <c r="V148" s="228">
        <f t="shared" si="56"/>
        <v>27.937999999999999</v>
      </c>
      <c r="W148" s="405">
        <f t="shared" si="56"/>
        <v>13.494</v>
      </c>
      <c r="X148" s="405">
        <f t="shared" si="56"/>
        <v>13.500999999999999</v>
      </c>
      <c r="Y148" s="405">
        <f t="shared" si="56"/>
        <v>13.589000000000006</v>
      </c>
      <c r="Z148" s="343">
        <f t="shared" si="56"/>
        <v>68.522000000000006</v>
      </c>
      <c r="AA148" s="228">
        <f t="shared" si="56"/>
        <v>12.519</v>
      </c>
      <c r="AB148" s="405">
        <f t="shared" si="56"/>
        <v>12.476000000000001</v>
      </c>
      <c r="AC148" s="405">
        <f t="shared" si="56"/>
        <v>13.039</v>
      </c>
      <c r="AD148" s="405">
        <f t="shared" si="56"/>
        <v>14.136000000000003</v>
      </c>
      <c r="AE148" s="343">
        <f t="shared" si="56"/>
        <v>52.17</v>
      </c>
      <c r="AF148" s="228">
        <f t="shared" si="56"/>
        <v>16.515999999999998</v>
      </c>
      <c r="AG148" s="405">
        <f t="shared" si="56"/>
        <v>23.635000000000002</v>
      </c>
      <c r="AH148" s="405">
        <f t="shared" si="56"/>
        <v>13.895</v>
      </c>
      <c r="AI148" s="405">
        <f t="shared" si="56"/>
        <v>14.824</v>
      </c>
      <c r="AJ148" s="343">
        <f t="shared" si="56"/>
        <v>68.86999999999999</v>
      </c>
      <c r="AK148" s="228">
        <f t="shared" si="56"/>
        <v>19.271000000000001</v>
      </c>
      <c r="AL148" s="406">
        <f t="shared" si="56"/>
        <v>19.199000000000002</v>
      </c>
      <c r="AM148" s="228"/>
      <c r="AN148" s="228"/>
      <c r="AO148" s="343"/>
      <c r="AP148" s="228"/>
      <c r="AQ148" s="228"/>
      <c r="AR148" s="228"/>
      <c r="AS148" s="228"/>
      <c r="AT148" s="343"/>
      <c r="AU148" s="407"/>
      <c r="AV148" s="407"/>
      <c r="AW148" s="407"/>
      <c r="AX148" s="408"/>
    </row>
    <row r="149" spans="1:50" s="5" customFormat="1" x14ac:dyDescent="0.3">
      <c r="A149" s="410" t="s">
        <v>92</v>
      </c>
      <c r="B149" s="376"/>
      <c r="C149" s="343">
        <f t="shared" ref="C149:AL149" si="57">C114</f>
        <v>0</v>
      </c>
      <c r="D149" s="343">
        <f t="shared" si="57"/>
        <v>2.9550000000000001</v>
      </c>
      <c r="E149" s="343">
        <f t="shared" si="57"/>
        <v>3.6320000000000001</v>
      </c>
      <c r="F149" s="343">
        <f t="shared" si="57"/>
        <v>5.9870000000000001</v>
      </c>
      <c r="G149" s="228">
        <f t="shared" si="57"/>
        <v>1.9790000000000001</v>
      </c>
      <c r="H149" s="228">
        <f t="shared" si="57"/>
        <v>1.9470000000000001</v>
      </c>
      <c r="I149" s="228">
        <f t="shared" si="57"/>
        <v>2.1659999999999999</v>
      </c>
      <c r="J149" s="228">
        <f t="shared" si="57"/>
        <v>2.0640000000000001</v>
      </c>
      <c r="K149" s="343">
        <f t="shared" si="57"/>
        <v>8.1560000000000006</v>
      </c>
      <c r="L149" s="228">
        <f t="shared" si="57"/>
        <v>2.0049999999999999</v>
      </c>
      <c r="M149" s="228">
        <f t="shared" si="57"/>
        <v>2.1829999999999998</v>
      </c>
      <c r="N149" s="228">
        <f t="shared" si="57"/>
        <v>2.0880000000000001</v>
      </c>
      <c r="O149" s="228">
        <f t="shared" si="57"/>
        <v>2.0630000000000006</v>
      </c>
      <c r="P149" s="343">
        <f t="shared" si="57"/>
        <v>8.3390000000000004</v>
      </c>
      <c r="Q149" s="228">
        <f t="shared" si="57"/>
        <v>2.0089999999999999</v>
      </c>
      <c r="R149" s="228">
        <f t="shared" si="57"/>
        <v>2.3730000000000002</v>
      </c>
      <c r="S149" s="228">
        <f t="shared" si="57"/>
        <v>2.4340000000000002</v>
      </c>
      <c r="T149" s="228">
        <f t="shared" si="57"/>
        <v>2.4520000000000008</v>
      </c>
      <c r="U149" s="343">
        <f t="shared" si="57"/>
        <v>9.2680000000000007</v>
      </c>
      <c r="V149" s="228">
        <f t="shared" si="57"/>
        <v>4.9909999999999997</v>
      </c>
      <c r="W149" s="228">
        <f t="shared" si="57"/>
        <v>2.7639999999999998</v>
      </c>
      <c r="X149" s="228">
        <f t="shared" si="57"/>
        <v>2.7160000000000002</v>
      </c>
      <c r="Y149" s="228">
        <f t="shared" si="57"/>
        <v>2.6140000000000008</v>
      </c>
      <c r="Z149" s="343">
        <f t="shared" si="57"/>
        <v>13.085000000000001</v>
      </c>
      <c r="AA149" s="228">
        <f t="shared" si="57"/>
        <v>2.258</v>
      </c>
      <c r="AB149" s="228">
        <f t="shared" si="57"/>
        <v>2.7829999999999999</v>
      </c>
      <c r="AC149" s="228">
        <f t="shared" si="57"/>
        <v>2.94</v>
      </c>
      <c r="AD149" s="228">
        <f t="shared" si="57"/>
        <v>2.9129999999999998</v>
      </c>
      <c r="AE149" s="343">
        <f t="shared" si="57"/>
        <v>10.893000000000001</v>
      </c>
      <c r="AF149" s="228">
        <f t="shared" si="57"/>
        <v>2.79</v>
      </c>
      <c r="AG149" s="228">
        <f t="shared" si="57"/>
        <v>2.5150000000000001</v>
      </c>
      <c r="AH149" s="228">
        <f t="shared" si="57"/>
        <v>3.601</v>
      </c>
      <c r="AI149" s="228">
        <f t="shared" si="57"/>
        <v>4.5220000000000002</v>
      </c>
      <c r="AJ149" s="343">
        <f t="shared" si="57"/>
        <v>13.427999999999999</v>
      </c>
      <c r="AK149" s="228">
        <f t="shared" si="57"/>
        <v>4.665</v>
      </c>
      <c r="AL149" s="322">
        <f t="shared" si="57"/>
        <v>5.13</v>
      </c>
      <c r="AM149" s="391"/>
      <c r="AN149" s="391"/>
      <c r="AO149" s="343"/>
      <c r="AP149" s="391"/>
      <c r="AQ149" s="391"/>
      <c r="AR149" s="391"/>
      <c r="AS149" s="391"/>
      <c r="AT149" s="343"/>
      <c r="AU149" s="392"/>
      <c r="AV149" s="392"/>
      <c r="AW149" s="392"/>
      <c r="AX149" s="228"/>
    </row>
    <row r="150" spans="1:50" s="5" customFormat="1" x14ac:dyDescent="0.3">
      <c r="A150" s="410" t="s">
        <v>492</v>
      </c>
      <c r="B150" s="376"/>
      <c r="C150" s="343">
        <f t="shared" ref="C150:AL150" si="58">C125</f>
        <v>0</v>
      </c>
      <c r="D150" s="343">
        <f t="shared" si="58"/>
        <v>0</v>
      </c>
      <c r="E150" s="343">
        <f t="shared" si="58"/>
        <v>0</v>
      </c>
      <c r="F150" s="343">
        <f t="shared" si="58"/>
        <v>0</v>
      </c>
      <c r="G150" s="228">
        <f t="shared" si="58"/>
        <v>0</v>
      </c>
      <c r="H150" s="228">
        <f t="shared" si="58"/>
        <v>1.8280000000000001</v>
      </c>
      <c r="I150" s="228">
        <f t="shared" si="58"/>
        <v>0.67200000000000004</v>
      </c>
      <c r="J150" s="228">
        <f t="shared" si="58"/>
        <v>0.27400000000000002</v>
      </c>
      <c r="K150" s="343">
        <f t="shared" si="58"/>
        <v>2.774</v>
      </c>
      <c r="L150" s="228">
        <f t="shared" si="58"/>
        <v>0</v>
      </c>
      <c r="M150" s="228">
        <f t="shared" si="58"/>
        <v>0</v>
      </c>
      <c r="N150" s="228">
        <f t="shared" si="58"/>
        <v>0</v>
      </c>
      <c r="O150" s="228">
        <f t="shared" si="58"/>
        <v>0</v>
      </c>
      <c r="P150" s="343">
        <f t="shared" si="58"/>
        <v>0</v>
      </c>
      <c r="Q150" s="228">
        <f t="shared" si="58"/>
        <v>0</v>
      </c>
      <c r="R150" s="228">
        <f t="shared" si="58"/>
        <v>0</v>
      </c>
      <c r="S150" s="228">
        <f t="shared" si="58"/>
        <v>0.74199999999999999</v>
      </c>
      <c r="T150" s="228">
        <f t="shared" si="58"/>
        <v>1.0780000000000001</v>
      </c>
      <c r="U150" s="343">
        <f t="shared" si="58"/>
        <v>1.8199999999999998</v>
      </c>
      <c r="V150" s="228">
        <f t="shared" si="58"/>
        <v>6.3479999999999999</v>
      </c>
      <c r="W150" s="228">
        <f t="shared" si="58"/>
        <v>0.313</v>
      </c>
      <c r="X150" s="228">
        <f t="shared" si="58"/>
        <v>8.5000000000000006E-2</v>
      </c>
      <c r="Y150" s="228">
        <f t="shared" si="58"/>
        <v>9.7000000000000003E-2</v>
      </c>
      <c r="Z150" s="343">
        <f t="shared" si="58"/>
        <v>6.8440000000000003</v>
      </c>
      <c r="AA150" s="228">
        <f t="shared" si="58"/>
        <v>0.13400000000000001</v>
      </c>
      <c r="AB150" s="228">
        <f t="shared" si="58"/>
        <v>0</v>
      </c>
      <c r="AC150" s="228">
        <f t="shared" si="58"/>
        <v>0.153</v>
      </c>
      <c r="AD150" s="228">
        <f t="shared" si="58"/>
        <v>1.5069999999999999</v>
      </c>
      <c r="AE150" s="343">
        <f t="shared" si="58"/>
        <v>1.794</v>
      </c>
      <c r="AF150" s="228">
        <f t="shared" si="58"/>
        <v>3.831</v>
      </c>
      <c r="AG150" s="228">
        <f t="shared" si="58"/>
        <v>10.366</v>
      </c>
      <c r="AH150" s="228">
        <f t="shared" si="58"/>
        <v>1.0029999999999999</v>
      </c>
      <c r="AI150" s="228">
        <f t="shared" si="58"/>
        <v>0.223</v>
      </c>
      <c r="AJ150" s="343">
        <f t="shared" si="58"/>
        <v>15.423</v>
      </c>
      <c r="AK150" s="228">
        <f t="shared" si="58"/>
        <v>4.6539999999999999</v>
      </c>
      <c r="AL150" s="322">
        <f t="shared" si="58"/>
        <v>3.4340000000000002</v>
      </c>
      <c r="AM150" s="391"/>
      <c r="AN150" s="391"/>
      <c r="AO150" s="343"/>
      <c r="AP150" s="391"/>
      <c r="AQ150" s="391"/>
      <c r="AR150" s="391"/>
      <c r="AS150" s="391"/>
      <c r="AT150" s="343"/>
      <c r="AU150" s="392"/>
      <c r="AV150" s="392"/>
      <c r="AW150" s="392"/>
      <c r="AX150" s="228"/>
    </row>
    <row r="151" spans="1:50" s="5" customFormat="1" x14ac:dyDescent="0.3">
      <c r="A151" s="410" t="s">
        <v>493</v>
      </c>
      <c r="B151" s="376"/>
      <c r="C151" s="343">
        <f t="shared" ref="C151:AL151" si="59">C129</f>
        <v>0</v>
      </c>
      <c r="D151" s="343">
        <f t="shared" si="59"/>
        <v>0</v>
      </c>
      <c r="E151" s="343">
        <f t="shared" si="59"/>
        <v>0</v>
      </c>
      <c r="F151" s="343">
        <f t="shared" si="59"/>
        <v>0</v>
      </c>
      <c r="G151" s="228">
        <f t="shared" si="59"/>
        <v>0</v>
      </c>
      <c r="H151" s="228">
        <f t="shared" si="59"/>
        <v>0</v>
      </c>
      <c r="I151" s="228">
        <f t="shared" si="59"/>
        <v>0</v>
      </c>
      <c r="J151" s="228">
        <f t="shared" si="59"/>
        <v>0</v>
      </c>
      <c r="K151" s="343">
        <f t="shared" si="59"/>
        <v>0</v>
      </c>
      <c r="L151" s="228">
        <f t="shared" si="59"/>
        <v>0</v>
      </c>
      <c r="M151" s="228">
        <f t="shared" si="59"/>
        <v>0</v>
      </c>
      <c r="N151" s="228">
        <f t="shared" si="59"/>
        <v>0</v>
      </c>
      <c r="O151" s="228">
        <f t="shared" si="59"/>
        <v>0</v>
      </c>
      <c r="P151" s="343">
        <f t="shared" si="59"/>
        <v>0</v>
      </c>
      <c r="Q151" s="228">
        <f t="shared" si="59"/>
        <v>0</v>
      </c>
      <c r="R151" s="228">
        <f t="shared" si="59"/>
        <v>0</v>
      </c>
      <c r="S151" s="228">
        <f t="shared" si="59"/>
        <v>0</v>
      </c>
      <c r="T151" s="228">
        <f t="shared" si="59"/>
        <v>0</v>
      </c>
      <c r="U151" s="343">
        <f t="shared" si="59"/>
        <v>0</v>
      </c>
      <c r="V151" s="228">
        <f t="shared" si="59"/>
        <v>5.1059999999999999</v>
      </c>
      <c r="W151" s="228">
        <f t="shared" si="59"/>
        <v>0</v>
      </c>
      <c r="X151" s="228">
        <f t="shared" si="59"/>
        <v>0</v>
      </c>
      <c r="Y151" s="228">
        <f t="shared" si="59"/>
        <v>-0.125</v>
      </c>
      <c r="Z151" s="343">
        <f t="shared" si="59"/>
        <v>4.9809999999999999</v>
      </c>
      <c r="AA151" s="228">
        <f t="shared" si="59"/>
        <v>0</v>
      </c>
      <c r="AB151" s="228">
        <f t="shared" si="59"/>
        <v>0</v>
      </c>
      <c r="AC151" s="228">
        <f t="shared" si="59"/>
        <v>0</v>
      </c>
      <c r="AD151" s="228">
        <f t="shared" si="59"/>
        <v>0</v>
      </c>
      <c r="AE151" s="343">
        <f t="shared" si="59"/>
        <v>0</v>
      </c>
      <c r="AF151" s="228">
        <f t="shared" si="59"/>
        <v>0</v>
      </c>
      <c r="AG151" s="228">
        <f t="shared" si="59"/>
        <v>0</v>
      </c>
      <c r="AH151" s="228">
        <f t="shared" si="59"/>
        <v>0</v>
      </c>
      <c r="AI151" s="228">
        <f t="shared" si="59"/>
        <v>0</v>
      </c>
      <c r="AJ151" s="343">
        <f t="shared" si="59"/>
        <v>0</v>
      </c>
      <c r="AK151" s="228">
        <f t="shared" si="59"/>
        <v>0</v>
      </c>
      <c r="AL151" s="322">
        <f t="shared" si="59"/>
        <v>0</v>
      </c>
      <c r="AM151" s="391"/>
      <c r="AN151" s="391"/>
      <c r="AO151" s="343"/>
      <c r="AP151" s="391"/>
      <c r="AQ151" s="391"/>
      <c r="AR151" s="391"/>
      <c r="AS151" s="391"/>
      <c r="AT151" s="343"/>
      <c r="AU151" s="392"/>
      <c r="AV151" s="392"/>
      <c r="AW151" s="392"/>
      <c r="AX151" s="228"/>
    </row>
    <row r="152" spans="1:50" s="9" customFormat="1" x14ac:dyDescent="0.3">
      <c r="A152" s="411" t="s">
        <v>494</v>
      </c>
      <c r="B152" s="412"/>
      <c r="C152" s="413">
        <f t="shared" ref="C152:AL152" si="60">C148-SUM(C149:C151)</f>
        <v>9.3529999999999998</v>
      </c>
      <c r="D152" s="413">
        <f t="shared" si="60"/>
        <v>8.7889999999999997</v>
      </c>
      <c r="E152" s="413">
        <f t="shared" si="60"/>
        <v>18.136999999999997</v>
      </c>
      <c r="F152" s="413">
        <f t="shared" si="60"/>
        <v>18.554000000000002</v>
      </c>
      <c r="G152" s="401">
        <f t="shared" si="60"/>
        <v>5.5060000000000002</v>
      </c>
      <c r="H152" s="401">
        <f t="shared" si="60"/>
        <v>6.2720000000000002</v>
      </c>
      <c r="I152" s="401">
        <f t="shared" si="60"/>
        <v>6.8359999999999994</v>
      </c>
      <c r="J152" s="401">
        <f t="shared" si="60"/>
        <v>7.5019999999999998</v>
      </c>
      <c r="K152" s="413">
        <f t="shared" si="60"/>
        <v>26.116</v>
      </c>
      <c r="L152" s="401">
        <f t="shared" si="60"/>
        <v>6.21</v>
      </c>
      <c r="M152" s="401">
        <f t="shared" si="60"/>
        <v>7.2780000000000005</v>
      </c>
      <c r="N152" s="401">
        <f t="shared" si="60"/>
        <v>7.0970000000000004</v>
      </c>
      <c r="O152" s="401">
        <f t="shared" si="60"/>
        <v>7.5069999999999926</v>
      </c>
      <c r="P152" s="413">
        <f t="shared" si="60"/>
        <v>28.091999999999999</v>
      </c>
      <c r="Q152" s="401">
        <f t="shared" si="60"/>
        <v>7.6920000000000002</v>
      </c>
      <c r="R152" s="401">
        <f t="shared" si="60"/>
        <v>8.2970000000000006</v>
      </c>
      <c r="S152" s="401">
        <f t="shared" si="60"/>
        <v>7.7680000000000007</v>
      </c>
      <c r="T152" s="401">
        <f t="shared" si="60"/>
        <v>9.3669999999999973</v>
      </c>
      <c r="U152" s="413">
        <f t="shared" si="60"/>
        <v>33.124000000000002</v>
      </c>
      <c r="V152" s="401">
        <f t="shared" si="60"/>
        <v>11.492999999999999</v>
      </c>
      <c r="W152" s="401">
        <f t="shared" si="60"/>
        <v>10.417</v>
      </c>
      <c r="X152" s="401">
        <f t="shared" si="60"/>
        <v>10.7</v>
      </c>
      <c r="Y152" s="401">
        <f t="shared" si="60"/>
        <v>11.003000000000005</v>
      </c>
      <c r="Z152" s="413">
        <f t="shared" si="60"/>
        <v>43.612000000000002</v>
      </c>
      <c r="AA152" s="401">
        <f t="shared" si="60"/>
        <v>10.127000000000001</v>
      </c>
      <c r="AB152" s="401">
        <f t="shared" si="60"/>
        <v>9.6930000000000014</v>
      </c>
      <c r="AC152" s="401">
        <f t="shared" si="60"/>
        <v>9.9459999999999997</v>
      </c>
      <c r="AD152" s="401">
        <f t="shared" si="60"/>
        <v>9.7160000000000029</v>
      </c>
      <c r="AE152" s="413">
        <f t="shared" si="60"/>
        <v>39.483000000000004</v>
      </c>
      <c r="AF152" s="401">
        <f t="shared" si="60"/>
        <v>9.8949999999999978</v>
      </c>
      <c r="AG152" s="401">
        <f t="shared" si="60"/>
        <v>10.754000000000001</v>
      </c>
      <c r="AH152" s="401">
        <f t="shared" si="60"/>
        <v>9.2910000000000004</v>
      </c>
      <c r="AI152" s="401">
        <f t="shared" si="60"/>
        <v>10.079000000000001</v>
      </c>
      <c r="AJ152" s="413">
        <f t="shared" si="60"/>
        <v>40.018999999999991</v>
      </c>
      <c r="AK152" s="401">
        <f t="shared" si="60"/>
        <v>9.9520000000000017</v>
      </c>
      <c r="AL152" s="414">
        <f t="shared" si="60"/>
        <v>10.635000000000002</v>
      </c>
      <c r="AM152" s="401"/>
      <c r="AN152" s="401"/>
      <c r="AO152" s="413"/>
      <c r="AP152" s="401"/>
      <c r="AQ152" s="401"/>
      <c r="AR152" s="401"/>
      <c r="AS152" s="401"/>
      <c r="AT152" s="413"/>
      <c r="AU152" s="413"/>
      <c r="AV152" s="413"/>
      <c r="AW152" s="413"/>
      <c r="AX152" s="22"/>
    </row>
    <row r="153" spans="1:50" s="5" customFormat="1" x14ac:dyDescent="0.3">
      <c r="A153" s="404" t="s">
        <v>495</v>
      </c>
      <c r="B153" s="376"/>
      <c r="C153" s="343">
        <f t="shared" ref="C153:AL153" si="61">C60</f>
        <v>17.033999999999999</v>
      </c>
      <c r="D153" s="343">
        <f t="shared" si="61"/>
        <v>22.103999999999999</v>
      </c>
      <c r="E153" s="343">
        <f t="shared" si="61"/>
        <v>40.366</v>
      </c>
      <c r="F153" s="343">
        <f t="shared" si="61"/>
        <v>61.067999999999998</v>
      </c>
      <c r="G153" s="228">
        <f t="shared" si="61"/>
        <v>16.414000000000001</v>
      </c>
      <c r="H153" s="228">
        <f t="shared" si="61"/>
        <v>16.797000000000001</v>
      </c>
      <c r="I153" s="228">
        <f t="shared" si="61"/>
        <v>18.204000000000001</v>
      </c>
      <c r="J153" s="228">
        <f t="shared" si="61"/>
        <v>19.128999999999998</v>
      </c>
      <c r="K153" s="343">
        <f t="shared" si="61"/>
        <v>70.543999999999997</v>
      </c>
      <c r="L153" s="228">
        <f t="shared" si="61"/>
        <v>19.279</v>
      </c>
      <c r="M153" s="228">
        <f t="shared" si="61"/>
        <v>18.722999999999999</v>
      </c>
      <c r="N153" s="228">
        <f t="shared" si="61"/>
        <v>18.863</v>
      </c>
      <c r="O153" s="228">
        <f t="shared" si="61"/>
        <v>19.995000000000005</v>
      </c>
      <c r="P153" s="343">
        <f t="shared" si="61"/>
        <v>76.86</v>
      </c>
      <c r="Q153" s="228">
        <f t="shared" si="61"/>
        <v>22.558</v>
      </c>
      <c r="R153" s="228">
        <f t="shared" si="61"/>
        <v>23.366</v>
      </c>
      <c r="S153" s="228">
        <f t="shared" si="61"/>
        <v>24.815999999999999</v>
      </c>
      <c r="T153" s="228">
        <f t="shared" si="61"/>
        <v>26.698000000000008</v>
      </c>
      <c r="U153" s="343">
        <f t="shared" si="61"/>
        <v>97.438000000000002</v>
      </c>
      <c r="V153" s="228">
        <f t="shared" si="61"/>
        <v>31.228000000000002</v>
      </c>
      <c r="W153" s="228">
        <f t="shared" si="61"/>
        <v>32.576000000000001</v>
      </c>
      <c r="X153" s="228">
        <f t="shared" si="61"/>
        <v>34.408000000000001</v>
      </c>
      <c r="Y153" s="228">
        <f t="shared" si="61"/>
        <v>35.567999999999998</v>
      </c>
      <c r="Z153" s="343">
        <f t="shared" si="61"/>
        <v>133.78</v>
      </c>
      <c r="AA153" s="228">
        <f t="shared" si="61"/>
        <v>35.756999999999998</v>
      </c>
      <c r="AB153" s="228">
        <f t="shared" si="61"/>
        <v>38.11</v>
      </c>
      <c r="AC153" s="228">
        <f t="shared" si="61"/>
        <v>37.829000000000001</v>
      </c>
      <c r="AD153" s="228">
        <f t="shared" si="61"/>
        <v>38.760999999999996</v>
      </c>
      <c r="AE153" s="343">
        <f t="shared" si="61"/>
        <v>150.45699999999999</v>
      </c>
      <c r="AF153" s="228">
        <f t="shared" si="61"/>
        <v>39.494</v>
      </c>
      <c r="AG153" s="228">
        <f t="shared" si="61"/>
        <v>35.673000000000002</v>
      </c>
      <c r="AH153" s="228">
        <f t="shared" si="61"/>
        <v>36.344000000000001</v>
      </c>
      <c r="AI153" s="228">
        <f t="shared" si="61"/>
        <v>37.042000000000002</v>
      </c>
      <c r="AJ153" s="343">
        <f t="shared" si="61"/>
        <v>148.553</v>
      </c>
      <c r="AK153" s="228">
        <f t="shared" si="61"/>
        <v>40.097000000000001</v>
      </c>
      <c r="AL153" s="322">
        <f t="shared" si="61"/>
        <v>39.302</v>
      </c>
      <c r="AM153" s="228"/>
      <c r="AN153" s="228"/>
      <c r="AO153" s="343"/>
      <c r="AP153" s="228"/>
      <c r="AQ153" s="228"/>
      <c r="AR153" s="228"/>
      <c r="AS153" s="228"/>
      <c r="AT153" s="343"/>
      <c r="AU153" s="343"/>
      <c r="AV153" s="343"/>
      <c r="AW153" s="343"/>
      <c r="AX153" s="228"/>
    </row>
    <row r="154" spans="1:50" s="5" customFormat="1" x14ac:dyDescent="0.3">
      <c r="A154" s="410" t="s">
        <v>92</v>
      </c>
      <c r="B154" s="376"/>
      <c r="C154" s="343">
        <f t="shared" ref="C154:AL154" si="62">C113</f>
        <v>0</v>
      </c>
      <c r="D154" s="343">
        <f t="shared" si="62"/>
        <v>2.73</v>
      </c>
      <c r="E154" s="343">
        <f t="shared" si="62"/>
        <v>4.8940000000000001</v>
      </c>
      <c r="F154" s="343">
        <f t="shared" si="62"/>
        <v>8.0549999999999997</v>
      </c>
      <c r="G154" s="228">
        <f t="shared" si="62"/>
        <v>2.1240000000000001</v>
      </c>
      <c r="H154" s="228">
        <f t="shared" si="62"/>
        <v>2.3420000000000001</v>
      </c>
      <c r="I154" s="228">
        <f t="shared" si="62"/>
        <v>2.407</v>
      </c>
      <c r="J154" s="228">
        <f t="shared" si="62"/>
        <v>2.3250000000000002</v>
      </c>
      <c r="K154" s="343">
        <f t="shared" si="62"/>
        <v>9.1980000000000004</v>
      </c>
      <c r="L154" s="228">
        <f t="shared" si="62"/>
        <v>2.4329999999999998</v>
      </c>
      <c r="M154" s="228">
        <f t="shared" si="62"/>
        <v>2.4790000000000001</v>
      </c>
      <c r="N154" s="228">
        <f t="shared" si="62"/>
        <v>2.4729999999999999</v>
      </c>
      <c r="O154" s="228">
        <f t="shared" si="62"/>
        <v>2.370000000000001</v>
      </c>
      <c r="P154" s="343">
        <f t="shared" si="62"/>
        <v>9.7550000000000008</v>
      </c>
      <c r="Q154" s="228">
        <f t="shared" si="62"/>
        <v>2.3940000000000001</v>
      </c>
      <c r="R154" s="228">
        <f t="shared" si="62"/>
        <v>2.75</v>
      </c>
      <c r="S154" s="228">
        <f t="shared" si="62"/>
        <v>2.621</v>
      </c>
      <c r="T154" s="228">
        <f t="shared" si="62"/>
        <v>2.5439999999999987</v>
      </c>
      <c r="U154" s="343">
        <f t="shared" si="62"/>
        <v>10.308999999999999</v>
      </c>
      <c r="V154" s="228">
        <f t="shared" si="62"/>
        <v>3.6480000000000001</v>
      </c>
      <c r="W154" s="228">
        <f t="shared" si="62"/>
        <v>3.8889999999999998</v>
      </c>
      <c r="X154" s="228">
        <f t="shared" si="62"/>
        <v>3.8370000000000002</v>
      </c>
      <c r="Y154" s="228">
        <f t="shared" si="62"/>
        <v>3.8089999999999993</v>
      </c>
      <c r="Z154" s="343">
        <f t="shared" si="62"/>
        <v>15.183</v>
      </c>
      <c r="AA154" s="228">
        <f t="shared" si="62"/>
        <v>3.3380000000000001</v>
      </c>
      <c r="AB154" s="228">
        <f t="shared" si="62"/>
        <v>4.01</v>
      </c>
      <c r="AC154" s="228">
        <f t="shared" si="62"/>
        <v>4.3360000000000003</v>
      </c>
      <c r="AD154" s="228">
        <f t="shared" si="62"/>
        <v>4.0090000000000003</v>
      </c>
      <c r="AE154" s="343">
        <f t="shared" si="62"/>
        <v>15.693</v>
      </c>
      <c r="AF154" s="228">
        <f t="shared" si="62"/>
        <v>3.5990000000000002</v>
      </c>
      <c r="AG154" s="228">
        <f t="shared" si="62"/>
        <v>3.6459999999999999</v>
      </c>
      <c r="AH154" s="228">
        <f t="shared" si="62"/>
        <v>4.6449999999999996</v>
      </c>
      <c r="AI154" s="228">
        <f t="shared" si="62"/>
        <v>5.1520000000000001</v>
      </c>
      <c r="AJ154" s="343">
        <f t="shared" si="62"/>
        <v>17.042000000000002</v>
      </c>
      <c r="AK154" s="228">
        <f t="shared" si="62"/>
        <v>5.6520000000000001</v>
      </c>
      <c r="AL154" s="322">
        <f t="shared" si="62"/>
        <v>6.5039999999999996</v>
      </c>
      <c r="AM154" s="391"/>
      <c r="AN154" s="391"/>
      <c r="AO154" s="343"/>
      <c r="AP154" s="391"/>
      <c r="AQ154" s="391"/>
      <c r="AR154" s="391"/>
      <c r="AS154" s="391"/>
      <c r="AT154" s="343"/>
      <c r="AU154" s="392"/>
      <c r="AV154" s="392"/>
      <c r="AW154" s="392"/>
      <c r="AX154" s="228"/>
    </row>
    <row r="155" spans="1:50" s="5" customFormat="1" x14ac:dyDescent="0.3">
      <c r="A155" s="410" t="s">
        <v>496</v>
      </c>
      <c r="B155" s="376"/>
      <c r="C155" s="343">
        <f t="shared" ref="C155:AL155" si="63">C119</f>
        <v>0</v>
      </c>
      <c r="D155" s="343">
        <f t="shared" si="63"/>
        <v>0</v>
      </c>
      <c r="E155" s="343">
        <f t="shared" si="63"/>
        <v>1.569</v>
      </c>
      <c r="F155" s="343">
        <f t="shared" si="63"/>
        <v>1.7569999999999999</v>
      </c>
      <c r="G155" s="228">
        <f t="shared" si="63"/>
        <v>0.439</v>
      </c>
      <c r="H155" s="228">
        <f t="shared" si="63"/>
        <v>0.63600000000000001</v>
      </c>
      <c r="I155" s="228">
        <f t="shared" si="63"/>
        <v>0.83699999999999997</v>
      </c>
      <c r="J155" s="228">
        <f t="shared" si="63"/>
        <v>1.0389999999999999</v>
      </c>
      <c r="K155" s="343">
        <f t="shared" si="63"/>
        <v>2.9510000000000001</v>
      </c>
      <c r="L155" s="228">
        <f t="shared" si="63"/>
        <v>1.0389999999999999</v>
      </c>
      <c r="M155" s="228">
        <f t="shared" si="63"/>
        <v>1.0389999999999999</v>
      </c>
      <c r="N155" s="228">
        <f t="shared" si="63"/>
        <v>1.0389999999999999</v>
      </c>
      <c r="O155" s="228">
        <f t="shared" si="63"/>
        <v>1.0389999999999999</v>
      </c>
      <c r="P155" s="343">
        <f t="shared" si="63"/>
        <v>4.1559999999999997</v>
      </c>
      <c r="Q155" s="228">
        <f t="shared" si="63"/>
        <v>0.58399999999999996</v>
      </c>
      <c r="R155" s="228">
        <f t="shared" si="63"/>
        <v>0.19700000000000001</v>
      </c>
      <c r="S155" s="228">
        <f t="shared" si="63"/>
        <v>0.19600000000000001</v>
      </c>
      <c r="T155" s="228">
        <f t="shared" si="63"/>
        <v>0.19600000000000001</v>
      </c>
      <c r="U155" s="343">
        <f t="shared" si="63"/>
        <v>1.173</v>
      </c>
      <c r="V155" s="228">
        <f t="shared" si="63"/>
        <v>1.0229999999999999</v>
      </c>
      <c r="W155" s="228">
        <f t="shared" si="63"/>
        <v>2.2320000000000002</v>
      </c>
      <c r="X155" s="228">
        <f t="shared" si="63"/>
        <v>2.23</v>
      </c>
      <c r="Y155" s="228">
        <f t="shared" si="63"/>
        <v>2.23</v>
      </c>
      <c r="Z155" s="343">
        <f t="shared" si="63"/>
        <v>7.7130000000000001</v>
      </c>
      <c r="AA155" s="228">
        <f t="shared" si="63"/>
        <v>2.23</v>
      </c>
      <c r="AB155" s="228">
        <f t="shared" si="63"/>
        <v>2.23</v>
      </c>
      <c r="AC155" s="228">
        <f t="shared" si="63"/>
        <v>2.23</v>
      </c>
      <c r="AD155" s="228">
        <f t="shared" si="63"/>
        <v>2.23</v>
      </c>
      <c r="AE155" s="343">
        <f t="shared" si="63"/>
        <v>8.9190000000000005</v>
      </c>
      <c r="AF155" s="228">
        <f t="shared" si="63"/>
        <v>2.23</v>
      </c>
      <c r="AG155" s="228">
        <f t="shared" si="63"/>
        <v>2.0329999999999999</v>
      </c>
      <c r="AH155" s="228">
        <f t="shared" si="63"/>
        <v>2.0329999999999999</v>
      </c>
      <c r="AI155" s="228">
        <f t="shared" si="63"/>
        <v>2.0329999999999999</v>
      </c>
      <c r="AJ155" s="343">
        <f t="shared" si="63"/>
        <v>8.33</v>
      </c>
      <c r="AK155" s="228">
        <f t="shared" si="63"/>
        <v>1.8440000000000001</v>
      </c>
      <c r="AL155" s="322">
        <f t="shared" si="63"/>
        <v>1.5669999999999999</v>
      </c>
      <c r="AM155" s="391"/>
      <c r="AN155" s="391"/>
      <c r="AO155" s="343"/>
      <c r="AP155" s="391"/>
      <c r="AQ155" s="391"/>
      <c r="AR155" s="391"/>
      <c r="AS155" s="391"/>
      <c r="AT155" s="343"/>
      <c r="AU155" s="392"/>
      <c r="AV155" s="392"/>
      <c r="AW155" s="392"/>
      <c r="AX155" s="228"/>
    </row>
    <row r="156" spans="1:50" s="5" customFormat="1" x14ac:dyDescent="0.3">
      <c r="A156" s="410" t="s">
        <v>497</v>
      </c>
      <c r="B156" s="376"/>
      <c r="C156" s="343">
        <f t="shared" ref="C156:AL156" si="64">C124</f>
        <v>0</v>
      </c>
      <c r="D156" s="343">
        <f t="shared" si="64"/>
        <v>0</v>
      </c>
      <c r="E156" s="343">
        <f t="shared" si="64"/>
        <v>0</v>
      </c>
      <c r="F156" s="343">
        <f t="shared" si="64"/>
        <v>0</v>
      </c>
      <c r="G156" s="228">
        <f t="shared" si="64"/>
        <v>0</v>
      </c>
      <c r="H156" s="228">
        <f t="shared" si="64"/>
        <v>0</v>
      </c>
      <c r="I156" s="228">
        <f t="shared" si="64"/>
        <v>0.26100000000000001</v>
      </c>
      <c r="J156" s="228">
        <f t="shared" si="64"/>
        <v>0.219</v>
      </c>
      <c r="K156" s="343">
        <f t="shared" si="64"/>
        <v>0.48</v>
      </c>
      <c r="L156" s="228">
        <f t="shared" si="64"/>
        <v>0.23799999999999999</v>
      </c>
      <c r="M156" s="228">
        <f t="shared" si="64"/>
        <v>0.17399999999999999</v>
      </c>
      <c r="N156" s="228">
        <f t="shared" si="64"/>
        <v>0.22500000000000001</v>
      </c>
      <c r="O156" s="228">
        <f t="shared" si="64"/>
        <v>0.22600000000000001</v>
      </c>
      <c r="P156" s="343">
        <f t="shared" si="64"/>
        <v>0.86299999999999999</v>
      </c>
      <c r="Q156" s="228">
        <f t="shared" si="64"/>
        <v>0.22500000000000001</v>
      </c>
      <c r="R156" s="228">
        <f t="shared" si="64"/>
        <v>0.22500000000000001</v>
      </c>
      <c r="S156" s="228">
        <f t="shared" si="64"/>
        <v>0</v>
      </c>
      <c r="T156" s="228">
        <f t="shared" si="64"/>
        <v>0</v>
      </c>
      <c r="U156" s="343">
        <f t="shared" si="64"/>
        <v>0.45</v>
      </c>
      <c r="V156" s="228">
        <f t="shared" si="64"/>
        <v>5.6000000000000001E-2</v>
      </c>
      <c r="W156" s="228">
        <f t="shared" si="64"/>
        <v>0.15</v>
      </c>
      <c r="X156" s="228">
        <f t="shared" si="64"/>
        <v>0</v>
      </c>
      <c r="Y156" s="228">
        <f t="shared" si="64"/>
        <v>0</v>
      </c>
      <c r="Z156" s="343">
        <f t="shared" si="64"/>
        <v>0.20599999999999999</v>
      </c>
      <c r="AA156" s="228">
        <f t="shared" si="64"/>
        <v>0.06</v>
      </c>
      <c r="AB156" s="228">
        <f t="shared" si="64"/>
        <v>0</v>
      </c>
      <c r="AC156" s="228">
        <f t="shared" si="64"/>
        <v>3.2000000000000001E-2</v>
      </c>
      <c r="AD156" s="228">
        <f t="shared" si="64"/>
        <v>4.8000000000000001E-2</v>
      </c>
      <c r="AE156" s="343">
        <f t="shared" si="64"/>
        <v>0.14099999999999999</v>
      </c>
      <c r="AF156" s="228">
        <f t="shared" si="64"/>
        <v>0.16</v>
      </c>
      <c r="AG156" s="228">
        <f t="shared" si="64"/>
        <v>4.8000000000000001E-2</v>
      </c>
      <c r="AH156" s="228">
        <f t="shared" si="64"/>
        <v>0.03</v>
      </c>
      <c r="AI156" s="228">
        <f t="shared" si="64"/>
        <v>0.03</v>
      </c>
      <c r="AJ156" s="343">
        <f t="shared" si="64"/>
        <v>0.26800000000000002</v>
      </c>
      <c r="AK156" s="228">
        <f t="shared" si="64"/>
        <v>0.03</v>
      </c>
      <c r="AL156" s="322">
        <f t="shared" si="64"/>
        <v>0.108</v>
      </c>
      <c r="AM156" s="391"/>
      <c r="AN156" s="391"/>
      <c r="AO156" s="343"/>
      <c r="AP156" s="391"/>
      <c r="AQ156" s="391"/>
      <c r="AR156" s="391"/>
      <c r="AS156" s="391"/>
      <c r="AT156" s="343"/>
      <c r="AU156" s="392"/>
      <c r="AV156" s="392"/>
      <c r="AW156" s="392"/>
      <c r="AX156" s="228"/>
    </row>
    <row r="157" spans="1:50" s="5" customFormat="1" x14ac:dyDescent="0.3">
      <c r="A157" s="415" t="s">
        <v>498</v>
      </c>
      <c r="B157" s="416"/>
      <c r="C157" s="417">
        <f t="shared" ref="C157:AL157" si="65">C153-SUM(C154:C156)</f>
        <v>17.033999999999999</v>
      </c>
      <c r="D157" s="417">
        <f t="shared" si="65"/>
        <v>19.373999999999999</v>
      </c>
      <c r="E157" s="417">
        <f t="shared" si="65"/>
        <v>33.902999999999999</v>
      </c>
      <c r="F157" s="417">
        <f t="shared" si="65"/>
        <v>51.256</v>
      </c>
      <c r="G157" s="418">
        <f t="shared" si="65"/>
        <v>13.851000000000001</v>
      </c>
      <c r="H157" s="418">
        <f t="shared" si="65"/>
        <v>13.819000000000001</v>
      </c>
      <c r="I157" s="418">
        <f t="shared" si="65"/>
        <v>14.699000000000002</v>
      </c>
      <c r="J157" s="418">
        <f t="shared" si="65"/>
        <v>15.545999999999998</v>
      </c>
      <c r="K157" s="417">
        <f t="shared" si="65"/>
        <v>57.914999999999992</v>
      </c>
      <c r="L157" s="418">
        <f t="shared" si="65"/>
        <v>15.569000000000001</v>
      </c>
      <c r="M157" s="418">
        <f t="shared" si="65"/>
        <v>15.030999999999999</v>
      </c>
      <c r="N157" s="418">
        <f t="shared" si="65"/>
        <v>15.125999999999999</v>
      </c>
      <c r="O157" s="418">
        <f t="shared" si="65"/>
        <v>16.360000000000003</v>
      </c>
      <c r="P157" s="417">
        <f t="shared" si="65"/>
        <v>62.085999999999999</v>
      </c>
      <c r="Q157" s="418">
        <f t="shared" si="65"/>
        <v>19.355</v>
      </c>
      <c r="R157" s="418">
        <f t="shared" si="65"/>
        <v>20.193999999999999</v>
      </c>
      <c r="S157" s="418">
        <f t="shared" si="65"/>
        <v>21.998999999999999</v>
      </c>
      <c r="T157" s="418">
        <f t="shared" si="65"/>
        <v>23.958000000000009</v>
      </c>
      <c r="U157" s="417">
        <f t="shared" si="65"/>
        <v>85.506</v>
      </c>
      <c r="V157" s="418">
        <f t="shared" si="65"/>
        <v>26.501000000000001</v>
      </c>
      <c r="W157" s="418">
        <f t="shared" si="65"/>
        <v>26.305</v>
      </c>
      <c r="X157" s="418">
        <f t="shared" si="65"/>
        <v>28.341000000000001</v>
      </c>
      <c r="Y157" s="418">
        <f t="shared" si="65"/>
        <v>29.528999999999996</v>
      </c>
      <c r="Z157" s="417">
        <f t="shared" si="65"/>
        <v>110.678</v>
      </c>
      <c r="AA157" s="418">
        <f t="shared" si="65"/>
        <v>30.128999999999998</v>
      </c>
      <c r="AB157" s="418">
        <f t="shared" si="65"/>
        <v>31.869999999999997</v>
      </c>
      <c r="AC157" s="418">
        <f t="shared" si="65"/>
        <v>31.231000000000002</v>
      </c>
      <c r="AD157" s="418">
        <f t="shared" si="65"/>
        <v>32.473999999999997</v>
      </c>
      <c r="AE157" s="417">
        <f t="shared" si="65"/>
        <v>125.70399999999999</v>
      </c>
      <c r="AF157" s="418">
        <f t="shared" si="65"/>
        <v>33.504999999999995</v>
      </c>
      <c r="AG157" s="418">
        <f t="shared" si="65"/>
        <v>29.946000000000002</v>
      </c>
      <c r="AH157" s="418">
        <f t="shared" si="65"/>
        <v>29.636000000000003</v>
      </c>
      <c r="AI157" s="418">
        <f t="shared" si="65"/>
        <v>29.827000000000002</v>
      </c>
      <c r="AJ157" s="417">
        <f t="shared" si="65"/>
        <v>122.913</v>
      </c>
      <c r="AK157" s="418">
        <f t="shared" si="65"/>
        <v>32.570999999999998</v>
      </c>
      <c r="AL157" s="419">
        <f t="shared" si="65"/>
        <v>31.122999999999998</v>
      </c>
      <c r="AM157" s="418"/>
      <c r="AN157" s="418"/>
      <c r="AO157" s="417"/>
      <c r="AP157" s="418"/>
      <c r="AQ157" s="418"/>
      <c r="AR157" s="418"/>
      <c r="AS157" s="418"/>
      <c r="AT157" s="417"/>
      <c r="AU157" s="417"/>
      <c r="AV157" s="417"/>
      <c r="AW157" s="417"/>
      <c r="AX157" s="228"/>
    </row>
    <row r="158" spans="1:50" s="9" customFormat="1" x14ac:dyDescent="0.3">
      <c r="A158" s="420" t="s">
        <v>96</v>
      </c>
      <c r="B158" s="103"/>
      <c r="C158" s="4">
        <f t="shared" ref="C158:AL158" si="66">C141-C147-C152-C157</f>
        <v>18.747</v>
      </c>
      <c r="D158" s="4">
        <f t="shared" si="66"/>
        <v>37.539000000000001</v>
      </c>
      <c r="E158" s="4">
        <f t="shared" si="66"/>
        <v>43.82</v>
      </c>
      <c r="F158" s="4">
        <f t="shared" si="66"/>
        <v>162.60400000000001</v>
      </c>
      <c r="G158" s="22">
        <f t="shared" si="66"/>
        <v>4.8549999999999951</v>
      </c>
      <c r="H158" s="22">
        <f t="shared" si="66"/>
        <v>15.793999999999999</v>
      </c>
      <c r="I158" s="22">
        <f t="shared" si="66"/>
        <v>13.180999999999994</v>
      </c>
      <c r="J158" s="22">
        <f t="shared" si="66"/>
        <v>9.1409999999999751</v>
      </c>
      <c r="K158" s="4">
        <f t="shared" si="66"/>
        <v>43.038999999999945</v>
      </c>
      <c r="L158" s="22">
        <f t="shared" si="66"/>
        <v>5.3029999999999919</v>
      </c>
      <c r="M158" s="22">
        <f t="shared" si="66"/>
        <v>6.7029999999999959</v>
      </c>
      <c r="N158" s="22">
        <f t="shared" si="66"/>
        <v>16.718000000000004</v>
      </c>
      <c r="O158" s="22">
        <f t="shared" si="66"/>
        <v>29.084999999999962</v>
      </c>
      <c r="P158" s="4">
        <f t="shared" si="66"/>
        <v>57.808999999999997</v>
      </c>
      <c r="Q158" s="22">
        <f t="shared" si="66"/>
        <v>30.170000000000005</v>
      </c>
      <c r="R158" s="22">
        <f t="shared" si="66"/>
        <v>36.173999999999992</v>
      </c>
      <c r="S158" s="22">
        <f t="shared" si="66"/>
        <v>36.953000000000017</v>
      </c>
      <c r="T158" s="22">
        <f t="shared" si="66"/>
        <v>36.606999999999985</v>
      </c>
      <c r="U158" s="4">
        <f t="shared" si="66"/>
        <v>139.904</v>
      </c>
      <c r="V158" s="22">
        <f t="shared" si="66"/>
        <v>41.328000000000003</v>
      </c>
      <c r="W158" s="22">
        <f t="shared" si="66"/>
        <v>45.514999999999979</v>
      </c>
      <c r="X158" s="22">
        <f t="shared" si="66"/>
        <v>49.241000000000007</v>
      </c>
      <c r="Y158" s="22">
        <f t="shared" si="66"/>
        <v>44.368000000000052</v>
      </c>
      <c r="Z158" s="4">
        <f t="shared" si="66"/>
        <v>180.44700000000006</v>
      </c>
      <c r="AA158" s="22">
        <f t="shared" si="66"/>
        <v>15.689000000000021</v>
      </c>
      <c r="AB158" s="22">
        <f t="shared" si="66"/>
        <v>26.457000000000001</v>
      </c>
      <c r="AC158" s="22">
        <f t="shared" si="66"/>
        <v>38.497000000000007</v>
      </c>
      <c r="AD158" s="22">
        <f t="shared" si="66"/>
        <v>38.009000000000007</v>
      </c>
      <c r="AE158" s="4">
        <f t="shared" si="66"/>
        <v>118.65100000000008</v>
      </c>
      <c r="AF158" s="22">
        <f t="shared" si="66"/>
        <v>52.123000000000005</v>
      </c>
      <c r="AG158" s="22">
        <f t="shared" si="66"/>
        <v>66.245999999999995</v>
      </c>
      <c r="AH158" s="22">
        <f t="shared" si="66"/>
        <v>73.216000000000008</v>
      </c>
      <c r="AI158" s="22">
        <f t="shared" si="66"/>
        <v>78.656999999999982</v>
      </c>
      <c r="AJ158" s="4">
        <f t="shared" si="66"/>
        <v>270.24099999999993</v>
      </c>
      <c r="AK158" s="22">
        <f t="shared" si="66"/>
        <v>86.317999999999955</v>
      </c>
      <c r="AL158" s="308">
        <f t="shared" si="66"/>
        <v>84.677999999999997</v>
      </c>
      <c r="AM158" s="22"/>
      <c r="AN158" s="22"/>
      <c r="AO158" s="4"/>
      <c r="AP158" s="22"/>
      <c r="AQ158" s="22"/>
      <c r="AR158" s="22"/>
      <c r="AS158" s="22"/>
      <c r="AT158" s="4"/>
      <c r="AU158" s="4"/>
      <c r="AV158" s="4"/>
      <c r="AW158" s="4"/>
      <c r="AX158" s="22"/>
    </row>
    <row r="159" spans="1:50" s="9" customFormat="1" x14ac:dyDescent="0.3">
      <c r="A159" s="197" t="s">
        <v>97</v>
      </c>
      <c r="B159" s="376"/>
      <c r="C159" s="343">
        <f t="shared" ref="C159:AL159" si="67">ROUND(C158-C160,6)</f>
        <v>0</v>
      </c>
      <c r="D159" s="343">
        <f t="shared" si="67"/>
        <v>-0.86099999999999999</v>
      </c>
      <c r="E159" s="343">
        <f t="shared" si="67"/>
        <v>-4.3940000000000001</v>
      </c>
      <c r="F159" s="343">
        <f t="shared" si="67"/>
        <v>0</v>
      </c>
      <c r="G159" s="228">
        <f t="shared" si="67"/>
        <v>0</v>
      </c>
      <c r="H159" s="228">
        <f t="shared" si="67"/>
        <v>0</v>
      </c>
      <c r="I159" s="228">
        <f t="shared" si="67"/>
        <v>0</v>
      </c>
      <c r="J159" s="228">
        <f t="shared" si="67"/>
        <v>0</v>
      </c>
      <c r="K159" s="343">
        <f t="shared" si="67"/>
        <v>0</v>
      </c>
      <c r="L159" s="228">
        <f t="shared" si="67"/>
        <v>0</v>
      </c>
      <c r="M159" s="228">
        <f t="shared" si="67"/>
        <v>0</v>
      </c>
      <c r="N159" s="228">
        <f t="shared" si="67"/>
        <v>0</v>
      </c>
      <c r="O159" s="228">
        <f t="shared" si="67"/>
        <v>0</v>
      </c>
      <c r="P159" s="343">
        <f t="shared" si="67"/>
        <v>0</v>
      </c>
      <c r="Q159" s="228">
        <f t="shared" si="67"/>
        <v>0</v>
      </c>
      <c r="R159" s="228">
        <f t="shared" si="67"/>
        <v>0</v>
      </c>
      <c r="S159" s="228">
        <f t="shared" si="67"/>
        <v>0</v>
      </c>
      <c r="T159" s="228">
        <f t="shared" si="67"/>
        <v>0</v>
      </c>
      <c r="U159" s="343">
        <f t="shared" si="67"/>
        <v>0</v>
      </c>
      <c r="V159" s="228">
        <f t="shared" si="67"/>
        <v>0</v>
      </c>
      <c r="W159" s="228">
        <f t="shared" si="67"/>
        <v>0</v>
      </c>
      <c r="X159" s="228">
        <f t="shared" si="67"/>
        <v>0</v>
      </c>
      <c r="Y159" s="228">
        <f t="shared" si="67"/>
        <v>0</v>
      </c>
      <c r="Z159" s="343">
        <f t="shared" si="67"/>
        <v>0</v>
      </c>
      <c r="AA159" s="228">
        <f t="shared" si="67"/>
        <v>0</v>
      </c>
      <c r="AB159" s="228">
        <f t="shared" si="67"/>
        <v>0</v>
      </c>
      <c r="AC159" s="228">
        <f t="shared" si="67"/>
        <v>0</v>
      </c>
      <c r="AD159" s="228">
        <f t="shared" si="67"/>
        <v>0</v>
      </c>
      <c r="AE159" s="343">
        <f t="shared" si="67"/>
        <v>0</v>
      </c>
      <c r="AF159" s="228">
        <f t="shared" si="67"/>
        <v>0</v>
      </c>
      <c r="AG159" s="228">
        <f t="shared" si="67"/>
        <v>0</v>
      </c>
      <c r="AH159" s="228">
        <f t="shared" si="67"/>
        <v>0</v>
      </c>
      <c r="AI159" s="228">
        <f t="shared" si="67"/>
        <v>0</v>
      </c>
      <c r="AJ159" s="343">
        <f t="shared" si="67"/>
        <v>0</v>
      </c>
      <c r="AK159" s="228">
        <f t="shared" si="67"/>
        <v>0</v>
      </c>
      <c r="AL159" s="322">
        <f t="shared" si="67"/>
        <v>0</v>
      </c>
      <c r="AM159" s="391"/>
      <c r="AN159" s="391"/>
      <c r="AO159" s="343"/>
      <c r="AP159" s="391"/>
      <c r="AQ159" s="391"/>
      <c r="AR159" s="391"/>
      <c r="AS159" s="391"/>
      <c r="AT159" s="343"/>
      <c r="AU159" s="392"/>
      <c r="AV159" s="392"/>
      <c r="AW159" s="392"/>
      <c r="AX159" s="22"/>
    </row>
    <row r="160" spans="1:50" s="17" customFormat="1" x14ac:dyDescent="0.3">
      <c r="A160" s="421" t="s">
        <v>98</v>
      </c>
      <c r="B160" s="377"/>
      <c r="C160" s="349">
        <f t="shared" ref="C160:AL160" si="68">C109</f>
        <v>18.747</v>
      </c>
      <c r="D160" s="349">
        <f t="shared" si="68"/>
        <v>38.399999999999984</v>
      </c>
      <c r="E160" s="349">
        <f t="shared" si="68"/>
        <v>48.213999999999984</v>
      </c>
      <c r="F160" s="349">
        <f t="shared" si="68"/>
        <v>162.60399999999993</v>
      </c>
      <c r="G160" s="350">
        <f t="shared" si="68"/>
        <v>4.854999999999996</v>
      </c>
      <c r="H160" s="350">
        <f t="shared" si="68"/>
        <v>15.794000000000004</v>
      </c>
      <c r="I160" s="350">
        <f t="shared" si="68"/>
        <v>13.180999999999994</v>
      </c>
      <c r="J160" s="350">
        <f t="shared" si="68"/>
        <v>9.1409999999999716</v>
      </c>
      <c r="K160" s="349">
        <f t="shared" si="68"/>
        <v>43.039000000000016</v>
      </c>
      <c r="L160" s="350">
        <f t="shared" si="68"/>
        <v>5.3029999999999831</v>
      </c>
      <c r="M160" s="350">
        <f t="shared" si="68"/>
        <v>6.7029999999999887</v>
      </c>
      <c r="N160" s="350">
        <f t="shared" si="68"/>
        <v>16.717999999999989</v>
      </c>
      <c r="O160" s="350">
        <f t="shared" si="68"/>
        <v>29.084999999999965</v>
      </c>
      <c r="P160" s="349">
        <f t="shared" si="68"/>
        <v>57.808999999999969</v>
      </c>
      <c r="Q160" s="350">
        <f t="shared" si="68"/>
        <v>30.169999999999998</v>
      </c>
      <c r="R160" s="350">
        <f t="shared" si="68"/>
        <v>36.173999999999992</v>
      </c>
      <c r="S160" s="350">
        <f t="shared" si="68"/>
        <v>36.953000000000003</v>
      </c>
      <c r="T160" s="350">
        <f t="shared" si="68"/>
        <v>36.606999999999992</v>
      </c>
      <c r="U160" s="349">
        <f t="shared" si="68"/>
        <v>139.90400000000002</v>
      </c>
      <c r="V160" s="350">
        <f t="shared" si="68"/>
        <v>41.328000000000017</v>
      </c>
      <c r="W160" s="350">
        <f t="shared" si="68"/>
        <v>45.514999999999965</v>
      </c>
      <c r="X160" s="350">
        <f t="shared" si="68"/>
        <v>49.241</v>
      </c>
      <c r="Y160" s="350">
        <f t="shared" si="68"/>
        <v>44.368000000000045</v>
      </c>
      <c r="Z160" s="349">
        <f t="shared" si="68"/>
        <v>180.44700000000003</v>
      </c>
      <c r="AA160" s="350">
        <f t="shared" si="68"/>
        <v>15.689000000000012</v>
      </c>
      <c r="AB160" s="350">
        <f t="shared" si="68"/>
        <v>26.456999999999969</v>
      </c>
      <c r="AC160" s="350">
        <f t="shared" si="68"/>
        <v>38.497000000000035</v>
      </c>
      <c r="AD160" s="350">
        <f t="shared" si="68"/>
        <v>38.009000000000029</v>
      </c>
      <c r="AE160" s="349">
        <f t="shared" si="68"/>
        <v>118.651</v>
      </c>
      <c r="AF160" s="350">
        <f t="shared" si="68"/>
        <v>52.123000000000012</v>
      </c>
      <c r="AG160" s="350">
        <f t="shared" si="68"/>
        <v>66.245999999999967</v>
      </c>
      <c r="AH160" s="350">
        <f t="shared" si="68"/>
        <v>73.215999999999994</v>
      </c>
      <c r="AI160" s="350">
        <f t="shared" si="68"/>
        <v>78.656999999999996</v>
      </c>
      <c r="AJ160" s="349">
        <f t="shared" si="68"/>
        <v>270.24099999999999</v>
      </c>
      <c r="AK160" s="350">
        <f t="shared" si="68"/>
        <v>86.318000000000012</v>
      </c>
      <c r="AL160" s="353">
        <f t="shared" si="68"/>
        <v>84.677999999999997</v>
      </c>
      <c r="AM160" s="350"/>
      <c r="AN160" s="350"/>
      <c r="AO160" s="349"/>
      <c r="AP160" s="350"/>
      <c r="AQ160" s="350"/>
      <c r="AR160" s="350"/>
      <c r="AS160" s="350"/>
      <c r="AT160" s="349"/>
      <c r="AU160" s="349"/>
      <c r="AV160" s="349"/>
      <c r="AW160" s="349"/>
      <c r="AX160" s="24"/>
    </row>
    <row r="161" spans="1:50" s="5" customFormat="1" x14ac:dyDescent="0.3">
      <c r="A161" s="422" t="s">
        <v>499</v>
      </c>
      <c r="B161" s="376"/>
      <c r="C161" s="343"/>
      <c r="D161" s="343"/>
      <c r="E161" s="343"/>
      <c r="F161" s="343"/>
      <c r="G161" s="228"/>
      <c r="H161" s="228"/>
      <c r="I161" s="228"/>
      <c r="J161" s="228"/>
      <c r="K161" s="343"/>
      <c r="L161" s="228"/>
      <c r="M161" s="228"/>
      <c r="N161" s="228"/>
      <c r="O161" s="228"/>
      <c r="P161" s="343"/>
      <c r="Q161" s="228"/>
      <c r="R161" s="228"/>
      <c r="S161" s="228"/>
      <c r="T161" s="228"/>
      <c r="U161" s="343"/>
      <c r="V161" s="228"/>
      <c r="W161" s="228"/>
      <c r="X161" s="228"/>
      <c r="Y161" s="228"/>
      <c r="Z161" s="343"/>
      <c r="AA161" s="228"/>
      <c r="AB161" s="228"/>
      <c r="AC161" s="228"/>
      <c r="AD161" s="228"/>
      <c r="AE161" s="343"/>
      <c r="AF161" s="228"/>
      <c r="AG161" s="228"/>
      <c r="AH161" s="228"/>
      <c r="AI161" s="228"/>
      <c r="AJ161" s="343"/>
      <c r="AK161" s="228"/>
      <c r="AL161" s="322"/>
      <c r="AM161" s="24"/>
      <c r="AN161" s="24"/>
      <c r="AO161" s="423"/>
      <c r="AP161" s="24"/>
      <c r="AQ161" s="24"/>
      <c r="AR161" s="24"/>
      <c r="AS161" s="24"/>
      <c r="AT161" s="423"/>
      <c r="AU161" s="423"/>
      <c r="AV161" s="423"/>
      <c r="AW161" s="423"/>
      <c r="AX161" s="228"/>
    </row>
    <row r="162" spans="1:50" s="5" customFormat="1" ht="6" customHeight="1" x14ac:dyDescent="0.3">
      <c r="A162" s="424"/>
      <c r="B162" s="376"/>
      <c r="C162" s="343"/>
      <c r="D162" s="343"/>
      <c r="E162" s="343"/>
      <c r="F162" s="343"/>
      <c r="G162" s="228"/>
      <c r="H162" s="228"/>
      <c r="I162" s="228"/>
      <c r="J162" s="228"/>
      <c r="K162" s="343"/>
      <c r="L162" s="228"/>
      <c r="M162" s="228"/>
      <c r="N162" s="228"/>
      <c r="O162" s="228"/>
      <c r="P162" s="343"/>
      <c r="Q162" s="228"/>
      <c r="R162" s="228"/>
      <c r="S162" s="228"/>
      <c r="T162" s="228"/>
      <c r="U162" s="343"/>
      <c r="V162" s="228"/>
      <c r="W162" s="228"/>
      <c r="X162" s="228"/>
      <c r="Y162" s="228"/>
      <c r="Z162" s="343"/>
      <c r="AA162" s="228"/>
      <c r="AB162" s="228"/>
      <c r="AC162" s="228"/>
      <c r="AD162" s="228"/>
      <c r="AE162" s="343"/>
      <c r="AF162" s="228"/>
      <c r="AG162" s="228"/>
      <c r="AH162" s="228"/>
      <c r="AI162" s="228"/>
      <c r="AJ162" s="343"/>
      <c r="AK162" s="228"/>
      <c r="AL162" s="322"/>
      <c r="AM162" s="228"/>
      <c r="AN162" s="228"/>
      <c r="AO162" s="343"/>
      <c r="AP162" s="228"/>
      <c r="AQ162" s="228"/>
      <c r="AR162" s="228"/>
      <c r="AS162" s="228"/>
      <c r="AT162" s="343"/>
      <c r="AU162" s="343"/>
      <c r="AV162" s="343"/>
      <c r="AW162" s="343"/>
      <c r="AX162" s="228"/>
    </row>
    <row r="163" spans="1:50" s="9" customFormat="1" hidden="1" outlineLevel="1" x14ac:dyDescent="0.3">
      <c r="A163" s="197" t="s">
        <v>99</v>
      </c>
      <c r="B163" s="376"/>
      <c r="C163" s="343">
        <f t="shared" ref="C163:AL163" si="69">C289-C174</f>
        <v>4.0709999999999997</v>
      </c>
      <c r="D163" s="343">
        <f t="shared" si="69"/>
        <v>5.7770000000000001</v>
      </c>
      <c r="E163" s="343">
        <f t="shared" si="69"/>
        <v>9.9300000000000015</v>
      </c>
      <c r="F163" s="343">
        <f t="shared" si="69"/>
        <v>14.590999999999999</v>
      </c>
      <c r="G163" s="228">
        <f t="shared" si="69"/>
        <v>4.9539999999999997</v>
      </c>
      <c r="H163" s="228">
        <f t="shared" si="69"/>
        <v>5.322000000000001</v>
      </c>
      <c r="I163" s="228">
        <f t="shared" si="69"/>
        <v>5.6820000000000004</v>
      </c>
      <c r="J163" s="228">
        <f t="shared" si="69"/>
        <v>5.6820000000000004</v>
      </c>
      <c r="K163" s="343">
        <f t="shared" si="69"/>
        <v>21.64</v>
      </c>
      <c r="L163" s="228">
        <f t="shared" si="69"/>
        <v>6.4910000000000005</v>
      </c>
      <c r="M163" s="228">
        <f t="shared" si="69"/>
        <v>6.4380000000000006</v>
      </c>
      <c r="N163" s="228">
        <f t="shared" si="69"/>
        <v>6.6519999999999992</v>
      </c>
      <c r="O163" s="228">
        <f t="shared" si="69"/>
        <v>6.9799999999999986</v>
      </c>
      <c r="P163" s="343">
        <f t="shared" si="69"/>
        <v>26.561</v>
      </c>
      <c r="Q163" s="228">
        <f t="shared" si="69"/>
        <v>7.2929999999999993</v>
      </c>
      <c r="R163" s="228">
        <f t="shared" si="69"/>
        <v>7.7639999999999993</v>
      </c>
      <c r="S163" s="228">
        <f t="shared" si="69"/>
        <v>8.2249999999999996</v>
      </c>
      <c r="T163" s="228">
        <f t="shared" si="69"/>
        <v>8.4440000000000008</v>
      </c>
      <c r="U163" s="343">
        <f t="shared" si="69"/>
        <v>31.725999999999999</v>
      </c>
      <c r="V163" s="228">
        <f t="shared" si="69"/>
        <v>8.9670000000000005</v>
      </c>
      <c r="W163" s="228">
        <f t="shared" si="69"/>
        <v>9.6560000000000006</v>
      </c>
      <c r="X163" s="228">
        <f t="shared" si="69"/>
        <v>11.088999999999993</v>
      </c>
      <c r="Y163" s="228">
        <f t="shared" si="69"/>
        <v>11.400999999999998</v>
      </c>
      <c r="Z163" s="343">
        <f t="shared" si="69"/>
        <v>41.117999999999995</v>
      </c>
      <c r="AA163" s="228">
        <f t="shared" si="69"/>
        <v>12.171000000000001</v>
      </c>
      <c r="AB163" s="228">
        <f t="shared" si="69"/>
        <v>12.594999999999999</v>
      </c>
      <c r="AC163" s="228">
        <f t="shared" si="69"/>
        <v>12.682999999999993</v>
      </c>
      <c r="AD163" s="228">
        <f t="shared" si="69"/>
        <v>14.190000000000005</v>
      </c>
      <c r="AE163" s="343">
        <f t="shared" si="69"/>
        <v>51.640999999999998</v>
      </c>
      <c r="AF163" s="228">
        <f t="shared" si="69"/>
        <v>13.137</v>
      </c>
      <c r="AG163" s="228">
        <f t="shared" si="69"/>
        <v>12.898999999999999</v>
      </c>
      <c r="AH163" s="228">
        <f t="shared" si="69"/>
        <v>12.325999999999999</v>
      </c>
      <c r="AI163" s="228">
        <f t="shared" si="69"/>
        <v>12.142000000000005</v>
      </c>
      <c r="AJ163" s="343">
        <f t="shared" si="69"/>
        <v>50.504000000000005</v>
      </c>
      <c r="AK163" s="228">
        <f t="shared" si="69"/>
        <v>12.218</v>
      </c>
      <c r="AL163" s="322">
        <f t="shared" si="69"/>
        <v>11.990999999999998</v>
      </c>
      <c r="AM163" s="391"/>
      <c r="AN163" s="391"/>
      <c r="AO163" s="343"/>
      <c r="AP163" s="391"/>
      <c r="AQ163" s="391"/>
      <c r="AR163" s="391"/>
      <c r="AS163" s="391"/>
      <c r="AT163" s="343"/>
      <c r="AU163" s="392"/>
      <c r="AV163" s="392"/>
      <c r="AW163" s="392"/>
      <c r="AX163" s="22"/>
    </row>
    <row r="164" spans="1:50" s="5" customFormat="1" hidden="1" outlineLevel="1" x14ac:dyDescent="0.3">
      <c r="A164" s="421" t="s">
        <v>100</v>
      </c>
      <c r="B164" s="377"/>
      <c r="C164" s="349">
        <f t="shared" ref="C164:AL164" si="70">C160+C163</f>
        <v>22.817999999999998</v>
      </c>
      <c r="D164" s="349">
        <f t="shared" si="70"/>
        <v>44.176999999999985</v>
      </c>
      <c r="E164" s="349">
        <f t="shared" si="70"/>
        <v>58.143999999999984</v>
      </c>
      <c r="F164" s="349">
        <f t="shared" si="70"/>
        <v>177.19499999999994</v>
      </c>
      <c r="G164" s="350">
        <f t="shared" si="70"/>
        <v>9.8089999999999957</v>
      </c>
      <c r="H164" s="350">
        <f t="shared" si="70"/>
        <v>21.116000000000007</v>
      </c>
      <c r="I164" s="350">
        <f t="shared" si="70"/>
        <v>18.862999999999992</v>
      </c>
      <c r="J164" s="350">
        <f t="shared" si="70"/>
        <v>14.822999999999972</v>
      </c>
      <c r="K164" s="349">
        <f t="shared" si="70"/>
        <v>64.679000000000016</v>
      </c>
      <c r="L164" s="350">
        <f t="shared" si="70"/>
        <v>11.793999999999983</v>
      </c>
      <c r="M164" s="350">
        <f t="shared" si="70"/>
        <v>13.140999999999989</v>
      </c>
      <c r="N164" s="350">
        <f t="shared" si="70"/>
        <v>23.36999999999999</v>
      </c>
      <c r="O164" s="350">
        <f t="shared" si="70"/>
        <v>36.064999999999962</v>
      </c>
      <c r="P164" s="349">
        <f t="shared" si="70"/>
        <v>84.369999999999976</v>
      </c>
      <c r="Q164" s="350">
        <f t="shared" si="70"/>
        <v>37.462999999999994</v>
      </c>
      <c r="R164" s="350">
        <f t="shared" si="70"/>
        <v>43.937999999999988</v>
      </c>
      <c r="S164" s="350">
        <f t="shared" si="70"/>
        <v>45.178000000000004</v>
      </c>
      <c r="T164" s="350">
        <f t="shared" si="70"/>
        <v>45.050999999999995</v>
      </c>
      <c r="U164" s="349">
        <f t="shared" si="70"/>
        <v>171.63000000000002</v>
      </c>
      <c r="V164" s="350">
        <f t="shared" si="70"/>
        <v>50.295000000000016</v>
      </c>
      <c r="W164" s="350">
        <f t="shared" si="70"/>
        <v>55.170999999999964</v>
      </c>
      <c r="X164" s="350">
        <f t="shared" si="70"/>
        <v>60.329999999999991</v>
      </c>
      <c r="Y164" s="350">
        <f t="shared" si="70"/>
        <v>55.769000000000041</v>
      </c>
      <c r="Z164" s="349">
        <f t="shared" si="70"/>
        <v>221.56500000000003</v>
      </c>
      <c r="AA164" s="350">
        <f t="shared" si="70"/>
        <v>27.860000000000014</v>
      </c>
      <c r="AB164" s="350">
        <f t="shared" si="70"/>
        <v>39.051999999999964</v>
      </c>
      <c r="AC164" s="350">
        <f t="shared" si="70"/>
        <v>51.180000000000028</v>
      </c>
      <c r="AD164" s="350">
        <f t="shared" si="70"/>
        <v>52.199000000000034</v>
      </c>
      <c r="AE164" s="349">
        <f t="shared" si="70"/>
        <v>170.292</v>
      </c>
      <c r="AF164" s="350">
        <f t="shared" si="70"/>
        <v>65.260000000000019</v>
      </c>
      <c r="AG164" s="350">
        <f t="shared" si="70"/>
        <v>79.144999999999968</v>
      </c>
      <c r="AH164" s="350">
        <f t="shared" si="70"/>
        <v>85.541999999999987</v>
      </c>
      <c r="AI164" s="350">
        <f t="shared" si="70"/>
        <v>90.799000000000007</v>
      </c>
      <c r="AJ164" s="349">
        <f t="shared" si="70"/>
        <v>320.745</v>
      </c>
      <c r="AK164" s="350">
        <f t="shared" si="70"/>
        <v>98.536000000000016</v>
      </c>
      <c r="AL164" s="353">
        <f t="shared" si="70"/>
        <v>96.668999999999997</v>
      </c>
      <c r="AM164" s="350"/>
      <c r="AN164" s="350"/>
      <c r="AO164" s="349"/>
      <c r="AP164" s="350"/>
      <c r="AQ164" s="350"/>
      <c r="AR164" s="350"/>
      <c r="AS164" s="350"/>
      <c r="AT164" s="349"/>
      <c r="AU164" s="349"/>
      <c r="AV164" s="349"/>
      <c r="AW164" s="349"/>
      <c r="AX164" s="228"/>
    </row>
    <row r="165" spans="1:50" s="5" customFormat="1" hidden="1" outlineLevel="1" x14ac:dyDescent="0.3">
      <c r="A165" s="422" t="s">
        <v>500</v>
      </c>
      <c r="B165" s="376"/>
      <c r="C165" s="343"/>
      <c r="D165" s="343"/>
      <c r="E165" s="343"/>
      <c r="F165" s="343"/>
      <c r="G165" s="228"/>
      <c r="H165" s="228"/>
      <c r="I165" s="228"/>
      <c r="J165" s="228"/>
      <c r="K165" s="343"/>
      <c r="L165" s="228"/>
      <c r="M165" s="228"/>
      <c r="N165" s="228"/>
      <c r="O165" s="228"/>
      <c r="P165" s="343"/>
      <c r="Q165" s="228"/>
      <c r="R165" s="228"/>
      <c r="S165" s="228"/>
      <c r="T165" s="228"/>
      <c r="U165" s="343"/>
      <c r="V165" s="228"/>
      <c r="W165" s="228"/>
      <c r="X165" s="228"/>
      <c r="Y165" s="228"/>
      <c r="Z165" s="343"/>
      <c r="AA165" s="228"/>
      <c r="AB165" s="228"/>
      <c r="AC165" s="228"/>
      <c r="AD165" s="228"/>
      <c r="AE165" s="343"/>
      <c r="AF165" s="228"/>
      <c r="AG165" s="228"/>
      <c r="AH165" s="228"/>
      <c r="AI165" s="228"/>
      <c r="AJ165" s="343"/>
      <c r="AK165" s="228"/>
      <c r="AL165" s="322"/>
      <c r="AM165" s="24"/>
      <c r="AN165" s="24"/>
      <c r="AO165" s="423"/>
      <c r="AP165" s="24"/>
      <c r="AQ165" s="24"/>
      <c r="AR165" s="24"/>
      <c r="AS165" s="24"/>
      <c r="AT165" s="423"/>
      <c r="AU165" s="423"/>
      <c r="AV165" s="423"/>
      <c r="AW165" s="423"/>
      <c r="AX165" s="228"/>
    </row>
    <row r="166" spans="1:50" s="9" customFormat="1" hidden="1" outlineLevel="1" x14ac:dyDescent="0.3">
      <c r="A166" s="425"/>
      <c r="B166" s="376"/>
      <c r="C166" s="343"/>
      <c r="D166" s="343"/>
      <c r="E166" s="343"/>
      <c r="F166" s="343"/>
      <c r="G166" s="228"/>
      <c r="H166" s="228"/>
      <c r="I166" s="228"/>
      <c r="J166" s="228"/>
      <c r="K166" s="343"/>
      <c r="L166" s="228"/>
      <c r="M166" s="228"/>
      <c r="N166" s="228"/>
      <c r="O166" s="228"/>
      <c r="P166" s="343"/>
      <c r="Q166" s="228"/>
      <c r="R166" s="228"/>
      <c r="S166" s="228"/>
      <c r="T166" s="228"/>
      <c r="U166" s="343"/>
      <c r="V166" s="228"/>
      <c r="W166" s="228"/>
      <c r="X166" s="228"/>
      <c r="Y166" s="228"/>
      <c r="Z166" s="343"/>
      <c r="AA166" s="228"/>
      <c r="AB166" s="228"/>
      <c r="AC166" s="228"/>
      <c r="AD166" s="228"/>
      <c r="AE166" s="343"/>
      <c r="AF166" s="228"/>
      <c r="AG166" s="228"/>
      <c r="AH166" s="228"/>
      <c r="AI166" s="228"/>
      <c r="AJ166" s="343"/>
      <c r="AK166" s="228"/>
      <c r="AL166" s="322"/>
      <c r="AM166" s="228"/>
      <c r="AN166" s="228"/>
      <c r="AO166" s="343"/>
      <c r="AP166" s="228"/>
      <c r="AQ166" s="228"/>
      <c r="AR166" s="228"/>
      <c r="AS166" s="228"/>
      <c r="AT166" s="343"/>
      <c r="AU166" s="343"/>
      <c r="AV166" s="343"/>
      <c r="AW166" s="343"/>
      <c r="AX166" s="22"/>
    </row>
    <row r="167" spans="1:50" s="5" customFormat="1" collapsed="1" x14ac:dyDescent="0.3">
      <c r="A167" s="197" t="s">
        <v>101</v>
      </c>
      <c r="B167" s="376"/>
      <c r="C167" s="343">
        <f t="shared" ref="C167:AL167" si="71">-C66</f>
        <v>0</v>
      </c>
      <c r="D167" s="343">
        <f t="shared" si="71"/>
        <v>0</v>
      </c>
      <c r="E167" s="343">
        <f t="shared" si="71"/>
        <v>0</v>
      </c>
      <c r="F167" s="343">
        <f t="shared" si="71"/>
        <v>0</v>
      </c>
      <c r="G167" s="228">
        <f t="shared" si="71"/>
        <v>0</v>
      </c>
      <c r="H167" s="228">
        <f t="shared" si="71"/>
        <v>0</v>
      </c>
      <c r="I167" s="228">
        <f t="shared" si="71"/>
        <v>0</v>
      </c>
      <c r="J167" s="228">
        <f t="shared" si="71"/>
        <v>0</v>
      </c>
      <c r="K167" s="343">
        <f t="shared" si="71"/>
        <v>0</v>
      </c>
      <c r="L167" s="228">
        <f t="shared" si="71"/>
        <v>0</v>
      </c>
      <c r="M167" s="228">
        <f t="shared" si="71"/>
        <v>0</v>
      </c>
      <c r="N167" s="228">
        <f t="shared" si="71"/>
        <v>0</v>
      </c>
      <c r="O167" s="228">
        <f t="shared" si="71"/>
        <v>0</v>
      </c>
      <c r="P167" s="343">
        <f t="shared" si="71"/>
        <v>0</v>
      </c>
      <c r="Q167" s="228">
        <f t="shared" si="71"/>
        <v>0</v>
      </c>
      <c r="R167" s="228">
        <f t="shared" si="71"/>
        <v>0</v>
      </c>
      <c r="S167" s="228">
        <f t="shared" si="71"/>
        <v>0</v>
      </c>
      <c r="T167" s="228">
        <f t="shared" si="71"/>
        <v>0</v>
      </c>
      <c r="U167" s="343">
        <f t="shared" si="71"/>
        <v>0</v>
      </c>
      <c r="V167" s="228">
        <f t="shared" si="71"/>
        <v>0</v>
      </c>
      <c r="W167" s="228">
        <f t="shared" si="71"/>
        <v>2.2149999999999999</v>
      </c>
      <c r="X167" s="228">
        <f t="shared" si="71"/>
        <v>2.1949999999999998</v>
      </c>
      <c r="Y167" s="228">
        <f t="shared" si="71"/>
        <v>2.9420000000000002</v>
      </c>
      <c r="Z167" s="343">
        <f t="shared" si="71"/>
        <v>7.3520000000000003</v>
      </c>
      <c r="AA167" s="228">
        <f t="shared" si="71"/>
        <v>1.9930000000000001</v>
      </c>
      <c r="AB167" s="228">
        <f t="shared" si="71"/>
        <v>1.996</v>
      </c>
      <c r="AC167" s="228">
        <f t="shared" si="71"/>
        <v>2.016</v>
      </c>
      <c r="AD167" s="228">
        <f t="shared" si="71"/>
        <v>1.9320000000000004</v>
      </c>
      <c r="AE167" s="343">
        <f t="shared" si="71"/>
        <v>7.9370000000000003</v>
      </c>
      <c r="AF167" s="228">
        <f t="shared" si="71"/>
        <v>1.171</v>
      </c>
      <c r="AG167" s="228">
        <f t="shared" si="71"/>
        <v>0.871</v>
      </c>
      <c r="AH167" s="228">
        <f t="shared" si="71"/>
        <v>6.6000000000000003E-2</v>
      </c>
      <c r="AI167" s="228">
        <f t="shared" si="71"/>
        <v>7.6999999999999999E-2</v>
      </c>
      <c r="AJ167" s="343">
        <f t="shared" si="71"/>
        <v>2.1850000000000001</v>
      </c>
      <c r="AK167" s="228">
        <f t="shared" si="71"/>
        <v>1.4E-2</v>
      </c>
      <c r="AL167" s="322">
        <f t="shared" si="71"/>
        <v>7.6999999999999999E-2</v>
      </c>
      <c r="AM167" s="391"/>
      <c r="AN167" s="391"/>
      <c r="AO167" s="343"/>
      <c r="AP167" s="391"/>
      <c r="AQ167" s="391"/>
      <c r="AR167" s="391"/>
      <c r="AS167" s="391"/>
      <c r="AT167" s="343"/>
      <c r="AU167" s="392"/>
      <c r="AV167" s="392"/>
      <c r="AW167" s="392"/>
      <c r="AX167" s="228"/>
    </row>
    <row r="168" spans="1:50" s="9" customFormat="1" x14ac:dyDescent="0.3">
      <c r="A168" s="197" t="s">
        <v>102</v>
      </c>
      <c r="B168" s="376"/>
      <c r="C168" s="343">
        <f t="shared" ref="C168:AL168" si="72">C160-C167-C169</f>
        <v>-16.29</v>
      </c>
      <c r="D168" s="343">
        <f t="shared" si="72"/>
        <v>-8.0459999999999994</v>
      </c>
      <c r="E168" s="343">
        <f t="shared" si="72"/>
        <v>-0.75900000000000034</v>
      </c>
      <c r="F168" s="343">
        <f t="shared" si="72"/>
        <v>-1.2590000000000146</v>
      </c>
      <c r="G168" s="228">
        <f t="shared" si="72"/>
        <v>-0.21300000000000008</v>
      </c>
      <c r="H168" s="228">
        <f t="shared" si="72"/>
        <v>-0.23199999999999932</v>
      </c>
      <c r="I168" s="228">
        <f t="shared" si="72"/>
        <v>-0.48200000000000109</v>
      </c>
      <c r="J168" s="228">
        <f t="shared" si="72"/>
        <v>-0.36899999999999444</v>
      </c>
      <c r="K168" s="343">
        <f t="shared" si="72"/>
        <v>-1.2280000000000086</v>
      </c>
      <c r="L168" s="228">
        <f t="shared" si="72"/>
        <v>-0.23399999999999999</v>
      </c>
      <c r="M168" s="228">
        <f t="shared" si="72"/>
        <v>-0.35700000000000021</v>
      </c>
      <c r="N168" s="228">
        <f t="shared" si="72"/>
        <v>-0.3609999999999971</v>
      </c>
      <c r="O168" s="228">
        <f t="shared" si="72"/>
        <v>-0.49700000000000344</v>
      </c>
      <c r="P168" s="343">
        <f t="shared" si="72"/>
        <v>-1.4489999999999981</v>
      </c>
      <c r="Q168" s="228">
        <f t="shared" si="72"/>
        <v>-0.71999999999999886</v>
      </c>
      <c r="R168" s="228">
        <f t="shared" si="72"/>
        <v>-0.91199999999999903</v>
      </c>
      <c r="S168" s="228">
        <f t="shared" si="72"/>
        <v>-0.4410000000000025</v>
      </c>
      <c r="T168" s="228">
        <f t="shared" si="72"/>
        <v>-0.5420000000000087</v>
      </c>
      <c r="U168" s="343">
        <f t="shared" si="72"/>
        <v>-2.6149999999999238</v>
      </c>
      <c r="V168" s="228">
        <f t="shared" si="72"/>
        <v>0.93699999999999761</v>
      </c>
      <c r="W168" s="228">
        <f t="shared" si="72"/>
        <v>-0.31499999999999773</v>
      </c>
      <c r="X168" s="228">
        <f t="shared" si="72"/>
        <v>-0.60600000000000875</v>
      </c>
      <c r="Y168" s="228">
        <f t="shared" si="72"/>
        <v>-1.1059999999999945</v>
      </c>
      <c r="Z168" s="343">
        <f t="shared" si="72"/>
        <v>-1.0900000000000034</v>
      </c>
      <c r="AA168" s="228">
        <f t="shared" si="72"/>
        <v>-0.68299999999999805</v>
      </c>
      <c r="AB168" s="228">
        <f t="shared" si="72"/>
        <v>-0.82699999999999463</v>
      </c>
      <c r="AC168" s="228">
        <f t="shared" si="72"/>
        <v>-0.95600000000000307</v>
      </c>
      <c r="AD168" s="228">
        <f t="shared" si="72"/>
        <v>-0.64900000000000091</v>
      </c>
      <c r="AE168" s="343">
        <f t="shared" si="72"/>
        <v>-3.1149999999999949</v>
      </c>
      <c r="AF168" s="228">
        <f t="shared" si="72"/>
        <v>-0.63800000000001234</v>
      </c>
      <c r="AG168" s="228">
        <f t="shared" si="72"/>
        <v>-0.53300000000000125</v>
      </c>
      <c r="AH168" s="228">
        <f t="shared" si="72"/>
        <v>-1.112000000000009</v>
      </c>
      <c r="AI168" s="228">
        <f t="shared" si="72"/>
        <v>-1.5330000000000155</v>
      </c>
      <c r="AJ168" s="343">
        <f t="shared" si="72"/>
        <v>-3.8159999999999741</v>
      </c>
      <c r="AK168" s="228">
        <f t="shared" si="72"/>
        <v>-3.1209999999999667</v>
      </c>
      <c r="AL168" s="322">
        <f t="shared" si="72"/>
        <v>-3.7039999999999793</v>
      </c>
      <c r="AM168" s="391"/>
      <c r="AN168" s="391"/>
      <c r="AO168" s="343"/>
      <c r="AP168" s="391"/>
      <c r="AQ168" s="391"/>
      <c r="AR168" s="391"/>
      <c r="AS168" s="391"/>
      <c r="AT168" s="343"/>
      <c r="AU168" s="392"/>
      <c r="AV168" s="392"/>
      <c r="AW168" s="392"/>
      <c r="AX168" s="22"/>
    </row>
    <row r="169" spans="1:50" s="5" customFormat="1" x14ac:dyDescent="0.3">
      <c r="A169" s="421" t="s">
        <v>501</v>
      </c>
      <c r="B169" s="377"/>
      <c r="C169" s="349">
        <f t="shared" ref="C169:AL169" si="73">C171+C172</f>
        <v>35.036999999999999</v>
      </c>
      <c r="D169" s="349">
        <f t="shared" si="73"/>
        <v>46.445999999999984</v>
      </c>
      <c r="E169" s="349">
        <f t="shared" si="73"/>
        <v>48.972999999999985</v>
      </c>
      <c r="F169" s="349">
        <f t="shared" si="73"/>
        <v>163.86299999999994</v>
      </c>
      <c r="G169" s="350">
        <f t="shared" si="73"/>
        <v>5.0679999999999961</v>
      </c>
      <c r="H169" s="350">
        <f t="shared" si="73"/>
        <v>16.026000000000003</v>
      </c>
      <c r="I169" s="350">
        <f t="shared" si="73"/>
        <v>13.662999999999995</v>
      </c>
      <c r="J169" s="350">
        <f t="shared" si="73"/>
        <v>9.509999999999966</v>
      </c>
      <c r="K169" s="349">
        <f t="shared" si="73"/>
        <v>44.267000000000024</v>
      </c>
      <c r="L169" s="350">
        <f t="shared" si="73"/>
        <v>5.536999999999983</v>
      </c>
      <c r="M169" s="350">
        <f t="shared" si="73"/>
        <v>7.059999999999989</v>
      </c>
      <c r="N169" s="350">
        <f t="shared" si="73"/>
        <v>17.078999999999986</v>
      </c>
      <c r="O169" s="350">
        <f t="shared" si="73"/>
        <v>29.581999999999969</v>
      </c>
      <c r="P169" s="349">
        <f t="shared" si="73"/>
        <v>59.257999999999967</v>
      </c>
      <c r="Q169" s="350">
        <f t="shared" si="73"/>
        <v>30.889999999999997</v>
      </c>
      <c r="R169" s="350">
        <f t="shared" si="73"/>
        <v>37.085999999999991</v>
      </c>
      <c r="S169" s="350">
        <f t="shared" si="73"/>
        <v>37.394000000000005</v>
      </c>
      <c r="T169" s="350">
        <f t="shared" si="73"/>
        <v>37.149000000000001</v>
      </c>
      <c r="U169" s="349">
        <f t="shared" si="73"/>
        <v>142.51899999999995</v>
      </c>
      <c r="V169" s="350">
        <f t="shared" si="73"/>
        <v>40.39100000000002</v>
      </c>
      <c r="W169" s="350">
        <f t="shared" si="73"/>
        <v>43.614999999999966</v>
      </c>
      <c r="X169" s="350">
        <f t="shared" si="73"/>
        <v>47.652000000000008</v>
      </c>
      <c r="Y169" s="350">
        <f t="shared" si="73"/>
        <v>42.532000000000039</v>
      </c>
      <c r="Z169" s="349">
        <f t="shared" si="73"/>
        <v>174.18500000000003</v>
      </c>
      <c r="AA169" s="350">
        <f t="shared" si="73"/>
        <v>14.37900000000001</v>
      </c>
      <c r="AB169" s="350">
        <f t="shared" si="73"/>
        <v>25.287999999999965</v>
      </c>
      <c r="AC169" s="350">
        <f t="shared" si="73"/>
        <v>37.43700000000004</v>
      </c>
      <c r="AD169" s="350">
        <f t="shared" si="73"/>
        <v>36.726000000000028</v>
      </c>
      <c r="AE169" s="349">
        <f t="shared" si="73"/>
        <v>113.82899999999999</v>
      </c>
      <c r="AF169" s="350">
        <f t="shared" si="73"/>
        <v>51.590000000000025</v>
      </c>
      <c r="AG169" s="350">
        <f t="shared" si="73"/>
        <v>65.907999999999973</v>
      </c>
      <c r="AH169" s="350">
        <f t="shared" si="73"/>
        <v>74.262</v>
      </c>
      <c r="AI169" s="350">
        <f t="shared" si="73"/>
        <v>80.113000000000014</v>
      </c>
      <c r="AJ169" s="349">
        <f t="shared" si="73"/>
        <v>271.87199999999996</v>
      </c>
      <c r="AK169" s="350">
        <f t="shared" si="73"/>
        <v>89.424999999999983</v>
      </c>
      <c r="AL169" s="353">
        <f t="shared" si="73"/>
        <v>88.304999999999978</v>
      </c>
      <c r="AM169" s="350"/>
      <c r="AN169" s="350"/>
      <c r="AO169" s="349"/>
      <c r="AP169" s="350"/>
      <c r="AQ169" s="350"/>
      <c r="AR169" s="350"/>
      <c r="AS169" s="350"/>
      <c r="AT169" s="349"/>
      <c r="AU169" s="349"/>
      <c r="AV169" s="349"/>
      <c r="AW169" s="349"/>
      <c r="AX169" s="228"/>
    </row>
    <row r="170" spans="1:50" s="5" customFormat="1" x14ac:dyDescent="0.3">
      <c r="A170" s="425"/>
      <c r="B170" s="376"/>
      <c r="C170" s="343"/>
      <c r="D170" s="343"/>
      <c r="E170" s="343"/>
      <c r="F170" s="343"/>
      <c r="G170" s="228"/>
      <c r="H170" s="228"/>
      <c r="I170" s="228"/>
      <c r="J170" s="228"/>
      <c r="K170" s="343"/>
      <c r="L170" s="228"/>
      <c r="M170" s="228"/>
      <c r="N170" s="228"/>
      <c r="O170" s="228"/>
      <c r="P170" s="343"/>
      <c r="Q170" s="228"/>
      <c r="R170" s="228"/>
      <c r="S170" s="228"/>
      <c r="T170" s="228"/>
      <c r="U170" s="343"/>
      <c r="V170" s="228"/>
      <c r="W170" s="228"/>
      <c r="X170" s="228"/>
      <c r="Y170" s="228"/>
      <c r="Z170" s="343"/>
      <c r="AA170" s="228"/>
      <c r="AB170" s="228"/>
      <c r="AC170" s="228"/>
      <c r="AD170" s="228"/>
      <c r="AE170" s="343"/>
      <c r="AF170" s="228"/>
      <c r="AG170" s="228"/>
      <c r="AH170" s="228"/>
      <c r="AI170" s="228"/>
      <c r="AJ170" s="343"/>
      <c r="AK170" s="228"/>
      <c r="AL170" s="322"/>
      <c r="AM170" s="228"/>
      <c r="AN170" s="228"/>
      <c r="AO170" s="343"/>
      <c r="AP170" s="228"/>
      <c r="AQ170" s="228"/>
      <c r="AR170" s="228"/>
      <c r="AS170" s="228"/>
      <c r="AT170" s="343"/>
      <c r="AU170" s="343"/>
      <c r="AV170" s="343"/>
      <c r="AW170" s="343"/>
      <c r="AX170" s="228"/>
    </row>
    <row r="171" spans="1:50" s="9" customFormat="1" x14ac:dyDescent="0.3">
      <c r="A171" s="404" t="s">
        <v>104</v>
      </c>
      <c r="B171" s="376"/>
      <c r="C171" s="343">
        <f t="shared" ref="C171:AL171" si="74">-C69-C81</f>
        <v>6.3789999999999996</v>
      </c>
      <c r="D171" s="343">
        <f t="shared" si="74"/>
        <v>9.7629999999999999</v>
      </c>
      <c r="E171" s="343">
        <f t="shared" si="74"/>
        <v>3.375</v>
      </c>
      <c r="F171" s="343">
        <f t="shared" si="74"/>
        <v>8.1869999999999994</v>
      </c>
      <c r="G171" s="228">
        <f t="shared" si="74"/>
        <v>0.754</v>
      </c>
      <c r="H171" s="228">
        <f t="shared" si="74"/>
        <v>2.258</v>
      </c>
      <c r="I171" s="228">
        <f t="shared" si="74"/>
        <v>1.08</v>
      </c>
      <c r="J171" s="228">
        <f t="shared" si="74"/>
        <v>-0.34000000000000075</v>
      </c>
      <c r="K171" s="343">
        <f t="shared" si="74"/>
        <v>3.7519999999999998</v>
      </c>
      <c r="L171" s="228">
        <f t="shared" si="74"/>
        <v>0.65400000000000003</v>
      </c>
      <c r="M171" s="228">
        <f t="shared" si="74"/>
        <v>-7.5999999999999998E-2</v>
      </c>
      <c r="N171" s="228">
        <f t="shared" si="74"/>
        <v>-1.167</v>
      </c>
      <c r="O171" s="228">
        <f t="shared" si="74"/>
        <v>1.6249999999999964</v>
      </c>
      <c r="P171" s="343">
        <f t="shared" si="74"/>
        <v>1.0359999999999978</v>
      </c>
      <c r="Q171" s="228">
        <f t="shared" si="74"/>
        <v>2.246</v>
      </c>
      <c r="R171" s="228">
        <f t="shared" si="74"/>
        <v>1.022</v>
      </c>
      <c r="S171" s="228">
        <f t="shared" si="74"/>
        <v>1.1160000000000001</v>
      </c>
      <c r="T171" s="228">
        <f t="shared" si="74"/>
        <v>-0.28600000000000136</v>
      </c>
      <c r="U171" s="343">
        <f t="shared" si="74"/>
        <v>4.097999999999999</v>
      </c>
      <c r="V171" s="228">
        <f t="shared" si="74"/>
        <v>1.095</v>
      </c>
      <c r="W171" s="228">
        <f t="shared" si="74"/>
        <v>0.93300000000000005</v>
      </c>
      <c r="X171" s="228">
        <f t="shared" si="74"/>
        <v>1.4590000000000001</v>
      </c>
      <c r="Y171" s="228">
        <f t="shared" si="74"/>
        <v>1.2359999999999998</v>
      </c>
      <c r="Z171" s="343">
        <f t="shared" si="74"/>
        <v>4.7239999999999993</v>
      </c>
      <c r="AA171" s="228">
        <f t="shared" si="74"/>
        <v>-0.28099999999999992</v>
      </c>
      <c r="AB171" s="228">
        <f t="shared" si="74"/>
        <v>2.915</v>
      </c>
      <c r="AC171" s="228">
        <f t="shared" si="74"/>
        <v>0.82400000000000007</v>
      </c>
      <c r="AD171" s="228">
        <f t="shared" si="74"/>
        <v>-6.1850000000000014</v>
      </c>
      <c r="AE171" s="343">
        <f t="shared" si="74"/>
        <v>-2.7280000000000002</v>
      </c>
      <c r="AF171" s="228">
        <f t="shared" si="74"/>
        <v>0.20700000000000074</v>
      </c>
      <c r="AG171" s="228">
        <f t="shared" si="74"/>
        <v>-0.66999999999999993</v>
      </c>
      <c r="AH171" s="228">
        <f t="shared" si="74"/>
        <v>2.8489999999999998</v>
      </c>
      <c r="AI171" s="228">
        <f t="shared" si="74"/>
        <v>3.01</v>
      </c>
      <c r="AJ171" s="343">
        <f t="shared" si="74"/>
        <v>5.3949999999999996</v>
      </c>
      <c r="AK171" s="228">
        <f t="shared" si="74"/>
        <v>2.907</v>
      </c>
      <c r="AL171" s="322">
        <f t="shared" si="74"/>
        <v>4.4510000000000005</v>
      </c>
      <c r="AM171" s="228"/>
      <c r="AN171" s="228"/>
      <c r="AO171" s="343"/>
      <c r="AP171" s="228"/>
      <c r="AQ171" s="228"/>
      <c r="AR171" s="228"/>
      <c r="AS171" s="228"/>
      <c r="AT171" s="343"/>
      <c r="AU171" s="343"/>
      <c r="AV171" s="343"/>
      <c r="AW171" s="343"/>
      <c r="AX171" s="22"/>
    </row>
    <row r="172" spans="1:50" s="17" customFormat="1" x14ac:dyDescent="0.3">
      <c r="A172" s="426" t="s">
        <v>502</v>
      </c>
      <c r="B172" s="380"/>
      <c r="C172" s="381">
        <f t="shared" ref="C172:AL172" si="75">C86</f>
        <v>28.658000000000001</v>
      </c>
      <c r="D172" s="381">
        <f t="shared" si="75"/>
        <v>36.682999999999986</v>
      </c>
      <c r="E172" s="381">
        <f t="shared" si="75"/>
        <v>45.597999999999985</v>
      </c>
      <c r="F172" s="381">
        <f t="shared" si="75"/>
        <v>155.67599999999993</v>
      </c>
      <c r="G172" s="382">
        <f t="shared" si="75"/>
        <v>4.3139999999999956</v>
      </c>
      <c r="H172" s="382">
        <f t="shared" si="75"/>
        <v>13.768000000000004</v>
      </c>
      <c r="I172" s="382">
        <f t="shared" si="75"/>
        <v>12.582999999999995</v>
      </c>
      <c r="J172" s="382">
        <f t="shared" si="75"/>
        <v>9.8499999999999677</v>
      </c>
      <c r="K172" s="381">
        <f t="shared" si="75"/>
        <v>40.515000000000022</v>
      </c>
      <c r="L172" s="382">
        <f t="shared" si="75"/>
        <v>4.8829999999999831</v>
      </c>
      <c r="M172" s="382">
        <f t="shared" si="75"/>
        <v>7.1359999999999886</v>
      </c>
      <c r="N172" s="382">
        <f t="shared" si="75"/>
        <v>18.245999999999988</v>
      </c>
      <c r="O172" s="382">
        <f t="shared" si="75"/>
        <v>27.956999999999972</v>
      </c>
      <c r="P172" s="381">
        <f t="shared" si="75"/>
        <v>58.221999999999973</v>
      </c>
      <c r="Q172" s="382">
        <f t="shared" si="75"/>
        <v>28.643999999999998</v>
      </c>
      <c r="R172" s="382">
        <f t="shared" si="75"/>
        <v>36.063999999999993</v>
      </c>
      <c r="S172" s="382">
        <f t="shared" si="75"/>
        <v>36.278000000000006</v>
      </c>
      <c r="T172" s="382">
        <f t="shared" si="75"/>
        <v>37.435000000000002</v>
      </c>
      <c r="U172" s="381">
        <f t="shared" si="75"/>
        <v>138.42099999999996</v>
      </c>
      <c r="V172" s="382">
        <f t="shared" si="75"/>
        <v>39.296000000000021</v>
      </c>
      <c r="W172" s="382">
        <f t="shared" si="75"/>
        <v>42.681999999999967</v>
      </c>
      <c r="X172" s="382">
        <f t="shared" si="75"/>
        <v>46.193000000000005</v>
      </c>
      <c r="Y172" s="382">
        <f t="shared" si="75"/>
        <v>41.296000000000042</v>
      </c>
      <c r="Z172" s="381">
        <f t="shared" si="75"/>
        <v>169.46100000000004</v>
      </c>
      <c r="AA172" s="382">
        <f t="shared" si="75"/>
        <v>14.660000000000011</v>
      </c>
      <c r="AB172" s="382">
        <f t="shared" si="75"/>
        <v>22.372999999999966</v>
      </c>
      <c r="AC172" s="382">
        <f t="shared" si="75"/>
        <v>36.613000000000042</v>
      </c>
      <c r="AD172" s="382">
        <f t="shared" si="75"/>
        <v>42.91100000000003</v>
      </c>
      <c r="AE172" s="381">
        <f t="shared" si="75"/>
        <v>116.55699999999999</v>
      </c>
      <c r="AF172" s="382">
        <f t="shared" si="75"/>
        <v>51.383000000000024</v>
      </c>
      <c r="AG172" s="382">
        <f t="shared" si="75"/>
        <v>66.577999999999975</v>
      </c>
      <c r="AH172" s="382">
        <f t="shared" si="75"/>
        <v>71.412999999999997</v>
      </c>
      <c r="AI172" s="382">
        <f t="shared" si="75"/>
        <v>77.103000000000009</v>
      </c>
      <c r="AJ172" s="381">
        <f t="shared" si="75"/>
        <v>266.47699999999998</v>
      </c>
      <c r="AK172" s="382">
        <f t="shared" si="75"/>
        <v>86.517999999999986</v>
      </c>
      <c r="AL172" s="385">
        <f t="shared" si="75"/>
        <v>83.853999999999985</v>
      </c>
      <c r="AM172" s="382"/>
      <c r="AN172" s="382"/>
      <c r="AO172" s="381"/>
      <c r="AP172" s="382"/>
      <c r="AQ172" s="382"/>
      <c r="AR172" s="382"/>
      <c r="AS172" s="382"/>
      <c r="AT172" s="381"/>
      <c r="AU172" s="381"/>
      <c r="AV172" s="381"/>
      <c r="AW172" s="381"/>
      <c r="AX172" s="24"/>
    </row>
    <row r="173" spans="1:50" s="16" customFormat="1" x14ac:dyDescent="0.3">
      <c r="A173" s="404" t="s">
        <v>92</v>
      </c>
      <c r="B173" s="376"/>
      <c r="C173" s="343">
        <f t="shared" ref="C173:AL173" si="76">C76</f>
        <v>10.736000000000001</v>
      </c>
      <c r="D173" s="343">
        <f t="shared" si="76"/>
        <v>14.101000000000001</v>
      </c>
      <c r="E173" s="343">
        <f t="shared" si="76"/>
        <v>21.411999999999999</v>
      </c>
      <c r="F173" s="343">
        <f t="shared" si="76"/>
        <v>35.018999999999998</v>
      </c>
      <c r="G173" s="228">
        <f t="shared" si="76"/>
        <v>10.375</v>
      </c>
      <c r="H173" s="228">
        <f t="shared" si="76"/>
        <v>11.164999999999999</v>
      </c>
      <c r="I173" s="228">
        <f t="shared" si="76"/>
        <v>11.932</v>
      </c>
      <c r="J173" s="228">
        <f t="shared" si="76"/>
        <v>11.665999999999997</v>
      </c>
      <c r="K173" s="343">
        <f t="shared" si="76"/>
        <v>45.137999999999998</v>
      </c>
      <c r="L173" s="228">
        <f t="shared" si="76"/>
        <v>11.638</v>
      </c>
      <c r="M173" s="228">
        <f t="shared" si="76"/>
        <v>11.946999999999999</v>
      </c>
      <c r="N173" s="228">
        <f t="shared" si="76"/>
        <v>11.849</v>
      </c>
      <c r="O173" s="228">
        <f t="shared" si="76"/>
        <v>11.801000000000002</v>
      </c>
      <c r="P173" s="343">
        <f t="shared" si="76"/>
        <v>47.234999999999999</v>
      </c>
      <c r="Q173" s="228">
        <f t="shared" si="76"/>
        <v>11.718</v>
      </c>
      <c r="R173" s="228">
        <f t="shared" si="76"/>
        <v>13.286</v>
      </c>
      <c r="S173" s="228">
        <f t="shared" si="76"/>
        <v>12.83</v>
      </c>
      <c r="T173" s="228">
        <f t="shared" si="76"/>
        <v>12.930000000000007</v>
      </c>
      <c r="U173" s="343">
        <f t="shared" si="76"/>
        <v>50.764000000000003</v>
      </c>
      <c r="V173" s="228">
        <f t="shared" si="76"/>
        <v>18.265999999999998</v>
      </c>
      <c r="W173" s="228">
        <f t="shared" si="76"/>
        <v>18.094000000000001</v>
      </c>
      <c r="X173" s="228">
        <f t="shared" si="76"/>
        <v>17.576000000000001</v>
      </c>
      <c r="Y173" s="228">
        <f t="shared" si="76"/>
        <v>17.181999999999999</v>
      </c>
      <c r="Z173" s="343">
        <f t="shared" si="76"/>
        <v>71.117999999999995</v>
      </c>
      <c r="AA173" s="228">
        <f t="shared" si="76"/>
        <v>14.768000000000001</v>
      </c>
      <c r="AB173" s="228">
        <f t="shared" si="76"/>
        <v>17.664999999999999</v>
      </c>
      <c r="AC173" s="228">
        <f t="shared" si="76"/>
        <v>18.559999999999999</v>
      </c>
      <c r="AD173" s="228">
        <f t="shared" si="76"/>
        <v>17.870999999999999</v>
      </c>
      <c r="AE173" s="343">
        <f t="shared" si="76"/>
        <v>68.864000000000004</v>
      </c>
      <c r="AF173" s="228">
        <f t="shared" si="76"/>
        <v>14.974</v>
      </c>
      <c r="AG173" s="228">
        <f t="shared" si="76"/>
        <v>14.916</v>
      </c>
      <c r="AH173" s="228">
        <f t="shared" si="76"/>
        <v>19.155999999999999</v>
      </c>
      <c r="AI173" s="228">
        <f t="shared" si="76"/>
        <v>22.295999999999999</v>
      </c>
      <c r="AJ173" s="343">
        <f t="shared" si="76"/>
        <v>71.341999999999999</v>
      </c>
      <c r="AK173" s="228">
        <f t="shared" si="76"/>
        <v>24.242000000000001</v>
      </c>
      <c r="AL173" s="322">
        <f t="shared" si="76"/>
        <v>26.949000000000002</v>
      </c>
      <c r="AM173" s="228"/>
      <c r="AN173" s="228"/>
      <c r="AO173" s="343"/>
      <c r="AP173" s="228"/>
      <c r="AQ173" s="228"/>
      <c r="AR173" s="228"/>
      <c r="AS173" s="228"/>
      <c r="AT173" s="343"/>
      <c r="AU173" s="343"/>
      <c r="AV173" s="343"/>
      <c r="AW173" s="343"/>
      <c r="AX173" s="25"/>
    </row>
    <row r="174" spans="1:50" s="16" customFormat="1" x14ac:dyDescent="0.3">
      <c r="A174" s="404" t="s">
        <v>503</v>
      </c>
      <c r="B174" s="376"/>
      <c r="C174" s="343">
        <f t="shared" ref="C174:AL174" si="77">C77</f>
        <v>0</v>
      </c>
      <c r="D174" s="343">
        <f t="shared" si="77"/>
        <v>0</v>
      </c>
      <c r="E174" s="343">
        <f t="shared" si="77"/>
        <v>9.8149999999999995</v>
      </c>
      <c r="F174" s="343">
        <f t="shared" si="77"/>
        <v>9.2769999999999992</v>
      </c>
      <c r="G174" s="228">
        <f t="shared" si="77"/>
        <v>2.3959999999999999</v>
      </c>
      <c r="H174" s="228">
        <f t="shared" si="77"/>
        <v>2.5139999999999998</v>
      </c>
      <c r="I174" s="228">
        <f t="shared" si="77"/>
        <v>4.5709999999999997</v>
      </c>
      <c r="J174" s="228">
        <f t="shared" si="77"/>
        <v>4.5250000000000004</v>
      </c>
      <c r="K174" s="343">
        <f t="shared" si="77"/>
        <v>14.006</v>
      </c>
      <c r="L174" s="228">
        <f t="shared" si="77"/>
        <v>3.5049999999999999</v>
      </c>
      <c r="M174" s="228">
        <f t="shared" si="77"/>
        <v>3.012</v>
      </c>
      <c r="N174" s="228">
        <f t="shared" si="77"/>
        <v>2.8849999999999998</v>
      </c>
      <c r="O174" s="228">
        <f t="shared" si="77"/>
        <v>2.7080000000000002</v>
      </c>
      <c r="P174" s="343">
        <f t="shared" si="77"/>
        <v>12.11</v>
      </c>
      <c r="Q174" s="228">
        <f t="shared" si="77"/>
        <v>2.2530000000000001</v>
      </c>
      <c r="R174" s="228">
        <f t="shared" si="77"/>
        <v>2.4649999999999999</v>
      </c>
      <c r="S174" s="228">
        <f t="shared" si="77"/>
        <v>2.464</v>
      </c>
      <c r="T174" s="228">
        <f t="shared" si="77"/>
        <v>2.4640000000000004</v>
      </c>
      <c r="U174" s="343">
        <f t="shared" si="77"/>
        <v>9.6460000000000008</v>
      </c>
      <c r="V174" s="228">
        <f t="shared" si="77"/>
        <v>11.647</v>
      </c>
      <c r="W174" s="228">
        <f t="shared" si="77"/>
        <v>15.961</v>
      </c>
      <c r="X174" s="228">
        <f t="shared" si="77"/>
        <v>15.944000000000001</v>
      </c>
      <c r="Y174" s="228">
        <f t="shared" si="77"/>
        <v>13.066000000000001</v>
      </c>
      <c r="Z174" s="343">
        <f t="shared" si="77"/>
        <v>56.613</v>
      </c>
      <c r="AA174" s="228">
        <f t="shared" si="77"/>
        <v>13.01</v>
      </c>
      <c r="AB174" s="228">
        <f t="shared" si="77"/>
        <v>13.038</v>
      </c>
      <c r="AC174" s="228">
        <f t="shared" si="77"/>
        <v>13.067</v>
      </c>
      <c r="AD174" s="228">
        <f t="shared" si="77"/>
        <v>13.067</v>
      </c>
      <c r="AE174" s="343">
        <f t="shared" si="77"/>
        <v>52.18</v>
      </c>
      <c r="AF174" s="228">
        <f t="shared" si="77"/>
        <v>13.305</v>
      </c>
      <c r="AG174" s="228">
        <f t="shared" si="77"/>
        <v>13.333</v>
      </c>
      <c r="AH174" s="228">
        <f t="shared" si="77"/>
        <v>12.455</v>
      </c>
      <c r="AI174" s="228">
        <f t="shared" si="77"/>
        <v>11.993</v>
      </c>
      <c r="AJ174" s="343">
        <f t="shared" si="77"/>
        <v>51.085999999999999</v>
      </c>
      <c r="AK174" s="228">
        <f t="shared" si="77"/>
        <v>11.744</v>
      </c>
      <c r="AL174" s="322">
        <f t="shared" si="77"/>
        <v>11.496</v>
      </c>
      <c r="AM174" s="228"/>
      <c r="AN174" s="228"/>
      <c r="AO174" s="343"/>
      <c r="AP174" s="228"/>
      <c r="AQ174" s="228"/>
      <c r="AR174" s="228"/>
      <c r="AS174" s="228"/>
      <c r="AT174" s="343"/>
      <c r="AU174" s="343"/>
      <c r="AV174" s="343"/>
      <c r="AW174" s="343"/>
      <c r="AX174" s="25"/>
    </row>
    <row r="175" spans="1:50" s="5" customFormat="1" x14ac:dyDescent="0.3">
      <c r="A175" s="197" t="s">
        <v>106</v>
      </c>
      <c r="B175" s="376"/>
      <c r="C175" s="343">
        <f t="shared" ref="C175:AL175" si="78">SUM(C76:C85)-C173-C174</f>
        <v>5.0359999999999996</v>
      </c>
      <c r="D175" s="343">
        <f t="shared" si="78"/>
        <v>9.0419999999999998</v>
      </c>
      <c r="E175" s="343">
        <f t="shared" si="78"/>
        <v>4.3939999999999966</v>
      </c>
      <c r="F175" s="343">
        <f t="shared" si="78"/>
        <v>0</v>
      </c>
      <c r="G175" s="228">
        <f t="shared" si="78"/>
        <v>0</v>
      </c>
      <c r="H175" s="228">
        <f t="shared" si="78"/>
        <v>1.827999999999999</v>
      </c>
      <c r="I175" s="228">
        <f t="shared" si="78"/>
        <v>1.9649999999999999</v>
      </c>
      <c r="J175" s="228">
        <f t="shared" si="78"/>
        <v>0.91999999999999993</v>
      </c>
      <c r="K175" s="343">
        <f t="shared" si="78"/>
        <v>4.713000000000001</v>
      </c>
      <c r="L175" s="228">
        <f t="shared" si="78"/>
        <v>0.72000000000000153</v>
      </c>
      <c r="M175" s="228">
        <f t="shared" si="78"/>
        <v>1.0440000000000009</v>
      </c>
      <c r="N175" s="228">
        <f t="shared" si="78"/>
        <v>2.9210000000000012</v>
      </c>
      <c r="O175" s="228">
        <f t="shared" si="78"/>
        <v>18.201000000000008</v>
      </c>
      <c r="P175" s="343">
        <f t="shared" si="78"/>
        <v>22.885999999999996</v>
      </c>
      <c r="Q175" s="228">
        <f t="shared" si="78"/>
        <v>4.1769999999999996</v>
      </c>
      <c r="R175" s="228">
        <f t="shared" si="78"/>
        <v>1.0649999999999995</v>
      </c>
      <c r="S175" s="228">
        <f t="shared" si="78"/>
        <v>1.0320000000000005</v>
      </c>
      <c r="T175" s="228">
        <f t="shared" si="78"/>
        <v>-21.157000000000004</v>
      </c>
      <c r="U175" s="343">
        <f t="shared" si="78"/>
        <v>-14.882999999999988</v>
      </c>
      <c r="V175" s="228">
        <f t="shared" si="78"/>
        <v>16.551000000000002</v>
      </c>
      <c r="W175" s="228">
        <f t="shared" si="78"/>
        <v>3.9729999999999972</v>
      </c>
      <c r="X175" s="228">
        <f t="shared" si="78"/>
        <v>0.63599999999999746</v>
      </c>
      <c r="Y175" s="228">
        <f t="shared" si="78"/>
        <v>2.0529999999999955</v>
      </c>
      <c r="Z175" s="343">
        <f t="shared" si="78"/>
        <v>23.212000000000018</v>
      </c>
      <c r="AA175" s="228">
        <f t="shared" si="78"/>
        <v>-0.87400000000000055</v>
      </c>
      <c r="AB175" s="228">
        <f t="shared" si="78"/>
        <v>-0.33900000000000219</v>
      </c>
      <c r="AC175" s="228">
        <f t="shared" si="78"/>
        <v>1.583000000000002</v>
      </c>
      <c r="AD175" s="228">
        <f t="shared" si="78"/>
        <v>14.565999999999999</v>
      </c>
      <c r="AE175" s="343">
        <f t="shared" si="78"/>
        <v>14.937999999999995</v>
      </c>
      <c r="AF175" s="228">
        <f t="shared" si="78"/>
        <v>-14.738999999999997</v>
      </c>
      <c r="AG175" s="228">
        <f t="shared" si="78"/>
        <v>21.803000000000011</v>
      </c>
      <c r="AH175" s="228">
        <f t="shared" si="78"/>
        <v>2.7450000000000028</v>
      </c>
      <c r="AI175" s="228">
        <f t="shared" si="78"/>
        <v>-1.7999999999998906E-2</v>
      </c>
      <c r="AJ175" s="343">
        <f t="shared" si="78"/>
        <v>9.7909999999999968</v>
      </c>
      <c r="AK175" s="228">
        <f t="shared" si="78"/>
        <v>1.9120000000000097</v>
      </c>
      <c r="AL175" s="322">
        <f t="shared" si="78"/>
        <v>6.9799999999999951</v>
      </c>
      <c r="AM175" s="391"/>
      <c r="AN175" s="391"/>
      <c r="AO175" s="343"/>
      <c r="AP175" s="391"/>
      <c r="AQ175" s="391"/>
      <c r="AR175" s="391"/>
      <c r="AS175" s="391"/>
      <c r="AT175" s="343"/>
      <c r="AU175" s="392"/>
      <c r="AV175" s="392"/>
      <c r="AW175" s="392"/>
      <c r="AX175" s="228"/>
    </row>
    <row r="176" spans="1:50" s="17" customFormat="1" x14ac:dyDescent="0.3">
      <c r="A176" s="426" t="s">
        <v>504</v>
      </c>
      <c r="B176" s="380"/>
      <c r="C176" s="381">
        <f t="shared" ref="C176:AL176" si="79">C172-SUM(C173:C175)</f>
        <v>12.886000000000001</v>
      </c>
      <c r="D176" s="381">
        <f t="shared" si="79"/>
        <v>13.539999999999985</v>
      </c>
      <c r="E176" s="381">
        <f t="shared" si="79"/>
        <v>9.9769999999999897</v>
      </c>
      <c r="F176" s="381">
        <f t="shared" si="79"/>
        <v>111.37999999999994</v>
      </c>
      <c r="G176" s="382">
        <f t="shared" si="79"/>
        <v>-8.4570000000000043</v>
      </c>
      <c r="H176" s="382">
        <f t="shared" si="79"/>
        <v>-1.7389999999999937</v>
      </c>
      <c r="I176" s="382">
        <f t="shared" si="79"/>
        <v>-5.8850000000000051</v>
      </c>
      <c r="J176" s="382">
        <f t="shared" si="79"/>
        <v>-7.2610000000000294</v>
      </c>
      <c r="K176" s="381">
        <f t="shared" si="79"/>
        <v>-23.341999999999977</v>
      </c>
      <c r="L176" s="382">
        <f t="shared" si="79"/>
        <v>-10.98000000000002</v>
      </c>
      <c r="M176" s="382">
        <f t="shared" si="79"/>
        <v>-8.8670000000000115</v>
      </c>
      <c r="N176" s="382">
        <f t="shared" si="79"/>
        <v>0.59099999999998687</v>
      </c>
      <c r="O176" s="382">
        <f t="shared" si="79"/>
        <v>-4.7530000000000356</v>
      </c>
      <c r="P176" s="381">
        <f t="shared" si="79"/>
        <v>-24.009000000000022</v>
      </c>
      <c r="Q176" s="382">
        <f t="shared" si="79"/>
        <v>10.495999999999999</v>
      </c>
      <c r="R176" s="382">
        <f t="shared" si="79"/>
        <v>19.247999999999994</v>
      </c>
      <c r="S176" s="382">
        <f t="shared" si="79"/>
        <v>19.952000000000005</v>
      </c>
      <c r="T176" s="382">
        <f t="shared" si="79"/>
        <v>43.198</v>
      </c>
      <c r="U176" s="381">
        <f t="shared" si="79"/>
        <v>92.893999999999949</v>
      </c>
      <c r="V176" s="382">
        <f t="shared" si="79"/>
        <v>-7.1679999999999779</v>
      </c>
      <c r="W176" s="382">
        <f t="shared" si="79"/>
        <v>4.6539999999999679</v>
      </c>
      <c r="X176" s="382">
        <f t="shared" si="79"/>
        <v>12.037000000000006</v>
      </c>
      <c r="Y176" s="382">
        <f t="shared" si="79"/>
        <v>8.9950000000000472</v>
      </c>
      <c r="Z176" s="381">
        <f t="shared" si="79"/>
        <v>18.518000000000029</v>
      </c>
      <c r="AA176" s="382">
        <f t="shared" si="79"/>
        <v>-12.243999999999986</v>
      </c>
      <c r="AB176" s="382">
        <f t="shared" si="79"/>
        <v>-7.9910000000000316</v>
      </c>
      <c r="AC176" s="382">
        <f t="shared" si="79"/>
        <v>3.4030000000000413</v>
      </c>
      <c r="AD176" s="382">
        <f t="shared" si="79"/>
        <v>-2.592999999999968</v>
      </c>
      <c r="AE176" s="381">
        <f t="shared" si="79"/>
        <v>-19.425000000000011</v>
      </c>
      <c r="AF176" s="382">
        <f t="shared" si="79"/>
        <v>37.843000000000018</v>
      </c>
      <c r="AG176" s="382">
        <f t="shared" si="79"/>
        <v>16.525999999999961</v>
      </c>
      <c r="AH176" s="382">
        <f t="shared" si="79"/>
        <v>37.056999999999995</v>
      </c>
      <c r="AI176" s="382">
        <f t="shared" si="79"/>
        <v>42.832000000000008</v>
      </c>
      <c r="AJ176" s="381">
        <f t="shared" si="79"/>
        <v>134.25799999999998</v>
      </c>
      <c r="AK176" s="382">
        <f t="shared" si="79"/>
        <v>48.619999999999976</v>
      </c>
      <c r="AL176" s="385">
        <f t="shared" si="79"/>
        <v>38.428999999999988</v>
      </c>
      <c r="AM176" s="382"/>
      <c r="AN176" s="382"/>
      <c r="AO176" s="381"/>
      <c r="AP176" s="382"/>
      <c r="AQ176" s="382"/>
      <c r="AR176" s="382"/>
      <c r="AS176" s="382"/>
      <c r="AT176" s="381"/>
      <c r="AU176" s="381"/>
      <c r="AV176" s="381"/>
      <c r="AW176" s="381"/>
      <c r="AX176" s="24"/>
    </row>
    <row r="177" spans="1:50" s="18" customFormat="1" x14ac:dyDescent="0.3">
      <c r="A177" s="427" t="s">
        <v>505</v>
      </c>
      <c r="B177" s="376"/>
      <c r="C177" s="343"/>
      <c r="D177" s="343"/>
      <c r="E177" s="343"/>
      <c r="F177" s="343"/>
      <c r="G177" s="228"/>
      <c r="H177" s="228"/>
      <c r="I177" s="228"/>
      <c r="J177" s="228"/>
      <c r="K177" s="343"/>
      <c r="L177" s="228"/>
      <c r="M177" s="228"/>
      <c r="N177" s="228"/>
      <c r="O177" s="228"/>
      <c r="P177" s="343"/>
      <c r="Q177" s="228"/>
      <c r="R177" s="228"/>
      <c r="S177" s="228"/>
      <c r="T177" s="228"/>
      <c r="U177" s="343"/>
      <c r="V177" s="228"/>
      <c r="W177" s="228"/>
      <c r="X177" s="228"/>
      <c r="Y177" s="228"/>
      <c r="Z177" s="343"/>
      <c r="AA177" s="228"/>
      <c r="AB177" s="228"/>
      <c r="AC177" s="228"/>
      <c r="AD177" s="228"/>
      <c r="AE177" s="343"/>
      <c r="AF177" s="228"/>
      <c r="AG177" s="228"/>
      <c r="AH177" s="228"/>
      <c r="AI177" s="228"/>
      <c r="AJ177" s="343"/>
      <c r="AK177" s="228"/>
      <c r="AL177" s="322"/>
      <c r="AM177" s="228"/>
      <c r="AN177" s="228"/>
      <c r="AO177" s="343"/>
      <c r="AP177" s="228"/>
      <c r="AQ177" s="228"/>
      <c r="AR177" s="228"/>
      <c r="AS177" s="228"/>
      <c r="AT177" s="343"/>
      <c r="AU177" s="343"/>
      <c r="AV177" s="343"/>
      <c r="AW177" s="343"/>
      <c r="AX177" s="120"/>
    </row>
    <row r="178" spans="1:50" s="17" customFormat="1" x14ac:dyDescent="0.3">
      <c r="A178" s="426" t="s">
        <v>506</v>
      </c>
      <c r="B178" s="380"/>
      <c r="C178" s="381">
        <f t="shared" ref="C178:AL178" si="80">C176-C177</f>
        <v>12.886000000000001</v>
      </c>
      <c r="D178" s="381">
        <f t="shared" si="80"/>
        <v>13.539999999999985</v>
      </c>
      <c r="E178" s="381">
        <f t="shared" si="80"/>
        <v>9.9769999999999897</v>
      </c>
      <c r="F178" s="381">
        <f t="shared" si="80"/>
        <v>111.37999999999994</v>
      </c>
      <c r="G178" s="382">
        <f t="shared" si="80"/>
        <v>-8.4570000000000043</v>
      </c>
      <c r="H178" s="382">
        <f t="shared" si="80"/>
        <v>-1.7389999999999937</v>
      </c>
      <c r="I178" s="382">
        <f t="shared" si="80"/>
        <v>-5.8850000000000051</v>
      </c>
      <c r="J178" s="382">
        <f t="shared" si="80"/>
        <v>-7.2610000000000294</v>
      </c>
      <c r="K178" s="381">
        <f t="shared" si="80"/>
        <v>-23.341999999999977</v>
      </c>
      <c r="L178" s="382">
        <f t="shared" si="80"/>
        <v>-10.98000000000002</v>
      </c>
      <c r="M178" s="382">
        <f t="shared" si="80"/>
        <v>-8.8670000000000115</v>
      </c>
      <c r="N178" s="382">
        <f t="shared" si="80"/>
        <v>0.59099999999998687</v>
      </c>
      <c r="O178" s="382">
        <f t="shared" si="80"/>
        <v>-4.7530000000000356</v>
      </c>
      <c r="P178" s="381">
        <f t="shared" si="80"/>
        <v>-24.009000000000022</v>
      </c>
      <c r="Q178" s="382">
        <f t="shared" si="80"/>
        <v>10.495999999999999</v>
      </c>
      <c r="R178" s="382">
        <f t="shared" si="80"/>
        <v>19.247999999999994</v>
      </c>
      <c r="S178" s="382">
        <f t="shared" si="80"/>
        <v>19.952000000000005</v>
      </c>
      <c r="T178" s="382">
        <f t="shared" si="80"/>
        <v>43.198</v>
      </c>
      <c r="U178" s="381">
        <f t="shared" si="80"/>
        <v>92.893999999999949</v>
      </c>
      <c r="V178" s="382">
        <f t="shared" si="80"/>
        <v>-7.1679999999999779</v>
      </c>
      <c r="W178" s="382">
        <f t="shared" si="80"/>
        <v>4.6539999999999679</v>
      </c>
      <c r="X178" s="382">
        <f t="shared" si="80"/>
        <v>12.037000000000006</v>
      </c>
      <c r="Y178" s="382">
        <f t="shared" si="80"/>
        <v>8.9950000000000472</v>
      </c>
      <c r="Z178" s="381">
        <f t="shared" si="80"/>
        <v>18.518000000000029</v>
      </c>
      <c r="AA178" s="382">
        <f t="shared" si="80"/>
        <v>-12.243999999999986</v>
      </c>
      <c r="AB178" s="382">
        <f t="shared" si="80"/>
        <v>-7.9910000000000316</v>
      </c>
      <c r="AC178" s="382">
        <f t="shared" si="80"/>
        <v>3.4030000000000413</v>
      </c>
      <c r="AD178" s="382">
        <f t="shared" si="80"/>
        <v>-2.592999999999968</v>
      </c>
      <c r="AE178" s="381">
        <f t="shared" si="80"/>
        <v>-19.425000000000011</v>
      </c>
      <c r="AF178" s="382">
        <f t="shared" si="80"/>
        <v>37.843000000000018</v>
      </c>
      <c r="AG178" s="382">
        <f t="shared" si="80"/>
        <v>16.525999999999961</v>
      </c>
      <c r="AH178" s="382">
        <f t="shared" si="80"/>
        <v>37.056999999999995</v>
      </c>
      <c r="AI178" s="382">
        <f t="shared" si="80"/>
        <v>42.832000000000008</v>
      </c>
      <c r="AJ178" s="381">
        <f t="shared" si="80"/>
        <v>134.25799999999998</v>
      </c>
      <c r="AK178" s="382">
        <f t="shared" si="80"/>
        <v>48.619999999999976</v>
      </c>
      <c r="AL178" s="385">
        <f t="shared" si="80"/>
        <v>38.428999999999988</v>
      </c>
      <c r="AM178" s="382"/>
      <c r="AN178" s="382"/>
      <c r="AO178" s="381"/>
      <c r="AP178" s="382"/>
      <c r="AQ178" s="382"/>
      <c r="AR178" s="382"/>
      <c r="AS178" s="382"/>
      <c r="AT178" s="381"/>
      <c r="AU178" s="381"/>
      <c r="AV178" s="381"/>
      <c r="AW178" s="381"/>
      <c r="AX178" s="24"/>
    </row>
    <row r="179" spans="1:50" s="80" customFormat="1" x14ac:dyDescent="0.3">
      <c r="A179" s="420"/>
      <c r="B179" s="428"/>
      <c r="C179" s="344"/>
      <c r="D179" s="344"/>
      <c r="E179" s="344"/>
      <c r="F179" s="344"/>
      <c r="G179" s="93"/>
      <c r="H179" s="93"/>
      <c r="I179" s="93"/>
      <c r="J179" s="93"/>
      <c r="K179" s="344"/>
      <c r="L179" s="93"/>
      <c r="M179" s="93"/>
      <c r="N179" s="93"/>
      <c r="O179" s="93"/>
      <c r="P179" s="344"/>
      <c r="Q179" s="93"/>
      <c r="R179" s="93"/>
      <c r="S179" s="93"/>
      <c r="T179" s="93"/>
      <c r="U179" s="344"/>
      <c r="V179" s="93"/>
      <c r="W179" s="429"/>
      <c r="X179" s="429"/>
      <c r="Y179" s="429"/>
      <c r="Z179" s="430"/>
      <c r="AA179" s="228"/>
      <c r="AB179" s="429"/>
      <c r="AC179" s="429"/>
      <c r="AD179" s="429"/>
      <c r="AE179" s="430"/>
      <c r="AF179" s="228"/>
      <c r="AG179" s="429"/>
      <c r="AH179" s="429"/>
      <c r="AI179" s="429"/>
      <c r="AJ179" s="430"/>
      <c r="AK179" s="228"/>
      <c r="AL179" s="431"/>
      <c r="AM179" s="228"/>
      <c r="AN179" s="228"/>
      <c r="AO179" s="432"/>
      <c r="AP179" s="228"/>
      <c r="AQ179" s="228"/>
      <c r="AR179" s="228"/>
      <c r="AS179" s="228"/>
      <c r="AT179" s="432"/>
      <c r="AU179" s="432"/>
      <c r="AV179" s="432"/>
      <c r="AW179" s="432"/>
      <c r="AX179" s="79"/>
    </row>
    <row r="180" spans="1:50" s="440" customFormat="1" x14ac:dyDescent="0.3">
      <c r="A180" s="433" t="s">
        <v>107</v>
      </c>
      <c r="B180" s="434"/>
      <c r="C180" s="284">
        <f t="shared" ref="C180:AL180" si="81">C171/C169</f>
        <v>0.18206467448697092</v>
      </c>
      <c r="D180" s="284">
        <f t="shared" si="81"/>
        <v>0.21020109374327184</v>
      </c>
      <c r="E180" s="284">
        <f t="shared" si="81"/>
        <v>6.8915524881056928E-2</v>
      </c>
      <c r="F180" s="284">
        <f t="shared" si="81"/>
        <v>4.9962468647589769E-2</v>
      </c>
      <c r="G180" s="288">
        <f t="shared" si="81"/>
        <v>0.14877663772691407</v>
      </c>
      <c r="H180" s="288">
        <f t="shared" si="81"/>
        <v>0.14089604392861596</v>
      </c>
      <c r="I180" s="288">
        <f t="shared" si="81"/>
        <v>7.9045597599355963E-2</v>
      </c>
      <c r="J180" s="288">
        <f t="shared" si="81"/>
        <v>-3.5751840168244162E-2</v>
      </c>
      <c r="K180" s="284">
        <f t="shared" si="81"/>
        <v>8.4758397903630198E-2</v>
      </c>
      <c r="L180" s="288">
        <f t="shared" si="81"/>
        <v>0.11811450243814377</v>
      </c>
      <c r="M180" s="288">
        <f t="shared" si="81"/>
        <v>-1.0764872521246475E-2</v>
      </c>
      <c r="N180" s="288">
        <f t="shared" si="81"/>
        <v>-6.8329527489899927E-2</v>
      </c>
      <c r="O180" s="288">
        <f t="shared" si="81"/>
        <v>5.4932053275640533E-2</v>
      </c>
      <c r="P180" s="284">
        <f t="shared" si="81"/>
        <v>1.7482871511019581E-2</v>
      </c>
      <c r="Q180" s="288">
        <f t="shared" si="81"/>
        <v>7.2709614762058922E-2</v>
      </c>
      <c r="R180" s="288">
        <f t="shared" si="81"/>
        <v>2.7557568893922243E-2</v>
      </c>
      <c r="S180" s="288">
        <f t="shared" si="81"/>
        <v>2.9844360057763277E-2</v>
      </c>
      <c r="T180" s="288">
        <f t="shared" si="81"/>
        <v>-7.6987267490376959E-3</v>
      </c>
      <c r="U180" s="284">
        <f t="shared" si="81"/>
        <v>2.8754060862060501E-2</v>
      </c>
      <c r="V180" s="288">
        <f t="shared" si="81"/>
        <v>2.710999975242008E-2</v>
      </c>
      <c r="W180" s="435">
        <f t="shared" si="81"/>
        <v>2.139172303106731E-2</v>
      </c>
      <c r="X180" s="435">
        <f t="shared" si="81"/>
        <v>3.0617812473768147E-2</v>
      </c>
      <c r="Y180" s="435">
        <f t="shared" si="81"/>
        <v>2.9060472115113294E-2</v>
      </c>
      <c r="Z180" s="436">
        <f t="shared" si="81"/>
        <v>2.7120590177110535E-2</v>
      </c>
      <c r="AA180" s="287">
        <f t="shared" si="81"/>
        <v>-1.9542388205021192E-2</v>
      </c>
      <c r="AB180" s="435">
        <f t="shared" si="81"/>
        <v>0.11527206580196157</v>
      </c>
      <c r="AC180" s="435">
        <f t="shared" si="81"/>
        <v>2.2010310655234105E-2</v>
      </c>
      <c r="AD180" s="435">
        <f t="shared" si="81"/>
        <v>-0.16840930131242163</v>
      </c>
      <c r="AE180" s="436">
        <f t="shared" si="81"/>
        <v>-2.3965773221235366E-2</v>
      </c>
      <c r="AF180" s="287">
        <f t="shared" si="81"/>
        <v>4.0124055049428307E-3</v>
      </c>
      <c r="AG180" s="435">
        <f t="shared" si="81"/>
        <v>-1.0165685501001399E-2</v>
      </c>
      <c r="AH180" s="435">
        <f t="shared" si="81"/>
        <v>3.836417010045514E-2</v>
      </c>
      <c r="AI180" s="435">
        <f t="shared" si="81"/>
        <v>3.7571929649370256E-2</v>
      </c>
      <c r="AJ180" s="436">
        <f t="shared" si="81"/>
        <v>1.9843897128060266E-2</v>
      </c>
      <c r="AK180" s="287">
        <f t="shared" si="81"/>
        <v>3.2507688006709543E-2</v>
      </c>
      <c r="AL180" s="437">
        <f t="shared" si="81"/>
        <v>5.0404846837664927E-2</v>
      </c>
      <c r="AM180" s="143"/>
      <c r="AN180" s="143"/>
      <c r="AO180" s="436"/>
      <c r="AP180" s="143"/>
      <c r="AQ180" s="143"/>
      <c r="AR180" s="143"/>
      <c r="AS180" s="143"/>
      <c r="AT180" s="436"/>
      <c r="AU180" s="438"/>
      <c r="AV180" s="438"/>
      <c r="AW180" s="438"/>
      <c r="AX180" s="439"/>
    </row>
    <row r="181" spans="1:50" s="440" customFormat="1" x14ac:dyDescent="0.3">
      <c r="A181" s="433" t="s">
        <v>507</v>
      </c>
      <c r="B181" s="434"/>
      <c r="C181" s="284">
        <f t="shared" ref="C181:AL181" si="82">C290/C171</f>
        <v>0.57030882583477038</v>
      </c>
      <c r="D181" s="284">
        <f t="shared" si="82"/>
        <v>0.75581276247055207</v>
      </c>
      <c r="E181" s="284">
        <f t="shared" si="82"/>
        <v>-6.7555555555555563E-2</v>
      </c>
      <c r="F181" s="284">
        <f t="shared" si="82"/>
        <v>-0.42188835959447912</v>
      </c>
      <c r="G181" s="288">
        <f t="shared" si="82"/>
        <v>-1.3938992042440317</v>
      </c>
      <c r="H181" s="288">
        <f t="shared" si="82"/>
        <v>-0.38928255093002667</v>
      </c>
      <c r="I181" s="288">
        <f t="shared" si="82"/>
        <v>-0.43796296296296283</v>
      </c>
      <c r="J181" s="288">
        <f t="shared" si="82"/>
        <v>-3.4205882352941104</v>
      </c>
      <c r="K181" s="284">
        <f t="shared" si="82"/>
        <v>-0.33049040511727079</v>
      </c>
      <c r="L181" s="288">
        <f t="shared" si="82"/>
        <v>0.18960244648318042</v>
      </c>
      <c r="M181" s="288">
        <f t="shared" si="82"/>
        <v>-8.9868421052631593</v>
      </c>
      <c r="N181" s="288">
        <f t="shared" si="82"/>
        <v>0.86461011139674382</v>
      </c>
      <c r="O181" s="288">
        <f t="shared" si="82"/>
        <v>8.636307692307712</v>
      </c>
      <c r="P181" s="284">
        <f t="shared" si="82"/>
        <v>13.351351351351381</v>
      </c>
      <c r="Q181" s="288">
        <f t="shared" si="82"/>
        <v>4.6304541406945676E-2</v>
      </c>
      <c r="R181" s="288">
        <f t="shared" si="82"/>
        <v>2.9354207436399229E-2</v>
      </c>
      <c r="S181" s="288">
        <f t="shared" si="82"/>
        <v>0</v>
      </c>
      <c r="T181" s="288">
        <f t="shared" si="82"/>
        <v>79.51398601398563</v>
      </c>
      <c r="U181" s="284">
        <f t="shared" si="82"/>
        <v>-5.5165934602245006</v>
      </c>
      <c r="V181" s="288">
        <f t="shared" si="82"/>
        <v>1.1552511415525113</v>
      </c>
      <c r="W181" s="435">
        <f t="shared" si="82"/>
        <v>1.0718113612005486E-3</v>
      </c>
      <c r="X181" s="435">
        <f t="shared" si="82"/>
        <v>0</v>
      </c>
      <c r="Y181" s="435">
        <f t="shared" si="82"/>
        <v>-0.36974110032362462</v>
      </c>
      <c r="Z181" s="436">
        <f t="shared" si="82"/>
        <v>0.17125317527519054</v>
      </c>
      <c r="AA181" s="287">
        <f t="shared" si="82"/>
        <v>3.3523131672597875</v>
      </c>
      <c r="AB181" s="435">
        <f t="shared" si="82"/>
        <v>8.1646655231560894E-2</v>
      </c>
      <c r="AC181" s="435">
        <f t="shared" si="82"/>
        <v>0</v>
      </c>
      <c r="AD181" s="435">
        <f t="shared" si="82"/>
        <v>0.23379143088116405</v>
      </c>
      <c r="AE181" s="436">
        <f t="shared" si="82"/>
        <v>0.78812316715542508</v>
      </c>
      <c r="AF181" s="287">
        <f t="shared" si="82"/>
        <v>-129.59903381642468</v>
      </c>
      <c r="AG181" s="435">
        <f t="shared" si="82"/>
        <v>1.8776119402985063</v>
      </c>
      <c r="AH181" s="435">
        <f t="shared" si="82"/>
        <v>3.9312039312039977E-2</v>
      </c>
      <c r="AI181" s="435">
        <f t="shared" si="82"/>
        <v>0.42392026578073089</v>
      </c>
      <c r="AJ181" s="436">
        <f t="shared" si="82"/>
        <v>-4.9484708063021321</v>
      </c>
      <c r="AK181" s="287">
        <f t="shared" si="82"/>
        <v>0</v>
      </c>
      <c r="AL181" s="437">
        <f t="shared" si="82"/>
        <v>0</v>
      </c>
      <c r="AM181" s="143"/>
      <c r="AN181" s="143"/>
      <c r="AO181" s="436"/>
      <c r="AP181" s="143"/>
      <c r="AQ181" s="143"/>
      <c r="AR181" s="143"/>
      <c r="AS181" s="143"/>
      <c r="AT181" s="436"/>
      <c r="AU181" s="438"/>
      <c r="AV181" s="438"/>
      <c r="AW181" s="438"/>
      <c r="AX181" s="439"/>
    </row>
    <row r="182" spans="1:50" s="80" customFormat="1" x14ac:dyDescent="0.3">
      <c r="A182" s="420"/>
      <c r="B182" s="428"/>
      <c r="C182" s="344"/>
      <c r="D182" s="344"/>
      <c r="E182" s="344"/>
      <c r="F182" s="344"/>
      <c r="G182" s="93"/>
      <c r="H182" s="93"/>
      <c r="I182" s="93"/>
      <c r="J182" s="93"/>
      <c r="K182" s="344"/>
      <c r="L182" s="93"/>
      <c r="M182" s="93"/>
      <c r="N182" s="93"/>
      <c r="O182" s="93"/>
      <c r="P182" s="344"/>
      <c r="Q182" s="93"/>
      <c r="R182" s="93"/>
      <c r="S182" s="93"/>
      <c r="T182" s="93"/>
      <c r="U182" s="344"/>
      <c r="V182" s="93"/>
      <c r="W182" s="429"/>
      <c r="X182" s="429"/>
      <c r="Y182" s="429"/>
      <c r="Z182" s="430"/>
      <c r="AA182" s="228"/>
      <c r="AB182" s="429"/>
      <c r="AC182" s="429"/>
      <c r="AD182" s="429"/>
      <c r="AE182" s="430"/>
      <c r="AF182" s="228"/>
      <c r="AG182" s="429"/>
      <c r="AH182" s="429"/>
      <c r="AI182" s="429"/>
      <c r="AJ182" s="430"/>
      <c r="AK182" s="228"/>
      <c r="AL182" s="431"/>
      <c r="AM182" s="228"/>
      <c r="AN182" s="228"/>
      <c r="AO182" s="432"/>
      <c r="AP182" s="228"/>
      <c r="AQ182" s="228"/>
      <c r="AR182" s="228"/>
      <c r="AS182" s="228"/>
      <c r="AT182" s="432"/>
      <c r="AU182" s="432"/>
      <c r="AV182" s="432"/>
      <c r="AW182" s="432"/>
      <c r="AX182" s="79"/>
    </row>
    <row r="183" spans="1:50" s="451" customFormat="1" x14ac:dyDescent="0.3">
      <c r="A183" s="441" t="s">
        <v>109</v>
      </c>
      <c r="B183" s="442"/>
      <c r="C183" s="443">
        <f t="shared" ref="C183:AL183" si="83">C176/C188</f>
        <v>0.40144552789806542</v>
      </c>
      <c r="D183" s="443">
        <f t="shared" si="83"/>
        <v>0.40308415944747061</v>
      </c>
      <c r="E183" s="443">
        <f t="shared" si="83"/>
        <v>0.27512891928411853</v>
      </c>
      <c r="F183" s="443">
        <f t="shared" si="83"/>
        <v>2.6963300087150173</v>
      </c>
      <c r="G183" s="444">
        <f t="shared" si="83"/>
        <v>-0.19712827206825023</v>
      </c>
      <c r="H183" s="444">
        <f t="shared" si="83"/>
        <v>-4.0176508640606082E-2</v>
      </c>
      <c r="I183" s="444">
        <f t="shared" si="83"/>
        <v>-0.13504210743706843</v>
      </c>
      <c r="J183" s="444">
        <f t="shared" si="83"/>
        <v>-0.16537226410367437</v>
      </c>
      <c r="K183" s="443">
        <f t="shared" si="83"/>
        <v>-0.537573984938163</v>
      </c>
      <c r="L183" s="444">
        <f t="shared" si="83"/>
        <v>-0.24798988165145947</v>
      </c>
      <c r="M183" s="444">
        <f t="shared" si="83"/>
        <v>-0.1984956683306846</v>
      </c>
      <c r="N183" s="444">
        <f t="shared" si="83"/>
        <v>1.3138004623865971E-2</v>
      </c>
      <c r="O183" s="444">
        <f t="shared" si="83"/>
        <v>-0.10473776994270682</v>
      </c>
      <c r="P183" s="443">
        <f t="shared" si="83"/>
        <v>-0.5355446008342446</v>
      </c>
      <c r="Q183" s="444">
        <f t="shared" si="83"/>
        <v>0.22971701210303994</v>
      </c>
      <c r="R183" s="444">
        <f t="shared" si="83"/>
        <v>0.41670455283496771</v>
      </c>
      <c r="S183" s="444">
        <f t="shared" si="83"/>
        <v>0.42831075714316397</v>
      </c>
      <c r="T183" s="444">
        <f t="shared" si="83"/>
        <v>0.91953680446166286</v>
      </c>
      <c r="U183" s="443">
        <f t="shared" si="83"/>
        <v>2.0035371508681106</v>
      </c>
      <c r="V183" s="444">
        <f t="shared" si="83"/>
        <v>-0.15135774314793654</v>
      </c>
      <c r="W183" s="445">
        <f t="shared" si="83"/>
        <v>9.7160751565761344E-2</v>
      </c>
      <c r="X183" s="445">
        <f t="shared" si="83"/>
        <v>0.24877544693603404</v>
      </c>
      <c r="Y183" s="445">
        <f t="shared" si="83"/>
        <v>0.18384907819973118</v>
      </c>
      <c r="Z183" s="446">
        <f t="shared" si="83"/>
        <v>0.38462976425381717</v>
      </c>
      <c r="AA183" s="447">
        <f t="shared" si="83"/>
        <v>-0.24817074406631909</v>
      </c>
      <c r="AB183" s="445">
        <f t="shared" si="83"/>
        <v>-0.15964120185392425</v>
      </c>
      <c r="AC183" s="445">
        <f t="shared" si="83"/>
        <v>6.7270247296737126E-2</v>
      </c>
      <c r="AD183" s="445">
        <f t="shared" si="83"/>
        <v>-5.0610922434320332E-2</v>
      </c>
      <c r="AE183" s="446">
        <f t="shared" si="83"/>
        <v>-0.38610614192009562</v>
      </c>
      <c r="AF183" s="447">
        <f t="shared" si="83"/>
        <v>0.73029197784596411</v>
      </c>
      <c r="AG183" s="445">
        <f t="shared" si="83"/>
        <v>0.31409293927587112</v>
      </c>
      <c r="AH183" s="445">
        <f t="shared" si="83"/>
        <v>0.69614141869552137</v>
      </c>
      <c r="AI183" s="445">
        <f t="shared" si="83"/>
        <v>0.79671137069622966</v>
      </c>
      <c r="AJ183" s="446">
        <f t="shared" si="83"/>
        <v>2.5397347861453188</v>
      </c>
      <c r="AK183" s="447">
        <f t="shared" si="83"/>
        <v>0.89660132406365789</v>
      </c>
      <c r="AL183" s="448">
        <f t="shared" si="83"/>
        <v>0.70245124024347871</v>
      </c>
      <c r="AM183" s="447"/>
      <c r="AN183" s="447"/>
      <c r="AO183" s="449"/>
      <c r="AP183" s="447"/>
      <c r="AQ183" s="447"/>
      <c r="AR183" s="447"/>
      <c r="AS183" s="447"/>
      <c r="AT183" s="449"/>
      <c r="AU183" s="449"/>
      <c r="AV183" s="449"/>
      <c r="AW183" s="449"/>
      <c r="AX183" s="450"/>
    </row>
    <row r="184" spans="1:50" s="451" customFormat="1" x14ac:dyDescent="0.3">
      <c r="A184" s="441" t="s">
        <v>110</v>
      </c>
      <c r="B184" s="442"/>
      <c r="C184" s="443">
        <f t="shared" ref="C184:AL184" si="84">C178/C189</f>
        <v>0.385808383233533</v>
      </c>
      <c r="D184" s="443">
        <f t="shared" si="84"/>
        <v>0.38159118451089213</v>
      </c>
      <c r="E184" s="443">
        <f t="shared" si="84"/>
        <v>0.25872620714693195</v>
      </c>
      <c r="F184" s="443">
        <f t="shared" si="84"/>
        <v>2.5370720484726985</v>
      </c>
      <c r="G184" s="444">
        <f t="shared" si="84"/>
        <v>-0.19712827206825023</v>
      </c>
      <c r="H184" s="444">
        <f t="shared" si="84"/>
        <v>-4.0176508640606082E-2</v>
      </c>
      <c r="I184" s="444">
        <f t="shared" si="84"/>
        <v>-0.13504210743706843</v>
      </c>
      <c r="J184" s="444">
        <f t="shared" si="84"/>
        <v>-0.16537226410367437</v>
      </c>
      <c r="K184" s="443">
        <f t="shared" si="84"/>
        <v>-0.537573984938163</v>
      </c>
      <c r="L184" s="444">
        <f t="shared" si="84"/>
        <v>-0.24798988165145947</v>
      </c>
      <c r="M184" s="444">
        <f t="shared" si="84"/>
        <v>-0.1984956683306846</v>
      </c>
      <c r="N184" s="444">
        <f t="shared" si="84"/>
        <v>1.2784183088537215E-2</v>
      </c>
      <c r="O184" s="444">
        <f t="shared" si="84"/>
        <v>-0.10473776994270682</v>
      </c>
      <c r="P184" s="443">
        <f t="shared" si="84"/>
        <v>-0.5355446008342446</v>
      </c>
      <c r="Q184" s="444">
        <f t="shared" si="84"/>
        <v>0.2231577156950291</v>
      </c>
      <c r="R184" s="444">
        <f t="shared" si="84"/>
        <v>0.40464177598385459</v>
      </c>
      <c r="S184" s="444">
        <f t="shared" si="84"/>
        <v>0.41806181246726043</v>
      </c>
      <c r="T184" s="444">
        <f t="shared" si="84"/>
        <v>0.89583376537193349</v>
      </c>
      <c r="U184" s="443">
        <f t="shared" si="84"/>
        <v>1.9442839800745102</v>
      </c>
      <c r="V184" s="444">
        <f t="shared" si="84"/>
        <v>-0.15135774314793654</v>
      </c>
      <c r="W184" s="445">
        <f t="shared" si="84"/>
        <v>9.4605033134121386E-2</v>
      </c>
      <c r="X184" s="445">
        <f t="shared" si="84"/>
        <v>0.24320119610457847</v>
      </c>
      <c r="Y184" s="445">
        <f t="shared" si="84"/>
        <v>0.18000440255348196</v>
      </c>
      <c r="Z184" s="446">
        <f t="shared" si="84"/>
        <v>0.37390461575738054</v>
      </c>
      <c r="AA184" s="447">
        <f t="shared" si="84"/>
        <v>-0.24817074406631909</v>
      </c>
      <c r="AB184" s="445">
        <f t="shared" si="84"/>
        <v>-0.15964120185392425</v>
      </c>
      <c r="AC184" s="445">
        <f t="shared" si="84"/>
        <v>6.5981580222977051E-2</v>
      </c>
      <c r="AD184" s="445">
        <f t="shared" si="84"/>
        <v>-5.0610922434320332E-2</v>
      </c>
      <c r="AE184" s="446">
        <f t="shared" si="84"/>
        <v>-0.38610614192009562</v>
      </c>
      <c r="AF184" s="447">
        <f t="shared" si="84"/>
        <v>0.70542072102300302</v>
      </c>
      <c r="AG184" s="445">
        <f t="shared" si="84"/>
        <v>0.3034186464950604</v>
      </c>
      <c r="AH184" s="445">
        <f t="shared" si="84"/>
        <v>0.67855050172123332</v>
      </c>
      <c r="AI184" s="445">
        <f t="shared" si="84"/>
        <v>0.77668776180027943</v>
      </c>
      <c r="AJ184" s="446">
        <f t="shared" si="84"/>
        <v>2.4568678402810815</v>
      </c>
      <c r="AK184" s="447">
        <f t="shared" si="84"/>
        <v>0.87141986593540488</v>
      </c>
      <c r="AL184" s="448">
        <f t="shared" si="84"/>
        <v>0.68040014164305929</v>
      </c>
      <c r="AM184" s="447"/>
      <c r="AN184" s="447"/>
      <c r="AO184" s="449"/>
      <c r="AP184" s="447"/>
      <c r="AQ184" s="447"/>
      <c r="AR184" s="447"/>
      <c r="AS184" s="447"/>
      <c r="AT184" s="449"/>
      <c r="AU184" s="449"/>
      <c r="AV184" s="449"/>
      <c r="AW184" s="449"/>
      <c r="AX184" s="450"/>
    </row>
    <row r="185" spans="1:50" s="451" customFormat="1" x14ac:dyDescent="0.3">
      <c r="A185" s="441" t="s">
        <v>111</v>
      </c>
      <c r="B185" s="442"/>
      <c r="C185" s="443">
        <f t="shared" ref="C185:AL185" si="85">C172/C190</f>
        <v>0.80998275910799589</v>
      </c>
      <c r="D185" s="443">
        <f t="shared" si="85"/>
        <v>0.98522815781699002</v>
      </c>
      <c r="E185" s="443">
        <f t="shared" si="85"/>
        <v>1.1602544529262084</v>
      </c>
      <c r="F185" s="443">
        <f t="shared" si="85"/>
        <v>3.603944809704601</v>
      </c>
      <c r="G185" s="444">
        <f t="shared" si="85"/>
        <v>9.6288194986942743E-2</v>
      </c>
      <c r="H185" s="444">
        <f t="shared" si="85"/>
        <v>0.30472986432349891</v>
      </c>
      <c r="I185" s="444">
        <f t="shared" si="85"/>
        <v>0.27661024400967232</v>
      </c>
      <c r="J185" s="444">
        <f t="shared" si="85"/>
        <v>0.21497162810999493</v>
      </c>
      <c r="K185" s="443">
        <f t="shared" si="85"/>
        <v>0.89370009264569683</v>
      </c>
      <c r="L185" s="444">
        <f t="shared" si="85"/>
        <v>0.10572467847399608</v>
      </c>
      <c r="M185" s="444">
        <f t="shared" si="85"/>
        <v>0.15338979407592082</v>
      </c>
      <c r="N185" s="444">
        <f t="shared" si="85"/>
        <v>0.38934767300428885</v>
      </c>
      <c r="O185" s="444">
        <f t="shared" si="85"/>
        <v>0.59209606709447815</v>
      </c>
      <c r="P185" s="443">
        <f t="shared" si="85"/>
        <v>1.2475786406102678</v>
      </c>
      <c r="Q185" s="444">
        <f t="shared" si="85"/>
        <v>0.60318396226415094</v>
      </c>
      <c r="R185" s="444">
        <f t="shared" si="85"/>
        <v>0.75405105902523673</v>
      </c>
      <c r="S185" s="444">
        <f t="shared" si="85"/>
        <v>0.75223422564123843</v>
      </c>
      <c r="T185" s="444">
        <f t="shared" si="85"/>
        <v>0.77147390981782216</v>
      </c>
      <c r="U185" s="443">
        <f t="shared" si="85"/>
        <v>2.8891277577174335</v>
      </c>
      <c r="V185" s="444">
        <f t="shared" si="85"/>
        <v>0.80511391575151658</v>
      </c>
      <c r="W185" s="445">
        <f t="shared" si="85"/>
        <v>0.86646366220056781</v>
      </c>
      <c r="X185" s="445">
        <f t="shared" si="85"/>
        <v>0.93037260825780477</v>
      </c>
      <c r="Y185" s="445">
        <f t="shared" si="85"/>
        <v>0.82356460522904573</v>
      </c>
      <c r="Z185" s="446">
        <f t="shared" si="85"/>
        <v>3.4330254041570445</v>
      </c>
      <c r="AA185" s="447">
        <f t="shared" si="85"/>
        <v>0.29056745882306323</v>
      </c>
      <c r="AB185" s="445">
        <f t="shared" si="85"/>
        <v>0.43761369193153965</v>
      </c>
      <c r="AC185" s="445">
        <f t="shared" si="85"/>
        <v>0.7093205726795444</v>
      </c>
      <c r="AD185" s="445">
        <f t="shared" si="85"/>
        <v>0.82411799727285007</v>
      </c>
      <c r="AE185" s="446">
        <f t="shared" si="85"/>
        <v>2.2789519992179095</v>
      </c>
      <c r="AF185" s="447">
        <f t="shared" si="85"/>
        <v>0.97612082066869343</v>
      </c>
      <c r="AG185" s="445">
        <f t="shared" si="85"/>
        <v>1.2511134078737192</v>
      </c>
      <c r="AH185" s="445">
        <f t="shared" si="85"/>
        <v>1.3294796611747184</v>
      </c>
      <c r="AI185" s="445">
        <f t="shared" si="85"/>
        <v>1.4246410820199185</v>
      </c>
      <c r="AJ185" s="446">
        <f t="shared" si="85"/>
        <v>5.006801570749488</v>
      </c>
      <c r="AK185" s="447">
        <f t="shared" si="85"/>
        <v>1.586176551471262</v>
      </c>
      <c r="AL185" s="448">
        <f t="shared" si="85"/>
        <v>1.5246181818181817</v>
      </c>
      <c r="AM185" s="447"/>
      <c r="AN185" s="447"/>
      <c r="AO185" s="449"/>
      <c r="AP185" s="447"/>
      <c r="AQ185" s="447"/>
      <c r="AR185" s="447"/>
      <c r="AS185" s="447"/>
      <c r="AT185" s="449"/>
      <c r="AU185" s="449"/>
      <c r="AV185" s="449"/>
      <c r="AW185" s="449"/>
      <c r="AX185" s="450"/>
    </row>
    <row r="186" spans="1:50" s="80" customFormat="1" x14ac:dyDescent="0.3">
      <c r="A186" s="452" t="str">
        <f>"Consensus Estimates - "&amp;$A$185</f>
        <v>Consensus Estimates - Non-GAAP Adjusted Earnings Per Share - WAD</v>
      </c>
      <c r="B186" s="453"/>
      <c r="C186" s="454"/>
      <c r="D186" s="454"/>
      <c r="E186" s="454"/>
      <c r="F186" s="454"/>
      <c r="G186" s="455"/>
      <c r="H186" s="455"/>
      <c r="I186" s="455"/>
      <c r="J186" s="455"/>
      <c r="K186" s="454"/>
      <c r="L186" s="455"/>
      <c r="M186" s="455"/>
      <c r="N186" s="455"/>
      <c r="O186" s="455"/>
      <c r="P186" s="454"/>
      <c r="Q186" s="455"/>
      <c r="R186" s="455"/>
      <c r="S186" s="455"/>
      <c r="T186" s="455"/>
      <c r="U186" s="454"/>
      <c r="V186" s="455"/>
      <c r="W186" s="456"/>
      <c r="X186" s="456"/>
      <c r="Y186" s="456"/>
      <c r="Z186" s="457"/>
      <c r="AA186" s="458"/>
      <c r="AB186" s="456"/>
      <c r="AC186" s="456"/>
      <c r="AD186" s="456"/>
      <c r="AE186" s="457"/>
      <c r="AF186" s="458"/>
      <c r="AG186" s="456"/>
      <c r="AH186" s="456"/>
      <c r="AI186" s="456"/>
      <c r="AJ186" s="457"/>
      <c r="AK186" s="458"/>
      <c r="AL186" s="459"/>
      <c r="AM186" s="460"/>
      <c r="AN186" s="460"/>
      <c r="AO186" s="461"/>
      <c r="AP186" s="460"/>
      <c r="AQ186" s="460"/>
      <c r="AR186" s="460"/>
      <c r="AS186" s="460"/>
      <c r="AT186" s="461"/>
      <c r="AU186" s="461"/>
      <c r="AV186" s="461"/>
      <c r="AW186" s="461"/>
      <c r="AX186" s="79"/>
    </row>
    <row r="187" spans="1:50" s="80" customFormat="1" x14ac:dyDescent="0.3">
      <c r="A187" s="462"/>
      <c r="B187" s="428"/>
      <c r="C187" s="344"/>
      <c r="D187" s="344"/>
      <c r="E187" s="344"/>
      <c r="F187" s="344"/>
      <c r="G187" s="93"/>
      <c r="H187" s="93"/>
      <c r="I187" s="93"/>
      <c r="J187" s="93"/>
      <c r="K187" s="344"/>
      <c r="L187" s="93"/>
      <c r="M187" s="93"/>
      <c r="N187" s="93"/>
      <c r="O187" s="93"/>
      <c r="P187" s="344"/>
      <c r="Q187" s="93"/>
      <c r="R187" s="93"/>
      <c r="S187" s="93"/>
      <c r="T187" s="93"/>
      <c r="U187" s="344"/>
      <c r="V187" s="93"/>
      <c r="W187" s="429"/>
      <c r="X187" s="429"/>
      <c r="Y187" s="429"/>
      <c r="Z187" s="430"/>
      <c r="AA187" s="228"/>
      <c r="AB187" s="429"/>
      <c r="AC187" s="429"/>
      <c r="AD187" s="429"/>
      <c r="AE187" s="430"/>
      <c r="AF187" s="228"/>
      <c r="AG187" s="429"/>
      <c r="AH187" s="429"/>
      <c r="AI187" s="429"/>
      <c r="AJ187" s="430"/>
      <c r="AK187" s="228"/>
      <c r="AL187" s="431"/>
      <c r="AM187" s="93"/>
      <c r="AN187" s="93"/>
      <c r="AO187" s="430"/>
      <c r="AP187" s="93"/>
      <c r="AQ187" s="93"/>
      <c r="AR187" s="93"/>
      <c r="AS187" s="93"/>
      <c r="AT187" s="430"/>
      <c r="AU187" s="430"/>
      <c r="AV187" s="430"/>
      <c r="AW187" s="430"/>
      <c r="AX187" s="79"/>
    </row>
    <row r="188" spans="1:50" s="5" customFormat="1" x14ac:dyDescent="0.3">
      <c r="A188" s="228" t="s">
        <v>112</v>
      </c>
      <c r="B188" s="376"/>
      <c r="C188" s="343">
        <v>32.098999999999997</v>
      </c>
      <c r="D188" s="343">
        <v>33.591000000000001</v>
      </c>
      <c r="E188" s="343">
        <v>36.262999999999998</v>
      </c>
      <c r="F188" s="343">
        <v>41.308</v>
      </c>
      <c r="G188" s="228">
        <v>42.901000000000003</v>
      </c>
      <c r="H188" s="228">
        <v>43.283999999999999</v>
      </c>
      <c r="I188" s="228">
        <v>43.579000000000001</v>
      </c>
      <c r="J188" s="228">
        <v>43.906999999999996</v>
      </c>
      <c r="K188" s="343">
        <v>43.420999999999999</v>
      </c>
      <c r="L188" s="228">
        <v>44.276000000000003</v>
      </c>
      <c r="M188" s="228">
        <v>44.670999999999999</v>
      </c>
      <c r="N188" s="228">
        <v>44.984000000000002</v>
      </c>
      <c r="O188" s="228">
        <v>45.38</v>
      </c>
      <c r="P188" s="343">
        <v>44.831000000000003</v>
      </c>
      <c r="Q188" s="228">
        <v>45.691000000000003</v>
      </c>
      <c r="R188" s="228">
        <v>46.191000000000003</v>
      </c>
      <c r="S188" s="228">
        <v>46.582999999999998</v>
      </c>
      <c r="T188" s="228">
        <v>46.978000000000002</v>
      </c>
      <c r="U188" s="343">
        <v>46.365000000000002</v>
      </c>
      <c r="V188" s="228">
        <v>47.357999999999997</v>
      </c>
      <c r="W188" s="228">
        <v>47.9</v>
      </c>
      <c r="X188" s="228">
        <v>48.384999999999998</v>
      </c>
      <c r="Y188" s="228">
        <v>48.926000000000002</v>
      </c>
      <c r="Z188" s="344">
        <v>48.145000000000003</v>
      </c>
      <c r="AA188" s="228">
        <v>49.337000000000003</v>
      </c>
      <c r="AB188" s="228">
        <v>50.055999999999997</v>
      </c>
      <c r="AC188" s="228">
        <v>50.587000000000003</v>
      </c>
      <c r="AD188" s="228">
        <v>51.234000000000002</v>
      </c>
      <c r="AE188" s="344">
        <v>50.31</v>
      </c>
      <c r="AF188" s="228">
        <v>51.819000000000003</v>
      </c>
      <c r="AG188" s="228">
        <v>52.615000000000002</v>
      </c>
      <c r="AH188" s="228">
        <v>53.231999999999999</v>
      </c>
      <c r="AI188" s="228">
        <v>53.761000000000003</v>
      </c>
      <c r="AJ188" s="344">
        <v>52.863</v>
      </c>
      <c r="AK188" s="228">
        <v>54.226999999999997</v>
      </c>
      <c r="AL188" s="322">
        <v>54.707000000000001</v>
      </c>
      <c r="AM188" s="93"/>
      <c r="AN188" s="93"/>
      <c r="AO188" s="344"/>
      <c r="AP188" s="93"/>
      <c r="AQ188" s="93"/>
      <c r="AR188" s="93"/>
      <c r="AS188" s="93"/>
      <c r="AT188" s="344"/>
      <c r="AU188" s="344"/>
      <c r="AV188" s="344"/>
      <c r="AW188" s="344"/>
      <c r="AX188" s="228"/>
    </row>
    <row r="189" spans="1:50" s="5" customFormat="1" x14ac:dyDescent="0.3">
      <c r="A189" s="228" t="s">
        <v>113</v>
      </c>
      <c r="B189" s="376"/>
      <c r="C189" s="343">
        <v>33.4</v>
      </c>
      <c r="D189" s="343">
        <v>35.482999999999997</v>
      </c>
      <c r="E189" s="343">
        <v>38.561999999999998</v>
      </c>
      <c r="F189" s="343">
        <v>43.901000000000003</v>
      </c>
      <c r="G189" s="228">
        <v>42.901000000000003</v>
      </c>
      <c r="H189" s="228">
        <v>43.283999999999999</v>
      </c>
      <c r="I189" s="228">
        <v>43.579000000000001</v>
      </c>
      <c r="J189" s="228">
        <v>43.906999999999996</v>
      </c>
      <c r="K189" s="343">
        <v>43.420999999999999</v>
      </c>
      <c r="L189" s="228">
        <v>44.276000000000003</v>
      </c>
      <c r="M189" s="228">
        <v>44.670999999999999</v>
      </c>
      <c r="N189" s="228">
        <v>46.228999999999999</v>
      </c>
      <c r="O189" s="228">
        <v>45.38</v>
      </c>
      <c r="P189" s="343">
        <v>44.831000000000003</v>
      </c>
      <c r="Q189" s="228">
        <v>47.033999999999999</v>
      </c>
      <c r="R189" s="228">
        <v>47.567999999999998</v>
      </c>
      <c r="S189" s="228">
        <v>47.725000000000001</v>
      </c>
      <c r="T189" s="228">
        <v>48.220999999999997</v>
      </c>
      <c r="U189" s="343">
        <v>47.777999999999999</v>
      </c>
      <c r="V189" s="228">
        <v>47.357999999999997</v>
      </c>
      <c r="W189" s="228">
        <v>49.194000000000003</v>
      </c>
      <c r="X189" s="228">
        <v>49.494</v>
      </c>
      <c r="Y189" s="228">
        <v>49.970999999999997</v>
      </c>
      <c r="Z189" s="344">
        <v>49.526000000000003</v>
      </c>
      <c r="AA189" s="228">
        <v>49.337000000000003</v>
      </c>
      <c r="AB189" s="228">
        <v>50.055999999999997</v>
      </c>
      <c r="AC189" s="228">
        <v>51.575000000000003</v>
      </c>
      <c r="AD189" s="228">
        <v>51.234000000000002</v>
      </c>
      <c r="AE189" s="344">
        <v>50.31</v>
      </c>
      <c r="AF189" s="228">
        <v>53.646000000000001</v>
      </c>
      <c r="AG189" s="228">
        <v>54.466000000000001</v>
      </c>
      <c r="AH189" s="228">
        <v>54.612000000000002</v>
      </c>
      <c r="AI189" s="228">
        <v>55.146999999999998</v>
      </c>
      <c r="AJ189" s="344">
        <v>54.646000000000001</v>
      </c>
      <c r="AK189" s="228">
        <v>55.793999999999997</v>
      </c>
      <c r="AL189" s="322">
        <v>56.48</v>
      </c>
      <c r="AM189" s="93"/>
      <c r="AN189" s="93"/>
      <c r="AO189" s="344"/>
      <c r="AP189" s="93"/>
      <c r="AQ189" s="93"/>
      <c r="AR189" s="93"/>
      <c r="AS189" s="93"/>
      <c r="AT189" s="344"/>
      <c r="AU189" s="344"/>
      <c r="AV189" s="344"/>
      <c r="AW189" s="344"/>
      <c r="AX189" s="228"/>
    </row>
    <row r="190" spans="1:50" s="5" customFormat="1" x14ac:dyDescent="0.3">
      <c r="A190" s="228" t="s">
        <v>114</v>
      </c>
      <c r="B190" s="376"/>
      <c r="C190" s="343">
        <v>35.381</v>
      </c>
      <c r="D190" s="343">
        <v>37.232999999999997</v>
      </c>
      <c r="E190" s="343">
        <v>39.299999999999997</v>
      </c>
      <c r="F190" s="343">
        <v>43.195999999999998</v>
      </c>
      <c r="G190" s="228">
        <v>44.802999999999997</v>
      </c>
      <c r="H190" s="228">
        <v>45.180999999999997</v>
      </c>
      <c r="I190" s="228">
        <v>45.49</v>
      </c>
      <c r="J190" s="228">
        <v>45.82</v>
      </c>
      <c r="K190" s="343">
        <v>45.334000000000003</v>
      </c>
      <c r="L190" s="228">
        <v>46.186</v>
      </c>
      <c r="M190" s="228">
        <v>46.521999999999998</v>
      </c>
      <c r="N190" s="228">
        <v>46.863</v>
      </c>
      <c r="O190" s="228">
        <v>47.216999999999999</v>
      </c>
      <c r="P190" s="343">
        <v>46.667999999999999</v>
      </c>
      <c r="Q190" s="228">
        <v>47.488</v>
      </c>
      <c r="R190" s="228">
        <v>47.826999999999998</v>
      </c>
      <c r="S190" s="228">
        <v>48.226999999999997</v>
      </c>
      <c r="T190" s="228">
        <v>48.524000000000001</v>
      </c>
      <c r="U190" s="343">
        <v>47.911000000000001</v>
      </c>
      <c r="V190" s="228">
        <v>48.808</v>
      </c>
      <c r="W190" s="228">
        <v>49.26</v>
      </c>
      <c r="X190" s="228">
        <v>49.65</v>
      </c>
      <c r="Y190" s="228">
        <v>50.143000000000001</v>
      </c>
      <c r="Z190" s="344">
        <v>49.362000000000002</v>
      </c>
      <c r="AA190" s="228">
        <v>50.453000000000003</v>
      </c>
      <c r="AB190" s="228">
        <v>51.125</v>
      </c>
      <c r="AC190" s="228">
        <v>51.616999999999997</v>
      </c>
      <c r="AD190" s="228">
        <v>52.069000000000003</v>
      </c>
      <c r="AE190" s="344">
        <v>51.145000000000003</v>
      </c>
      <c r="AF190" s="228">
        <v>52.64</v>
      </c>
      <c r="AG190" s="228">
        <v>53.215000000000003</v>
      </c>
      <c r="AH190" s="228">
        <v>53.715000000000003</v>
      </c>
      <c r="AI190" s="228">
        <v>54.121000000000002</v>
      </c>
      <c r="AJ190" s="344">
        <v>53.222999999999999</v>
      </c>
      <c r="AK190" s="228">
        <v>54.545000000000002</v>
      </c>
      <c r="AL190" s="322">
        <v>55</v>
      </c>
      <c r="AM190" s="93"/>
      <c r="AN190" s="93"/>
      <c r="AO190" s="344"/>
      <c r="AP190" s="93"/>
      <c r="AQ190" s="93"/>
      <c r="AR190" s="93"/>
      <c r="AS190" s="93"/>
      <c r="AT190" s="344"/>
      <c r="AU190" s="344"/>
      <c r="AV190" s="344"/>
      <c r="AW190" s="344"/>
      <c r="AX190" s="228"/>
    </row>
    <row r="191" spans="1:50" s="5" customFormat="1" x14ac:dyDescent="0.3">
      <c r="A191" s="376"/>
      <c r="B191" s="376"/>
      <c r="C191" s="343"/>
      <c r="D191" s="343"/>
      <c r="E191" s="343"/>
      <c r="F191" s="343"/>
      <c r="G191" s="228"/>
      <c r="H191" s="228"/>
      <c r="I191" s="228"/>
      <c r="J191" s="228"/>
      <c r="K191" s="343"/>
      <c r="L191" s="228"/>
      <c r="M191" s="228"/>
      <c r="N191" s="228"/>
      <c r="O191" s="228"/>
      <c r="P191" s="343"/>
      <c r="Q191" s="228"/>
      <c r="R191" s="228"/>
      <c r="S191" s="228"/>
      <c r="T191" s="228"/>
      <c r="U191" s="343"/>
      <c r="V191" s="228"/>
      <c r="W191" s="228"/>
      <c r="X191" s="228"/>
      <c r="Y191" s="228"/>
      <c r="Z191" s="343"/>
      <c r="AA191" s="228"/>
      <c r="AB191" s="228"/>
      <c r="AC191" s="228"/>
      <c r="AD191" s="228"/>
      <c r="AE191" s="343"/>
      <c r="AF191" s="228"/>
      <c r="AG191" s="228"/>
      <c r="AH191" s="228"/>
      <c r="AI191" s="228"/>
      <c r="AJ191" s="343"/>
      <c r="AK191" s="228"/>
      <c r="AL191" s="322"/>
      <c r="AM191" s="228"/>
      <c r="AN191" s="228"/>
      <c r="AO191" s="343"/>
      <c r="AP191" s="228"/>
      <c r="AQ191" s="228"/>
      <c r="AR191" s="228"/>
      <c r="AS191" s="228"/>
      <c r="AT191" s="343"/>
      <c r="AU191" s="343"/>
      <c r="AV191" s="343"/>
      <c r="AW191" s="343"/>
      <c r="AX191" s="228"/>
    </row>
    <row r="192" spans="1:50" s="9" customFormat="1" x14ac:dyDescent="0.3">
      <c r="A192" s="45" t="s">
        <v>115</v>
      </c>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306"/>
      <c r="AM192" s="45"/>
      <c r="AN192" s="45"/>
      <c r="AO192" s="45"/>
      <c r="AP192" s="45"/>
      <c r="AQ192" s="45"/>
      <c r="AR192" s="45"/>
      <c r="AS192" s="45"/>
      <c r="AT192" s="45"/>
      <c r="AU192" s="45"/>
      <c r="AV192" s="45"/>
      <c r="AW192" s="45"/>
      <c r="AX192" s="22"/>
    </row>
    <row r="193" spans="1:50" s="5" customFormat="1" x14ac:dyDescent="0.3">
      <c r="A193" s="228" t="s">
        <v>116</v>
      </c>
      <c r="B193" s="376"/>
      <c r="C193" s="343">
        <f t="shared" ref="C193:AL193" si="86">C297</f>
        <v>31.003999999999998</v>
      </c>
      <c r="D193" s="343">
        <f t="shared" si="86"/>
        <v>39.670999999999999</v>
      </c>
      <c r="E193" s="343">
        <f t="shared" si="86"/>
        <v>48.48</v>
      </c>
      <c r="F193" s="343">
        <f t="shared" si="86"/>
        <v>160.77600000000001</v>
      </c>
      <c r="G193" s="228">
        <f t="shared" si="86"/>
        <v>7.0619999999999985</v>
      </c>
      <c r="H193" s="228">
        <f t="shared" si="86"/>
        <v>15.159999999999998</v>
      </c>
      <c r="I193" s="228">
        <f t="shared" si="86"/>
        <v>14.876000000000001</v>
      </c>
      <c r="J193" s="228">
        <f t="shared" si="86"/>
        <v>15.222999999999999</v>
      </c>
      <c r="K193" s="343">
        <f t="shared" si="86"/>
        <v>52.320999999999998</v>
      </c>
      <c r="L193" s="228">
        <f t="shared" si="86"/>
        <v>10.362</v>
      </c>
      <c r="M193" s="228">
        <f t="shared" si="86"/>
        <v>12.429</v>
      </c>
      <c r="N193" s="228">
        <f t="shared" si="86"/>
        <v>21.727999999999998</v>
      </c>
      <c r="O193" s="228">
        <f t="shared" si="86"/>
        <v>31.293000000000003</v>
      </c>
      <c r="P193" s="343">
        <f t="shared" si="86"/>
        <v>75.811999999999998</v>
      </c>
      <c r="Q193" s="228">
        <f t="shared" si="86"/>
        <v>34.744</v>
      </c>
      <c r="R193" s="228">
        <f t="shared" si="86"/>
        <v>40.713999999999999</v>
      </c>
      <c r="S193" s="228">
        <f t="shared" si="86"/>
        <v>43.666000000000004</v>
      </c>
      <c r="T193" s="228">
        <f t="shared" si="86"/>
        <v>43.435000000000009</v>
      </c>
      <c r="U193" s="343">
        <f t="shared" si="86"/>
        <v>162.55900000000003</v>
      </c>
      <c r="V193" s="228">
        <f t="shared" si="86"/>
        <v>33.089000000000006</v>
      </c>
      <c r="W193" s="228">
        <f t="shared" si="86"/>
        <v>47.765000000000001</v>
      </c>
      <c r="X193" s="228">
        <f t="shared" si="86"/>
        <v>55.944999999999993</v>
      </c>
      <c r="Y193" s="228">
        <f t="shared" si="86"/>
        <v>44.839999999999996</v>
      </c>
      <c r="Z193" s="343">
        <f t="shared" si="86"/>
        <v>181.63899999999998</v>
      </c>
      <c r="AA193" s="228">
        <f t="shared" si="86"/>
        <v>25.905000000000001</v>
      </c>
      <c r="AB193" s="228">
        <f t="shared" si="86"/>
        <v>34.701999999999998</v>
      </c>
      <c r="AC193" s="228">
        <f t="shared" si="86"/>
        <v>46.781999999999996</v>
      </c>
      <c r="AD193" s="228">
        <f t="shared" si="86"/>
        <v>52.28</v>
      </c>
      <c r="AE193" s="343">
        <f t="shared" si="86"/>
        <v>159.66900000000001</v>
      </c>
      <c r="AF193" s="228">
        <f t="shared" si="86"/>
        <v>51.685000000000002</v>
      </c>
      <c r="AG193" s="228">
        <f t="shared" si="86"/>
        <v>56.901999999999994</v>
      </c>
      <c r="AH193" s="228">
        <f t="shared" si="86"/>
        <v>81.037999999999997</v>
      </c>
      <c r="AI193" s="228">
        <f t="shared" si="86"/>
        <v>90.344000000000008</v>
      </c>
      <c r="AJ193" s="343">
        <f t="shared" si="86"/>
        <v>279.96899999999999</v>
      </c>
      <c r="AK193" s="228">
        <f t="shared" si="86"/>
        <v>87.481999999999999</v>
      </c>
      <c r="AL193" s="322">
        <f t="shared" si="86"/>
        <v>84.923000000000016</v>
      </c>
      <c r="AM193" s="93"/>
      <c r="AN193" s="93"/>
      <c r="AO193" s="344"/>
      <c r="AP193" s="93"/>
      <c r="AQ193" s="93"/>
      <c r="AR193" s="93"/>
      <c r="AS193" s="93"/>
      <c r="AT193" s="344"/>
      <c r="AU193" s="344"/>
      <c r="AV193" s="344"/>
      <c r="AW193" s="344"/>
      <c r="AX193" s="228"/>
    </row>
    <row r="194" spans="1:50" s="18" customFormat="1" x14ac:dyDescent="0.3">
      <c r="A194" s="39" t="s">
        <v>117</v>
      </c>
      <c r="B194" s="105"/>
      <c r="C194" s="463">
        <f t="shared" ref="C194:AL194" si="87">C193/C190</f>
        <v>0.87628953393064068</v>
      </c>
      <c r="D194" s="463">
        <f t="shared" si="87"/>
        <v>1.0654795477130503</v>
      </c>
      <c r="E194" s="464">
        <f t="shared" si="87"/>
        <v>1.2335877862595419</v>
      </c>
      <c r="F194" s="464">
        <f t="shared" si="87"/>
        <v>3.7220112973423469</v>
      </c>
      <c r="G194" s="465">
        <f t="shared" si="87"/>
        <v>0.15762337343481461</v>
      </c>
      <c r="H194" s="465">
        <f t="shared" si="87"/>
        <v>0.3355392753591111</v>
      </c>
      <c r="I194" s="465">
        <f t="shared" si="87"/>
        <v>0.32701692679709826</v>
      </c>
      <c r="J194" s="465">
        <f t="shared" si="87"/>
        <v>0.33223483195111303</v>
      </c>
      <c r="K194" s="464">
        <f t="shared" si="87"/>
        <v>1.1541227334892132</v>
      </c>
      <c r="L194" s="465">
        <f t="shared" si="87"/>
        <v>0.22435370025548868</v>
      </c>
      <c r="M194" s="465">
        <f t="shared" si="87"/>
        <v>0.26716392244529469</v>
      </c>
      <c r="N194" s="465">
        <f t="shared" si="87"/>
        <v>0.46364936090305781</v>
      </c>
      <c r="O194" s="465">
        <f t="shared" si="87"/>
        <v>0.66274858631425126</v>
      </c>
      <c r="P194" s="464">
        <f t="shared" si="87"/>
        <v>1.6244964429587725</v>
      </c>
      <c r="Q194" s="465">
        <f t="shared" si="87"/>
        <v>0.73163746630727766</v>
      </c>
      <c r="R194" s="465">
        <f t="shared" si="87"/>
        <v>0.85127647563091979</v>
      </c>
      <c r="S194" s="465">
        <f t="shared" si="87"/>
        <v>0.90542642088456693</v>
      </c>
      <c r="T194" s="465">
        <f t="shared" si="87"/>
        <v>0.89512406231967701</v>
      </c>
      <c r="U194" s="464">
        <f t="shared" si="87"/>
        <v>3.3929369038425419</v>
      </c>
      <c r="V194" s="465">
        <f t="shared" si="87"/>
        <v>0.67794214063268332</v>
      </c>
      <c r="W194" s="465">
        <f t="shared" si="87"/>
        <v>0.96965083231831106</v>
      </c>
      <c r="X194" s="465">
        <f t="shared" si="87"/>
        <v>1.1267875125881166</v>
      </c>
      <c r="Y194" s="465">
        <f t="shared" si="87"/>
        <v>0.89424246654567929</v>
      </c>
      <c r="Z194" s="464">
        <f t="shared" si="87"/>
        <v>3.6797333981605278</v>
      </c>
      <c r="AA194" s="465">
        <f t="shared" si="87"/>
        <v>0.51344815967335933</v>
      </c>
      <c r="AB194" s="465">
        <f t="shared" si="87"/>
        <v>0.67876772616136916</v>
      </c>
      <c r="AC194" s="465">
        <f t="shared" si="87"/>
        <v>0.90632931011100992</v>
      </c>
      <c r="AD194" s="465">
        <f t="shared" si="87"/>
        <v>1.0040523151971423</v>
      </c>
      <c r="AE194" s="464">
        <f t="shared" si="87"/>
        <v>3.1218887476781698</v>
      </c>
      <c r="AF194" s="465">
        <f t="shared" si="87"/>
        <v>0.98185790273556239</v>
      </c>
      <c r="AG194" s="465">
        <f t="shared" si="87"/>
        <v>1.0692849760405898</v>
      </c>
      <c r="AH194" s="465">
        <f t="shared" si="87"/>
        <v>1.5086661081634551</v>
      </c>
      <c r="AI194" s="465">
        <f t="shared" si="87"/>
        <v>1.6692965761903882</v>
      </c>
      <c r="AJ194" s="464">
        <f t="shared" si="87"/>
        <v>5.2603009976889687</v>
      </c>
      <c r="AK194" s="465">
        <f t="shared" si="87"/>
        <v>1.6038500320836007</v>
      </c>
      <c r="AL194" s="466">
        <f t="shared" si="87"/>
        <v>1.5440545454545458</v>
      </c>
      <c r="AM194" s="94"/>
      <c r="AN194" s="94"/>
      <c r="AO194" s="53"/>
      <c r="AP194" s="94"/>
      <c r="AQ194" s="94"/>
      <c r="AR194" s="94"/>
      <c r="AS194" s="94"/>
      <c r="AT194" s="53"/>
      <c r="AU194" s="53"/>
      <c r="AV194" s="53"/>
      <c r="AW194" s="53"/>
      <c r="AX194" s="120"/>
    </row>
    <row r="195" spans="1:50" s="80" customFormat="1" x14ac:dyDescent="0.3">
      <c r="A195" s="78" t="str">
        <f>CONCATENATE("Consensus Estimates - ",IFERROR(LEFT(A194,FIND("(",A194)-1),A194))</f>
        <v>Consensus Estimates - Cash Flow Per Diluted Share</v>
      </c>
      <c r="B195" s="106"/>
      <c r="C195" s="296"/>
      <c r="D195" s="296"/>
      <c r="E195" s="296"/>
      <c r="F195" s="296"/>
      <c r="G195" s="79"/>
      <c r="H195" s="79"/>
      <c r="I195" s="79"/>
      <c r="J195" s="79"/>
      <c r="K195" s="296"/>
      <c r="L195" s="79"/>
      <c r="M195" s="79"/>
      <c r="N195" s="79"/>
      <c r="O195" s="79"/>
      <c r="P195" s="296"/>
      <c r="Q195" s="79"/>
      <c r="R195" s="79"/>
      <c r="S195" s="79"/>
      <c r="T195" s="79"/>
      <c r="U195" s="296"/>
      <c r="V195" s="79"/>
      <c r="W195" s="297"/>
      <c r="X195" s="297"/>
      <c r="Y195" s="297"/>
      <c r="Z195" s="52"/>
      <c r="AA195" s="408"/>
      <c r="AB195" s="297"/>
      <c r="AC195" s="297"/>
      <c r="AD195" s="297"/>
      <c r="AE195" s="52"/>
      <c r="AF195" s="408"/>
      <c r="AG195" s="297"/>
      <c r="AH195" s="297"/>
      <c r="AI195" s="297"/>
      <c r="AJ195" s="52"/>
      <c r="AK195" s="408"/>
      <c r="AL195" s="467"/>
      <c r="AM195" s="79"/>
      <c r="AN195" s="79"/>
      <c r="AO195" s="52"/>
      <c r="AP195" s="79"/>
      <c r="AQ195" s="79"/>
      <c r="AR195" s="79"/>
      <c r="AS195" s="79"/>
      <c r="AT195" s="52"/>
      <c r="AU195" s="54"/>
      <c r="AV195" s="54"/>
      <c r="AW195" s="54"/>
      <c r="AX195" s="79"/>
    </row>
    <row r="196" spans="1:50" s="9" customFormat="1" x14ac:dyDescent="0.3">
      <c r="A196" s="468" t="s">
        <v>118</v>
      </c>
      <c r="B196" s="103"/>
      <c r="C196" s="4">
        <f t="shared" ref="C196:AL196" si="88">C311+C313</f>
        <v>-3.6619999999999999</v>
      </c>
      <c r="D196" s="4">
        <f t="shared" si="88"/>
        <v>-11.395</v>
      </c>
      <c r="E196" s="4">
        <f t="shared" si="88"/>
        <v>-24.68</v>
      </c>
      <c r="F196" s="4">
        <f t="shared" si="88"/>
        <v>-30.544</v>
      </c>
      <c r="G196" s="22">
        <f t="shared" si="88"/>
        <v>-20.268000000000001</v>
      </c>
      <c r="H196" s="22">
        <f t="shared" si="88"/>
        <v>-5.0080000000000009</v>
      </c>
      <c r="I196" s="22">
        <f t="shared" si="88"/>
        <v>-5.2139999999999995</v>
      </c>
      <c r="J196" s="22">
        <f t="shared" si="88"/>
        <v>-7.8610000000000007</v>
      </c>
      <c r="K196" s="4">
        <f t="shared" si="88"/>
        <v>-38.350999999999999</v>
      </c>
      <c r="L196" s="22">
        <f t="shared" si="88"/>
        <v>-5.8179999999999996</v>
      </c>
      <c r="M196" s="22">
        <f t="shared" si="88"/>
        <v>-4.447000000000001</v>
      </c>
      <c r="N196" s="22">
        <f t="shared" si="88"/>
        <v>-10.966000000000001</v>
      </c>
      <c r="O196" s="22">
        <f t="shared" si="88"/>
        <v>-8.6929999999999978</v>
      </c>
      <c r="P196" s="4">
        <f t="shared" si="88"/>
        <v>-29.923999999999999</v>
      </c>
      <c r="Q196" s="22">
        <f t="shared" si="88"/>
        <v>-9.5210000000000008</v>
      </c>
      <c r="R196" s="22">
        <f t="shared" si="88"/>
        <v>-10.891999999999999</v>
      </c>
      <c r="S196" s="22">
        <f t="shared" si="88"/>
        <v>-16.769000000000002</v>
      </c>
      <c r="T196" s="22">
        <f t="shared" si="88"/>
        <v>-11.628999999999998</v>
      </c>
      <c r="U196" s="4">
        <f t="shared" si="88"/>
        <v>-48.811</v>
      </c>
      <c r="V196" s="22">
        <f t="shared" si="88"/>
        <v>-8.2829999999999995</v>
      </c>
      <c r="W196" s="22">
        <f t="shared" si="88"/>
        <v>-7.4720000000000013</v>
      </c>
      <c r="X196" s="22">
        <f t="shared" si="88"/>
        <v>-23.052999999999994</v>
      </c>
      <c r="Y196" s="22">
        <f t="shared" si="88"/>
        <v>-12.130000000000003</v>
      </c>
      <c r="Z196" s="4">
        <f t="shared" si="88"/>
        <v>-50.938000000000002</v>
      </c>
      <c r="AA196" s="22">
        <f t="shared" si="88"/>
        <v>-17.026</v>
      </c>
      <c r="AB196" s="22">
        <f t="shared" si="88"/>
        <v>-11.741000000000001</v>
      </c>
      <c r="AC196" s="22">
        <f t="shared" si="88"/>
        <v>-8.3120000000000012</v>
      </c>
      <c r="AD196" s="22">
        <f t="shared" si="88"/>
        <v>-7.1399999999999952</v>
      </c>
      <c r="AE196" s="4">
        <f t="shared" si="88"/>
        <v>-44.218999999999994</v>
      </c>
      <c r="AF196" s="22">
        <f t="shared" si="88"/>
        <v>-13.541</v>
      </c>
      <c r="AG196" s="22">
        <f t="shared" si="88"/>
        <v>-12.92</v>
      </c>
      <c r="AH196" s="22">
        <f t="shared" si="88"/>
        <v>-9.043000000000001</v>
      </c>
      <c r="AI196" s="22">
        <f t="shared" si="88"/>
        <v>-7.3690000000000007</v>
      </c>
      <c r="AJ196" s="4">
        <f t="shared" si="88"/>
        <v>-42.873000000000005</v>
      </c>
      <c r="AK196" s="22">
        <f t="shared" si="88"/>
        <v>-9.3640000000000008</v>
      </c>
      <c r="AL196" s="308">
        <f t="shared" si="88"/>
        <v>-8.6940000000000008</v>
      </c>
      <c r="AM196" s="72"/>
      <c r="AN196" s="72"/>
      <c r="AO196" s="117"/>
      <c r="AP196" s="72"/>
      <c r="AQ196" s="72"/>
      <c r="AR196" s="72"/>
      <c r="AS196" s="72"/>
      <c r="AT196" s="117"/>
      <c r="AU196" s="8"/>
      <c r="AV196" s="8"/>
      <c r="AW196" s="8"/>
      <c r="AX196" s="22"/>
    </row>
    <row r="197" spans="1:50" s="116" customFormat="1" x14ac:dyDescent="0.3">
      <c r="A197" s="111" t="str">
        <f>CONCATENATE("Consensus Estimates - ",IFERROR(LEFT(A196,FIND("(",A196)-1),A196))</f>
        <v>Consensus Estimates - Capex</v>
      </c>
      <c r="B197" s="112"/>
      <c r="C197" s="389"/>
      <c r="D197" s="389"/>
      <c r="E197" s="389"/>
      <c r="F197" s="389"/>
      <c r="G197" s="113"/>
      <c r="H197" s="113"/>
      <c r="I197" s="113"/>
      <c r="J197" s="113"/>
      <c r="K197" s="389"/>
      <c r="L197" s="113"/>
      <c r="M197" s="113"/>
      <c r="N197" s="113"/>
      <c r="O197" s="113"/>
      <c r="P197" s="389"/>
      <c r="Q197" s="113"/>
      <c r="R197" s="113"/>
      <c r="S197" s="113"/>
      <c r="T197" s="113"/>
      <c r="U197" s="389"/>
      <c r="V197" s="113"/>
      <c r="W197" s="114"/>
      <c r="X197" s="114"/>
      <c r="Y197" s="114"/>
      <c r="Z197" s="115"/>
      <c r="AA197" s="24"/>
      <c r="AB197" s="114"/>
      <c r="AC197" s="114"/>
      <c r="AD197" s="114"/>
      <c r="AE197" s="115"/>
      <c r="AF197" s="24"/>
      <c r="AG197" s="114"/>
      <c r="AH197" s="114"/>
      <c r="AI197" s="114"/>
      <c r="AJ197" s="115"/>
      <c r="AK197" s="24"/>
      <c r="AL197" s="390"/>
      <c r="AM197" s="113"/>
      <c r="AN197" s="113"/>
      <c r="AO197" s="115"/>
      <c r="AP197" s="113"/>
      <c r="AQ197" s="113"/>
      <c r="AR197" s="113"/>
      <c r="AS197" s="113"/>
      <c r="AT197" s="115"/>
      <c r="AU197" s="469"/>
      <c r="AV197" s="469"/>
      <c r="AW197" s="469"/>
      <c r="AX197" s="113"/>
    </row>
    <row r="198" spans="1:50" s="5" customFormat="1" x14ac:dyDescent="0.3">
      <c r="A198" s="228" t="s">
        <v>119</v>
      </c>
      <c r="B198" s="376"/>
      <c r="C198" s="343">
        <f t="shared" ref="C198:AL198" si="89">C316</f>
        <v>0</v>
      </c>
      <c r="D198" s="343">
        <f t="shared" si="89"/>
        <v>0</v>
      </c>
      <c r="E198" s="343">
        <f t="shared" si="89"/>
        <v>-203.70400000000001</v>
      </c>
      <c r="F198" s="343">
        <f t="shared" si="89"/>
        <v>0</v>
      </c>
      <c r="G198" s="228">
        <f t="shared" si="89"/>
        <v>0</v>
      </c>
      <c r="H198" s="228">
        <f t="shared" si="89"/>
        <v>0</v>
      </c>
      <c r="I198" s="228">
        <f t="shared" si="89"/>
        <v>-123.51900000000001</v>
      </c>
      <c r="J198" s="228">
        <f t="shared" si="89"/>
        <v>0</v>
      </c>
      <c r="K198" s="343">
        <f t="shared" si="89"/>
        <v>-123.51900000000001</v>
      </c>
      <c r="L198" s="228">
        <f t="shared" si="89"/>
        <v>0</v>
      </c>
      <c r="M198" s="228">
        <f t="shared" si="89"/>
        <v>0</v>
      </c>
      <c r="N198" s="228">
        <f t="shared" si="89"/>
        <v>0</v>
      </c>
      <c r="O198" s="228">
        <f t="shared" si="89"/>
        <v>-2.2530000000000001</v>
      </c>
      <c r="P198" s="343">
        <f t="shared" si="89"/>
        <v>-2.2530000000000001</v>
      </c>
      <c r="Q198" s="228">
        <f t="shared" si="89"/>
        <v>0</v>
      </c>
      <c r="R198" s="228">
        <f t="shared" si="89"/>
        <v>0</v>
      </c>
      <c r="S198" s="228">
        <f t="shared" si="89"/>
        <v>0</v>
      </c>
      <c r="T198" s="228">
        <f t="shared" si="89"/>
        <v>0</v>
      </c>
      <c r="U198" s="343">
        <f t="shared" si="89"/>
        <v>0</v>
      </c>
      <c r="V198" s="228">
        <f t="shared" si="89"/>
        <v>-681.18899999999996</v>
      </c>
      <c r="W198" s="228">
        <f t="shared" si="89"/>
        <v>-17.312000000000012</v>
      </c>
      <c r="X198" s="228">
        <f t="shared" si="89"/>
        <v>0</v>
      </c>
      <c r="Y198" s="228">
        <f t="shared" si="89"/>
        <v>4.8089999999999691</v>
      </c>
      <c r="Z198" s="343">
        <f t="shared" si="89"/>
        <v>-693.69200000000001</v>
      </c>
      <c r="AA198" s="228">
        <f t="shared" si="89"/>
        <v>0</v>
      </c>
      <c r="AB198" s="228">
        <f t="shared" si="89"/>
        <v>0</v>
      </c>
      <c r="AC198" s="228">
        <f t="shared" si="89"/>
        <v>-0.872</v>
      </c>
      <c r="AD198" s="228">
        <f t="shared" si="89"/>
        <v>0</v>
      </c>
      <c r="AE198" s="343">
        <f t="shared" si="89"/>
        <v>-0.872</v>
      </c>
      <c r="AF198" s="228">
        <f t="shared" si="89"/>
        <v>0</v>
      </c>
      <c r="AG198" s="228">
        <f t="shared" si="89"/>
        <v>-7.1289999999999996</v>
      </c>
      <c r="AH198" s="228">
        <f t="shared" si="89"/>
        <v>-0.25</v>
      </c>
      <c r="AI198" s="228">
        <f t="shared" si="89"/>
        <v>0</v>
      </c>
      <c r="AJ198" s="343">
        <f t="shared" si="89"/>
        <v>-7.3789999999999996</v>
      </c>
      <c r="AK198" s="228">
        <f t="shared" si="89"/>
        <v>0</v>
      </c>
      <c r="AL198" s="322">
        <f t="shared" si="89"/>
        <v>0</v>
      </c>
      <c r="AM198" s="391"/>
      <c r="AN198" s="391"/>
      <c r="AO198" s="344"/>
      <c r="AP198" s="391"/>
      <c r="AQ198" s="391"/>
      <c r="AR198" s="391"/>
      <c r="AS198" s="391"/>
      <c r="AT198" s="344"/>
      <c r="AU198" s="392"/>
      <c r="AV198" s="392"/>
      <c r="AW198" s="392"/>
      <c r="AX198" s="228"/>
    </row>
    <row r="199" spans="1:50" s="5" customFormat="1" x14ac:dyDescent="0.3">
      <c r="A199" s="228" t="s">
        <v>120</v>
      </c>
      <c r="B199" s="376"/>
      <c r="C199" s="343">
        <f t="shared" ref="C199:AL199" si="90">C315+C309</f>
        <v>0</v>
      </c>
      <c r="D199" s="343">
        <f t="shared" si="90"/>
        <v>0</v>
      </c>
      <c r="E199" s="343">
        <f t="shared" si="90"/>
        <v>0</v>
      </c>
      <c r="F199" s="343">
        <f t="shared" si="90"/>
        <v>0</v>
      </c>
      <c r="G199" s="228">
        <f t="shared" si="90"/>
        <v>0</v>
      </c>
      <c r="H199" s="228">
        <f t="shared" si="90"/>
        <v>0</v>
      </c>
      <c r="I199" s="228">
        <f t="shared" si="90"/>
        <v>0</v>
      </c>
      <c r="J199" s="228">
        <f t="shared" si="90"/>
        <v>0</v>
      </c>
      <c r="K199" s="343">
        <f t="shared" si="90"/>
        <v>0</v>
      </c>
      <c r="L199" s="228">
        <f t="shared" si="90"/>
        <v>0</v>
      </c>
      <c r="M199" s="228">
        <f t="shared" si="90"/>
        <v>0</v>
      </c>
      <c r="N199" s="228">
        <f t="shared" si="90"/>
        <v>0</v>
      </c>
      <c r="O199" s="228">
        <f t="shared" si="90"/>
        <v>0</v>
      </c>
      <c r="P199" s="343">
        <f t="shared" si="90"/>
        <v>0</v>
      </c>
      <c r="Q199" s="228">
        <f t="shared" si="90"/>
        <v>0</v>
      </c>
      <c r="R199" s="228">
        <f t="shared" si="90"/>
        <v>0</v>
      </c>
      <c r="S199" s="228">
        <f t="shared" si="90"/>
        <v>0</v>
      </c>
      <c r="T199" s="228">
        <f t="shared" si="90"/>
        <v>0</v>
      </c>
      <c r="U199" s="343">
        <f t="shared" si="90"/>
        <v>0</v>
      </c>
      <c r="V199" s="228">
        <f t="shared" si="90"/>
        <v>0</v>
      </c>
      <c r="W199" s="228">
        <f t="shared" si="90"/>
        <v>0</v>
      </c>
      <c r="X199" s="228">
        <f t="shared" si="90"/>
        <v>0</v>
      </c>
      <c r="Y199" s="228">
        <f t="shared" si="90"/>
        <v>0</v>
      </c>
      <c r="Z199" s="343">
        <f t="shared" si="90"/>
        <v>0</v>
      </c>
      <c r="AA199" s="228">
        <f t="shared" si="90"/>
        <v>0</v>
      </c>
      <c r="AB199" s="228">
        <f t="shared" si="90"/>
        <v>0</v>
      </c>
      <c r="AC199" s="228">
        <f t="shared" si="90"/>
        <v>0</v>
      </c>
      <c r="AD199" s="228">
        <f t="shared" si="90"/>
        <v>0</v>
      </c>
      <c r="AE199" s="343">
        <f t="shared" si="90"/>
        <v>0</v>
      </c>
      <c r="AF199" s="228">
        <f t="shared" si="90"/>
        <v>0</v>
      </c>
      <c r="AG199" s="228">
        <f t="shared" si="90"/>
        <v>3.2389999999999999</v>
      </c>
      <c r="AH199" s="228">
        <f t="shared" si="90"/>
        <v>0</v>
      </c>
      <c r="AI199" s="228">
        <f t="shared" si="90"/>
        <v>0</v>
      </c>
      <c r="AJ199" s="343">
        <f t="shared" si="90"/>
        <v>3.2389999999999999</v>
      </c>
      <c r="AK199" s="228">
        <f t="shared" si="90"/>
        <v>16.887</v>
      </c>
      <c r="AL199" s="322">
        <f t="shared" si="90"/>
        <v>0</v>
      </c>
      <c r="AM199" s="391"/>
      <c r="AN199" s="391"/>
      <c r="AO199" s="343"/>
      <c r="AP199" s="391"/>
      <c r="AQ199" s="391"/>
      <c r="AR199" s="391"/>
      <c r="AS199" s="391"/>
      <c r="AT199" s="343"/>
      <c r="AU199" s="392"/>
      <c r="AV199" s="392"/>
      <c r="AW199" s="392"/>
      <c r="AX199" s="228"/>
    </row>
    <row r="200" spans="1:50" s="5" customFormat="1" x14ac:dyDescent="0.3">
      <c r="A200" s="93" t="s">
        <v>121</v>
      </c>
      <c r="B200" s="428"/>
      <c r="C200" s="344">
        <f t="shared" ref="C200:AL200" si="91">C326</f>
        <v>0</v>
      </c>
      <c r="D200" s="344">
        <f t="shared" si="91"/>
        <v>0</v>
      </c>
      <c r="E200" s="344">
        <f t="shared" si="91"/>
        <v>0</v>
      </c>
      <c r="F200" s="344">
        <f t="shared" si="91"/>
        <v>0</v>
      </c>
      <c r="G200" s="93">
        <f t="shared" si="91"/>
        <v>0</v>
      </c>
      <c r="H200" s="93">
        <f t="shared" si="91"/>
        <v>0</v>
      </c>
      <c r="I200" s="93">
        <f t="shared" si="91"/>
        <v>0</v>
      </c>
      <c r="J200" s="93">
        <f t="shared" si="91"/>
        <v>0</v>
      </c>
      <c r="K200" s="344">
        <f t="shared" si="91"/>
        <v>0</v>
      </c>
      <c r="L200" s="93">
        <f t="shared" si="91"/>
        <v>0</v>
      </c>
      <c r="M200" s="93">
        <f t="shared" si="91"/>
        <v>0</v>
      </c>
      <c r="N200" s="93">
        <f t="shared" si="91"/>
        <v>0</v>
      </c>
      <c r="O200" s="93">
        <f t="shared" si="91"/>
        <v>0</v>
      </c>
      <c r="P200" s="344">
        <f t="shared" si="91"/>
        <v>0</v>
      </c>
      <c r="Q200" s="93">
        <f t="shared" si="91"/>
        <v>0</v>
      </c>
      <c r="R200" s="93">
        <f t="shared" si="91"/>
        <v>0</v>
      </c>
      <c r="S200" s="93">
        <f t="shared" si="91"/>
        <v>0</v>
      </c>
      <c r="T200" s="93">
        <f t="shared" si="91"/>
        <v>0</v>
      </c>
      <c r="U200" s="344">
        <f t="shared" si="91"/>
        <v>0</v>
      </c>
      <c r="V200" s="93">
        <f t="shared" si="91"/>
        <v>0</v>
      </c>
      <c r="W200" s="93">
        <f t="shared" si="91"/>
        <v>0</v>
      </c>
      <c r="X200" s="93">
        <f t="shared" si="91"/>
        <v>0</v>
      </c>
      <c r="Y200" s="93">
        <f t="shared" si="91"/>
        <v>0</v>
      </c>
      <c r="Z200" s="344">
        <f t="shared" si="91"/>
        <v>0</v>
      </c>
      <c r="AA200" s="93">
        <f t="shared" si="91"/>
        <v>0</v>
      </c>
      <c r="AB200" s="93">
        <f t="shared" si="91"/>
        <v>0</v>
      </c>
      <c r="AC200" s="93">
        <f t="shared" si="91"/>
        <v>0</v>
      </c>
      <c r="AD200" s="93">
        <f t="shared" si="91"/>
        <v>0</v>
      </c>
      <c r="AE200" s="344">
        <f t="shared" si="91"/>
        <v>0</v>
      </c>
      <c r="AF200" s="93">
        <f t="shared" si="91"/>
        <v>0</v>
      </c>
      <c r="AG200" s="93">
        <f t="shared" si="91"/>
        <v>0</v>
      </c>
      <c r="AH200" s="93">
        <f t="shared" si="91"/>
        <v>0</v>
      </c>
      <c r="AI200" s="93">
        <f t="shared" si="91"/>
        <v>0</v>
      </c>
      <c r="AJ200" s="344">
        <f t="shared" si="91"/>
        <v>0</v>
      </c>
      <c r="AK200" s="93">
        <f t="shared" si="91"/>
        <v>0</v>
      </c>
      <c r="AL200" s="321">
        <f t="shared" si="91"/>
        <v>0</v>
      </c>
      <c r="AM200" s="93"/>
      <c r="AN200" s="93"/>
      <c r="AO200" s="344"/>
      <c r="AP200" s="93"/>
      <c r="AQ200" s="93"/>
      <c r="AR200" s="93"/>
      <c r="AS200" s="93"/>
      <c r="AT200" s="344"/>
      <c r="AU200" s="344"/>
      <c r="AV200" s="344"/>
      <c r="AW200" s="344"/>
      <c r="AX200" s="228"/>
    </row>
    <row r="201" spans="1:50" s="475" customFormat="1" x14ac:dyDescent="0.3">
      <c r="A201" s="470" t="s">
        <v>122</v>
      </c>
      <c r="B201" s="471"/>
      <c r="C201" s="472">
        <v>0</v>
      </c>
      <c r="D201" s="472">
        <v>0</v>
      </c>
      <c r="E201" s="472">
        <v>0</v>
      </c>
      <c r="F201" s="472">
        <v>0</v>
      </c>
      <c r="G201" s="473">
        <v>0</v>
      </c>
      <c r="H201" s="473">
        <v>0</v>
      </c>
      <c r="I201" s="473">
        <v>0</v>
      </c>
      <c r="J201" s="473">
        <v>0</v>
      </c>
      <c r="K201" s="472">
        <v>0</v>
      </c>
      <c r="L201" s="473">
        <v>0</v>
      </c>
      <c r="M201" s="473">
        <v>0</v>
      </c>
      <c r="N201" s="473">
        <v>0</v>
      </c>
      <c r="O201" s="473">
        <v>0</v>
      </c>
      <c r="P201" s="472">
        <v>0</v>
      </c>
      <c r="Q201" s="473">
        <v>0</v>
      </c>
      <c r="R201" s="473">
        <v>0</v>
      </c>
      <c r="S201" s="473">
        <v>0</v>
      </c>
      <c r="T201" s="473">
        <v>0</v>
      </c>
      <c r="U201" s="472">
        <v>0</v>
      </c>
      <c r="V201" s="473">
        <v>0</v>
      </c>
      <c r="W201" s="473">
        <v>0</v>
      </c>
      <c r="X201" s="473">
        <v>0</v>
      </c>
      <c r="Y201" s="473">
        <v>0</v>
      </c>
      <c r="Z201" s="472">
        <v>0</v>
      </c>
      <c r="AA201" s="473">
        <v>0</v>
      </c>
      <c r="AB201" s="473">
        <v>0</v>
      </c>
      <c r="AC201" s="473">
        <v>0</v>
      </c>
      <c r="AD201" s="473">
        <v>0</v>
      </c>
      <c r="AE201" s="472">
        <v>0</v>
      </c>
      <c r="AF201" s="473">
        <v>0</v>
      </c>
      <c r="AG201" s="473">
        <v>0</v>
      </c>
      <c r="AH201" s="473">
        <v>0</v>
      </c>
      <c r="AI201" s="473">
        <v>0</v>
      </c>
      <c r="AJ201" s="472">
        <v>0</v>
      </c>
      <c r="AK201" s="473">
        <v>0</v>
      </c>
      <c r="AL201" s="474">
        <v>0</v>
      </c>
      <c r="AM201" s="108"/>
      <c r="AN201" s="108"/>
      <c r="AO201" s="55"/>
      <c r="AP201" s="108"/>
      <c r="AQ201" s="108"/>
      <c r="AR201" s="108"/>
      <c r="AS201" s="108"/>
      <c r="AT201" s="55"/>
      <c r="AU201" s="14"/>
      <c r="AV201" s="14"/>
      <c r="AW201" s="14"/>
      <c r="AX201" s="473"/>
    </row>
    <row r="202" spans="1:50" s="17" customFormat="1" x14ac:dyDescent="0.3">
      <c r="A202" s="37"/>
      <c r="B202" s="104"/>
      <c r="C202" s="12"/>
      <c r="D202" s="12"/>
      <c r="E202" s="12"/>
      <c r="F202" s="12"/>
      <c r="G202" s="24"/>
      <c r="H202" s="24"/>
      <c r="I202" s="24"/>
      <c r="J202" s="24"/>
      <c r="K202" s="12"/>
      <c r="L202" s="24"/>
      <c r="M202" s="24"/>
      <c r="N202" s="24"/>
      <c r="O202" s="24"/>
      <c r="P202" s="12"/>
      <c r="Q202" s="24"/>
      <c r="R202" s="24"/>
      <c r="S202" s="24"/>
      <c r="T202" s="24"/>
      <c r="U202" s="12"/>
      <c r="V202" s="24"/>
      <c r="W202" s="24"/>
      <c r="X202" s="24"/>
      <c r="Y202" s="24"/>
      <c r="Z202" s="12"/>
      <c r="AA202" s="24"/>
      <c r="AB202" s="24"/>
      <c r="AC202" s="24"/>
      <c r="AD202" s="24"/>
      <c r="AE202" s="12"/>
      <c r="AF202" s="24"/>
      <c r="AG202" s="24"/>
      <c r="AH202" s="24"/>
      <c r="AI202" s="24"/>
      <c r="AJ202" s="12"/>
      <c r="AK202" s="24"/>
      <c r="AL202" s="307"/>
      <c r="AM202" s="24"/>
      <c r="AN202" s="24"/>
      <c r="AO202" s="12"/>
      <c r="AP202" s="24"/>
      <c r="AQ202" s="24"/>
      <c r="AR202" s="24"/>
      <c r="AS202" s="24"/>
      <c r="AT202" s="12"/>
      <c r="AU202" s="12"/>
      <c r="AV202" s="12"/>
      <c r="AW202" s="12"/>
      <c r="AX202" s="24"/>
    </row>
    <row r="203" spans="1:50" s="5" customFormat="1" x14ac:dyDescent="0.3">
      <c r="A203" s="228" t="s">
        <v>123</v>
      </c>
      <c r="B203" s="376"/>
      <c r="C203" s="343">
        <f t="shared" ref="C203:AL203" si="92">C193+C196</f>
        <v>27.341999999999999</v>
      </c>
      <c r="D203" s="343">
        <f t="shared" si="92"/>
        <v>28.276</v>
      </c>
      <c r="E203" s="343">
        <f t="shared" si="92"/>
        <v>23.799999999999997</v>
      </c>
      <c r="F203" s="343">
        <f t="shared" si="92"/>
        <v>130.232</v>
      </c>
      <c r="G203" s="228">
        <f t="shared" si="92"/>
        <v>-13.206000000000003</v>
      </c>
      <c r="H203" s="228">
        <f t="shared" si="92"/>
        <v>10.151999999999997</v>
      </c>
      <c r="I203" s="228">
        <f t="shared" si="92"/>
        <v>9.6620000000000026</v>
      </c>
      <c r="J203" s="228">
        <f t="shared" si="92"/>
        <v>7.3619999999999983</v>
      </c>
      <c r="K203" s="343">
        <f t="shared" si="92"/>
        <v>13.969999999999999</v>
      </c>
      <c r="L203" s="228">
        <f t="shared" si="92"/>
        <v>4.5440000000000005</v>
      </c>
      <c r="M203" s="228">
        <f t="shared" si="92"/>
        <v>7.9819999999999993</v>
      </c>
      <c r="N203" s="228">
        <f t="shared" si="92"/>
        <v>10.761999999999997</v>
      </c>
      <c r="O203" s="228">
        <f t="shared" si="92"/>
        <v>22.600000000000005</v>
      </c>
      <c r="P203" s="343">
        <f t="shared" si="92"/>
        <v>45.887999999999998</v>
      </c>
      <c r="Q203" s="228">
        <f t="shared" si="92"/>
        <v>25.222999999999999</v>
      </c>
      <c r="R203" s="228">
        <f t="shared" si="92"/>
        <v>29.821999999999999</v>
      </c>
      <c r="S203" s="228">
        <f t="shared" si="92"/>
        <v>26.897000000000002</v>
      </c>
      <c r="T203" s="228">
        <f t="shared" si="92"/>
        <v>31.806000000000012</v>
      </c>
      <c r="U203" s="343">
        <f t="shared" si="92"/>
        <v>113.74800000000002</v>
      </c>
      <c r="V203" s="228">
        <f t="shared" si="92"/>
        <v>24.806000000000004</v>
      </c>
      <c r="W203" s="228">
        <f t="shared" si="92"/>
        <v>40.292999999999999</v>
      </c>
      <c r="X203" s="228">
        <f t="shared" si="92"/>
        <v>32.891999999999996</v>
      </c>
      <c r="Y203" s="228">
        <f t="shared" si="92"/>
        <v>32.709999999999994</v>
      </c>
      <c r="Z203" s="343">
        <f t="shared" si="92"/>
        <v>130.70099999999996</v>
      </c>
      <c r="AA203" s="228">
        <f t="shared" si="92"/>
        <v>8.8790000000000013</v>
      </c>
      <c r="AB203" s="228">
        <f t="shared" si="92"/>
        <v>22.960999999999999</v>
      </c>
      <c r="AC203" s="228">
        <f t="shared" si="92"/>
        <v>38.47</v>
      </c>
      <c r="AD203" s="228">
        <f t="shared" si="92"/>
        <v>45.140000000000008</v>
      </c>
      <c r="AE203" s="343">
        <f t="shared" si="92"/>
        <v>115.45000000000002</v>
      </c>
      <c r="AF203" s="228">
        <f t="shared" si="92"/>
        <v>38.144000000000005</v>
      </c>
      <c r="AG203" s="228">
        <f t="shared" si="92"/>
        <v>43.981999999999992</v>
      </c>
      <c r="AH203" s="228">
        <f t="shared" si="92"/>
        <v>71.99499999999999</v>
      </c>
      <c r="AI203" s="228">
        <f t="shared" si="92"/>
        <v>82.975000000000009</v>
      </c>
      <c r="AJ203" s="343">
        <f t="shared" si="92"/>
        <v>237.096</v>
      </c>
      <c r="AK203" s="228">
        <f t="shared" si="92"/>
        <v>78.117999999999995</v>
      </c>
      <c r="AL203" s="322">
        <f t="shared" si="92"/>
        <v>76.229000000000013</v>
      </c>
      <c r="AM203" s="93"/>
      <c r="AN203" s="93"/>
      <c r="AO203" s="344"/>
      <c r="AP203" s="93"/>
      <c r="AQ203" s="93"/>
      <c r="AR203" s="93"/>
      <c r="AS203" s="93"/>
      <c r="AT203" s="344"/>
      <c r="AU203" s="344"/>
      <c r="AV203" s="344"/>
      <c r="AW203" s="344"/>
      <c r="AX203" s="228"/>
    </row>
    <row r="204" spans="1:50" s="5" customFormat="1" x14ac:dyDescent="0.3">
      <c r="A204" s="228" t="s">
        <v>124</v>
      </c>
      <c r="B204" s="376"/>
      <c r="C204" s="343">
        <f t="shared" ref="C204:AL204" si="93">C203+C200</f>
        <v>27.341999999999999</v>
      </c>
      <c r="D204" s="343">
        <f t="shared" si="93"/>
        <v>28.276</v>
      </c>
      <c r="E204" s="343">
        <f t="shared" si="93"/>
        <v>23.799999999999997</v>
      </c>
      <c r="F204" s="343">
        <f t="shared" si="93"/>
        <v>130.232</v>
      </c>
      <c r="G204" s="228">
        <f t="shared" si="93"/>
        <v>-13.206000000000003</v>
      </c>
      <c r="H204" s="228">
        <f t="shared" si="93"/>
        <v>10.151999999999997</v>
      </c>
      <c r="I204" s="228">
        <f t="shared" si="93"/>
        <v>9.6620000000000026</v>
      </c>
      <c r="J204" s="228">
        <f t="shared" si="93"/>
        <v>7.3619999999999983</v>
      </c>
      <c r="K204" s="343">
        <f t="shared" si="93"/>
        <v>13.969999999999999</v>
      </c>
      <c r="L204" s="228">
        <f t="shared" si="93"/>
        <v>4.5440000000000005</v>
      </c>
      <c r="M204" s="228">
        <f t="shared" si="93"/>
        <v>7.9819999999999993</v>
      </c>
      <c r="N204" s="228">
        <f t="shared" si="93"/>
        <v>10.761999999999997</v>
      </c>
      <c r="O204" s="228">
        <f t="shared" si="93"/>
        <v>22.600000000000005</v>
      </c>
      <c r="P204" s="343">
        <f t="shared" si="93"/>
        <v>45.887999999999998</v>
      </c>
      <c r="Q204" s="228">
        <f t="shared" si="93"/>
        <v>25.222999999999999</v>
      </c>
      <c r="R204" s="228">
        <f t="shared" si="93"/>
        <v>29.821999999999999</v>
      </c>
      <c r="S204" s="228">
        <f t="shared" si="93"/>
        <v>26.897000000000002</v>
      </c>
      <c r="T204" s="228">
        <f t="shared" si="93"/>
        <v>31.806000000000012</v>
      </c>
      <c r="U204" s="343">
        <f t="shared" si="93"/>
        <v>113.74800000000002</v>
      </c>
      <c r="V204" s="228">
        <f t="shared" si="93"/>
        <v>24.806000000000004</v>
      </c>
      <c r="W204" s="228">
        <f t="shared" si="93"/>
        <v>40.292999999999999</v>
      </c>
      <c r="X204" s="228">
        <f t="shared" si="93"/>
        <v>32.891999999999996</v>
      </c>
      <c r="Y204" s="228">
        <f t="shared" si="93"/>
        <v>32.709999999999994</v>
      </c>
      <c r="Z204" s="343">
        <f t="shared" si="93"/>
        <v>130.70099999999996</v>
      </c>
      <c r="AA204" s="228">
        <f t="shared" si="93"/>
        <v>8.8790000000000013</v>
      </c>
      <c r="AB204" s="228">
        <f t="shared" si="93"/>
        <v>22.960999999999999</v>
      </c>
      <c r="AC204" s="228">
        <f t="shared" si="93"/>
        <v>38.47</v>
      </c>
      <c r="AD204" s="228">
        <f t="shared" si="93"/>
        <v>45.140000000000008</v>
      </c>
      <c r="AE204" s="343">
        <f t="shared" si="93"/>
        <v>115.45000000000002</v>
      </c>
      <c r="AF204" s="228">
        <f t="shared" si="93"/>
        <v>38.144000000000005</v>
      </c>
      <c r="AG204" s="228">
        <f t="shared" si="93"/>
        <v>43.981999999999992</v>
      </c>
      <c r="AH204" s="228">
        <f t="shared" si="93"/>
        <v>71.99499999999999</v>
      </c>
      <c r="AI204" s="228">
        <f t="shared" si="93"/>
        <v>82.975000000000009</v>
      </c>
      <c r="AJ204" s="343">
        <f t="shared" si="93"/>
        <v>237.096</v>
      </c>
      <c r="AK204" s="228">
        <f t="shared" si="93"/>
        <v>78.117999999999995</v>
      </c>
      <c r="AL204" s="322">
        <f t="shared" si="93"/>
        <v>76.229000000000013</v>
      </c>
      <c r="AM204" s="93"/>
      <c r="AN204" s="93"/>
      <c r="AO204" s="344"/>
      <c r="AP204" s="93"/>
      <c r="AQ204" s="93"/>
      <c r="AR204" s="93"/>
      <c r="AS204" s="93"/>
      <c r="AT204" s="344"/>
      <c r="AU204" s="344"/>
      <c r="AV204" s="344"/>
      <c r="AW204" s="344"/>
      <c r="AX204" s="228"/>
    </row>
    <row r="205" spans="1:50" s="5" customFormat="1" x14ac:dyDescent="0.3">
      <c r="A205" s="228" t="s">
        <v>125</v>
      </c>
      <c r="B205" s="376"/>
      <c r="C205" s="343">
        <f t="shared" ref="C205:AL205" si="94">C204+C198+C199</f>
        <v>27.341999999999999</v>
      </c>
      <c r="D205" s="343">
        <f t="shared" si="94"/>
        <v>28.276</v>
      </c>
      <c r="E205" s="343">
        <f t="shared" si="94"/>
        <v>-179.904</v>
      </c>
      <c r="F205" s="343">
        <f t="shared" si="94"/>
        <v>130.232</v>
      </c>
      <c r="G205" s="228">
        <f t="shared" si="94"/>
        <v>-13.206000000000003</v>
      </c>
      <c r="H205" s="228">
        <f t="shared" si="94"/>
        <v>10.151999999999997</v>
      </c>
      <c r="I205" s="228">
        <f t="shared" si="94"/>
        <v>-113.857</v>
      </c>
      <c r="J205" s="228">
        <f t="shared" si="94"/>
        <v>7.3619999999999983</v>
      </c>
      <c r="K205" s="343">
        <f t="shared" si="94"/>
        <v>-109.54900000000001</v>
      </c>
      <c r="L205" s="228">
        <f t="shared" si="94"/>
        <v>4.5440000000000005</v>
      </c>
      <c r="M205" s="228">
        <f t="shared" si="94"/>
        <v>7.9819999999999993</v>
      </c>
      <c r="N205" s="228">
        <f t="shared" si="94"/>
        <v>10.761999999999997</v>
      </c>
      <c r="O205" s="228">
        <f t="shared" si="94"/>
        <v>20.347000000000005</v>
      </c>
      <c r="P205" s="343">
        <f t="shared" si="94"/>
        <v>43.634999999999998</v>
      </c>
      <c r="Q205" s="228">
        <f t="shared" si="94"/>
        <v>25.222999999999999</v>
      </c>
      <c r="R205" s="228">
        <f t="shared" si="94"/>
        <v>29.821999999999999</v>
      </c>
      <c r="S205" s="228">
        <f t="shared" si="94"/>
        <v>26.897000000000002</v>
      </c>
      <c r="T205" s="228">
        <f t="shared" si="94"/>
        <v>31.806000000000012</v>
      </c>
      <c r="U205" s="343">
        <f t="shared" si="94"/>
        <v>113.74800000000002</v>
      </c>
      <c r="V205" s="228">
        <f t="shared" si="94"/>
        <v>-656.38299999999992</v>
      </c>
      <c r="W205" s="228">
        <f t="shared" si="94"/>
        <v>22.980999999999987</v>
      </c>
      <c r="X205" s="228">
        <f t="shared" si="94"/>
        <v>32.891999999999996</v>
      </c>
      <c r="Y205" s="228">
        <f t="shared" si="94"/>
        <v>37.518999999999963</v>
      </c>
      <c r="Z205" s="343">
        <f t="shared" si="94"/>
        <v>-562.99099999999999</v>
      </c>
      <c r="AA205" s="228">
        <f t="shared" si="94"/>
        <v>8.8790000000000013</v>
      </c>
      <c r="AB205" s="228">
        <f t="shared" si="94"/>
        <v>22.960999999999999</v>
      </c>
      <c r="AC205" s="228">
        <f t="shared" si="94"/>
        <v>37.597999999999999</v>
      </c>
      <c r="AD205" s="228">
        <f t="shared" si="94"/>
        <v>45.140000000000008</v>
      </c>
      <c r="AE205" s="343">
        <f t="shared" si="94"/>
        <v>114.57800000000002</v>
      </c>
      <c r="AF205" s="228">
        <f t="shared" si="94"/>
        <v>38.144000000000005</v>
      </c>
      <c r="AG205" s="228">
        <f t="shared" si="94"/>
        <v>40.091999999999992</v>
      </c>
      <c r="AH205" s="228">
        <f t="shared" si="94"/>
        <v>71.74499999999999</v>
      </c>
      <c r="AI205" s="228">
        <f t="shared" si="94"/>
        <v>82.975000000000009</v>
      </c>
      <c r="AJ205" s="343">
        <f t="shared" si="94"/>
        <v>232.95600000000002</v>
      </c>
      <c r="AK205" s="228">
        <f t="shared" si="94"/>
        <v>95.004999999999995</v>
      </c>
      <c r="AL205" s="322">
        <f t="shared" si="94"/>
        <v>76.229000000000013</v>
      </c>
      <c r="AM205" s="93"/>
      <c r="AN205" s="93"/>
      <c r="AO205" s="344"/>
      <c r="AP205" s="93"/>
      <c r="AQ205" s="93"/>
      <c r="AR205" s="93"/>
      <c r="AS205" s="93"/>
      <c r="AT205" s="344"/>
      <c r="AU205" s="344"/>
      <c r="AV205" s="344"/>
      <c r="AW205" s="344"/>
      <c r="AX205" s="228"/>
    </row>
    <row r="206" spans="1:50" s="5" customFormat="1" x14ac:dyDescent="0.3">
      <c r="A206" s="228"/>
      <c r="B206" s="376"/>
      <c r="C206" s="343"/>
      <c r="D206" s="343"/>
      <c r="E206" s="343"/>
      <c r="F206" s="343"/>
      <c r="G206" s="228"/>
      <c r="H206" s="228"/>
      <c r="I206" s="228"/>
      <c r="J206" s="228"/>
      <c r="K206" s="343"/>
      <c r="L206" s="228"/>
      <c r="M206" s="228"/>
      <c r="N206" s="228"/>
      <c r="O206" s="228"/>
      <c r="P206" s="343"/>
      <c r="Q206" s="228"/>
      <c r="R206" s="228"/>
      <c r="S206" s="228"/>
      <c r="T206" s="228"/>
      <c r="U206" s="343"/>
      <c r="V206" s="228"/>
      <c r="W206" s="228"/>
      <c r="X206" s="228"/>
      <c r="Y206" s="228"/>
      <c r="Z206" s="343"/>
      <c r="AA206" s="228"/>
      <c r="AB206" s="228"/>
      <c r="AC206" s="228"/>
      <c r="AD206" s="228"/>
      <c r="AE206" s="343"/>
      <c r="AF206" s="228"/>
      <c r="AG206" s="228"/>
      <c r="AH206" s="228"/>
      <c r="AI206" s="228"/>
      <c r="AJ206" s="343"/>
      <c r="AK206" s="228"/>
      <c r="AL206" s="322"/>
      <c r="AM206" s="228"/>
      <c r="AN206" s="228"/>
      <c r="AO206" s="343"/>
      <c r="AP206" s="228"/>
      <c r="AQ206" s="228"/>
      <c r="AR206" s="228"/>
      <c r="AS206" s="228"/>
      <c r="AT206" s="343"/>
      <c r="AU206" s="343"/>
      <c r="AV206" s="343"/>
      <c r="AW206" s="343"/>
      <c r="AX206" s="228"/>
    </row>
    <row r="207" spans="1:50" s="9" customFormat="1" x14ac:dyDescent="0.3">
      <c r="A207" s="45" t="s">
        <v>126</v>
      </c>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306"/>
      <c r="AM207" s="45"/>
      <c r="AN207" s="45"/>
      <c r="AO207" s="45"/>
      <c r="AP207" s="45"/>
      <c r="AQ207" s="45"/>
      <c r="AR207" s="45"/>
      <c r="AS207" s="45"/>
      <c r="AT207" s="45"/>
      <c r="AU207" s="45"/>
      <c r="AV207" s="45"/>
      <c r="AW207" s="45"/>
      <c r="AX207" s="22"/>
    </row>
    <row r="208" spans="1:50" s="5" customFormat="1" x14ac:dyDescent="0.3">
      <c r="A208" s="228" t="s">
        <v>127</v>
      </c>
      <c r="B208" s="376"/>
      <c r="C208" s="343">
        <f t="shared" ref="C208:AL208" si="95">C351+C352+C353+C367</f>
        <v>213.15700000000001</v>
      </c>
      <c r="D208" s="343">
        <f t="shared" si="95"/>
        <v>253.30600000000001</v>
      </c>
      <c r="E208" s="343">
        <f t="shared" si="95"/>
        <v>238.083</v>
      </c>
      <c r="F208" s="343">
        <f t="shared" si="95"/>
        <v>422.87600000000003</v>
      </c>
      <c r="G208" s="228">
        <f t="shared" si="95"/>
        <v>399.51</v>
      </c>
      <c r="H208" s="228">
        <f t="shared" si="95"/>
        <v>407.89800000000002</v>
      </c>
      <c r="I208" s="228">
        <f t="shared" si="95"/>
        <v>299.077</v>
      </c>
      <c r="J208" s="228">
        <f t="shared" si="95"/>
        <v>326.69200000000001</v>
      </c>
      <c r="K208" s="343">
        <f t="shared" si="95"/>
        <v>326.69200000000001</v>
      </c>
      <c r="L208" s="228">
        <f t="shared" si="95"/>
        <v>336.48</v>
      </c>
      <c r="M208" s="228">
        <f t="shared" si="95"/>
        <v>340.07299999999998</v>
      </c>
      <c r="N208" s="228">
        <f t="shared" si="95"/>
        <v>354.25099999999998</v>
      </c>
      <c r="O208" s="228">
        <f t="shared" si="95"/>
        <v>388.96800000000002</v>
      </c>
      <c r="P208" s="343">
        <f t="shared" si="95"/>
        <v>388.96800000000002</v>
      </c>
      <c r="Q208" s="228">
        <f t="shared" si="95"/>
        <v>432.72800000000001</v>
      </c>
      <c r="R208" s="228">
        <f t="shared" si="95"/>
        <v>467.15100000000001</v>
      </c>
      <c r="S208" s="228">
        <f t="shared" si="95"/>
        <v>485.60199999999998</v>
      </c>
      <c r="T208" s="228">
        <f t="shared" si="95"/>
        <v>510.51300000000003</v>
      </c>
      <c r="U208" s="343">
        <f t="shared" si="95"/>
        <v>510.51300000000003</v>
      </c>
      <c r="V208" s="228">
        <f t="shared" si="95"/>
        <v>261.83799999999997</v>
      </c>
      <c r="W208" s="228">
        <f t="shared" si="95"/>
        <v>276.45499999999998</v>
      </c>
      <c r="X208" s="228">
        <f t="shared" si="95"/>
        <v>292.38900000000001</v>
      </c>
      <c r="Y208" s="93">
        <f t="shared" si="95"/>
        <v>328.44100000000003</v>
      </c>
      <c r="Z208" s="344">
        <f t="shared" si="95"/>
        <v>328.44100000000003</v>
      </c>
      <c r="AA208" s="228">
        <f t="shared" si="95"/>
        <v>325.19000000000005</v>
      </c>
      <c r="AB208" s="228">
        <f t="shared" si="95"/>
        <v>310.267</v>
      </c>
      <c r="AC208" s="228">
        <f t="shared" si="95"/>
        <v>346.15899999999999</v>
      </c>
      <c r="AD208" s="93">
        <f t="shared" si="95"/>
        <v>281.779</v>
      </c>
      <c r="AE208" s="344">
        <f t="shared" si="95"/>
        <v>281.779</v>
      </c>
      <c r="AF208" s="228">
        <f t="shared" si="95"/>
        <v>294.30399999999997</v>
      </c>
      <c r="AG208" s="228">
        <f t="shared" si="95"/>
        <v>290.57799999999997</v>
      </c>
      <c r="AH208" s="228">
        <f t="shared" si="95"/>
        <v>358.14499999999998</v>
      </c>
      <c r="AI208" s="93">
        <f t="shared" si="95"/>
        <v>446.37400000000002</v>
      </c>
      <c r="AJ208" s="344">
        <f t="shared" si="95"/>
        <v>446.37400000000002</v>
      </c>
      <c r="AK208" s="228">
        <f t="shared" si="95"/>
        <v>560.50300000000004</v>
      </c>
      <c r="AL208" s="322">
        <f t="shared" si="95"/>
        <v>610.58800000000008</v>
      </c>
      <c r="AM208" s="93"/>
      <c r="AN208" s="93"/>
      <c r="AO208" s="344"/>
      <c r="AP208" s="93"/>
      <c r="AQ208" s="93"/>
      <c r="AR208" s="93"/>
      <c r="AS208" s="93"/>
      <c r="AT208" s="344"/>
      <c r="AU208" s="344"/>
      <c r="AV208" s="344"/>
      <c r="AW208" s="344"/>
      <c r="AX208" s="228"/>
    </row>
    <row r="209" spans="1:50" s="5" customFormat="1" x14ac:dyDescent="0.3">
      <c r="A209" s="228" t="s">
        <v>128</v>
      </c>
      <c r="B209" s="376"/>
      <c r="C209" s="343">
        <f t="shared" ref="C209:AL209" si="96">C377+C383+C385+C375+C376+C384</f>
        <v>1.002</v>
      </c>
      <c r="D209" s="343">
        <f t="shared" si="96"/>
        <v>0.47399999999999998</v>
      </c>
      <c r="E209" s="343">
        <f t="shared" si="96"/>
        <v>0.57800000000000007</v>
      </c>
      <c r="F209" s="343">
        <f t="shared" si="96"/>
        <v>4.0880000000000001</v>
      </c>
      <c r="G209" s="228">
        <f t="shared" si="96"/>
        <v>3.8089999999999997</v>
      </c>
      <c r="H209" s="228">
        <f t="shared" si="96"/>
        <v>3.3929999999999998</v>
      </c>
      <c r="I209" s="228">
        <f t="shared" si="96"/>
        <v>3.1280000000000001</v>
      </c>
      <c r="J209" s="228">
        <f t="shared" si="96"/>
        <v>2.9770000000000003</v>
      </c>
      <c r="K209" s="343">
        <f t="shared" si="96"/>
        <v>2.9770000000000003</v>
      </c>
      <c r="L209" s="228">
        <f t="shared" si="96"/>
        <v>2.5609999999999999</v>
      </c>
      <c r="M209" s="228">
        <f t="shared" si="96"/>
        <v>2.2839999999999998</v>
      </c>
      <c r="N209" s="228">
        <f t="shared" si="96"/>
        <v>1.869</v>
      </c>
      <c r="O209" s="228">
        <f t="shared" si="96"/>
        <v>1.5960000000000001</v>
      </c>
      <c r="P209" s="343">
        <f t="shared" si="96"/>
        <v>1.5960000000000001</v>
      </c>
      <c r="Q209" s="228">
        <f t="shared" si="96"/>
        <v>1.3150000000000002</v>
      </c>
      <c r="R209" s="228">
        <f t="shared" si="96"/>
        <v>1.04</v>
      </c>
      <c r="S209" s="228">
        <f t="shared" si="96"/>
        <v>0.76500000000000001</v>
      </c>
      <c r="T209" s="228">
        <f t="shared" si="96"/>
        <v>0.49099999999999999</v>
      </c>
      <c r="U209" s="343">
        <f t="shared" si="96"/>
        <v>0.49099999999999999</v>
      </c>
      <c r="V209" s="228">
        <f t="shared" si="96"/>
        <v>275.048</v>
      </c>
      <c r="W209" s="228">
        <f t="shared" si="96"/>
        <v>268.375</v>
      </c>
      <c r="X209" s="228">
        <f t="shared" si="96"/>
        <v>248.91499999999999</v>
      </c>
      <c r="Y209" s="93">
        <f t="shared" si="96"/>
        <v>242.41399999999999</v>
      </c>
      <c r="Z209" s="344">
        <f t="shared" si="96"/>
        <v>242.41399999999999</v>
      </c>
      <c r="AA209" s="228">
        <f t="shared" si="96"/>
        <v>222.898</v>
      </c>
      <c r="AB209" s="228">
        <f t="shared" si="96"/>
        <v>213.34299999999999</v>
      </c>
      <c r="AC209" s="228">
        <f t="shared" si="96"/>
        <v>197.78200000000001</v>
      </c>
      <c r="AD209" s="93">
        <f t="shared" si="96"/>
        <v>72.760999999999996</v>
      </c>
      <c r="AE209" s="344">
        <f t="shared" si="96"/>
        <v>72.760999999999996</v>
      </c>
      <c r="AF209" s="228">
        <f t="shared" si="96"/>
        <v>34.332000000000001</v>
      </c>
      <c r="AG209" s="228">
        <f t="shared" si="96"/>
        <v>0</v>
      </c>
      <c r="AH209" s="228">
        <f t="shared" si="96"/>
        <v>0</v>
      </c>
      <c r="AI209" s="93">
        <f t="shared" si="96"/>
        <v>0</v>
      </c>
      <c r="AJ209" s="344">
        <f t="shared" si="96"/>
        <v>0</v>
      </c>
      <c r="AK209" s="228">
        <f t="shared" si="96"/>
        <v>71.39</v>
      </c>
      <c r="AL209" s="322">
        <f t="shared" si="96"/>
        <v>0</v>
      </c>
      <c r="AM209" s="93"/>
      <c r="AN209" s="93"/>
      <c r="AO209" s="344"/>
      <c r="AP209" s="93"/>
      <c r="AQ209" s="93"/>
      <c r="AR209" s="93"/>
      <c r="AS209" s="93"/>
      <c r="AT209" s="344"/>
      <c r="AU209" s="344"/>
      <c r="AV209" s="344"/>
      <c r="AW209" s="344"/>
      <c r="AX209" s="228"/>
    </row>
    <row r="210" spans="1:50" s="5" customFormat="1" x14ac:dyDescent="0.3">
      <c r="A210" s="228" t="s">
        <v>129</v>
      </c>
      <c r="B210" s="376"/>
      <c r="C210" s="343">
        <f t="shared" ref="C210:AL210" si="97">C209-C208</f>
        <v>-212.155</v>
      </c>
      <c r="D210" s="343">
        <f t="shared" si="97"/>
        <v>-252.83200000000002</v>
      </c>
      <c r="E210" s="343">
        <f t="shared" si="97"/>
        <v>-237.505</v>
      </c>
      <c r="F210" s="343">
        <f t="shared" si="97"/>
        <v>-418.78800000000001</v>
      </c>
      <c r="G210" s="228">
        <f t="shared" si="97"/>
        <v>-395.70099999999996</v>
      </c>
      <c r="H210" s="228">
        <f t="shared" si="97"/>
        <v>-404.50500000000005</v>
      </c>
      <c r="I210" s="228">
        <f t="shared" si="97"/>
        <v>-295.94900000000001</v>
      </c>
      <c r="J210" s="228">
        <f t="shared" si="97"/>
        <v>-323.71500000000003</v>
      </c>
      <c r="K210" s="343">
        <f t="shared" si="97"/>
        <v>-323.71500000000003</v>
      </c>
      <c r="L210" s="228">
        <f t="shared" si="97"/>
        <v>-333.91900000000004</v>
      </c>
      <c r="M210" s="228">
        <f t="shared" si="97"/>
        <v>-337.78899999999999</v>
      </c>
      <c r="N210" s="228">
        <f t="shared" si="97"/>
        <v>-352.38199999999995</v>
      </c>
      <c r="O210" s="228">
        <f t="shared" si="97"/>
        <v>-387.37200000000001</v>
      </c>
      <c r="P210" s="343">
        <f t="shared" si="97"/>
        <v>-387.37200000000001</v>
      </c>
      <c r="Q210" s="228">
        <f t="shared" si="97"/>
        <v>-431.41300000000001</v>
      </c>
      <c r="R210" s="228">
        <f t="shared" si="97"/>
        <v>-466.11099999999999</v>
      </c>
      <c r="S210" s="228">
        <f t="shared" si="97"/>
        <v>-484.83699999999999</v>
      </c>
      <c r="T210" s="228">
        <f t="shared" si="97"/>
        <v>-510.02200000000005</v>
      </c>
      <c r="U210" s="343">
        <f t="shared" si="97"/>
        <v>-510.02200000000005</v>
      </c>
      <c r="V210" s="228">
        <f t="shared" si="97"/>
        <v>13.210000000000036</v>
      </c>
      <c r="W210" s="228">
        <f t="shared" si="97"/>
        <v>-8.0799999999999841</v>
      </c>
      <c r="X210" s="228">
        <f t="shared" si="97"/>
        <v>-43.474000000000018</v>
      </c>
      <c r="Y210" s="93">
        <f t="shared" si="97"/>
        <v>-86.027000000000044</v>
      </c>
      <c r="Z210" s="344">
        <f t="shared" si="97"/>
        <v>-86.027000000000044</v>
      </c>
      <c r="AA210" s="228">
        <f t="shared" si="97"/>
        <v>-102.29200000000006</v>
      </c>
      <c r="AB210" s="228">
        <f t="shared" si="97"/>
        <v>-96.924000000000007</v>
      </c>
      <c r="AC210" s="228">
        <f t="shared" si="97"/>
        <v>-148.37699999999998</v>
      </c>
      <c r="AD210" s="93">
        <f t="shared" si="97"/>
        <v>-209.018</v>
      </c>
      <c r="AE210" s="344">
        <f t="shared" si="97"/>
        <v>-209.018</v>
      </c>
      <c r="AF210" s="228">
        <f t="shared" si="97"/>
        <v>-259.97199999999998</v>
      </c>
      <c r="AG210" s="228">
        <f t="shared" si="97"/>
        <v>-290.57799999999997</v>
      </c>
      <c r="AH210" s="228">
        <f t="shared" si="97"/>
        <v>-358.14499999999998</v>
      </c>
      <c r="AI210" s="93">
        <f t="shared" si="97"/>
        <v>-446.37400000000002</v>
      </c>
      <c r="AJ210" s="344">
        <f t="shared" si="97"/>
        <v>-446.37400000000002</v>
      </c>
      <c r="AK210" s="228">
        <f t="shared" si="97"/>
        <v>-489.11300000000006</v>
      </c>
      <c r="AL210" s="322">
        <f t="shared" si="97"/>
        <v>-610.58800000000008</v>
      </c>
      <c r="AM210" s="93"/>
      <c r="AN210" s="93"/>
      <c r="AO210" s="344"/>
      <c r="AP210" s="93"/>
      <c r="AQ210" s="93"/>
      <c r="AR210" s="93"/>
      <c r="AS210" s="93"/>
      <c r="AT210" s="344"/>
      <c r="AU210" s="344"/>
      <c r="AV210" s="344"/>
      <c r="AW210" s="344"/>
      <c r="AX210" s="228"/>
    </row>
    <row r="211" spans="1:50" s="19" customFormat="1" x14ac:dyDescent="0.3">
      <c r="A211" s="40" t="s">
        <v>130</v>
      </c>
      <c r="B211" s="107"/>
      <c r="C211" s="10" t="str">
        <f>IF(C210&lt;0,"n/a",C210/C164)</f>
        <v>n/a</v>
      </c>
      <c r="D211" s="10" t="str">
        <f>IF(D210&lt;0,"n/a",D210/D164)</f>
        <v>n/a</v>
      </c>
      <c r="E211" s="10" t="str">
        <f>IF(E210&lt;0,"n/a",E210/E164)</f>
        <v>n/a</v>
      </c>
      <c r="F211" s="10" t="str">
        <f>IF(F210&lt;0,"n/a",F210/F164)</f>
        <v>n/a</v>
      </c>
      <c r="G211" s="476"/>
      <c r="H211" s="476"/>
      <c r="I211" s="476"/>
      <c r="J211" s="476"/>
      <c r="K211" s="10" t="str">
        <f>IF(K210&lt;0,"n/a",K210/K164)</f>
        <v>n/a</v>
      </c>
      <c r="L211" s="476"/>
      <c r="M211" s="476"/>
      <c r="N211" s="476"/>
      <c r="O211" s="476"/>
      <c r="P211" s="10" t="str">
        <f>IF(P210&lt;0,"n/a",P210/P164)</f>
        <v>n/a</v>
      </c>
      <c r="Q211" s="476"/>
      <c r="R211" s="476"/>
      <c r="S211" s="476"/>
      <c r="T211" s="476"/>
      <c r="U211" s="10" t="str">
        <f>IF(U210&lt;0,"n/a",U210/U164)</f>
        <v>n/a</v>
      </c>
      <c r="V211" s="476"/>
      <c r="W211" s="30"/>
      <c r="X211" s="30"/>
      <c r="Y211" s="30"/>
      <c r="Z211" s="10" t="str">
        <f>IF(Z210&lt;0,"n/a",Z210/Z164)</f>
        <v>n/a</v>
      </c>
      <c r="AA211" s="30"/>
      <c r="AB211" s="30"/>
      <c r="AC211" s="30"/>
      <c r="AD211" s="30"/>
      <c r="AE211" s="10" t="str">
        <f>IF(AE210&lt;0,"n/a",AE210/AE164)</f>
        <v>n/a</v>
      </c>
      <c r="AF211" s="30"/>
      <c r="AG211" s="30"/>
      <c r="AH211" s="30"/>
      <c r="AI211" s="30"/>
      <c r="AJ211" s="10" t="str">
        <f>IF(AJ210&lt;0,"n/a",AJ210/AJ164)</f>
        <v>n/a</v>
      </c>
      <c r="AK211" s="30"/>
      <c r="AL211" s="309"/>
      <c r="AM211" s="30"/>
      <c r="AN211" s="30"/>
      <c r="AO211" s="10"/>
      <c r="AP211" s="30"/>
      <c r="AQ211" s="30"/>
      <c r="AR211" s="30"/>
      <c r="AS211" s="30"/>
      <c r="AT211" s="10"/>
      <c r="AU211" s="10"/>
      <c r="AV211" s="10"/>
      <c r="AW211" s="10"/>
      <c r="AX211" s="30"/>
    </row>
    <row r="212" spans="1:50" s="19" customFormat="1" x14ac:dyDescent="0.3">
      <c r="A212" s="40" t="s">
        <v>131</v>
      </c>
      <c r="B212" s="107"/>
      <c r="C212" s="10" t="str">
        <f>IF(C210&lt;0,"n/a",C210/C193)</f>
        <v>n/a</v>
      </c>
      <c r="D212" s="10" t="str">
        <f>IF(D210&lt;0,"n/a",D210/D193)</f>
        <v>n/a</v>
      </c>
      <c r="E212" s="10" t="str">
        <f>IF(E210&lt;0,"n/a",E210/E193)</f>
        <v>n/a</v>
      </c>
      <c r="F212" s="10" t="str">
        <f>IF(F210&lt;0,"n/a",F210/F193)</f>
        <v>n/a</v>
      </c>
      <c r="G212" s="476"/>
      <c r="H212" s="476"/>
      <c r="I212" s="476"/>
      <c r="J212" s="476"/>
      <c r="K212" s="10" t="str">
        <f>IF(K210&lt;0,"n/a",K210/K193)</f>
        <v>n/a</v>
      </c>
      <c r="L212" s="476"/>
      <c r="M212" s="476"/>
      <c r="N212" s="476"/>
      <c r="O212" s="476"/>
      <c r="P212" s="10" t="str">
        <f>IF(P210&lt;0,"n/a",P210/P193)</f>
        <v>n/a</v>
      </c>
      <c r="Q212" s="476"/>
      <c r="R212" s="476"/>
      <c r="S212" s="476"/>
      <c r="T212" s="476"/>
      <c r="U212" s="10" t="str">
        <f>IF(U210&lt;0,"n/a",U210/U193)</f>
        <v>n/a</v>
      </c>
      <c r="V212" s="476"/>
      <c r="W212" s="30"/>
      <c r="X212" s="30"/>
      <c r="Y212" s="30"/>
      <c r="Z212" s="56" t="str">
        <f>IF(Z210&lt;0,"n/a",Z210/Z193)</f>
        <v>n/a</v>
      </c>
      <c r="AA212" s="30"/>
      <c r="AB212" s="30"/>
      <c r="AC212" s="30"/>
      <c r="AD212" s="30"/>
      <c r="AE212" s="56" t="str">
        <f>IF(AE210&lt;0,"n/a",AE210/AE193)</f>
        <v>n/a</v>
      </c>
      <c r="AF212" s="30"/>
      <c r="AG212" s="30"/>
      <c r="AH212" s="30"/>
      <c r="AI212" s="30"/>
      <c r="AJ212" s="56" t="str">
        <f>IF(AJ210&lt;0,"n/a",AJ210/AJ193)</f>
        <v>n/a</v>
      </c>
      <c r="AK212" s="30"/>
      <c r="AL212" s="309"/>
      <c r="AM212" s="30"/>
      <c r="AN212" s="30"/>
      <c r="AO212" s="56"/>
      <c r="AP212" s="30"/>
      <c r="AQ212" s="30"/>
      <c r="AR212" s="30"/>
      <c r="AS212" s="30"/>
      <c r="AT212" s="56"/>
      <c r="AU212" s="56"/>
      <c r="AV212" s="56"/>
      <c r="AW212" s="56"/>
      <c r="AX212" s="30"/>
    </row>
    <row r="213" spans="1:50" x14ac:dyDescent="0.3">
      <c r="A213" s="477"/>
      <c r="B213" s="477"/>
      <c r="C213" s="478"/>
      <c r="D213" s="478"/>
      <c r="E213" s="478"/>
      <c r="F213" s="478"/>
      <c r="G213" s="155"/>
      <c r="H213" s="155"/>
      <c r="I213" s="155"/>
      <c r="J213" s="155"/>
      <c r="K213" s="478"/>
      <c r="L213" s="155"/>
      <c r="M213" s="155"/>
      <c r="N213" s="155"/>
      <c r="O213" s="155"/>
      <c r="P213" s="478"/>
      <c r="Q213" s="155"/>
      <c r="R213" s="155"/>
      <c r="S213" s="155"/>
      <c r="T213" s="155"/>
      <c r="U213" s="478"/>
      <c r="V213" s="155"/>
      <c r="W213" s="155"/>
      <c r="X213" s="155"/>
      <c r="Y213" s="155"/>
      <c r="Z213" s="478"/>
      <c r="AA213" s="155"/>
      <c r="AB213" s="155"/>
      <c r="AC213" s="155"/>
      <c r="AD213" s="155"/>
      <c r="AE213" s="478"/>
      <c r="AF213" s="155"/>
      <c r="AG213" s="155"/>
      <c r="AH213" s="155"/>
      <c r="AI213" s="155"/>
      <c r="AJ213" s="478"/>
      <c r="AK213" s="155"/>
      <c r="AL213" s="323"/>
      <c r="AM213" s="155"/>
      <c r="AN213" s="155"/>
      <c r="AO213" s="478"/>
      <c r="AP213" s="155"/>
      <c r="AQ213" s="155"/>
      <c r="AR213" s="155"/>
      <c r="AS213" s="155"/>
      <c r="AT213" s="478"/>
      <c r="AU213" s="478"/>
      <c r="AV213" s="478"/>
      <c r="AW213" s="478"/>
      <c r="AX213" s="155"/>
    </row>
    <row r="214" spans="1:50" s="9" customFormat="1" x14ac:dyDescent="0.3">
      <c r="A214" s="45" t="s">
        <v>132</v>
      </c>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306"/>
      <c r="AM214" s="45"/>
      <c r="AN214" s="45"/>
      <c r="AO214" s="45"/>
      <c r="AP214" s="45"/>
      <c r="AQ214" s="45"/>
      <c r="AR214" s="45"/>
      <c r="AS214" s="45"/>
      <c r="AT214" s="45"/>
      <c r="AU214" s="45"/>
      <c r="AV214" s="45"/>
      <c r="AW214" s="45"/>
      <c r="AX214" s="22"/>
    </row>
    <row r="215" spans="1:50" s="278" customFormat="1" x14ac:dyDescent="0.3">
      <c r="A215" s="98" t="s">
        <v>133</v>
      </c>
      <c r="B215" s="274" t="s">
        <v>134</v>
      </c>
      <c r="C215" s="479" t="str">
        <f>IFERROR(INDEX(MO_VA_StockPrice_TradingCurrency,1,COLUMN())/INDEX(MO_VA_FX_Average,1,COLUMN()),"N/A")</f>
        <v>N/A</v>
      </c>
      <c r="D215" s="479" t="str">
        <f>IFERROR(INDEX(MO_VA_StockPrice_TradingCurrency,1,COLUMN())/INDEX(MO_VA_FX_Average,1,COLUMN()),"N/A")</f>
        <v>N/A</v>
      </c>
      <c r="E215" s="479" t="str">
        <f>IFERROR(INDEX(MO_VA_StockPrice_TradingCurrency,1,COLUMN())/INDEX(MO_VA_FX_Average,1,COLUMN()),"N/A")</f>
        <v>N/A</v>
      </c>
      <c r="F215" s="479" t="str">
        <f>IFERROR(INDEX(MO_VA_StockPrice_TradingCurrency,1,COLUMN())/INDEX(MO_VA_FX_Average,1,COLUMN()),"N/A")</f>
        <v>N/A</v>
      </c>
      <c r="G215" s="275"/>
      <c r="H215" s="275"/>
      <c r="I215" s="275"/>
      <c r="J215" s="275"/>
      <c r="K215" s="479" t="str">
        <f>IFERROR(INDEX(MO_VA_StockPrice_TradingCurrency,1,COLUMN())/INDEX(MO_VA_FX_Average,1,COLUMN()),"N/A")</f>
        <v>N/A</v>
      </c>
      <c r="L215" s="275"/>
      <c r="M215" s="275"/>
      <c r="N215" s="275"/>
      <c r="O215" s="275"/>
      <c r="P215" s="479" t="str">
        <f>IFERROR(INDEX(MO_VA_StockPrice_TradingCurrency,1,COLUMN())/INDEX(MO_VA_FX_Average,1,COLUMN()),"N/A")</f>
        <v>N/A</v>
      </c>
      <c r="Q215" s="275"/>
      <c r="R215" s="275"/>
      <c r="S215" s="275"/>
      <c r="T215" s="275"/>
      <c r="U215" s="479" t="str">
        <f>IFERROR(INDEX(MO_VA_StockPrice_TradingCurrency,1,COLUMN())/INDEX(MO_VA_FX_Average,1,COLUMN()),"N/A")</f>
        <v>N/A</v>
      </c>
      <c r="V215" s="275"/>
      <c r="W215" s="275"/>
      <c r="X215" s="275"/>
      <c r="Y215" s="275"/>
      <c r="Z215" s="276" t="str">
        <f>IFERROR(INDEX(MO_VA_StockPrice_TradingCurrency,1,COLUMN())/INDEX(MO_VA_FX_Average,1,COLUMN()),"N/A")</f>
        <v>N/A</v>
      </c>
      <c r="AA215" s="275"/>
      <c r="AB215" s="275"/>
      <c r="AC215" s="275"/>
      <c r="AD215" s="275"/>
      <c r="AE215" s="276" t="str">
        <f>IFERROR(INDEX(MO_VA_StockPrice_TradingCurrency,1,COLUMN())/INDEX(MO_VA_FX_Average,1,COLUMN()),"N/A")</f>
        <v>N/A</v>
      </c>
      <c r="AF215" s="275"/>
      <c r="AG215" s="275"/>
      <c r="AH215" s="275"/>
      <c r="AI215" s="275"/>
      <c r="AJ215" s="276" t="str">
        <f>IFERROR(INDEX(MO_VA_StockPrice_TradingCurrency,1,COLUMN())/INDEX(MO_VA_FX_Average,1,COLUMN()),"N/A")</f>
        <v>N/A</v>
      </c>
      <c r="AK215" s="275"/>
      <c r="AL215" s="310"/>
      <c r="AM215" s="275"/>
      <c r="AN215" s="275"/>
      <c r="AO215" s="276"/>
      <c r="AP215" s="275"/>
      <c r="AQ215" s="275"/>
      <c r="AR215" s="275"/>
      <c r="AS215" s="275"/>
      <c r="AT215" s="276"/>
      <c r="AU215" s="276"/>
      <c r="AV215" s="276"/>
      <c r="AW215" s="276"/>
      <c r="AX215" s="277"/>
    </row>
    <row r="216" spans="1:50" s="5" customFormat="1" x14ac:dyDescent="0.3">
      <c r="A216" s="228" t="str">
        <f>IFERROR("Market Cap - "&amp;MO.ValuationToggle,"N/A")</f>
        <v>Market Cap - Avg</v>
      </c>
      <c r="B216" s="376"/>
      <c r="C216" s="343" t="str">
        <f>IFERROR(C190*C215,"N/A")</f>
        <v>N/A</v>
      </c>
      <c r="D216" s="343" t="str">
        <f>IFERROR(D190*D215,"N/A")</f>
        <v>N/A</v>
      </c>
      <c r="E216" s="343" t="str">
        <f>IFERROR(E190*E215,"N/A")</f>
        <v>N/A</v>
      </c>
      <c r="F216" s="343" t="str">
        <f>IFERROR(F190*F215,"N/A")</f>
        <v>N/A</v>
      </c>
      <c r="G216" s="228"/>
      <c r="H216" s="228"/>
      <c r="I216" s="228"/>
      <c r="J216" s="228"/>
      <c r="K216" s="343" t="str">
        <f>IFERROR(K190*K215,"N/A")</f>
        <v>N/A</v>
      </c>
      <c r="L216" s="228"/>
      <c r="M216" s="228"/>
      <c r="N216" s="228"/>
      <c r="O216" s="228"/>
      <c r="P216" s="343" t="str">
        <f>IFERROR(P190*P215,"N/A")</f>
        <v>N/A</v>
      </c>
      <c r="Q216" s="228"/>
      <c r="R216" s="228"/>
      <c r="S216" s="228"/>
      <c r="T216" s="228"/>
      <c r="U216" s="343" t="str">
        <f>IFERROR(U190*U215,"N/A")</f>
        <v>N/A</v>
      </c>
      <c r="V216" s="228"/>
      <c r="W216" s="228"/>
      <c r="X216" s="228"/>
      <c r="Y216" s="228"/>
      <c r="Z216" s="344" t="str">
        <f>IFERROR(Z190*Z215,"N/A")</f>
        <v>N/A</v>
      </c>
      <c r="AA216" s="228"/>
      <c r="AB216" s="228"/>
      <c r="AC216" s="228"/>
      <c r="AD216" s="228"/>
      <c r="AE216" s="344" t="str">
        <f>IFERROR(AE190*AE215,"N/A")</f>
        <v>N/A</v>
      </c>
      <c r="AF216" s="228"/>
      <c r="AG216" s="228"/>
      <c r="AH216" s="228"/>
      <c r="AI216" s="228"/>
      <c r="AJ216" s="344" t="str">
        <f>IFERROR(AJ190*AJ215,"N/A")</f>
        <v>N/A</v>
      </c>
      <c r="AK216" s="228"/>
      <c r="AL216" s="322"/>
      <c r="AM216" s="228"/>
      <c r="AN216" s="228"/>
      <c r="AO216" s="344"/>
      <c r="AP216" s="228"/>
      <c r="AQ216" s="228"/>
      <c r="AR216" s="228"/>
      <c r="AS216" s="228"/>
      <c r="AT216" s="344"/>
      <c r="AU216" s="344"/>
      <c r="AV216" s="344"/>
      <c r="AW216" s="344"/>
      <c r="AX216" s="228"/>
    </row>
    <row r="217" spans="1:50" s="5" customFormat="1" x14ac:dyDescent="0.3">
      <c r="A217" s="228" t="str">
        <f>IFERROR("Enterprise Value - "&amp;MO.ValuationToggle,"N/A")</f>
        <v>Enterprise Value - Avg</v>
      </c>
      <c r="B217" s="376"/>
      <c r="C217" s="343" t="str">
        <f>IFERROR(C210+C216+C232+C233+C234,"N/A")</f>
        <v>N/A</v>
      </c>
      <c r="D217" s="343" t="str">
        <f>IFERROR(D210+D216+D232+D233+D234,"N/A")</f>
        <v>N/A</v>
      </c>
      <c r="E217" s="343" t="str">
        <f>IFERROR(E210+E216+E232+E233+E234,"N/A")</f>
        <v>N/A</v>
      </c>
      <c r="F217" s="343" t="str">
        <f>IFERROR(F210+F216+F232+F233+F234,"N/A")</f>
        <v>N/A</v>
      </c>
      <c r="G217" s="228"/>
      <c r="H217" s="228"/>
      <c r="I217" s="228"/>
      <c r="J217" s="228"/>
      <c r="K217" s="343" t="str">
        <f>IFERROR(K210+K216+K232+K233+K234,"N/A")</f>
        <v>N/A</v>
      </c>
      <c r="L217" s="228"/>
      <c r="M217" s="228"/>
      <c r="N217" s="228"/>
      <c r="O217" s="228"/>
      <c r="P217" s="343" t="str">
        <f>IFERROR(P210+P216+P232+P233+P234,"N/A")</f>
        <v>N/A</v>
      </c>
      <c r="Q217" s="228"/>
      <c r="R217" s="228"/>
      <c r="S217" s="228"/>
      <c r="T217" s="228"/>
      <c r="U217" s="343" t="str">
        <f>IFERROR(U210+U216+U232+U233+U234,"N/A")</f>
        <v>N/A</v>
      </c>
      <c r="V217" s="228"/>
      <c r="W217" s="228"/>
      <c r="X217" s="228"/>
      <c r="Y217" s="228"/>
      <c r="Z217" s="344" t="str">
        <f>IFERROR(Z210+Z216+Z232+Z233+Z234,"N/A")</f>
        <v>N/A</v>
      </c>
      <c r="AA217" s="228"/>
      <c r="AB217" s="228"/>
      <c r="AC217" s="228"/>
      <c r="AD217" s="228"/>
      <c r="AE217" s="344" t="str">
        <f>IFERROR(AE210+AE216+AE232+AE233+AE234,"N/A")</f>
        <v>N/A</v>
      </c>
      <c r="AF217" s="228"/>
      <c r="AG217" s="228"/>
      <c r="AH217" s="228"/>
      <c r="AI217" s="228"/>
      <c r="AJ217" s="344" t="str">
        <f>IFERROR(AJ210+AJ216+AJ232+AJ233+AJ234,"N/A")</f>
        <v>N/A</v>
      </c>
      <c r="AK217" s="228"/>
      <c r="AL217" s="322"/>
      <c r="AM217" s="228"/>
      <c r="AN217" s="228"/>
      <c r="AO217" s="344"/>
      <c r="AP217" s="228"/>
      <c r="AQ217" s="228"/>
      <c r="AR217" s="228"/>
      <c r="AS217" s="228"/>
      <c r="AT217" s="344"/>
      <c r="AU217" s="344"/>
      <c r="AV217" s="344"/>
      <c r="AW217" s="344"/>
      <c r="AX217" s="228"/>
    </row>
    <row r="218" spans="1:50" s="484" customFormat="1" x14ac:dyDescent="0.3">
      <c r="A218" s="41"/>
      <c r="B218" s="480"/>
      <c r="C218" s="11"/>
      <c r="D218" s="11"/>
      <c r="E218" s="11"/>
      <c r="F218" s="11"/>
      <c r="G218" s="481"/>
      <c r="H218" s="481"/>
      <c r="I218" s="481"/>
      <c r="J218" s="481"/>
      <c r="K218" s="11"/>
      <c r="L218" s="481"/>
      <c r="M218" s="481"/>
      <c r="N218" s="481"/>
      <c r="O218" s="481"/>
      <c r="P218" s="11"/>
      <c r="Q218" s="481"/>
      <c r="R218" s="481"/>
      <c r="S218" s="481"/>
      <c r="T218" s="481"/>
      <c r="U218" s="11"/>
      <c r="V218" s="481"/>
      <c r="W218" s="482"/>
      <c r="X218" s="482"/>
      <c r="Y218" s="482"/>
      <c r="Z218" s="11"/>
      <c r="AA218" s="482"/>
      <c r="AB218" s="482"/>
      <c r="AC218" s="482"/>
      <c r="AD218" s="482"/>
      <c r="AE218" s="11"/>
      <c r="AF218" s="482"/>
      <c r="AG218" s="482"/>
      <c r="AH218" s="482"/>
      <c r="AI218" s="482"/>
      <c r="AJ218" s="11"/>
      <c r="AK218" s="482"/>
      <c r="AL218" s="483"/>
      <c r="AM218" s="482"/>
      <c r="AN218" s="482"/>
      <c r="AO218" s="11"/>
      <c r="AP218" s="482"/>
      <c r="AQ218" s="482"/>
      <c r="AR218" s="482"/>
      <c r="AS218" s="482"/>
      <c r="AT218" s="11"/>
      <c r="AU218" s="11"/>
      <c r="AV218" s="11"/>
      <c r="AW218" s="11"/>
      <c r="AX218" s="482"/>
    </row>
    <row r="219" spans="1:50" s="484" customFormat="1" x14ac:dyDescent="0.3">
      <c r="A219" s="485" t="str">
        <f>IFERROR("P/E - "&amp;MO.ValuationToggle,"N/A")</f>
        <v>P/E - Avg</v>
      </c>
      <c r="B219" s="480"/>
      <c r="C219" s="11" t="str">
        <f>IFERROR(C215/C185,"N/A")</f>
        <v>N/A</v>
      </c>
      <c r="D219" s="11" t="str">
        <f>IFERROR(D215/D185,"N/A")</f>
        <v>N/A</v>
      </c>
      <c r="E219" s="11" t="str">
        <f>IFERROR(E215/E185,"N/A")</f>
        <v>N/A</v>
      </c>
      <c r="F219" s="11" t="str">
        <f>IFERROR(F215/F185,"N/A")</f>
        <v>N/A</v>
      </c>
      <c r="G219" s="481"/>
      <c r="H219" s="481"/>
      <c r="I219" s="481"/>
      <c r="J219" s="481"/>
      <c r="K219" s="11" t="str">
        <f>IFERROR(K215/K185,"N/A")</f>
        <v>N/A</v>
      </c>
      <c r="L219" s="481"/>
      <c r="M219" s="481"/>
      <c r="N219" s="481"/>
      <c r="O219" s="481"/>
      <c r="P219" s="11" t="str">
        <f>IFERROR(P215/P185,"N/A")</f>
        <v>N/A</v>
      </c>
      <c r="Q219" s="481"/>
      <c r="R219" s="481"/>
      <c r="S219" s="481"/>
      <c r="T219" s="481"/>
      <c r="U219" s="11" t="str">
        <f>IFERROR(U215/U185,"N/A")</f>
        <v>N/A</v>
      </c>
      <c r="V219" s="481"/>
      <c r="W219" s="482"/>
      <c r="X219" s="482"/>
      <c r="Y219" s="482"/>
      <c r="Z219" s="11" t="str">
        <f>IFERROR(Z215/Z185,"N/A")</f>
        <v>N/A</v>
      </c>
      <c r="AA219" s="482"/>
      <c r="AB219" s="482"/>
      <c r="AC219" s="482"/>
      <c r="AD219" s="482"/>
      <c r="AE219" s="11" t="str">
        <f>IFERROR(AE215/AE185,"N/A")</f>
        <v>N/A</v>
      </c>
      <c r="AF219" s="482"/>
      <c r="AG219" s="482"/>
      <c r="AH219" s="482"/>
      <c r="AI219" s="482"/>
      <c r="AJ219" s="11" t="str">
        <f>IFERROR(AJ215/AJ185,"N/A")</f>
        <v>N/A</v>
      </c>
      <c r="AK219" s="482"/>
      <c r="AL219" s="483"/>
      <c r="AM219" s="482"/>
      <c r="AN219" s="482"/>
      <c r="AO219" s="11"/>
      <c r="AP219" s="482"/>
      <c r="AQ219" s="482"/>
      <c r="AR219" s="482"/>
      <c r="AS219" s="482"/>
      <c r="AT219" s="11"/>
      <c r="AU219" s="11"/>
      <c r="AV219" s="11"/>
      <c r="AW219" s="11"/>
      <c r="AX219" s="482"/>
    </row>
    <row r="220" spans="1:50" s="484" customFormat="1" x14ac:dyDescent="0.3">
      <c r="A220" s="485" t="str">
        <f>IFERROR("EV/EBITDA - "&amp;MO.ValuationToggle,"N/A")</f>
        <v>EV/EBITDA - Avg</v>
      </c>
      <c r="B220" s="480"/>
      <c r="C220" s="11" t="str">
        <f>IFERROR(C217/C164,"N/A")</f>
        <v>N/A</v>
      </c>
      <c r="D220" s="11" t="str">
        <f>IFERROR(D217/D164,"N/A")</f>
        <v>N/A</v>
      </c>
      <c r="E220" s="11" t="str">
        <f>IFERROR(E217/E164,"N/A")</f>
        <v>N/A</v>
      </c>
      <c r="F220" s="11" t="str">
        <f>IFERROR(F217/F164,"N/A")</f>
        <v>N/A</v>
      </c>
      <c r="G220" s="481"/>
      <c r="H220" s="481"/>
      <c r="I220" s="481"/>
      <c r="J220" s="481"/>
      <c r="K220" s="11" t="str">
        <f>IFERROR(K217/K164,"N/A")</f>
        <v>N/A</v>
      </c>
      <c r="L220" s="481"/>
      <c r="M220" s="481"/>
      <c r="N220" s="481"/>
      <c r="O220" s="481"/>
      <c r="P220" s="11" t="str">
        <f>IFERROR(P217/P164,"N/A")</f>
        <v>N/A</v>
      </c>
      <c r="Q220" s="481"/>
      <c r="R220" s="481"/>
      <c r="S220" s="481"/>
      <c r="T220" s="481"/>
      <c r="U220" s="11" t="str">
        <f>IFERROR(U217/U164,"N/A")</f>
        <v>N/A</v>
      </c>
      <c r="V220" s="481"/>
      <c r="W220" s="482"/>
      <c r="X220" s="482"/>
      <c r="Y220" s="482"/>
      <c r="Z220" s="11" t="str">
        <f>IFERROR(Z217/Z164,"N/A")</f>
        <v>N/A</v>
      </c>
      <c r="AA220" s="482"/>
      <c r="AB220" s="482"/>
      <c r="AC220" s="482"/>
      <c r="AD220" s="482"/>
      <c r="AE220" s="11" t="str">
        <f>IFERROR(AE217/AE164,"N/A")</f>
        <v>N/A</v>
      </c>
      <c r="AF220" s="482"/>
      <c r="AG220" s="482"/>
      <c r="AH220" s="482"/>
      <c r="AI220" s="482"/>
      <c r="AJ220" s="11" t="str">
        <f>IFERROR(AJ217/AJ164,"N/A")</f>
        <v>N/A</v>
      </c>
      <c r="AK220" s="482"/>
      <c r="AL220" s="483"/>
      <c r="AM220" s="482"/>
      <c r="AN220" s="482"/>
      <c r="AO220" s="11"/>
      <c r="AP220" s="482"/>
      <c r="AQ220" s="482"/>
      <c r="AR220" s="482"/>
      <c r="AS220" s="482"/>
      <c r="AT220" s="11"/>
      <c r="AU220" s="11"/>
      <c r="AV220" s="11"/>
      <c r="AW220" s="11"/>
      <c r="AX220" s="482"/>
    </row>
    <row r="221" spans="1:50" s="484" customFormat="1" x14ac:dyDescent="0.3">
      <c r="A221" s="485" t="str">
        <f>IFERROR("P/CF - "&amp;MO.ValuationToggle,"N/A")</f>
        <v>P/CF - Avg</v>
      </c>
      <c r="B221" s="480"/>
      <c r="C221" s="11" t="str">
        <f>IFERROR(C215/C194,"N/A")</f>
        <v>N/A</v>
      </c>
      <c r="D221" s="11" t="str">
        <f>IFERROR(D215/D194,"N/A")</f>
        <v>N/A</v>
      </c>
      <c r="E221" s="11" t="str">
        <f>IFERROR(E215/E194,"N/A")</f>
        <v>N/A</v>
      </c>
      <c r="F221" s="11" t="str">
        <f>IFERROR(F215/F194,"N/A")</f>
        <v>N/A</v>
      </c>
      <c r="G221" s="481"/>
      <c r="H221" s="481"/>
      <c r="I221" s="481"/>
      <c r="J221" s="481"/>
      <c r="K221" s="11" t="str">
        <f>IFERROR(K215/K194,"N/A")</f>
        <v>N/A</v>
      </c>
      <c r="L221" s="481"/>
      <c r="M221" s="481"/>
      <c r="N221" s="481"/>
      <c r="O221" s="481"/>
      <c r="P221" s="11" t="str">
        <f>IFERROR(P215/P194,"N/A")</f>
        <v>N/A</v>
      </c>
      <c r="Q221" s="481"/>
      <c r="R221" s="481"/>
      <c r="S221" s="481"/>
      <c r="T221" s="481"/>
      <c r="U221" s="11" t="str">
        <f>IFERROR(U215/U194,"N/A")</f>
        <v>N/A</v>
      </c>
      <c r="V221" s="481"/>
      <c r="W221" s="482"/>
      <c r="X221" s="482"/>
      <c r="Y221" s="482"/>
      <c r="Z221" s="57" t="str">
        <f>IFERROR(Z215/Z194,"N/A")</f>
        <v>N/A</v>
      </c>
      <c r="AA221" s="482"/>
      <c r="AB221" s="482"/>
      <c r="AC221" s="482"/>
      <c r="AD221" s="482"/>
      <c r="AE221" s="57" t="str">
        <f>IFERROR(AE215/AE194,"N/A")</f>
        <v>N/A</v>
      </c>
      <c r="AF221" s="482"/>
      <c r="AG221" s="482"/>
      <c r="AH221" s="482"/>
      <c r="AI221" s="482"/>
      <c r="AJ221" s="57" t="str">
        <f>IFERROR(AJ215/AJ194,"N/A")</f>
        <v>N/A</v>
      </c>
      <c r="AK221" s="482"/>
      <c r="AL221" s="483"/>
      <c r="AM221" s="482"/>
      <c r="AN221" s="482"/>
      <c r="AO221" s="57"/>
      <c r="AP221" s="482"/>
      <c r="AQ221" s="482"/>
      <c r="AR221" s="482"/>
      <c r="AS221" s="482"/>
      <c r="AT221" s="57"/>
      <c r="AU221" s="57"/>
      <c r="AV221" s="57"/>
      <c r="AW221" s="57"/>
      <c r="AX221" s="482"/>
    </row>
    <row r="222" spans="1:50" s="333" customFormat="1" x14ac:dyDescent="0.3">
      <c r="A222" s="42" t="str">
        <f>IFERROR("FCF Yield % to "&amp;MO.ValuationToggle&amp;" Market Cap","N/A")</f>
        <v>FCF Yield % to Avg Market Cap</v>
      </c>
      <c r="B222" s="34"/>
      <c r="C222" s="285" t="str">
        <f t="shared" ref="C222:F223" si="98">IFERROR(C$203/C216,"N/A")</f>
        <v>N/A</v>
      </c>
      <c r="D222" s="285" t="str">
        <f t="shared" si="98"/>
        <v>N/A</v>
      </c>
      <c r="E222" s="285" t="str">
        <f t="shared" si="98"/>
        <v>N/A</v>
      </c>
      <c r="F222" s="285" t="str">
        <f t="shared" si="98"/>
        <v>N/A</v>
      </c>
      <c r="G222" s="330"/>
      <c r="H222" s="330"/>
      <c r="I222" s="330"/>
      <c r="J222" s="330"/>
      <c r="K222" s="285" t="str">
        <f>IFERROR(K$203/K216,"N/A")</f>
        <v>N/A</v>
      </c>
      <c r="L222" s="330"/>
      <c r="M222" s="330"/>
      <c r="N222" s="330"/>
      <c r="O222" s="330"/>
      <c r="P222" s="285" t="str">
        <f>IFERROR(P$203/P216,"N/A")</f>
        <v>N/A</v>
      </c>
      <c r="Q222" s="330"/>
      <c r="R222" s="330"/>
      <c r="S222" s="330"/>
      <c r="T222" s="330"/>
      <c r="U222" s="285" t="str">
        <f>IFERROR(U$203/U216,"N/A")</f>
        <v>N/A</v>
      </c>
      <c r="V222" s="330"/>
      <c r="W222" s="330"/>
      <c r="X222" s="330"/>
      <c r="Y222" s="330"/>
      <c r="Z222" s="48" t="str">
        <f>IFERROR(Z$203/Z216,"N/A")</f>
        <v>N/A</v>
      </c>
      <c r="AA222" s="330"/>
      <c r="AB222" s="330"/>
      <c r="AC222" s="330"/>
      <c r="AD222" s="330"/>
      <c r="AE222" s="48" t="str">
        <f>IFERROR(AE$203/AE216,"N/A")</f>
        <v>N/A</v>
      </c>
      <c r="AF222" s="330"/>
      <c r="AG222" s="330"/>
      <c r="AH222" s="330"/>
      <c r="AI222" s="330"/>
      <c r="AJ222" s="48" t="str">
        <f>IFERROR(AJ$203/AJ216,"N/A")</f>
        <v>N/A</v>
      </c>
      <c r="AK222" s="330"/>
      <c r="AL222" s="331"/>
      <c r="AM222" s="330"/>
      <c r="AN222" s="330"/>
      <c r="AO222" s="48"/>
      <c r="AP222" s="330"/>
      <c r="AQ222" s="330"/>
      <c r="AR222" s="330"/>
      <c r="AS222" s="330"/>
      <c r="AT222" s="48"/>
      <c r="AU222" s="48"/>
      <c r="AV222" s="48"/>
      <c r="AW222" s="48"/>
      <c r="AX222" s="332"/>
    </row>
    <row r="223" spans="1:50" s="333" customFormat="1" x14ac:dyDescent="0.3">
      <c r="A223" s="42" t="str">
        <f>IFERROR("FCF Yield % to "&amp;MO.ValuationToggle&amp;" Enterprise Value","N/A")</f>
        <v>FCF Yield % to Avg Enterprise Value</v>
      </c>
      <c r="B223" s="34"/>
      <c r="C223" s="285" t="str">
        <f t="shared" si="98"/>
        <v>N/A</v>
      </c>
      <c r="D223" s="285" t="str">
        <f t="shared" si="98"/>
        <v>N/A</v>
      </c>
      <c r="E223" s="285" t="str">
        <f t="shared" si="98"/>
        <v>N/A</v>
      </c>
      <c r="F223" s="285" t="str">
        <f t="shared" si="98"/>
        <v>N/A</v>
      </c>
      <c r="G223" s="330"/>
      <c r="H223" s="330"/>
      <c r="I223" s="330"/>
      <c r="J223" s="330"/>
      <c r="K223" s="285" t="str">
        <f>IFERROR(K$203/K217,"N/A")</f>
        <v>N/A</v>
      </c>
      <c r="L223" s="330"/>
      <c r="M223" s="330"/>
      <c r="N223" s="330"/>
      <c r="O223" s="330"/>
      <c r="P223" s="285" t="str">
        <f>IFERROR(P$203/P217,"N/A")</f>
        <v>N/A</v>
      </c>
      <c r="Q223" s="330"/>
      <c r="R223" s="330"/>
      <c r="S223" s="330"/>
      <c r="T223" s="330"/>
      <c r="U223" s="285" t="str">
        <f>IFERROR(U$203/U217,"N/A")</f>
        <v>N/A</v>
      </c>
      <c r="V223" s="330"/>
      <c r="W223" s="330"/>
      <c r="X223" s="330"/>
      <c r="Y223" s="330"/>
      <c r="Z223" s="48" t="str">
        <f>IFERROR(Z$203/Z217,"N/A")</f>
        <v>N/A</v>
      </c>
      <c r="AA223" s="330"/>
      <c r="AB223" s="330"/>
      <c r="AC223" s="330"/>
      <c r="AD223" s="330"/>
      <c r="AE223" s="48" t="str">
        <f>IFERROR(AE$203/AE217,"N/A")</f>
        <v>N/A</v>
      </c>
      <c r="AF223" s="330"/>
      <c r="AG223" s="330"/>
      <c r="AH223" s="330"/>
      <c r="AI223" s="330"/>
      <c r="AJ223" s="48" t="str">
        <f>IFERROR(AJ$203/AJ217,"N/A")</f>
        <v>N/A</v>
      </c>
      <c r="AK223" s="330"/>
      <c r="AL223" s="331"/>
      <c r="AM223" s="330"/>
      <c r="AN223" s="330"/>
      <c r="AO223" s="48"/>
      <c r="AP223" s="330"/>
      <c r="AQ223" s="330"/>
      <c r="AR223" s="330"/>
      <c r="AS223" s="330"/>
      <c r="AT223" s="48"/>
      <c r="AU223" s="48"/>
      <c r="AV223" s="48"/>
      <c r="AW223" s="48"/>
      <c r="AX223" s="332"/>
    </row>
    <row r="224" spans="1:50" s="333" customFormat="1" hidden="1" outlineLevel="1" x14ac:dyDescent="0.3">
      <c r="A224" s="42"/>
      <c r="B224" s="34"/>
      <c r="C224" s="285"/>
      <c r="D224" s="285"/>
      <c r="E224" s="285"/>
      <c r="F224" s="285"/>
      <c r="G224" s="330"/>
      <c r="H224" s="330"/>
      <c r="I224" s="330"/>
      <c r="J224" s="330"/>
      <c r="K224" s="285"/>
      <c r="L224" s="330"/>
      <c r="M224" s="330"/>
      <c r="N224" s="330"/>
      <c r="O224" s="330"/>
      <c r="P224" s="285"/>
      <c r="Q224" s="330"/>
      <c r="R224" s="330"/>
      <c r="S224" s="330"/>
      <c r="T224" s="330"/>
      <c r="U224" s="285"/>
      <c r="V224" s="330"/>
      <c r="W224" s="330"/>
      <c r="X224" s="330"/>
      <c r="Y224" s="330"/>
      <c r="Z224" s="48"/>
      <c r="AA224" s="330"/>
      <c r="AB224" s="330"/>
      <c r="AC224" s="330"/>
      <c r="AD224" s="330"/>
      <c r="AE224" s="48"/>
      <c r="AF224" s="330"/>
      <c r="AG224" s="330"/>
      <c r="AH224" s="330"/>
      <c r="AI224" s="330"/>
      <c r="AJ224" s="48"/>
      <c r="AK224" s="330"/>
      <c r="AL224" s="331"/>
      <c r="AM224" s="330"/>
      <c r="AN224" s="330"/>
      <c r="AO224" s="48"/>
      <c r="AP224" s="330"/>
      <c r="AQ224" s="330"/>
      <c r="AR224" s="330"/>
      <c r="AS224" s="330"/>
      <c r="AT224" s="48"/>
      <c r="AU224" s="48"/>
      <c r="AV224" s="48"/>
      <c r="AW224" s="48"/>
      <c r="AX224" s="332"/>
    </row>
    <row r="225" spans="1:50" s="226" customFormat="1" hidden="1" outlineLevel="1" x14ac:dyDescent="0.3">
      <c r="A225" s="230" t="str">
        <f>IFERROR("Stock High, "&amp;HP.TradeCurrency,"N/A")</f>
        <v>Stock High, USD</v>
      </c>
      <c r="B225" s="269"/>
      <c r="C225" s="298">
        <f>IFERROR(IF(COLUMN()&gt;MO.MRFPColumnNumber,0,INDEX(MO_SPT_StockHigh,1,COLUMN())),"N/A")</f>
        <v>19.79</v>
      </c>
      <c r="D225" s="298">
        <f>IFERROR(IF(COLUMN()&gt;MO.MRFPColumnNumber,0,INDEX(MO_SPT_StockHigh,1,COLUMN())),"N/A")</f>
        <v>27</v>
      </c>
      <c r="E225" s="298">
        <f>IFERROR(IF(COLUMN()&gt;MO.MRFPColumnNumber,0,INDEX(MO_SPT_StockHigh,1,COLUMN())),"N/A")</f>
        <v>36.450000000000003</v>
      </c>
      <c r="F225" s="298">
        <f>IFERROR(IF(COLUMN()&gt;MO.MRFPColumnNumber,0,INDEX(MO_SPT_StockHigh,1,COLUMN())),"N/A")</f>
        <v>120.05</v>
      </c>
      <c r="G225" s="299"/>
      <c r="H225" s="299"/>
      <c r="I225" s="299"/>
      <c r="J225" s="299"/>
      <c r="K225" s="298">
        <f>IFERROR(IF(COLUMN()&gt;MO.MRFPColumnNumber,0,INDEX(MO_SPT_StockHigh,1,COLUMN())),"N/A")</f>
        <v>65.77</v>
      </c>
      <c r="L225" s="299"/>
      <c r="M225" s="299"/>
      <c r="N225" s="299"/>
      <c r="O225" s="299"/>
      <c r="P225" s="298">
        <f>IFERROR(IF(COLUMN()&gt;MO.MRFPColumnNumber,0,INDEX(MO_SPT_StockHigh,1,COLUMN())),"N/A")</f>
        <v>46.96</v>
      </c>
      <c r="Q225" s="299"/>
      <c r="R225" s="299"/>
      <c r="S225" s="299"/>
      <c r="T225" s="299"/>
      <c r="U225" s="298">
        <f>IFERROR(IF(COLUMN()&gt;MO.MRFPColumnNumber,0,INDEX(MO_SPT_StockHigh,1,COLUMN())),"N/A")</f>
        <v>52.77</v>
      </c>
      <c r="V225" s="299"/>
      <c r="W225" s="299"/>
      <c r="X225" s="299"/>
      <c r="Y225" s="299"/>
      <c r="Z225" s="270">
        <f>IFERROR(IF(COLUMN()&gt;MO.MRFPColumnNumber,0,INDEX(MO_SPT_StockHigh,1,COLUMN())),"N/A")</f>
        <v>55.8</v>
      </c>
      <c r="AA225" s="299"/>
      <c r="AB225" s="299"/>
      <c r="AC225" s="299"/>
      <c r="AD225" s="299"/>
      <c r="AE225" s="270">
        <f>IFERROR(IF(COLUMN()&gt;MO.MRFPColumnNumber,0,INDEX(MO_SPT_StockHigh,1,COLUMN())),"N/A")</f>
        <v>65.900000000000006</v>
      </c>
      <c r="AF225" s="299"/>
      <c r="AG225" s="299"/>
      <c r="AH225" s="299"/>
      <c r="AI225" s="299"/>
      <c r="AJ225" s="270">
        <f>IFERROR(IF(COLUMN()&gt;MO.MRFPColumnNumber,0,INDEX(MO_SPT_StockHigh,1,COLUMN())),"N/A")</f>
        <v>97.48</v>
      </c>
      <c r="AK225" s="299"/>
      <c r="AL225" s="486"/>
      <c r="AM225" s="299"/>
      <c r="AN225" s="299"/>
      <c r="AO225" s="270"/>
      <c r="AP225" s="299"/>
      <c r="AQ225" s="299"/>
      <c r="AR225" s="299"/>
      <c r="AS225" s="299"/>
      <c r="AT225" s="270"/>
      <c r="AU225" s="270"/>
      <c r="AV225" s="270"/>
      <c r="AW225" s="270"/>
      <c r="AX225" s="232"/>
    </row>
    <row r="226" spans="1:50" s="226" customFormat="1" hidden="1" outlineLevel="1" x14ac:dyDescent="0.3">
      <c r="A226" s="230" t="str">
        <f>IFERROR("Stock Low, "&amp;HP.TradeCurrency,"N/A")</f>
        <v>Stock Low, USD</v>
      </c>
      <c r="B226" s="269"/>
      <c r="C226" s="298">
        <f>IFERROR(IF(COLUMN()&gt;MO.MRFPColumnNumber,0,INDEX(MO_SPT_StockLow,1,COLUMN())),"N/A")</f>
        <v>6.9</v>
      </c>
      <c r="D226" s="298">
        <f>IFERROR(IF(COLUMN()&gt;MO.MRFPColumnNumber,0,INDEX(MO_SPT_StockLow,1,COLUMN())),"N/A")</f>
        <v>14.79</v>
      </c>
      <c r="E226" s="298">
        <f>IFERROR(IF(COLUMN()&gt;MO.MRFPColumnNumber,0,INDEX(MO_SPT_StockLow,1,COLUMN())),"N/A")</f>
        <v>23.96</v>
      </c>
      <c r="F226" s="298">
        <f>IFERROR(IF(COLUMN()&gt;MO.MRFPColumnNumber,0,INDEX(MO_SPT_StockLow,1,COLUMN())),"N/A")</f>
        <v>30</v>
      </c>
      <c r="G226" s="299"/>
      <c r="H226" s="299"/>
      <c r="I226" s="299"/>
      <c r="J226" s="299"/>
      <c r="K226" s="298">
        <f>IFERROR(IF(COLUMN()&gt;MO.MRFPColumnNumber,0,INDEX(MO_SPT_StockLow,1,COLUMN())),"N/A")</f>
        <v>32.35</v>
      </c>
      <c r="L226" s="299"/>
      <c r="M226" s="299"/>
      <c r="N226" s="299"/>
      <c r="O226" s="299"/>
      <c r="P226" s="298">
        <f>IFERROR(IF(COLUMN()&gt;MO.MRFPColumnNumber,0,INDEX(MO_SPT_StockLow,1,COLUMN())),"N/A")</f>
        <v>30.58</v>
      </c>
      <c r="Q226" s="299"/>
      <c r="R226" s="299"/>
      <c r="S226" s="299"/>
      <c r="T226" s="299"/>
      <c r="U226" s="298">
        <f>IFERROR(IF(COLUMN()&gt;MO.MRFPColumnNumber,0,INDEX(MO_SPT_StockLow,1,COLUMN())),"N/A")</f>
        <v>32.24</v>
      </c>
      <c r="V226" s="299"/>
      <c r="W226" s="299"/>
      <c r="X226" s="299"/>
      <c r="Y226" s="299"/>
      <c r="Z226" s="270">
        <f>IFERROR(IF(COLUMN()&gt;MO.MRFPColumnNumber,0,INDEX(MO_SPT_StockLow,1,COLUMN())),"N/A")</f>
        <v>37.54</v>
      </c>
      <c r="AA226" s="299"/>
      <c r="AB226" s="299"/>
      <c r="AC226" s="299"/>
      <c r="AD226" s="299"/>
      <c r="AE226" s="270">
        <f>IFERROR(IF(COLUMN()&gt;MO.MRFPColumnNumber,0,INDEX(MO_SPT_StockLow,1,COLUMN())),"N/A")</f>
        <v>40.700000000000003</v>
      </c>
      <c r="AF226" s="299"/>
      <c r="AG226" s="299"/>
      <c r="AH226" s="299"/>
      <c r="AI226" s="299"/>
      <c r="AJ226" s="270">
        <f>IFERROR(IF(COLUMN()&gt;MO.MRFPColumnNumber,0,INDEX(MO_SPT_StockLow,1,COLUMN())),"N/A")</f>
        <v>59.3</v>
      </c>
      <c r="AK226" s="299"/>
      <c r="AL226" s="486"/>
      <c r="AM226" s="299"/>
      <c r="AN226" s="299"/>
      <c r="AO226" s="270"/>
      <c r="AP226" s="299"/>
      <c r="AQ226" s="299"/>
      <c r="AR226" s="299"/>
      <c r="AS226" s="299"/>
      <c r="AT226" s="270"/>
      <c r="AU226" s="270"/>
      <c r="AV226" s="270"/>
      <c r="AW226" s="270"/>
      <c r="AX226" s="232"/>
    </row>
    <row r="227" spans="1:50" s="226" customFormat="1" hidden="1" outlineLevel="1" x14ac:dyDescent="0.3">
      <c r="A227" s="230" t="str">
        <f>IFERROR("Stock Average, "&amp;HP.TradeCurrency,"N/A")</f>
        <v>Stock Average, USD</v>
      </c>
      <c r="B227" s="269"/>
      <c r="C227" s="298">
        <f>IFERROR(IF(COLUMN()&gt;MO.MRFPColumnNumber,0,INDEX(MO_SPT_StockAverage,1,COLUMN())),"N/A")</f>
        <v>12.69375</v>
      </c>
      <c r="D227" s="298">
        <f>IFERROR(IF(COLUMN()&gt;MO.MRFPColumnNumber,0,INDEX(MO_SPT_StockAverage,1,COLUMN())),"N/A")</f>
        <v>21.995000000000001</v>
      </c>
      <c r="E227" s="298">
        <f>IFERROR(IF(COLUMN()&gt;MO.MRFPColumnNumber,0,INDEX(MO_SPT_StockAverage,1,COLUMN())),"N/A")</f>
        <v>29.84</v>
      </c>
      <c r="F227" s="298">
        <f>IFERROR(IF(COLUMN()&gt;MO.MRFPColumnNumber,0,INDEX(MO_SPT_StockAverage,1,COLUMN())),"N/A")</f>
        <v>66.965000000000003</v>
      </c>
      <c r="G227" s="299"/>
      <c r="H227" s="299"/>
      <c r="I227" s="299"/>
      <c r="J227" s="299"/>
      <c r="K227" s="298">
        <f>IFERROR(IF(COLUMN()&gt;MO.MRFPColumnNumber,0,INDEX(MO_SPT_StockAverage,1,COLUMN())),"N/A")</f>
        <v>47.071249999999999</v>
      </c>
      <c r="L227" s="299"/>
      <c r="M227" s="299"/>
      <c r="N227" s="299"/>
      <c r="O227" s="299"/>
      <c r="P227" s="298">
        <f>IFERROR(IF(COLUMN()&gt;MO.MRFPColumnNumber,0,INDEX(MO_SPT_StockAverage,1,COLUMN())),"N/A")</f>
        <v>39.392499999999998</v>
      </c>
      <c r="Q227" s="299"/>
      <c r="R227" s="299"/>
      <c r="S227" s="299"/>
      <c r="T227" s="299"/>
      <c r="U227" s="298">
        <f>IFERROR(IF(COLUMN()&gt;MO.MRFPColumnNumber,0,INDEX(MO_SPT_StockAverage,1,COLUMN())),"N/A")</f>
        <v>44.42</v>
      </c>
      <c r="V227" s="299"/>
      <c r="W227" s="299"/>
      <c r="X227" s="299"/>
      <c r="Y227" s="299"/>
      <c r="Z227" s="270">
        <f>IFERROR(IF(COLUMN()&gt;MO.MRFPColumnNumber,0,INDEX(MO_SPT_StockAverage,1,COLUMN())),"N/A")</f>
        <v>45.744999999999997</v>
      </c>
      <c r="AA227" s="299"/>
      <c r="AB227" s="299"/>
      <c r="AC227" s="299"/>
      <c r="AD227" s="299"/>
      <c r="AE227" s="270">
        <f>IFERROR(IF(COLUMN()&gt;MO.MRFPColumnNumber,0,INDEX(MO_SPT_StockAverage,1,COLUMN())),"N/A")</f>
        <v>48.231250000000003</v>
      </c>
      <c r="AF227" s="299"/>
      <c r="AG227" s="299"/>
      <c r="AH227" s="299"/>
      <c r="AI227" s="299"/>
      <c r="AJ227" s="270">
        <f>IFERROR(IF(COLUMN()&gt;MO.MRFPColumnNumber,0,INDEX(MO_SPT_StockAverage,1,COLUMN())),"N/A")</f>
        <v>78.765537848605604</v>
      </c>
      <c r="AK227" s="299"/>
      <c r="AL227" s="486"/>
      <c r="AM227" s="299"/>
      <c r="AN227" s="299"/>
      <c r="AO227" s="270"/>
      <c r="AP227" s="299"/>
      <c r="AQ227" s="299"/>
      <c r="AR227" s="299"/>
      <c r="AS227" s="299"/>
      <c r="AT227" s="270"/>
      <c r="AU227" s="270"/>
      <c r="AV227" s="270"/>
      <c r="AW227" s="270"/>
      <c r="AX227" s="232"/>
    </row>
    <row r="228" spans="1:50" s="490" customFormat="1" hidden="1" outlineLevel="1" x14ac:dyDescent="0.3">
      <c r="A228" s="271" t="str">
        <f>IFERROR("Average FX Rate, "&amp;HP.TradeCurrency&amp;"/"&amp;MO.ReportCurrency,"N/A")</f>
        <v>Average FX Rate, USD/USD</v>
      </c>
      <c r="B228" s="272"/>
      <c r="C228" s="487" t="str">
        <f>IFERROR(IF(INDEX(MO_SPT_FXAverage,1,COLUMN())=0,1,INDEX(MO_SPT_FXAverage,1,COLUMN())),"N/A")</f>
        <v>N/A</v>
      </c>
      <c r="D228" s="487" t="str">
        <f>IFERROR(IF(INDEX(MO_SPT_FXAverage,1,COLUMN())=0,1,INDEX(MO_SPT_FXAverage,1,COLUMN())),"N/A")</f>
        <v>N/A</v>
      </c>
      <c r="E228" s="487" t="str">
        <f>IFERROR(IF(INDEX(MO_SPT_FXAverage,1,COLUMN())=0,1,INDEX(MO_SPT_FXAverage,1,COLUMN())),"N/A")</f>
        <v>N/A</v>
      </c>
      <c r="F228" s="487" t="str">
        <f>IFERROR(IF(INDEX(MO_SPT_FXAverage,1,COLUMN())=0,1,INDEX(MO_SPT_FXAverage,1,COLUMN())),"N/A")</f>
        <v>N/A</v>
      </c>
      <c r="G228" s="488"/>
      <c r="H228" s="488"/>
      <c r="I228" s="488"/>
      <c r="J228" s="488"/>
      <c r="K228" s="487" t="str">
        <f>IFERROR(IF(INDEX(MO_SPT_FXAverage,1,COLUMN())=0,1,INDEX(MO_SPT_FXAverage,1,COLUMN())),"N/A")</f>
        <v>N/A</v>
      </c>
      <c r="L228" s="488"/>
      <c r="M228" s="488"/>
      <c r="N228" s="488"/>
      <c r="O228" s="488"/>
      <c r="P228" s="487" t="str">
        <f>IFERROR(IF(INDEX(MO_SPT_FXAverage,1,COLUMN())=0,1,INDEX(MO_SPT_FXAverage,1,COLUMN())),"N/A")</f>
        <v>N/A</v>
      </c>
      <c r="Q228" s="488"/>
      <c r="R228" s="488"/>
      <c r="S228" s="488"/>
      <c r="T228" s="488"/>
      <c r="U228" s="487" t="str">
        <f>IFERROR(IF(INDEX(MO_SPT_FXAverage,1,COLUMN())=0,1,INDEX(MO_SPT_FXAverage,1,COLUMN())),"N/A")</f>
        <v>N/A</v>
      </c>
      <c r="V228" s="488"/>
      <c r="W228" s="488"/>
      <c r="X228" s="488"/>
      <c r="Y228" s="488"/>
      <c r="Z228" s="273" t="str">
        <f>IFERROR(IF(INDEX(MO_SPT_FXAverage,1,COLUMN())=0,1,INDEX(MO_SPT_FXAverage,1,COLUMN())),"N/A")</f>
        <v>N/A</v>
      </c>
      <c r="AA228" s="488"/>
      <c r="AB228" s="488"/>
      <c r="AC228" s="488"/>
      <c r="AD228" s="488"/>
      <c r="AE228" s="273" t="str">
        <f>IFERROR(IF(INDEX(MO_SPT_FXAverage,1,COLUMN())=0,1,INDEX(MO_SPT_FXAverage,1,COLUMN())),"N/A")</f>
        <v>N/A</v>
      </c>
      <c r="AF228" s="488"/>
      <c r="AG228" s="488"/>
      <c r="AH228" s="488"/>
      <c r="AI228" s="488"/>
      <c r="AJ228" s="273" t="str">
        <f>IFERROR(IF(INDEX(MO_SPT_FXAverage,1,COLUMN())=0,1,INDEX(MO_SPT_FXAverage,1,COLUMN())),"N/A")</f>
        <v>N/A</v>
      </c>
      <c r="AK228" s="488"/>
      <c r="AL228" s="489"/>
      <c r="AM228" s="488"/>
      <c r="AN228" s="488"/>
      <c r="AO228" s="273"/>
      <c r="AP228" s="488"/>
      <c r="AQ228" s="488"/>
      <c r="AR228" s="488"/>
      <c r="AS228" s="488"/>
      <c r="AT228" s="273"/>
      <c r="AU228" s="273"/>
      <c r="AV228" s="273"/>
      <c r="AW228" s="273"/>
      <c r="AX228" s="251"/>
    </row>
    <row r="229" spans="1:50" s="226" customFormat="1" hidden="1" outlineLevel="1" x14ac:dyDescent="0.3">
      <c r="A229" s="230" t="str">
        <f>IFERROR("Stock Price (Trading Cur.) - "&amp;MO.ValuationToggle&amp;", "&amp;HP.TradeCurrency,"N/A")</f>
        <v>Stock Price (Trading Cur.) - Avg, USD</v>
      </c>
      <c r="B229" s="269"/>
      <c r="C229" s="298">
        <f>IFERROR(IF(INDEX(MO_SNA_IsHistoricalPeriod,1,COLUMN())=FALSE,MO.LastPrice,CHOOSE(VLOOKUP(MO.ValuationToggle,tb_ValuationToggle,COLUMNS(tb_ValuationToggle),FALSE),C225,C226,C227)),"N/A")</f>
        <v>12.69375</v>
      </c>
      <c r="D229" s="298">
        <f>IFERROR(IF(INDEX(MO_SNA_IsHistoricalPeriod,1,COLUMN())=FALSE,MO.LastPrice,CHOOSE(VLOOKUP(MO.ValuationToggle,tb_ValuationToggle,COLUMNS(tb_ValuationToggle),FALSE),D225,D226,D227)),"N/A")</f>
        <v>21.995000000000001</v>
      </c>
      <c r="E229" s="298">
        <f>IFERROR(IF(INDEX(MO_SNA_IsHistoricalPeriod,1,COLUMN())=FALSE,MO.LastPrice,CHOOSE(VLOOKUP(MO.ValuationToggle,tb_ValuationToggle,COLUMNS(tb_ValuationToggle),FALSE),E225,E226,E227)),"N/A")</f>
        <v>29.84</v>
      </c>
      <c r="F229" s="298">
        <f>IFERROR(IF(INDEX(MO_SNA_IsHistoricalPeriod,1,COLUMN())=FALSE,MO.LastPrice,CHOOSE(VLOOKUP(MO.ValuationToggle,tb_ValuationToggle,COLUMNS(tb_ValuationToggle),FALSE),F225,F226,F227)),"N/A")</f>
        <v>66.965000000000003</v>
      </c>
      <c r="G229" s="299"/>
      <c r="H229" s="299"/>
      <c r="I229" s="299"/>
      <c r="J229" s="299"/>
      <c r="K229" s="298">
        <f>IFERROR(IF(INDEX(MO_SNA_IsHistoricalPeriod,1,COLUMN())=FALSE,MO.LastPrice,CHOOSE(VLOOKUP(MO.ValuationToggle,tb_ValuationToggle,COLUMNS(tb_ValuationToggle),FALSE),K225,K226,K227)),"N/A")</f>
        <v>47.071249999999999</v>
      </c>
      <c r="L229" s="299"/>
      <c r="M229" s="299"/>
      <c r="N229" s="299"/>
      <c r="O229" s="299"/>
      <c r="P229" s="298">
        <f>IFERROR(IF(INDEX(MO_SNA_IsHistoricalPeriod,1,COLUMN())=FALSE,MO.LastPrice,CHOOSE(VLOOKUP(MO.ValuationToggle,tb_ValuationToggle,COLUMNS(tb_ValuationToggle),FALSE),P225,P226,P227)),"N/A")</f>
        <v>39.392499999999998</v>
      </c>
      <c r="Q229" s="299"/>
      <c r="R229" s="299"/>
      <c r="S229" s="299"/>
      <c r="T229" s="299"/>
      <c r="U229" s="298">
        <f>IFERROR(IF(INDEX(MO_SNA_IsHistoricalPeriod,1,COLUMN())=FALSE,MO.LastPrice,CHOOSE(VLOOKUP(MO.ValuationToggle,tb_ValuationToggle,COLUMNS(tb_ValuationToggle),FALSE),U225,U226,U227)),"N/A")</f>
        <v>44.42</v>
      </c>
      <c r="V229" s="299"/>
      <c r="W229" s="299"/>
      <c r="X229" s="299"/>
      <c r="Y229" s="299"/>
      <c r="Z229" s="270">
        <f>IFERROR(IF(INDEX(MO_SNA_IsHistoricalPeriod,1,COLUMN())=FALSE,MO.LastPrice,CHOOSE(VLOOKUP(MO.ValuationToggle,tb_ValuationToggle,COLUMNS(tb_ValuationToggle),FALSE),Z225,Z226,Z227)),"N/A")</f>
        <v>45.744999999999997</v>
      </c>
      <c r="AA229" s="299"/>
      <c r="AB229" s="299"/>
      <c r="AC229" s="299"/>
      <c r="AD229" s="299"/>
      <c r="AE229" s="270">
        <f>IFERROR(IF(INDEX(MO_SNA_IsHistoricalPeriod,1,COLUMN())=FALSE,MO.LastPrice,CHOOSE(VLOOKUP(MO.ValuationToggle,tb_ValuationToggle,COLUMNS(tb_ValuationToggle),FALSE),AE225,AE226,AE227)),"N/A")</f>
        <v>48.231250000000003</v>
      </c>
      <c r="AF229" s="299"/>
      <c r="AG229" s="299"/>
      <c r="AH229" s="299"/>
      <c r="AI229" s="299"/>
      <c r="AJ229" s="270">
        <f>IFERROR(IF(INDEX(MO_SNA_IsHistoricalPeriod,1,COLUMN())=FALSE,MO.LastPrice,CHOOSE(VLOOKUP(MO.ValuationToggle,tb_ValuationToggle,COLUMNS(tb_ValuationToggle),FALSE),AJ225,AJ226,AJ227)),"N/A")</f>
        <v>78.765537848605604</v>
      </c>
      <c r="AK229" s="299"/>
      <c r="AL229" s="486"/>
      <c r="AM229" s="299"/>
      <c r="AN229" s="299"/>
      <c r="AO229" s="270"/>
      <c r="AP229" s="299"/>
      <c r="AQ229" s="299"/>
      <c r="AR229" s="299"/>
      <c r="AS229" s="299"/>
      <c r="AT229" s="270"/>
      <c r="AU229" s="270"/>
      <c r="AV229" s="270"/>
      <c r="AW229" s="270"/>
      <c r="AX229" s="232"/>
    </row>
    <row r="230" spans="1:50" s="5" customFormat="1" hidden="1" outlineLevel="1" x14ac:dyDescent="0.3">
      <c r="A230" s="36"/>
      <c r="B230" s="376"/>
      <c r="C230" s="343"/>
      <c r="D230" s="343"/>
      <c r="E230" s="343"/>
      <c r="F230" s="343"/>
      <c r="G230" s="228"/>
      <c r="H230" s="228"/>
      <c r="I230" s="228"/>
      <c r="J230" s="228"/>
      <c r="K230" s="343"/>
      <c r="L230" s="228"/>
      <c r="M230" s="228"/>
      <c r="N230" s="228"/>
      <c r="O230" s="228"/>
      <c r="P230" s="343"/>
      <c r="Q230" s="228"/>
      <c r="R230" s="228"/>
      <c r="S230" s="228"/>
      <c r="T230" s="228"/>
      <c r="U230" s="343"/>
      <c r="V230" s="228"/>
      <c r="W230" s="228"/>
      <c r="X230" s="228"/>
      <c r="Y230" s="228"/>
      <c r="Z230" s="343"/>
      <c r="AA230" s="228"/>
      <c r="AB230" s="228"/>
      <c r="AC230" s="228"/>
      <c r="AD230" s="228"/>
      <c r="AE230" s="343"/>
      <c r="AF230" s="228"/>
      <c r="AG230" s="228"/>
      <c r="AH230" s="228"/>
      <c r="AI230" s="228"/>
      <c r="AJ230" s="343"/>
      <c r="AK230" s="228"/>
      <c r="AL230" s="322"/>
      <c r="AM230" s="228"/>
      <c r="AN230" s="228"/>
      <c r="AO230" s="343"/>
      <c r="AP230" s="228"/>
      <c r="AQ230" s="228"/>
      <c r="AR230" s="228"/>
      <c r="AS230" s="228"/>
      <c r="AT230" s="343"/>
      <c r="AU230" s="343"/>
      <c r="AV230" s="343"/>
      <c r="AW230" s="343"/>
      <c r="AX230" s="228"/>
    </row>
    <row r="231" spans="1:50" s="9" customFormat="1" hidden="1" outlineLevel="1" x14ac:dyDescent="0.3">
      <c r="A231" s="43" t="s">
        <v>135</v>
      </c>
      <c r="B231" s="103"/>
      <c r="C231" s="4"/>
      <c r="D231" s="4"/>
      <c r="E231" s="4"/>
      <c r="F231" s="4"/>
      <c r="G231" s="22"/>
      <c r="H231" s="22"/>
      <c r="I231" s="22"/>
      <c r="J231" s="22"/>
      <c r="K231" s="4"/>
      <c r="L231" s="22"/>
      <c r="M231" s="22"/>
      <c r="N231" s="22"/>
      <c r="O231" s="22"/>
      <c r="P231" s="4"/>
      <c r="Q231" s="22"/>
      <c r="R231" s="22"/>
      <c r="S231" s="22"/>
      <c r="T231" s="22"/>
      <c r="U231" s="4"/>
      <c r="V231" s="22"/>
      <c r="W231" s="22"/>
      <c r="X231" s="22"/>
      <c r="Y231" s="22"/>
      <c r="Z231" s="4"/>
      <c r="AA231" s="22"/>
      <c r="AB231" s="22"/>
      <c r="AC231" s="22"/>
      <c r="AD231" s="22"/>
      <c r="AE231" s="4"/>
      <c r="AF231" s="22"/>
      <c r="AG231" s="22"/>
      <c r="AH231" s="22"/>
      <c r="AI231" s="22"/>
      <c r="AJ231" s="4"/>
      <c r="AK231" s="22"/>
      <c r="AL231" s="308"/>
      <c r="AM231" s="22"/>
      <c r="AN231" s="22"/>
      <c r="AO231" s="4"/>
      <c r="AP231" s="22"/>
      <c r="AQ231" s="22"/>
      <c r="AR231" s="22"/>
      <c r="AS231" s="22"/>
      <c r="AT231" s="4"/>
      <c r="AU231" s="4"/>
      <c r="AV231" s="4"/>
      <c r="AW231" s="4"/>
      <c r="AX231" s="22"/>
    </row>
    <row r="232" spans="1:50" s="5" customFormat="1" hidden="1" outlineLevel="1" x14ac:dyDescent="0.3">
      <c r="A232" s="491" t="s">
        <v>136</v>
      </c>
      <c r="B232" s="376"/>
      <c r="C232" s="343">
        <f t="shared" ref="C232:AL232" si="99">C396</f>
        <v>0</v>
      </c>
      <c r="D232" s="343">
        <f t="shared" si="99"/>
        <v>0</v>
      </c>
      <c r="E232" s="343">
        <f t="shared" si="99"/>
        <v>0</v>
      </c>
      <c r="F232" s="343">
        <f t="shared" si="99"/>
        <v>0</v>
      </c>
      <c r="G232" s="228">
        <f t="shared" si="99"/>
        <v>0</v>
      </c>
      <c r="H232" s="228">
        <f t="shared" si="99"/>
        <v>0</v>
      </c>
      <c r="I232" s="228">
        <f t="shared" si="99"/>
        <v>0</v>
      </c>
      <c r="J232" s="228">
        <f t="shared" si="99"/>
        <v>0</v>
      </c>
      <c r="K232" s="343">
        <f t="shared" si="99"/>
        <v>0</v>
      </c>
      <c r="L232" s="228">
        <f t="shared" si="99"/>
        <v>0</v>
      </c>
      <c r="M232" s="228">
        <f t="shared" si="99"/>
        <v>0</v>
      </c>
      <c r="N232" s="228">
        <f t="shared" si="99"/>
        <v>0</v>
      </c>
      <c r="O232" s="228">
        <f t="shared" si="99"/>
        <v>0</v>
      </c>
      <c r="P232" s="343">
        <f t="shared" si="99"/>
        <v>0</v>
      </c>
      <c r="Q232" s="228">
        <f t="shared" si="99"/>
        <v>0</v>
      </c>
      <c r="R232" s="228">
        <f t="shared" si="99"/>
        <v>0</v>
      </c>
      <c r="S232" s="228">
        <f t="shared" si="99"/>
        <v>0</v>
      </c>
      <c r="T232" s="228">
        <f t="shared" si="99"/>
        <v>0</v>
      </c>
      <c r="U232" s="343">
        <f t="shared" si="99"/>
        <v>0</v>
      </c>
      <c r="V232" s="228">
        <f t="shared" si="99"/>
        <v>0</v>
      </c>
      <c r="W232" s="228">
        <f t="shared" si="99"/>
        <v>0</v>
      </c>
      <c r="X232" s="228">
        <f t="shared" si="99"/>
        <v>0</v>
      </c>
      <c r="Y232" s="228">
        <f t="shared" si="99"/>
        <v>0</v>
      </c>
      <c r="Z232" s="344">
        <f t="shared" si="99"/>
        <v>0</v>
      </c>
      <c r="AA232" s="228">
        <f t="shared" si="99"/>
        <v>0</v>
      </c>
      <c r="AB232" s="228">
        <f t="shared" si="99"/>
        <v>0</v>
      </c>
      <c r="AC232" s="228">
        <f t="shared" si="99"/>
        <v>0</v>
      </c>
      <c r="AD232" s="228">
        <f t="shared" si="99"/>
        <v>0</v>
      </c>
      <c r="AE232" s="344">
        <f t="shared" si="99"/>
        <v>0</v>
      </c>
      <c r="AF232" s="228">
        <f t="shared" si="99"/>
        <v>0</v>
      </c>
      <c r="AG232" s="228">
        <f t="shared" si="99"/>
        <v>0</v>
      </c>
      <c r="AH232" s="228">
        <f t="shared" si="99"/>
        <v>0</v>
      </c>
      <c r="AI232" s="228">
        <f t="shared" si="99"/>
        <v>0</v>
      </c>
      <c r="AJ232" s="344">
        <f t="shared" si="99"/>
        <v>0</v>
      </c>
      <c r="AK232" s="228">
        <f t="shared" si="99"/>
        <v>0</v>
      </c>
      <c r="AL232" s="322">
        <f t="shared" si="99"/>
        <v>0</v>
      </c>
      <c r="AM232" s="228"/>
      <c r="AN232" s="228"/>
      <c r="AO232" s="344"/>
      <c r="AP232" s="228"/>
      <c r="AQ232" s="228"/>
      <c r="AR232" s="228"/>
      <c r="AS232" s="228"/>
      <c r="AT232" s="344"/>
      <c r="AU232" s="344"/>
      <c r="AV232" s="344"/>
      <c r="AW232" s="344"/>
      <c r="AX232" s="228"/>
    </row>
    <row r="233" spans="1:50" s="5" customFormat="1" hidden="1" outlineLevel="1" x14ac:dyDescent="0.3">
      <c r="A233" s="491" t="s">
        <v>137</v>
      </c>
      <c r="B233" s="376"/>
      <c r="C233" s="343"/>
      <c r="D233" s="343"/>
      <c r="E233" s="343"/>
      <c r="F233" s="343"/>
      <c r="G233" s="228"/>
      <c r="H233" s="228"/>
      <c r="I233" s="228"/>
      <c r="J233" s="228"/>
      <c r="K233" s="343"/>
      <c r="L233" s="228"/>
      <c r="M233" s="228"/>
      <c r="N233" s="228"/>
      <c r="O233" s="228"/>
      <c r="P233" s="343"/>
      <c r="Q233" s="228"/>
      <c r="R233" s="228"/>
      <c r="S233" s="228"/>
      <c r="T233" s="228"/>
      <c r="U233" s="343"/>
      <c r="V233" s="228"/>
      <c r="W233" s="228"/>
      <c r="X233" s="228"/>
      <c r="Y233" s="228"/>
      <c r="Z233" s="343"/>
      <c r="AA233" s="228"/>
      <c r="AB233" s="228"/>
      <c r="AC233" s="228"/>
      <c r="AD233" s="228"/>
      <c r="AE233" s="343"/>
      <c r="AF233" s="228"/>
      <c r="AG233" s="228"/>
      <c r="AH233" s="228"/>
      <c r="AI233" s="228"/>
      <c r="AJ233" s="343"/>
      <c r="AK233" s="228"/>
      <c r="AL233" s="322"/>
      <c r="AM233" s="228"/>
      <c r="AN233" s="228"/>
      <c r="AO233" s="343"/>
      <c r="AP233" s="228"/>
      <c r="AQ233" s="228"/>
      <c r="AR233" s="228"/>
      <c r="AS233" s="228"/>
      <c r="AT233" s="343"/>
      <c r="AU233" s="343"/>
      <c r="AV233" s="343"/>
      <c r="AW233" s="343"/>
      <c r="AX233" s="228"/>
    </row>
    <row r="234" spans="1:50" s="5" customFormat="1" hidden="1" outlineLevel="1" x14ac:dyDescent="0.3">
      <c r="A234" s="491" t="s">
        <v>138</v>
      </c>
      <c r="B234" s="376"/>
      <c r="C234" s="343">
        <f t="shared" ref="C234:AL234" si="100">+C381</f>
        <v>5.7779999999999996</v>
      </c>
      <c r="D234" s="343">
        <f t="shared" si="100"/>
        <v>7.3550000000000004</v>
      </c>
      <c r="E234" s="343">
        <f t="shared" si="100"/>
        <v>10.433</v>
      </c>
      <c r="F234" s="343">
        <f t="shared" si="100"/>
        <v>11.821</v>
      </c>
      <c r="G234" s="228">
        <f t="shared" si="100"/>
        <v>12.327</v>
      </c>
      <c r="H234" s="228">
        <f t="shared" si="100"/>
        <v>12.795999999999999</v>
      </c>
      <c r="I234" s="228">
        <f t="shared" si="100"/>
        <v>13.273999999999999</v>
      </c>
      <c r="J234" s="228">
        <f t="shared" si="100"/>
        <v>13.417999999999999</v>
      </c>
      <c r="K234" s="343">
        <f t="shared" si="100"/>
        <v>13.417999999999999</v>
      </c>
      <c r="L234" s="228">
        <f t="shared" si="100"/>
        <v>13.249000000000001</v>
      </c>
      <c r="M234" s="228">
        <f t="shared" si="100"/>
        <v>13.286</v>
      </c>
      <c r="N234" s="228">
        <f t="shared" si="100"/>
        <v>12.401</v>
      </c>
      <c r="O234" s="228">
        <f t="shared" si="100"/>
        <v>11.85</v>
      </c>
      <c r="P234" s="343">
        <f t="shared" si="100"/>
        <v>11.85</v>
      </c>
      <c r="Q234" s="228">
        <f t="shared" si="100"/>
        <v>12.398999999999999</v>
      </c>
      <c r="R234" s="228">
        <f t="shared" si="100"/>
        <v>13.087</v>
      </c>
      <c r="S234" s="228">
        <f t="shared" si="100"/>
        <v>12.454000000000001</v>
      </c>
      <c r="T234" s="228">
        <f t="shared" si="100"/>
        <v>12.464</v>
      </c>
      <c r="U234" s="343">
        <f t="shared" si="100"/>
        <v>12.464</v>
      </c>
      <c r="V234" s="228">
        <f t="shared" si="100"/>
        <v>19.63</v>
      </c>
      <c r="W234" s="228">
        <f t="shared" si="100"/>
        <v>20.219000000000001</v>
      </c>
      <c r="X234" s="228">
        <f t="shared" si="100"/>
        <v>20.582999999999998</v>
      </c>
      <c r="Y234" s="228">
        <f t="shared" si="100"/>
        <v>19.873999999999999</v>
      </c>
      <c r="Z234" s="343">
        <f t="shared" si="100"/>
        <v>19.873999999999999</v>
      </c>
      <c r="AA234" s="228">
        <f t="shared" si="100"/>
        <v>20.954999999999998</v>
      </c>
      <c r="AB234" s="228">
        <f t="shared" si="100"/>
        <v>23.041</v>
      </c>
      <c r="AC234" s="228">
        <f t="shared" si="100"/>
        <v>22.824999999999999</v>
      </c>
      <c r="AD234" s="228">
        <f t="shared" si="100"/>
        <v>23.204999999999998</v>
      </c>
      <c r="AE234" s="343">
        <f t="shared" si="100"/>
        <v>23.204999999999998</v>
      </c>
      <c r="AF234" s="228">
        <f t="shared" si="100"/>
        <v>22.77</v>
      </c>
      <c r="AG234" s="228">
        <f t="shared" si="100"/>
        <v>21.463999999999999</v>
      </c>
      <c r="AH234" s="228">
        <f t="shared" si="100"/>
        <v>22.603000000000002</v>
      </c>
      <c r="AI234" s="228">
        <f t="shared" si="100"/>
        <v>21.645</v>
      </c>
      <c r="AJ234" s="343">
        <f t="shared" si="100"/>
        <v>21.645</v>
      </c>
      <c r="AK234" s="228">
        <f t="shared" si="100"/>
        <v>6.1449999999999996</v>
      </c>
      <c r="AL234" s="322">
        <f t="shared" si="100"/>
        <v>0</v>
      </c>
      <c r="AM234" s="228"/>
      <c r="AN234" s="228"/>
      <c r="AO234" s="343"/>
      <c r="AP234" s="228"/>
      <c r="AQ234" s="228"/>
      <c r="AR234" s="228"/>
      <c r="AS234" s="228"/>
      <c r="AT234" s="343"/>
      <c r="AU234" s="343"/>
      <c r="AV234" s="343"/>
      <c r="AW234" s="343"/>
      <c r="AX234" s="228"/>
    </row>
    <row r="235" spans="1:50" s="5" customFormat="1" collapsed="1" x14ac:dyDescent="0.3">
      <c r="A235" s="491"/>
      <c r="B235" s="376"/>
      <c r="C235" s="343"/>
      <c r="D235" s="343"/>
      <c r="E235" s="343"/>
      <c r="F235" s="343"/>
      <c r="G235" s="228"/>
      <c r="H235" s="228"/>
      <c r="I235" s="228"/>
      <c r="J235" s="228"/>
      <c r="K235" s="343"/>
      <c r="L235" s="228"/>
      <c r="M235" s="228"/>
      <c r="N235" s="228"/>
      <c r="O235" s="228"/>
      <c r="P235" s="343"/>
      <c r="Q235" s="228"/>
      <c r="R235" s="228"/>
      <c r="S235" s="228"/>
      <c r="T235" s="228"/>
      <c r="U235" s="343"/>
      <c r="V235" s="228"/>
      <c r="W235" s="228"/>
      <c r="X235" s="228"/>
      <c r="Y235" s="228"/>
      <c r="Z235" s="343"/>
      <c r="AA235" s="228"/>
      <c r="AB235" s="228"/>
      <c r="AC235" s="228"/>
      <c r="AD235" s="228"/>
      <c r="AE235" s="343"/>
      <c r="AF235" s="228"/>
      <c r="AG235" s="228"/>
      <c r="AH235" s="228"/>
      <c r="AI235" s="228"/>
      <c r="AJ235" s="343"/>
      <c r="AK235" s="228"/>
      <c r="AL235" s="322"/>
      <c r="AM235" s="228"/>
      <c r="AN235" s="228"/>
      <c r="AO235" s="343"/>
      <c r="AP235" s="228"/>
      <c r="AQ235" s="228"/>
      <c r="AR235" s="228"/>
      <c r="AS235" s="228"/>
      <c r="AT235" s="343"/>
      <c r="AU235" s="343"/>
      <c r="AV235" s="343"/>
      <c r="AW235" s="343"/>
      <c r="AX235" s="228"/>
    </row>
    <row r="236" spans="1:50" s="9" customFormat="1" x14ac:dyDescent="0.3">
      <c r="A236" s="45" t="s">
        <v>139</v>
      </c>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306"/>
      <c r="AM236" s="45"/>
      <c r="AN236" s="45"/>
      <c r="AO236" s="45"/>
      <c r="AP236" s="45"/>
      <c r="AQ236" s="45"/>
      <c r="AR236" s="45"/>
      <c r="AS236" s="45"/>
      <c r="AT236" s="45"/>
      <c r="AU236" s="45"/>
      <c r="AV236" s="45"/>
      <c r="AW236" s="45"/>
      <c r="AX236" s="22"/>
    </row>
    <row r="237" spans="1:50" s="9" customFormat="1" hidden="1" outlineLevel="1" x14ac:dyDescent="0.3">
      <c r="A237" s="35" t="s">
        <v>140</v>
      </c>
      <c r="B237" s="103"/>
      <c r="C237" s="4"/>
      <c r="D237" s="4"/>
      <c r="E237" s="4"/>
      <c r="F237" s="4"/>
      <c r="G237" s="22"/>
      <c r="H237" s="22"/>
      <c r="I237" s="22"/>
      <c r="J237" s="22"/>
      <c r="K237" s="4"/>
      <c r="L237" s="22"/>
      <c r="M237" s="22"/>
      <c r="N237" s="22"/>
      <c r="O237" s="22"/>
      <c r="P237" s="4"/>
      <c r="Q237" s="22"/>
      <c r="R237" s="22"/>
      <c r="S237" s="22"/>
      <c r="T237" s="22"/>
      <c r="U237" s="4"/>
      <c r="V237" s="22"/>
      <c r="W237" s="22"/>
      <c r="X237" s="22"/>
      <c r="Y237" s="22"/>
      <c r="Z237" s="4"/>
      <c r="AA237" s="22"/>
      <c r="AB237" s="22"/>
      <c r="AC237" s="22"/>
      <c r="AD237" s="22"/>
      <c r="AE237" s="4"/>
      <c r="AF237" s="22"/>
      <c r="AG237" s="22"/>
      <c r="AH237" s="22"/>
      <c r="AI237" s="22"/>
      <c r="AJ237" s="4"/>
      <c r="AK237" s="22"/>
      <c r="AL237" s="308"/>
      <c r="AM237" s="22"/>
      <c r="AN237" s="22"/>
      <c r="AO237" s="4"/>
      <c r="AP237" s="22"/>
      <c r="AQ237" s="22"/>
      <c r="AR237" s="22"/>
      <c r="AS237" s="22"/>
      <c r="AT237" s="4"/>
      <c r="AU237" s="4"/>
      <c r="AV237" s="4"/>
      <c r="AW237" s="4"/>
      <c r="AX237" s="22"/>
    </row>
    <row r="238" spans="1:50" s="5" customFormat="1" hidden="1" outlineLevel="1" x14ac:dyDescent="0.3">
      <c r="A238" s="36" t="s">
        <v>453</v>
      </c>
      <c r="B238" s="376"/>
      <c r="C238" s="343">
        <v>12.885999999999999</v>
      </c>
      <c r="D238" s="343">
        <v>13.54</v>
      </c>
      <c r="E238" s="343">
        <v>9.9770000000000003</v>
      </c>
      <c r="F238" s="343">
        <v>111.38</v>
      </c>
      <c r="G238" s="228">
        <v>-8.4570000000000007</v>
      </c>
      <c r="H238" s="228">
        <v>-10.196</v>
      </c>
      <c r="I238" s="228">
        <v>-15.904</v>
      </c>
      <c r="J238" s="228">
        <f>K238</f>
        <v>-23.341999999999999</v>
      </c>
      <c r="K238" s="343">
        <v>-23.341999999999999</v>
      </c>
      <c r="L238" s="228">
        <v>-10.98</v>
      </c>
      <c r="M238" s="228">
        <v>-19.847000000000001</v>
      </c>
      <c r="N238" s="228">
        <v>-19.256</v>
      </c>
      <c r="O238" s="228">
        <f>P238</f>
        <v>-24.009</v>
      </c>
      <c r="P238" s="343">
        <v>-24.009</v>
      </c>
      <c r="Q238" s="228">
        <v>10.496</v>
      </c>
      <c r="R238" s="228">
        <v>29.744</v>
      </c>
      <c r="S238" s="228">
        <v>49.695999999999998</v>
      </c>
      <c r="T238" s="228">
        <f>U238</f>
        <v>92.894000000000005</v>
      </c>
      <c r="U238" s="343">
        <v>92.894000000000005</v>
      </c>
      <c r="V238" s="228">
        <v>-7.1680000000000001</v>
      </c>
      <c r="W238" s="228">
        <v>-2.5139999999999998</v>
      </c>
      <c r="X238" s="228">
        <v>9.5229999999999997</v>
      </c>
      <c r="Y238" s="93">
        <f>Z238</f>
        <v>18.518000000000001</v>
      </c>
      <c r="Z238" s="343">
        <v>18.518000000000001</v>
      </c>
      <c r="AA238" s="228">
        <v>-12.244</v>
      </c>
      <c r="AB238" s="228">
        <v>-20.234999999999999</v>
      </c>
      <c r="AC238" s="228">
        <v>-16.832000000000001</v>
      </c>
      <c r="AD238" s="93">
        <f>AE238</f>
        <v>-19.425000000000001</v>
      </c>
      <c r="AE238" s="343">
        <v>-19.425000000000001</v>
      </c>
      <c r="AF238" s="228">
        <v>37.843000000000004</v>
      </c>
      <c r="AG238" s="228">
        <v>54.369</v>
      </c>
      <c r="AH238" s="228">
        <v>91.426000000000002</v>
      </c>
      <c r="AI238" s="93">
        <f>AJ238</f>
        <v>134.25800000000001</v>
      </c>
      <c r="AJ238" s="343">
        <v>134.25800000000001</v>
      </c>
      <c r="AK238" s="228">
        <v>48.62</v>
      </c>
      <c r="AL238" s="322">
        <v>87.049000000000007</v>
      </c>
      <c r="AM238" s="228"/>
      <c r="AN238" s="93"/>
      <c r="AO238" s="343"/>
      <c r="AP238" s="228"/>
      <c r="AQ238" s="228"/>
      <c r="AR238" s="228"/>
      <c r="AS238" s="93"/>
      <c r="AT238" s="343"/>
      <c r="AU238" s="343"/>
      <c r="AV238" s="343"/>
      <c r="AW238" s="343"/>
      <c r="AX238" s="228"/>
    </row>
    <row r="239" spans="1:50" s="5" customFormat="1" hidden="1" outlineLevel="1" x14ac:dyDescent="0.3">
      <c r="A239" s="36" t="s">
        <v>142</v>
      </c>
      <c r="B239" s="376"/>
      <c r="C239" s="343">
        <v>4.0709999999999997</v>
      </c>
      <c r="D239" s="343">
        <v>5.7770000000000001</v>
      </c>
      <c r="E239" s="343">
        <v>19.745000000000001</v>
      </c>
      <c r="F239" s="343">
        <v>23.867999999999999</v>
      </c>
      <c r="G239" s="228">
        <v>7.35</v>
      </c>
      <c r="H239" s="228">
        <v>15.186</v>
      </c>
      <c r="I239" s="228">
        <v>25.439</v>
      </c>
      <c r="J239" s="228">
        <f>K239</f>
        <v>35.646000000000001</v>
      </c>
      <c r="K239" s="343">
        <v>35.646000000000001</v>
      </c>
      <c r="L239" s="228">
        <v>9.9960000000000004</v>
      </c>
      <c r="M239" s="228">
        <v>19.446000000000002</v>
      </c>
      <c r="N239" s="228">
        <v>28.983000000000001</v>
      </c>
      <c r="O239" s="228">
        <f>P239</f>
        <v>38.670999999999999</v>
      </c>
      <c r="P239" s="343">
        <v>38.670999999999999</v>
      </c>
      <c r="Q239" s="228">
        <v>9.5459999999999994</v>
      </c>
      <c r="R239" s="228">
        <v>19.774999999999999</v>
      </c>
      <c r="S239" s="228">
        <v>30.463999999999999</v>
      </c>
      <c r="T239" s="228">
        <f>U239</f>
        <v>41.372</v>
      </c>
      <c r="U239" s="343">
        <v>41.372</v>
      </c>
      <c r="V239" s="228">
        <v>20.614000000000001</v>
      </c>
      <c r="W239" s="228">
        <v>46.231000000000002</v>
      </c>
      <c r="X239" s="228">
        <v>73.263999999999996</v>
      </c>
      <c r="Y239" s="93">
        <f>Z239</f>
        <v>97.730999999999995</v>
      </c>
      <c r="Z239" s="343">
        <v>97.730999999999995</v>
      </c>
      <c r="AA239" s="228">
        <v>25.181000000000001</v>
      </c>
      <c r="AB239" s="228">
        <v>50.814</v>
      </c>
      <c r="AC239" s="228">
        <v>76.563999999999993</v>
      </c>
      <c r="AD239" s="93">
        <f>AE239</f>
        <v>103.821</v>
      </c>
      <c r="AE239" s="343">
        <v>103.821</v>
      </c>
      <c r="AF239" s="228">
        <v>26.442</v>
      </c>
      <c r="AG239" s="228">
        <v>52.673999999999999</v>
      </c>
      <c r="AH239" s="228">
        <v>77.454999999999998</v>
      </c>
      <c r="AI239" s="93">
        <f>AJ239</f>
        <v>101.59</v>
      </c>
      <c r="AJ239" s="343">
        <v>101.59</v>
      </c>
      <c r="AK239" s="228">
        <v>23.962</v>
      </c>
      <c r="AL239" s="322">
        <v>47.448999999999998</v>
      </c>
      <c r="AM239" s="228"/>
      <c r="AN239" s="93"/>
      <c r="AO239" s="343"/>
      <c r="AP239" s="228"/>
      <c r="AQ239" s="228"/>
      <c r="AR239" s="228"/>
      <c r="AS239" s="93"/>
      <c r="AT239" s="343"/>
      <c r="AU239" s="343"/>
      <c r="AV239" s="343"/>
      <c r="AW239" s="343"/>
      <c r="AX239" s="228"/>
    </row>
    <row r="240" spans="1:50" s="5" customFormat="1" hidden="1" outlineLevel="1" x14ac:dyDescent="0.3">
      <c r="A240" s="36" t="s">
        <v>146</v>
      </c>
      <c r="B240" s="376"/>
      <c r="C240" s="343">
        <v>3.6379999999999999</v>
      </c>
      <c r="D240" s="343">
        <v>7.3789999999999996</v>
      </c>
      <c r="E240" s="343">
        <v>-0.22800000000000001</v>
      </c>
      <c r="F240" s="343">
        <v>-3.4540000000000002</v>
      </c>
      <c r="G240" s="228">
        <v>-1.0509999999999999</v>
      </c>
      <c r="H240" s="228">
        <v>-1.9300000000000002</v>
      </c>
      <c r="I240" s="228">
        <v>-2.403</v>
      </c>
      <c r="J240" s="228">
        <f>K240</f>
        <v>-1.24</v>
      </c>
      <c r="K240" s="343">
        <v>-1.24</v>
      </c>
      <c r="L240" s="228">
        <v>0.124</v>
      </c>
      <c r="M240" s="228">
        <v>0.80700000000000005</v>
      </c>
      <c r="N240" s="228">
        <v>-0.20200000000000001</v>
      </c>
      <c r="O240" s="228">
        <f>P240</f>
        <v>13.832000000000001</v>
      </c>
      <c r="P240" s="343">
        <v>13.832000000000001</v>
      </c>
      <c r="Q240" s="228">
        <v>0.104</v>
      </c>
      <c r="R240" s="228">
        <v>0.13400000000000001</v>
      </c>
      <c r="S240" s="228">
        <v>0.13400000000000001</v>
      </c>
      <c r="T240" s="228">
        <f>U240</f>
        <v>-22.606999999999999</v>
      </c>
      <c r="U240" s="343">
        <v>-22.606999999999999</v>
      </c>
      <c r="V240" s="228">
        <v>1.2649999999999999</v>
      </c>
      <c r="W240" s="228">
        <v>1.266</v>
      </c>
      <c r="X240" s="228">
        <v>1.266</v>
      </c>
      <c r="Y240" s="93">
        <f>Z240</f>
        <v>0.80900000000000005</v>
      </c>
      <c r="Z240" s="343">
        <v>0.80900000000000005</v>
      </c>
      <c r="AA240" s="228">
        <v>-0.94199999999999995</v>
      </c>
      <c r="AB240" s="228">
        <v>-0.70399999999999996</v>
      </c>
      <c r="AC240" s="228">
        <v>-0.70399999999999996</v>
      </c>
      <c r="AD240" s="93">
        <f>AE240</f>
        <v>-2.15</v>
      </c>
      <c r="AE240" s="343">
        <v>-2.15</v>
      </c>
      <c r="AF240" s="228">
        <v>-26.827000000000002</v>
      </c>
      <c r="AG240" s="228">
        <v>-28.085000000000001</v>
      </c>
      <c r="AH240" s="228">
        <v>-27.972999999999999</v>
      </c>
      <c r="AI240" s="93">
        <f>AJ240</f>
        <v>-26.696999999999999</v>
      </c>
      <c r="AJ240" s="343">
        <v>-26.696999999999999</v>
      </c>
      <c r="AK240" s="228"/>
      <c r="AL240" s="322"/>
      <c r="AM240" s="228"/>
      <c r="AN240" s="93"/>
      <c r="AO240" s="343"/>
      <c r="AP240" s="228"/>
      <c r="AQ240" s="228"/>
      <c r="AR240" s="228"/>
      <c r="AS240" s="93"/>
      <c r="AT240" s="343"/>
      <c r="AU240" s="343"/>
      <c r="AV240" s="343"/>
      <c r="AW240" s="343"/>
      <c r="AX240" s="228"/>
    </row>
    <row r="241" spans="1:50" s="5" customFormat="1" hidden="1" outlineLevel="1" x14ac:dyDescent="0.3">
      <c r="A241" s="36" t="s">
        <v>508</v>
      </c>
      <c r="B241" s="376"/>
      <c r="C241" s="343">
        <v>10.736000000000001</v>
      </c>
      <c r="D241" s="343">
        <v>14.101000000000001</v>
      </c>
      <c r="E241" s="343">
        <v>21.411999999999999</v>
      </c>
      <c r="F241" s="343">
        <v>35.018999999999998</v>
      </c>
      <c r="G241" s="228">
        <v>10.375</v>
      </c>
      <c r="H241" s="228">
        <v>21.54</v>
      </c>
      <c r="I241" s="228">
        <v>33.472000000000001</v>
      </c>
      <c r="J241" s="228">
        <f>K241</f>
        <v>45.137999999999998</v>
      </c>
      <c r="K241" s="343">
        <v>45.137999999999998</v>
      </c>
      <c r="L241" s="228">
        <v>11.638</v>
      </c>
      <c r="M241" s="228">
        <v>23.585000000000001</v>
      </c>
      <c r="N241" s="228">
        <v>35.433999999999997</v>
      </c>
      <c r="O241" s="228">
        <f>P241</f>
        <v>47.234999999999999</v>
      </c>
      <c r="P241" s="343">
        <v>47.234999999999999</v>
      </c>
      <c r="Q241" s="228">
        <v>11.718</v>
      </c>
      <c r="R241" s="228">
        <v>25.004000000000001</v>
      </c>
      <c r="S241" s="228">
        <v>37.834000000000003</v>
      </c>
      <c r="T241" s="228">
        <f>U241</f>
        <v>50.764000000000003</v>
      </c>
      <c r="U241" s="343">
        <v>50.764000000000003</v>
      </c>
      <c r="V241" s="228">
        <v>18.265999999999998</v>
      </c>
      <c r="W241" s="228">
        <v>36.36</v>
      </c>
      <c r="X241" s="228">
        <v>53.936</v>
      </c>
      <c r="Y241" s="93">
        <f>Z241</f>
        <v>66.308999999999997</v>
      </c>
      <c r="Z241" s="343">
        <v>66.308999999999997</v>
      </c>
      <c r="AA241" s="228">
        <v>14.768000000000001</v>
      </c>
      <c r="AB241" s="228">
        <v>32.433</v>
      </c>
      <c r="AC241" s="228">
        <v>50.993000000000002</v>
      </c>
      <c r="AD241" s="93">
        <f>AE241</f>
        <v>68.864000000000004</v>
      </c>
      <c r="AE241" s="343">
        <v>68.864000000000004</v>
      </c>
      <c r="AF241" s="228">
        <v>14.974</v>
      </c>
      <c r="AG241" s="228">
        <v>29.89</v>
      </c>
      <c r="AH241" s="228">
        <v>49.045999999999999</v>
      </c>
      <c r="AI241" s="93">
        <f>AJ241</f>
        <v>71.341999999999999</v>
      </c>
      <c r="AJ241" s="343">
        <v>71.341999999999999</v>
      </c>
      <c r="AK241" s="228">
        <v>24.242000000000001</v>
      </c>
      <c r="AL241" s="322">
        <v>51.191000000000003</v>
      </c>
      <c r="AM241" s="228"/>
      <c r="AN241" s="93"/>
      <c r="AO241" s="343"/>
      <c r="AP241" s="228"/>
      <c r="AQ241" s="228"/>
      <c r="AR241" s="228"/>
      <c r="AS241" s="93"/>
      <c r="AT241" s="343"/>
      <c r="AU241" s="343"/>
      <c r="AV241" s="343"/>
      <c r="AW241" s="343"/>
      <c r="AX241" s="228"/>
    </row>
    <row r="242" spans="1:50" s="5" customFormat="1" hidden="1" outlineLevel="1" x14ac:dyDescent="0.3">
      <c r="A242" s="36" t="s">
        <v>509</v>
      </c>
      <c r="B242" s="376"/>
      <c r="C242" s="343">
        <v>-0.82699999999999996</v>
      </c>
      <c r="D242" s="343">
        <v>-2.5000000000000001E-2</v>
      </c>
      <c r="E242" s="343">
        <v>-1.4999999999999999E-2</v>
      </c>
      <c r="F242" s="343">
        <v>-0.89600000000000002</v>
      </c>
      <c r="G242" s="228">
        <v>-0.223</v>
      </c>
      <c r="H242" s="228">
        <v>-0.439</v>
      </c>
      <c r="I242" s="228">
        <v>-0.71</v>
      </c>
      <c r="J242" s="228">
        <f>K242</f>
        <v>-1.2190000000000001</v>
      </c>
      <c r="K242" s="343">
        <v>-1.2190000000000001</v>
      </c>
      <c r="L242" s="228">
        <v>-0.41599999999999998</v>
      </c>
      <c r="M242" s="228">
        <v>-1.2</v>
      </c>
      <c r="N242" s="228">
        <v>-9.4E-2</v>
      </c>
      <c r="O242" s="228">
        <f>P242</f>
        <v>0.42499999999999999</v>
      </c>
      <c r="P242" s="343">
        <v>0.42499999999999999</v>
      </c>
      <c r="Q242" s="228">
        <v>-0.309</v>
      </c>
      <c r="R242" s="228">
        <v>-2.3879999999999999</v>
      </c>
      <c r="S242" s="228">
        <v>-2.1930000000000001</v>
      </c>
      <c r="T242" s="228">
        <f>U242</f>
        <v>-3</v>
      </c>
      <c r="U242" s="343">
        <v>-3</v>
      </c>
      <c r="V242" s="228">
        <v>0.112</v>
      </c>
      <c r="W242" s="228">
        <v>-0.48899999999999999</v>
      </c>
      <c r="X242" s="228">
        <v>-1.19</v>
      </c>
      <c r="Y242" s="93">
        <f>Z242</f>
        <v>-1.774</v>
      </c>
      <c r="Z242" s="343">
        <v>-1.774</v>
      </c>
      <c r="AA242" s="228">
        <v>-0.85799999999999998</v>
      </c>
      <c r="AB242" s="228">
        <v>-1.7010000000000001</v>
      </c>
      <c r="AC242" s="228">
        <v>-2.6320000000000001</v>
      </c>
      <c r="AD242" s="93">
        <f>AE242</f>
        <v>-3.46</v>
      </c>
      <c r="AE242" s="343">
        <v>-3.46</v>
      </c>
      <c r="AF242" s="228">
        <v>-0.88600000000000001</v>
      </c>
      <c r="AG242" s="228">
        <v>-1.8280000000000001</v>
      </c>
      <c r="AH242" s="228">
        <v>-3.1349999999999998</v>
      </c>
      <c r="AI242" s="93">
        <f>AJ242</f>
        <v>-5.2779999999999996</v>
      </c>
      <c r="AJ242" s="343">
        <v>-5.2779999999999996</v>
      </c>
      <c r="AK242" s="228">
        <v>-2.758</v>
      </c>
      <c r="AL242" s="322">
        <v>-6.5579999999999998</v>
      </c>
      <c r="AM242" s="228"/>
      <c r="AN242" s="93"/>
      <c r="AO242" s="343"/>
      <c r="AP242" s="228"/>
      <c r="AQ242" s="228"/>
      <c r="AR242" s="228"/>
      <c r="AS242" s="93"/>
      <c r="AT242" s="343"/>
      <c r="AU242" s="343"/>
      <c r="AV242" s="343"/>
      <c r="AW242" s="343"/>
      <c r="AX242" s="228"/>
    </row>
    <row r="243" spans="1:50" s="5" customFormat="1" hidden="1" outlineLevel="1" x14ac:dyDescent="0.3">
      <c r="A243" s="36" t="s">
        <v>510</v>
      </c>
      <c r="B243" s="376"/>
      <c r="C243" s="343"/>
      <c r="D243" s="343"/>
      <c r="E243" s="343"/>
      <c r="F243" s="343"/>
      <c r="G243" s="228"/>
      <c r="H243" s="228"/>
      <c r="I243" s="228"/>
      <c r="J243" s="228"/>
      <c r="K243" s="343"/>
      <c r="L243" s="228"/>
      <c r="M243" s="228"/>
      <c r="N243" s="228"/>
      <c r="O243" s="228"/>
      <c r="P243" s="343"/>
      <c r="Q243" s="228"/>
      <c r="R243" s="228"/>
      <c r="S243" s="228"/>
      <c r="T243" s="228"/>
      <c r="U243" s="343"/>
      <c r="V243" s="228"/>
      <c r="W243" s="228"/>
      <c r="X243" s="228"/>
      <c r="Y243" s="93"/>
      <c r="Z243" s="343"/>
      <c r="AA243" s="228"/>
      <c r="AB243" s="228"/>
      <c r="AC243" s="228"/>
      <c r="AD243" s="93"/>
      <c r="AE243" s="343"/>
      <c r="AF243" s="228"/>
      <c r="AG243" s="228"/>
      <c r="AH243" s="228"/>
      <c r="AI243" s="93"/>
      <c r="AJ243" s="343"/>
      <c r="AK243" s="228">
        <v>-9.1280000000000001</v>
      </c>
      <c r="AL243" s="322">
        <v>-9.5690000000000008</v>
      </c>
      <c r="AM243" s="228"/>
      <c r="AN243" s="93"/>
      <c r="AO243" s="343"/>
      <c r="AP243" s="228"/>
      <c r="AQ243" s="228"/>
      <c r="AR243" s="228"/>
      <c r="AS243" s="93"/>
      <c r="AT243" s="343"/>
      <c r="AU243" s="343"/>
      <c r="AV243" s="343"/>
      <c r="AW243" s="343"/>
      <c r="AX243" s="228"/>
    </row>
    <row r="244" spans="1:50" s="5" customFormat="1" hidden="1" outlineLevel="1" x14ac:dyDescent="0.3">
      <c r="A244" s="36" t="s">
        <v>511</v>
      </c>
      <c r="B244" s="376"/>
      <c r="C244" s="343"/>
      <c r="D244" s="343"/>
      <c r="E244" s="343"/>
      <c r="F244" s="343"/>
      <c r="G244" s="228"/>
      <c r="H244" s="228"/>
      <c r="I244" s="228"/>
      <c r="J244" s="228"/>
      <c r="K244" s="343"/>
      <c r="L244" s="228"/>
      <c r="M244" s="228"/>
      <c r="N244" s="228"/>
      <c r="O244" s="228"/>
      <c r="P244" s="343"/>
      <c r="Q244" s="228"/>
      <c r="R244" s="228"/>
      <c r="S244" s="228"/>
      <c r="T244" s="228"/>
      <c r="U244" s="343"/>
      <c r="V244" s="228"/>
      <c r="W244" s="228"/>
      <c r="X244" s="228"/>
      <c r="Y244" s="93"/>
      <c r="Z244" s="343"/>
      <c r="AA244" s="228"/>
      <c r="AB244" s="228"/>
      <c r="AC244" s="228"/>
      <c r="AD244" s="93"/>
      <c r="AE244" s="343"/>
      <c r="AF244" s="228">
        <v>0.13900000000000001</v>
      </c>
      <c r="AG244" s="228"/>
      <c r="AH244" s="228"/>
      <c r="AI244" s="93"/>
      <c r="AJ244" s="343"/>
      <c r="AK244" s="228"/>
      <c r="AL244" s="322"/>
      <c r="AM244" s="228"/>
      <c r="AN244" s="93"/>
      <c r="AO244" s="343"/>
      <c r="AP244" s="228"/>
      <c r="AQ244" s="228"/>
      <c r="AR244" s="228"/>
      <c r="AS244" s="93"/>
      <c r="AT244" s="343"/>
      <c r="AU244" s="343"/>
      <c r="AV244" s="343"/>
      <c r="AW244" s="343"/>
      <c r="AX244" s="228"/>
    </row>
    <row r="245" spans="1:50" s="5" customFormat="1" hidden="1" outlineLevel="1" x14ac:dyDescent="0.3">
      <c r="A245" s="36" t="s">
        <v>512</v>
      </c>
      <c r="B245" s="376"/>
      <c r="C245" s="343">
        <v>0</v>
      </c>
      <c r="D245" s="343">
        <v>-1.101</v>
      </c>
      <c r="E245" s="343">
        <v>-2.411</v>
      </c>
      <c r="F245" s="343">
        <v>-5.141</v>
      </c>
      <c r="G245" s="228">
        <v>-0.93200000000000005</v>
      </c>
      <c r="H245" s="228">
        <v>-1.9390000000000001</v>
      </c>
      <c r="I245" s="228">
        <v>-2.7959999999999998</v>
      </c>
      <c r="J245" s="228">
        <f>K245</f>
        <v>-2.6619999999999999</v>
      </c>
      <c r="K245" s="343">
        <v>-2.6619999999999999</v>
      </c>
      <c r="L245" s="228"/>
      <c r="M245" s="228"/>
      <c r="N245" s="228">
        <v>-0.34599999999999997</v>
      </c>
      <c r="O245" s="228">
        <f>P245</f>
        <v>-0.34200000000000003</v>
      </c>
      <c r="P245" s="343">
        <v>-0.34200000000000003</v>
      </c>
      <c r="Q245" s="228"/>
      <c r="R245" s="228"/>
      <c r="S245" s="228"/>
      <c r="T245" s="228">
        <f>U245</f>
        <v>-5.2999999999999999E-2</v>
      </c>
      <c r="U245" s="343">
        <v>-5.2999999999999999E-2</v>
      </c>
      <c r="V245" s="228"/>
      <c r="W245" s="228"/>
      <c r="X245" s="228"/>
      <c r="Y245" s="93">
        <f>Z245</f>
        <v>4.5999999999999999E-2</v>
      </c>
      <c r="Z245" s="343">
        <v>4.5999999999999999E-2</v>
      </c>
      <c r="AA245" s="228"/>
      <c r="AB245" s="228"/>
      <c r="AC245" s="228"/>
      <c r="AD245" s="93">
        <f>AE245</f>
        <v>0</v>
      </c>
      <c r="AE245" s="343"/>
      <c r="AF245" s="228"/>
      <c r="AG245" s="228"/>
      <c r="AH245" s="228"/>
      <c r="AI245" s="93">
        <f>AJ245</f>
        <v>0</v>
      </c>
      <c r="AJ245" s="343"/>
      <c r="AK245" s="228"/>
      <c r="AL245" s="322"/>
      <c r="AM245" s="228"/>
      <c r="AN245" s="93"/>
      <c r="AO245" s="343"/>
      <c r="AP245" s="228"/>
      <c r="AQ245" s="228"/>
      <c r="AR245" s="228"/>
      <c r="AS245" s="93"/>
      <c r="AT245" s="343"/>
      <c r="AU245" s="343"/>
      <c r="AV245" s="343"/>
      <c r="AW245" s="343"/>
      <c r="AX245" s="228"/>
    </row>
    <row r="246" spans="1:50" s="5" customFormat="1" hidden="1" outlineLevel="1" x14ac:dyDescent="0.3">
      <c r="A246" s="36" t="s">
        <v>513</v>
      </c>
      <c r="B246" s="376"/>
      <c r="C246" s="343">
        <v>0.5</v>
      </c>
      <c r="D246" s="343"/>
      <c r="E246" s="343"/>
      <c r="F246" s="343"/>
      <c r="G246" s="228"/>
      <c r="H246" s="228"/>
      <c r="I246" s="228"/>
      <c r="J246" s="228">
        <f>K246</f>
        <v>0</v>
      </c>
      <c r="K246" s="343"/>
      <c r="L246" s="228"/>
      <c r="M246" s="228"/>
      <c r="N246" s="228"/>
      <c r="O246" s="228">
        <f>P246</f>
        <v>0</v>
      </c>
      <c r="P246" s="343"/>
      <c r="Q246" s="228">
        <v>3.1890000000000001</v>
      </c>
      <c r="R246" s="228">
        <v>3.1890000000000001</v>
      </c>
      <c r="S246" s="228">
        <v>3.1890000000000001</v>
      </c>
      <c r="T246" s="228">
        <f>U246</f>
        <v>3.1890000000000001</v>
      </c>
      <c r="U246" s="343">
        <v>3.1890000000000001</v>
      </c>
      <c r="V246" s="228">
        <v>0</v>
      </c>
      <c r="W246" s="228"/>
      <c r="X246" s="228"/>
      <c r="Y246" s="93">
        <f>Z246</f>
        <v>0</v>
      </c>
      <c r="Z246" s="343"/>
      <c r="AA246" s="228"/>
      <c r="AB246" s="228"/>
      <c r="AC246" s="228"/>
      <c r="AD246" s="93">
        <f>AE246</f>
        <v>12.019</v>
      </c>
      <c r="AE246" s="343">
        <v>12.019</v>
      </c>
      <c r="AF246" s="228"/>
      <c r="AG246" s="228">
        <v>1.5669999999999999</v>
      </c>
      <c r="AH246" s="228">
        <v>2.806</v>
      </c>
      <c r="AI246" s="93">
        <f>AJ246</f>
        <v>4.7539999999999996</v>
      </c>
      <c r="AJ246" s="343">
        <v>4.7539999999999996</v>
      </c>
      <c r="AK246" s="345">
        <v>2.544</v>
      </c>
      <c r="AL246" s="322">
        <v>2.843</v>
      </c>
      <c r="AM246" s="228"/>
      <c r="AN246" s="93"/>
      <c r="AO246" s="343"/>
      <c r="AP246" s="228"/>
      <c r="AQ246" s="228"/>
      <c r="AR246" s="228"/>
      <c r="AS246" s="93"/>
      <c r="AT246" s="343"/>
      <c r="AU246" s="343"/>
      <c r="AV246" s="343"/>
      <c r="AW246" s="343"/>
      <c r="AX246" s="228"/>
    </row>
    <row r="247" spans="1:50" s="9" customFormat="1" hidden="1" outlineLevel="1" x14ac:dyDescent="0.3">
      <c r="A247" s="347" t="s">
        <v>153</v>
      </c>
      <c r="B247" s="377"/>
      <c r="C247" s="349">
        <f t="shared" ref="C247:AL247" si="101">SUM(C238:C246)</f>
        <v>31.003999999999998</v>
      </c>
      <c r="D247" s="349">
        <f t="shared" si="101"/>
        <v>39.670999999999999</v>
      </c>
      <c r="E247" s="349">
        <f t="shared" si="101"/>
        <v>48.48</v>
      </c>
      <c r="F247" s="349">
        <f t="shared" si="101"/>
        <v>160.77600000000001</v>
      </c>
      <c r="G247" s="350">
        <f t="shared" si="101"/>
        <v>7.0619999999999985</v>
      </c>
      <c r="H247" s="350">
        <f t="shared" si="101"/>
        <v>22.221999999999998</v>
      </c>
      <c r="I247" s="350">
        <f t="shared" si="101"/>
        <v>37.097999999999999</v>
      </c>
      <c r="J247" s="350">
        <f t="shared" si="101"/>
        <v>52.320999999999998</v>
      </c>
      <c r="K247" s="349">
        <f t="shared" si="101"/>
        <v>52.320999999999998</v>
      </c>
      <c r="L247" s="350">
        <f t="shared" si="101"/>
        <v>10.362</v>
      </c>
      <c r="M247" s="350">
        <f t="shared" si="101"/>
        <v>22.791</v>
      </c>
      <c r="N247" s="350">
        <f t="shared" si="101"/>
        <v>44.518999999999998</v>
      </c>
      <c r="O247" s="350">
        <f t="shared" si="101"/>
        <v>75.811999999999998</v>
      </c>
      <c r="P247" s="349">
        <f t="shared" si="101"/>
        <v>75.811999999999998</v>
      </c>
      <c r="Q247" s="350">
        <f t="shared" si="101"/>
        <v>34.744</v>
      </c>
      <c r="R247" s="350">
        <f t="shared" si="101"/>
        <v>75.457999999999998</v>
      </c>
      <c r="S247" s="350">
        <f t="shared" si="101"/>
        <v>119.124</v>
      </c>
      <c r="T247" s="350">
        <f t="shared" si="101"/>
        <v>162.55900000000003</v>
      </c>
      <c r="U247" s="349">
        <f t="shared" si="101"/>
        <v>162.55900000000003</v>
      </c>
      <c r="V247" s="350">
        <f t="shared" si="101"/>
        <v>33.089000000000006</v>
      </c>
      <c r="W247" s="350">
        <f t="shared" si="101"/>
        <v>80.853999999999985</v>
      </c>
      <c r="X247" s="350">
        <f t="shared" si="101"/>
        <v>136.79900000000001</v>
      </c>
      <c r="Y247" s="351">
        <f t="shared" si="101"/>
        <v>181.63899999999998</v>
      </c>
      <c r="Z247" s="352">
        <f t="shared" si="101"/>
        <v>181.63899999999998</v>
      </c>
      <c r="AA247" s="350">
        <f t="shared" si="101"/>
        <v>25.905000000000001</v>
      </c>
      <c r="AB247" s="350">
        <f t="shared" si="101"/>
        <v>60.606999999999999</v>
      </c>
      <c r="AC247" s="350">
        <f t="shared" si="101"/>
        <v>107.38899999999998</v>
      </c>
      <c r="AD247" s="351">
        <f t="shared" si="101"/>
        <v>159.66900000000001</v>
      </c>
      <c r="AE247" s="352">
        <f t="shared" si="101"/>
        <v>159.66900000000001</v>
      </c>
      <c r="AF247" s="350">
        <f t="shared" si="101"/>
        <v>51.685000000000002</v>
      </c>
      <c r="AG247" s="350">
        <f t="shared" si="101"/>
        <v>108.58699999999999</v>
      </c>
      <c r="AH247" s="350">
        <f t="shared" si="101"/>
        <v>189.62500000000003</v>
      </c>
      <c r="AI247" s="351">
        <f t="shared" si="101"/>
        <v>279.96899999999999</v>
      </c>
      <c r="AJ247" s="352">
        <f t="shared" si="101"/>
        <v>279.96899999999999</v>
      </c>
      <c r="AK247" s="350">
        <f t="shared" si="101"/>
        <v>87.481999999999999</v>
      </c>
      <c r="AL247" s="353">
        <f t="shared" si="101"/>
        <v>172.405</v>
      </c>
      <c r="AM247" s="351"/>
      <c r="AN247" s="351"/>
      <c r="AO247" s="352"/>
      <c r="AP247" s="351"/>
      <c r="AQ247" s="351"/>
      <c r="AR247" s="351"/>
      <c r="AS247" s="351"/>
      <c r="AT247" s="352"/>
      <c r="AU247" s="352"/>
      <c r="AV247" s="352"/>
      <c r="AW247" s="352"/>
      <c r="AX247" s="22"/>
    </row>
    <row r="248" spans="1:50" s="5" customFormat="1" hidden="1" outlineLevel="1" x14ac:dyDescent="0.3">
      <c r="A248" s="36" t="s">
        <v>154</v>
      </c>
      <c r="B248" s="376"/>
      <c r="C248" s="343">
        <v>2.9809999999999999</v>
      </c>
      <c r="D248" s="343">
        <v>0.52500000000000002</v>
      </c>
      <c r="E248" s="343">
        <v>-15.898999999999999</v>
      </c>
      <c r="F248" s="343">
        <v>-10.301</v>
      </c>
      <c r="G248" s="228">
        <v>-0.629</v>
      </c>
      <c r="H248" s="228">
        <v>-9.0860000000000003</v>
      </c>
      <c r="I248" s="228">
        <v>-12.137</v>
      </c>
      <c r="J248" s="228">
        <f>K248</f>
        <v>-9.5</v>
      </c>
      <c r="K248" s="343">
        <v>-9.5</v>
      </c>
      <c r="L248" s="228">
        <v>5.0359999999999996</v>
      </c>
      <c r="M248" s="228">
        <v>0.52</v>
      </c>
      <c r="N248" s="228">
        <v>-2.2149999999999999</v>
      </c>
      <c r="O248" s="228">
        <f>P248</f>
        <v>5.4210000000000003</v>
      </c>
      <c r="P248" s="343">
        <v>5.4210000000000003</v>
      </c>
      <c r="Q248" s="228">
        <v>9.0050000000000008</v>
      </c>
      <c r="R248" s="228">
        <v>3.9180000000000001</v>
      </c>
      <c r="S248" s="228">
        <v>0.22900000000000001</v>
      </c>
      <c r="T248" s="228">
        <f>U248</f>
        <v>-19.350999999999999</v>
      </c>
      <c r="U248" s="343">
        <v>-19.350999999999999</v>
      </c>
      <c r="V248" s="228">
        <v>-4.6769999999999996</v>
      </c>
      <c r="W248" s="228">
        <v>-16.885999999999999</v>
      </c>
      <c r="X248" s="228">
        <v>-32.698</v>
      </c>
      <c r="Y248" s="93">
        <f>Z248</f>
        <v>-41.331000000000003</v>
      </c>
      <c r="Z248" s="343">
        <v>-41.331000000000003</v>
      </c>
      <c r="AA248" s="228">
        <v>15.532</v>
      </c>
      <c r="AB248" s="228">
        <v>-7.78</v>
      </c>
      <c r="AC248" s="228">
        <v>8.42</v>
      </c>
      <c r="AD248" s="93">
        <f>AE248</f>
        <v>-12.175000000000001</v>
      </c>
      <c r="AE248" s="343">
        <v>-12.175000000000001</v>
      </c>
      <c r="AF248" s="228">
        <v>11.316000000000001</v>
      </c>
      <c r="AG248" s="228">
        <v>-1.4510000000000001</v>
      </c>
      <c r="AH248" s="228">
        <v>11.441000000000001</v>
      </c>
      <c r="AI248" s="93">
        <f>AJ248</f>
        <v>3.5880000000000001</v>
      </c>
      <c r="AJ248" s="343">
        <v>3.5880000000000001</v>
      </c>
      <c r="AK248" s="228">
        <v>-21.093</v>
      </c>
      <c r="AL248" s="322">
        <v>-49.725999999999999</v>
      </c>
      <c r="AM248" s="228"/>
      <c r="AN248" s="93"/>
      <c r="AO248" s="343"/>
      <c r="AP248" s="228"/>
      <c r="AQ248" s="228"/>
      <c r="AR248" s="228"/>
      <c r="AS248" s="93"/>
      <c r="AT248" s="343"/>
      <c r="AU248" s="343"/>
      <c r="AV248" s="343"/>
      <c r="AW248" s="343"/>
      <c r="AX248" s="228"/>
    </row>
    <row r="249" spans="1:50" s="5" customFormat="1" hidden="1" outlineLevel="1" x14ac:dyDescent="0.3">
      <c r="A249" s="36" t="s">
        <v>155</v>
      </c>
      <c r="B249" s="376"/>
      <c r="C249" s="343">
        <v>-3.0139999999999998</v>
      </c>
      <c r="D249" s="343">
        <v>-2.9510000000000001</v>
      </c>
      <c r="E249" s="343">
        <v>-8.6389999999999993</v>
      </c>
      <c r="F249" s="343">
        <v>-19.436</v>
      </c>
      <c r="G249" s="228">
        <v>-2.8660000000000001</v>
      </c>
      <c r="H249" s="228">
        <v>5.8949999999999996</v>
      </c>
      <c r="I249" s="228">
        <v>12.942</v>
      </c>
      <c r="J249" s="228">
        <f>K249</f>
        <v>9.4719999999999995</v>
      </c>
      <c r="K249" s="343">
        <v>9.4719999999999995</v>
      </c>
      <c r="L249" s="228">
        <v>-2.8740000000000001</v>
      </c>
      <c r="M249" s="228">
        <v>-1.1499999999999999</v>
      </c>
      <c r="N249" s="228">
        <v>-3.7320000000000002</v>
      </c>
      <c r="O249" s="228">
        <f>P249</f>
        <v>-9.6240000000000006</v>
      </c>
      <c r="P249" s="343">
        <v>-9.6240000000000006</v>
      </c>
      <c r="Q249" s="228">
        <v>-8.6890000000000001</v>
      </c>
      <c r="R249" s="228">
        <v>-22.513000000000002</v>
      </c>
      <c r="S249" s="228">
        <v>-23.988</v>
      </c>
      <c r="T249" s="228">
        <f>U249</f>
        <v>-24.734999999999999</v>
      </c>
      <c r="U249" s="343">
        <v>-24.734999999999999</v>
      </c>
      <c r="V249" s="228">
        <v>4.3609999999999998</v>
      </c>
      <c r="W249" s="228">
        <v>10.598000000000001</v>
      </c>
      <c r="X249" s="228">
        <v>12.624000000000001</v>
      </c>
      <c r="Y249" s="93">
        <f>Z249</f>
        <v>8.2629999999999999</v>
      </c>
      <c r="Z249" s="343">
        <v>8.2629999999999999</v>
      </c>
      <c r="AA249" s="228">
        <v>-10.457000000000001</v>
      </c>
      <c r="AB249" s="228">
        <v>-7.6790000000000003</v>
      </c>
      <c r="AC249" s="228">
        <v>2.3490000000000002</v>
      </c>
      <c r="AD249" s="93">
        <f>AE249</f>
        <v>-0.88700000000000001</v>
      </c>
      <c r="AE249" s="343">
        <v>-0.88700000000000001</v>
      </c>
      <c r="AF249" s="228">
        <v>-5.6539999999999999</v>
      </c>
      <c r="AG249" s="228">
        <v>-30.597999999999999</v>
      </c>
      <c r="AH249" s="228">
        <v>-41.837000000000003</v>
      </c>
      <c r="AI249" s="93">
        <f>AJ249</f>
        <v>-43.301000000000002</v>
      </c>
      <c r="AJ249" s="343">
        <v>-43.301000000000002</v>
      </c>
      <c r="AK249" s="228">
        <v>7.2930000000000001</v>
      </c>
      <c r="AL249" s="322">
        <v>11.8</v>
      </c>
      <c r="AM249" s="228"/>
      <c r="AN249" s="93"/>
      <c r="AO249" s="343"/>
      <c r="AP249" s="228"/>
      <c r="AQ249" s="228"/>
      <c r="AR249" s="228"/>
      <c r="AS249" s="93"/>
      <c r="AT249" s="343"/>
      <c r="AU249" s="343"/>
      <c r="AV249" s="343"/>
      <c r="AW249" s="343"/>
      <c r="AX249" s="228"/>
    </row>
    <row r="250" spans="1:50" s="5" customFormat="1" hidden="1" outlineLevel="1" x14ac:dyDescent="0.3">
      <c r="A250" s="36" t="s">
        <v>158</v>
      </c>
      <c r="B250" s="376"/>
      <c r="C250" s="343">
        <v>-0.98199999999999998</v>
      </c>
      <c r="D250" s="343">
        <v>0.68899999999999995</v>
      </c>
      <c r="E250" s="343">
        <v>-0.51300000000000001</v>
      </c>
      <c r="F250" s="343">
        <v>-3.2389999999999999</v>
      </c>
      <c r="G250" s="228">
        <v>-0.17799999999999999</v>
      </c>
      <c r="H250" s="228">
        <v>2.99</v>
      </c>
      <c r="I250" s="228">
        <v>0.69899999999999995</v>
      </c>
      <c r="J250" s="228">
        <f>K250</f>
        <v>1.4139999999999999</v>
      </c>
      <c r="K250" s="343">
        <v>1.4139999999999999</v>
      </c>
      <c r="L250" s="228">
        <v>-1.5309999999999999</v>
      </c>
      <c r="M250" s="228">
        <v>-4.71</v>
      </c>
      <c r="N250" s="228">
        <v>-10.039999999999999</v>
      </c>
      <c r="O250" s="228">
        <f>P250</f>
        <v>-7.6870000000000003</v>
      </c>
      <c r="P250" s="343">
        <v>-7.6870000000000003</v>
      </c>
      <c r="Q250" s="228">
        <v>3.895</v>
      </c>
      <c r="R250" s="228">
        <v>0.41899999999999998</v>
      </c>
      <c r="S250" s="228">
        <v>-0.504</v>
      </c>
      <c r="T250" s="228">
        <f>U250</f>
        <v>-2.6190000000000002</v>
      </c>
      <c r="U250" s="343">
        <v>-2.6190000000000002</v>
      </c>
      <c r="V250" s="228">
        <v>2.3050000000000002</v>
      </c>
      <c r="W250" s="228">
        <v>3.5979999999999999</v>
      </c>
      <c r="X250" s="228">
        <v>5.343</v>
      </c>
      <c r="Y250" s="93">
        <f>Z250</f>
        <v>6.9480000000000004</v>
      </c>
      <c r="Z250" s="343">
        <v>6.9480000000000004</v>
      </c>
      <c r="AA250" s="228">
        <v>-3.6930000000000001</v>
      </c>
      <c r="AB250" s="228">
        <v>-2.6669999999999998</v>
      </c>
      <c r="AC250" s="228">
        <v>-5.8019999999999996</v>
      </c>
      <c r="AD250" s="93">
        <f>AE250</f>
        <v>-0.68100000000000005</v>
      </c>
      <c r="AE250" s="343">
        <v>-0.68100000000000005</v>
      </c>
      <c r="AF250" s="228">
        <v>-1.349</v>
      </c>
      <c r="AG250" s="228">
        <v>0.71799999999999997</v>
      </c>
      <c r="AH250" s="228">
        <v>-0.128</v>
      </c>
      <c r="AI250" s="93">
        <f>AJ250</f>
        <v>-2.65</v>
      </c>
      <c r="AJ250" s="343">
        <v>-2.65</v>
      </c>
      <c r="AK250" s="228">
        <v>-3.552</v>
      </c>
      <c r="AL250" s="322">
        <v>4.0469999999999997</v>
      </c>
      <c r="AM250" s="228"/>
      <c r="AN250" s="93"/>
      <c r="AO250" s="343"/>
      <c r="AP250" s="228"/>
      <c r="AQ250" s="228"/>
      <c r="AR250" s="228"/>
      <c r="AS250" s="93"/>
      <c r="AT250" s="343"/>
      <c r="AU250" s="343"/>
      <c r="AV250" s="343"/>
      <c r="AW250" s="343"/>
      <c r="AX250" s="228"/>
    </row>
    <row r="251" spans="1:50" s="5" customFormat="1" hidden="1" outlineLevel="1" x14ac:dyDescent="0.3">
      <c r="A251" s="36" t="s">
        <v>159</v>
      </c>
      <c r="B251" s="376"/>
      <c r="C251" s="343">
        <v>0.51</v>
      </c>
      <c r="D251" s="343">
        <v>-2.2490000000000001</v>
      </c>
      <c r="E251" s="343">
        <v>21.065000000000001</v>
      </c>
      <c r="F251" s="343">
        <v>3.43</v>
      </c>
      <c r="G251" s="228">
        <v>-6.8979999999999997</v>
      </c>
      <c r="H251" s="228">
        <v>-7.5140000000000002</v>
      </c>
      <c r="I251" s="228">
        <v>-8.8960000000000008</v>
      </c>
      <c r="J251" s="228">
        <f>K251</f>
        <v>-4.4470000000000001</v>
      </c>
      <c r="K251" s="343">
        <v>-4.4470000000000001</v>
      </c>
      <c r="L251" s="228">
        <v>-1.2869999999999999</v>
      </c>
      <c r="M251" s="228">
        <v>0.59399999999999997</v>
      </c>
      <c r="N251" s="228">
        <v>7.7919999999999998</v>
      </c>
      <c r="O251" s="228">
        <f>P251</f>
        <v>9.6590000000000007</v>
      </c>
      <c r="P251" s="343">
        <v>9.6590000000000007</v>
      </c>
      <c r="Q251" s="228">
        <v>-2.1219999999999999</v>
      </c>
      <c r="R251" s="228">
        <v>8.7550000000000008</v>
      </c>
      <c r="S251" s="228">
        <v>2.1190000000000002</v>
      </c>
      <c r="T251" s="228">
        <f>U251</f>
        <v>3.75</v>
      </c>
      <c r="U251" s="343">
        <v>3.75</v>
      </c>
      <c r="V251" s="228">
        <v>3.34</v>
      </c>
      <c r="W251" s="228">
        <v>9.6790000000000003</v>
      </c>
      <c r="X251" s="228">
        <v>4.8760000000000003</v>
      </c>
      <c r="Y251" s="93">
        <f>Z251</f>
        <v>13.33</v>
      </c>
      <c r="Z251" s="343">
        <v>13.33</v>
      </c>
      <c r="AA251" s="228">
        <v>4.931</v>
      </c>
      <c r="AB251" s="228">
        <v>4.8000000000000001E-2</v>
      </c>
      <c r="AC251" s="228">
        <v>-14.875999999999999</v>
      </c>
      <c r="AD251" s="93">
        <f>AE251</f>
        <v>0.17</v>
      </c>
      <c r="AE251" s="343">
        <v>0.17</v>
      </c>
      <c r="AF251" s="228">
        <v>3.911</v>
      </c>
      <c r="AG251" s="228">
        <v>12.53</v>
      </c>
      <c r="AH251" s="228">
        <v>13.661</v>
      </c>
      <c r="AI251" s="93">
        <f>AJ251</f>
        <v>10.486000000000001</v>
      </c>
      <c r="AJ251" s="343">
        <v>10.486000000000001</v>
      </c>
      <c r="AK251" s="228">
        <v>-7.407</v>
      </c>
      <c r="AL251" s="322">
        <v>1.9690000000000001</v>
      </c>
      <c r="AM251" s="228"/>
      <c r="AN251" s="93"/>
      <c r="AO251" s="343"/>
      <c r="AP251" s="228"/>
      <c r="AQ251" s="228"/>
      <c r="AR251" s="228"/>
      <c r="AS251" s="93"/>
      <c r="AT251" s="343"/>
      <c r="AU251" s="343"/>
      <c r="AV251" s="343"/>
      <c r="AW251" s="343"/>
      <c r="AX251" s="228"/>
    </row>
    <row r="252" spans="1:50" s="5" customFormat="1" hidden="1" outlineLevel="1" x14ac:dyDescent="0.3">
      <c r="A252" s="36" t="s">
        <v>514</v>
      </c>
      <c r="B252" s="376"/>
      <c r="C252" s="343">
        <v>2.2890000000000001</v>
      </c>
      <c r="D252" s="343">
        <v>5.5469999999999997</v>
      </c>
      <c r="E252" s="343">
        <v>18.645</v>
      </c>
      <c r="F252" s="343">
        <v>51.259</v>
      </c>
      <c r="G252" s="228">
        <v>-3.0950000000000002</v>
      </c>
      <c r="H252" s="228">
        <v>-9.6519999999999992</v>
      </c>
      <c r="I252" s="228">
        <v>-8.4290000000000003</v>
      </c>
      <c r="J252" s="228">
        <f>K252</f>
        <v>2.61</v>
      </c>
      <c r="K252" s="343">
        <v>2.61</v>
      </c>
      <c r="L252" s="228">
        <v>0.879</v>
      </c>
      <c r="M252" s="228">
        <v>-9.0999999999999998E-2</v>
      </c>
      <c r="N252" s="228">
        <v>-1.1739999999999999</v>
      </c>
      <c r="O252" s="228">
        <f>P252</f>
        <v>6.5490000000000004</v>
      </c>
      <c r="P252" s="343">
        <v>6.5490000000000004</v>
      </c>
      <c r="Q252" s="228">
        <v>8.9619999999999997</v>
      </c>
      <c r="R252" s="228">
        <v>21.062999999999999</v>
      </c>
      <c r="S252" s="228">
        <v>18.817</v>
      </c>
      <c r="T252" s="228">
        <f>U252</f>
        <v>30.884</v>
      </c>
      <c r="U252" s="343">
        <v>30.884</v>
      </c>
      <c r="V252" s="228">
        <v>10.177</v>
      </c>
      <c r="W252" s="228">
        <v>5.5830000000000002</v>
      </c>
      <c r="X252" s="228">
        <v>15.132</v>
      </c>
      <c r="Y252" s="93">
        <f>Z252</f>
        <v>27.260999999999999</v>
      </c>
      <c r="Z252" s="343">
        <v>27.260999999999999</v>
      </c>
      <c r="AA252" s="228">
        <v>2.7829999999999999</v>
      </c>
      <c r="AB252" s="228">
        <v>-1.141</v>
      </c>
      <c r="AC252" s="228">
        <v>-3.1040000000000001</v>
      </c>
      <c r="AD252" s="93">
        <f>AE252</f>
        <v>15.215999999999999</v>
      </c>
      <c r="AE252" s="343">
        <v>15.215999999999999</v>
      </c>
      <c r="AF252" s="228">
        <v>-4.5039999999999996</v>
      </c>
      <c r="AG252" s="228">
        <v>12.334</v>
      </c>
      <c r="AH252" s="228">
        <v>-4.2729999999999997</v>
      </c>
      <c r="AI252" s="93">
        <f>AJ252</f>
        <v>16.765000000000001</v>
      </c>
      <c r="AJ252" s="343">
        <v>16.765000000000001</v>
      </c>
      <c r="AK252" s="345">
        <v>25.709</v>
      </c>
      <c r="AL252" s="322">
        <v>6.5090000000000003</v>
      </c>
      <c r="AM252" s="228"/>
      <c r="AN252" s="93"/>
      <c r="AO252" s="343"/>
      <c r="AP252" s="228"/>
      <c r="AQ252" s="228"/>
      <c r="AR252" s="228"/>
      <c r="AS252" s="93"/>
      <c r="AT252" s="343"/>
      <c r="AU252" s="343"/>
      <c r="AV252" s="343"/>
      <c r="AW252" s="343"/>
      <c r="AX252" s="228"/>
    </row>
    <row r="253" spans="1:50" s="9" customFormat="1" hidden="1" outlineLevel="1" x14ac:dyDescent="0.3">
      <c r="A253" s="347" t="s">
        <v>162</v>
      </c>
      <c r="B253" s="377"/>
      <c r="C253" s="349">
        <f t="shared" ref="C253:AL253" si="102">SUM(C247:C252)</f>
        <v>32.788000000000004</v>
      </c>
      <c r="D253" s="349">
        <f t="shared" si="102"/>
        <v>41.231999999999992</v>
      </c>
      <c r="E253" s="349">
        <f t="shared" si="102"/>
        <v>63.138999999999996</v>
      </c>
      <c r="F253" s="349">
        <f t="shared" si="102"/>
        <v>182.48900000000003</v>
      </c>
      <c r="G253" s="350">
        <f t="shared" si="102"/>
        <v>-6.6040000000000019</v>
      </c>
      <c r="H253" s="350">
        <f t="shared" si="102"/>
        <v>4.8550000000000022</v>
      </c>
      <c r="I253" s="350">
        <f t="shared" si="102"/>
        <v>21.276999999999994</v>
      </c>
      <c r="J253" s="350">
        <f t="shared" si="102"/>
        <v>51.87</v>
      </c>
      <c r="K253" s="349">
        <f t="shared" si="102"/>
        <v>51.87</v>
      </c>
      <c r="L253" s="350">
        <f t="shared" si="102"/>
        <v>10.584999999999999</v>
      </c>
      <c r="M253" s="350">
        <f t="shared" si="102"/>
        <v>17.954000000000001</v>
      </c>
      <c r="N253" s="350">
        <f t="shared" si="102"/>
        <v>35.150000000000006</v>
      </c>
      <c r="O253" s="350">
        <f t="shared" si="102"/>
        <v>80.130000000000024</v>
      </c>
      <c r="P253" s="349">
        <f t="shared" si="102"/>
        <v>80.130000000000024</v>
      </c>
      <c r="Q253" s="350">
        <f t="shared" si="102"/>
        <v>45.795000000000002</v>
      </c>
      <c r="R253" s="350">
        <f t="shared" si="102"/>
        <v>87.1</v>
      </c>
      <c r="S253" s="350">
        <f t="shared" si="102"/>
        <v>115.797</v>
      </c>
      <c r="T253" s="350">
        <f t="shared" si="102"/>
        <v>150.48800000000003</v>
      </c>
      <c r="U253" s="349">
        <f t="shared" si="102"/>
        <v>150.48800000000003</v>
      </c>
      <c r="V253" s="350">
        <f t="shared" si="102"/>
        <v>48.595000000000006</v>
      </c>
      <c r="W253" s="350">
        <f t="shared" si="102"/>
        <v>93.425999999999988</v>
      </c>
      <c r="X253" s="350">
        <f t="shared" si="102"/>
        <v>142.07599999999999</v>
      </c>
      <c r="Y253" s="351">
        <f t="shared" si="102"/>
        <v>196.11</v>
      </c>
      <c r="Z253" s="352">
        <f t="shared" si="102"/>
        <v>196.11</v>
      </c>
      <c r="AA253" s="350">
        <f t="shared" si="102"/>
        <v>35.000999999999998</v>
      </c>
      <c r="AB253" s="350">
        <f t="shared" si="102"/>
        <v>41.387999999999998</v>
      </c>
      <c r="AC253" s="350">
        <f t="shared" si="102"/>
        <v>94.375999999999991</v>
      </c>
      <c r="AD253" s="351">
        <f t="shared" si="102"/>
        <v>161.31199999999998</v>
      </c>
      <c r="AE253" s="352">
        <f t="shared" si="102"/>
        <v>161.31199999999998</v>
      </c>
      <c r="AF253" s="350">
        <f t="shared" si="102"/>
        <v>55.405000000000015</v>
      </c>
      <c r="AG253" s="350">
        <f t="shared" si="102"/>
        <v>102.12</v>
      </c>
      <c r="AH253" s="350">
        <f t="shared" si="102"/>
        <v>168.48900000000006</v>
      </c>
      <c r="AI253" s="351">
        <f t="shared" si="102"/>
        <v>264.85700000000003</v>
      </c>
      <c r="AJ253" s="352">
        <f t="shared" si="102"/>
        <v>264.85700000000003</v>
      </c>
      <c r="AK253" s="350">
        <f t="shared" si="102"/>
        <v>88.432000000000002</v>
      </c>
      <c r="AL253" s="353">
        <f t="shared" si="102"/>
        <v>147.00400000000002</v>
      </c>
      <c r="AM253" s="351"/>
      <c r="AN253" s="351"/>
      <c r="AO253" s="352"/>
      <c r="AP253" s="351"/>
      <c r="AQ253" s="351"/>
      <c r="AR253" s="351"/>
      <c r="AS253" s="351"/>
      <c r="AT253" s="352"/>
      <c r="AU253" s="352"/>
      <c r="AV253" s="352"/>
      <c r="AW253" s="352"/>
      <c r="AX253" s="22"/>
    </row>
    <row r="254" spans="1:50" s="9" customFormat="1" hidden="1" outlineLevel="1" x14ac:dyDescent="0.3">
      <c r="A254" s="35"/>
      <c r="B254" s="103"/>
      <c r="C254" s="4"/>
      <c r="D254" s="4"/>
      <c r="E254" s="4"/>
      <c r="F254" s="4"/>
      <c r="G254" s="22"/>
      <c r="H254" s="22"/>
      <c r="I254" s="22"/>
      <c r="J254" s="22"/>
      <c r="K254" s="4"/>
      <c r="L254" s="22"/>
      <c r="M254" s="22"/>
      <c r="N254" s="22"/>
      <c r="O254" s="22"/>
      <c r="P254" s="4"/>
      <c r="Q254" s="22"/>
      <c r="R254" s="22"/>
      <c r="S254" s="22"/>
      <c r="T254" s="22"/>
      <c r="U254" s="4"/>
      <c r="V254" s="22"/>
      <c r="W254" s="22"/>
      <c r="X254" s="22"/>
      <c r="Y254" s="22"/>
      <c r="Z254" s="4"/>
      <c r="AA254" s="22"/>
      <c r="AB254" s="22"/>
      <c r="AC254" s="22"/>
      <c r="AD254" s="22"/>
      <c r="AE254" s="4"/>
      <c r="AF254" s="22"/>
      <c r="AG254" s="22"/>
      <c r="AH254" s="22"/>
      <c r="AI254" s="22"/>
      <c r="AJ254" s="4"/>
      <c r="AK254" s="22"/>
      <c r="AL254" s="308"/>
      <c r="AM254" s="22"/>
      <c r="AN254" s="22"/>
      <c r="AO254" s="4"/>
      <c r="AP254" s="22"/>
      <c r="AQ254" s="22"/>
      <c r="AR254" s="22"/>
      <c r="AS254" s="22"/>
      <c r="AT254" s="4"/>
      <c r="AU254" s="4"/>
      <c r="AV254" s="4"/>
      <c r="AW254" s="4"/>
      <c r="AX254" s="22"/>
    </row>
    <row r="255" spans="1:50" s="9" customFormat="1" hidden="1" outlineLevel="1" x14ac:dyDescent="0.3">
      <c r="A255" s="35" t="s">
        <v>163</v>
      </c>
      <c r="B255" s="103"/>
      <c r="C255" s="4"/>
      <c r="D255" s="4"/>
      <c r="E255" s="4"/>
      <c r="F255" s="4"/>
      <c r="G255" s="22"/>
      <c r="H255" s="22"/>
      <c r="I255" s="22"/>
      <c r="J255" s="22"/>
      <c r="K255" s="4"/>
      <c r="L255" s="22"/>
      <c r="M255" s="22"/>
      <c r="N255" s="22"/>
      <c r="O255" s="22"/>
      <c r="P255" s="4"/>
      <c r="Q255" s="22"/>
      <c r="R255" s="22"/>
      <c r="S255" s="22"/>
      <c r="T255" s="22"/>
      <c r="U255" s="4"/>
      <c r="V255" s="22"/>
      <c r="W255" s="22"/>
      <c r="X255" s="22"/>
      <c r="Y255" s="22"/>
      <c r="Z255" s="4"/>
      <c r="AA255" s="22"/>
      <c r="AB255" s="22"/>
      <c r="AC255" s="22"/>
      <c r="AD255" s="22"/>
      <c r="AE255" s="4"/>
      <c r="AF255" s="22"/>
      <c r="AG255" s="22"/>
      <c r="AH255" s="22"/>
      <c r="AI255" s="22"/>
      <c r="AJ255" s="4"/>
      <c r="AK255" s="22"/>
      <c r="AL255" s="308"/>
      <c r="AM255" s="22"/>
      <c r="AN255" s="22"/>
      <c r="AO255" s="4"/>
      <c r="AP255" s="22"/>
      <c r="AQ255" s="22"/>
      <c r="AR255" s="22"/>
      <c r="AS255" s="22"/>
      <c r="AT255" s="4"/>
      <c r="AU255" s="4"/>
      <c r="AV255" s="4"/>
      <c r="AW255" s="4"/>
      <c r="AX255" s="22"/>
    </row>
    <row r="256" spans="1:50" s="5" customFormat="1" hidden="1" outlineLevel="1" x14ac:dyDescent="0.3">
      <c r="A256" s="36" t="s">
        <v>515</v>
      </c>
      <c r="B256" s="376"/>
      <c r="C256" s="343">
        <v>-0.85699999999999998</v>
      </c>
      <c r="D256" s="343">
        <v>-0.78900000000000003</v>
      </c>
      <c r="E256" s="343">
        <v>-0.83199999999999996</v>
      </c>
      <c r="F256" s="343">
        <v>-0.78300000000000003</v>
      </c>
      <c r="G256" s="228">
        <v>-0.186</v>
      </c>
      <c r="H256" s="228">
        <v>-0.41199999999999998</v>
      </c>
      <c r="I256" s="228">
        <v>-0.63200000000000001</v>
      </c>
      <c r="J256" s="228">
        <f>K256</f>
        <v>-0.84899999999999998</v>
      </c>
      <c r="K256" s="343">
        <v>-0.84899999999999998</v>
      </c>
      <c r="L256" s="228">
        <v>-0.20499999999999999</v>
      </c>
      <c r="M256" s="228">
        <v>-0.40899999999999997</v>
      </c>
      <c r="N256" s="228">
        <v>-0.59699999999999998</v>
      </c>
      <c r="O256" s="228">
        <f>P256</f>
        <v>-0.77700000000000002</v>
      </c>
      <c r="P256" s="343">
        <v>-0.77700000000000002</v>
      </c>
      <c r="Q256" s="228">
        <v>-0.186</v>
      </c>
      <c r="R256" s="228">
        <v>-0.38100000000000001</v>
      </c>
      <c r="S256" s="228">
        <v>-0.56299999999999994</v>
      </c>
      <c r="T256" s="228">
        <f>U256</f>
        <v>-0.74299999999999999</v>
      </c>
      <c r="U256" s="343">
        <v>-0.74299999999999999</v>
      </c>
      <c r="V256" s="228">
        <v>-0.22600000000000001</v>
      </c>
      <c r="W256" s="228">
        <v>-0.54600000000000004</v>
      </c>
      <c r="X256" s="228">
        <v>-0.86499999999999999</v>
      </c>
      <c r="Y256" s="93">
        <f>Z256</f>
        <v>-1.1719999999999999</v>
      </c>
      <c r="Z256" s="343">
        <v>-1.1719999999999999</v>
      </c>
      <c r="AA256" s="228">
        <v>-0.315</v>
      </c>
      <c r="AB256" s="228">
        <v>-0.65100000000000002</v>
      </c>
      <c r="AC256" s="228">
        <v>-0.98299999999999998</v>
      </c>
      <c r="AD256" s="93">
        <f>AE256</f>
        <v>-1.3120000000000001</v>
      </c>
      <c r="AE256" s="343">
        <v>-1.3120000000000001</v>
      </c>
      <c r="AF256" s="228">
        <v>-0.317</v>
      </c>
      <c r="AG256" s="228">
        <v>-0.61199999999999999</v>
      </c>
      <c r="AH256" s="228">
        <v>-0.91600000000000004</v>
      </c>
      <c r="AI256" s="93">
        <f>AJ256</f>
        <v>-1.2030000000000001</v>
      </c>
      <c r="AJ256" s="343">
        <v>-1.2030000000000001</v>
      </c>
      <c r="AK256" s="228">
        <v>-0.09</v>
      </c>
      <c r="AL256" s="322"/>
      <c r="AM256" s="228"/>
      <c r="AN256" s="93"/>
      <c r="AO256" s="343"/>
      <c r="AP256" s="228"/>
      <c r="AQ256" s="228"/>
      <c r="AR256" s="228"/>
      <c r="AS256" s="93"/>
      <c r="AT256" s="343"/>
      <c r="AU256" s="343"/>
      <c r="AV256" s="343"/>
      <c r="AW256" s="343"/>
      <c r="AX256" s="228"/>
    </row>
    <row r="257" spans="1:50" s="5" customFormat="1" hidden="1" outlineLevel="1" x14ac:dyDescent="0.3">
      <c r="A257" s="36" t="s">
        <v>516</v>
      </c>
      <c r="B257" s="376"/>
      <c r="C257" s="343">
        <v>-236.68</v>
      </c>
      <c r="D257" s="343">
        <v>-182.61500000000001</v>
      </c>
      <c r="E257" s="343">
        <v>-45.6</v>
      </c>
      <c r="F257" s="343">
        <v>-328.99799999999999</v>
      </c>
      <c r="G257" s="228">
        <v>-55.176000000000002</v>
      </c>
      <c r="H257" s="228">
        <v>-81.822999999999993</v>
      </c>
      <c r="I257" s="228">
        <v>-151.535</v>
      </c>
      <c r="J257" s="228">
        <f>K257</f>
        <v>-200.37700000000001</v>
      </c>
      <c r="K257" s="343">
        <v>-200.37700000000001</v>
      </c>
      <c r="L257" s="228">
        <v>-87.5</v>
      </c>
      <c r="M257" s="228">
        <v>-159.38800000000001</v>
      </c>
      <c r="N257" s="228">
        <v>-202.81800000000001</v>
      </c>
      <c r="O257" s="228">
        <f>P257</f>
        <v>-307.92399999999998</v>
      </c>
      <c r="P257" s="343">
        <v>-307.92399999999998</v>
      </c>
      <c r="Q257" s="228">
        <v>-87.793000000000006</v>
      </c>
      <c r="R257" s="228">
        <v>-188.161</v>
      </c>
      <c r="S257" s="228">
        <v>-219.459</v>
      </c>
      <c r="T257" s="228">
        <f>U257</f>
        <v>-219.459</v>
      </c>
      <c r="U257" s="343">
        <v>-219.459</v>
      </c>
      <c r="V257" s="228">
        <v>-64.908000000000001</v>
      </c>
      <c r="W257" s="228">
        <v>-153.48599999999999</v>
      </c>
      <c r="X257" s="228">
        <v>-218.642</v>
      </c>
      <c r="Y257" s="93">
        <f>Z257</f>
        <v>-300.858</v>
      </c>
      <c r="Z257" s="343">
        <v>-300.858</v>
      </c>
      <c r="AA257" s="228">
        <v>-50.302</v>
      </c>
      <c r="AB257" s="228">
        <v>-69.11</v>
      </c>
      <c r="AC257" s="228">
        <v>-139.86099999999999</v>
      </c>
      <c r="AD257" s="93">
        <f>AE257</f>
        <v>-188.745</v>
      </c>
      <c r="AE257" s="343">
        <v>-188.745</v>
      </c>
      <c r="AF257" s="228">
        <v>-20.899000000000001</v>
      </c>
      <c r="AG257" s="228">
        <v>-82.486000000000004</v>
      </c>
      <c r="AH257" s="228">
        <v>-228.22900000000001</v>
      </c>
      <c r="AI257" s="93">
        <f>AJ257</f>
        <v>-395.56</v>
      </c>
      <c r="AJ257" s="343">
        <v>-395.56</v>
      </c>
      <c r="AK257" s="228">
        <v>-191.203</v>
      </c>
      <c r="AL257" s="322">
        <v>-364.77699999999999</v>
      </c>
      <c r="AM257" s="228"/>
      <c r="AN257" s="93"/>
      <c r="AO257" s="343"/>
      <c r="AP257" s="228"/>
      <c r="AQ257" s="228"/>
      <c r="AR257" s="228"/>
      <c r="AS257" s="93"/>
      <c r="AT257" s="343"/>
      <c r="AU257" s="343"/>
      <c r="AV257" s="343"/>
      <c r="AW257" s="343"/>
      <c r="AX257" s="228"/>
    </row>
    <row r="258" spans="1:50" s="5" customFormat="1" hidden="1" outlineLevel="1" x14ac:dyDescent="0.3">
      <c r="A258" s="36" t="s">
        <v>517</v>
      </c>
      <c r="B258" s="376"/>
      <c r="C258" s="343">
        <v>121.768</v>
      </c>
      <c r="D258" s="343">
        <v>157.37700000000001</v>
      </c>
      <c r="E258" s="343">
        <v>149.88900000000001</v>
      </c>
      <c r="F258" s="343">
        <v>14.86</v>
      </c>
      <c r="G258" s="228">
        <v>60.618000000000002</v>
      </c>
      <c r="H258" s="228">
        <v>103.339</v>
      </c>
      <c r="I258" s="228">
        <v>133.435</v>
      </c>
      <c r="J258" s="228">
        <f>K258</f>
        <v>122.997</v>
      </c>
      <c r="K258" s="343">
        <v>122.997</v>
      </c>
      <c r="L258" s="228">
        <v>48.506</v>
      </c>
      <c r="M258" s="228">
        <v>90.320999999999998</v>
      </c>
      <c r="N258" s="228">
        <v>130.65199999999999</v>
      </c>
      <c r="O258" s="228">
        <f>P258</f>
        <v>158.054</v>
      </c>
      <c r="P258" s="343">
        <v>158.054</v>
      </c>
      <c r="Q258" s="228">
        <v>37.326000000000001</v>
      </c>
      <c r="R258" s="228">
        <v>98.742000000000004</v>
      </c>
      <c r="S258" s="228">
        <v>148.697</v>
      </c>
      <c r="T258" s="228">
        <f>U258</f>
        <v>179.7</v>
      </c>
      <c r="U258" s="343">
        <v>179.7</v>
      </c>
      <c r="V258" s="228">
        <v>199.93199999999999</v>
      </c>
      <c r="W258" s="228">
        <v>200.45699999999999</v>
      </c>
      <c r="X258" s="228">
        <v>209.45599999999999</v>
      </c>
      <c r="Y258" s="93">
        <f>Z258</f>
        <v>237.76400000000001</v>
      </c>
      <c r="Z258" s="343">
        <v>237.76400000000001</v>
      </c>
      <c r="AA258" s="228">
        <v>54.241999999999997</v>
      </c>
      <c r="AB258" s="228">
        <v>74.358999999999995</v>
      </c>
      <c r="AC258" s="228">
        <v>95.414000000000001</v>
      </c>
      <c r="AD258" s="93">
        <f>AE258</f>
        <v>193.08199999999999</v>
      </c>
      <c r="AE258" s="343">
        <v>193.08199999999999</v>
      </c>
      <c r="AF258" s="228">
        <v>8.9429999999999996</v>
      </c>
      <c r="AG258" s="228">
        <v>13.893000000000001</v>
      </c>
      <c r="AH258" s="228">
        <v>53.808999999999997</v>
      </c>
      <c r="AI258" s="93">
        <f>AJ258</f>
        <v>87.542000000000002</v>
      </c>
      <c r="AJ258" s="343">
        <v>87.542000000000002</v>
      </c>
      <c r="AK258" s="228">
        <v>99.256</v>
      </c>
      <c r="AL258" s="322">
        <v>198.221</v>
      </c>
      <c r="AM258" s="228"/>
      <c r="AN258" s="93"/>
      <c r="AO258" s="343"/>
      <c r="AP258" s="228"/>
      <c r="AQ258" s="228"/>
      <c r="AR258" s="228"/>
      <c r="AS258" s="93"/>
      <c r="AT258" s="343"/>
      <c r="AU258" s="343"/>
      <c r="AV258" s="343"/>
      <c r="AW258" s="343"/>
      <c r="AX258" s="228"/>
    </row>
    <row r="259" spans="1:50" s="5" customFormat="1" hidden="1" outlineLevel="1" x14ac:dyDescent="0.3">
      <c r="A259" s="36" t="s">
        <v>518</v>
      </c>
      <c r="B259" s="376"/>
      <c r="C259" s="343"/>
      <c r="D259" s="343"/>
      <c r="E259" s="343"/>
      <c r="F259" s="343"/>
      <c r="G259" s="228"/>
      <c r="H259" s="228"/>
      <c r="I259" s="228"/>
      <c r="J259" s="228"/>
      <c r="K259" s="343"/>
      <c r="L259" s="228"/>
      <c r="M259" s="228"/>
      <c r="N259" s="228"/>
      <c r="O259" s="228"/>
      <c r="P259" s="343"/>
      <c r="Q259" s="228"/>
      <c r="R259" s="228"/>
      <c r="S259" s="228"/>
      <c r="T259" s="228"/>
      <c r="U259" s="343"/>
      <c r="V259" s="228"/>
      <c r="W259" s="228"/>
      <c r="X259" s="228"/>
      <c r="Y259" s="93"/>
      <c r="Z259" s="343"/>
      <c r="AA259" s="228"/>
      <c r="AB259" s="228"/>
      <c r="AC259" s="228"/>
      <c r="AD259" s="93"/>
      <c r="AE259" s="343"/>
      <c r="AF259" s="228"/>
      <c r="AG259" s="228"/>
      <c r="AH259" s="228"/>
      <c r="AI259" s="93"/>
      <c r="AJ259" s="343"/>
      <c r="AK259" s="228">
        <v>16.887</v>
      </c>
      <c r="AL259" s="322">
        <v>16.887</v>
      </c>
      <c r="AM259" s="228"/>
      <c r="AN259" s="93"/>
      <c r="AO259" s="343"/>
      <c r="AP259" s="228"/>
      <c r="AQ259" s="228"/>
      <c r="AR259" s="228"/>
      <c r="AS259" s="93"/>
      <c r="AT259" s="343"/>
      <c r="AU259" s="343"/>
      <c r="AV259" s="343"/>
      <c r="AW259" s="343"/>
      <c r="AX259" s="228"/>
    </row>
    <row r="260" spans="1:50" s="5" customFormat="1" hidden="1" outlineLevel="1" x14ac:dyDescent="0.3">
      <c r="A260" s="36" t="s">
        <v>519</v>
      </c>
      <c r="B260" s="376"/>
      <c r="C260" s="343">
        <v>20.079999999999998</v>
      </c>
      <c r="D260" s="343">
        <v>50.628</v>
      </c>
      <c r="E260" s="343">
        <v>12.128</v>
      </c>
      <c r="F260" s="343">
        <v>64.683000000000007</v>
      </c>
      <c r="G260" s="228">
        <v>27.497</v>
      </c>
      <c r="H260" s="228">
        <v>50.447000000000003</v>
      </c>
      <c r="I260" s="228">
        <v>63.947000000000003</v>
      </c>
      <c r="J260" s="228">
        <f>K260</f>
        <v>117.806</v>
      </c>
      <c r="K260" s="343">
        <v>117.806</v>
      </c>
      <c r="L260" s="228">
        <v>14.48</v>
      </c>
      <c r="M260" s="228">
        <v>37.76</v>
      </c>
      <c r="N260" s="228">
        <v>39.801000000000002</v>
      </c>
      <c r="O260" s="228">
        <f>P260</f>
        <v>78.566999999999993</v>
      </c>
      <c r="P260" s="343">
        <v>78.566999999999993</v>
      </c>
      <c r="Q260" s="228">
        <v>17.797999999999998</v>
      </c>
      <c r="R260" s="228">
        <v>30.716999999999999</v>
      </c>
      <c r="S260" s="228">
        <v>62.143999999999998</v>
      </c>
      <c r="T260" s="228">
        <f>U260</f>
        <v>129.279</v>
      </c>
      <c r="U260" s="343">
        <v>129.279</v>
      </c>
      <c r="V260" s="228">
        <v>77.715000000000003</v>
      </c>
      <c r="W260" s="228">
        <v>97.388000000000005</v>
      </c>
      <c r="X260" s="228">
        <v>130.18700000000001</v>
      </c>
      <c r="Y260" s="93">
        <f>Z260</f>
        <v>149.72499999999999</v>
      </c>
      <c r="Z260" s="343">
        <v>149.72499999999999</v>
      </c>
      <c r="AA260" s="228">
        <v>1.8149999999999999</v>
      </c>
      <c r="AB260" s="228">
        <v>13.59</v>
      </c>
      <c r="AC260" s="228">
        <v>31.007999999999999</v>
      </c>
      <c r="AD260" s="93">
        <f t="shared" ref="AD260:AD266" si="103">AE260</f>
        <v>59.128999999999998</v>
      </c>
      <c r="AE260" s="343">
        <v>59.128999999999998</v>
      </c>
      <c r="AF260" s="228">
        <v>28.103999999999999</v>
      </c>
      <c r="AG260" s="228">
        <v>62.396000000000001</v>
      </c>
      <c r="AH260" s="228">
        <v>102.935</v>
      </c>
      <c r="AI260" s="93">
        <f t="shared" ref="AI260:AI266" si="104">AJ260</f>
        <v>143.08699999999999</v>
      </c>
      <c r="AJ260" s="343">
        <v>143.08699999999999</v>
      </c>
      <c r="AK260" s="228"/>
      <c r="AL260" s="322"/>
      <c r="AM260" s="228"/>
      <c r="AN260" s="93"/>
      <c r="AO260" s="343"/>
      <c r="AP260" s="228"/>
      <c r="AQ260" s="228"/>
      <c r="AR260" s="228"/>
      <c r="AS260" s="93"/>
      <c r="AT260" s="343"/>
      <c r="AU260" s="343"/>
      <c r="AV260" s="343"/>
      <c r="AW260" s="343"/>
      <c r="AX260" s="228"/>
    </row>
    <row r="261" spans="1:50" s="5" customFormat="1" hidden="1" outlineLevel="1" x14ac:dyDescent="0.3">
      <c r="A261" s="36" t="s">
        <v>520</v>
      </c>
      <c r="B261" s="376"/>
      <c r="C261" s="343">
        <v>-3.6619999999999999</v>
      </c>
      <c r="D261" s="343">
        <v>-11.395</v>
      </c>
      <c r="E261" s="343">
        <v>-24.68</v>
      </c>
      <c r="F261" s="343">
        <v>-30.544</v>
      </c>
      <c r="G261" s="228">
        <v>-13.941000000000001</v>
      </c>
      <c r="H261" s="228">
        <v>-18.949000000000002</v>
      </c>
      <c r="I261" s="228">
        <v>-24.05</v>
      </c>
      <c r="J261" s="228">
        <f>K261</f>
        <v>-30.911000000000001</v>
      </c>
      <c r="K261" s="343">
        <v>-30.911000000000001</v>
      </c>
      <c r="L261" s="228">
        <v>-5.8179999999999996</v>
      </c>
      <c r="M261" s="228">
        <v>-10.265000000000001</v>
      </c>
      <c r="N261" s="228">
        <v>-21.231000000000002</v>
      </c>
      <c r="O261" s="228">
        <f>P261</f>
        <v>-29.923999999999999</v>
      </c>
      <c r="P261" s="343">
        <v>-29.923999999999999</v>
      </c>
      <c r="Q261" s="228">
        <v>-9.5210000000000008</v>
      </c>
      <c r="R261" s="228">
        <v>-20.413</v>
      </c>
      <c r="S261" s="228">
        <v>-36.972000000000001</v>
      </c>
      <c r="T261" s="228">
        <f>U261</f>
        <v>-48.600999999999999</v>
      </c>
      <c r="U261" s="343">
        <v>-48.600999999999999</v>
      </c>
      <c r="V261" s="228">
        <v>-8.2829999999999995</v>
      </c>
      <c r="W261" s="228">
        <v>-15.755000000000001</v>
      </c>
      <c r="X261" s="228">
        <v>-32.747999999999998</v>
      </c>
      <c r="Y261" s="93">
        <f>Z261</f>
        <v>-42.975999999999999</v>
      </c>
      <c r="Z261" s="343">
        <v>-42.975999999999999</v>
      </c>
      <c r="AA261" s="228">
        <v>-15.911</v>
      </c>
      <c r="AB261" s="228">
        <v>-27.12</v>
      </c>
      <c r="AC261" s="228">
        <v>-35.243000000000002</v>
      </c>
      <c r="AD261" s="93">
        <f t="shared" si="103"/>
        <v>-41.375999999999998</v>
      </c>
      <c r="AE261" s="343">
        <v>-41.375999999999998</v>
      </c>
      <c r="AF261" s="228">
        <v>-7.226</v>
      </c>
      <c r="AG261" s="228">
        <v>-20.077999999999999</v>
      </c>
      <c r="AH261" s="228">
        <v>-28.992000000000001</v>
      </c>
      <c r="AI261" s="93">
        <f t="shared" si="104"/>
        <v>-36.338000000000001</v>
      </c>
      <c r="AJ261" s="343">
        <v>-36.338000000000001</v>
      </c>
      <c r="AK261" s="228">
        <v>-7.6859999999999999</v>
      </c>
      <c r="AL261" s="322">
        <v>-15.208</v>
      </c>
      <c r="AM261" s="228"/>
      <c r="AN261" s="93"/>
      <c r="AO261" s="343"/>
      <c r="AP261" s="228"/>
      <c r="AQ261" s="228"/>
      <c r="AR261" s="228"/>
      <c r="AS261" s="93"/>
      <c r="AT261" s="343"/>
      <c r="AU261" s="343"/>
      <c r="AV261" s="343"/>
      <c r="AW261" s="343"/>
      <c r="AX261" s="228"/>
    </row>
    <row r="262" spans="1:50" s="5" customFormat="1" hidden="1" outlineLevel="1" x14ac:dyDescent="0.3">
      <c r="A262" s="36" t="s">
        <v>521</v>
      </c>
      <c r="B262" s="376"/>
      <c r="C262" s="343">
        <v>-0.88</v>
      </c>
      <c r="D262" s="343"/>
      <c r="E262" s="343">
        <v>-1.7</v>
      </c>
      <c r="F262" s="343">
        <v>1.327</v>
      </c>
      <c r="G262" s="228"/>
      <c r="H262" s="228">
        <v>-47.000999999999998</v>
      </c>
      <c r="I262" s="228">
        <v>-3.9430000000000001</v>
      </c>
      <c r="J262" s="228">
        <f>K262</f>
        <v>3.468</v>
      </c>
      <c r="K262" s="343">
        <v>3.468</v>
      </c>
      <c r="L262" s="228">
        <v>-0.10299999999999999</v>
      </c>
      <c r="M262" s="228">
        <v>-0.10299999999999999</v>
      </c>
      <c r="N262" s="228">
        <v>-0.10299999999999999</v>
      </c>
      <c r="O262" s="228">
        <f>P262</f>
        <v>0</v>
      </c>
      <c r="P262" s="343">
        <v>0</v>
      </c>
      <c r="Q262" s="228"/>
      <c r="R262" s="228"/>
      <c r="S262" s="228">
        <v>3.6040000000000001</v>
      </c>
      <c r="T262" s="228">
        <f>U262</f>
        <v>3.6040000000000001</v>
      </c>
      <c r="U262" s="343">
        <v>3.6040000000000001</v>
      </c>
      <c r="V262" s="228"/>
      <c r="W262" s="228"/>
      <c r="X262" s="228"/>
      <c r="Y262" s="93">
        <f>Z262</f>
        <v>0</v>
      </c>
      <c r="Z262" s="343"/>
      <c r="AA262" s="228"/>
      <c r="AB262" s="228"/>
      <c r="AC262" s="228"/>
      <c r="AD262" s="93">
        <f t="shared" si="103"/>
        <v>0</v>
      </c>
      <c r="AE262" s="343"/>
      <c r="AF262" s="228"/>
      <c r="AG262" s="228"/>
      <c r="AH262" s="228"/>
      <c r="AI262" s="93">
        <f t="shared" si="104"/>
        <v>0</v>
      </c>
      <c r="AJ262" s="343"/>
      <c r="AK262" s="228"/>
      <c r="AL262" s="322"/>
      <c r="AM262" s="228"/>
      <c r="AN262" s="93"/>
      <c r="AO262" s="343"/>
      <c r="AP262" s="228"/>
      <c r="AQ262" s="228"/>
      <c r="AR262" s="228"/>
      <c r="AS262" s="93"/>
      <c r="AT262" s="343"/>
      <c r="AU262" s="343"/>
      <c r="AV262" s="343"/>
      <c r="AW262" s="343"/>
      <c r="AX262" s="228"/>
    </row>
    <row r="263" spans="1:50" s="5" customFormat="1" hidden="1" outlineLevel="1" x14ac:dyDescent="0.3">
      <c r="A263" s="36" t="s">
        <v>522</v>
      </c>
      <c r="B263" s="376"/>
      <c r="C263" s="343">
        <v>0</v>
      </c>
      <c r="D263" s="343"/>
      <c r="E263" s="343"/>
      <c r="F263" s="343"/>
      <c r="G263" s="228">
        <v>-6.327</v>
      </c>
      <c r="H263" s="228">
        <v>-6.327</v>
      </c>
      <c r="I263" s="228">
        <v>-6.44</v>
      </c>
      <c r="J263" s="228">
        <f>K263</f>
        <v>-7.44</v>
      </c>
      <c r="K263" s="343">
        <v>-7.44</v>
      </c>
      <c r="L263" s="228"/>
      <c r="M263" s="228"/>
      <c r="N263" s="228"/>
      <c r="O263" s="228">
        <f>P263</f>
        <v>0</v>
      </c>
      <c r="P263" s="343">
        <v>0</v>
      </c>
      <c r="Q263" s="228"/>
      <c r="R263" s="228"/>
      <c r="S263" s="228">
        <v>-0.21</v>
      </c>
      <c r="T263" s="228">
        <f>U263</f>
        <v>-0.21</v>
      </c>
      <c r="U263" s="343">
        <v>-0.21</v>
      </c>
      <c r="V263" s="228"/>
      <c r="W263" s="228"/>
      <c r="X263" s="228">
        <v>-6.06</v>
      </c>
      <c r="Y263" s="93">
        <f>Z263</f>
        <v>-7.9619999999999997</v>
      </c>
      <c r="Z263" s="343">
        <v>-7.9619999999999997</v>
      </c>
      <c r="AA263" s="228">
        <v>-1.115</v>
      </c>
      <c r="AB263" s="228">
        <v>-1.647</v>
      </c>
      <c r="AC263" s="228">
        <v>-1.8360000000000001</v>
      </c>
      <c r="AD263" s="93">
        <f t="shared" si="103"/>
        <v>-2.843</v>
      </c>
      <c r="AE263" s="343">
        <v>-2.843</v>
      </c>
      <c r="AF263" s="228">
        <v>-6.3150000000000004</v>
      </c>
      <c r="AG263" s="228">
        <v>-6.383</v>
      </c>
      <c r="AH263" s="228">
        <v>-6.5119999999999996</v>
      </c>
      <c r="AI263" s="93">
        <f t="shared" si="104"/>
        <v>-6.5350000000000001</v>
      </c>
      <c r="AJ263" s="343">
        <v>-6.5350000000000001</v>
      </c>
      <c r="AK263" s="228">
        <v>-1.6779999999999999</v>
      </c>
      <c r="AL263" s="322">
        <v>-2.85</v>
      </c>
      <c r="AM263" s="228"/>
      <c r="AN263" s="93"/>
      <c r="AO263" s="343"/>
      <c r="AP263" s="228"/>
      <c r="AQ263" s="228"/>
      <c r="AR263" s="228"/>
      <c r="AS263" s="93"/>
      <c r="AT263" s="343"/>
      <c r="AU263" s="343"/>
      <c r="AV263" s="343"/>
      <c r="AW263" s="343"/>
      <c r="AX263" s="228"/>
    </row>
    <row r="264" spans="1:50" s="5" customFormat="1" hidden="1" outlineLevel="1" x14ac:dyDescent="0.3">
      <c r="A264" s="36" t="s">
        <v>523</v>
      </c>
      <c r="B264" s="376"/>
      <c r="C264" s="343">
        <v>-3.5</v>
      </c>
      <c r="D264" s="343">
        <v>-0.13500000000000001</v>
      </c>
      <c r="E264" s="343"/>
      <c r="F264" s="343">
        <v>-1.4239999999999999</v>
      </c>
      <c r="G264" s="228">
        <v>-3</v>
      </c>
      <c r="H264" s="228">
        <v>-3</v>
      </c>
      <c r="I264" s="228">
        <v>-3.1230000000000002</v>
      </c>
      <c r="J264" s="228">
        <f>K264</f>
        <v>-3.1230000000000002</v>
      </c>
      <c r="K264" s="343">
        <v>-3.1230000000000002</v>
      </c>
      <c r="L264" s="228">
        <v>-1.4379999999999999</v>
      </c>
      <c r="M264" s="228">
        <v>-1.4379999999999999</v>
      </c>
      <c r="N264" s="228">
        <v>-3.6909999999999998</v>
      </c>
      <c r="O264" s="228">
        <f>P264</f>
        <v>-3.4550000000000001</v>
      </c>
      <c r="P264" s="343">
        <v>-3.4550000000000001</v>
      </c>
      <c r="Q264" s="228"/>
      <c r="R264" s="228"/>
      <c r="S264" s="228"/>
      <c r="T264" s="228">
        <f>U264</f>
        <v>0</v>
      </c>
      <c r="U264" s="343">
        <v>0</v>
      </c>
      <c r="V264" s="228">
        <v>-0.107</v>
      </c>
      <c r="W264" s="228">
        <v>-0.107</v>
      </c>
      <c r="X264" s="228">
        <v>-1.284</v>
      </c>
      <c r="Y264" s="93">
        <f>Z264</f>
        <v>-4.9820000000000002</v>
      </c>
      <c r="Z264" s="343">
        <v>-4.9820000000000002</v>
      </c>
      <c r="AA264" s="228">
        <v>-11</v>
      </c>
      <c r="AB264" s="228">
        <v>-11</v>
      </c>
      <c r="AC264" s="228">
        <v>-13.5</v>
      </c>
      <c r="AD264" s="93">
        <f t="shared" si="103"/>
        <v>-15.021000000000001</v>
      </c>
      <c r="AE264" s="343">
        <v>-15.021000000000001</v>
      </c>
      <c r="AF264" s="228">
        <v>-2.5</v>
      </c>
      <c r="AG264" s="228">
        <v>-6</v>
      </c>
      <c r="AH264" s="228">
        <v>-7.5</v>
      </c>
      <c r="AI264" s="93">
        <f t="shared" si="104"/>
        <v>-12.5</v>
      </c>
      <c r="AJ264" s="343">
        <v>-12.5</v>
      </c>
      <c r="AK264" s="228"/>
      <c r="AL264" s="322">
        <v>-4.2469999999999999</v>
      </c>
      <c r="AM264" s="228"/>
      <c r="AN264" s="93"/>
      <c r="AO264" s="343"/>
      <c r="AP264" s="228"/>
      <c r="AQ264" s="228"/>
      <c r="AR264" s="228"/>
      <c r="AS264" s="93"/>
      <c r="AT264" s="343"/>
      <c r="AU264" s="343"/>
      <c r="AV264" s="343"/>
      <c r="AW264" s="343"/>
      <c r="AX264" s="228"/>
    </row>
    <row r="265" spans="1:50" s="5" customFormat="1" hidden="1" outlineLevel="1" x14ac:dyDescent="0.3">
      <c r="A265" s="36" t="s">
        <v>524</v>
      </c>
      <c r="B265" s="376"/>
      <c r="C265" s="343"/>
      <c r="D265" s="343"/>
      <c r="E265" s="343"/>
      <c r="F265" s="343"/>
      <c r="G265" s="228"/>
      <c r="H265" s="228"/>
      <c r="I265" s="228"/>
      <c r="J265" s="228"/>
      <c r="K265" s="343"/>
      <c r="L265" s="228"/>
      <c r="M265" s="228"/>
      <c r="N265" s="228"/>
      <c r="O265" s="228"/>
      <c r="P265" s="343"/>
      <c r="Q265" s="228"/>
      <c r="R265" s="228"/>
      <c r="S265" s="228"/>
      <c r="T265" s="228"/>
      <c r="U265" s="343"/>
      <c r="V265" s="228"/>
      <c r="W265" s="228"/>
      <c r="X265" s="228"/>
      <c r="Y265" s="228"/>
      <c r="Z265" s="343"/>
      <c r="AA265" s="228"/>
      <c r="AB265" s="228"/>
      <c r="AC265" s="228"/>
      <c r="AD265" s="228">
        <f t="shared" si="103"/>
        <v>0</v>
      </c>
      <c r="AE265" s="343"/>
      <c r="AF265" s="228"/>
      <c r="AG265" s="228">
        <v>3.2389999999999999</v>
      </c>
      <c r="AH265" s="228">
        <v>3.2389999999999999</v>
      </c>
      <c r="AI265" s="228">
        <f t="shared" si="104"/>
        <v>3.2389999999999999</v>
      </c>
      <c r="AJ265" s="343">
        <v>3.2389999999999999</v>
      </c>
      <c r="AK265" s="228"/>
      <c r="AL265" s="322"/>
      <c r="AM265" s="228"/>
      <c r="AN265" s="228"/>
      <c r="AO265" s="343"/>
      <c r="AP265" s="228"/>
      <c r="AQ265" s="228"/>
      <c r="AR265" s="228"/>
      <c r="AS265" s="228"/>
      <c r="AT265" s="343"/>
      <c r="AU265" s="343"/>
      <c r="AV265" s="343"/>
      <c r="AW265" s="343"/>
      <c r="AX265" s="228"/>
    </row>
    <row r="266" spans="1:50" s="5" customFormat="1" hidden="1" outlineLevel="1" x14ac:dyDescent="0.3">
      <c r="A266" s="36" t="s">
        <v>525</v>
      </c>
      <c r="B266" s="376"/>
      <c r="C266" s="343"/>
      <c r="D266" s="343"/>
      <c r="E266" s="343">
        <v>-203.70400000000001</v>
      </c>
      <c r="F266" s="343"/>
      <c r="G266" s="228"/>
      <c r="H266" s="228"/>
      <c r="I266" s="228">
        <f>-80.671-42.848</f>
        <v>-123.51900000000001</v>
      </c>
      <c r="J266" s="228">
        <f>K266</f>
        <v>-123.51900000000001</v>
      </c>
      <c r="K266" s="343">
        <f>-80.671-42.848</f>
        <v>-123.51900000000001</v>
      </c>
      <c r="L266" s="228"/>
      <c r="M266" s="228"/>
      <c r="N266" s="228"/>
      <c r="O266" s="228">
        <f>P266</f>
        <v>-2.2530000000000001</v>
      </c>
      <c r="P266" s="343">
        <v>-2.2530000000000001</v>
      </c>
      <c r="Q266" s="228"/>
      <c r="R266" s="228"/>
      <c r="S266" s="228"/>
      <c r="T266" s="228">
        <f>U266</f>
        <v>0</v>
      </c>
      <c r="U266" s="343"/>
      <c r="V266" s="228">
        <v>-681.18899999999996</v>
      </c>
      <c r="W266" s="228">
        <v>-698.50099999999998</v>
      </c>
      <c r="X266" s="228">
        <v>-698.50099999999998</v>
      </c>
      <c r="Y266" s="93">
        <f>Z266</f>
        <v>-693.69200000000001</v>
      </c>
      <c r="Z266" s="343">
        <v>-693.69200000000001</v>
      </c>
      <c r="AA266" s="228"/>
      <c r="AB266" s="228"/>
      <c r="AC266" s="228">
        <v>-0.872</v>
      </c>
      <c r="AD266" s="93">
        <f t="shared" si="103"/>
        <v>-0.872</v>
      </c>
      <c r="AE266" s="343">
        <v>-0.872</v>
      </c>
      <c r="AF266" s="228"/>
      <c r="AG266" s="228">
        <v>-7.1289999999999996</v>
      </c>
      <c r="AH266" s="228">
        <v>-7.3789999999999996</v>
      </c>
      <c r="AI266" s="93">
        <f t="shared" si="104"/>
        <v>-7.3789999999999996</v>
      </c>
      <c r="AJ266" s="343">
        <v>-7.3789999999999996</v>
      </c>
      <c r="AK266" s="228"/>
      <c r="AL266" s="322"/>
      <c r="AM266" s="228"/>
      <c r="AN266" s="93"/>
      <c r="AO266" s="343"/>
      <c r="AP266" s="228"/>
      <c r="AQ266" s="228"/>
      <c r="AR266" s="228"/>
      <c r="AS266" s="93"/>
      <c r="AT266" s="343"/>
      <c r="AU266" s="343"/>
      <c r="AV266" s="343"/>
      <c r="AW266" s="343"/>
      <c r="AX266" s="228"/>
    </row>
    <row r="267" spans="1:50" s="9" customFormat="1" hidden="1" outlineLevel="1" x14ac:dyDescent="0.3">
      <c r="A267" s="347" t="s">
        <v>171</v>
      </c>
      <c r="B267" s="377"/>
      <c r="C267" s="349">
        <f t="shared" ref="C267:AL267" si="105">SUM(C256:C266)</f>
        <v>-103.73100000000001</v>
      </c>
      <c r="D267" s="349">
        <f t="shared" si="105"/>
        <v>13.071000000000014</v>
      </c>
      <c r="E267" s="349">
        <f t="shared" si="105"/>
        <v>-114.49900000000001</v>
      </c>
      <c r="F267" s="349">
        <f t="shared" si="105"/>
        <v>-280.87899999999996</v>
      </c>
      <c r="G267" s="350">
        <f t="shared" si="105"/>
        <v>9.4849999999999977</v>
      </c>
      <c r="H267" s="350">
        <f t="shared" si="105"/>
        <v>-3.7259999999999938</v>
      </c>
      <c r="I267" s="350">
        <f t="shared" si="105"/>
        <v>-115.86</v>
      </c>
      <c r="J267" s="350">
        <f t="shared" si="105"/>
        <v>-121.94800000000001</v>
      </c>
      <c r="K267" s="349">
        <f t="shared" si="105"/>
        <v>-121.94800000000001</v>
      </c>
      <c r="L267" s="350">
        <f t="shared" si="105"/>
        <v>-32.078000000000003</v>
      </c>
      <c r="M267" s="350">
        <f t="shared" si="105"/>
        <v>-43.522000000000006</v>
      </c>
      <c r="N267" s="350">
        <f t="shared" si="105"/>
        <v>-57.987000000000037</v>
      </c>
      <c r="O267" s="350">
        <f t="shared" si="105"/>
        <v>-107.71199999999996</v>
      </c>
      <c r="P267" s="349">
        <f t="shared" si="105"/>
        <v>-107.71199999999996</v>
      </c>
      <c r="Q267" s="350">
        <f t="shared" si="105"/>
        <v>-42.376000000000019</v>
      </c>
      <c r="R267" s="350">
        <f t="shared" si="105"/>
        <v>-79.495999999999995</v>
      </c>
      <c r="S267" s="350">
        <f t="shared" si="105"/>
        <v>-42.758999999999993</v>
      </c>
      <c r="T267" s="350">
        <f t="shared" si="105"/>
        <v>43.569999999999986</v>
      </c>
      <c r="U267" s="349">
        <f t="shared" si="105"/>
        <v>43.569999999999986</v>
      </c>
      <c r="V267" s="350">
        <f t="shared" si="105"/>
        <v>-477.06599999999992</v>
      </c>
      <c r="W267" s="350">
        <f t="shared" si="105"/>
        <v>-570.54999999999995</v>
      </c>
      <c r="X267" s="350">
        <f t="shared" si="105"/>
        <v>-618.45699999999999</v>
      </c>
      <c r="Y267" s="351">
        <f t="shared" si="105"/>
        <v>-664.15300000000002</v>
      </c>
      <c r="Z267" s="352">
        <f t="shared" si="105"/>
        <v>-664.15300000000002</v>
      </c>
      <c r="AA267" s="350">
        <f t="shared" si="105"/>
        <v>-22.585999999999999</v>
      </c>
      <c r="AB267" s="350">
        <f t="shared" si="105"/>
        <v>-21.579000000000001</v>
      </c>
      <c r="AC267" s="350">
        <f t="shared" si="105"/>
        <v>-65.87299999999999</v>
      </c>
      <c r="AD267" s="351">
        <f t="shared" si="105"/>
        <v>2.0419999999999767</v>
      </c>
      <c r="AE267" s="352">
        <f t="shared" si="105"/>
        <v>2.0419999999999767</v>
      </c>
      <c r="AF267" s="350">
        <f t="shared" si="105"/>
        <v>-0.21000000000000352</v>
      </c>
      <c r="AG267" s="350">
        <f t="shared" si="105"/>
        <v>-43.16</v>
      </c>
      <c r="AH267" s="350">
        <f t="shared" si="105"/>
        <v>-119.54500000000002</v>
      </c>
      <c r="AI267" s="351">
        <f t="shared" si="105"/>
        <v>-225.64699999999999</v>
      </c>
      <c r="AJ267" s="352">
        <f t="shared" si="105"/>
        <v>-225.64699999999999</v>
      </c>
      <c r="AK267" s="350">
        <f t="shared" si="105"/>
        <v>-84.51400000000001</v>
      </c>
      <c r="AL267" s="353">
        <f t="shared" si="105"/>
        <v>-171.97399999999999</v>
      </c>
      <c r="AM267" s="351"/>
      <c r="AN267" s="351"/>
      <c r="AO267" s="352"/>
      <c r="AP267" s="351"/>
      <c r="AQ267" s="351"/>
      <c r="AR267" s="351"/>
      <c r="AS267" s="351"/>
      <c r="AT267" s="352"/>
      <c r="AU267" s="352"/>
      <c r="AV267" s="352"/>
      <c r="AW267" s="352"/>
      <c r="AX267" s="22"/>
    </row>
    <row r="268" spans="1:50" s="9" customFormat="1" hidden="1" outlineLevel="1" x14ac:dyDescent="0.3">
      <c r="A268" s="35"/>
      <c r="B268" s="103"/>
      <c r="C268" s="4"/>
      <c r="D268" s="4"/>
      <c r="E268" s="4"/>
      <c r="F268" s="4"/>
      <c r="G268" s="22"/>
      <c r="H268" s="22"/>
      <c r="I268" s="22"/>
      <c r="J268" s="22"/>
      <c r="K268" s="4"/>
      <c r="L268" s="22"/>
      <c r="M268" s="22"/>
      <c r="N268" s="22"/>
      <c r="O268" s="22"/>
      <c r="P268" s="4"/>
      <c r="Q268" s="22"/>
      <c r="R268" s="22"/>
      <c r="S268" s="22"/>
      <c r="T268" s="22"/>
      <c r="U268" s="4"/>
      <c r="V268" s="22"/>
      <c r="W268" s="22"/>
      <c r="X268" s="22"/>
      <c r="Y268" s="22"/>
      <c r="Z268" s="4"/>
      <c r="AA268" s="22"/>
      <c r="AB268" s="22"/>
      <c r="AC268" s="22"/>
      <c r="AD268" s="22"/>
      <c r="AE268" s="4"/>
      <c r="AF268" s="22"/>
      <c r="AG268" s="22"/>
      <c r="AH268" s="22"/>
      <c r="AI268" s="22"/>
      <c r="AJ268" s="4"/>
      <c r="AK268" s="22"/>
      <c r="AL268" s="308"/>
      <c r="AM268" s="22"/>
      <c r="AN268" s="22"/>
      <c r="AO268" s="4"/>
      <c r="AP268" s="22"/>
      <c r="AQ268" s="22"/>
      <c r="AR268" s="22"/>
      <c r="AS268" s="22"/>
      <c r="AT268" s="4"/>
      <c r="AU268" s="4"/>
      <c r="AV268" s="4"/>
      <c r="AW268" s="4"/>
      <c r="AX268" s="22"/>
    </row>
    <row r="269" spans="1:50" s="9" customFormat="1" hidden="1" outlineLevel="1" x14ac:dyDescent="0.3">
      <c r="A269" s="35" t="s">
        <v>172</v>
      </c>
      <c r="B269" s="103"/>
      <c r="C269" s="4"/>
      <c r="D269" s="4"/>
      <c r="E269" s="4"/>
      <c r="F269" s="4"/>
      <c r="G269" s="22"/>
      <c r="H269" s="22"/>
      <c r="I269" s="22"/>
      <c r="J269" s="22"/>
      <c r="K269" s="4"/>
      <c r="L269" s="22"/>
      <c r="M269" s="22"/>
      <c r="N269" s="22"/>
      <c r="O269" s="22"/>
      <c r="P269" s="4"/>
      <c r="Q269" s="22"/>
      <c r="R269" s="22"/>
      <c r="S269" s="22"/>
      <c r="T269" s="22"/>
      <c r="U269" s="4"/>
      <c r="V269" s="22"/>
      <c r="W269" s="22"/>
      <c r="X269" s="22"/>
      <c r="Y269" s="22"/>
      <c r="Z269" s="4"/>
      <c r="AA269" s="22"/>
      <c r="AB269" s="22"/>
      <c r="AC269" s="22"/>
      <c r="AD269" s="22"/>
      <c r="AE269" s="4"/>
      <c r="AF269" s="22"/>
      <c r="AG269" s="22"/>
      <c r="AH269" s="22"/>
      <c r="AI269" s="22"/>
      <c r="AJ269" s="4"/>
      <c r="AK269" s="22"/>
      <c r="AL269" s="308"/>
      <c r="AM269" s="22"/>
      <c r="AN269" s="22"/>
      <c r="AO269" s="4"/>
      <c r="AP269" s="22"/>
      <c r="AQ269" s="22"/>
      <c r="AR269" s="22"/>
      <c r="AS269" s="22"/>
      <c r="AT269" s="4"/>
      <c r="AU269" s="4"/>
      <c r="AV269" s="4"/>
      <c r="AW269" s="4"/>
      <c r="AX269" s="22"/>
    </row>
    <row r="270" spans="1:50" s="5" customFormat="1" hidden="1" outlineLevel="1" x14ac:dyDescent="0.3">
      <c r="A270" s="36" t="s">
        <v>526</v>
      </c>
      <c r="B270" s="376"/>
      <c r="C270" s="343"/>
      <c r="D270" s="343"/>
      <c r="E270" s="343"/>
      <c r="F270" s="343"/>
      <c r="G270" s="228"/>
      <c r="H270" s="228"/>
      <c r="I270" s="228"/>
      <c r="J270" s="228">
        <f>K270</f>
        <v>0</v>
      </c>
      <c r="K270" s="343"/>
      <c r="L270" s="228"/>
      <c r="M270" s="228"/>
      <c r="N270" s="228"/>
      <c r="O270" s="228">
        <f>P270</f>
        <v>0</v>
      </c>
      <c r="P270" s="343"/>
      <c r="Q270" s="228">
        <v>0</v>
      </c>
      <c r="R270" s="228"/>
      <c r="S270" s="228"/>
      <c r="T270" s="228">
        <f>U270</f>
        <v>0</v>
      </c>
      <c r="U270" s="343"/>
      <c r="V270" s="228">
        <v>280</v>
      </c>
      <c r="W270" s="228">
        <v>280</v>
      </c>
      <c r="X270" s="228">
        <v>280</v>
      </c>
      <c r="Y270" s="93">
        <f t="shared" ref="Y270:Y275" si="106">Z270</f>
        <v>280</v>
      </c>
      <c r="Z270" s="343">
        <v>280</v>
      </c>
      <c r="AA270" s="228"/>
      <c r="AB270" s="228"/>
      <c r="AC270" s="228"/>
      <c r="AD270" s="93">
        <f t="shared" ref="AD270:AD277" si="107">AE270</f>
        <v>0</v>
      </c>
      <c r="AE270" s="343"/>
      <c r="AF270" s="228"/>
      <c r="AG270" s="228"/>
      <c r="AH270" s="228"/>
      <c r="AI270" s="93">
        <f t="shared" ref="AI270:AI277" si="108">AJ270</f>
        <v>0</v>
      </c>
      <c r="AJ270" s="343"/>
      <c r="AK270" s="228"/>
      <c r="AL270" s="322"/>
      <c r="AM270" s="228"/>
      <c r="AN270" s="93"/>
      <c r="AO270" s="343"/>
      <c r="AP270" s="228"/>
      <c r="AQ270" s="228"/>
      <c r="AR270" s="228"/>
      <c r="AS270" s="93"/>
      <c r="AT270" s="343"/>
      <c r="AU270" s="343"/>
      <c r="AV270" s="343"/>
      <c r="AW270" s="343"/>
      <c r="AX270" s="228"/>
    </row>
    <row r="271" spans="1:50" s="5" customFormat="1" hidden="1" outlineLevel="1" x14ac:dyDescent="0.3">
      <c r="A271" s="36" t="s">
        <v>527</v>
      </c>
      <c r="B271" s="376"/>
      <c r="C271" s="343"/>
      <c r="D271" s="343"/>
      <c r="E271" s="343"/>
      <c r="F271" s="343"/>
      <c r="G271" s="228"/>
      <c r="H271" s="228"/>
      <c r="I271" s="228"/>
      <c r="J271" s="228">
        <f>K271</f>
        <v>0</v>
      </c>
      <c r="K271" s="343"/>
      <c r="L271" s="228"/>
      <c r="M271" s="228"/>
      <c r="N271" s="228"/>
      <c r="O271" s="228">
        <f>P271</f>
        <v>0</v>
      </c>
      <c r="P271" s="343"/>
      <c r="Q271" s="228">
        <v>0</v>
      </c>
      <c r="R271" s="228"/>
      <c r="S271" s="228"/>
      <c r="T271" s="228">
        <f>U271</f>
        <v>0</v>
      </c>
      <c r="U271" s="343"/>
      <c r="V271" s="228">
        <v>-5.5209999999999999</v>
      </c>
      <c r="W271" s="228">
        <v>-5.5209999999999999</v>
      </c>
      <c r="X271" s="228">
        <v>-5.5209999999999999</v>
      </c>
      <c r="Y271" s="93">
        <f t="shared" si="106"/>
        <v>-5.5209999999999999</v>
      </c>
      <c r="Z271" s="343">
        <v>-5.5209999999999999</v>
      </c>
      <c r="AA271" s="228"/>
      <c r="AB271" s="228"/>
      <c r="AC271" s="228"/>
      <c r="AD271" s="93">
        <f t="shared" si="107"/>
        <v>0</v>
      </c>
      <c r="AE271" s="343"/>
      <c r="AF271" s="228"/>
      <c r="AG271" s="228"/>
      <c r="AH271" s="228"/>
      <c r="AI271" s="93">
        <f t="shared" si="108"/>
        <v>0</v>
      </c>
      <c r="AJ271" s="343"/>
      <c r="AK271" s="228"/>
      <c r="AL271" s="322"/>
      <c r="AM271" s="228"/>
      <c r="AN271" s="93"/>
      <c r="AO271" s="343"/>
      <c r="AP271" s="228"/>
      <c r="AQ271" s="228"/>
      <c r="AR271" s="228"/>
      <c r="AS271" s="93"/>
      <c r="AT271" s="343"/>
      <c r="AU271" s="343"/>
      <c r="AV271" s="343"/>
      <c r="AW271" s="343"/>
      <c r="AX271" s="228"/>
    </row>
    <row r="272" spans="1:50" s="5" customFormat="1" hidden="1" outlineLevel="1" x14ac:dyDescent="0.3">
      <c r="A272" s="36" t="s">
        <v>528</v>
      </c>
      <c r="B272" s="376"/>
      <c r="C272" s="343"/>
      <c r="D272" s="343"/>
      <c r="E272" s="343"/>
      <c r="F272" s="343"/>
      <c r="G272" s="228"/>
      <c r="H272" s="228"/>
      <c r="I272" s="228"/>
      <c r="J272" s="228"/>
      <c r="K272" s="343"/>
      <c r="L272" s="228"/>
      <c r="M272" s="228"/>
      <c r="N272" s="228"/>
      <c r="O272" s="228"/>
      <c r="P272" s="343"/>
      <c r="Q272" s="228"/>
      <c r="R272" s="228"/>
      <c r="S272" s="228"/>
      <c r="T272" s="228"/>
      <c r="U272" s="343"/>
      <c r="V272" s="228"/>
      <c r="W272" s="228">
        <v>-7</v>
      </c>
      <c r="X272" s="228">
        <v>-27</v>
      </c>
      <c r="Y272" s="228">
        <f t="shared" si="106"/>
        <v>-34</v>
      </c>
      <c r="Z272" s="343">
        <v>-34</v>
      </c>
      <c r="AA272" s="228">
        <v>-20</v>
      </c>
      <c r="AB272" s="228">
        <v>-30</v>
      </c>
      <c r="AC272" s="228">
        <v>-46</v>
      </c>
      <c r="AD272" s="228">
        <f t="shared" si="107"/>
        <v>-172</v>
      </c>
      <c r="AE272" s="343">
        <v>-172</v>
      </c>
      <c r="AF272" s="228">
        <v>-39</v>
      </c>
      <c r="AG272" s="228">
        <v>-74</v>
      </c>
      <c r="AH272" s="228">
        <v>-74</v>
      </c>
      <c r="AI272" s="228">
        <f t="shared" si="108"/>
        <v>-74</v>
      </c>
      <c r="AJ272" s="343">
        <v>-74</v>
      </c>
      <c r="AK272" s="228"/>
      <c r="AL272" s="322"/>
      <c r="AM272" s="228"/>
      <c r="AN272" s="228"/>
      <c r="AO272" s="343"/>
      <c r="AP272" s="228"/>
      <c r="AQ272" s="228"/>
      <c r="AR272" s="228"/>
      <c r="AS272" s="228"/>
      <c r="AT272" s="343"/>
      <c r="AU272" s="343"/>
      <c r="AV272" s="343"/>
      <c r="AW272" s="343"/>
      <c r="AX272" s="228"/>
    </row>
    <row r="273" spans="1:50" s="5" customFormat="1" hidden="1" outlineLevel="1" x14ac:dyDescent="0.3">
      <c r="A273" s="36" t="s">
        <v>529</v>
      </c>
      <c r="B273" s="376"/>
      <c r="C273" s="343">
        <v>-0.46500000000000002</v>
      </c>
      <c r="D273" s="343">
        <v>-0.52800000000000002</v>
      </c>
      <c r="E273" s="343">
        <v>-0.45900000000000002</v>
      </c>
      <c r="F273" s="343">
        <v>-0.91800000000000004</v>
      </c>
      <c r="G273" s="228">
        <v>-0.27900000000000003</v>
      </c>
      <c r="H273" s="228">
        <v>-0.69499999999999995</v>
      </c>
      <c r="I273" s="228">
        <v>-0.96</v>
      </c>
      <c r="J273" s="228">
        <f>K273</f>
        <v>-1.111</v>
      </c>
      <c r="K273" s="343">
        <v>-1.111</v>
      </c>
      <c r="L273" s="228">
        <v>-0.35599999999999998</v>
      </c>
      <c r="M273" s="228">
        <v>-0.68300000000000005</v>
      </c>
      <c r="N273" s="228">
        <v>-1.0920000000000001</v>
      </c>
      <c r="O273" s="228">
        <f>P273</f>
        <v>-1.381</v>
      </c>
      <c r="P273" s="343">
        <v>-1.381</v>
      </c>
      <c r="Q273" s="228">
        <v>-0.28100000000000003</v>
      </c>
      <c r="R273" s="228">
        <v>-0.55600000000000005</v>
      </c>
      <c r="S273" s="228">
        <v>-0.83099999999999996</v>
      </c>
      <c r="T273" s="228">
        <f>U273</f>
        <v>-1.105</v>
      </c>
      <c r="U273" s="343">
        <v>-1.105</v>
      </c>
      <c r="V273" s="228">
        <v>-0.27400000000000002</v>
      </c>
      <c r="W273" s="228">
        <v>-0.49099999999999999</v>
      </c>
      <c r="X273" s="228">
        <v>-0.49099999999999999</v>
      </c>
      <c r="Y273" s="93">
        <f t="shared" si="106"/>
        <v>-1.3640000000000001</v>
      </c>
      <c r="Z273" s="343">
        <v>-1.3640000000000001</v>
      </c>
      <c r="AA273" s="228">
        <v>-2.5139999999999998</v>
      </c>
      <c r="AB273" s="228">
        <v>-3.2629999999999999</v>
      </c>
      <c r="AC273" s="228">
        <v>-5.9690000000000003</v>
      </c>
      <c r="AD273" s="93">
        <f t="shared" si="107"/>
        <v>-7.3689999999999998</v>
      </c>
      <c r="AE273" s="343">
        <v>-7.3689999999999998</v>
      </c>
      <c r="AF273" s="228">
        <v>-2.173</v>
      </c>
      <c r="AG273" s="228">
        <v>-3.4460000000000002</v>
      </c>
      <c r="AH273" s="228">
        <v>-6.5190000000000001</v>
      </c>
      <c r="AI273" s="93">
        <f t="shared" si="108"/>
        <v>-8.4260000000000002</v>
      </c>
      <c r="AJ273" s="343">
        <v>-8.4260000000000002</v>
      </c>
      <c r="AK273" s="228">
        <v>-2.3029999999999999</v>
      </c>
      <c r="AL273" s="322">
        <v>-4.0190000000000001</v>
      </c>
      <c r="AM273" s="228"/>
      <c r="AN273" s="93"/>
      <c r="AO273" s="343"/>
      <c r="AP273" s="228"/>
      <c r="AQ273" s="228"/>
      <c r="AR273" s="228"/>
      <c r="AS273" s="93"/>
      <c r="AT273" s="343"/>
      <c r="AU273" s="343"/>
      <c r="AV273" s="343"/>
      <c r="AW273" s="343"/>
      <c r="AX273" s="228"/>
    </row>
    <row r="274" spans="1:50" s="5" customFormat="1" hidden="1" outlineLevel="1" x14ac:dyDescent="0.3">
      <c r="A274" s="36" t="s">
        <v>530</v>
      </c>
      <c r="B274" s="376"/>
      <c r="C274" s="343">
        <v>3.6640000000000001</v>
      </c>
      <c r="D274" s="343">
        <v>9.4779999999999998</v>
      </c>
      <c r="E274" s="343">
        <v>18.471</v>
      </c>
      <c r="F274" s="343">
        <v>29.963000000000001</v>
      </c>
      <c r="G274" s="228">
        <v>5.6710000000000003</v>
      </c>
      <c r="H274" s="228">
        <v>7.0529999999999999</v>
      </c>
      <c r="I274" s="228">
        <v>13.571</v>
      </c>
      <c r="J274" s="228">
        <f>K274</f>
        <v>14.637</v>
      </c>
      <c r="K274" s="343">
        <v>14.637</v>
      </c>
      <c r="L274" s="228">
        <v>6.6989999999999998</v>
      </c>
      <c r="M274" s="228">
        <v>7.109</v>
      </c>
      <c r="N274" s="228">
        <v>15.271000000000001</v>
      </c>
      <c r="O274" s="228">
        <f>P274</f>
        <v>16.783000000000001</v>
      </c>
      <c r="P274" s="343">
        <v>16.783000000000001</v>
      </c>
      <c r="Q274" s="228"/>
      <c r="R274" s="228">
        <v>9.8290000000000006</v>
      </c>
      <c r="S274" s="228">
        <v>16.978000000000002</v>
      </c>
      <c r="T274" s="228">
        <f>U274</f>
        <v>18.867000000000001</v>
      </c>
      <c r="U274" s="343">
        <v>18.867000000000001</v>
      </c>
      <c r="V274" s="228">
        <v>8.9789999999999992</v>
      </c>
      <c r="W274" s="228">
        <v>10.438000000000001</v>
      </c>
      <c r="X274" s="228">
        <v>21.649000000000001</v>
      </c>
      <c r="Y274" s="93">
        <f t="shared" si="106"/>
        <v>22.555</v>
      </c>
      <c r="Z274" s="343">
        <v>22.555</v>
      </c>
      <c r="AA274" s="228">
        <v>11.676</v>
      </c>
      <c r="AB274" s="228">
        <v>12.396000000000001</v>
      </c>
      <c r="AC274" s="228">
        <v>25.102</v>
      </c>
      <c r="AD274" s="93">
        <f t="shared" si="107"/>
        <v>29.733000000000001</v>
      </c>
      <c r="AE274" s="343">
        <v>29.733000000000001</v>
      </c>
      <c r="AF274" s="228">
        <v>14.058</v>
      </c>
      <c r="AG274" s="228">
        <v>19.341000000000001</v>
      </c>
      <c r="AH274" s="228">
        <v>33.267000000000003</v>
      </c>
      <c r="AI274" s="93">
        <f t="shared" si="108"/>
        <v>37.368000000000002</v>
      </c>
      <c r="AJ274" s="343">
        <v>37.368000000000002</v>
      </c>
      <c r="AK274" s="228">
        <v>17.027000000000001</v>
      </c>
      <c r="AL274" s="322">
        <v>18.120999999999999</v>
      </c>
      <c r="AM274" s="228"/>
      <c r="AN274" s="93"/>
      <c r="AO274" s="343"/>
      <c r="AP274" s="228"/>
      <c r="AQ274" s="228"/>
      <c r="AR274" s="228"/>
      <c r="AS274" s="93"/>
      <c r="AT274" s="343"/>
      <c r="AU274" s="343"/>
      <c r="AV274" s="343"/>
      <c r="AW274" s="343"/>
      <c r="AX274" s="228"/>
    </row>
    <row r="275" spans="1:50" s="5" customFormat="1" hidden="1" outlineLevel="1" x14ac:dyDescent="0.3">
      <c r="A275" s="36" t="s">
        <v>531</v>
      </c>
      <c r="B275" s="376"/>
      <c r="C275" s="343">
        <v>1.2310000000000001</v>
      </c>
      <c r="D275" s="343">
        <v>1.101</v>
      </c>
      <c r="E275" s="343">
        <v>2.411</v>
      </c>
      <c r="F275" s="343">
        <v>5.141</v>
      </c>
      <c r="G275" s="228">
        <v>0.93200000000000005</v>
      </c>
      <c r="H275" s="228">
        <v>1.9390000000000001</v>
      </c>
      <c r="I275" s="228">
        <v>2.7959999999999998</v>
      </c>
      <c r="J275" s="228">
        <f>K275</f>
        <v>2.6619999999999999</v>
      </c>
      <c r="K275" s="343">
        <v>2.6619999999999999</v>
      </c>
      <c r="L275" s="228"/>
      <c r="M275" s="228"/>
      <c r="N275" s="228">
        <v>0.34599999999999997</v>
      </c>
      <c r="O275" s="228">
        <f>P275</f>
        <v>0.34200000000000003</v>
      </c>
      <c r="P275" s="343">
        <v>0.34200000000000003</v>
      </c>
      <c r="Q275" s="228">
        <v>7.1920000000000002</v>
      </c>
      <c r="R275" s="228"/>
      <c r="S275" s="228"/>
      <c r="T275" s="228">
        <f>U275</f>
        <v>5.2999999999999999E-2</v>
      </c>
      <c r="U275" s="343">
        <v>5.2999999999999999E-2</v>
      </c>
      <c r="V275" s="228"/>
      <c r="W275" s="228"/>
      <c r="X275" s="228"/>
      <c r="Y275" s="93">
        <f t="shared" si="106"/>
        <v>-4.5999999999999999E-2</v>
      </c>
      <c r="Z275" s="343">
        <v>-4.5999999999999999E-2</v>
      </c>
      <c r="AA275" s="228"/>
      <c r="AB275" s="228"/>
      <c r="AC275" s="228"/>
      <c r="AD275" s="93">
        <f t="shared" si="107"/>
        <v>0</v>
      </c>
      <c r="AE275" s="343"/>
      <c r="AF275" s="228"/>
      <c r="AG275" s="228"/>
      <c r="AH275" s="228"/>
      <c r="AI275" s="93">
        <f t="shared" si="108"/>
        <v>0</v>
      </c>
      <c r="AJ275" s="343"/>
      <c r="AK275" s="228"/>
      <c r="AL275" s="322"/>
      <c r="AM275" s="228"/>
      <c r="AN275" s="93"/>
      <c r="AO275" s="343"/>
      <c r="AP275" s="228"/>
      <c r="AQ275" s="228"/>
      <c r="AR275" s="228"/>
      <c r="AS275" s="93"/>
      <c r="AT275" s="343"/>
      <c r="AU275" s="343"/>
      <c r="AV275" s="343"/>
      <c r="AW275" s="343"/>
      <c r="AX275" s="228"/>
    </row>
    <row r="276" spans="1:50" s="5" customFormat="1" hidden="1" outlineLevel="1" x14ac:dyDescent="0.3">
      <c r="A276" s="36" t="s">
        <v>532</v>
      </c>
      <c r="B276" s="376"/>
      <c r="C276" s="343"/>
      <c r="D276" s="343"/>
      <c r="E276" s="343"/>
      <c r="F276" s="343"/>
      <c r="G276" s="228"/>
      <c r="H276" s="228"/>
      <c r="I276" s="228"/>
      <c r="J276" s="228"/>
      <c r="K276" s="343"/>
      <c r="L276" s="228"/>
      <c r="M276" s="228"/>
      <c r="N276" s="228"/>
      <c r="O276" s="228"/>
      <c r="P276" s="343"/>
      <c r="Q276" s="228"/>
      <c r="R276" s="228"/>
      <c r="S276" s="228"/>
      <c r="T276" s="228"/>
      <c r="U276" s="343"/>
      <c r="V276" s="228"/>
      <c r="W276" s="228"/>
      <c r="X276" s="228"/>
      <c r="Y276" s="228"/>
      <c r="Z276" s="343"/>
      <c r="AA276" s="228"/>
      <c r="AB276" s="228"/>
      <c r="AC276" s="228"/>
      <c r="AD276" s="228">
        <f t="shared" si="107"/>
        <v>0</v>
      </c>
      <c r="AE276" s="343"/>
      <c r="AF276" s="228"/>
      <c r="AG276" s="228"/>
      <c r="AH276" s="228"/>
      <c r="AI276" s="228">
        <f t="shared" si="108"/>
        <v>0</v>
      </c>
      <c r="AJ276" s="343"/>
      <c r="AK276" s="228"/>
      <c r="AL276" s="322"/>
      <c r="AM276" s="228"/>
      <c r="AN276" s="228"/>
      <c r="AO276" s="343"/>
      <c r="AP276" s="228"/>
      <c r="AQ276" s="228"/>
      <c r="AR276" s="228"/>
      <c r="AS276" s="228"/>
      <c r="AT276" s="343"/>
      <c r="AU276" s="343"/>
      <c r="AV276" s="343"/>
      <c r="AW276" s="343"/>
      <c r="AX276" s="228"/>
    </row>
    <row r="277" spans="1:50" s="5" customFormat="1" hidden="1" outlineLevel="1" x14ac:dyDescent="0.3">
      <c r="A277" s="36" t="s">
        <v>533</v>
      </c>
      <c r="B277" s="376"/>
      <c r="C277" s="343"/>
      <c r="D277" s="343"/>
      <c r="E277" s="343">
        <v>104.20099999999999</v>
      </c>
      <c r="F277" s="343"/>
      <c r="G277" s="228"/>
      <c r="H277" s="228"/>
      <c r="I277" s="228"/>
      <c r="J277" s="228"/>
      <c r="K277" s="343"/>
      <c r="L277" s="228"/>
      <c r="M277" s="228"/>
      <c r="N277" s="228"/>
      <c r="O277" s="228"/>
      <c r="P277" s="343"/>
      <c r="Q277" s="228"/>
      <c r="R277" s="228"/>
      <c r="S277" s="228"/>
      <c r="T277" s="228"/>
      <c r="U277" s="343"/>
      <c r="V277" s="228"/>
      <c r="W277" s="228"/>
      <c r="X277" s="228"/>
      <c r="Y277" s="93">
        <f>Z277</f>
        <v>0</v>
      </c>
      <c r="Z277" s="343"/>
      <c r="AA277" s="228"/>
      <c r="AB277" s="228"/>
      <c r="AC277" s="228"/>
      <c r="AD277" s="93">
        <f t="shared" si="107"/>
        <v>0</v>
      </c>
      <c r="AE277" s="343"/>
      <c r="AF277" s="228"/>
      <c r="AG277" s="228"/>
      <c r="AH277" s="228"/>
      <c r="AI277" s="93">
        <f t="shared" si="108"/>
        <v>0</v>
      </c>
      <c r="AJ277" s="343"/>
      <c r="AK277" s="228"/>
      <c r="AL277" s="322"/>
      <c r="AM277" s="228"/>
      <c r="AN277" s="93"/>
      <c r="AO277" s="343"/>
      <c r="AP277" s="228"/>
      <c r="AQ277" s="228"/>
      <c r="AR277" s="228"/>
      <c r="AS277" s="93"/>
      <c r="AT277" s="343"/>
      <c r="AU277" s="343"/>
      <c r="AV277" s="343"/>
      <c r="AW277" s="343"/>
      <c r="AX277" s="228"/>
    </row>
    <row r="278" spans="1:50" s="9" customFormat="1" hidden="1" outlineLevel="1" x14ac:dyDescent="0.3">
      <c r="A278" s="347" t="s">
        <v>185</v>
      </c>
      <c r="B278" s="377"/>
      <c r="C278" s="349">
        <f t="shared" ref="C278:AL278" si="109">SUM(C270:C277)</f>
        <v>4.4300000000000006</v>
      </c>
      <c r="D278" s="349">
        <f t="shared" si="109"/>
        <v>10.050999999999998</v>
      </c>
      <c r="E278" s="349">
        <f t="shared" si="109"/>
        <v>124.624</v>
      </c>
      <c r="F278" s="349">
        <f t="shared" si="109"/>
        <v>34.186</v>
      </c>
      <c r="G278" s="350">
        <f t="shared" si="109"/>
        <v>6.3240000000000007</v>
      </c>
      <c r="H278" s="350">
        <f t="shared" si="109"/>
        <v>8.2970000000000006</v>
      </c>
      <c r="I278" s="350">
        <f t="shared" si="109"/>
        <v>15.407</v>
      </c>
      <c r="J278" s="350">
        <f t="shared" si="109"/>
        <v>16.187999999999999</v>
      </c>
      <c r="K278" s="349">
        <f t="shared" si="109"/>
        <v>16.187999999999999</v>
      </c>
      <c r="L278" s="350">
        <f t="shared" si="109"/>
        <v>6.343</v>
      </c>
      <c r="M278" s="350">
        <f t="shared" si="109"/>
        <v>6.4260000000000002</v>
      </c>
      <c r="N278" s="350">
        <f t="shared" si="109"/>
        <v>14.525</v>
      </c>
      <c r="O278" s="350">
        <f t="shared" si="109"/>
        <v>15.744000000000002</v>
      </c>
      <c r="P278" s="349">
        <f t="shared" si="109"/>
        <v>15.744000000000002</v>
      </c>
      <c r="Q278" s="350">
        <f t="shared" si="109"/>
        <v>6.9110000000000005</v>
      </c>
      <c r="R278" s="350">
        <f t="shared" si="109"/>
        <v>9.2729999999999997</v>
      </c>
      <c r="S278" s="350">
        <f t="shared" si="109"/>
        <v>16.147000000000002</v>
      </c>
      <c r="T278" s="350">
        <f t="shared" si="109"/>
        <v>17.815000000000001</v>
      </c>
      <c r="U278" s="349">
        <f t="shared" si="109"/>
        <v>17.815000000000001</v>
      </c>
      <c r="V278" s="350">
        <f t="shared" si="109"/>
        <v>283.18399999999997</v>
      </c>
      <c r="W278" s="350">
        <f t="shared" si="109"/>
        <v>277.42599999999999</v>
      </c>
      <c r="X278" s="350">
        <f t="shared" si="109"/>
        <v>268.63699999999994</v>
      </c>
      <c r="Y278" s="351">
        <f t="shared" si="109"/>
        <v>261.62399999999997</v>
      </c>
      <c r="Z278" s="352">
        <f t="shared" si="109"/>
        <v>261.62399999999997</v>
      </c>
      <c r="AA278" s="350">
        <f t="shared" si="109"/>
        <v>-10.837999999999999</v>
      </c>
      <c r="AB278" s="350">
        <f t="shared" si="109"/>
        <v>-20.866999999999997</v>
      </c>
      <c r="AC278" s="350">
        <f t="shared" si="109"/>
        <v>-26.867000000000001</v>
      </c>
      <c r="AD278" s="351">
        <f t="shared" si="109"/>
        <v>-149.636</v>
      </c>
      <c r="AE278" s="352">
        <f t="shared" si="109"/>
        <v>-149.636</v>
      </c>
      <c r="AF278" s="350">
        <f t="shared" si="109"/>
        <v>-27.115000000000002</v>
      </c>
      <c r="AG278" s="350">
        <f t="shared" si="109"/>
        <v>-58.104999999999997</v>
      </c>
      <c r="AH278" s="350">
        <f t="shared" si="109"/>
        <v>-47.252000000000002</v>
      </c>
      <c r="AI278" s="351">
        <f t="shared" si="109"/>
        <v>-45.058</v>
      </c>
      <c r="AJ278" s="352">
        <f t="shared" si="109"/>
        <v>-45.058</v>
      </c>
      <c r="AK278" s="350">
        <f t="shared" si="109"/>
        <v>14.724</v>
      </c>
      <c r="AL278" s="353">
        <f t="shared" si="109"/>
        <v>14.101999999999999</v>
      </c>
      <c r="AM278" s="351"/>
      <c r="AN278" s="351"/>
      <c r="AO278" s="352"/>
      <c r="AP278" s="351"/>
      <c r="AQ278" s="351"/>
      <c r="AR278" s="351"/>
      <c r="AS278" s="351"/>
      <c r="AT278" s="352"/>
      <c r="AU278" s="352"/>
      <c r="AV278" s="352"/>
      <c r="AW278" s="352"/>
      <c r="AX278" s="22"/>
    </row>
    <row r="279" spans="1:50" s="9" customFormat="1" hidden="1" outlineLevel="1" x14ac:dyDescent="0.3">
      <c r="A279" s="35"/>
      <c r="B279" s="103"/>
      <c r="C279" s="4"/>
      <c r="D279" s="4"/>
      <c r="E279" s="4"/>
      <c r="F279" s="4"/>
      <c r="G279" s="22"/>
      <c r="H279" s="22"/>
      <c r="I279" s="22"/>
      <c r="J279" s="22"/>
      <c r="K279" s="4"/>
      <c r="L279" s="22"/>
      <c r="M279" s="22"/>
      <c r="N279" s="22"/>
      <c r="O279" s="22"/>
      <c r="P279" s="4"/>
      <c r="Q279" s="22"/>
      <c r="R279" s="22"/>
      <c r="S279" s="22"/>
      <c r="T279" s="22"/>
      <c r="U279" s="4"/>
      <c r="V279" s="22"/>
      <c r="W279" s="22"/>
      <c r="X279" s="22"/>
      <c r="Y279" s="22"/>
      <c r="Z279" s="4"/>
      <c r="AA279" s="22"/>
      <c r="AB279" s="22"/>
      <c r="AC279" s="22"/>
      <c r="AD279" s="22"/>
      <c r="AE279" s="4"/>
      <c r="AF279" s="22"/>
      <c r="AG279" s="22"/>
      <c r="AH279" s="22"/>
      <c r="AI279" s="22"/>
      <c r="AJ279" s="4"/>
      <c r="AK279" s="22"/>
      <c r="AL279" s="308"/>
      <c r="AM279" s="22"/>
      <c r="AN279" s="22"/>
      <c r="AO279" s="4"/>
      <c r="AP279" s="22"/>
      <c r="AQ279" s="22"/>
      <c r="AR279" s="22"/>
      <c r="AS279" s="22"/>
      <c r="AT279" s="4"/>
      <c r="AU279" s="4"/>
      <c r="AV279" s="4"/>
      <c r="AW279" s="4"/>
      <c r="AX279" s="22"/>
    </row>
    <row r="280" spans="1:50" s="9" customFormat="1" hidden="1" outlineLevel="1" x14ac:dyDescent="0.3">
      <c r="A280" s="35" t="s">
        <v>186</v>
      </c>
      <c r="B280" s="103"/>
      <c r="C280" s="4"/>
      <c r="D280" s="4"/>
      <c r="E280" s="4"/>
      <c r="F280" s="4"/>
      <c r="G280" s="22"/>
      <c r="H280" s="22"/>
      <c r="I280" s="22"/>
      <c r="J280" s="22">
        <f>K280</f>
        <v>0</v>
      </c>
      <c r="K280" s="4"/>
      <c r="L280" s="22"/>
      <c r="M280" s="22"/>
      <c r="N280" s="22"/>
      <c r="O280" s="22">
        <f>P280</f>
        <v>0</v>
      </c>
      <c r="P280" s="4"/>
      <c r="Q280" s="22"/>
      <c r="R280" s="22"/>
      <c r="S280" s="22"/>
      <c r="T280" s="22">
        <f>U280</f>
        <v>0</v>
      </c>
      <c r="U280" s="4"/>
      <c r="V280" s="22"/>
      <c r="W280" s="22"/>
      <c r="X280" s="22"/>
      <c r="Y280" s="378">
        <f>Z280</f>
        <v>0</v>
      </c>
      <c r="Z280" s="4"/>
      <c r="AA280" s="22"/>
      <c r="AB280" s="22"/>
      <c r="AC280" s="22"/>
      <c r="AD280" s="378">
        <f>AE280</f>
        <v>0</v>
      </c>
      <c r="AE280" s="4"/>
      <c r="AF280" s="22"/>
      <c r="AG280" s="22"/>
      <c r="AH280" s="22"/>
      <c r="AI280" s="378">
        <f>AJ280</f>
        <v>0</v>
      </c>
      <c r="AJ280" s="4"/>
      <c r="AK280" s="22"/>
      <c r="AL280" s="308"/>
      <c r="AM280" s="22"/>
      <c r="AN280" s="378"/>
      <c r="AO280" s="4"/>
      <c r="AP280" s="22"/>
      <c r="AQ280" s="22"/>
      <c r="AR280" s="22"/>
      <c r="AS280" s="378"/>
      <c r="AT280" s="4"/>
      <c r="AU280" s="4"/>
      <c r="AV280" s="4"/>
      <c r="AW280" s="4"/>
      <c r="AX280" s="22"/>
    </row>
    <row r="281" spans="1:50" s="9" customFormat="1" hidden="1" outlineLevel="1" x14ac:dyDescent="0.3">
      <c r="A281" s="35" t="s">
        <v>187</v>
      </c>
      <c r="B281" s="103"/>
      <c r="C281" s="4">
        <f t="shared" ref="C281:AL281" si="110">C278+C267+C253+C280</f>
        <v>-66.513000000000005</v>
      </c>
      <c r="D281" s="4">
        <f t="shared" si="110"/>
        <v>64.354000000000013</v>
      </c>
      <c r="E281" s="4">
        <f t="shared" si="110"/>
        <v>73.263999999999982</v>
      </c>
      <c r="F281" s="4">
        <f t="shared" si="110"/>
        <v>-64.203999999999922</v>
      </c>
      <c r="G281" s="22">
        <f t="shared" si="110"/>
        <v>9.2049999999999947</v>
      </c>
      <c r="H281" s="22">
        <f t="shared" si="110"/>
        <v>9.426000000000009</v>
      </c>
      <c r="I281" s="22">
        <f t="shared" si="110"/>
        <v>-79.176000000000016</v>
      </c>
      <c r="J281" s="22">
        <f t="shared" si="110"/>
        <v>-53.890000000000008</v>
      </c>
      <c r="K281" s="4">
        <f t="shared" si="110"/>
        <v>-53.890000000000008</v>
      </c>
      <c r="L281" s="22">
        <f t="shared" si="110"/>
        <v>-15.150000000000004</v>
      </c>
      <c r="M281" s="22">
        <f t="shared" si="110"/>
        <v>-19.142000000000003</v>
      </c>
      <c r="N281" s="22">
        <f t="shared" si="110"/>
        <v>-8.3120000000000331</v>
      </c>
      <c r="O281" s="22">
        <f t="shared" si="110"/>
        <v>-11.837999999999937</v>
      </c>
      <c r="P281" s="4">
        <f t="shared" si="110"/>
        <v>-11.837999999999937</v>
      </c>
      <c r="Q281" s="22">
        <f t="shared" si="110"/>
        <v>10.329999999999984</v>
      </c>
      <c r="R281" s="22">
        <f t="shared" si="110"/>
        <v>16.876999999999995</v>
      </c>
      <c r="S281" s="22">
        <f t="shared" si="110"/>
        <v>89.185000000000002</v>
      </c>
      <c r="T281" s="22">
        <f t="shared" si="110"/>
        <v>211.87300000000002</v>
      </c>
      <c r="U281" s="4">
        <f t="shared" si="110"/>
        <v>211.87300000000002</v>
      </c>
      <c r="V281" s="22">
        <f t="shared" si="110"/>
        <v>-145.28699999999995</v>
      </c>
      <c r="W281" s="22">
        <f t="shared" si="110"/>
        <v>-199.69799999999998</v>
      </c>
      <c r="X281" s="22">
        <f t="shared" si="110"/>
        <v>-207.74400000000006</v>
      </c>
      <c r="Y281" s="378">
        <f t="shared" si="110"/>
        <v>-206.41900000000004</v>
      </c>
      <c r="Z281" s="117">
        <f t="shared" si="110"/>
        <v>-206.41900000000004</v>
      </c>
      <c r="AA281" s="22">
        <f t="shared" si="110"/>
        <v>1.5769999999999982</v>
      </c>
      <c r="AB281" s="22">
        <f t="shared" si="110"/>
        <v>-1.0579999999999998</v>
      </c>
      <c r="AC281" s="22">
        <f t="shared" si="110"/>
        <v>1.6359999999999957</v>
      </c>
      <c r="AD281" s="378">
        <f t="shared" si="110"/>
        <v>13.717999999999961</v>
      </c>
      <c r="AE281" s="117">
        <f t="shared" si="110"/>
        <v>13.717999999999961</v>
      </c>
      <c r="AF281" s="22">
        <f t="shared" si="110"/>
        <v>28.080000000000009</v>
      </c>
      <c r="AG281" s="22">
        <f t="shared" si="110"/>
        <v>0.85500000000001819</v>
      </c>
      <c r="AH281" s="22">
        <f t="shared" si="110"/>
        <v>1.6920000000000357</v>
      </c>
      <c r="AI281" s="378">
        <f t="shared" si="110"/>
        <v>-5.8479999999999563</v>
      </c>
      <c r="AJ281" s="117">
        <f t="shared" si="110"/>
        <v>-5.8479999999999563</v>
      </c>
      <c r="AK281" s="22">
        <f t="shared" si="110"/>
        <v>18.641999999999996</v>
      </c>
      <c r="AL281" s="308">
        <f t="shared" si="110"/>
        <v>-10.867999999999967</v>
      </c>
      <c r="AM281" s="378"/>
      <c r="AN281" s="378"/>
      <c r="AO281" s="117"/>
      <c r="AP281" s="378"/>
      <c r="AQ281" s="378"/>
      <c r="AR281" s="378"/>
      <c r="AS281" s="378"/>
      <c r="AT281" s="117"/>
      <c r="AU281" s="117"/>
      <c r="AV281" s="117"/>
      <c r="AW281" s="117"/>
      <c r="AX281" s="22"/>
    </row>
    <row r="282" spans="1:50" s="9" customFormat="1" hidden="1" outlineLevel="1" x14ac:dyDescent="0.3">
      <c r="A282" s="35"/>
      <c r="B282" s="103"/>
      <c r="C282" s="4"/>
      <c r="D282" s="4"/>
      <c r="E282" s="4"/>
      <c r="F282" s="4"/>
      <c r="G282" s="22"/>
      <c r="H282" s="22"/>
      <c r="I282" s="22"/>
      <c r="J282" s="22"/>
      <c r="K282" s="4"/>
      <c r="L282" s="22"/>
      <c r="M282" s="22"/>
      <c r="N282" s="22"/>
      <c r="O282" s="22"/>
      <c r="P282" s="4"/>
      <c r="Q282" s="22"/>
      <c r="R282" s="22"/>
      <c r="S282" s="22"/>
      <c r="T282" s="22"/>
      <c r="U282" s="4"/>
      <c r="V282" s="22"/>
      <c r="W282" s="22"/>
      <c r="X282" s="22"/>
      <c r="Y282" s="22"/>
      <c r="Z282" s="4"/>
      <c r="AA282" s="22"/>
      <c r="AB282" s="22"/>
      <c r="AC282" s="22"/>
      <c r="AD282" s="22"/>
      <c r="AE282" s="4"/>
      <c r="AF282" s="22"/>
      <c r="AG282" s="22"/>
      <c r="AH282" s="22"/>
      <c r="AI282" s="22"/>
      <c r="AJ282" s="4"/>
      <c r="AK282" s="22"/>
      <c r="AL282" s="308"/>
      <c r="AM282" s="22"/>
      <c r="AN282" s="22"/>
      <c r="AO282" s="4"/>
      <c r="AP282" s="22"/>
      <c r="AQ282" s="22"/>
      <c r="AR282" s="22"/>
      <c r="AS282" s="22"/>
      <c r="AT282" s="4"/>
      <c r="AU282" s="4"/>
      <c r="AV282" s="4"/>
      <c r="AW282" s="4"/>
      <c r="AX282" s="22"/>
    </row>
    <row r="283" spans="1:50" s="9" customFormat="1" hidden="1" outlineLevel="1" x14ac:dyDescent="0.3">
      <c r="A283" s="35" t="s">
        <v>188</v>
      </c>
      <c r="B283" s="103"/>
      <c r="C283" s="4">
        <v>110.15300000000001</v>
      </c>
      <c r="D283" s="4">
        <f>C284</f>
        <v>43.64</v>
      </c>
      <c r="E283" s="4">
        <f>D284</f>
        <v>107.99400000000001</v>
      </c>
      <c r="F283" s="4">
        <f>E284</f>
        <v>181.25799999999998</v>
      </c>
      <c r="G283" s="22">
        <f>F284</f>
        <v>117.05400000000006</v>
      </c>
      <c r="H283" s="22">
        <f>G283</f>
        <v>117.05400000000006</v>
      </c>
      <c r="I283" s="22">
        <f>H283</f>
        <v>117.05400000000006</v>
      </c>
      <c r="J283" s="22">
        <f>I283</f>
        <v>117.05400000000006</v>
      </c>
      <c r="K283" s="4">
        <f>J283</f>
        <v>117.05400000000006</v>
      </c>
      <c r="L283" s="22">
        <f>K284</f>
        <v>63.164000000000051</v>
      </c>
      <c r="M283" s="22">
        <f>L283</f>
        <v>63.164000000000051</v>
      </c>
      <c r="N283" s="22">
        <f>M283</f>
        <v>63.164000000000051</v>
      </c>
      <c r="O283" s="22">
        <f>N283</f>
        <v>63.164000000000051</v>
      </c>
      <c r="P283" s="4">
        <f>O283</f>
        <v>63.164000000000051</v>
      </c>
      <c r="Q283" s="22">
        <f>P284</f>
        <v>51.326000000000114</v>
      </c>
      <c r="R283" s="22">
        <f>Q283</f>
        <v>51.326000000000114</v>
      </c>
      <c r="S283" s="22">
        <f>R283</f>
        <v>51.326000000000114</v>
      </c>
      <c r="T283" s="22">
        <f>S283</f>
        <v>51.326000000000114</v>
      </c>
      <c r="U283" s="4">
        <f>T283</f>
        <v>51.326000000000114</v>
      </c>
      <c r="V283" s="22">
        <f>U284</f>
        <v>263.19900000000013</v>
      </c>
      <c r="W283" s="22">
        <f>V283</f>
        <v>263.19900000000013</v>
      </c>
      <c r="X283" s="22">
        <f>W283</f>
        <v>263.19900000000013</v>
      </c>
      <c r="Y283" s="22">
        <f>X283</f>
        <v>263.19900000000013</v>
      </c>
      <c r="Z283" s="4">
        <f>Y283</f>
        <v>263.19900000000013</v>
      </c>
      <c r="AA283" s="22">
        <f>Z284</f>
        <v>56.780000000000086</v>
      </c>
      <c r="AB283" s="22">
        <f>AA283</f>
        <v>56.780000000000086</v>
      </c>
      <c r="AC283" s="22">
        <f>AB283</f>
        <v>56.780000000000086</v>
      </c>
      <c r="AD283" s="22">
        <f>AC283</f>
        <v>56.780000000000086</v>
      </c>
      <c r="AE283" s="4">
        <f>AD283</f>
        <v>56.780000000000086</v>
      </c>
      <c r="AF283" s="22">
        <f>AE284</f>
        <v>70.498000000000047</v>
      </c>
      <c r="AG283" s="22">
        <f>AF283</f>
        <v>70.498000000000047</v>
      </c>
      <c r="AH283" s="22">
        <f>AG283</f>
        <v>70.498000000000047</v>
      </c>
      <c r="AI283" s="22">
        <f>AH283</f>
        <v>70.498000000000047</v>
      </c>
      <c r="AJ283" s="4">
        <f>AI283</f>
        <v>70.498000000000047</v>
      </c>
      <c r="AK283" s="22">
        <f>AJ284</f>
        <v>64.650000000000091</v>
      </c>
      <c r="AL283" s="308">
        <f>AK283</f>
        <v>64.650000000000091</v>
      </c>
      <c r="AM283" s="22"/>
      <c r="AN283" s="22"/>
      <c r="AO283" s="4"/>
      <c r="AP283" s="22"/>
      <c r="AQ283" s="22"/>
      <c r="AR283" s="22"/>
      <c r="AS283" s="22"/>
      <c r="AT283" s="4"/>
      <c r="AU283" s="4"/>
      <c r="AV283" s="4"/>
      <c r="AW283" s="4"/>
      <c r="AX283" s="22"/>
    </row>
    <row r="284" spans="1:50" s="9" customFormat="1" hidden="1" outlineLevel="1" x14ac:dyDescent="0.3">
      <c r="A284" s="35" t="s">
        <v>189</v>
      </c>
      <c r="B284" s="103"/>
      <c r="C284" s="4">
        <f t="shared" ref="C284:AL284" si="111">C281+C283</f>
        <v>43.64</v>
      </c>
      <c r="D284" s="4">
        <f t="shared" si="111"/>
        <v>107.99400000000001</v>
      </c>
      <c r="E284" s="4">
        <f t="shared" si="111"/>
        <v>181.25799999999998</v>
      </c>
      <c r="F284" s="4">
        <f t="shared" si="111"/>
        <v>117.05400000000006</v>
      </c>
      <c r="G284" s="22">
        <f t="shared" si="111"/>
        <v>126.25900000000006</v>
      </c>
      <c r="H284" s="22">
        <f t="shared" si="111"/>
        <v>126.48000000000008</v>
      </c>
      <c r="I284" s="22">
        <f t="shared" si="111"/>
        <v>37.878000000000043</v>
      </c>
      <c r="J284" s="22">
        <f t="shared" si="111"/>
        <v>63.164000000000051</v>
      </c>
      <c r="K284" s="4">
        <f t="shared" si="111"/>
        <v>63.164000000000051</v>
      </c>
      <c r="L284" s="22">
        <f t="shared" si="111"/>
        <v>48.014000000000046</v>
      </c>
      <c r="M284" s="22">
        <f t="shared" si="111"/>
        <v>44.022000000000048</v>
      </c>
      <c r="N284" s="22">
        <f t="shared" si="111"/>
        <v>54.852000000000018</v>
      </c>
      <c r="O284" s="22">
        <f t="shared" si="111"/>
        <v>51.326000000000114</v>
      </c>
      <c r="P284" s="4">
        <f t="shared" si="111"/>
        <v>51.326000000000114</v>
      </c>
      <c r="Q284" s="22">
        <f t="shared" si="111"/>
        <v>61.656000000000098</v>
      </c>
      <c r="R284" s="22">
        <f t="shared" si="111"/>
        <v>68.203000000000117</v>
      </c>
      <c r="S284" s="22">
        <f t="shared" si="111"/>
        <v>140.51100000000011</v>
      </c>
      <c r="T284" s="22">
        <f t="shared" si="111"/>
        <v>263.19900000000013</v>
      </c>
      <c r="U284" s="4">
        <f t="shared" si="111"/>
        <v>263.19900000000013</v>
      </c>
      <c r="V284" s="22">
        <f t="shared" si="111"/>
        <v>117.91200000000018</v>
      </c>
      <c r="W284" s="22">
        <f t="shared" si="111"/>
        <v>63.501000000000147</v>
      </c>
      <c r="X284" s="22">
        <f t="shared" si="111"/>
        <v>55.455000000000069</v>
      </c>
      <c r="Y284" s="22">
        <f t="shared" si="111"/>
        <v>56.780000000000086</v>
      </c>
      <c r="Z284" s="4">
        <f t="shared" si="111"/>
        <v>56.780000000000086</v>
      </c>
      <c r="AA284" s="22">
        <f t="shared" si="111"/>
        <v>58.357000000000085</v>
      </c>
      <c r="AB284" s="22">
        <f t="shared" si="111"/>
        <v>55.722000000000087</v>
      </c>
      <c r="AC284" s="22">
        <f t="shared" si="111"/>
        <v>58.416000000000082</v>
      </c>
      <c r="AD284" s="22">
        <f t="shared" si="111"/>
        <v>70.498000000000047</v>
      </c>
      <c r="AE284" s="4">
        <f t="shared" si="111"/>
        <v>70.498000000000047</v>
      </c>
      <c r="AF284" s="22">
        <f t="shared" si="111"/>
        <v>98.57800000000006</v>
      </c>
      <c r="AG284" s="22">
        <f t="shared" si="111"/>
        <v>71.353000000000065</v>
      </c>
      <c r="AH284" s="22">
        <f t="shared" si="111"/>
        <v>72.190000000000083</v>
      </c>
      <c r="AI284" s="22">
        <f t="shared" si="111"/>
        <v>64.650000000000091</v>
      </c>
      <c r="AJ284" s="4">
        <f t="shared" si="111"/>
        <v>64.650000000000091</v>
      </c>
      <c r="AK284" s="22">
        <f t="shared" si="111"/>
        <v>83.292000000000087</v>
      </c>
      <c r="AL284" s="308">
        <f t="shared" si="111"/>
        <v>53.782000000000124</v>
      </c>
      <c r="AM284" s="22"/>
      <c r="AN284" s="22"/>
      <c r="AO284" s="4"/>
      <c r="AP284" s="22"/>
      <c r="AQ284" s="22"/>
      <c r="AR284" s="22"/>
      <c r="AS284" s="22"/>
      <c r="AT284" s="4"/>
      <c r="AU284" s="4"/>
      <c r="AV284" s="4"/>
      <c r="AW284" s="4"/>
      <c r="AX284" s="22"/>
    </row>
    <row r="285" spans="1:50" s="9" customFormat="1" collapsed="1" x14ac:dyDescent="0.3">
      <c r="A285" s="35"/>
      <c r="B285" s="103"/>
      <c r="C285" s="4"/>
      <c r="D285" s="4"/>
      <c r="E285" s="4"/>
      <c r="F285" s="4"/>
      <c r="G285" s="22"/>
      <c r="H285" s="22"/>
      <c r="I285" s="22"/>
      <c r="J285" s="22"/>
      <c r="K285" s="4"/>
      <c r="L285" s="22"/>
      <c r="M285" s="22"/>
      <c r="N285" s="22"/>
      <c r="O285" s="22"/>
      <c r="P285" s="4"/>
      <c r="Q285" s="22"/>
      <c r="R285" s="22"/>
      <c r="S285" s="22"/>
      <c r="T285" s="22"/>
      <c r="U285" s="4"/>
      <c r="V285" s="22"/>
      <c r="W285" s="22"/>
      <c r="X285" s="22"/>
      <c r="Y285" s="22"/>
      <c r="Z285" s="4"/>
      <c r="AA285" s="22"/>
      <c r="AB285" s="22"/>
      <c r="AC285" s="22"/>
      <c r="AD285" s="22"/>
      <c r="AE285" s="4"/>
      <c r="AF285" s="22"/>
      <c r="AG285" s="22"/>
      <c r="AH285" s="22"/>
      <c r="AI285" s="22"/>
      <c r="AJ285" s="4"/>
      <c r="AK285" s="22"/>
      <c r="AL285" s="308"/>
      <c r="AM285" s="22"/>
      <c r="AN285" s="22"/>
      <c r="AO285" s="4"/>
      <c r="AP285" s="22"/>
      <c r="AQ285" s="22"/>
      <c r="AR285" s="22"/>
      <c r="AS285" s="22"/>
      <c r="AT285" s="4"/>
      <c r="AU285" s="4"/>
      <c r="AV285" s="4"/>
      <c r="AW285" s="4"/>
      <c r="AX285" s="22"/>
    </row>
    <row r="286" spans="1:50" s="9" customFormat="1" x14ac:dyDescent="0.3">
      <c r="A286" s="45" t="s">
        <v>190</v>
      </c>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306"/>
      <c r="AM286" s="45"/>
      <c r="AN286" s="45"/>
      <c r="AO286" s="45"/>
      <c r="AP286" s="45"/>
      <c r="AQ286" s="45"/>
      <c r="AR286" s="45"/>
      <c r="AS286" s="45"/>
      <c r="AT286" s="45"/>
      <c r="AU286" s="45"/>
      <c r="AV286" s="45"/>
      <c r="AW286" s="45"/>
      <c r="AX286" s="22"/>
    </row>
    <row r="287" spans="1:50" s="9" customFormat="1" x14ac:dyDescent="0.3">
      <c r="A287" s="35" t="str">
        <f t="shared" ref="A287:A303" si="112">A237</f>
        <v>CFO</v>
      </c>
      <c r="B287" s="103"/>
      <c r="C287" s="4"/>
      <c r="D287" s="4"/>
      <c r="E287" s="4"/>
      <c r="F287" s="4"/>
      <c r="G287" s="22"/>
      <c r="H287" s="22"/>
      <c r="I287" s="22"/>
      <c r="J287" s="22"/>
      <c r="K287" s="4"/>
      <c r="L287" s="22"/>
      <c r="M287" s="22"/>
      <c r="N287" s="22"/>
      <c r="O287" s="22"/>
      <c r="P287" s="4"/>
      <c r="Q287" s="22"/>
      <c r="R287" s="22"/>
      <c r="S287" s="22"/>
      <c r="T287" s="22"/>
      <c r="U287" s="4"/>
      <c r="V287" s="22"/>
      <c r="W287" s="22"/>
      <c r="X287" s="22"/>
      <c r="Y287" s="72"/>
      <c r="Z287" s="8"/>
      <c r="AA287" s="22"/>
      <c r="AB287" s="22"/>
      <c r="AC287" s="22"/>
      <c r="AD287" s="72"/>
      <c r="AE287" s="8"/>
      <c r="AF287" s="22"/>
      <c r="AG287" s="22"/>
      <c r="AH287" s="22"/>
      <c r="AI287" s="72"/>
      <c r="AJ287" s="8"/>
      <c r="AK287" s="22"/>
      <c r="AL287" s="308"/>
      <c r="AM287" s="72"/>
      <c r="AN287" s="72"/>
      <c r="AO287" s="8"/>
      <c r="AP287" s="72"/>
      <c r="AQ287" s="72"/>
      <c r="AR287" s="72"/>
      <c r="AS287" s="72"/>
      <c r="AT287" s="8"/>
      <c r="AU287" s="8"/>
      <c r="AV287" s="8"/>
      <c r="AW287" s="8"/>
      <c r="AX287" s="22"/>
    </row>
    <row r="288" spans="1:50" s="5" customFormat="1" x14ac:dyDescent="0.3">
      <c r="A288" s="36" t="str">
        <f t="shared" si="112"/>
        <v>Net (loss) income</v>
      </c>
      <c r="B288" s="376"/>
      <c r="C288" s="343">
        <f t="shared" ref="C288:G296" si="113">C238</f>
        <v>12.885999999999999</v>
      </c>
      <c r="D288" s="343">
        <f t="shared" si="113"/>
        <v>13.54</v>
      </c>
      <c r="E288" s="343">
        <f t="shared" si="113"/>
        <v>9.9770000000000003</v>
      </c>
      <c r="F288" s="343">
        <f t="shared" si="113"/>
        <v>111.38</v>
      </c>
      <c r="G288" s="228">
        <f t="shared" si="113"/>
        <v>-8.4570000000000007</v>
      </c>
      <c r="H288" s="228">
        <f t="shared" ref="H288:J296" si="114">H238-G238</f>
        <v>-1.738999999999999</v>
      </c>
      <c r="I288" s="228">
        <f t="shared" si="114"/>
        <v>-5.7080000000000002</v>
      </c>
      <c r="J288" s="228">
        <f t="shared" si="114"/>
        <v>-7.4379999999999988</v>
      </c>
      <c r="K288" s="343">
        <f t="shared" ref="K288:L296" si="115">K238</f>
        <v>-23.341999999999999</v>
      </c>
      <c r="L288" s="228">
        <f t="shared" si="115"/>
        <v>-10.98</v>
      </c>
      <c r="M288" s="228">
        <f t="shared" ref="M288:O296" si="116">M238-L238</f>
        <v>-8.8670000000000009</v>
      </c>
      <c r="N288" s="228">
        <f t="shared" si="116"/>
        <v>0.59100000000000108</v>
      </c>
      <c r="O288" s="228">
        <f t="shared" si="116"/>
        <v>-4.7530000000000001</v>
      </c>
      <c r="P288" s="343">
        <f t="shared" ref="P288:Q296" si="117">P238</f>
        <v>-24.009</v>
      </c>
      <c r="Q288" s="228">
        <f t="shared" si="117"/>
        <v>10.496</v>
      </c>
      <c r="R288" s="228">
        <f t="shared" ref="R288:T296" si="118">R238-Q238</f>
        <v>19.247999999999998</v>
      </c>
      <c r="S288" s="228">
        <f t="shared" si="118"/>
        <v>19.951999999999998</v>
      </c>
      <c r="T288" s="228">
        <f t="shared" si="118"/>
        <v>43.198000000000008</v>
      </c>
      <c r="U288" s="343">
        <f t="shared" ref="U288:V296" si="119">U238</f>
        <v>92.894000000000005</v>
      </c>
      <c r="V288" s="228">
        <f t="shared" si="119"/>
        <v>-7.1680000000000001</v>
      </c>
      <c r="W288" s="228">
        <f t="shared" ref="W288:Y296" si="120">W238-V238</f>
        <v>4.6539999999999999</v>
      </c>
      <c r="X288" s="228">
        <f t="shared" si="120"/>
        <v>12.036999999999999</v>
      </c>
      <c r="Y288" s="228">
        <f t="shared" si="120"/>
        <v>8.995000000000001</v>
      </c>
      <c r="Z288" s="343">
        <f t="shared" ref="Z288:AA296" si="121">Z238</f>
        <v>18.518000000000001</v>
      </c>
      <c r="AA288" s="228">
        <f t="shared" si="121"/>
        <v>-12.244</v>
      </c>
      <c r="AB288" s="228">
        <f t="shared" ref="AB288:AD296" si="122">AB238-AA238</f>
        <v>-7.9909999999999997</v>
      </c>
      <c r="AC288" s="228">
        <f t="shared" si="122"/>
        <v>3.4029999999999987</v>
      </c>
      <c r="AD288" s="228">
        <f t="shared" si="122"/>
        <v>-2.593</v>
      </c>
      <c r="AE288" s="343">
        <f t="shared" ref="AE288:AF296" si="123">AE238</f>
        <v>-19.425000000000001</v>
      </c>
      <c r="AF288" s="228">
        <f t="shared" si="123"/>
        <v>37.843000000000004</v>
      </c>
      <c r="AG288" s="228">
        <f t="shared" ref="AG288:AI296" si="124">AG238-AF238</f>
        <v>16.525999999999996</v>
      </c>
      <c r="AH288" s="228">
        <f t="shared" si="124"/>
        <v>37.057000000000002</v>
      </c>
      <c r="AI288" s="228">
        <f t="shared" si="124"/>
        <v>42.832000000000008</v>
      </c>
      <c r="AJ288" s="343">
        <f t="shared" ref="AJ288:AK296" si="125">AJ238</f>
        <v>134.25800000000001</v>
      </c>
      <c r="AK288" s="228">
        <f t="shared" si="125"/>
        <v>48.62</v>
      </c>
      <c r="AL288" s="322">
        <f t="shared" ref="AL288:AL296" si="126">AL238-AK238</f>
        <v>38.429000000000009</v>
      </c>
      <c r="AM288" s="93"/>
      <c r="AN288" s="93"/>
      <c r="AO288" s="344"/>
      <c r="AP288" s="93"/>
      <c r="AQ288" s="93"/>
      <c r="AR288" s="93"/>
      <c r="AS288" s="93"/>
      <c r="AT288" s="344"/>
      <c r="AU288" s="344"/>
      <c r="AV288" s="344"/>
      <c r="AW288" s="344"/>
      <c r="AX288" s="228"/>
    </row>
    <row r="289" spans="1:50" s="5" customFormat="1" x14ac:dyDescent="0.3">
      <c r="A289" s="36" t="str">
        <f t="shared" si="112"/>
        <v>Depreciation and amortization</v>
      </c>
      <c r="B289" s="376"/>
      <c r="C289" s="343">
        <f t="shared" si="113"/>
        <v>4.0709999999999997</v>
      </c>
      <c r="D289" s="343">
        <f t="shared" si="113"/>
        <v>5.7770000000000001</v>
      </c>
      <c r="E289" s="343">
        <f t="shared" si="113"/>
        <v>19.745000000000001</v>
      </c>
      <c r="F289" s="343">
        <f t="shared" si="113"/>
        <v>23.867999999999999</v>
      </c>
      <c r="G289" s="228">
        <f t="shared" si="113"/>
        <v>7.35</v>
      </c>
      <c r="H289" s="228">
        <f t="shared" si="114"/>
        <v>7.8360000000000003</v>
      </c>
      <c r="I289" s="228">
        <f t="shared" si="114"/>
        <v>10.253</v>
      </c>
      <c r="J289" s="228">
        <f t="shared" si="114"/>
        <v>10.207000000000001</v>
      </c>
      <c r="K289" s="343">
        <f t="shared" si="115"/>
        <v>35.646000000000001</v>
      </c>
      <c r="L289" s="228">
        <f t="shared" si="115"/>
        <v>9.9960000000000004</v>
      </c>
      <c r="M289" s="228">
        <f t="shared" si="116"/>
        <v>9.4500000000000011</v>
      </c>
      <c r="N289" s="228">
        <f t="shared" si="116"/>
        <v>9.536999999999999</v>
      </c>
      <c r="O289" s="228">
        <f t="shared" si="116"/>
        <v>9.6879999999999988</v>
      </c>
      <c r="P289" s="343">
        <f t="shared" si="117"/>
        <v>38.670999999999999</v>
      </c>
      <c r="Q289" s="228">
        <f t="shared" si="117"/>
        <v>9.5459999999999994</v>
      </c>
      <c r="R289" s="228">
        <f t="shared" si="118"/>
        <v>10.228999999999999</v>
      </c>
      <c r="S289" s="228">
        <f t="shared" si="118"/>
        <v>10.689</v>
      </c>
      <c r="T289" s="228">
        <f t="shared" si="118"/>
        <v>10.908000000000001</v>
      </c>
      <c r="U289" s="343">
        <f t="shared" si="119"/>
        <v>41.372</v>
      </c>
      <c r="V289" s="228">
        <f t="shared" si="119"/>
        <v>20.614000000000001</v>
      </c>
      <c r="W289" s="228">
        <f t="shared" si="120"/>
        <v>25.617000000000001</v>
      </c>
      <c r="X289" s="228">
        <f t="shared" si="120"/>
        <v>27.032999999999994</v>
      </c>
      <c r="Y289" s="228">
        <f t="shared" si="120"/>
        <v>24.466999999999999</v>
      </c>
      <c r="Z289" s="343">
        <f t="shared" si="121"/>
        <v>97.730999999999995</v>
      </c>
      <c r="AA289" s="228">
        <f t="shared" si="121"/>
        <v>25.181000000000001</v>
      </c>
      <c r="AB289" s="228">
        <f t="shared" si="122"/>
        <v>25.632999999999999</v>
      </c>
      <c r="AC289" s="228">
        <f t="shared" si="122"/>
        <v>25.749999999999993</v>
      </c>
      <c r="AD289" s="228">
        <f t="shared" si="122"/>
        <v>27.257000000000005</v>
      </c>
      <c r="AE289" s="343">
        <f t="shared" si="123"/>
        <v>103.821</v>
      </c>
      <c r="AF289" s="228">
        <f t="shared" si="123"/>
        <v>26.442</v>
      </c>
      <c r="AG289" s="228">
        <f t="shared" si="124"/>
        <v>26.231999999999999</v>
      </c>
      <c r="AH289" s="228">
        <f t="shared" si="124"/>
        <v>24.780999999999999</v>
      </c>
      <c r="AI289" s="228">
        <f t="shared" si="124"/>
        <v>24.135000000000005</v>
      </c>
      <c r="AJ289" s="343">
        <f t="shared" si="125"/>
        <v>101.59</v>
      </c>
      <c r="AK289" s="228">
        <f t="shared" si="125"/>
        <v>23.962</v>
      </c>
      <c r="AL289" s="322">
        <f t="shared" si="126"/>
        <v>23.486999999999998</v>
      </c>
      <c r="AM289" s="93"/>
      <c r="AN289" s="93"/>
      <c r="AO289" s="344"/>
      <c r="AP289" s="93"/>
      <c r="AQ289" s="93"/>
      <c r="AR289" s="93"/>
      <c r="AS289" s="93"/>
      <c r="AT289" s="344"/>
      <c r="AU289" s="344"/>
      <c r="AV289" s="344"/>
      <c r="AW289" s="344"/>
      <c r="AX289" s="228"/>
    </row>
    <row r="290" spans="1:50" s="5" customFormat="1" x14ac:dyDescent="0.3">
      <c r="A290" s="36" t="str">
        <f t="shared" si="112"/>
        <v>Deferred income taxes</v>
      </c>
      <c r="B290" s="376"/>
      <c r="C290" s="343">
        <f t="shared" si="113"/>
        <v>3.6379999999999999</v>
      </c>
      <c r="D290" s="343">
        <f t="shared" si="113"/>
        <v>7.3789999999999996</v>
      </c>
      <c r="E290" s="343">
        <f t="shared" si="113"/>
        <v>-0.22800000000000001</v>
      </c>
      <c r="F290" s="343">
        <f t="shared" si="113"/>
        <v>-3.4540000000000002</v>
      </c>
      <c r="G290" s="228">
        <f t="shared" si="113"/>
        <v>-1.0509999999999999</v>
      </c>
      <c r="H290" s="228">
        <f t="shared" si="114"/>
        <v>-0.87900000000000023</v>
      </c>
      <c r="I290" s="228">
        <f t="shared" si="114"/>
        <v>-0.47299999999999986</v>
      </c>
      <c r="J290" s="228">
        <f t="shared" si="114"/>
        <v>1.163</v>
      </c>
      <c r="K290" s="343">
        <f t="shared" si="115"/>
        <v>-1.24</v>
      </c>
      <c r="L290" s="228">
        <f t="shared" si="115"/>
        <v>0.124</v>
      </c>
      <c r="M290" s="228">
        <f t="shared" si="116"/>
        <v>0.68300000000000005</v>
      </c>
      <c r="N290" s="228">
        <f t="shared" si="116"/>
        <v>-1.0090000000000001</v>
      </c>
      <c r="O290" s="228">
        <f t="shared" si="116"/>
        <v>14.034000000000001</v>
      </c>
      <c r="P290" s="343">
        <f t="shared" si="117"/>
        <v>13.832000000000001</v>
      </c>
      <c r="Q290" s="228">
        <f t="shared" si="117"/>
        <v>0.104</v>
      </c>
      <c r="R290" s="228">
        <f t="shared" si="118"/>
        <v>3.0000000000000013E-2</v>
      </c>
      <c r="S290" s="228">
        <f t="shared" si="118"/>
        <v>0</v>
      </c>
      <c r="T290" s="228">
        <f t="shared" si="118"/>
        <v>-22.741</v>
      </c>
      <c r="U290" s="343">
        <f t="shared" si="119"/>
        <v>-22.606999999999999</v>
      </c>
      <c r="V290" s="228">
        <f t="shared" si="119"/>
        <v>1.2649999999999999</v>
      </c>
      <c r="W290" s="228">
        <f t="shared" si="120"/>
        <v>1.0000000000001119E-3</v>
      </c>
      <c r="X290" s="228">
        <f t="shared" si="120"/>
        <v>0</v>
      </c>
      <c r="Y290" s="228">
        <f t="shared" si="120"/>
        <v>-0.45699999999999996</v>
      </c>
      <c r="Z290" s="343">
        <f t="shared" si="121"/>
        <v>0.80900000000000005</v>
      </c>
      <c r="AA290" s="228">
        <f t="shared" si="121"/>
        <v>-0.94199999999999995</v>
      </c>
      <c r="AB290" s="228">
        <f t="shared" si="122"/>
        <v>0.23799999999999999</v>
      </c>
      <c r="AC290" s="228">
        <f t="shared" si="122"/>
        <v>0</v>
      </c>
      <c r="AD290" s="228">
        <f t="shared" si="122"/>
        <v>-1.446</v>
      </c>
      <c r="AE290" s="343">
        <f t="shared" si="123"/>
        <v>-2.15</v>
      </c>
      <c r="AF290" s="228">
        <f t="shared" si="123"/>
        <v>-26.827000000000002</v>
      </c>
      <c r="AG290" s="228">
        <f t="shared" si="124"/>
        <v>-1.2579999999999991</v>
      </c>
      <c r="AH290" s="228">
        <f t="shared" si="124"/>
        <v>0.11200000000000188</v>
      </c>
      <c r="AI290" s="228">
        <f t="shared" si="124"/>
        <v>1.2759999999999998</v>
      </c>
      <c r="AJ290" s="343">
        <f t="shared" si="125"/>
        <v>-26.696999999999999</v>
      </c>
      <c r="AK290" s="228">
        <f t="shared" si="125"/>
        <v>0</v>
      </c>
      <c r="AL290" s="322">
        <f t="shared" si="126"/>
        <v>0</v>
      </c>
      <c r="AM290" s="93"/>
      <c r="AN290" s="93"/>
      <c r="AO290" s="344"/>
      <c r="AP290" s="93"/>
      <c r="AQ290" s="93"/>
      <c r="AR290" s="93"/>
      <c r="AS290" s="93"/>
      <c r="AT290" s="344"/>
      <c r="AU290" s="344"/>
      <c r="AV290" s="344"/>
      <c r="AW290" s="344"/>
      <c r="AX290" s="228"/>
    </row>
    <row r="291" spans="1:50" s="5" customFormat="1" x14ac:dyDescent="0.3">
      <c r="A291" s="36" t="str">
        <f t="shared" si="112"/>
        <v>Share-based compensation</v>
      </c>
      <c r="B291" s="376"/>
      <c r="C291" s="343">
        <f t="shared" si="113"/>
        <v>10.736000000000001</v>
      </c>
      <c r="D291" s="343">
        <f t="shared" si="113"/>
        <v>14.101000000000001</v>
      </c>
      <c r="E291" s="343">
        <f t="shared" si="113"/>
        <v>21.411999999999999</v>
      </c>
      <c r="F291" s="343">
        <f t="shared" si="113"/>
        <v>35.018999999999998</v>
      </c>
      <c r="G291" s="228">
        <f t="shared" si="113"/>
        <v>10.375</v>
      </c>
      <c r="H291" s="228">
        <f t="shared" si="114"/>
        <v>11.164999999999999</v>
      </c>
      <c r="I291" s="228">
        <f t="shared" si="114"/>
        <v>11.932000000000002</v>
      </c>
      <c r="J291" s="228">
        <f t="shared" si="114"/>
        <v>11.665999999999997</v>
      </c>
      <c r="K291" s="343">
        <f t="shared" si="115"/>
        <v>45.137999999999998</v>
      </c>
      <c r="L291" s="228">
        <f t="shared" si="115"/>
        <v>11.638</v>
      </c>
      <c r="M291" s="228">
        <f t="shared" si="116"/>
        <v>11.947000000000001</v>
      </c>
      <c r="N291" s="228">
        <f t="shared" si="116"/>
        <v>11.848999999999997</v>
      </c>
      <c r="O291" s="228">
        <f t="shared" si="116"/>
        <v>11.801000000000002</v>
      </c>
      <c r="P291" s="343">
        <f t="shared" si="117"/>
        <v>47.234999999999999</v>
      </c>
      <c r="Q291" s="228">
        <f t="shared" si="117"/>
        <v>11.718</v>
      </c>
      <c r="R291" s="228">
        <f t="shared" si="118"/>
        <v>13.286000000000001</v>
      </c>
      <c r="S291" s="228">
        <f t="shared" si="118"/>
        <v>12.830000000000002</v>
      </c>
      <c r="T291" s="228">
        <f t="shared" si="118"/>
        <v>12.93</v>
      </c>
      <c r="U291" s="343">
        <f t="shared" si="119"/>
        <v>50.764000000000003</v>
      </c>
      <c r="V291" s="228">
        <f t="shared" si="119"/>
        <v>18.265999999999998</v>
      </c>
      <c r="W291" s="228">
        <f t="shared" si="120"/>
        <v>18.094000000000001</v>
      </c>
      <c r="X291" s="228">
        <f t="shared" si="120"/>
        <v>17.576000000000001</v>
      </c>
      <c r="Y291" s="228">
        <f t="shared" si="120"/>
        <v>12.372999999999998</v>
      </c>
      <c r="Z291" s="343">
        <f t="shared" si="121"/>
        <v>66.308999999999997</v>
      </c>
      <c r="AA291" s="228">
        <f t="shared" si="121"/>
        <v>14.768000000000001</v>
      </c>
      <c r="AB291" s="228">
        <f t="shared" si="122"/>
        <v>17.664999999999999</v>
      </c>
      <c r="AC291" s="228">
        <f t="shared" si="122"/>
        <v>18.560000000000002</v>
      </c>
      <c r="AD291" s="228">
        <f t="shared" si="122"/>
        <v>17.871000000000002</v>
      </c>
      <c r="AE291" s="343">
        <f t="shared" si="123"/>
        <v>68.864000000000004</v>
      </c>
      <c r="AF291" s="228">
        <f t="shared" si="123"/>
        <v>14.974</v>
      </c>
      <c r="AG291" s="228">
        <f t="shared" si="124"/>
        <v>14.916</v>
      </c>
      <c r="AH291" s="228">
        <f t="shared" si="124"/>
        <v>19.155999999999999</v>
      </c>
      <c r="AI291" s="228">
        <f t="shared" si="124"/>
        <v>22.295999999999999</v>
      </c>
      <c r="AJ291" s="343">
        <f t="shared" si="125"/>
        <v>71.341999999999999</v>
      </c>
      <c r="AK291" s="228">
        <f t="shared" si="125"/>
        <v>24.242000000000001</v>
      </c>
      <c r="AL291" s="322">
        <f t="shared" si="126"/>
        <v>26.949000000000002</v>
      </c>
      <c r="AM291" s="93"/>
      <c r="AN291" s="93"/>
      <c r="AO291" s="344"/>
      <c r="AP291" s="93"/>
      <c r="AQ291" s="93"/>
      <c r="AR291" s="93"/>
      <c r="AS291" s="93"/>
      <c r="AT291" s="344"/>
      <c r="AU291" s="344"/>
      <c r="AV291" s="344"/>
      <c r="AW291" s="344"/>
      <c r="AX291" s="228"/>
    </row>
    <row r="292" spans="1:50" s="5" customFormat="1" x14ac:dyDescent="0.3">
      <c r="A292" s="36" t="str">
        <f t="shared" si="112"/>
        <v>Loss (gain) on investments, net</v>
      </c>
      <c r="B292" s="376"/>
      <c r="C292" s="343">
        <f t="shared" si="113"/>
        <v>-0.82699999999999996</v>
      </c>
      <c r="D292" s="343">
        <f t="shared" si="113"/>
        <v>-2.5000000000000001E-2</v>
      </c>
      <c r="E292" s="343">
        <f t="shared" si="113"/>
        <v>-1.4999999999999999E-2</v>
      </c>
      <c r="F292" s="343">
        <f t="shared" si="113"/>
        <v>-0.89600000000000002</v>
      </c>
      <c r="G292" s="228">
        <f t="shared" si="113"/>
        <v>-0.223</v>
      </c>
      <c r="H292" s="228">
        <f t="shared" si="114"/>
        <v>-0.216</v>
      </c>
      <c r="I292" s="228">
        <f t="shared" si="114"/>
        <v>-0.27099999999999996</v>
      </c>
      <c r="J292" s="228">
        <f t="shared" si="114"/>
        <v>-0.50900000000000012</v>
      </c>
      <c r="K292" s="343">
        <f t="shared" si="115"/>
        <v>-1.2190000000000001</v>
      </c>
      <c r="L292" s="228">
        <f t="shared" si="115"/>
        <v>-0.41599999999999998</v>
      </c>
      <c r="M292" s="228">
        <f t="shared" si="116"/>
        <v>-0.78400000000000003</v>
      </c>
      <c r="N292" s="228">
        <f t="shared" si="116"/>
        <v>1.1059999999999999</v>
      </c>
      <c r="O292" s="228">
        <f t="shared" si="116"/>
        <v>0.51900000000000002</v>
      </c>
      <c r="P292" s="343">
        <f t="shared" si="117"/>
        <v>0.42499999999999999</v>
      </c>
      <c r="Q292" s="228">
        <f t="shared" si="117"/>
        <v>-0.309</v>
      </c>
      <c r="R292" s="228">
        <f t="shared" si="118"/>
        <v>-2.0789999999999997</v>
      </c>
      <c r="S292" s="228">
        <f t="shared" si="118"/>
        <v>0.19499999999999984</v>
      </c>
      <c r="T292" s="228">
        <f t="shared" si="118"/>
        <v>-0.80699999999999994</v>
      </c>
      <c r="U292" s="343">
        <f t="shared" si="119"/>
        <v>-3</v>
      </c>
      <c r="V292" s="228">
        <f t="shared" si="119"/>
        <v>0.112</v>
      </c>
      <c r="W292" s="228">
        <f t="shared" si="120"/>
        <v>-0.60099999999999998</v>
      </c>
      <c r="X292" s="228">
        <f t="shared" si="120"/>
        <v>-0.70099999999999996</v>
      </c>
      <c r="Y292" s="228">
        <f t="shared" si="120"/>
        <v>-0.58400000000000007</v>
      </c>
      <c r="Z292" s="343">
        <f t="shared" si="121"/>
        <v>-1.774</v>
      </c>
      <c r="AA292" s="228">
        <f t="shared" si="121"/>
        <v>-0.85799999999999998</v>
      </c>
      <c r="AB292" s="228">
        <f t="shared" si="122"/>
        <v>-0.84300000000000008</v>
      </c>
      <c r="AC292" s="228">
        <f t="shared" si="122"/>
        <v>-0.93100000000000005</v>
      </c>
      <c r="AD292" s="228">
        <f t="shared" si="122"/>
        <v>-0.82799999999999985</v>
      </c>
      <c r="AE292" s="343">
        <f t="shared" si="123"/>
        <v>-3.46</v>
      </c>
      <c r="AF292" s="228">
        <f t="shared" si="123"/>
        <v>-0.88600000000000001</v>
      </c>
      <c r="AG292" s="228">
        <f t="shared" si="124"/>
        <v>-0.94200000000000006</v>
      </c>
      <c r="AH292" s="228">
        <f t="shared" si="124"/>
        <v>-1.3069999999999997</v>
      </c>
      <c r="AI292" s="228">
        <f t="shared" si="124"/>
        <v>-2.1429999999999998</v>
      </c>
      <c r="AJ292" s="343">
        <f t="shared" si="125"/>
        <v>-5.2779999999999996</v>
      </c>
      <c r="AK292" s="228">
        <f t="shared" si="125"/>
        <v>-2.758</v>
      </c>
      <c r="AL292" s="322">
        <f t="shared" si="126"/>
        <v>-3.8</v>
      </c>
      <c r="AM292" s="391"/>
      <c r="AN292" s="391"/>
      <c r="AO292" s="344"/>
      <c r="AP292" s="391"/>
      <c r="AQ292" s="391"/>
      <c r="AR292" s="391"/>
      <c r="AS292" s="391"/>
      <c r="AT292" s="344"/>
      <c r="AU292" s="392"/>
      <c r="AV292" s="392"/>
      <c r="AW292" s="392"/>
      <c r="AX292" s="228"/>
    </row>
    <row r="293" spans="1:50" s="5" customFormat="1" x14ac:dyDescent="0.3">
      <c r="A293" s="36" t="str">
        <f t="shared" si="112"/>
        <v>Gain on sale of an investment in a privately-held company</v>
      </c>
      <c r="B293" s="376"/>
      <c r="C293" s="343">
        <f t="shared" si="113"/>
        <v>0</v>
      </c>
      <c r="D293" s="343">
        <f t="shared" si="113"/>
        <v>0</v>
      </c>
      <c r="E293" s="343">
        <f t="shared" si="113"/>
        <v>0</v>
      </c>
      <c r="F293" s="343">
        <f t="shared" si="113"/>
        <v>0</v>
      </c>
      <c r="G293" s="228">
        <f t="shared" si="113"/>
        <v>0</v>
      </c>
      <c r="H293" s="228">
        <f t="shared" si="114"/>
        <v>0</v>
      </c>
      <c r="I293" s="228">
        <f t="shared" si="114"/>
        <v>0</v>
      </c>
      <c r="J293" s="228">
        <f t="shared" si="114"/>
        <v>0</v>
      </c>
      <c r="K293" s="343">
        <f t="shared" si="115"/>
        <v>0</v>
      </c>
      <c r="L293" s="228">
        <f t="shared" si="115"/>
        <v>0</v>
      </c>
      <c r="M293" s="228">
        <f t="shared" si="116"/>
        <v>0</v>
      </c>
      <c r="N293" s="228">
        <f t="shared" si="116"/>
        <v>0</v>
      </c>
      <c r="O293" s="228">
        <f t="shared" si="116"/>
        <v>0</v>
      </c>
      <c r="P293" s="343">
        <f t="shared" si="117"/>
        <v>0</v>
      </c>
      <c r="Q293" s="228">
        <f t="shared" si="117"/>
        <v>0</v>
      </c>
      <c r="R293" s="228">
        <f t="shared" si="118"/>
        <v>0</v>
      </c>
      <c r="S293" s="228">
        <f t="shared" si="118"/>
        <v>0</v>
      </c>
      <c r="T293" s="228">
        <f t="shared" si="118"/>
        <v>0</v>
      </c>
      <c r="U293" s="343">
        <f t="shared" si="119"/>
        <v>0</v>
      </c>
      <c r="V293" s="228">
        <f t="shared" si="119"/>
        <v>0</v>
      </c>
      <c r="W293" s="228">
        <f t="shared" si="120"/>
        <v>0</v>
      </c>
      <c r="X293" s="228">
        <f t="shared" si="120"/>
        <v>0</v>
      </c>
      <c r="Y293" s="228">
        <f t="shared" si="120"/>
        <v>0</v>
      </c>
      <c r="Z293" s="343">
        <f t="shared" si="121"/>
        <v>0</v>
      </c>
      <c r="AA293" s="228">
        <f t="shared" si="121"/>
        <v>0</v>
      </c>
      <c r="AB293" s="228">
        <f t="shared" si="122"/>
        <v>0</v>
      </c>
      <c r="AC293" s="228">
        <f t="shared" si="122"/>
        <v>0</v>
      </c>
      <c r="AD293" s="228">
        <f t="shared" si="122"/>
        <v>0</v>
      </c>
      <c r="AE293" s="343">
        <f t="shared" si="123"/>
        <v>0</v>
      </c>
      <c r="AF293" s="228">
        <f t="shared" si="123"/>
        <v>0</v>
      </c>
      <c r="AG293" s="228">
        <f t="shared" si="124"/>
        <v>0</v>
      </c>
      <c r="AH293" s="228">
        <f t="shared" si="124"/>
        <v>0</v>
      </c>
      <c r="AI293" s="228">
        <f t="shared" si="124"/>
        <v>0</v>
      </c>
      <c r="AJ293" s="343">
        <f t="shared" si="125"/>
        <v>0</v>
      </c>
      <c r="AK293" s="228">
        <f t="shared" si="125"/>
        <v>-9.1280000000000001</v>
      </c>
      <c r="AL293" s="322">
        <f t="shared" si="126"/>
        <v>-0.44100000000000072</v>
      </c>
      <c r="AM293" s="391"/>
      <c r="AN293" s="391"/>
      <c r="AO293" s="344"/>
      <c r="AP293" s="391"/>
      <c r="AQ293" s="391"/>
      <c r="AR293" s="391"/>
      <c r="AS293" s="391"/>
      <c r="AT293" s="344"/>
      <c r="AU293" s="392"/>
      <c r="AV293" s="392"/>
      <c r="AW293" s="392"/>
      <c r="AX293" s="228"/>
    </row>
    <row r="294" spans="1:50" s="5" customFormat="1" x14ac:dyDescent="0.3">
      <c r="A294" s="36" t="str">
        <f t="shared" si="112"/>
        <v>Loss on disposal of property and equipment</v>
      </c>
      <c r="B294" s="376"/>
      <c r="C294" s="343">
        <f t="shared" si="113"/>
        <v>0</v>
      </c>
      <c r="D294" s="343">
        <f t="shared" si="113"/>
        <v>0</v>
      </c>
      <c r="E294" s="343">
        <f t="shared" si="113"/>
        <v>0</v>
      </c>
      <c r="F294" s="343">
        <f t="shared" si="113"/>
        <v>0</v>
      </c>
      <c r="G294" s="228">
        <f t="shared" si="113"/>
        <v>0</v>
      </c>
      <c r="H294" s="228">
        <f t="shared" si="114"/>
        <v>0</v>
      </c>
      <c r="I294" s="228">
        <f t="shared" si="114"/>
        <v>0</v>
      </c>
      <c r="J294" s="228">
        <f t="shared" si="114"/>
        <v>0</v>
      </c>
      <c r="K294" s="343">
        <f t="shared" si="115"/>
        <v>0</v>
      </c>
      <c r="L294" s="228">
        <f t="shared" si="115"/>
        <v>0</v>
      </c>
      <c r="M294" s="228">
        <f t="shared" si="116"/>
        <v>0</v>
      </c>
      <c r="N294" s="228">
        <f t="shared" si="116"/>
        <v>0</v>
      </c>
      <c r="O294" s="228">
        <f t="shared" si="116"/>
        <v>0</v>
      </c>
      <c r="P294" s="343">
        <f t="shared" si="117"/>
        <v>0</v>
      </c>
      <c r="Q294" s="228">
        <f t="shared" si="117"/>
        <v>0</v>
      </c>
      <c r="R294" s="228">
        <f t="shared" si="118"/>
        <v>0</v>
      </c>
      <c r="S294" s="228">
        <f t="shared" si="118"/>
        <v>0</v>
      </c>
      <c r="T294" s="228">
        <f t="shared" si="118"/>
        <v>0</v>
      </c>
      <c r="U294" s="343">
        <f t="shared" si="119"/>
        <v>0</v>
      </c>
      <c r="V294" s="228">
        <f t="shared" si="119"/>
        <v>0</v>
      </c>
      <c r="W294" s="228">
        <f t="shared" si="120"/>
        <v>0</v>
      </c>
      <c r="X294" s="228">
        <f t="shared" si="120"/>
        <v>0</v>
      </c>
      <c r="Y294" s="228">
        <f t="shared" si="120"/>
        <v>0</v>
      </c>
      <c r="Z294" s="343">
        <f t="shared" si="121"/>
        <v>0</v>
      </c>
      <c r="AA294" s="228">
        <f t="shared" si="121"/>
        <v>0</v>
      </c>
      <c r="AB294" s="228">
        <f t="shared" si="122"/>
        <v>0</v>
      </c>
      <c r="AC294" s="228">
        <f t="shared" si="122"/>
        <v>0</v>
      </c>
      <c r="AD294" s="228">
        <f t="shared" si="122"/>
        <v>0</v>
      </c>
      <c r="AE294" s="343">
        <f t="shared" si="123"/>
        <v>0</v>
      </c>
      <c r="AF294" s="228">
        <f t="shared" si="123"/>
        <v>0.13900000000000001</v>
      </c>
      <c r="AG294" s="228">
        <f t="shared" si="124"/>
        <v>-0.13900000000000001</v>
      </c>
      <c r="AH294" s="228">
        <f t="shared" si="124"/>
        <v>0</v>
      </c>
      <c r="AI294" s="228">
        <f t="shared" si="124"/>
        <v>0</v>
      </c>
      <c r="AJ294" s="343">
        <f t="shared" si="125"/>
        <v>0</v>
      </c>
      <c r="AK294" s="228">
        <f t="shared" si="125"/>
        <v>0</v>
      </c>
      <c r="AL294" s="322">
        <f t="shared" si="126"/>
        <v>0</v>
      </c>
      <c r="AM294" s="391"/>
      <c r="AN294" s="391"/>
      <c r="AO294" s="344"/>
      <c r="AP294" s="391"/>
      <c r="AQ294" s="391"/>
      <c r="AR294" s="391"/>
      <c r="AS294" s="391"/>
      <c r="AT294" s="344"/>
      <c r="AU294" s="392"/>
      <c r="AV294" s="392"/>
      <c r="AW294" s="392"/>
      <c r="AX294" s="228"/>
    </row>
    <row r="295" spans="1:50" s="5" customFormat="1" x14ac:dyDescent="0.3">
      <c r="A295" s="36" t="str">
        <f t="shared" si="112"/>
        <v>Excess tax benefit from share-based compensation</v>
      </c>
      <c r="B295" s="376"/>
      <c r="C295" s="343">
        <f t="shared" si="113"/>
        <v>0</v>
      </c>
      <c r="D295" s="343">
        <f t="shared" si="113"/>
        <v>-1.101</v>
      </c>
      <c r="E295" s="343">
        <f t="shared" si="113"/>
        <v>-2.411</v>
      </c>
      <c r="F295" s="343">
        <f t="shared" si="113"/>
        <v>-5.141</v>
      </c>
      <c r="G295" s="228">
        <f t="shared" si="113"/>
        <v>-0.93200000000000005</v>
      </c>
      <c r="H295" s="228">
        <f t="shared" si="114"/>
        <v>-1.0070000000000001</v>
      </c>
      <c r="I295" s="228">
        <f t="shared" si="114"/>
        <v>-0.85699999999999976</v>
      </c>
      <c r="J295" s="228">
        <f t="shared" si="114"/>
        <v>0.1339999999999999</v>
      </c>
      <c r="K295" s="343">
        <f t="shared" si="115"/>
        <v>-2.6619999999999999</v>
      </c>
      <c r="L295" s="228">
        <f t="shared" si="115"/>
        <v>0</v>
      </c>
      <c r="M295" s="228">
        <f t="shared" si="116"/>
        <v>0</v>
      </c>
      <c r="N295" s="228">
        <f t="shared" si="116"/>
        <v>-0.34599999999999997</v>
      </c>
      <c r="O295" s="228">
        <f t="shared" si="116"/>
        <v>3.999999999999948E-3</v>
      </c>
      <c r="P295" s="343">
        <f t="shared" si="117"/>
        <v>-0.34200000000000003</v>
      </c>
      <c r="Q295" s="228">
        <f t="shared" si="117"/>
        <v>0</v>
      </c>
      <c r="R295" s="228">
        <f t="shared" si="118"/>
        <v>0</v>
      </c>
      <c r="S295" s="228">
        <f t="shared" si="118"/>
        <v>0</v>
      </c>
      <c r="T295" s="228">
        <f t="shared" si="118"/>
        <v>-5.2999999999999999E-2</v>
      </c>
      <c r="U295" s="343">
        <f t="shared" si="119"/>
        <v>-5.2999999999999999E-2</v>
      </c>
      <c r="V295" s="228">
        <f t="shared" si="119"/>
        <v>0</v>
      </c>
      <c r="W295" s="228">
        <f t="shared" si="120"/>
        <v>0</v>
      </c>
      <c r="X295" s="228">
        <f t="shared" si="120"/>
        <v>0</v>
      </c>
      <c r="Y295" s="228">
        <f t="shared" si="120"/>
        <v>4.5999999999999999E-2</v>
      </c>
      <c r="Z295" s="343">
        <f t="shared" si="121"/>
        <v>4.5999999999999999E-2</v>
      </c>
      <c r="AA295" s="228">
        <f t="shared" si="121"/>
        <v>0</v>
      </c>
      <c r="AB295" s="228">
        <f t="shared" si="122"/>
        <v>0</v>
      </c>
      <c r="AC295" s="228">
        <f t="shared" si="122"/>
        <v>0</v>
      </c>
      <c r="AD295" s="228">
        <f t="shared" si="122"/>
        <v>0</v>
      </c>
      <c r="AE295" s="343">
        <f t="shared" si="123"/>
        <v>0</v>
      </c>
      <c r="AF295" s="228">
        <f t="shared" si="123"/>
        <v>0</v>
      </c>
      <c r="AG295" s="228">
        <f t="shared" si="124"/>
        <v>0</v>
      </c>
      <c r="AH295" s="228">
        <f t="shared" si="124"/>
        <v>0</v>
      </c>
      <c r="AI295" s="228">
        <f t="shared" si="124"/>
        <v>0</v>
      </c>
      <c r="AJ295" s="343">
        <f t="shared" si="125"/>
        <v>0</v>
      </c>
      <c r="AK295" s="228">
        <f t="shared" si="125"/>
        <v>0</v>
      </c>
      <c r="AL295" s="322">
        <f t="shared" si="126"/>
        <v>0</v>
      </c>
      <c r="AM295" s="391"/>
      <c r="AN295" s="391"/>
      <c r="AO295" s="344"/>
      <c r="AP295" s="391"/>
      <c r="AQ295" s="391"/>
      <c r="AR295" s="391"/>
      <c r="AS295" s="391"/>
      <c r="AT295" s="344"/>
      <c r="AU295" s="392"/>
      <c r="AV295" s="392"/>
      <c r="AW295" s="392"/>
      <c r="AX295" s="228"/>
    </row>
    <row r="296" spans="1:50" s="5" customFormat="1" x14ac:dyDescent="0.3">
      <c r="A296" s="36" t="str">
        <f t="shared" si="112"/>
        <v>Impairment charges</v>
      </c>
      <c r="B296" s="376"/>
      <c r="C296" s="343">
        <f t="shared" si="113"/>
        <v>0.5</v>
      </c>
      <c r="D296" s="343">
        <f t="shared" si="113"/>
        <v>0</v>
      </c>
      <c r="E296" s="343">
        <f t="shared" si="113"/>
        <v>0</v>
      </c>
      <c r="F296" s="343">
        <f t="shared" si="113"/>
        <v>0</v>
      </c>
      <c r="G296" s="228">
        <f t="shared" si="113"/>
        <v>0</v>
      </c>
      <c r="H296" s="228">
        <f t="shared" si="114"/>
        <v>0</v>
      </c>
      <c r="I296" s="228">
        <f t="shared" si="114"/>
        <v>0</v>
      </c>
      <c r="J296" s="228">
        <f t="shared" si="114"/>
        <v>0</v>
      </c>
      <c r="K296" s="343">
        <f t="shared" si="115"/>
        <v>0</v>
      </c>
      <c r="L296" s="228">
        <f t="shared" si="115"/>
        <v>0</v>
      </c>
      <c r="M296" s="228">
        <f t="shared" si="116"/>
        <v>0</v>
      </c>
      <c r="N296" s="228">
        <f t="shared" si="116"/>
        <v>0</v>
      </c>
      <c r="O296" s="228">
        <f t="shared" si="116"/>
        <v>0</v>
      </c>
      <c r="P296" s="343">
        <f t="shared" si="117"/>
        <v>0</v>
      </c>
      <c r="Q296" s="228">
        <f t="shared" si="117"/>
        <v>3.1890000000000001</v>
      </c>
      <c r="R296" s="228">
        <f t="shared" si="118"/>
        <v>0</v>
      </c>
      <c r="S296" s="228">
        <f t="shared" si="118"/>
        <v>0</v>
      </c>
      <c r="T296" s="228">
        <f t="shared" si="118"/>
        <v>0</v>
      </c>
      <c r="U296" s="343">
        <f t="shared" si="119"/>
        <v>3.1890000000000001</v>
      </c>
      <c r="V296" s="228">
        <f t="shared" si="119"/>
        <v>0</v>
      </c>
      <c r="W296" s="228">
        <f t="shared" si="120"/>
        <v>0</v>
      </c>
      <c r="X296" s="228">
        <f t="shared" si="120"/>
        <v>0</v>
      </c>
      <c r="Y296" s="228">
        <f t="shared" si="120"/>
        <v>0</v>
      </c>
      <c r="Z296" s="343">
        <f t="shared" si="121"/>
        <v>0</v>
      </c>
      <c r="AA296" s="228">
        <f t="shared" si="121"/>
        <v>0</v>
      </c>
      <c r="AB296" s="228">
        <f t="shared" si="122"/>
        <v>0</v>
      </c>
      <c r="AC296" s="228">
        <f t="shared" si="122"/>
        <v>0</v>
      </c>
      <c r="AD296" s="228">
        <f t="shared" si="122"/>
        <v>12.019</v>
      </c>
      <c r="AE296" s="343">
        <f t="shared" si="123"/>
        <v>12.019</v>
      </c>
      <c r="AF296" s="228">
        <f t="shared" si="123"/>
        <v>0</v>
      </c>
      <c r="AG296" s="228">
        <f t="shared" si="124"/>
        <v>1.5669999999999999</v>
      </c>
      <c r="AH296" s="228">
        <f t="shared" si="124"/>
        <v>1.2390000000000001</v>
      </c>
      <c r="AI296" s="228">
        <f t="shared" si="124"/>
        <v>1.9479999999999995</v>
      </c>
      <c r="AJ296" s="343">
        <f t="shared" si="125"/>
        <v>4.7539999999999996</v>
      </c>
      <c r="AK296" s="228">
        <f t="shared" si="125"/>
        <v>2.544</v>
      </c>
      <c r="AL296" s="322">
        <f t="shared" si="126"/>
        <v>0.29899999999999993</v>
      </c>
      <c r="AM296" s="391"/>
      <c r="AN296" s="391"/>
      <c r="AO296" s="344"/>
      <c r="AP296" s="391"/>
      <c r="AQ296" s="391"/>
      <c r="AR296" s="391"/>
      <c r="AS296" s="391"/>
      <c r="AT296" s="344"/>
      <c r="AU296" s="392"/>
      <c r="AV296" s="392"/>
      <c r="AW296" s="392"/>
      <c r="AX296" s="228"/>
    </row>
    <row r="297" spans="1:50" s="9" customFormat="1" x14ac:dyDescent="0.3">
      <c r="A297" s="347" t="str">
        <f t="shared" si="112"/>
        <v>CFO before WC</v>
      </c>
      <c r="B297" s="377"/>
      <c r="C297" s="349">
        <f t="shared" ref="C297:AL297" si="127">SUM(C288:C296)</f>
        <v>31.003999999999998</v>
      </c>
      <c r="D297" s="349">
        <f t="shared" si="127"/>
        <v>39.670999999999999</v>
      </c>
      <c r="E297" s="349">
        <f t="shared" si="127"/>
        <v>48.48</v>
      </c>
      <c r="F297" s="349">
        <f t="shared" si="127"/>
        <v>160.77600000000001</v>
      </c>
      <c r="G297" s="350">
        <f t="shared" si="127"/>
        <v>7.0619999999999985</v>
      </c>
      <c r="H297" s="350">
        <f t="shared" si="127"/>
        <v>15.159999999999998</v>
      </c>
      <c r="I297" s="350">
        <f t="shared" si="127"/>
        <v>14.876000000000001</v>
      </c>
      <c r="J297" s="350">
        <f t="shared" si="127"/>
        <v>15.222999999999999</v>
      </c>
      <c r="K297" s="349">
        <f t="shared" si="127"/>
        <v>52.320999999999998</v>
      </c>
      <c r="L297" s="350">
        <f t="shared" si="127"/>
        <v>10.362</v>
      </c>
      <c r="M297" s="350">
        <f t="shared" si="127"/>
        <v>12.429</v>
      </c>
      <c r="N297" s="350">
        <f t="shared" si="127"/>
        <v>21.727999999999998</v>
      </c>
      <c r="O297" s="350">
        <f t="shared" si="127"/>
        <v>31.293000000000003</v>
      </c>
      <c r="P297" s="349">
        <f t="shared" si="127"/>
        <v>75.811999999999998</v>
      </c>
      <c r="Q297" s="350">
        <f t="shared" si="127"/>
        <v>34.744</v>
      </c>
      <c r="R297" s="350">
        <f t="shared" si="127"/>
        <v>40.713999999999999</v>
      </c>
      <c r="S297" s="350">
        <f t="shared" si="127"/>
        <v>43.666000000000004</v>
      </c>
      <c r="T297" s="350">
        <f t="shared" si="127"/>
        <v>43.435000000000009</v>
      </c>
      <c r="U297" s="349">
        <f t="shared" si="127"/>
        <v>162.55900000000003</v>
      </c>
      <c r="V297" s="350">
        <f t="shared" si="127"/>
        <v>33.089000000000006</v>
      </c>
      <c r="W297" s="350">
        <f t="shared" si="127"/>
        <v>47.765000000000001</v>
      </c>
      <c r="X297" s="350">
        <f t="shared" si="127"/>
        <v>55.944999999999993</v>
      </c>
      <c r="Y297" s="350">
        <f t="shared" si="127"/>
        <v>44.839999999999996</v>
      </c>
      <c r="Z297" s="349">
        <f t="shared" si="127"/>
        <v>181.63899999999998</v>
      </c>
      <c r="AA297" s="350">
        <f t="shared" si="127"/>
        <v>25.905000000000001</v>
      </c>
      <c r="AB297" s="350">
        <f t="shared" si="127"/>
        <v>34.701999999999998</v>
      </c>
      <c r="AC297" s="350">
        <f t="shared" si="127"/>
        <v>46.781999999999996</v>
      </c>
      <c r="AD297" s="350">
        <f t="shared" si="127"/>
        <v>52.28</v>
      </c>
      <c r="AE297" s="349">
        <f t="shared" si="127"/>
        <v>159.66900000000001</v>
      </c>
      <c r="AF297" s="350">
        <f t="shared" si="127"/>
        <v>51.685000000000002</v>
      </c>
      <c r="AG297" s="350">
        <f t="shared" si="127"/>
        <v>56.901999999999994</v>
      </c>
      <c r="AH297" s="350">
        <f t="shared" si="127"/>
        <v>81.037999999999997</v>
      </c>
      <c r="AI297" s="350">
        <f t="shared" si="127"/>
        <v>90.344000000000008</v>
      </c>
      <c r="AJ297" s="349">
        <f t="shared" si="127"/>
        <v>279.96899999999999</v>
      </c>
      <c r="AK297" s="350">
        <f t="shared" si="127"/>
        <v>87.481999999999999</v>
      </c>
      <c r="AL297" s="353">
        <f t="shared" si="127"/>
        <v>84.923000000000016</v>
      </c>
      <c r="AM297" s="351"/>
      <c r="AN297" s="351"/>
      <c r="AO297" s="352"/>
      <c r="AP297" s="351"/>
      <c r="AQ297" s="351"/>
      <c r="AR297" s="351"/>
      <c r="AS297" s="351"/>
      <c r="AT297" s="352"/>
      <c r="AU297" s="352"/>
      <c r="AV297" s="352"/>
      <c r="AW297" s="352"/>
      <c r="AX297" s="22"/>
    </row>
    <row r="298" spans="1:50" s="5" customFormat="1" x14ac:dyDescent="0.3">
      <c r="A298" s="492" t="str">
        <f t="shared" si="112"/>
        <v>Accounts receivable</v>
      </c>
      <c r="B298" s="428"/>
      <c r="C298" s="344">
        <f t="shared" ref="C298:G302" si="128">C248</f>
        <v>2.9809999999999999</v>
      </c>
      <c r="D298" s="344">
        <f t="shared" si="128"/>
        <v>0.52500000000000002</v>
      </c>
      <c r="E298" s="344">
        <f t="shared" si="128"/>
        <v>-15.898999999999999</v>
      </c>
      <c r="F298" s="344">
        <f t="shared" si="128"/>
        <v>-10.301</v>
      </c>
      <c r="G298" s="93">
        <f t="shared" si="128"/>
        <v>-0.629</v>
      </c>
      <c r="H298" s="93">
        <f t="shared" ref="H298:J302" si="129">H248-G248</f>
        <v>-8.4570000000000007</v>
      </c>
      <c r="I298" s="93">
        <f t="shared" si="129"/>
        <v>-3.0510000000000002</v>
      </c>
      <c r="J298" s="93">
        <f t="shared" si="129"/>
        <v>2.6370000000000005</v>
      </c>
      <c r="K298" s="344">
        <f t="shared" ref="K298:L302" si="130">K248</f>
        <v>-9.5</v>
      </c>
      <c r="L298" s="93">
        <f t="shared" si="130"/>
        <v>5.0359999999999996</v>
      </c>
      <c r="M298" s="93">
        <f t="shared" ref="M298:O302" si="131">M248-L248</f>
        <v>-4.516</v>
      </c>
      <c r="N298" s="93">
        <f t="shared" si="131"/>
        <v>-2.7349999999999999</v>
      </c>
      <c r="O298" s="93">
        <f t="shared" si="131"/>
        <v>7.6360000000000001</v>
      </c>
      <c r="P298" s="344">
        <f t="shared" ref="P298:Q302" si="132">P248</f>
        <v>5.4210000000000003</v>
      </c>
      <c r="Q298" s="93">
        <f t="shared" si="132"/>
        <v>9.0050000000000008</v>
      </c>
      <c r="R298" s="93">
        <f t="shared" ref="R298:T302" si="133">R248-Q248</f>
        <v>-5.0870000000000006</v>
      </c>
      <c r="S298" s="93">
        <f t="shared" si="133"/>
        <v>-3.6890000000000001</v>
      </c>
      <c r="T298" s="93">
        <f t="shared" si="133"/>
        <v>-19.579999999999998</v>
      </c>
      <c r="U298" s="344">
        <f t="shared" ref="U298:V302" si="134">U248</f>
        <v>-19.350999999999999</v>
      </c>
      <c r="V298" s="93">
        <f t="shared" si="134"/>
        <v>-4.6769999999999996</v>
      </c>
      <c r="W298" s="93">
        <f t="shared" ref="W298:Y302" si="135">W248-V248</f>
        <v>-12.209</v>
      </c>
      <c r="X298" s="93">
        <f t="shared" si="135"/>
        <v>-15.812000000000001</v>
      </c>
      <c r="Y298" s="93">
        <f t="shared" si="135"/>
        <v>-8.6330000000000027</v>
      </c>
      <c r="Z298" s="344">
        <f t="shared" ref="Z298:AA302" si="136">Z248</f>
        <v>-41.331000000000003</v>
      </c>
      <c r="AA298" s="93">
        <f t="shared" si="136"/>
        <v>15.532</v>
      </c>
      <c r="AB298" s="93">
        <f t="shared" ref="AB298:AD302" si="137">AB248-AA248</f>
        <v>-23.312000000000001</v>
      </c>
      <c r="AC298" s="93">
        <f t="shared" si="137"/>
        <v>16.2</v>
      </c>
      <c r="AD298" s="93">
        <f t="shared" si="137"/>
        <v>-20.594999999999999</v>
      </c>
      <c r="AE298" s="344">
        <f t="shared" ref="AE298:AF302" si="138">AE248</f>
        <v>-12.175000000000001</v>
      </c>
      <c r="AF298" s="93">
        <f t="shared" si="138"/>
        <v>11.316000000000001</v>
      </c>
      <c r="AG298" s="93">
        <f t="shared" ref="AG298:AI302" si="139">AG248-AF248</f>
        <v>-12.767000000000001</v>
      </c>
      <c r="AH298" s="93">
        <f t="shared" si="139"/>
        <v>12.892000000000001</v>
      </c>
      <c r="AI298" s="93">
        <f t="shared" si="139"/>
        <v>-7.8530000000000006</v>
      </c>
      <c r="AJ298" s="344">
        <f t="shared" ref="AJ298:AK302" si="140">AJ248</f>
        <v>3.5880000000000001</v>
      </c>
      <c r="AK298" s="93">
        <f t="shared" si="140"/>
        <v>-21.093</v>
      </c>
      <c r="AL298" s="321">
        <f>AL248-AK248</f>
        <v>-28.632999999999999</v>
      </c>
      <c r="AM298" s="93"/>
      <c r="AN298" s="93"/>
      <c r="AO298" s="344"/>
      <c r="AP298" s="93"/>
      <c r="AQ298" s="93"/>
      <c r="AR298" s="93"/>
      <c r="AS298" s="93"/>
      <c r="AT298" s="344"/>
      <c r="AU298" s="344"/>
      <c r="AV298" s="344"/>
      <c r="AW298" s="344"/>
      <c r="AX298" s="228"/>
    </row>
    <row r="299" spans="1:50" s="5" customFormat="1" x14ac:dyDescent="0.3">
      <c r="A299" s="492" t="str">
        <f t="shared" si="112"/>
        <v>Inventories</v>
      </c>
      <c r="B299" s="428"/>
      <c r="C299" s="344">
        <f t="shared" si="128"/>
        <v>-3.0139999999999998</v>
      </c>
      <c r="D299" s="344">
        <f t="shared" si="128"/>
        <v>-2.9510000000000001</v>
      </c>
      <c r="E299" s="344">
        <f t="shared" si="128"/>
        <v>-8.6389999999999993</v>
      </c>
      <c r="F299" s="344">
        <f t="shared" si="128"/>
        <v>-19.436</v>
      </c>
      <c r="G299" s="93">
        <f t="shared" si="128"/>
        <v>-2.8660000000000001</v>
      </c>
      <c r="H299" s="93">
        <f t="shared" si="129"/>
        <v>8.7609999999999992</v>
      </c>
      <c r="I299" s="93">
        <f t="shared" si="129"/>
        <v>7.0470000000000006</v>
      </c>
      <c r="J299" s="93">
        <f t="shared" si="129"/>
        <v>-3.4700000000000006</v>
      </c>
      <c r="K299" s="344">
        <f t="shared" si="130"/>
        <v>9.4719999999999995</v>
      </c>
      <c r="L299" s="93">
        <f t="shared" si="130"/>
        <v>-2.8740000000000001</v>
      </c>
      <c r="M299" s="93">
        <f t="shared" si="131"/>
        <v>1.7240000000000002</v>
      </c>
      <c r="N299" s="93">
        <f t="shared" si="131"/>
        <v>-2.5820000000000003</v>
      </c>
      <c r="O299" s="93">
        <f t="shared" si="131"/>
        <v>-5.8920000000000003</v>
      </c>
      <c r="P299" s="344">
        <f t="shared" si="132"/>
        <v>-9.6240000000000006</v>
      </c>
      <c r="Q299" s="93">
        <f t="shared" si="132"/>
        <v>-8.6890000000000001</v>
      </c>
      <c r="R299" s="93">
        <f t="shared" si="133"/>
        <v>-13.824000000000002</v>
      </c>
      <c r="S299" s="93">
        <f t="shared" si="133"/>
        <v>-1.4749999999999979</v>
      </c>
      <c r="T299" s="93">
        <f t="shared" si="133"/>
        <v>-0.74699999999999989</v>
      </c>
      <c r="U299" s="344">
        <f t="shared" si="134"/>
        <v>-24.734999999999999</v>
      </c>
      <c r="V299" s="93">
        <f t="shared" si="134"/>
        <v>4.3609999999999998</v>
      </c>
      <c r="W299" s="93">
        <f t="shared" si="135"/>
        <v>6.237000000000001</v>
      </c>
      <c r="X299" s="93">
        <f t="shared" si="135"/>
        <v>2.0259999999999998</v>
      </c>
      <c r="Y299" s="93">
        <f t="shared" si="135"/>
        <v>-4.3610000000000007</v>
      </c>
      <c r="Z299" s="344">
        <f t="shared" si="136"/>
        <v>8.2629999999999999</v>
      </c>
      <c r="AA299" s="93">
        <f t="shared" si="136"/>
        <v>-10.457000000000001</v>
      </c>
      <c r="AB299" s="93">
        <f t="shared" si="137"/>
        <v>2.7780000000000005</v>
      </c>
      <c r="AC299" s="93">
        <f t="shared" si="137"/>
        <v>10.028</v>
      </c>
      <c r="AD299" s="93">
        <f t="shared" si="137"/>
        <v>-3.2360000000000002</v>
      </c>
      <c r="AE299" s="344">
        <f t="shared" si="138"/>
        <v>-0.88700000000000001</v>
      </c>
      <c r="AF299" s="93">
        <f t="shared" si="138"/>
        <v>-5.6539999999999999</v>
      </c>
      <c r="AG299" s="93">
        <f t="shared" si="139"/>
        <v>-24.943999999999999</v>
      </c>
      <c r="AH299" s="93">
        <f t="shared" si="139"/>
        <v>-11.239000000000004</v>
      </c>
      <c r="AI299" s="93">
        <f t="shared" si="139"/>
        <v>-1.4639999999999986</v>
      </c>
      <c r="AJ299" s="344">
        <f t="shared" si="140"/>
        <v>-43.301000000000002</v>
      </c>
      <c r="AK299" s="93">
        <f t="shared" si="140"/>
        <v>7.2930000000000001</v>
      </c>
      <c r="AL299" s="321">
        <f>AL249-AK249</f>
        <v>4.5070000000000006</v>
      </c>
      <c r="AM299" s="93"/>
      <c r="AN299" s="93"/>
      <c r="AO299" s="344"/>
      <c r="AP299" s="93"/>
      <c r="AQ299" s="93"/>
      <c r="AR299" s="93"/>
      <c r="AS299" s="93"/>
      <c r="AT299" s="344"/>
      <c r="AU299" s="344"/>
      <c r="AV299" s="344"/>
      <c r="AW299" s="344"/>
      <c r="AX299" s="228"/>
    </row>
    <row r="300" spans="1:50" s="5" customFormat="1" x14ac:dyDescent="0.3">
      <c r="A300" s="492" t="str">
        <f t="shared" si="112"/>
        <v>Prepaid expenses and other assets</v>
      </c>
      <c r="B300" s="428"/>
      <c r="C300" s="344">
        <f t="shared" si="128"/>
        <v>-0.98199999999999998</v>
      </c>
      <c r="D300" s="344">
        <f t="shared" si="128"/>
        <v>0.68899999999999995</v>
      </c>
      <c r="E300" s="344">
        <f t="shared" si="128"/>
        <v>-0.51300000000000001</v>
      </c>
      <c r="F300" s="344">
        <f t="shared" si="128"/>
        <v>-3.2389999999999999</v>
      </c>
      <c r="G300" s="93">
        <f t="shared" si="128"/>
        <v>-0.17799999999999999</v>
      </c>
      <c r="H300" s="93">
        <f t="shared" si="129"/>
        <v>3.1680000000000001</v>
      </c>
      <c r="I300" s="93">
        <f t="shared" si="129"/>
        <v>-2.2910000000000004</v>
      </c>
      <c r="J300" s="93">
        <f t="shared" si="129"/>
        <v>0.71499999999999997</v>
      </c>
      <c r="K300" s="344">
        <f t="shared" si="130"/>
        <v>1.4139999999999999</v>
      </c>
      <c r="L300" s="93">
        <f t="shared" si="130"/>
        <v>-1.5309999999999999</v>
      </c>
      <c r="M300" s="93">
        <f t="shared" si="131"/>
        <v>-3.1790000000000003</v>
      </c>
      <c r="N300" s="93">
        <f t="shared" si="131"/>
        <v>-5.3299999999999992</v>
      </c>
      <c r="O300" s="93">
        <f t="shared" si="131"/>
        <v>2.3529999999999989</v>
      </c>
      <c r="P300" s="344">
        <f t="shared" si="132"/>
        <v>-7.6870000000000003</v>
      </c>
      <c r="Q300" s="93">
        <f t="shared" si="132"/>
        <v>3.895</v>
      </c>
      <c r="R300" s="93">
        <f t="shared" si="133"/>
        <v>-3.476</v>
      </c>
      <c r="S300" s="93">
        <f t="shared" si="133"/>
        <v>-0.92300000000000004</v>
      </c>
      <c r="T300" s="93">
        <f t="shared" si="133"/>
        <v>-2.1150000000000002</v>
      </c>
      <c r="U300" s="344">
        <f t="shared" si="134"/>
        <v>-2.6190000000000002</v>
      </c>
      <c r="V300" s="93">
        <f t="shared" si="134"/>
        <v>2.3050000000000002</v>
      </c>
      <c r="W300" s="93">
        <f t="shared" si="135"/>
        <v>1.2929999999999997</v>
      </c>
      <c r="X300" s="93">
        <f t="shared" si="135"/>
        <v>1.7450000000000001</v>
      </c>
      <c r="Y300" s="93">
        <f t="shared" si="135"/>
        <v>1.6050000000000004</v>
      </c>
      <c r="Z300" s="344">
        <f t="shared" si="136"/>
        <v>6.9480000000000004</v>
      </c>
      <c r="AA300" s="93">
        <f t="shared" si="136"/>
        <v>-3.6930000000000001</v>
      </c>
      <c r="AB300" s="93">
        <f t="shared" si="137"/>
        <v>1.0260000000000002</v>
      </c>
      <c r="AC300" s="93">
        <f t="shared" si="137"/>
        <v>-3.1349999999999998</v>
      </c>
      <c r="AD300" s="93">
        <f t="shared" si="137"/>
        <v>5.1209999999999996</v>
      </c>
      <c r="AE300" s="344">
        <f t="shared" si="138"/>
        <v>-0.68100000000000005</v>
      </c>
      <c r="AF300" s="93">
        <f t="shared" si="138"/>
        <v>-1.349</v>
      </c>
      <c r="AG300" s="93">
        <f t="shared" si="139"/>
        <v>2.0670000000000002</v>
      </c>
      <c r="AH300" s="93">
        <f t="shared" si="139"/>
        <v>-0.84599999999999997</v>
      </c>
      <c r="AI300" s="93">
        <f t="shared" si="139"/>
        <v>-2.5219999999999998</v>
      </c>
      <c r="AJ300" s="344">
        <f t="shared" si="140"/>
        <v>-2.65</v>
      </c>
      <c r="AK300" s="93">
        <f t="shared" si="140"/>
        <v>-3.552</v>
      </c>
      <c r="AL300" s="321">
        <f>AL250-AK250</f>
        <v>7.5990000000000002</v>
      </c>
      <c r="AM300" s="391"/>
      <c r="AN300" s="391"/>
      <c r="AO300" s="344"/>
      <c r="AP300" s="391"/>
      <c r="AQ300" s="391"/>
      <c r="AR300" s="391"/>
      <c r="AS300" s="391"/>
      <c r="AT300" s="344"/>
      <c r="AU300" s="392"/>
      <c r="AV300" s="392"/>
      <c r="AW300" s="392"/>
      <c r="AX300" s="228"/>
    </row>
    <row r="301" spans="1:50" s="5" customFormat="1" x14ac:dyDescent="0.3">
      <c r="A301" s="492" t="str">
        <f t="shared" si="112"/>
        <v>Accounts payable</v>
      </c>
      <c r="B301" s="428"/>
      <c r="C301" s="344">
        <f t="shared" si="128"/>
        <v>0.51</v>
      </c>
      <c r="D301" s="344">
        <f t="shared" si="128"/>
        <v>-2.2490000000000001</v>
      </c>
      <c r="E301" s="344">
        <f t="shared" si="128"/>
        <v>21.065000000000001</v>
      </c>
      <c r="F301" s="344">
        <f t="shared" si="128"/>
        <v>3.43</v>
      </c>
      <c r="G301" s="93">
        <f t="shared" si="128"/>
        <v>-6.8979999999999997</v>
      </c>
      <c r="H301" s="93">
        <f t="shared" si="129"/>
        <v>-0.61600000000000055</v>
      </c>
      <c r="I301" s="93">
        <f t="shared" si="129"/>
        <v>-1.3820000000000006</v>
      </c>
      <c r="J301" s="93">
        <f t="shared" si="129"/>
        <v>4.4490000000000007</v>
      </c>
      <c r="K301" s="344">
        <f t="shared" si="130"/>
        <v>-4.4470000000000001</v>
      </c>
      <c r="L301" s="93">
        <f t="shared" si="130"/>
        <v>-1.2869999999999999</v>
      </c>
      <c r="M301" s="93">
        <f t="shared" si="131"/>
        <v>1.8809999999999998</v>
      </c>
      <c r="N301" s="93">
        <f t="shared" si="131"/>
        <v>7.1979999999999995</v>
      </c>
      <c r="O301" s="93">
        <f t="shared" si="131"/>
        <v>1.8670000000000009</v>
      </c>
      <c r="P301" s="344">
        <f t="shared" si="132"/>
        <v>9.6590000000000007</v>
      </c>
      <c r="Q301" s="93">
        <f t="shared" si="132"/>
        <v>-2.1219999999999999</v>
      </c>
      <c r="R301" s="93">
        <f t="shared" si="133"/>
        <v>10.877000000000001</v>
      </c>
      <c r="S301" s="93">
        <f t="shared" si="133"/>
        <v>-6.636000000000001</v>
      </c>
      <c r="T301" s="93">
        <f t="shared" si="133"/>
        <v>1.6309999999999998</v>
      </c>
      <c r="U301" s="344">
        <f t="shared" si="134"/>
        <v>3.75</v>
      </c>
      <c r="V301" s="93">
        <f t="shared" si="134"/>
        <v>3.34</v>
      </c>
      <c r="W301" s="93">
        <f t="shared" si="135"/>
        <v>6.3390000000000004</v>
      </c>
      <c r="X301" s="93">
        <f t="shared" si="135"/>
        <v>-4.8029999999999999</v>
      </c>
      <c r="Y301" s="93">
        <f t="shared" si="135"/>
        <v>8.4540000000000006</v>
      </c>
      <c r="Z301" s="344">
        <f t="shared" si="136"/>
        <v>13.33</v>
      </c>
      <c r="AA301" s="93">
        <f t="shared" si="136"/>
        <v>4.931</v>
      </c>
      <c r="AB301" s="93">
        <f t="shared" si="137"/>
        <v>-4.883</v>
      </c>
      <c r="AC301" s="93">
        <f t="shared" si="137"/>
        <v>-14.923999999999999</v>
      </c>
      <c r="AD301" s="93">
        <f t="shared" si="137"/>
        <v>15.045999999999999</v>
      </c>
      <c r="AE301" s="344">
        <f t="shared" si="138"/>
        <v>0.17</v>
      </c>
      <c r="AF301" s="93">
        <f t="shared" si="138"/>
        <v>3.911</v>
      </c>
      <c r="AG301" s="93">
        <f t="shared" si="139"/>
        <v>8.6189999999999998</v>
      </c>
      <c r="AH301" s="93">
        <f t="shared" si="139"/>
        <v>1.1310000000000002</v>
      </c>
      <c r="AI301" s="93">
        <f t="shared" si="139"/>
        <v>-3.1749999999999989</v>
      </c>
      <c r="AJ301" s="344">
        <f t="shared" si="140"/>
        <v>10.486000000000001</v>
      </c>
      <c r="AK301" s="93">
        <f t="shared" si="140"/>
        <v>-7.407</v>
      </c>
      <c r="AL301" s="321">
        <f>AL251-AK251</f>
        <v>9.3759999999999994</v>
      </c>
      <c r="AM301" s="93"/>
      <c r="AN301" s="93"/>
      <c r="AO301" s="344"/>
      <c r="AP301" s="93"/>
      <c r="AQ301" s="93"/>
      <c r="AR301" s="93"/>
      <c r="AS301" s="93"/>
      <c r="AT301" s="344"/>
      <c r="AU301" s="344"/>
      <c r="AV301" s="344"/>
      <c r="AW301" s="344"/>
      <c r="AX301" s="228"/>
    </row>
    <row r="302" spans="1:50" s="5" customFormat="1" x14ac:dyDescent="0.3">
      <c r="A302" s="492" t="str">
        <f t="shared" si="112"/>
        <v>Accrued liabilities and other liabilities</v>
      </c>
      <c r="B302" s="428"/>
      <c r="C302" s="344">
        <f t="shared" si="128"/>
        <v>2.2890000000000001</v>
      </c>
      <c r="D302" s="344">
        <f t="shared" si="128"/>
        <v>5.5469999999999997</v>
      </c>
      <c r="E302" s="344">
        <f t="shared" si="128"/>
        <v>18.645</v>
      </c>
      <c r="F302" s="344">
        <f t="shared" si="128"/>
        <v>51.259</v>
      </c>
      <c r="G302" s="93">
        <f t="shared" si="128"/>
        <v>-3.0950000000000002</v>
      </c>
      <c r="H302" s="93">
        <f t="shared" si="129"/>
        <v>-6.5569999999999986</v>
      </c>
      <c r="I302" s="93">
        <f t="shared" si="129"/>
        <v>1.222999999999999</v>
      </c>
      <c r="J302" s="93">
        <f t="shared" si="129"/>
        <v>11.039</v>
      </c>
      <c r="K302" s="344">
        <f t="shared" si="130"/>
        <v>2.61</v>
      </c>
      <c r="L302" s="93">
        <f t="shared" si="130"/>
        <v>0.879</v>
      </c>
      <c r="M302" s="93">
        <f t="shared" si="131"/>
        <v>-0.97</v>
      </c>
      <c r="N302" s="93">
        <f t="shared" si="131"/>
        <v>-1.083</v>
      </c>
      <c r="O302" s="93">
        <f t="shared" si="131"/>
        <v>7.7230000000000008</v>
      </c>
      <c r="P302" s="344">
        <f t="shared" si="132"/>
        <v>6.5490000000000004</v>
      </c>
      <c r="Q302" s="93">
        <f t="shared" si="132"/>
        <v>8.9619999999999997</v>
      </c>
      <c r="R302" s="93">
        <f t="shared" si="133"/>
        <v>12.100999999999999</v>
      </c>
      <c r="S302" s="93">
        <f t="shared" si="133"/>
        <v>-2.2459999999999987</v>
      </c>
      <c r="T302" s="93">
        <f t="shared" si="133"/>
        <v>12.067</v>
      </c>
      <c r="U302" s="344">
        <f t="shared" si="134"/>
        <v>30.884</v>
      </c>
      <c r="V302" s="93">
        <f t="shared" si="134"/>
        <v>10.177</v>
      </c>
      <c r="W302" s="93">
        <f t="shared" si="135"/>
        <v>-4.5939999999999994</v>
      </c>
      <c r="X302" s="93">
        <f t="shared" si="135"/>
        <v>9.5489999999999995</v>
      </c>
      <c r="Y302" s="93">
        <f t="shared" si="135"/>
        <v>12.129</v>
      </c>
      <c r="Z302" s="344">
        <f t="shared" si="136"/>
        <v>27.260999999999999</v>
      </c>
      <c r="AA302" s="93">
        <f t="shared" si="136"/>
        <v>2.7829999999999999</v>
      </c>
      <c r="AB302" s="93">
        <f t="shared" si="137"/>
        <v>-3.9239999999999999</v>
      </c>
      <c r="AC302" s="93">
        <f t="shared" si="137"/>
        <v>-1.9630000000000001</v>
      </c>
      <c r="AD302" s="93">
        <f t="shared" si="137"/>
        <v>18.32</v>
      </c>
      <c r="AE302" s="344">
        <f t="shared" si="138"/>
        <v>15.215999999999999</v>
      </c>
      <c r="AF302" s="93">
        <f t="shared" si="138"/>
        <v>-4.5039999999999996</v>
      </c>
      <c r="AG302" s="93">
        <f t="shared" si="139"/>
        <v>16.838000000000001</v>
      </c>
      <c r="AH302" s="93">
        <f t="shared" si="139"/>
        <v>-16.606999999999999</v>
      </c>
      <c r="AI302" s="93">
        <f t="shared" si="139"/>
        <v>21.038</v>
      </c>
      <c r="AJ302" s="344">
        <f t="shared" si="140"/>
        <v>16.765000000000001</v>
      </c>
      <c r="AK302" s="93">
        <f t="shared" si="140"/>
        <v>25.709</v>
      </c>
      <c r="AL302" s="321">
        <f>AL252-AK252</f>
        <v>-19.2</v>
      </c>
      <c r="AM302" s="93"/>
      <c r="AN302" s="93"/>
      <c r="AO302" s="344"/>
      <c r="AP302" s="93"/>
      <c r="AQ302" s="93"/>
      <c r="AR302" s="93"/>
      <c r="AS302" s="93"/>
      <c r="AT302" s="344"/>
      <c r="AU302" s="344"/>
      <c r="AV302" s="344"/>
      <c r="AW302" s="344"/>
      <c r="AX302" s="228"/>
    </row>
    <row r="303" spans="1:50" s="9" customFormat="1" x14ac:dyDescent="0.3">
      <c r="A303" s="347" t="str">
        <f t="shared" si="112"/>
        <v>Net CFO</v>
      </c>
      <c r="B303" s="377"/>
      <c r="C303" s="349">
        <f t="shared" ref="C303:AL303" si="141">SUM(C297:C302)</f>
        <v>32.788000000000004</v>
      </c>
      <c r="D303" s="349">
        <f t="shared" si="141"/>
        <v>41.231999999999992</v>
      </c>
      <c r="E303" s="349">
        <f t="shared" si="141"/>
        <v>63.138999999999996</v>
      </c>
      <c r="F303" s="349">
        <f t="shared" si="141"/>
        <v>182.48900000000003</v>
      </c>
      <c r="G303" s="350">
        <f t="shared" si="141"/>
        <v>-6.6040000000000019</v>
      </c>
      <c r="H303" s="350">
        <f t="shared" si="141"/>
        <v>11.459</v>
      </c>
      <c r="I303" s="350">
        <f t="shared" si="141"/>
        <v>16.421999999999997</v>
      </c>
      <c r="J303" s="350">
        <f t="shared" si="141"/>
        <v>30.592999999999996</v>
      </c>
      <c r="K303" s="349">
        <f t="shared" si="141"/>
        <v>51.87</v>
      </c>
      <c r="L303" s="350">
        <f t="shared" si="141"/>
        <v>10.584999999999999</v>
      </c>
      <c r="M303" s="350">
        <f t="shared" si="141"/>
        <v>7.3690000000000007</v>
      </c>
      <c r="N303" s="350">
        <f t="shared" si="141"/>
        <v>17.196000000000002</v>
      </c>
      <c r="O303" s="350">
        <f t="shared" si="141"/>
        <v>44.980000000000004</v>
      </c>
      <c r="P303" s="349">
        <f t="shared" si="141"/>
        <v>80.130000000000024</v>
      </c>
      <c r="Q303" s="350">
        <f t="shared" si="141"/>
        <v>45.795000000000002</v>
      </c>
      <c r="R303" s="350">
        <f t="shared" si="141"/>
        <v>41.304999999999993</v>
      </c>
      <c r="S303" s="350">
        <f t="shared" si="141"/>
        <v>28.697000000000006</v>
      </c>
      <c r="T303" s="350">
        <f t="shared" si="141"/>
        <v>34.69100000000001</v>
      </c>
      <c r="U303" s="349">
        <f t="shared" si="141"/>
        <v>150.48800000000003</v>
      </c>
      <c r="V303" s="350">
        <f t="shared" si="141"/>
        <v>48.595000000000006</v>
      </c>
      <c r="W303" s="350">
        <f t="shared" si="141"/>
        <v>44.830999999999996</v>
      </c>
      <c r="X303" s="350">
        <f t="shared" si="141"/>
        <v>48.649999999999991</v>
      </c>
      <c r="Y303" s="350">
        <f t="shared" si="141"/>
        <v>54.033999999999992</v>
      </c>
      <c r="Z303" s="349">
        <f t="shared" si="141"/>
        <v>196.11</v>
      </c>
      <c r="AA303" s="350">
        <f t="shared" si="141"/>
        <v>35.000999999999998</v>
      </c>
      <c r="AB303" s="350">
        <f t="shared" si="141"/>
        <v>6.3869999999999969</v>
      </c>
      <c r="AC303" s="350">
        <f t="shared" si="141"/>
        <v>52.988</v>
      </c>
      <c r="AD303" s="350">
        <f t="shared" si="141"/>
        <v>66.936000000000007</v>
      </c>
      <c r="AE303" s="349">
        <f t="shared" si="141"/>
        <v>161.31199999999998</v>
      </c>
      <c r="AF303" s="350">
        <f t="shared" si="141"/>
        <v>55.405000000000015</v>
      </c>
      <c r="AG303" s="350">
        <f t="shared" si="141"/>
        <v>46.714999999999989</v>
      </c>
      <c r="AH303" s="350">
        <f t="shared" si="141"/>
        <v>66.368999999999986</v>
      </c>
      <c r="AI303" s="350">
        <f t="shared" si="141"/>
        <v>96.368000000000009</v>
      </c>
      <c r="AJ303" s="349">
        <f t="shared" si="141"/>
        <v>264.85700000000003</v>
      </c>
      <c r="AK303" s="350">
        <f t="shared" si="141"/>
        <v>88.432000000000002</v>
      </c>
      <c r="AL303" s="353">
        <f t="shared" si="141"/>
        <v>58.572000000000017</v>
      </c>
      <c r="AM303" s="351"/>
      <c r="AN303" s="351"/>
      <c r="AO303" s="352"/>
      <c r="AP303" s="351"/>
      <c r="AQ303" s="351"/>
      <c r="AR303" s="351"/>
      <c r="AS303" s="351"/>
      <c r="AT303" s="352"/>
      <c r="AU303" s="352"/>
      <c r="AV303" s="352"/>
      <c r="AW303" s="352"/>
      <c r="AX303" s="22"/>
    </row>
    <row r="304" spans="1:50" s="9" customFormat="1" x14ac:dyDescent="0.3">
      <c r="A304" s="35"/>
      <c r="B304" s="103"/>
      <c r="C304" s="4"/>
      <c r="D304" s="4"/>
      <c r="E304" s="4"/>
      <c r="F304" s="4"/>
      <c r="G304" s="22"/>
      <c r="H304" s="22"/>
      <c r="I304" s="22"/>
      <c r="J304" s="22"/>
      <c r="K304" s="4"/>
      <c r="L304" s="22"/>
      <c r="M304" s="22"/>
      <c r="N304" s="22"/>
      <c r="O304" s="22"/>
      <c r="P304" s="4"/>
      <c r="Q304" s="22"/>
      <c r="R304" s="22"/>
      <c r="S304" s="22"/>
      <c r="T304" s="22"/>
      <c r="U304" s="4"/>
      <c r="V304" s="22"/>
      <c r="W304" s="22"/>
      <c r="X304" s="22"/>
      <c r="Y304" s="22"/>
      <c r="Z304" s="4"/>
      <c r="AA304" s="22"/>
      <c r="AB304" s="22"/>
      <c r="AC304" s="22"/>
      <c r="AD304" s="22"/>
      <c r="AE304" s="4"/>
      <c r="AF304" s="22"/>
      <c r="AG304" s="22"/>
      <c r="AH304" s="22"/>
      <c r="AI304" s="22"/>
      <c r="AJ304" s="4"/>
      <c r="AK304" s="22"/>
      <c r="AL304" s="308"/>
      <c r="AM304" s="72"/>
      <c r="AN304" s="72"/>
      <c r="AO304" s="8"/>
      <c r="AP304" s="72"/>
      <c r="AQ304" s="72"/>
      <c r="AR304" s="72"/>
      <c r="AS304" s="72"/>
      <c r="AT304" s="8"/>
      <c r="AU304" s="8"/>
      <c r="AV304" s="8"/>
      <c r="AW304" s="8"/>
      <c r="AX304" s="22"/>
    </row>
    <row r="305" spans="1:50" s="9" customFormat="1" x14ac:dyDescent="0.3">
      <c r="A305" s="35" t="str">
        <f t="shared" ref="A305:A317" si="142">A255</f>
        <v>CFI</v>
      </c>
      <c r="B305" s="103"/>
      <c r="C305" s="4"/>
      <c r="D305" s="4"/>
      <c r="E305" s="4"/>
      <c r="F305" s="4"/>
      <c r="G305" s="22"/>
      <c r="H305" s="22"/>
      <c r="I305" s="22"/>
      <c r="J305" s="22"/>
      <c r="K305" s="4"/>
      <c r="L305" s="22"/>
      <c r="M305" s="22"/>
      <c r="N305" s="22"/>
      <c r="O305" s="22"/>
      <c r="P305" s="4"/>
      <c r="Q305" s="22"/>
      <c r="R305" s="22"/>
      <c r="S305" s="22"/>
      <c r="T305" s="22"/>
      <c r="U305" s="4"/>
      <c r="V305" s="22"/>
      <c r="W305" s="22"/>
      <c r="X305" s="22"/>
      <c r="Y305" s="22"/>
      <c r="Z305" s="4"/>
      <c r="AA305" s="22"/>
      <c r="AB305" s="22"/>
      <c r="AC305" s="22"/>
      <c r="AD305" s="22"/>
      <c r="AE305" s="4"/>
      <c r="AF305" s="22"/>
      <c r="AG305" s="22"/>
      <c r="AH305" s="22"/>
      <c r="AI305" s="22"/>
      <c r="AJ305" s="4"/>
      <c r="AK305" s="22"/>
      <c r="AL305" s="308"/>
      <c r="AM305" s="72"/>
      <c r="AN305" s="72"/>
      <c r="AO305" s="8"/>
      <c r="AP305" s="72"/>
      <c r="AQ305" s="72"/>
      <c r="AR305" s="72"/>
      <c r="AS305" s="72"/>
      <c r="AT305" s="8"/>
      <c r="AU305" s="8"/>
      <c r="AV305" s="8"/>
      <c r="AW305" s="8"/>
      <c r="AX305" s="22"/>
    </row>
    <row r="306" spans="1:50" s="5" customFormat="1" x14ac:dyDescent="0.3">
      <c r="A306" s="36" t="str">
        <f t="shared" si="142"/>
        <v>Purchase of severance-related insurance policies</v>
      </c>
      <c r="B306" s="228"/>
      <c r="C306" s="343">
        <f t="shared" ref="C306:G316" si="143">C256</f>
        <v>-0.85699999999999998</v>
      </c>
      <c r="D306" s="343">
        <f t="shared" si="143"/>
        <v>-0.78900000000000003</v>
      </c>
      <c r="E306" s="343">
        <f t="shared" si="143"/>
        <v>-0.83199999999999996</v>
      </c>
      <c r="F306" s="343">
        <f t="shared" si="143"/>
        <v>-0.78300000000000003</v>
      </c>
      <c r="G306" s="228">
        <f t="shared" si="143"/>
        <v>-0.186</v>
      </c>
      <c r="H306" s="228">
        <f t="shared" ref="H306:J316" si="144">H256-G256</f>
        <v>-0.22599999999999998</v>
      </c>
      <c r="I306" s="228">
        <f t="shared" si="144"/>
        <v>-0.22000000000000003</v>
      </c>
      <c r="J306" s="228">
        <f t="shared" si="144"/>
        <v>-0.21699999999999997</v>
      </c>
      <c r="K306" s="343">
        <f t="shared" ref="K306:L316" si="145">K256</f>
        <v>-0.84899999999999998</v>
      </c>
      <c r="L306" s="228">
        <f t="shared" si="145"/>
        <v>-0.20499999999999999</v>
      </c>
      <c r="M306" s="228">
        <f t="shared" ref="M306:O316" si="146">M256-L256</f>
        <v>-0.20399999999999999</v>
      </c>
      <c r="N306" s="228">
        <f t="shared" si="146"/>
        <v>-0.188</v>
      </c>
      <c r="O306" s="228">
        <f t="shared" si="146"/>
        <v>-0.18000000000000005</v>
      </c>
      <c r="P306" s="343">
        <f t="shared" ref="P306:Q316" si="147">P256</f>
        <v>-0.77700000000000002</v>
      </c>
      <c r="Q306" s="228">
        <f t="shared" si="147"/>
        <v>-0.186</v>
      </c>
      <c r="R306" s="228">
        <f t="shared" ref="R306:T316" si="148">R256-Q256</f>
        <v>-0.19500000000000001</v>
      </c>
      <c r="S306" s="228">
        <f t="shared" si="148"/>
        <v>-0.18199999999999994</v>
      </c>
      <c r="T306" s="228">
        <f t="shared" si="148"/>
        <v>-0.18000000000000005</v>
      </c>
      <c r="U306" s="343">
        <f t="shared" ref="U306:V316" si="149">U256</f>
        <v>-0.74299999999999999</v>
      </c>
      <c r="V306" s="228">
        <f t="shared" si="149"/>
        <v>-0.22600000000000001</v>
      </c>
      <c r="W306" s="228">
        <f t="shared" ref="W306:Y316" si="150">W256-V256</f>
        <v>-0.32000000000000006</v>
      </c>
      <c r="X306" s="228">
        <f t="shared" si="150"/>
        <v>-0.31899999999999995</v>
      </c>
      <c r="Y306" s="228">
        <f t="shared" si="150"/>
        <v>-0.30699999999999994</v>
      </c>
      <c r="Z306" s="343">
        <f t="shared" ref="Z306:AA316" si="151">Z256</f>
        <v>-1.1719999999999999</v>
      </c>
      <c r="AA306" s="228">
        <f t="shared" si="151"/>
        <v>-0.315</v>
      </c>
      <c r="AB306" s="228">
        <f t="shared" ref="AB306:AD316" si="152">AB256-AA256</f>
        <v>-0.33600000000000002</v>
      </c>
      <c r="AC306" s="228">
        <f t="shared" si="152"/>
        <v>-0.33199999999999996</v>
      </c>
      <c r="AD306" s="228">
        <f t="shared" si="152"/>
        <v>-0.32900000000000007</v>
      </c>
      <c r="AE306" s="343">
        <f t="shared" ref="AE306:AF316" si="153">AE256</f>
        <v>-1.3120000000000001</v>
      </c>
      <c r="AF306" s="228">
        <f t="shared" si="153"/>
        <v>-0.317</v>
      </c>
      <c r="AG306" s="228">
        <f t="shared" ref="AG306:AI316" si="154">AG256-AF256</f>
        <v>-0.29499999999999998</v>
      </c>
      <c r="AH306" s="228">
        <f t="shared" si="154"/>
        <v>-0.30400000000000005</v>
      </c>
      <c r="AI306" s="228">
        <f t="shared" si="154"/>
        <v>-0.28700000000000003</v>
      </c>
      <c r="AJ306" s="343">
        <f t="shared" ref="AJ306:AK316" si="155">AJ256</f>
        <v>-1.2030000000000001</v>
      </c>
      <c r="AK306" s="228">
        <f t="shared" si="155"/>
        <v>-0.09</v>
      </c>
      <c r="AL306" s="322">
        <f t="shared" ref="AL306:AL316" si="156">AL256-AK256</f>
        <v>0.09</v>
      </c>
      <c r="AM306" s="391"/>
      <c r="AN306" s="391"/>
      <c r="AO306" s="344"/>
      <c r="AP306" s="391"/>
      <c r="AQ306" s="391"/>
      <c r="AR306" s="391"/>
      <c r="AS306" s="391"/>
      <c r="AT306" s="344"/>
      <c r="AU306" s="392"/>
      <c r="AV306" s="392"/>
      <c r="AW306" s="392"/>
      <c r="AX306" s="228"/>
    </row>
    <row r="307" spans="1:50" s="5" customFormat="1" x14ac:dyDescent="0.3">
      <c r="A307" s="36" t="str">
        <f t="shared" si="142"/>
        <v>Purchase of short-term investments</v>
      </c>
      <c r="B307" s="228"/>
      <c r="C307" s="343">
        <f t="shared" si="143"/>
        <v>-236.68</v>
      </c>
      <c r="D307" s="343">
        <f t="shared" si="143"/>
        <v>-182.61500000000001</v>
      </c>
      <c r="E307" s="343">
        <f t="shared" si="143"/>
        <v>-45.6</v>
      </c>
      <c r="F307" s="343">
        <f t="shared" si="143"/>
        <v>-328.99799999999999</v>
      </c>
      <c r="G307" s="228">
        <f t="shared" si="143"/>
        <v>-55.176000000000002</v>
      </c>
      <c r="H307" s="228">
        <f t="shared" si="144"/>
        <v>-26.646999999999991</v>
      </c>
      <c r="I307" s="228">
        <f t="shared" si="144"/>
        <v>-69.712000000000003</v>
      </c>
      <c r="J307" s="228">
        <f t="shared" si="144"/>
        <v>-48.842000000000013</v>
      </c>
      <c r="K307" s="343">
        <f t="shared" si="145"/>
        <v>-200.37700000000001</v>
      </c>
      <c r="L307" s="228">
        <f t="shared" si="145"/>
        <v>-87.5</v>
      </c>
      <c r="M307" s="228">
        <f t="shared" si="146"/>
        <v>-71.888000000000005</v>
      </c>
      <c r="N307" s="228">
        <f t="shared" si="146"/>
        <v>-43.430000000000007</v>
      </c>
      <c r="O307" s="228">
        <f t="shared" si="146"/>
        <v>-105.10599999999997</v>
      </c>
      <c r="P307" s="343">
        <f t="shared" si="147"/>
        <v>-307.92399999999998</v>
      </c>
      <c r="Q307" s="228">
        <f t="shared" si="147"/>
        <v>-87.793000000000006</v>
      </c>
      <c r="R307" s="228">
        <f t="shared" si="148"/>
        <v>-100.36799999999999</v>
      </c>
      <c r="S307" s="228">
        <f t="shared" si="148"/>
        <v>-31.298000000000002</v>
      </c>
      <c r="T307" s="228">
        <f t="shared" si="148"/>
        <v>0</v>
      </c>
      <c r="U307" s="343">
        <f t="shared" si="149"/>
        <v>-219.459</v>
      </c>
      <c r="V307" s="228">
        <f t="shared" si="149"/>
        <v>-64.908000000000001</v>
      </c>
      <c r="W307" s="228">
        <f t="shared" si="150"/>
        <v>-88.577999999999989</v>
      </c>
      <c r="X307" s="228">
        <f t="shared" si="150"/>
        <v>-65.156000000000006</v>
      </c>
      <c r="Y307" s="228">
        <f t="shared" si="150"/>
        <v>-82.216000000000008</v>
      </c>
      <c r="Z307" s="343">
        <f t="shared" si="151"/>
        <v>-300.858</v>
      </c>
      <c r="AA307" s="228">
        <f t="shared" si="151"/>
        <v>-50.302</v>
      </c>
      <c r="AB307" s="228">
        <f t="shared" si="152"/>
        <v>-18.808</v>
      </c>
      <c r="AC307" s="228">
        <f t="shared" si="152"/>
        <v>-70.750999999999991</v>
      </c>
      <c r="AD307" s="228">
        <f t="shared" si="152"/>
        <v>-48.884000000000015</v>
      </c>
      <c r="AE307" s="343">
        <f t="shared" si="153"/>
        <v>-188.745</v>
      </c>
      <c r="AF307" s="228">
        <f t="shared" si="153"/>
        <v>-20.899000000000001</v>
      </c>
      <c r="AG307" s="228">
        <f t="shared" si="154"/>
        <v>-61.587000000000003</v>
      </c>
      <c r="AH307" s="228">
        <f t="shared" si="154"/>
        <v>-145.74299999999999</v>
      </c>
      <c r="AI307" s="228">
        <f t="shared" si="154"/>
        <v>-167.33099999999999</v>
      </c>
      <c r="AJ307" s="343">
        <f t="shared" si="155"/>
        <v>-395.56</v>
      </c>
      <c r="AK307" s="228">
        <f t="shared" si="155"/>
        <v>-191.203</v>
      </c>
      <c r="AL307" s="322">
        <f t="shared" si="156"/>
        <v>-173.57399999999998</v>
      </c>
      <c r="AM307" s="391"/>
      <c r="AN307" s="391"/>
      <c r="AO307" s="344"/>
      <c r="AP307" s="391"/>
      <c r="AQ307" s="391"/>
      <c r="AR307" s="391"/>
      <c r="AS307" s="391"/>
      <c r="AT307" s="344"/>
      <c r="AU307" s="392"/>
      <c r="AV307" s="392"/>
      <c r="AW307" s="392"/>
      <c r="AX307" s="228"/>
    </row>
    <row r="308" spans="1:50" s="5" customFormat="1" x14ac:dyDescent="0.3">
      <c r="A308" s="36" t="str">
        <f t="shared" si="142"/>
        <v>Proceeds from sales of short-term investments</v>
      </c>
      <c r="B308" s="228"/>
      <c r="C308" s="343">
        <f t="shared" si="143"/>
        <v>121.768</v>
      </c>
      <c r="D308" s="343">
        <f t="shared" si="143"/>
        <v>157.37700000000001</v>
      </c>
      <c r="E308" s="343">
        <f t="shared" si="143"/>
        <v>149.88900000000001</v>
      </c>
      <c r="F308" s="343">
        <f t="shared" si="143"/>
        <v>14.86</v>
      </c>
      <c r="G308" s="228">
        <f t="shared" si="143"/>
        <v>60.618000000000002</v>
      </c>
      <c r="H308" s="228">
        <f t="shared" si="144"/>
        <v>42.720999999999997</v>
      </c>
      <c r="I308" s="228">
        <f t="shared" si="144"/>
        <v>30.096000000000004</v>
      </c>
      <c r="J308" s="228">
        <f t="shared" si="144"/>
        <v>-10.438000000000002</v>
      </c>
      <c r="K308" s="343">
        <f t="shared" si="145"/>
        <v>122.997</v>
      </c>
      <c r="L308" s="228">
        <f t="shared" si="145"/>
        <v>48.506</v>
      </c>
      <c r="M308" s="228">
        <f t="shared" si="146"/>
        <v>41.814999999999998</v>
      </c>
      <c r="N308" s="228">
        <f t="shared" si="146"/>
        <v>40.330999999999989</v>
      </c>
      <c r="O308" s="228">
        <f t="shared" si="146"/>
        <v>27.402000000000015</v>
      </c>
      <c r="P308" s="343">
        <f t="shared" si="147"/>
        <v>158.054</v>
      </c>
      <c r="Q308" s="228">
        <f t="shared" si="147"/>
        <v>37.326000000000001</v>
      </c>
      <c r="R308" s="228">
        <f t="shared" si="148"/>
        <v>61.416000000000004</v>
      </c>
      <c r="S308" s="228">
        <f t="shared" si="148"/>
        <v>49.954999999999998</v>
      </c>
      <c r="T308" s="228">
        <f t="shared" si="148"/>
        <v>31.002999999999986</v>
      </c>
      <c r="U308" s="343">
        <f t="shared" si="149"/>
        <v>179.7</v>
      </c>
      <c r="V308" s="228">
        <f t="shared" si="149"/>
        <v>199.93199999999999</v>
      </c>
      <c r="W308" s="228">
        <f t="shared" si="150"/>
        <v>0.52500000000000568</v>
      </c>
      <c r="X308" s="228">
        <f t="shared" si="150"/>
        <v>8.9989999999999952</v>
      </c>
      <c r="Y308" s="228">
        <f t="shared" si="150"/>
        <v>28.308000000000021</v>
      </c>
      <c r="Z308" s="343">
        <f t="shared" si="151"/>
        <v>237.76400000000001</v>
      </c>
      <c r="AA308" s="228">
        <f t="shared" si="151"/>
        <v>54.241999999999997</v>
      </c>
      <c r="AB308" s="228">
        <f t="shared" si="152"/>
        <v>20.116999999999997</v>
      </c>
      <c r="AC308" s="228">
        <f t="shared" si="152"/>
        <v>21.055000000000007</v>
      </c>
      <c r="AD308" s="228">
        <f t="shared" si="152"/>
        <v>97.667999999999992</v>
      </c>
      <c r="AE308" s="343">
        <f t="shared" si="153"/>
        <v>193.08199999999999</v>
      </c>
      <c r="AF308" s="228">
        <f t="shared" si="153"/>
        <v>8.9429999999999996</v>
      </c>
      <c r="AG308" s="228">
        <f t="shared" si="154"/>
        <v>4.9500000000000011</v>
      </c>
      <c r="AH308" s="228">
        <f t="shared" si="154"/>
        <v>39.915999999999997</v>
      </c>
      <c r="AI308" s="228">
        <f t="shared" si="154"/>
        <v>33.733000000000004</v>
      </c>
      <c r="AJ308" s="343">
        <f t="shared" si="155"/>
        <v>87.542000000000002</v>
      </c>
      <c r="AK308" s="228">
        <f t="shared" si="155"/>
        <v>99.256</v>
      </c>
      <c r="AL308" s="322">
        <f t="shared" si="156"/>
        <v>98.965000000000003</v>
      </c>
      <c r="AM308" s="391"/>
      <c r="AN308" s="391"/>
      <c r="AO308" s="344"/>
      <c r="AP308" s="391"/>
      <c r="AQ308" s="391"/>
      <c r="AR308" s="391"/>
      <c r="AS308" s="391"/>
      <c r="AT308" s="344"/>
      <c r="AU308" s="392"/>
      <c r="AV308" s="392"/>
      <c r="AW308" s="392"/>
      <c r="AX308" s="228"/>
    </row>
    <row r="309" spans="1:50" s="5" customFormat="1" x14ac:dyDescent="0.3">
      <c r="A309" s="36" t="str">
        <f t="shared" si="142"/>
        <v>Proceeds from sale of an investment in privately-held companies</v>
      </c>
      <c r="B309" s="228"/>
      <c r="C309" s="343">
        <f t="shared" si="143"/>
        <v>0</v>
      </c>
      <c r="D309" s="343">
        <f t="shared" si="143"/>
        <v>0</v>
      </c>
      <c r="E309" s="343">
        <f t="shared" si="143"/>
        <v>0</v>
      </c>
      <c r="F309" s="343">
        <f t="shared" si="143"/>
        <v>0</v>
      </c>
      <c r="G309" s="228">
        <f t="shared" si="143"/>
        <v>0</v>
      </c>
      <c r="H309" s="228">
        <f t="shared" si="144"/>
        <v>0</v>
      </c>
      <c r="I309" s="228">
        <f t="shared" si="144"/>
        <v>0</v>
      </c>
      <c r="J309" s="228">
        <f t="shared" si="144"/>
        <v>0</v>
      </c>
      <c r="K309" s="343">
        <f t="shared" si="145"/>
        <v>0</v>
      </c>
      <c r="L309" s="228">
        <f t="shared" si="145"/>
        <v>0</v>
      </c>
      <c r="M309" s="228">
        <f t="shared" si="146"/>
        <v>0</v>
      </c>
      <c r="N309" s="228">
        <f t="shared" si="146"/>
        <v>0</v>
      </c>
      <c r="O309" s="228">
        <f t="shared" si="146"/>
        <v>0</v>
      </c>
      <c r="P309" s="343">
        <f t="shared" si="147"/>
        <v>0</v>
      </c>
      <c r="Q309" s="228">
        <f t="shared" si="147"/>
        <v>0</v>
      </c>
      <c r="R309" s="228">
        <f t="shared" si="148"/>
        <v>0</v>
      </c>
      <c r="S309" s="228">
        <f t="shared" si="148"/>
        <v>0</v>
      </c>
      <c r="T309" s="228">
        <f t="shared" si="148"/>
        <v>0</v>
      </c>
      <c r="U309" s="343">
        <f t="shared" si="149"/>
        <v>0</v>
      </c>
      <c r="V309" s="228">
        <f t="shared" si="149"/>
        <v>0</v>
      </c>
      <c r="W309" s="228">
        <f t="shared" si="150"/>
        <v>0</v>
      </c>
      <c r="X309" s="228">
        <f t="shared" si="150"/>
        <v>0</v>
      </c>
      <c r="Y309" s="228">
        <f t="shared" si="150"/>
        <v>0</v>
      </c>
      <c r="Z309" s="343">
        <f t="shared" si="151"/>
        <v>0</v>
      </c>
      <c r="AA309" s="228">
        <f t="shared" si="151"/>
        <v>0</v>
      </c>
      <c r="AB309" s="228">
        <f t="shared" si="152"/>
        <v>0</v>
      </c>
      <c r="AC309" s="228">
        <f t="shared" si="152"/>
        <v>0</v>
      </c>
      <c r="AD309" s="228">
        <f t="shared" si="152"/>
        <v>0</v>
      </c>
      <c r="AE309" s="343">
        <f t="shared" si="153"/>
        <v>0</v>
      </c>
      <c r="AF309" s="228">
        <f t="shared" si="153"/>
        <v>0</v>
      </c>
      <c r="AG309" s="228">
        <f t="shared" si="154"/>
        <v>0</v>
      </c>
      <c r="AH309" s="228">
        <f t="shared" si="154"/>
        <v>0</v>
      </c>
      <c r="AI309" s="228">
        <f t="shared" si="154"/>
        <v>0</v>
      </c>
      <c r="AJ309" s="343">
        <f t="shared" si="155"/>
        <v>0</v>
      </c>
      <c r="AK309" s="228">
        <f t="shared" si="155"/>
        <v>16.887</v>
      </c>
      <c r="AL309" s="322">
        <f t="shared" si="156"/>
        <v>0</v>
      </c>
      <c r="AM309" s="391"/>
      <c r="AN309" s="391"/>
      <c r="AO309" s="344"/>
      <c r="AP309" s="391"/>
      <c r="AQ309" s="391"/>
      <c r="AR309" s="391"/>
      <c r="AS309" s="391"/>
      <c r="AT309" s="344"/>
      <c r="AU309" s="392"/>
      <c r="AV309" s="392"/>
      <c r="AW309" s="392"/>
      <c r="AX309" s="228"/>
    </row>
    <row r="310" spans="1:50" s="5" customFormat="1" x14ac:dyDescent="0.3">
      <c r="A310" s="36" t="str">
        <f t="shared" si="142"/>
        <v>Proceeds from maturities of short-term investments</v>
      </c>
      <c r="B310" s="228"/>
      <c r="C310" s="343">
        <f t="shared" si="143"/>
        <v>20.079999999999998</v>
      </c>
      <c r="D310" s="343">
        <f t="shared" si="143"/>
        <v>50.628</v>
      </c>
      <c r="E310" s="343">
        <f t="shared" si="143"/>
        <v>12.128</v>
      </c>
      <c r="F310" s="343">
        <f t="shared" si="143"/>
        <v>64.683000000000007</v>
      </c>
      <c r="G310" s="228">
        <f t="shared" si="143"/>
        <v>27.497</v>
      </c>
      <c r="H310" s="228">
        <f t="shared" si="144"/>
        <v>22.950000000000003</v>
      </c>
      <c r="I310" s="228">
        <f t="shared" si="144"/>
        <v>13.5</v>
      </c>
      <c r="J310" s="228">
        <f t="shared" si="144"/>
        <v>53.858999999999995</v>
      </c>
      <c r="K310" s="343">
        <f t="shared" si="145"/>
        <v>117.806</v>
      </c>
      <c r="L310" s="228">
        <f t="shared" si="145"/>
        <v>14.48</v>
      </c>
      <c r="M310" s="228">
        <f t="shared" si="146"/>
        <v>23.279999999999998</v>
      </c>
      <c r="N310" s="228">
        <f t="shared" si="146"/>
        <v>2.0410000000000039</v>
      </c>
      <c r="O310" s="228">
        <f t="shared" si="146"/>
        <v>38.765999999999991</v>
      </c>
      <c r="P310" s="343">
        <f t="shared" si="147"/>
        <v>78.566999999999993</v>
      </c>
      <c r="Q310" s="228">
        <f t="shared" si="147"/>
        <v>17.797999999999998</v>
      </c>
      <c r="R310" s="228">
        <f t="shared" si="148"/>
        <v>12.919</v>
      </c>
      <c r="S310" s="228">
        <f t="shared" si="148"/>
        <v>31.427</v>
      </c>
      <c r="T310" s="228">
        <f t="shared" si="148"/>
        <v>67.134999999999991</v>
      </c>
      <c r="U310" s="343">
        <f t="shared" si="149"/>
        <v>129.279</v>
      </c>
      <c r="V310" s="228">
        <f t="shared" si="149"/>
        <v>77.715000000000003</v>
      </c>
      <c r="W310" s="228">
        <f t="shared" si="150"/>
        <v>19.673000000000002</v>
      </c>
      <c r="X310" s="228">
        <f t="shared" si="150"/>
        <v>32.799000000000007</v>
      </c>
      <c r="Y310" s="228">
        <f t="shared" si="150"/>
        <v>19.537999999999982</v>
      </c>
      <c r="Z310" s="343">
        <f t="shared" si="151"/>
        <v>149.72499999999999</v>
      </c>
      <c r="AA310" s="228">
        <f t="shared" si="151"/>
        <v>1.8149999999999999</v>
      </c>
      <c r="AB310" s="228">
        <f t="shared" si="152"/>
        <v>11.775</v>
      </c>
      <c r="AC310" s="228">
        <f t="shared" si="152"/>
        <v>17.417999999999999</v>
      </c>
      <c r="AD310" s="228">
        <f t="shared" si="152"/>
        <v>28.120999999999999</v>
      </c>
      <c r="AE310" s="343">
        <f t="shared" si="153"/>
        <v>59.128999999999998</v>
      </c>
      <c r="AF310" s="228">
        <f t="shared" si="153"/>
        <v>28.103999999999999</v>
      </c>
      <c r="AG310" s="228">
        <f t="shared" si="154"/>
        <v>34.292000000000002</v>
      </c>
      <c r="AH310" s="228">
        <f t="shared" si="154"/>
        <v>40.539000000000001</v>
      </c>
      <c r="AI310" s="228">
        <f t="shared" si="154"/>
        <v>40.151999999999987</v>
      </c>
      <c r="AJ310" s="343">
        <f t="shared" si="155"/>
        <v>143.08699999999999</v>
      </c>
      <c r="AK310" s="228">
        <f t="shared" si="155"/>
        <v>0</v>
      </c>
      <c r="AL310" s="322">
        <f t="shared" si="156"/>
        <v>0</v>
      </c>
      <c r="AM310" s="391"/>
      <c r="AN310" s="391"/>
      <c r="AO310" s="344"/>
      <c r="AP310" s="391"/>
      <c r="AQ310" s="391"/>
      <c r="AR310" s="391"/>
      <c r="AS310" s="391"/>
      <c r="AT310" s="344"/>
      <c r="AU310" s="392"/>
      <c r="AV310" s="392"/>
      <c r="AW310" s="392"/>
      <c r="AX310" s="228"/>
    </row>
    <row r="311" spans="1:50" s="5" customFormat="1" x14ac:dyDescent="0.3">
      <c r="A311" s="36" t="str">
        <f t="shared" si="142"/>
        <v>Purchase of property and equipment</v>
      </c>
      <c r="B311" s="228"/>
      <c r="C311" s="343">
        <f t="shared" si="143"/>
        <v>-3.6619999999999999</v>
      </c>
      <c r="D311" s="343">
        <f t="shared" si="143"/>
        <v>-11.395</v>
      </c>
      <c r="E311" s="343">
        <f t="shared" si="143"/>
        <v>-24.68</v>
      </c>
      <c r="F311" s="343">
        <f t="shared" si="143"/>
        <v>-30.544</v>
      </c>
      <c r="G311" s="228">
        <f t="shared" si="143"/>
        <v>-13.941000000000001</v>
      </c>
      <c r="H311" s="228">
        <f t="shared" si="144"/>
        <v>-5.0080000000000009</v>
      </c>
      <c r="I311" s="228">
        <f t="shared" si="144"/>
        <v>-5.1009999999999991</v>
      </c>
      <c r="J311" s="228">
        <f t="shared" si="144"/>
        <v>-6.8610000000000007</v>
      </c>
      <c r="K311" s="343">
        <f t="shared" si="145"/>
        <v>-30.911000000000001</v>
      </c>
      <c r="L311" s="228">
        <f t="shared" si="145"/>
        <v>-5.8179999999999996</v>
      </c>
      <c r="M311" s="228">
        <f t="shared" si="146"/>
        <v>-4.447000000000001</v>
      </c>
      <c r="N311" s="228">
        <f t="shared" si="146"/>
        <v>-10.966000000000001</v>
      </c>
      <c r="O311" s="228">
        <f t="shared" si="146"/>
        <v>-8.6929999999999978</v>
      </c>
      <c r="P311" s="343">
        <f t="shared" si="147"/>
        <v>-29.923999999999999</v>
      </c>
      <c r="Q311" s="228">
        <f t="shared" si="147"/>
        <v>-9.5210000000000008</v>
      </c>
      <c r="R311" s="228">
        <f t="shared" si="148"/>
        <v>-10.891999999999999</v>
      </c>
      <c r="S311" s="228">
        <f t="shared" si="148"/>
        <v>-16.559000000000001</v>
      </c>
      <c r="T311" s="228">
        <f t="shared" si="148"/>
        <v>-11.628999999999998</v>
      </c>
      <c r="U311" s="343">
        <f t="shared" si="149"/>
        <v>-48.600999999999999</v>
      </c>
      <c r="V311" s="228">
        <f t="shared" si="149"/>
        <v>-8.2829999999999995</v>
      </c>
      <c r="W311" s="228">
        <f t="shared" si="150"/>
        <v>-7.4720000000000013</v>
      </c>
      <c r="X311" s="228">
        <f t="shared" si="150"/>
        <v>-16.992999999999995</v>
      </c>
      <c r="Y311" s="228">
        <f t="shared" si="150"/>
        <v>-10.228000000000002</v>
      </c>
      <c r="Z311" s="343">
        <f t="shared" si="151"/>
        <v>-42.975999999999999</v>
      </c>
      <c r="AA311" s="228">
        <f t="shared" si="151"/>
        <v>-15.911</v>
      </c>
      <c r="AB311" s="228">
        <f t="shared" si="152"/>
        <v>-11.209000000000001</v>
      </c>
      <c r="AC311" s="228">
        <f t="shared" si="152"/>
        <v>-8.1230000000000011</v>
      </c>
      <c r="AD311" s="228">
        <f t="shared" si="152"/>
        <v>-6.1329999999999956</v>
      </c>
      <c r="AE311" s="343">
        <f t="shared" si="153"/>
        <v>-41.375999999999998</v>
      </c>
      <c r="AF311" s="228">
        <f t="shared" si="153"/>
        <v>-7.226</v>
      </c>
      <c r="AG311" s="228">
        <f t="shared" si="154"/>
        <v>-12.852</v>
      </c>
      <c r="AH311" s="228">
        <f t="shared" si="154"/>
        <v>-8.9140000000000015</v>
      </c>
      <c r="AI311" s="228">
        <f t="shared" si="154"/>
        <v>-7.3460000000000001</v>
      </c>
      <c r="AJ311" s="343">
        <f t="shared" si="155"/>
        <v>-36.338000000000001</v>
      </c>
      <c r="AK311" s="228">
        <f t="shared" si="155"/>
        <v>-7.6859999999999999</v>
      </c>
      <c r="AL311" s="322">
        <f t="shared" si="156"/>
        <v>-7.5220000000000002</v>
      </c>
      <c r="AM311" s="93"/>
      <c r="AN311" s="93"/>
      <c r="AO311" s="344"/>
      <c r="AP311" s="93"/>
      <c r="AQ311" s="93"/>
      <c r="AR311" s="93"/>
      <c r="AS311" s="93"/>
      <c r="AT311" s="344"/>
      <c r="AU311" s="344"/>
      <c r="AV311" s="344"/>
      <c r="AW311" s="344"/>
      <c r="AX311" s="228"/>
    </row>
    <row r="312" spans="1:50" s="5" customFormat="1" x14ac:dyDescent="0.3">
      <c r="A312" s="36" t="str">
        <f t="shared" si="142"/>
        <v>Restricted cash</v>
      </c>
      <c r="B312" s="228"/>
      <c r="C312" s="343">
        <f t="shared" si="143"/>
        <v>-0.88</v>
      </c>
      <c r="D312" s="343">
        <f t="shared" si="143"/>
        <v>0</v>
      </c>
      <c r="E312" s="343">
        <f t="shared" si="143"/>
        <v>-1.7</v>
      </c>
      <c r="F312" s="343">
        <f t="shared" si="143"/>
        <v>1.327</v>
      </c>
      <c r="G312" s="228">
        <f t="shared" si="143"/>
        <v>0</v>
      </c>
      <c r="H312" s="228">
        <f t="shared" si="144"/>
        <v>-47.000999999999998</v>
      </c>
      <c r="I312" s="228">
        <f t="shared" si="144"/>
        <v>43.058</v>
      </c>
      <c r="J312" s="228">
        <f t="shared" si="144"/>
        <v>7.4109999999999996</v>
      </c>
      <c r="K312" s="343">
        <f t="shared" si="145"/>
        <v>3.468</v>
      </c>
      <c r="L312" s="228">
        <f t="shared" si="145"/>
        <v>-0.10299999999999999</v>
      </c>
      <c r="M312" s="228">
        <f t="shared" si="146"/>
        <v>0</v>
      </c>
      <c r="N312" s="228">
        <f t="shared" si="146"/>
        <v>0</v>
      </c>
      <c r="O312" s="228">
        <f t="shared" si="146"/>
        <v>0.10299999999999999</v>
      </c>
      <c r="P312" s="343">
        <f t="shared" si="147"/>
        <v>0</v>
      </c>
      <c r="Q312" s="228">
        <f t="shared" si="147"/>
        <v>0</v>
      </c>
      <c r="R312" s="228">
        <f t="shared" si="148"/>
        <v>0</v>
      </c>
      <c r="S312" s="228">
        <f t="shared" si="148"/>
        <v>3.6040000000000001</v>
      </c>
      <c r="T312" s="228">
        <f t="shared" si="148"/>
        <v>0</v>
      </c>
      <c r="U312" s="343">
        <f t="shared" si="149"/>
        <v>3.6040000000000001</v>
      </c>
      <c r="V312" s="228">
        <f t="shared" si="149"/>
        <v>0</v>
      </c>
      <c r="W312" s="228">
        <f t="shared" si="150"/>
        <v>0</v>
      </c>
      <c r="X312" s="228">
        <f t="shared" si="150"/>
        <v>0</v>
      </c>
      <c r="Y312" s="228">
        <f t="shared" si="150"/>
        <v>0</v>
      </c>
      <c r="Z312" s="343">
        <f t="shared" si="151"/>
        <v>0</v>
      </c>
      <c r="AA312" s="228">
        <f t="shared" si="151"/>
        <v>0</v>
      </c>
      <c r="AB312" s="228">
        <f t="shared" si="152"/>
        <v>0</v>
      </c>
      <c r="AC312" s="228">
        <f t="shared" si="152"/>
        <v>0</v>
      </c>
      <c r="AD312" s="228">
        <f t="shared" si="152"/>
        <v>0</v>
      </c>
      <c r="AE312" s="343">
        <f t="shared" si="153"/>
        <v>0</v>
      </c>
      <c r="AF312" s="228">
        <f t="shared" si="153"/>
        <v>0</v>
      </c>
      <c r="AG312" s="228">
        <f t="shared" si="154"/>
        <v>0</v>
      </c>
      <c r="AH312" s="228">
        <f t="shared" si="154"/>
        <v>0</v>
      </c>
      <c r="AI312" s="228">
        <f t="shared" si="154"/>
        <v>0</v>
      </c>
      <c r="AJ312" s="343">
        <f t="shared" si="155"/>
        <v>0</v>
      </c>
      <c r="AK312" s="228">
        <f t="shared" si="155"/>
        <v>0</v>
      </c>
      <c r="AL312" s="322">
        <f t="shared" si="156"/>
        <v>0</v>
      </c>
      <c r="AM312" s="391"/>
      <c r="AN312" s="391"/>
      <c r="AO312" s="344"/>
      <c r="AP312" s="391"/>
      <c r="AQ312" s="391"/>
      <c r="AR312" s="391"/>
      <c r="AS312" s="391"/>
      <c r="AT312" s="344"/>
      <c r="AU312" s="392"/>
      <c r="AV312" s="392"/>
      <c r="AW312" s="392"/>
      <c r="AX312" s="228"/>
    </row>
    <row r="313" spans="1:50" s="5" customFormat="1" x14ac:dyDescent="0.3">
      <c r="A313" s="36" t="str">
        <f t="shared" si="142"/>
        <v>Purchase of intangible assets</v>
      </c>
      <c r="B313" s="228"/>
      <c r="C313" s="343">
        <f t="shared" si="143"/>
        <v>0</v>
      </c>
      <c r="D313" s="343">
        <f t="shared" si="143"/>
        <v>0</v>
      </c>
      <c r="E313" s="343">
        <f t="shared" si="143"/>
        <v>0</v>
      </c>
      <c r="F313" s="343">
        <f t="shared" si="143"/>
        <v>0</v>
      </c>
      <c r="G313" s="228">
        <f t="shared" si="143"/>
        <v>-6.327</v>
      </c>
      <c r="H313" s="228">
        <f t="shared" si="144"/>
        <v>0</v>
      </c>
      <c r="I313" s="228">
        <f t="shared" si="144"/>
        <v>-0.11300000000000043</v>
      </c>
      <c r="J313" s="228">
        <f t="shared" si="144"/>
        <v>-1</v>
      </c>
      <c r="K313" s="343">
        <f t="shared" si="145"/>
        <v>-7.44</v>
      </c>
      <c r="L313" s="228">
        <f t="shared" si="145"/>
        <v>0</v>
      </c>
      <c r="M313" s="228">
        <f t="shared" si="146"/>
        <v>0</v>
      </c>
      <c r="N313" s="228">
        <f t="shared" si="146"/>
        <v>0</v>
      </c>
      <c r="O313" s="228">
        <f t="shared" si="146"/>
        <v>0</v>
      </c>
      <c r="P313" s="343">
        <f t="shared" si="147"/>
        <v>0</v>
      </c>
      <c r="Q313" s="228">
        <f t="shared" si="147"/>
        <v>0</v>
      </c>
      <c r="R313" s="228">
        <f t="shared" si="148"/>
        <v>0</v>
      </c>
      <c r="S313" s="228">
        <f t="shared" si="148"/>
        <v>-0.21</v>
      </c>
      <c r="T313" s="228">
        <f t="shared" si="148"/>
        <v>0</v>
      </c>
      <c r="U313" s="343">
        <f t="shared" si="149"/>
        <v>-0.21</v>
      </c>
      <c r="V313" s="228">
        <f t="shared" si="149"/>
        <v>0</v>
      </c>
      <c r="W313" s="228">
        <f t="shared" si="150"/>
        <v>0</v>
      </c>
      <c r="X313" s="228">
        <f t="shared" si="150"/>
        <v>-6.06</v>
      </c>
      <c r="Y313" s="228">
        <f t="shared" si="150"/>
        <v>-1.9020000000000001</v>
      </c>
      <c r="Z313" s="343">
        <f t="shared" si="151"/>
        <v>-7.9619999999999997</v>
      </c>
      <c r="AA313" s="228">
        <f t="shared" si="151"/>
        <v>-1.115</v>
      </c>
      <c r="AB313" s="228">
        <f t="shared" si="152"/>
        <v>-0.53200000000000003</v>
      </c>
      <c r="AC313" s="228">
        <f t="shared" si="152"/>
        <v>-0.18900000000000006</v>
      </c>
      <c r="AD313" s="228">
        <f t="shared" si="152"/>
        <v>-1.0069999999999999</v>
      </c>
      <c r="AE313" s="343">
        <f t="shared" si="153"/>
        <v>-2.843</v>
      </c>
      <c r="AF313" s="228">
        <f t="shared" si="153"/>
        <v>-6.3150000000000004</v>
      </c>
      <c r="AG313" s="228">
        <f t="shared" si="154"/>
        <v>-6.7999999999999616E-2</v>
      </c>
      <c r="AH313" s="228">
        <f t="shared" si="154"/>
        <v>-0.12899999999999956</v>
      </c>
      <c r="AI313" s="228">
        <f t="shared" si="154"/>
        <v>-2.3000000000000576E-2</v>
      </c>
      <c r="AJ313" s="343">
        <f t="shared" si="155"/>
        <v>-6.5350000000000001</v>
      </c>
      <c r="AK313" s="228">
        <f t="shared" si="155"/>
        <v>-1.6779999999999999</v>
      </c>
      <c r="AL313" s="322">
        <f t="shared" si="156"/>
        <v>-1.1720000000000002</v>
      </c>
      <c r="AM313" s="391"/>
      <c r="AN313" s="391"/>
      <c r="AO313" s="344"/>
      <c r="AP313" s="391"/>
      <c r="AQ313" s="391"/>
      <c r="AR313" s="391"/>
      <c r="AS313" s="391"/>
      <c r="AT313" s="344"/>
      <c r="AU313" s="392"/>
      <c r="AV313" s="392"/>
      <c r="AW313" s="392"/>
      <c r="AX313" s="228"/>
    </row>
    <row r="314" spans="1:50" s="5" customFormat="1" x14ac:dyDescent="0.3">
      <c r="A314" s="36" t="str">
        <f t="shared" si="142"/>
        <v>Purchase of equity investments in private companies</v>
      </c>
      <c r="B314" s="228"/>
      <c r="C314" s="343">
        <f t="shared" si="143"/>
        <v>-3.5</v>
      </c>
      <c r="D314" s="343">
        <f t="shared" si="143"/>
        <v>-0.13500000000000001</v>
      </c>
      <c r="E314" s="343">
        <f t="shared" si="143"/>
        <v>0</v>
      </c>
      <c r="F314" s="343">
        <f t="shared" si="143"/>
        <v>-1.4239999999999999</v>
      </c>
      <c r="G314" s="228">
        <f t="shared" si="143"/>
        <v>-3</v>
      </c>
      <c r="H314" s="228">
        <f t="shared" si="144"/>
        <v>0</v>
      </c>
      <c r="I314" s="228">
        <f t="shared" si="144"/>
        <v>-0.12300000000000022</v>
      </c>
      <c r="J314" s="228">
        <f t="shared" si="144"/>
        <v>0</v>
      </c>
      <c r="K314" s="343">
        <f t="shared" si="145"/>
        <v>-3.1230000000000002</v>
      </c>
      <c r="L314" s="228">
        <f t="shared" si="145"/>
        <v>-1.4379999999999999</v>
      </c>
      <c r="M314" s="228">
        <f t="shared" si="146"/>
        <v>0</v>
      </c>
      <c r="N314" s="228">
        <f t="shared" si="146"/>
        <v>-2.2530000000000001</v>
      </c>
      <c r="O314" s="228">
        <f t="shared" si="146"/>
        <v>0.23599999999999977</v>
      </c>
      <c r="P314" s="343">
        <f t="shared" si="147"/>
        <v>-3.4550000000000001</v>
      </c>
      <c r="Q314" s="228">
        <f t="shared" si="147"/>
        <v>0</v>
      </c>
      <c r="R314" s="228">
        <f t="shared" si="148"/>
        <v>0</v>
      </c>
      <c r="S314" s="228">
        <f t="shared" si="148"/>
        <v>0</v>
      </c>
      <c r="T314" s="228">
        <f t="shared" si="148"/>
        <v>0</v>
      </c>
      <c r="U314" s="343">
        <f t="shared" si="149"/>
        <v>0</v>
      </c>
      <c r="V314" s="228">
        <f t="shared" si="149"/>
        <v>-0.107</v>
      </c>
      <c r="W314" s="228">
        <f t="shared" si="150"/>
        <v>0</v>
      </c>
      <c r="X314" s="228">
        <f t="shared" si="150"/>
        <v>-1.177</v>
      </c>
      <c r="Y314" s="228">
        <f t="shared" si="150"/>
        <v>-3.6980000000000004</v>
      </c>
      <c r="Z314" s="343">
        <f t="shared" si="151"/>
        <v>-4.9820000000000002</v>
      </c>
      <c r="AA314" s="228">
        <f t="shared" si="151"/>
        <v>-11</v>
      </c>
      <c r="AB314" s="228">
        <f t="shared" si="152"/>
        <v>0</v>
      </c>
      <c r="AC314" s="228">
        <f t="shared" si="152"/>
        <v>-2.5</v>
      </c>
      <c r="AD314" s="228">
        <f t="shared" si="152"/>
        <v>-1.5210000000000008</v>
      </c>
      <c r="AE314" s="343">
        <f t="shared" si="153"/>
        <v>-15.021000000000001</v>
      </c>
      <c r="AF314" s="228">
        <f t="shared" si="153"/>
        <v>-2.5</v>
      </c>
      <c r="AG314" s="228">
        <f t="shared" si="154"/>
        <v>-3.5</v>
      </c>
      <c r="AH314" s="228">
        <f t="shared" si="154"/>
        <v>-1.5</v>
      </c>
      <c r="AI314" s="228">
        <f t="shared" si="154"/>
        <v>-5</v>
      </c>
      <c r="AJ314" s="343">
        <f t="shared" si="155"/>
        <v>-12.5</v>
      </c>
      <c r="AK314" s="228">
        <f t="shared" si="155"/>
        <v>0</v>
      </c>
      <c r="AL314" s="322">
        <f t="shared" si="156"/>
        <v>-4.2469999999999999</v>
      </c>
      <c r="AM314" s="391"/>
      <c r="AN314" s="391"/>
      <c r="AO314" s="344"/>
      <c r="AP314" s="391"/>
      <c r="AQ314" s="391"/>
      <c r="AR314" s="391"/>
      <c r="AS314" s="391"/>
      <c r="AT314" s="344"/>
      <c r="AU314" s="392"/>
      <c r="AV314" s="392"/>
      <c r="AW314" s="392"/>
      <c r="AX314" s="228"/>
    </row>
    <row r="315" spans="1:50" s="5" customFormat="1" x14ac:dyDescent="0.3">
      <c r="A315" s="36" t="str">
        <f t="shared" si="142"/>
        <v>Divestiture/ sale of PP&amp;E</v>
      </c>
      <c r="B315" s="228"/>
      <c r="C315" s="343">
        <f t="shared" si="143"/>
        <v>0</v>
      </c>
      <c r="D315" s="343">
        <f t="shared" si="143"/>
        <v>0</v>
      </c>
      <c r="E315" s="343">
        <f t="shared" si="143"/>
        <v>0</v>
      </c>
      <c r="F315" s="343">
        <f t="shared" si="143"/>
        <v>0</v>
      </c>
      <c r="G315" s="228">
        <f t="shared" si="143"/>
        <v>0</v>
      </c>
      <c r="H315" s="228">
        <f t="shared" si="144"/>
        <v>0</v>
      </c>
      <c r="I315" s="228">
        <f t="shared" si="144"/>
        <v>0</v>
      </c>
      <c r="J315" s="228">
        <f t="shared" si="144"/>
        <v>0</v>
      </c>
      <c r="K315" s="343">
        <f t="shared" si="145"/>
        <v>0</v>
      </c>
      <c r="L315" s="228">
        <f t="shared" si="145"/>
        <v>0</v>
      </c>
      <c r="M315" s="228">
        <f t="shared" si="146"/>
        <v>0</v>
      </c>
      <c r="N315" s="228">
        <f t="shared" si="146"/>
        <v>0</v>
      </c>
      <c r="O315" s="228">
        <f t="shared" si="146"/>
        <v>0</v>
      </c>
      <c r="P315" s="343">
        <f t="shared" si="147"/>
        <v>0</v>
      </c>
      <c r="Q315" s="228">
        <f t="shared" si="147"/>
        <v>0</v>
      </c>
      <c r="R315" s="228">
        <f t="shared" si="148"/>
        <v>0</v>
      </c>
      <c r="S315" s="228">
        <f t="shared" si="148"/>
        <v>0</v>
      </c>
      <c r="T315" s="228">
        <f t="shared" si="148"/>
        <v>0</v>
      </c>
      <c r="U315" s="343">
        <f t="shared" si="149"/>
        <v>0</v>
      </c>
      <c r="V315" s="228">
        <f t="shared" si="149"/>
        <v>0</v>
      </c>
      <c r="W315" s="228">
        <f t="shared" si="150"/>
        <v>0</v>
      </c>
      <c r="X315" s="228">
        <f t="shared" si="150"/>
        <v>0</v>
      </c>
      <c r="Y315" s="228">
        <f t="shared" si="150"/>
        <v>0</v>
      </c>
      <c r="Z315" s="343">
        <f t="shared" si="151"/>
        <v>0</v>
      </c>
      <c r="AA315" s="228">
        <f t="shared" si="151"/>
        <v>0</v>
      </c>
      <c r="AB315" s="228">
        <f t="shared" si="152"/>
        <v>0</v>
      </c>
      <c r="AC315" s="228">
        <f t="shared" si="152"/>
        <v>0</v>
      </c>
      <c r="AD315" s="228">
        <f t="shared" si="152"/>
        <v>0</v>
      </c>
      <c r="AE315" s="343">
        <f t="shared" si="153"/>
        <v>0</v>
      </c>
      <c r="AF315" s="228">
        <f t="shared" si="153"/>
        <v>0</v>
      </c>
      <c r="AG315" s="228">
        <f t="shared" si="154"/>
        <v>3.2389999999999999</v>
      </c>
      <c r="AH315" s="228">
        <f t="shared" si="154"/>
        <v>0</v>
      </c>
      <c r="AI315" s="228">
        <f t="shared" si="154"/>
        <v>0</v>
      </c>
      <c r="AJ315" s="343">
        <f t="shared" si="155"/>
        <v>3.2389999999999999</v>
      </c>
      <c r="AK315" s="228">
        <f t="shared" si="155"/>
        <v>0</v>
      </c>
      <c r="AL315" s="322">
        <f t="shared" si="156"/>
        <v>0</v>
      </c>
      <c r="AM315" s="93"/>
      <c r="AN315" s="93"/>
      <c r="AO315" s="344"/>
      <c r="AP315" s="93"/>
      <c r="AQ315" s="93"/>
      <c r="AR315" s="93"/>
      <c r="AS315" s="93"/>
      <c r="AT315" s="344"/>
      <c r="AU315" s="344"/>
      <c r="AV315" s="344"/>
      <c r="AW315" s="344"/>
      <c r="AX315" s="228"/>
    </row>
    <row r="316" spans="1:50" s="5" customFormat="1" x14ac:dyDescent="0.3">
      <c r="A316" s="36" t="str">
        <f t="shared" si="142"/>
        <v>Acquisition net of cash acquired</v>
      </c>
      <c r="B316" s="228"/>
      <c r="C316" s="343">
        <f t="shared" si="143"/>
        <v>0</v>
      </c>
      <c r="D316" s="343">
        <f t="shared" si="143"/>
        <v>0</v>
      </c>
      <c r="E316" s="343">
        <f t="shared" si="143"/>
        <v>-203.70400000000001</v>
      </c>
      <c r="F316" s="343">
        <f t="shared" si="143"/>
        <v>0</v>
      </c>
      <c r="G316" s="228">
        <f t="shared" si="143"/>
        <v>0</v>
      </c>
      <c r="H316" s="228">
        <f t="shared" si="144"/>
        <v>0</v>
      </c>
      <c r="I316" s="228">
        <f t="shared" si="144"/>
        <v>-123.51900000000001</v>
      </c>
      <c r="J316" s="228">
        <f t="shared" si="144"/>
        <v>0</v>
      </c>
      <c r="K316" s="343">
        <f t="shared" si="145"/>
        <v>-123.51900000000001</v>
      </c>
      <c r="L316" s="228">
        <f t="shared" si="145"/>
        <v>0</v>
      </c>
      <c r="M316" s="228">
        <f t="shared" si="146"/>
        <v>0</v>
      </c>
      <c r="N316" s="228">
        <f t="shared" si="146"/>
        <v>0</v>
      </c>
      <c r="O316" s="228">
        <f t="shared" si="146"/>
        <v>-2.2530000000000001</v>
      </c>
      <c r="P316" s="343">
        <f t="shared" si="147"/>
        <v>-2.2530000000000001</v>
      </c>
      <c r="Q316" s="228">
        <f t="shared" si="147"/>
        <v>0</v>
      </c>
      <c r="R316" s="228">
        <f t="shared" si="148"/>
        <v>0</v>
      </c>
      <c r="S316" s="228">
        <f t="shared" si="148"/>
        <v>0</v>
      </c>
      <c r="T316" s="228">
        <f t="shared" si="148"/>
        <v>0</v>
      </c>
      <c r="U316" s="343">
        <f t="shared" si="149"/>
        <v>0</v>
      </c>
      <c r="V316" s="228">
        <f t="shared" si="149"/>
        <v>-681.18899999999996</v>
      </c>
      <c r="W316" s="228">
        <f t="shared" si="150"/>
        <v>-17.312000000000012</v>
      </c>
      <c r="X316" s="228">
        <f t="shared" si="150"/>
        <v>0</v>
      </c>
      <c r="Y316" s="228">
        <f t="shared" si="150"/>
        <v>4.8089999999999691</v>
      </c>
      <c r="Z316" s="343">
        <f t="shared" si="151"/>
        <v>-693.69200000000001</v>
      </c>
      <c r="AA316" s="228">
        <f t="shared" si="151"/>
        <v>0</v>
      </c>
      <c r="AB316" s="228">
        <f t="shared" si="152"/>
        <v>0</v>
      </c>
      <c r="AC316" s="228">
        <f t="shared" si="152"/>
        <v>-0.872</v>
      </c>
      <c r="AD316" s="228">
        <f t="shared" si="152"/>
        <v>0</v>
      </c>
      <c r="AE316" s="343">
        <f t="shared" si="153"/>
        <v>-0.872</v>
      </c>
      <c r="AF316" s="228">
        <f t="shared" si="153"/>
        <v>0</v>
      </c>
      <c r="AG316" s="228">
        <f t="shared" si="154"/>
        <v>-7.1289999999999996</v>
      </c>
      <c r="AH316" s="228">
        <f t="shared" si="154"/>
        <v>-0.25</v>
      </c>
      <c r="AI316" s="228">
        <f t="shared" si="154"/>
        <v>0</v>
      </c>
      <c r="AJ316" s="343">
        <f t="shared" si="155"/>
        <v>-7.3789999999999996</v>
      </c>
      <c r="AK316" s="228">
        <f t="shared" si="155"/>
        <v>0</v>
      </c>
      <c r="AL316" s="322">
        <f t="shared" si="156"/>
        <v>0</v>
      </c>
      <c r="AM316" s="93"/>
      <c r="AN316" s="93"/>
      <c r="AO316" s="344"/>
      <c r="AP316" s="93"/>
      <c r="AQ316" s="93"/>
      <c r="AR316" s="93"/>
      <c r="AS316" s="93"/>
      <c r="AT316" s="344"/>
      <c r="AU316" s="344"/>
      <c r="AV316" s="344"/>
      <c r="AW316" s="344"/>
      <c r="AX316" s="228"/>
    </row>
    <row r="317" spans="1:50" s="9" customFormat="1" x14ac:dyDescent="0.3">
      <c r="A317" s="347" t="str">
        <f t="shared" si="142"/>
        <v>Net CFI</v>
      </c>
      <c r="B317" s="377"/>
      <c r="C317" s="349">
        <f t="shared" ref="C317:AL317" si="157">SUM(C306:C316)</f>
        <v>-103.73100000000001</v>
      </c>
      <c r="D317" s="349">
        <f t="shared" si="157"/>
        <v>13.071000000000014</v>
      </c>
      <c r="E317" s="349">
        <f t="shared" si="157"/>
        <v>-114.49900000000001</v>
      </c>
      <c r="F317" s="349">
        <f t="shared" si="157"/>
        <v>-280.87899999999996</v>
      </c>
      <c r="G317" s="350">
        <f t="shared" si="157"/>
        <v>9.4849999999999977</v>
      </c>
      <c r="H317" s="350">
        <f t="shared" si="157"/>
        <v>-13.210999999999991</v>
      </c>
      <c r="I317" s="350">
        <f t="shared" si="157"/>
        <v>-112.134</v>
      </c>
      <c r="J317" s="350">
        <f t="shared" si="157"/>
        <v>-6.0880000000000205</v>
      </c>
      <c r="K317" s="349">
        <f t="shared" si="157"/>
        <v>-121.94800000000001</v>
      </c>
      <c r="L317" s="350">
        <f t="shared" si="157"/>
        <v>-32.078000000000003</v>
      </c>
      <c r="M317" s="350">
        <f t="shared" si="157"/>
        <v>-11.444000000000004</v>
      </c>
      <c r="N317" s="350">
        <f t="shared" si="157"/>
        <v>-14.465000000000018</v>
      </c>
      <c r="O317" s="350">
        <f t="shared" si="157"/>
        <v>-49.724999999999966</v>
      </c>
      <c r="P317" s="349">
        <f t="shared" si="157"/>
        <v>-107.71199999999996</v>
      </c>
      <c r="Q317" s="350">
        <f t="shared" si="157"/>
        <v>-42.376000000000019</v>
      </c>
      <c r="R317" s="350">
        <f t="shared" si="157"/>
        <v>-37.119999999999983</v>
      </c>
      <c r="S317" s="350">
        <f t="shared" si="157"/>
        <v>36.737000000000002</v>
      </c>
      <c r="T317" s="350">
        <f t="shared" si="157"/>
        <v>86.328999999999979</v>
      </c>
      <c r="U317" s="349">
        <f t="shared" si="157"/>
        <v>43.569999999999986</v>
      </c>
      <c r="V317" s="350">
        <f t="shared" si="157"/>
        <v>-477.06599999999992</v>
      </c>
      <c r="W317" s="350">
        <f t="shared" si="157"/>
        <v>-93.48399999999998</v>
      </c>
      <c r="X317" s="350">
        <f t="shared" si="157"/>
        <v>-47.907000000000004</v>
      </c>
      <c r="Y317" s="350">
        <f t="shared" si="157"/>
        <v>-45.696000000000041</v>
      </c>
      <c r="Z317" s="349">
        <f t="shared" si="157"/>
        <v>-664.15300000000002</v>
      </c>
      <c r="AA317" s="350">
        <f t="shared" si="157"/>
        <v>-22.585999999999999</v>
      </c>
      <c r="AB317" s="350">
        <f t="shared" si="157"/>
        <v>1.0069999999999979</v>
      </c>
      <c r="AC317" s="350">
        <f t="shared" si="157"/>
        <v>-44.293999999999976</v>
      </c>
      <c r="AD317" s="350">
        <f t="shared" si="157"/>
        <v>67.914999999999978</v>
      </c>
      <c r="AE317" s="349">
        <f t="shared" si="157"/>
        <v>2.0419999999999767</v>
      </c>
      <c r="AF317" s="350">
        <f t="shared" si="157"/>
        <v>-0.21000000000000352</v>
      </c>
      <c r="AG317" s="350">
        <f t="shared" si="157"/>
        <v>-42.95</v>
      </c>
      <c r="AH317" s="350">
        <f t="shared" si="157"/>
        <v>-76.385000000000005</v>
      </c>
      <c r="AI317" s="350">
        <f t="shared" si="157"/>
        <v>-106.102</v>
      </c>
      <c r="AJ317" s="349">
        <f t="shared" si="157"/>
        <v>-225.64699999999999</v>
      </c>
      <c r="AK317" s="350">
        <f t="shared" si="157"/>
        <v>-84.51400000000001</v>
      </c>
      <c r="AL317" s="353">
        <f t="shared" si="157"/>
        <v>-87.45999999999998</v>
      </c>
      <c r="AM317" s="351"/>
      <c r="AN317" s="351"/>
      <c r="AO317" s="352"/>
      <c r="AP317" s="351"/>
      <c r="AQ317" s="351"/>
      <c r="AR317" s="351"/>
      <c r="AS317" s="351"/>
      <c r="AT317" s="352"/>
      <c r="AU317" s="352"/>
      <c r="AV317" s="352"/>
      <c r="AW317" s="352"/>
      <c r="AX317" s="22"/>
    </row>
    <row r="318" spans="1:50" s="9" customFormat="1" x14ac:dyDescent="0.3">
      <c r="A318" s="35"/>
      <c r="B318" s="103"/>
      <c r="C318" s="4"/>
      <c r="D318" s="4"/>
      <c r="E318" s="4"/>
      <c r="F318" s="4"/>
      <c r="G318" s="22"/>
      <c r="H318" s="22"/>
      <c r="I318" s="22"/>
      <c r="J318" s="22"/>
      <c r="K318" s="4"/>
      <c r="L318" s="22"/>
      <c r="M318" s="22"/>
      <c r="N318" s="22"/>
      <c r="O318" s="22"/>
      <c r="P318" s="4"/>
      <c r="Q318" s="22"/>
      <c r="R318" s="22"/>
      <c r="S318" s="22"/>
      <c r="T318" s="22"/>
      <c r="U318" s="4"/>
      <c r="V318" s="22"/>
      <c r="W318" s="22"/>
      <c r="X318" s="22"/>
      <c r="Y318" s="22"/>
      <c r="Z318" s="4"/>
      <c r="AA318" s="22"/>
      <c r="AB318" s="22"/>
      <c r="AC318" s="22"/>
      <c r="AD318" s="22"/>
      <c r="AE318" s="4"/>
      <c r="AF318" s="22"/>
      <c r="AG318" s="22"/>
      <c r="AH318" s="22"/>
      <c r="AI318" s="22"/>
      <c r="AJ318" s="4"/>
      <c r="AK318" s="22"/>
      <c r="AL318" s="308"/>
      <c r="AM318" s="72"/>
      <c r="AN318" s="72"/>
      <c r="AO318" s="8"/>
      <c r="AP318" s="72"/>
      <c r="AQ318" s="72"/>
      <c r="AR318" s="72"/>
      <c r="AS318" s="72"/>
      <c r="AT318" s="8"/>
      <c r="AU318" s="8"/>
      <c r="AV318" s="8"/>
      <c r="AW318" s="8"/>
      <c r="AX318" s="22"/>
    </row>
    <row r="319" spans="1:50" s="9" customFormat="1" x14ac:dyDescent="0.3">
      <c r="A319" s="35" t="str">
        <f t="shared" ref="A319:A328" si="158">A269</f>
        <v>CFF</v>
      </c>
      <c r="B319" s="103"/>
      <c r="C319" s="4"/>
      <c r="D319" s="4"/>
      <c r="E319" s="4"/>
      <c r="F319" s="4"/>
      <c r="G319" s="22"/>
      <c r="H319" s="22"/>
      <c r="I319" s="22"/>
      <c r="J319" s="22"/>
      <c r="K319" s="4"/>
      <c r="L319" s="22"/>
      <c r="M319" s="22"/>
      <c r="N319" s="22"/>
      <c r="O319" s="22"/>
      <c r="P319" s="4"/>
      <c r="Q319" s="22"/>
      <c r="R319" s="22"/>
      <c r="S319" s="22"/>
      <c r="T319" s="22"/>
      <c r="U319" s="4"/>
      <c r="V319" s="22"/>
      <c r="W319" s="22"/>
      <c r="X319" s="22"/>
      <c r="Y319" s="22"/>
      <c r="Z319" s="4"/>
      <c r="AA319" s="22"/>
      <c r="AB319" s="22"/>
      <c r="AC319" s="22"/>
      <c r="AD319" s="22"/>
      <c r="AE319" s="4"/>
      <c r="AF319" s="22"/>
      <c r="AG319" s="22"/>
      <c r="AH319" s="22"/>
      <c r="AI319" s="22"/>
      <c r="AJ319" s="4"/>
      <c r="AK319" s="22"/>
      <c r="AL319" s="308"/>
      <c r="AM319" s="72"/>
      <c r="AN319" s="72"/>
      <c r="AO319" s="8"/>
      <c r="AP319" s="72"/>
      <c r="AQ319" s="72"/>
      <c r="AR319" s="72"/>
      <c r="AS319" s="72"/>
      <c r="AT319" s="8"/>
      <c r="AU319" s="8"/>
      <c r="AV319" s="8"/>
      <c r="AW319" s="8"/>
      <c r="AX319" s="22"/>
    </row>
    <row r="320" spans="1:50" s="5" customFormat="1" x14ac:dyDescent="0.3">
      <c r="A320" s="36" t="str">
        <f t="shared" si="158"/>
        <v>Proceeds from bank term debt</v>
      </c>
      <c r="B320" s="228"/>
      <c r="C320" s="343">
        <f t="shared" ref="C320:G327" si="159">C270</f>
        <v>0</v>
      </c>
      <c r="D320" s="343">
        <f t="shared" si="159"/>
        <v>0</v>
      </c>
      <c r="E320" s="343">
        <f t="shared" si="159"/>
        <v>0</v>
      </c>
      <c r="F320" s="343">
        <f t="shared" si="159"/>
        <v>0</v>
      </c>
      <c r="G320" s="228">
        <f t="shared" si="159"/>
        <v>0</v>
      </c>
      <c r="H320" s="228">
        <f t="shared" ref="H320:J327" si="160">H270-G270</f>
        <v>0</v>
      </c>
      <c r="I320" s="228">
        <f t="shared" si="160"/>
        <v>0</v>
      </c>
      <c r="J320" s="228">
        <f t="shared" si="160"/>
        <v>0</v>
      </c>
      <c r="K320" s="343">
        <f t="shared" ref="K320:L327" si="161">K270</f>
        <v>0</v>
      </c>
      <c r="L320" s="228">
        <f t="shared" si="161"/>
        <v>0</v>
      </c>
      <c r="M320" s="228">
        <f t="shared" ref="M320:O327" si="162">M270-L270</f>
        <v>0</v>
      </c>
      <c r="N320" s="228">
        <f t="shared" si="162"/>
        <v>0</v>
      </c>
      <c r="O320" s="228">
        <f t="shared" si="162"/>
        <v>0</v>
      </c>
      <c r="P320" s="343">
        <f t="shared" ref="P320:Q327" si="163">P270</f>
        <v>0</v>
      </c>
      <c r="Q320" s="228">
        <f t="shared" si="163"/>
        <v>0</v>
      </c>
      <c r="R320" s="228">
        <f t="shared" ref="R320:T327" si="164">R270-Q270</f>
        <v>0</v>
      </c>
      <c r="S320" s="228">
        <f t="shared" si="164"/>
        <v>0</v>
      </c>
      <c r="T320" s="228">
        <f t="shared" si="164"/>
        <v>0</v>
      </c>
      <c r="U320" s="343">
        <f t="shared" ref="U320:V327" si="165">U270</f>
        <v>0</v>
      </c>
      <c r="V320" s="228">
        <f t="shared" si="165"/>
        <v>280</v>
      </c>
      <c r="W320" s="228">
        <f t="shared" ref="W320:Y327" si="166">W270-V270</f>
        <v>0</v>
      </c>
      <c r="X320" s="228">
        <f t="shared" si="166"/>
        <v>0</v>
      </c>
      <c r="Y320" s="228">
        <f t="shared" si="166"/>
        <v>0</v>
      </c>
      <c r="Z320" s="343">
        <f t="shared" ref="Z320:AA327" si="167">Z270</f>
        <v>280</v>
      </c>
      <c r="AA320" s="228">
        <f t="shared" si="167"/>
        <v>0</v>
      </c>
      <c r="AB320" s="228">
        <f t="shared" ref="AB320:AD327" si="168">AB270-AA270</f>
        <v>0</v>
      </c>
      <c r="AC320" s="228">
        <f t="shared" si="168"/>
        <v>0</v>
      </c>
      <c r="AD320" s="228">
        <f t="shared" si="168"/>
        <v>0</v>
      </c>
      <c r="AE320" s="343">
        <f t="shared" ref="AE320:AF327" si="169">AE270</f>
        <v>0</v>
      </c>
      <c r="AF320" s="228">
        <f t="shared" si="169"/>
        <v>0</v>
      </c>
      <c r="AG320" s="228">
        <f t="shared" ref="AG320:AI327" si="170">AG270-AF270</f>
        <v>0</v>
      </c>
      <c r="AH320" s="228">
        <f t="shared" si="170"/>
        <v>0</v>
      </c>
      <c r="AI320" s="228">
        <f t="shared" si="170"/>
        <v>0</v>
      </c>
      <c r="AJ320" s="343">
        <f t="shared" ref="AJ320:AK327" si="171">AJ270</f>
        <v>0</v>
      </c>
      <c r="AK320" s="228">
        <f t="shared" si="171"/>
        <v>0</v>
      </c>
      <c r="AL320" s="322">
        <f t="shared" ref="AL320:AL327" si="172">AL270-AK270</f>
        <v>0</v>
      </c>
      <c r="AM320" s="391"/>
      <c r="AN320" s="391"/>
      <c r="AO320" s="344"/>
      <c r="AP320" s="391"/>
      <c r="AQ320" s="391"/>
      <c r="AR320" s="391"/>
      <c r="AS320" s="391"/>
      <c r="AT320" s="344"/>
      <c r="AU320" s="392"/>
      <c r="AV320" s="392"/>
      <c r="AW320" s="392"/>
      <c r="AX320" s="228"/>
    </row>
    <row r="321" spans="1:50" s="5" customFormat="1" x14ac:dyDescent="0.3">
      <c r="A321" s="36" t="str">
        <f t="shared" si="158"/>
        <v>Debt issuance costs</v>
      </c>
      <c r="B321" s="228"/>
      <c r="C321" s="343">
        <f t="shared" si="159"/>
        <v>0</v>
      </c>
      <c r="D321" s="343">
        <f t="shared" si="159"/>
        <v>0</v>
      </c>
      <c r="E321" s="343">
        <f t="shared" si="159"/>
        <v>0</v>
      </c>
      <c r="F321" s="343">
        <f t="shared" si="159"/>
        <v>0</v>
      </c>
      <c r="G321" s="228">
        <f t="shared" si="159"/>
        <v>0</v>
      </c>
      <c r="H321" s="228">
        <f t="shared" si="160"/>
        <v>0</v>
      </c>
      <c r="I321" s="228">
        <f t="shared" si="160"/>
        <v>0</v>
      </c>
      <c r="J321" s="228">
        <f t="shared" si="160"/>
        <v>0</v>
      </c>
      <c r="K321" s="343">
        <f t="shared" si="161"/>
        <v>0</v>
      </c>
      <c r="L321" s="228">
        <f t="shared" si="161"/>
        <v>0</v>
      </c>
      <c r="M321" s="228">
        <f t="shared" si="162"/>
        <v>0</v>
      </c>
      <c r="N321" s="228">
        <f t="shared" si="162"/>
        <v>0</v>
      </c>
      <c r="O321" s="228">
        <f t="shared" si="162"/>
        <v>0</v>
      </c>
      <c r="P321" s="343">
        <f t="shared" si="163"/>
        <v>0</v>
      </c>
      <c r="Q321" s="228">
        <f t="shared" si="163"/>
        <v>0</v>
      </c>
      <c r="R321" s="228">
        <f t="shared" si="164"/>
        <v>0</v>
      </c>
      <c r="S321" s="228">
        <f t="shared" si="164"/>
        <v>0</v>
      </c>
      <c r="T321" s="228">
        <f t="shared" si="164"/>
        <v>0</v>
      </c>
      <c r="U321" s="343">
        <f t="shared" si="165"/>
        <v>0</v>
      </c>
      <c r="V321" s="228">
        <f t="shared" si="165"/>
        <v>-5.5209999999999999</v>
      </c>
      <c r="W321" s="228">
        <f t="shared" si="166"/>
        <v>0</v>
      </c>
      <c r="X321" s="228">
        <f t="shared" si="166"/>
        <v>0</v>
      </c>
      <c r="Y321" s="228">
        <f t="shared" si="166"/>
        <v>0</v>
      </c>
      <c r="Z321" s="343">
        <f t="shared" si="167"/>
        <v>-5.5209999999999999</v>
      </c>
      <c r="AA321" s="228">
        <f t="shared" si="167"/>
        <v>0</v>
      </c>
      <c r="AB321" s="228">
        <f t="shared" si="168"/>
        <v>0</v>
      </c>
      <c r="AC321" s="228">
        <f t="shared" si="168"/>
        <v>0</v>
      </c>
      <c r="AD321" s="228">
        <f t="shared" si="168"/>
        <v>0</v>
      </c>
      <c r="AE321" s="343">
        <f t="shared" si="169"/>
        <v>0</v>
      </c>
      <c r="AF321" s="228">
        <f t="shared" si="169"/>
        <v>0</v>
      </c>
      <c r="AG321" s="228">
        <f t="shared" si="170"/>
        <v>0</v>
      </c>
      <c r="AH321" s="228">
        <f t="shared" si="170"/>
        <v>0</v>
      </c>
      <c r="AI321" s="228">
        <f t="shared" si="170"/>
        <v>0</v>
      </c>
      <c r="AJ321" s="343">
        <f t="shared" si="171"/>
        <v>0</v>
      </c>
      <c r="AK321" s="228">
        <f t="shared" si="171"/>
        <v>0</v>
      </c>
      <c r="AL321" s="322">
        <f t="shared" si="172"/>
        <v>0</v>
      </c>
      <c r="AM321" s="391"/>
      <c r="AN321" s="391"/>
      <c r="AO321" s="344"/>
      <c r="AP321" s="391"/>
      <c r="AQ321" s="391"/>
      <c r="AR321" s="391"/>
      <c r="AS321" s="391"/>
      <c r="AT321" s="344"/>
      <c r="AU321" s="392"/>
      <c r="AV321" s="392"/>
      <c r="AW321" s="392"/>
      <c r="AX321" s="228"/>
    </row>
    <row r="322" spans="1:50" s="5" customFormat="1" x14ac:dyDescent="0.3">
      <c r="A322" s="36" t="str">
        <f t="shared" si="158"/>
        <v>Principal payments on term debt</v>
      </c>
      <c r="B322" s="228"/>
      <c r="C322" s="343">
        <f t="shared" si="159"/>
        <v>0</v>
      </c>
      <c r="D322" s="343">
        <f t="shared" si="159"/>
        <v>0</v>
      </c>
      <c r="E322" s="343">
        <f t="shared" si="159"/>
        <v>0</v>
      </c>
      <c r="F322" s="343">
        <f t="shared" si="159"/>
        <v>0</v>
      </c>
      <c r="G322" s="228">
        <f t="shared" si="159"/>
        <v>0</v>
      </c>
      <c r="H322" s="228">
        <f t="shared" si="160"/>
        <v>0</v>
      </c>
      <c r="I322" s="228">
        <f t="shared" si="160"/>
        <v>0</v>
      </c>
      <c r="J322" s="228">
        <f t="shared" si="160"/>
        <v>0</v>
      </c>
      <c r="K322" s="343">
        <f t="shared" si="161"/>
        <v>0</v>
      </c>
      <c r="L322" s="228">
        <f t="shared" si="161"/>
        <v>0</v>
      </c>
      <c r="M322" s="228">
        <f t="shared" si="162"/>
        <v>0</v>
      </c>
      <c r="N322" s="228">
        <f t="shared" si="162"/>
        <v>0</v>
      </c>
      <c r="O322" s="228">
        <f t="shared" si="162"/>
        <v>0</v>
      </c>
      <c r="P322" s="343">
        <f t="shared" si="163"/>
        <v>0</v>
      </c>
      <c r="Q322" s="228">
        <f t="shared" si="163"/>
        <v>0</v>
      </c>
      <c r="R322" s="228">
        <f t="shared" si="164"/>
        <v>0</v>
      </c>
      <c r="S322" s="228">
        <f t="shared" si="164"/>
        <v>0</v>
      </c>
      <c r="T322" s="228">
        <f t="shared" si="164"/>
        <v>0</v>
      </c>
      <c r="U322" s="343">
        <f t="shared" si="165"/>
        <v>0</v>
      </c>
      <c r="V322" s="228">
        <f t="shared" si="165"/>
        <v>0</v>
      </c>
      <c r="W322" s="228">
        <f t="shared" si="166"/>
        <v>-7</v>
      </c>
      <c r="X322" s="228">
        <f t="shared" si="166"/>
        <v>-20</v>
      </c>
      <c r="Y322" s="228">
        <f t="shared" si="166"/>
        <v>-7</v>
      </c>
      <c r="Z322" s="343">
        <f t="shared" si="167"/>
        <v>-34</v>
      </c>
      <c r="AA322" s="228">
        <f t="shared" si="167"/>
        <v>-20</v>
      </c>
      <c r="AB322" s="228">
        <f t="shared" si="168"/>
        <v>-10</v>
      </c>
      <c r="AC322" s="228">
        <f t="shared" si="168"/>
        <v>-16</v>
      </c>
      <c r="AD322" s="228">
        <f t="shared" si="168"/>
        <v>-126</v>
      </c>
      <c r="AE322" s="343">
        <f t="shared" si="169"/>
        <v>-172</v>
      </c>
      <c r="AF322" s="228">
        <f t="shared" si="169"/>
        <v>-39</v>
      </c>
      <c r="AG322" s="228">
        <f t="shared" si="170"/>
        <v>-35</v>
      </c>
      <c r="AH322" s="228">
        <f t="shared" si="170"/>
        <v>0</v>
      </c>
      <c r="AI322" s="228">
        <f t="shared" si="170"/>
        <v>0</v>
      </c>
      <c r="AJ322" s="343">
        <f t="shared" si="171"/>
        <v>-74</v>
      </c>
      <c r="AK322" s="228">
        <f t="shared" si="171"/>
        <v>0</v>
      </c>
      <c r="AL322" s="322">
        <f t="shared" si="172"/>
        <v>0</v>
      </c>
      <c r="AM322" s="391"/>
      <c r="AN322" s="391"/>
      <c r="AO322" s="344"/>
      <c r="AP322" s="391"/>
      <c r="AQ322" s="391"/>
      <c r="AR322" s="391"/>
      <c r="AS322" s="391"/>
      <c r="AT322" s="344"/>
      <c r="AU322" s="392"/>
      <c r="AV322" s="392"/>
      <c r="AW322" s="392"/>
      <c r="AX322" s="228"/>
    </row>
    <row r="323" spans="1:50" s="5" customFormat="1" x14ac:dyDescent="0.3">
      <c r="A323" s="36" t="str">
        <f t="shared" si="158"/>
        <v>Principal payments on capital lease obligations and intangible asset financing</v>
      </c>
      <c r="B323" s="228"/>
      <c r="C323" s="343">
        <f t="shared" si="159"/>
        <v>-0.46500000000000002</v>
      </c>
      <c r="D323" s="343">
        <f t="shared" si="159"/>
        <v>-0.52800000000000002</v>
      </c>
      <c r="E323" s="343">
        <f t="shared" si="159"/>
        <v>-0.45900000000000002</v>
      </c>
      <c r="F323" s="343">
        <f t="shared" si="159"/>
        <v>-0.91800000000000004</v>
      </c>
      <c r="G323" s="228">
        <f t="shared" si="159"/>
        <v>-0.27900000000000003</v>
      </c>
      <c r="H323" s="228">
        <f t="shared" si="160"/>
        <v>-0.41599999999999993</v>
      </c>
      <c r="I323" s="228">
        <f t="shared" si="160"/>
        <v>-0.26500000000000001</v>
      </c>
      <c r="J323" s="228">
        <f t="shared" si="160"/>
        <v>-0.15100000000000002</v>
      </c>
      <c r="K323" s="343">
        <f t="shared" si="161"/>
        <v>-1.111</v>
      </c>
      <c r="L323" s="228">
        <f t="shared" si="161"/>
        <v>-0.35599999999999998</v>
      </c>
      <c r="M323" s="228">
        <f t="shared" si="162"/>
        <v>-0.32700000000000007</v>
      </c>
      <c r="N323" s="228">
        <f t="shared" si="162"/>
        <v>-0.40900000000000003</v>
      </c>
      <c r="O323" s="228">
        <f t="shared" si="162"/>
        <v>-0.28899999999999992</v>
      </c>
      <c r="P323" s="343">
        <f t="shared" si="163"/>
        <v>-1.381</v>
      </c>
      <c r="Q323" s="228">
        <f t="shared" si="163"/>
        <v>-0.28100000000000003</v>
      </c>
      <c r="R323" s="228">
        <f t="shared" si="164"/>
        <v>-0.27500000000000002</v>
      </c>
      <c r="S323" s="228">
        <f t="shared" si="164"/>
        <v>-0.27499999999999991</v>
      </c>
      <c r="T323" s="228">
        <f t="shared" si="164"/>
        <v>-0.27400000000000002</v>
      </c>
      <c r="U323" s="343">
        <f t="shared" si="165"/>
        <v>-1.105</v>
      </c>
      <c r="V323" s="228">
        <f t="shared" si="165"/>
        <v>-0.27400000000000002</v>
      </c>
      <c r="W323" s="228">
        <f t="shared" si="166"/>
        <v>-0.21699999999999997</v>
      </c>
      <c r="X323" s="228">
        <f t="shared" si="166"/>
        <v>0</v>
      </c>
      <c r="Y323" s="228">
        <f t="shared" si="166"/>
        <v>-0.87300000000000011</v>
      </c>
      <c r="Z323" s="343">
        <f t="shared" si="167"/>
        <v>-1.3640000000000001</v>
      </c>
      <c r="AA323" s="228">
        <f t="shared" si="167"/>
        <v>-2.5139999999999998</v>
      </c>
      <c r="AB323" s="228">
        <f t="shared" si="168"/>
        <v>-0.74900000000000011</v>
      </c>
      <c r="AC323" s="228">
        <f t="shared" si="168"/>
        <v>-2.7060000000000004</v>
      </c>
      <c r="AD323" s="228">
        <f t="shared" si="168"/>
        <v>-1.3999999999999995</v>
      </c>
      <c r="AE323" s="343">
        <f t="shared" si="169"/>
        <v>-7.3689999999999998</v>
      </c>
      <c r="AF323" s="228">
        <f t="shared" si="169"/>
        <v>-2.173</v>
      </c>
      <c r="AG323" s="228">
        <f t="shared" si="170"/>
        <v>-1.2730000000000001</v>
      </c>
      <c r="AH323" s="228">
        <f t="shared" si="170"/>
        <v>-3.073</v>
      </c>
      <c r="AI323" s="228">
        <f t="shared" si="170"/>
        <v>-1.907</v>
      </c>
      <c r="AJ323" s="343">
        <f t="shared" si="171"/>
        <v>-8.4260000000000002</v>
      </c>
      <c r="AK323" s="228">
        <f t="shared" si="171"/>
        <v>-2.3029999999999999</v>
      </c>
      <c r="AL323" s="322">
        <f t="shared" si="172"/>
        <v>-1.7160000000000002</v>
      </c>
      <c r="AM323" s="391"/>
      <c r="AN323" s="391"/>
      <c r="AO323" s="344"/>
      <c r="AP323" s="391"/>
      <c r="AQ323" s="391"/>
      <c r="AR323" s="391"/>
      <c r="AS323" s="391"/>
      <c r="AT323" s="344"/>
      <c r="AU323" s="392"/>
      <c r="AV323" s="392"/>
      <c r="AW323" s="392"/>
      <c r="AX323" s="228"/>
    </row>
    <row r="324" spans="1:50" s="5" customFormat="1" x14ac:dyDescent="0.3">
      <c r="A324" s="36" t="str">
        <f t="shared" si="158"/>
        <v>Proceeds from exercise of share awards</v>
      </c>
      <c r="B324" s="228"/>
      <c r="C324" s="343">
        <f t="shared" si="159"/>
        <v>3.6640000000000001</v>
      </c>
      <c r="D324" s="343">
        <f t="shared" si="159"/>
        <v>9.4779999999999998</v>
      </c>
      <c r="E324" s="343">
        <f t="shared" si="159"/>
        <v>18.471</v>
      </c>
      <c r="F324" s="343">
        <f t="shared" si="159"/>
        <v>29.963000000000001</v>
      </c>
      <c r="G324" s="228">
        <f t="shared" si="159"/>
        <v>5.6710000000000003</v>
      </c>
      <c r="H324" s="228">
        <f t="shared" si="160"/>
        <v>1.3819999999999997</v>
      </c>
      <c r="I324" s="228">
        <f t="shared" si="160"/>
        <v>6.5179999999999998</v>
      </c>
      <c r="J324" s="228">
        <f t="shared" si="160"/>
        <v>1.0660000000000007</v>
      </c>
      <c r="K324" s="343">
        <f t="shared" si="161"/>
        <v>14.637</v>
      </c>
      <c r="L324" s="228">
        <f t="shared" si="161"/>
        <v>6.6989999999999998</v>
      </c>
      <c r="M324" s="228">
        <f t="shared" si="162"/>
        <v>0.41000000000000014</v>
      </c>
      <c r="N324" s="228">
        <f t="shared" si="162"/>
        <v>8.1620000000000008</v>
      </c>
      <c r="O324" s="228">
        <f t="shared" si="162"/>
        <v>1.5120000000000005</v>
      </c>
      <c r="P324" s="343">
        <f t="shared" si="163"/>
        <v>16.783000000000001</v>
      </c>
      <c r="Q324" s="228">
        <f t="shared" si="163"/>
        <v>0</v>
      </c>
      <c r="R324" s="228">
        <f t="shared" si="164"/>
        <v>9.8290000000000006</v>
      </c>
      <c r="S324" s="228">
        <f t="shared" si="164"/>
        <v>7.1490000000000009</v>
      </c>
      <c r="T324" s="228">
        <f t="shared" si="164"/>
        <v>1.8889999999999993</v>
      </c>
      <c r="U324" s="343">
        <f t="shared" si="165"/>
        <v>18.867000000000001</v>
      </c>
      <c r="V324" s="228">
        <f t="shared" si="165"/>
        <v>8.9789999999999992</v>
      </c>
      <c r="W324" s="228">
        <f t="shared" si="166"/>
        <v>1.4590000000000014</v>
      </c>
      <c r="X324" s="228">
        <f t="shared" si="166"/>
        <v>11.211</v>
      </c>
      <c r="Y324" s="228">
        <f t="shared" si="166"/>
        <v>0.90599999999999881</v>
      </c>
      <c r="Z324" s="343">
        <f t="shared" si="167"/>
        <v>22.555</v>
      </c>
      <c r="AA324" s="228">
        <f t="shared" si="167"/>
        <v>11.676</v>
      </c>
      <c r="AB324" s="228">
        <f t="shared" si="168"/>
        <v>0.72000000000000064</v>
      </c>
      <c r="AC324" s="228">
        <f t="shared" si="168"/>
        <v>12.706</v>
      </c>
      <c r="AD324" s="228">
        <f t="shared" si="168"/>
        <v>4.6310000000000002</v>
      </c>
      <c r="AE324" s="343">
        <f t="shared" si="169"/>
        <v>29.733000000000001</v>
      </c>
      <c r="AF324" s="228">
        <f t="shared" si="169"/>
        <v>14.058</v>
      </c>
      <c r="AG324" s="228">
        <f t="shared" si="170"/>
        <v>5.2830000000000013</v>
      </c>
      <c r="AH324" s="228">
        <f t="shared" si="170"/>
        <v>13.926000000000002</v>
      </c>
      <c r="AI324" s="228">
        <f t="shared" si="170"/>
        <v>4.1009999999999991</v>
      </c>
      <c r="AJ324" s="343">
        <f t="shared" si="171"/>
        <v>37.368000000000002</v>
      </c>
      <c r="AK324" s="228">
        <f t="shared" si="171"/>
        <v>17.027000000000001</v>
      </c>
      <c r="AL324" s="322">
        <f t="shared" si="172"/>
        <v>1.0939999999999976</v>
      </c>
      <c r="AM324" s="391"/>
      <c r="AN324" s="391"/>
      <c r="AO324" s="344"/>
      <c r="AP324" s="391"/>
      <c r="AQ324" s="391"/>
      <c r="AR324" s="391"/>
      <c r="AS324" s="391"/>
      <c r="AT324" s="344"/>
      <c r="AU324" s="392"/>
      <c r="AV324" s="392"/>
      <c r="AW324" s="392"/>
      <c r="AX324" s="228"/>
    </row>
    <row r="325" spans="1:50" s="5" customFormat="1" x14ac:dyDescent="0.3">
      <c r="A325" s="36" t="str">
        <f t="shared" si="158"/>
        <v>Excess tax benefit from SBC</v>
      </c>
      <c r="B325" s="228"/>
      <c r="C325" s="343">
        <f t="shared" si="159"/>
        <v>1.2310000000000001</v>
      </c>
      <c r="D325" s="343">
        <f t="shared" si="159"/>
        <v>1.101</v>
      </c>
      <c r="E325" s="343">
        <f t="shared" si="159"/>
        <v>2.411</v>
      </c>
      <c r="F325" s="343">
        <f t="shared" si="159"/>
        <v>5.141</v>
      </c>
      <c r="G325" s="228">
        <f t="shared" si="159"/>
        <v>0.93200000000000005</v>
      </c>
      <c r="H325" s="228">
        <f t="shared" si="160"/>
        <v>1.0070000000000001</v>
      </c>
      <c r="I325" s="228">
        <f t="shared" si="160"/>
        <v>0.85699999999999976</v>
      </c>
      <c r="J325" s="228">
        <f t="shared" si="160"/>
        <v>-0.1339999999999999</v>
      </c>
      <c r="K325" s="343">
        <f t="shared" si="161"/>
        <v>2.6619999999999999</v>
      </c>
      <c r="L325" s="228">
        <f t="shared" si="161"/>
        <v>0</v>
      </c>
      <c r="M325" s="228">
        <f t="shared" si="162"/>
        <v>0</v>
      </c>
      <c r="N325" s="228">
        <f t="shared" si="162"/>
        <v>0.34599999999999997</v>
      </c>
      <c r="O325" s="228">
        <f t="shared" si="162"/>
        <v>-3.999999999999948E-3</v>
      </c>
      <c r="P325" s="343">
        <f t="shared" si="163"/>
        <v>0.34200000000000003</v>
      </c>
      <c r="Q325" s="228">
        <f t="shared" si="163"/>
        <v>7.1920000000000002</v>
      </c>
      <c r="R325" s="228">
        <f t="shared" si="164"/>
        <v>-7.1920000000000002</v>
      </c>
      <c r="S325" s="228">
        <f t="shared" si="164"/>
        <v>0</v>
      </c>
      <c r="T325" s="228">
        <f t="shared" si="164"/>
        <v>5.2999999999999999E-2</v>
      </c>
      <c r="U325" s="343">
        <f t="shared" si="165"/>
        <v>5.2999999999999999E-2</v>
      </c>
      <c r="V325" s="228">
        <f t="shared" si="165"/>
        <v>0</v>
      </c>
      <c r="W325" s="228">
        <f t="shared" si="166"/>
        <v>0</v>
      </c>
      <c r="X325" s="228">
        <f t="shared" si="166"/>
        <v>0</v>
      </c>
      <c r="Y325" s="228">
        <f t="shared" si="166"/>
        <v>-4.5999999999999999E-2</v>
      </c>
      <c r="Z325" s="343">
        <f t="shared" si="167"/>
        <v>-4.5999999999999999E-2</v>
      </c>
      <c r="AA325" s="228">
        <f t="shared" si="167"/>
        <v>0</v>
      </c>
      <c r="AB325" s="228">
        <f t="shared" si="168"/>
        <v>0</v>
      </c>
      <c r="AC325" s="228">
        <f t="shared" si="168"/>
        <v>0</v>
      </c>
      <c r="AD325" s="228">
        <f t="shared" si="168"/>
        <v>0</v>
      </c>
      <c r="AE325" s="343">
        <f t="shared" si="169"/>
        <v>0</v>
      </c>
      <c r="AF325" s="228">
        <f t="shared" si="169"/>
        <v>0</v>
      </c>
      <c r="AG325" s="228">
        <f t="shared" si="170"/>
        <v>0</v>
      </c>
      <c r="AH325" s="228">
        <f t="shared" si="170"/>
        <v>0</v>
      </c>
      <c r="AI325" s="228">
        <f t="shared" si="170"/>
        <v>0</v>
      </c>
      <c r="AJ325" s="343">
        <f t="shared" si="171"/>
        <v>0</v>
      </c>
      <c r="AK325" s="228">
        <f t="shared" si="171"/>
        <v>0</v>
      </c>
      <c r="AL325" s="322">
        <f t="shared" si="172"/>
        <v>0</v>
      </c>
      <c r="AM325" s="391"/>
      <c r="AN325" s="391"/>
      <c r="AO325" s="344"/>
      <c r="AP325" s="391"/>
      <c r="AQ325" s="391"/>
      <c r="AR325" s="391"/>
      <c r="AS325" s="391"/>
      <c r="AT325" s="344"/>
      <c r="AU325" s="392"/>
      <c r="AV325" s="392"/>
      <c r="AW325" s="392"/>
      <c r="AX325" s="228"/>
    </row>
    <row r="326" spans="1:50" s="5" customFormat="1" x14ac:dyDescent="0.3">
      <c r="A326" s="36" t="str">
        <f t="shared" si="158"/>
        <v>Dividend paid</v>
      </c>
      <c r="B326" s="228"/>
      <c r="C326" s="343">
        <f t="shared" si="159"/>
        <v>0</v>
      </c>
      <c r="D326" s="343">
        <f t="shared" si="159"/>
        <v>0</v>
      </c>
      <c r="E326" s="343">
        <f t="shared" si="159"/>
        <v>0</v>
      </c>
      <c r="F326" s="343">
        <f t="shared" si="159"/>
        <v>0</v>
      </c>
      <c r="G326" s="228">
        <f t="shared" si="159"/>
        <v>0</v>
      </c>
      <c r="H326" s="228">
        <f t="shared" si="160"/>
        <v>0</v>
      </c>
      <c r="I326" s="228">
        <f t="shared" si="160"/>
        <v>0</v>
      </c>
      <c r="J326" s="228">
        <f t="shared" si="160"/>
        <v>0</v>
      </c>
      <c r="K326" s="343">
        <f t="shared" si="161"/>
        <v>0</v>
      </c>
      <c r="L326" s="228">
        <f t="shared" si="161"/>
        <v>0</v>
      </c>
      <c r="M326" s="228">
        <f t="shared" si="162"/>
        <v>0</v>
      </c>
      <c r="N326" s="228">
        <f t="shared" si="162"/>
        <v>0</v>
      </c>
      <c r="O326" s="228">
        <f t="shared" si="162"/>
        <v>0</v>
      </c>
      <c r="P326" s="343">
        <f t="shared" si="163"/>
        <v>0</v>
      </c>
      <c r="Q326" s="228">
        <f t="shared" si="163"/>
        <v>0</v>
      </c>
      <c r="R326" s="228">
        <f t="shared" si="164"/>
        <v>0</v>
      </c>
      <c r="S326" s="228">
        <f t="shared" si="164"/>
        <v>0</v>
      </c>
      <c r="T326" s="228">
        <f t="shared" si="164"/>
        <v>0</v>
      </c>
      <c r="U326" s="343">
        <f t="shared" si="165"/>
        <v>0</v>
      </c>
      <c r="V326" s="228">
        <f t="shared" si="165"/>
        <v>0</v>
      </c>
      <c r="W326" s="228">
        <f t="shared" si="166"/>
        <v>0</v>
      </c>
      <c r="X326" s="228">
        <f t="shared" si="166"/>
        <v>0</v>
      </c>
      <c r="Y326" s="228">
        <f t="shared" si="166"/>
        <v>0</v>
      </c>
      <c r="Z326" s="343">
        <f t="shared" si="167"/>
        <v>0</v>
      </c>
      <c r="AA326" s="228">
        <f t="shared" si="167"/>
        <v>0</v>
      </c>
      <c r="AB326" s="228">
        <f t="shared" si="168"/>
        <v>0</v>
      </c>
      <c r="AC326" s="228">
        <f t="shared" si="168"/>
        <v>0</v>
      </c>
      <c r="AD326" s="228">
        <f t="shared" si="168"/>
        <v>0</v>
      </c>
      <c r="AE326" s="343">
        <f t="shared" si="169"/>
        <v>0</v>
      </c>
      <c r="AF326" s="228">
        <f t="shared" si="169"/>
        <v>0</v>
      </c>
      <c r="AG326" s="228">
        <f t="shared" si="170"/>
        <v>0</v>
      </c>
      <c r="AH326" s="228">
        <f t="shared" si="170"/>
        <v>0</v>
      </c>
      <c r="AI326" s="228">
        <f t="shared" si="170"/>
        <v>0</v>
      </c>
      <c r="AJ326" s="343">
        <f t="shared" si="171"/>
        <v>0</v>
      </c>
      <c r="AK326" s="228">
        <f t="shared" si="171"/>
        <v>0</v>
      </c>
      <c r="AL326" s="322">
        <f t="shared" si="172"/>
        <v>0</v>
      </c>
      <c r="AM326" s="93"/>
      <c r="AN326" s="93"/>
      <c r="AO326" s="344"/>
      <c r="AP326" s="93"/>
      <c r="AQ326" s="93"/>
      <c r="AR326" s="93"/>
      <c r="AS326" s="93"/>
      <c r="AT326" s="344"/>
      <c r="AU326" s="344"/>
      <c r="AV326" s="344"/>
      <c r="AW326" s="344"/>
      <c r="AX326" s="228"/>
    </row>
    <row r="327" spans="1:50" s="5" customFormat="1" x14ac:dyDescent="0.3">
      <c r="A327" s="36" t="str">
        <f t="shared" si="158"/>
        <v>Proceeds from public offering, net</v>
      </c>
      <c r="B327" s="228"/>
      <c r="C327" s="343">
        <f t="shared" si="159"/>
        <v>0</v>
      </c>
      <c r="D327" s="343">
        <f t="shared" si="159"/>
        <v>0</v>
      </c>
      <c r="E327" s="343">
        <f t="shared" si="159"/>
        <v>104.20099999999999</v>
      </c>
      <c r="F327" s="343">
        <f t="shared" si="159"/>
        <v>0</v>
      </c>
      <c r="G327" s="228">
        <f t="shared" si="159"/>
        <v>0</v>
      </c>
      <c r="H327" s="228">
        <f t="shared" si="160"/>
        <v>0</v>
      </c>
      <c r="I327" s="228">
        <f t="shared" si="160"/>
        <v>0</v>
      </c>
      <c r="J327" s="228">
        <f t="shared" si="160"/>
        <v>0</v>
      </c>
      <c r="K327" s="343">
        <f t="shared" si="161"/>
        <v>0</v>
      </c>
      <c r="L327" s="228">
        <f t="shared" si="161"/>
        <v>0</v>
      </c>
      <c r="M327" s="228">
        <f t="shared" si="162"/>
        <v>0</v>
      </c>
      <c r="N327" s="228">
        <f t="shared" si="162"/>
        <v>0</v>
      </c>
      <c r="O327" s="228">
        <f t="shared" si="162"/>
        <v>0</v>
      </c>
      <c r="P327" s="343">
        <f t="shared" si="163"/>
        <v>0</v>
      </c>
      <c r="Q327" s="228">
        <f t="shared" si="163"/>
        <v>0</v>
      </c>
      <c r="R327" s="228">
        <f t="shared" si="164"/>
        <v>0</v>
      </c>
      <c r="S327" s="228">
        <f t="shared" si="164"/>
        <v>0</v>
      </c>
      <c r="T327" s="228">
        <f t="shared" si="164"/>
        <v>0</v>
      </c>
      <c r="U327" s="343">
        <f t="shared" si="165"/>
        <v>0</v>
      </c>
      <c r="V327" s="228">
        <f t="shared" si="165"/>
        <v>0</v>
      </c>
      <c r="W327" s="228">
        <f t="shared" si="166"/>
        <v>0</v>
      </c>
      <c r="X327" s="228">
        <f t="shared" si="166"/>
        <v>0</v>
      </c>
      <c r="Y327" s="228">
        <f t="shared" si="166"/>
        <v>0</v>
      </c>
      <c r="Z327" s="343">
        <f t="shared" si="167"/>
        <v>0</v>
      </c>
      <c r="AA327" s="228">
        <f t="shared" si="167"/>
        <v>0</v>
      </c>
      <c r="AB327" s="228">
        <f t="shared" si="168"/>
        <v>0</v>
      </c>
      <c r="AC327" s="228">
        <f t="shared" si="168"/>
        <v>0</v>
      </c>
      <c r="AD327" s="228">
        <f t="shared" si="168"/>
        <v>0</v>
      </c>
      <c r="AE327" s="343">
        <f t="shared" si="169"/>
        <v>0</v>
      </c>
      <c r="AF327" s="228">
        <f t="shared" si="169"/>
        <v>0</v>
      </c>
      <c r="AG327" s="228">
        <f t="shared" si="170"/>
        <v>0</v>
      </c>
      <c r="AH327" s="228">
        <f t="shared" si="170"/>
        <v>0</v>
      </c>
      <c r="AI327" s="228">
        <f t="shared" si="170"/>
        <v>0</v>
      </c>
      <c r="AJ327" s="343">
        <f t="shared" si="171"/>
        <v>0</v>
      </c>
      <c r="AK327" s="228">
        <f t="shared" si="171"/>
        <v>0</v>
      </c>
      <c r="AL327" s="322">
        <f t="shared" si="172"/>
        <v>0</v>
      </c>
      <c r="AM327" s="391"/>
      <c r="AN327" s="391"/>
      <c r="AO327" s="344"/>
      <c r="AP327" s="391"/>
      <c r="AQ327" s="391"/>
      <c r="AR327" s="391"/>
      <c r="AS327" s="391"/>
      <c r="AT327" s="344"/>
      <c r="AU327" s="392"/>
      <c r="AV327" s="392"/>
      <c r="AW327" s="392"/>
      <c r="AX327" s="228"/>
    </row>
    <row r="328" spans="1:50" s="9" customFormat="1" x14ac:dyDescent="0.3">
      <c r="A328" s="347" t="str">
        <f t="shared" si="158"/>
        <v>Net CFF</v>
      </c>
      <c r="B328" s="377"/>
      <c r="C328" s="349">
        <f t="shared" ref="C328:AL328" si="173">SUM(C320:C327)</f>
        <v>4.4300000000000006</v>
      </c>
      <c r="D328" s="349">
        <f t="shared" si="173"/>
        <v>10.050999999999998</v>
      </c>
      <c r="E328" s="349">
        <f t="shared" si="173"/>
        <v>124.624</v>
      </c>
      <c r="F328" s="349">
        <f t="shared" si="173"/>
        <v>34.186</v>
      </c>
      <c r="G328" s="350">
        <f t="shared" si="173"/>
        <v>6.3240000000000007</v>
      </c>
      <c r="H328" s="350">
        <f t="shared" si="173"/>
        <v>1.9729999999999999</v>
      </c>
      <c r="I328" s="350">
        <f t="shared" si="173"/>
        <v>7.1099999999999994</v>
      </c>
      <c r="J328" s="350">
        <f t="shared" si="173"/>
        <v>0.7810000000000008</v>
      </c>
      <c r="K328" s="349">
        <f t="shared" si="173"/>
        <v>16.187999999999999</v>
      </c>
      <c r="L328" s="350">
        <f t="shared" si="173"/>
        <v>6.343</v>
      </c>
      <c r="M328" s="350">
        <f t="shared" si="173"/>
        <v>8.3000000000000074E-2</v>
      </c>
      <c r="N328" s="350">
        <f t="shared" si="173"/>
        <v>8.0990000000000002</v>
      </c>
      <c r="O328" s="350">
        <f t="shared" si="173"/>
        <v>1.2190000000000005</v>
      </c>
      <c r="P328" s="349">
        <f t="shared" si="173"/>
        <v>15.744000000000002</v>
      </c>
      <c r="Q328" s="350">
        <f t="shared" si="173"/>
        <v>6.9110000000000005</v>
      </c>
      <c r="R328" s="350">
        <f t="shared" si="173"/>
        <v>2.3620000000000001</v>
      </c>
      <c r="S328" s="350">
        <f t="shared" si="173"/>
        <v>6.8740000000000006</v>
      </c>
      <c r="T328" s="350">
        <f t="shared" si="173"/>
        <v>1.6679999999999993</v>
      </c>
      <c r="U328" s="349">
        <f t="shared" si="173"/>
        <v>17.815000000000001</v>
      </c>
      <c r="V328" s="350">
        <f t="shared" si="173"/>
        <v>283.18399999999997</v>
      </c>
      <c r="W328" s="350">
        <f t="shared" si="173"/>
        <v>-5.7579999999999982</v>
      </c>
      <c r="X328" s="350">
        <f t="shared" si="173"/>
        <v>-8.7889999999999997</v>
      </c>
      <c r="Y328" s="350">
        <f t="shared" si="173"/>
        <v>-7.0130000000000017</v>
      </c>
      <c r="Z328" s="349">
        <f t="shared" si="173"/>
        <v>261.62399999999997</v>
      </c>
      <c r="AA328" s="350">
        <f t="shared" si="173"/>
        <v>-10.837999999999999</v>
      </c>
      <c r="AB328" s="350">
        <f t="shared" si="173"/>
        <v>-10.029</v>
      </c>
      <c r="AC328" s="350">
        <f t="shared" si="173"/>
        <v>-6</v>
      </c>
      <c r="AD328" s="350">
        <f t="shared" si="173"/>
        <v>-122.76900000000001</v>
      </c>
      <c r="AE328" s="349">
        <f t="shared" si="173"/>
        <v>-149.636</v>
      </c>
      <c r="AF328" s="350">
        <f t="shared" si="173"/>
        <v>-27.115000000000002</v>
      </c>
      <c r="AG328" s="350">
        <f t="shared" si="173"/>
        <v>-30.990000000000002</v>
      </c>
      <c r="AH328" s="350">
        <f t="shared" si="173"/>
        <v>10.853000000000002</v>
      </c>
      <c r="AI328" s="350">
        <f t="shared" si="173"/>
        <v>2.1939999999999991</v>
      </c>
      <c r="AJ328" s="349">
        <f t="shared" si="173"/>
        <v>-45.058</v>
      </c>
      <c r="AK328" s="350">
        <f t="shared" si="173"/>
        <v>14.724</v>
      </c>
      <c r="AL328" s="353">
        <f t="shared" si="173"/>
        <v>-0.62200000000000255</v>
      </c>
      <c r="AM328" s="351"/>
      <c r="AN328" s="351"/>
      <c r="AO328" s="352"/>
      <c r="AP328" s="351"/>
      <c r="AQ328" s="351"/>
      <c r="AR328" s="351"/>
      <c r="AS328" s="351"/>
      <c r="AT328" s="352"/>
      <c r="AU328" s="352"/>
      <c r="AV328" s="352"/>
      <c r="AW328" s="352"/>
      <c r="AX328" s="22"/>
    </row>
    <row r="329" spans="1:50" s="9" customFormat="1" x14ac:dyDescent="0.3">
      <c r="A329" s="35"/>
      <c r="B329" s="103"/>
      <c r="C329" s="4"/>
      <c r="D329" s="4"/>
      <c r="E329" s="4"/>
      <c r="F329" s="4"/>
      <c r="G329" s="22"/>
      <c r="H329" s="22"/>
      <c r="I329" s="22"/>
      <c r="J329" s="22"/>
      <c r="K329" s="4"/>
      <c r="L329" s="22"/>
      <c r="M329" s="22"/>
      <c r="N329" s="22"/>
      <c r="O329" s="22"/>
      <c r="P329" s="4"/>
      <c r="Q329" s="22"/>
      <c r="R329" s="22"/>
      <c r="S329" s="22"/>
      <c r="T329" s="22"/>
      <c r="U329" s="4"/>
      <c r="V329" s="22"/>
      <c r="W329" s="22"/>
      <c r="X329" s="22"/>
      <c r="Y329" s="22"/>
      <c r="Z329" s="4"/>
      <c r="AA329" s="22"/>
      <c r="AB329" s="22"/>
      <c r="AC329" s="22"/>
      <c r="AD329" s="22"/>
      <c r="AE329" s="4"/>
      <c r="AF329" s="22"/>
      <c r="AG329" s="22"/>
      <c r="AH329" s="22"/>
      <c r="AI329" s="22"/>
      <c r="AJ329" s="4"/>
      <c r="AK329" s="22"/>
      <c r="AL329" s="308"/>
      <c r="AM329" s="72"/>
      <c r="AN329" s="72"/>
      <c r="AO329" s="8"/>
      <c r="AP329" s="72"/>
      <c r="AQ329" s="72"/>
      <c r="AR329" s="72"/>
      <c r="AS329" s="72"/>
      <c r="AT329" s="8"/>
      <c r="AU329" s="8"/>
      <c r="AV329" s="8"/>
      <c r="AW329" s="8"/>
      <c r="AX329" s="22"/>
    </row>
    <row r="330" spans="1:50" s="5" customFormat="1" x14ac:dyDescent="0.3">
      <c r="A330" s="354" t="str">
        <f>A280</f>
        <v>FX</v>
      </c>
      <c r="B330" s="376"/>
      <c r="C330" s="343">
        <f>C280</f>
        <v>0</v>
      </c>
      <c r="D330" s="343">
        <f>D280</f>
        <v>0</v>
      </c>
      <c r="E330" s="343">
        <f>E280</f>
        <v>0</v>
      </c>
      <c r="F330" s="343">
        <f>F280</f>
        <v>0</v>
      </c>
      <c r="G330" s="228">
        <f>G280</f>
        <v>0</v>
      </c>
      <c r="H330" s="228">
        <f>H280-G280</f>
        <v>0</v>
      </c>
      <c r="I330" s="228">
        <f>I280-H280</f>
        <v>0</v>
      </c>
      <c r="J330" s="228">
        <f>J280-I280</f>
        <v>0</v>
      </c>
      <c r="K330" s="343">
        <f>K280</f>
        <v>0</v>
      </c>
      <c r="L330" s="228">
        <f>L280</f>
        <v>0</v>
      </c>
      <c r="M330" s="228">
        <f>M280-L280</f>
        <v>0</v>
      </c>
      <c r="N330" s="228">
        <f>N280-M280</f>
        <v>0</v>
      </c>
      <c r="O330" s="228">
        <f>O280-N280</f>
        <v>0</v>
      </c>
      <c r="P330" s="343">
        <f>P280</f>
        <v>0</v>
      </c>
      <c r="Q330" s="228">
        <f>Q280</f>
        <v>0</v>
      </c>
      <c r="R330" s="228">
        <f>R280-Q280</f>
        <v>0</v>
      </c>
      <c r="S330" s="228">
        <f>S280-R280</f>
        <v>0</v>
      </c>
      <c r="T330" s="228">
        <f>T280-S280</f>
        <v>0</v>
      </c>
      <c r="U330" s="343">
        <f>U280</f>
        <v>0</v>
      </c>
      <c r="V330" s="228">
        <f>V280</f>
        <v>0</v>
      </c>
      <c r="W330" s="228">
        <f>W280-V280</f>
        <v>0</v>
      </c>
      <c r="X330" s="228">
        <f>X280-W280</f>
        <v>0</v>
      </c>
      <c r="Y330" s="228">
        <f>Y280-X280</f>
        <v>0</v>
      </c>
      <c r="Z330" s="343">
        <f>Z280</f>
        <v>0</v>
      </c>
      <c r="AA330" s="228">
        <f>AA280</f>
        <v>0</v>
      </c>
      <c r="AB330" s="228">
        <f>AB280-AA280</f>
        <v>0</v>
      </c>
      <c r="AC330" s="228">
        <f>AC280-AB280</f>
        <v>0</v>
      </c>
      <c r="AD330" s="228">
        <f>AD280-AC280</f>
        <v>0</v>
      </c>
      <c r="AE330" s="343">
        <f>AE280</f>
        <v>0</v>
      </c>
      <c r="AF330" s="228">
        <f>AF280</f>
        <v>0</v>
      </c>
      <c r="AG330" s="228">
        <f>AG280-AF280</f>
        <v>0</v>
      </c>
      <c r="AH330" s="228">
        <f>AH280-AG280</f>
        <v>0</v>
      </c>
      <c r="AI330" s="228">
        <f>AI280-AH280</f>
        <v>0</v>
      </c>
      <c r="AJ330" s="343">
        <f>AJ280</f>
        <v>0</v>
      </c>
      <c r="AK330" s="228">
        <f>AK280</f>
        <v>0</v>
      </c>
      <c r="AL330" s="322">
        <f>AL280-AK280</f>
        <v>0</v>
      </c>
      <c r="AM330" s="391"/>
      <c r="AN330" s="391"/>
      <c r="AO330" s="344"/>
      <c r="AP330" s="391"/>
      <c r="AQ330" s="391"/>
      <c r="AR330" s="391"/>
      <c r="AS330" s="391"/>
      <c r="AT330" s="344"/>
      <c r="AU330" s="392"/>
      <c r="AV330" s="392"/>
      <c r="AW330" s="392"/>
      <c r="AX330" s="228"/>
    </row>
    <row r="331" spans="1:50" s="9" customFormat="1" x14ac:dyDescent="0.3">
      <c r="A331" s="35" t="str">
        <f>A281</f>
        <v>Net Change in Cash Balance</v>
      </c>
      <c r="B331" s="103"/>
      <c r="C331" s="4">
        <f t="shared" ref="C331:AL331" si="174">C328+C317+C303+C330</f>
        <v>-66.513000000000005</v>
      </c>
      <c r="D331" s="4">
        <f t="shared" si="174"/>
        <v>64.354000000000013</v>
      </c>
      <c r="E331" s="4">
        <f t="shared" si="174"/>
        <v>73.263999999999982</v>
      </c>
      <c r="F331" s="4">
        <f t="shared" si="174"/>
        <v>-64.203999999999922</v>
      </c>
      <c r="G331" s="22">
        <f t="shared" si="174"/>
        <v>9.2049999999999947</v>
      </c>
      <c r="H331" s="22">
        <f t="shared" si="174"/>
        <v>0.22100000000000719</v>
      </c>
      <c r="I331" s="22">
        <f t="shared" si="174"/>
        <v>-88.602000000000004</v>
      </c>
      <c r="J331" s="22">
        <f t="shared" si="174"/>
        <v>25.285999999999976</v>
      </c>
      <c r="K331" s="4">
        <f t="shared" si="174"/>
        <v>-53.890000000000008</v>
      </c>
      <c r="L331" s="22">
        <f t="shared" si="174"/>
        <v>-15.150000000000004</v>
      </c>
      <c r="M331" s="22">
        <f t="shared" si="174"/>
        <v>-3.9920000000000035</v>
      </c>
      <c r="N331" s="22">
        <f t="shared" si="174"/>
        <v>10.829999999999984</v>
      </c>
      <c r="O331" s="22">
        <f t="shared" si="174"/>
        <v>-3.5259999999999607</v>
      </c>
      <c r="P331" s="4">
        <f t="shared" si="174"/>
        <v>-11.837999999999937</v>
      </c>
      <c r="Q331" s="22">
        <f t="shared" si="174"/>
        <v>10.329999999999984</v>
      </c>
      <c r="R331" s="22">
        <f t="shared" si="174"/>
        <v>6.5470000000000113</v>
      </c>
      <c r="S331" s="22">
        <f t="shared" si="174"/>
        <v>72.308000000000007</v>
      </c>
      <c r="T331" s="22">
        <f t="shared" si="174"/>
        <v>122.68799999999999</v>
      </c>
      <c r="U331" s="4">
        <f t="shared" si="174"/>
        <v>211.87300000000002</v>
      </c>
      <c r="V331" s="22">
        <f t="shared" si="174"/>
        <v>-145.28699999999995</v>
      </c>
      <c r="W331" s="22">
        <f t="shared" si="174"/>
        <v>-54.41099999999998</v>
      </c>
      <c r="X331" s="22">
        <f t="shared" si="174"/>
        <v>-8.0460000000000136</v>
      </c>
      <c r="Y331" s="22">
        <f t="shared" si="174"/>
        <v>1.324999999999946</v>
      </c>
      <c r="Z331" s="4">
        <f t="shared" si="174"/>
        <v>-206.41900000000004</v>
      </c>
      <c r="AA331" s="22">
        <f t="shared" si="174"/>
        <v>1.5769999999999982</v>
      </c>
      <c r="AB331" s="22">
        <f t="shared" si="174"/>
        <v>-2.6350000000000051</v>
      </c>
      <c r="AC331" s="22">
        <f t="shared" si="174"/>
        <v>2.6940000000000239</v>
      </c>
      <c r="AD331" s="22">
        <f t="shared" si="174"/>
        <v>12.081999999999979</v>
      </c>
      <c r="AE331" s="4">
        <f t="shared" si="174"/>
        <v>13.717999999999961</v>
      </c>
      <c r="AF331" s="22">
        <f t="shared" si="174"/>
        <v>28.080000000000009</v>
      </c>
      <c r="AG331" s="22">
        <f t="shared" si="174"/>
        <v>-27.225000000000009</v>
      </c>
      <c r="AH331" s="22">
        <f t="shared" si="174"/>
        <v>0.83699999999997488</v>
      </c>
      <c r="AI331" s="22">
        <f t="shared" si="174"/>
        <v>-7.539999999999992</v>
      </c>
      <c r="AJ331" s="4">
        <f t="shared" si="174"/>
        <v>-5.8479999999999563</v>
      </c>
      <c r="AK331" s="22">
        <f t="shared" si="174"/>
        <v>18.641999999999996</v>
      </c>
      <c r="AL331" s="308">
        <f t="shared" si="174"/>
        <v>-29.509999999999962</v>
      </c>
      <c r="AM331" s="378"/>
      <c r="AN331" s="378"/>
      <c r="AO331" s="117"/>
      <c r="AP331" s="378"/>
      <c r="AQ331" s="378"/>
      <c r="AR331" s="378"/>
      <c r="AS331" s="378"/>
      <c r="AT331" s="117"/>
      <c r="AU331" s="117"/>
      <c r="AV331" s="117"/>
      <c r="AW331" s="117"/>
      <c r="AX331" s="22"/>
    </row>
    <row r="332" spans="1:50" s="9" customFormat="1" x14ac:dyDescent="0.3">
      <c r="A332" s="35"/>
      <c r="B332" s="103"/>
      <c r="C332" s="4"/>
      <c r="D332" s="4"/>
      <c r="E332" s="4"/>
      <c r="F332" s="4"/>
      <c r="G332" s="22"/>
      <c r="H332" s="22"/>
      <c r="I332" s="22"/>
      <c r="J332" s="22"/>
      <c r="K332" s="4"/>
      <c r="L332" s="22"/>
      <c r="M332" s="22"/>
      <c r="N332" s="22"/>
      <c r="O332" s="22"/>
      <c r="P332" s="4"/>
      <c r="Q332" s="22"/>
      <c r="R332" s="22"/>
      <c r="S332" s="22"/>
      <c r="T332" s="22"/>
      <c r="U332" s="4"/>
      <c r="V332" s="22"/>
      <c r="W332" s="22"/>
      <c r="X332" s="22"/>
      <c r="Y332" s="22"/>
      <c r="Z332" s="4"/>
      <c r="AA332" s="22"/>
      <c r="AB332" s="22"/>
      <c r="AC332" s="22"/>
      <c r="AD332" s="22"/>
      <c r="AE332" s="4"/>
      <c r="AF332" s="22"/>
      <c r="AG332" s="22"/>
      <c r="AH332" s="22"/>
      <c r="AI332" s="22"/>
      <c r="AJ332" s="4"/>
      <c r="AK332" s="22"/>
      <c r="AL332" s="308"/>
      <c r="AM332" s="72"/>
      <c r="AN332" s="72"/>
      <c r="AO332" s="8"/>
      <c r="AP332" s="72"/>
      <c r="AQ332" s="72"/>
      <c r="AR332" s="72"/>
      <c r="AS332" s="72"/>
      <c r="AT332" s="8"/>
      <c r="AU332" s="8"/>
      <c r="AV332" s="8"/>
      <c r="AW332" s="8"/>
      <c r="AX332" s="22"/>
    </row>
    <row r="333" spans="1:50" s="9" customFormat="1" x14ac:dyDescent="0.3">
      <c r="A333" s="35" t="str">
        <f>A283</f>
        <v>Beginning Cash Balance</v>
      </c>
      <c r="B333" s="103"/>
      <c r="C333" s="4">
        <f>C283</f>
        <v>110.15300000000001</v>
      </c>
      <c r="D333" s="4">
        <f t="shared" ref="D333:J333" si="175">C334</f>
        <v>43.64</v>
      </c>
      <c r="E333" s="4">
        <f t="shared" si="175"/>
        <v>107.99400000000001</v>
      </c>
      <c r="F333" s="4">
        <f t="shared" si="175"/>
        <v>181.25799999999998</v>
      </c>
      <c r="G333" s="22">
        <f t="shared" si="175"/>
        <v>117.05400000000006</v>
      </c>
      <c r="H333" s="22">
        <f t="shared" si="175"/>
        <v>126.25900000000006</v>
      </c>
      <c r="I333" s="22">
        <f t="shared" si="175"/>
        <v>126.48000000000006</v>
      </c>
      <c r="J333" s="22">
        <f t="shared" si="175"/>
        <v>37.878000000000057</v>
      </c>
      <c r="K333" s="4">
        <f>F334</f>
        <v>117.05400000000006</v>
      </c>
      <c r="L333" s="22">
        <f>K334</f>
        <v>63.164000000000051</v>
      </c>
      <c r="M333" s="22">
        <f>L334</f>
        <v>48.014000000000046</v>
      </c>
      <c r="N333" s="22">
        <f>M334</f>
        <v>44.022000000000041</v>
      </c>
      <c r="O333" s="22">
        <f>N334</f>
        <v>54.852000000000025</v>
      </c>
      <c r="P333" s="4">
        <f>K334</f>
        <v>63.164000000000051</v>
      </c>
      <c r="Q333" s="22">
        <f>P334</f>
        <v>51.326000000000114</v>
      </c>
      <c r="R333" s="22">
        <f>Q334</f>
        <v>61.656000000000098</v>
      </c>
      <c r="S333" s="22">
        <f>R334</f>
        <v>68.203000000000117</v>
      </c>
      <c r="T333" s="22">
        <f>S334</f>
        <v>140.51100000000014</v>
      </c>
      <c r="U333" s="4">
        <f>P334</f>
        <v>51.326000000000114</v>
      </c>
      <c r="V333" s="22">
        <f>U334</f>
        <v>263.19900000000013</v>
      </c>
      <c r="W333" s="22">
        <f>V334</f>
        <v>117.91200000000018</v>
      </c>
      <c r="X333" s="22">
        <f>W334</f>
        <v>63.501000000000197</v>
      </c>
      <c r="Y333" s="22">
        <f>X334</f>
        <v>55.455000000000183</v>
      </c>
      <c r="Z333" s="4">
        <f>U334</f>
        <v>263.19900000000013</v>
      </c>
      <c r="AA333" s="22">
        <f>Z334</f>
        <v>56.780000000000086</v>
      </c>
      <c r="AB333" s="22">
        <f>AA334</f>
        <v>58.357000000000085</v>
      </c>
      <c r="AC333" s="22">
        <f>AB334</f>
        <v>55.722000000000079</v>
      </c>
      <c r="AD333" s="22">
        <f>AC334</f>
        <v>58.416000000000103</v>
      </c>
      <c r="AE333" s="4">
        <f>Z334</f>
        <v>56.780000000000086</v>
      </c>
      <c r="AF333" s="22">
        <f>AE334</f>
        <v>70.498000000000047</v>
      </c>
      <c r="AG333" s="22">
        <f>AF334</f>
        <v>98.57800000000006</v>
      </c>
      <c r="AH333" s="22">
        <f>AG334</f>
        <v>71.353000000000051</v>
      </c>
      <c r="AI333" s="22">
        <f>AH334</f>
        <v>72.190000000000026</v>
      </c>
      <c r="AJ333" s="4">
        <f>AE334</f>
        <v>70.498000000000047</v>
      </c>
      <c r="AK333" s="22">
        <f>AJ334</f>
        <v>64.650000000000091</v>
      </c>
      <c r="AL333" s="308">
        <f>AK334</f>
        <v>83.292000000000087</v>
      </c>
      <c r="AM333" s="378"/>
      <c r="AN333" s="378"/>
      <c r="AO333" s="117"/>
      <c r="AP333" s="378"/>
      <c r="AQ333" s="378"/>
      <c r="AR333" s="378"/>
      <c r="AS333" s="378"/>
      <c r="AT333" s="117"/>
      <c r="AU333" s="117"/>
      <c r="AV333" s="117"/>
      <c r="AW333" s="117"/>
      <c r="AX333" s="22"/>
    </row>
    <row r="334" spans="1:50" s="9" customFormat="1" x14ac:dyDescent="0.3">
      <c r="A334" s="35" t="str">
        <f>A284</f>
        <v>Ending Cash Balance</v>
      </c>
      <c r="B334" s="103"/>
      <c r="C334" s="4">
        <f t="shared" ref="C334:AL334" si="176">C333+C331</f>
        <v>43.64</v>
      </c>
      <c r="D334" s="4">
        <f t="shared" si="176"/>
        <v>107.99400000000001</v>
      </c>
      <c r="E334" s="4">
        <f t="shared" si="176"/>
        <v>181.25799999999998</v>
      </c>
      <c r="F334" s="4">
        <f t="shared" si="176"/>
        <v>117.05400000000006</v>
      </c>
      <c r="G334" s="22">
        <f t="shared" si="176"/>
        <v>126.25900000000006</v>
      </c>
      <c r="H334" s="22">
        <f t="shared" si="176"/>
        <v>126.48000000000006</v>
      </c>
      <c r="I334" s="22">
        <f t="shared" si="176"/>
        <v>37.878000000000057</v>
      </c>
      <c r="J334" s="22">
        <f t="shared" si="176"/>
        <v>63.16400000000003</v>
      </c>
      <c r="K334" s="4">
        <f t="shared" si="176"/>
        <v>63.164000000000051</v>
      </c>
      <c r="L334" s="22">
        <f t="shared" si="176"/>
        <v>48.014000000000046</v>
      </c>
      <c r="M334" s="22">
        <f t="shared" si="176"/>
        <v>44.022000000000041</v>
      </c>
      <c r="N334" s="22">
        <f t="shared" si="176"/>
        <v>54.852000000000025</v>
      </c>
      <c r="O334" s="22">
        <f t="shared" si="176"/>
        <v>51.326000000000064</v>
      </c>
      <c r="P334" s="4">
        <f t="shared" si="176"/>
        <v>51.326000000000114</v>
      </c>
      <c r="Q334" s="22">
        <f t="shared" si="176"/>
        <v>61.656000000000098</v>
      </c>
      <c r="R334" s="22">
        <f t="shared" si="176"/>
        <v>68.203000000000117</v>
      </c>
      <c r="S334" s="22">
        <f t="shared" si="176"/>
        <v>140.51100000000014</v>
      </c>
      <c r="T334" s="22">
        <f t="shared" si="176"/>
        <v>263.19900000000013</v>
      </c>
      <c r="U334" s="4">
        <f t="shared" si="176"/>
        <v>263.19900000000013</v>
      </c>
      <c r="V334" s="22">
        <f t="shared" si="176"/>
        <v>117.91200000000018</v>
      </c>
      <c r="W334" s="22">
        <f t="shared" si="176"/>
        <v>63.501000000000197</v>
      </c>
      <c r="X334" s="22">
        <f t="shared" si="176"/>
        <v>55.455000000000183</v>
      </c>
      <c r="Y334" s="22">
        <f t="shared" si="176"/>
        <v>56.780000000000129</v>
      </c>
      <c r="Z334" s="4">
        <f t="shared" si="176"/>
        <v>56.780000000000086</v>
      </c>
      <c r="AA334" s="22">
        <f t="shared" si="176"/>
        <v>58.357000000000085</v>
      </c>
      <c r="AB334" s="22">
        <f t="shared" si="176"/>
        <v>55.722000000000079</v>
      </c>
      <c r="AC334" s="22">
        <f t="shared" si="176"/>
        <v>58.416000000000103</v>
      </c>
      <c r="AD334" s="22">
        <f t="shared" si="176"/>
        <v>70.498000000000076</v>
      </c>
      <c r="AE334" s="4">
        <f t="shared" si="176"/>
        <v>70.498000000000047</v>
      </c>
      <c r="AF334" s="22">
        <f t="shared" si="176"/>
        <v>98.57800000000006</v>
      </c>
      <c r="AG334" s="22">
        <f t="shared" si="176"/>
        <v>71.353000000000051</v>
      </c>
      <c r="AH334" s="22">
        <f t="shared" si="176"/>
        <v>72.190000000000026</v>
      </c>
      <c r="AI334" s="22">
        <f t="shared" si="176"/>
        <v>64.650000000000034</v>
      </c>
      <c r="AJ334" s="4">
        <f t="shared" si="176"/>
        <v>64.650000000000091</v>
      </c>
      <c r="AK334" s="22">
        <f t="shared" si="176"/>
        <v>83.292000000000087</v>
      </c>
      <c r="AL334" s="308">
        <f t="shared" si="176"/>
        <v>53.782000000000124</v>
      </c>
      <c r="AM334" s="378"/>
      <c r="AN334" s="378"/>
      <c r="AO334" s="117"/>
      <c r="AP334" s="378"/>
      <c r="AQ334" s="378"/>
      <c r="AR334" s="378"/>
      <c r="AS334" s="378"/>
      <c r="AT334" s="117"/>
      <c r="AU334" s="117"/>
      <c r="AV334" s="117"/>
      <c r="AW334" s="117"/>
      <c r="AX334" s="22"/>
    </row>
    <row r="335" spans="1:50" s="9" customFormat="1" x14ac:dyDescent="0.3">
      <c r="A335" s="35"/>
      <c r="B335" s="103"/>
      <c r="C335" s="4"/>
      <c r="D335" s="4"/>
      <c r="E335" s="4"/>
      <c r="F335" s="4"/>
      <c r="G335" s="22"/>
      <c r="H335" s="22"/>
      <c r="I335" s="22"/>
      <c r="J335" s="22"/>
      <c r="K335" s="4"/>
      <c r="L335" s="22"/>
      <c r="M335" s="22"/>
      <c r="N335" s="22"/>
      <c r="O335" s="22"/>
      <c r="P335" s="4"/>
      <c r="Q335" s="22"/>
      <c r="R335" s="22"/>
      <c r="S335" s="22"/>
      <c r="T335" s="22"/>
      <c r="U335" s="4"/>
      <c r="V335" s="22"/>
      <c r="W335" s="22"/>
      <c r="X335" s="22"/>
      <c r="Y335" s="22"/>
      <c r="Z335" s="4"/>
      <c r="AA335" s="22"/>
      <c r="AB335" s="22"/>
      <c r="AC335" s="22"/>
      <c r="AD335" s="22"/>
      <c r="AE335" s="4"/>
      <c r="AF335" s="22"/>
      <c r="AG335" s="22"/>
      <c r="AH335" s="22"/>
      <c r="AI335" s="22"/>
      <c r="AJ335" s="4"/>
      <c r="AK335" s="22"/>
      <c r="AL335" s="308"/>
      <c r="AM335" s="22"/>
      <c r="AN335" s="22"/>
      <c r="AO335" s="4"/>
      <c r="AP335" s="22"/>
      <c r="AQ335" s="22"/>
      <c r="AR335" s="22"/>
      <c r="AS335" s="22"/>
      <c r="AT335" s="4"/>
      <c r="AU335" s="4"/>
      <c r="AV335" s="4"/>
      <c r="AW335" s="4"/>
      <c r="AX335" s="22"/>
    </row>
    <row r="336" spans="1:50" s="5" customFormat="1" x14ac:dyDescent="0.3">
      <c r="A336" s="386" t="s">
        <v>191</v>
      </c>
      <c r="B336" s="386"/>
      <c r="C336" s="387">
        <f t="shared" ref="C336:AL336" si="177">ROUND(C334-C351-C367,6)</f>
        <v>0</v>
      </c>
      <c r="D336" s="387">
        <f t="shared" si="177"/>
        <v>0</v>
      </c>
      <c r="E336" s="387">
        <f t="shared" si="177"/>
        <v>0</v>
      </c>
      <c r="F336" s="387">
        <f t="shared" si="177"/>
        <v>0</v>
      </c>
      <c r="G336" s="387">
        <f t="shared" si="177"/>
        <v>0</v>
      </c>
      <c r="H336" s="387">
        <f t="shared" si="177"/>
        <v>0</v>
      </c>
      <c r="I336" s="387">
        <f t="shared" si="177"/>
        <v>0</v>
      </c>
      <c r="J336" s="387">
        <f t="shared" si="177"/>
        <v>0</v>
      </c>
      <c r="K336" s="387">
        <f t="shared" si="177"/>
        <v>0</v>
      </c>
      <c r="L336" s="387">
        <f t="shared" si="177"/>
        <v>0</v>
      </c>
      <c r="M336" s="387">
        <f t="shared" si="177"/>
        <v>0</v>
      </c>
      <c r="N336" s="387">
        <f t="shared" si="177"/>
        <v>0</v>
      </c>
      <c r="O336" s="387">
        <f t="shared" si="177"/>
        <v>0</v>
      </c>
      <c r="P336" s="387">
        <f t="shared" si="177"/>
        <v>0</v>
      </c>
      <c r="Q336" s="387">
        <f t="shared" si="177"/>
        <v>0</v>
      </c>
      <c r="R336" s="387">
        <f t="shared" si="177"/>
        <v>0</v>
      </c>
      <c r="S336" s="387">
        <f t="shared" si="177"/>
        <v>0</v>
      </c>
      <c r="T336" s="387">
        <f t="shared" si="177"/>
        <v>0</v>
      </c>
      <c r="U336" s="387">
        <f t="shared" si="177"/>
        <v>0</v>
      </c>
      <c r="V336" s="387">
        <f t="shared" si="177"/>
        <v>0</v>
      </c>
      <c r="W336" s="387">
        <f t="shared" si="177"/>
        <v>0</v>
      </c>
      <c r="X336" s="387">
        <f t="shared" si="177"/>
        <v>0</v>
      </c>
      <c r="Y336" s="387">
        <f t="shared" si="177"/>
        <v>0</v>
      </c>
      <c r="Z336" s="387">
        <f t="shared" si="177"/>
        <v>0</v>
      </c>
      <c r="AA336" s="387">
        <f t="shared" si="177"/>
        <v>0</v>
      </c>
      <c r="AB336" s="387">
        <f t="shared" si="177"/>
        <v>0</v>
      </c>
      <c r="AC336" s="387">
        <f t="shared" si="177"/>
        <v>0</v>
      </c>
      <c r="AD336" s="387">
        <f t="shared" si="177"/>
        <v>0</v>
      </c>
      <c r="AE336" s="387">
        <f t="shared" si="177"/>
        <v>0</v>
      </c>
      <c r="AF336" s="387">
        <f t="shared" si="177"/>
        <v>0</v>
      </c>
      <c r="AG336" s="387">
        <f t="shared" si="177"/>
        <v>0</v>
      </c>
      <c r="AH336" s="387">
        <f t="shared" si="177"/>
        <v>0</v>
      </c>
      <c r="AI336" s="387">
        <f t="shared" si="177"/>
        <v>0</v>
      </c>
      <c r="AJ336" s="387">
        <f t="shared" si="177"/>
        <v>0</v>
      </c>
      <c r="AK336" s="387">
        <f t="shared" si="177"/>
        <v>0</v>
      </c>
      <c r="AL336" s="388">
        <f t="shared" si="177"/>
        <v>0</v>
      </c>
      <c r="AM336" s="387"/>
      <c r="AN336" s="387"/>
      <c r="AO336" s="387"/>
      <c r="AP336" s="387"/>
      <c r="AQ336" s="387"/>
      <c r="AR336" s="387"/>
      <c r="AS336" s="387"/>
      <c r="AT336" s="387"/>
      <c r="AU336" s="387"/>
      <c r="AV336" s="387"/>
      <c r="AW336" s="387"/>
      <c r="AX336" s="228"/>
    </row>
    <row r="337" spans="1:50" s="9" customFormat="1" x14ac:dyDescent="0.3">
      <c r="A337" s="35"/>
      <c r="B337" s="103"/>
      <c r="C337" s="4"/>
      <c r="D337" s="4"/>
      <c r="E337" s="4"/>
      <c r="F337" s="4"/>
      <c r="G337" s="22"/>
      <c r="H337" s="22"/>
      <c r="I337" s="22"/>
      <c r="J337" s="22"/>
      <c r="K337" s="4"/>
      <c r="L337" s="22"/>
      <c r="M337" s="22"/>
      <c r="N337" s="22"/>
      <c r="O337" s="22"/>
      <c r="P337" s="4"/>
      <c r="Q337" s="22"/>
      <c r="R337" s="22"/>
      <c r="S337" s="22"/>
      <c r="T337" s="22"/>
      <c r="U337" s="4"/>
      <c r="V337" s="22"/>
      <c r="W337" s="22"/>
      <c r="X337" s="22"/>
      <c r="Y337" s="22"/>
      <c r="Z337" s="4"/>
      <c r="AA337" s="22"/>
      <c r="AB337" s="22"/>
      <c r="AC337" s="22"/>
      <c r="AD337" s="22"/>
      <c r="AE337" s="4"/>
      <c r="AF337" s="22"/>
      <c r="AG337" s="22"/>
      <c r="AH337" s="22"/>
      <c r="AI337" s="22"/>
      <c r="AJ337" s="4"/>
      <c r="AK337" s="22"/>
      <c r="AL337" s="308"/>
      <c r="AM337" s="22"/>
      <c r="AN337" s="22"/>
      <c r="AO337" s="4"/>
      <c r="AP337" s="22"/>
      <c r="AQ337" s="22"/>
      <c r="AR337" s="22"/>
      <c r="AS337" s="22"/>
      <c r="AT337" s="4"/>
      <c r="AU337" s="4"/>
      <c r="AV337" s="4"/>
      <c r="AW337" s="4"/>
      <c r="AX337" s="22"/>
    </row>
    <row r="338" spans="1:50" s="9" customFormat="1" x14ac:dyDescent="0.3">
      <c r="A338" s="493" t="s">
        <v>192</v>
      </c>
      <c r="B338" s="494"/>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306"/>
      <c r="AM338" s="45"/>
      <c r="AN338" s="45"/>
      <c r="AO338" s="45"/>
      <c r="AP338" s="45"/>
      <c r="AQ338" s="45"/>
      <c r="AR338" s="45"/>
      <c r="AS338" s="45"/>
      <c r="AT338" s="45"/>
      <c r="AU338" s="45"/>
      <c r="AV338" s="45"/>
      <c r="AW338" s="45"/>
      <c r="AX338" s="22"/>
    </row>
    <row r="339" spans="1:50" s="16" customFormat="1" x14ac:dyDescent="0.3">
      <c r="A339" s="97" t="s">
        <v>193</v>
      </c>
      <c r="B339" s="142"/>
      <c r="C339" s="245">
        <f t="shared" ref="C339:F340" si="178">C354/C$133</f>
        <v>0.17595050153390093</v>
      </c>
      <c r="D339" s="245">
        <f t="shared" si="178"/>
        <v>0.12864071391619247</v>
      </c>
      <c r="E339" s="245">
        <f t="shared" si="178"/>
        <v>0.1859780675870103</v>
      </c>
      <c r="F339" s="245">
        <f t="shared" si="178"/>
        <v>0.11341875682659111</v>
      </c>
      <c r="G339" s="25"/>
      <c r="H339" s="25"/>
      <c r="I339" s="25"/>
      <c r="J339" s="25"/>
      <c r="K339" s="245">
        <f>K354/K$133</f>
        <v>0.17795490169963837</v>
      </c>
      <c r="L339" s="25">
        <f>L354/(L$133+J$133+I$133+H$133)</f>
        <v>0.16018879903927077</v>
      </c>
      <c r="M339" s="25">
        <f>M354/(M$133+L$133+J$133+I$133)</f>
        <v>0.16875621938965435</v>
      </c>
      <c r="N339" s="25">
        <f>N354/(N$133+M$133+L$133+J$133)</f>
        <v>0.17060287054487974</v>
      </c>
      <c r="O339" s="25">
        <f>O354/(O$133+N$133+M$133+L$133)</f>
        <v>0.14002402679613243</v>
      </c>
      <c r="P339" s="245">
        <f>P354/P$133</f>
        <v>0.14002402679613241</v>
      </c>
      <c r="Q339" s="25">
        <f>Q354/(Q$133+O$133+N$133+M$133)</f>
        <v>0.10935770414728879</v>
      </c>
      <c r="R339" s="25">
        <f>R354/(R$133+Q$133+O$133+N$133)</f>
        <v>0.10671620772959536</v>
      </c>
      <c r="S339" s="25">
        <f>S354/(S$133+R$133+Q$133+O$133)</f>
        <v>0.10395522531961253</v>
      </c>
      <c r="T339" s="25">
        <f>T354/(T$133+S$133+R$133+Q$133)</f>
        <v>0.12804722399489468</v>
      </c>
      <c r="U339" s="245">
        <f>U354/U$133</f>
        <v>0.12804722399489471</v>
      </c>
      <c r="V339" s="25">
        <f>V354/(V$133+T$133+S$133+R$133)</f>
        <v>0.14840845716706083</v>
      </c>
      <c r="W339" s="25">
        <f>W354/(W$133+V$133+T$133+S$133)</f>
        <v>0.15438699455737914</v>
      </c>
      <c r="X339" s="25">
        <f>X354/(X$133+W$133+V$133+T$133)</f>
        <v>0.16380564051961091</v>
      </c>
      <c r="Y339" s="25">
        <f>Y354/(Y$133+X$133+W$133+V$133)</f>
        <v>0.16532749930612081</v>
      </c>
      <c r="Z339" s="245">
        <f>Z354/Z$133</f>
        <v>0.16532749930612081</v>
      </c>
      <c r="AA339" s="25">
        <f>AA354/(AA$133+Y$133+X$133+W$133)</f>
        <v>0.14862852170923507</v>
      </c>
      <c r="AB339" s="25">
        <f>AB354/(AB$133+AA$133+Y$133+X$133)</f>
        <v>0.17666627288836384</v>
      </c>
      <c r="AC339" s="25">
        <f>AC354/(AC$133+AB$133+AA$133+Y$133)</f>
        <v>0.15757062599942451</v>
      </c>
      <c r="AD339" s="25">
        <f>AD354/(AD$133+AC$133+AB$133+AA$133)</f>
        <v>0.17850937558239272</v>
      </c>
      <c r="AE339" s="245">
        <f>AE354/AE$133</f>
        <v>0.17850937558239272</v>
      </c>
      <c r="AF339" s="25">
        <f>AF354/(AF$133+AD$133+AC$133+AB$133)</f>
        <v>0.15427609631176301</v>
      </c>
      <c r="AG339" s="25">
        <f>AG354/(AG$133+AF$133+AD$133+AC$133)</f>
        <v>0.1583976262335384</v>
      </c>
      <c r="AH339" s="25">
        <f>AH354/(AH$133+AG$133+AF$133+AD$133)</f>
        <v>0.13777703149999904</v>
      </c>
      <c r="AI339" s="25">
        <f>AI354/(AI$133+AH$133+AG$133+AF$133)</f>
        <v>0.13834761738996257</v>
      </c>
      <c r="AJ339" s="245">
        <f>AJ354/AJ$133</f>
        <v>0.13834761738996257</v>
      </c>
      <c r="AK339" s="25">
        <f>AK354/(AK$133+AI$133+AH$133+AG$133)</f>
        <v>0.15023972842444178</v>
      </c>
      <c r="AL339" s="311">
        <f>AL354/(AL$133+AK$133+AI$133+AH$133)</f>
        <v>0.16909797421047212</v>
      </c>
      <c r="AM339" s="25"/>
      <c r="AN339" s="25"/>
      <c r="AO339" s="245"/>
      <c r="AP339" s="25"/>
      <c r="AQ339" s="25"/>
      <c r="AR339" s="25"/>
      <c r="AS339" s="25"/>
      <c r="AT339" s="245"/>
      <c r="AU339" s="245"/>
      <c r="AV339" s="245"/>
      <c r="AW339" s="245"/>
      <c r="AX339" s="25"/>
    </row>
    <row r="340" spans="1:50" s="16" customFormat="1" x14ac:dyDescent="0.3">
      <c r="A340" s="97" t="s">
        <v>194</v>
      </c>
      <c r="B340" s="142"/>
      <c r="C340" s="245">
        <f t="shared" si="178"/>
        <v>8.0383302885112543E-2</v>
      </c>
      <c r="D340" s="245">
        <f t="shared" si="178"/>
        <v>7.5769529229177457E-2</v>
      </c>
      <c r="E340" s="245">
        <f t="shared" si="178"/>
        <v>9.6258066506975867E-2</v>
      </c>
      <c r="F340" s="245">
        <f t="shared" si="178"/>
        <v>8.6497776553068201E-2</v>
      </c>
      <c r="G340" s="25"/>
      <c r="H340" s="25"/>
      <c r="I340" s="25"/>
      <c r="J340" s="25"/>
      <c r="K340" s="245">
        <f>K355/K$133</f>
        <v>9.3408394717700211E-2</v>
      </c>
      <c r="L340" s="25">
        <f>L355/(L$133+J$133+I$133+H$133)</f>
        <v>9.53986386388357E-2</v>
      </c>
      <c r="M340" s="25">
        <f>M355/(M$133+L$133+J$133+I$133)</f>
        <v>9.0245320707617524E-2</v>
      </c>
      <c r="N340" s="25">
        <f>N355/(N$133+M$133+L$133+J$133)</f>
        <v>9.1957517058182545E-2</v>
      </c>
      <c r="O340" s="25">
        <f>O355/(O$133+N$133+M$133+L$133)</f>
        <v>9.591307217313097E-2</v>
      </c>
      <c r="P340" s="245">
        <f>P355/P$133</f>
        <v>9.591307217313097E-2</v>
      </c>
      <c r="Q340" s="25">
        <f>Q355/(Q$133+O$133+N$133+M$133)</f>
        <v>9.9641713049702527E-2</v>
      </c>
      <c r="R340" s="25">
        <f>R355/(R$133+Q$133+O$133+N$133)</f>
        <v>0.10986675343350005</v>
      </c>
      <c r="S340" s="25">
        <f>S355/(S$133+R$133+Q$133+O$133)</f>
        <v>0.1014131084529403</v>
      </c>
      <c r="T340" s="25">
        <f>T355/(T$133+S$133+R$133+Q$133)</f>
        <v>9.4923572492174896E-2</v>
      </c>
      <c r="U340" s="245">
        <f>U355/U$133</f>
        <v>9.4923572492174924E-2</v>
      </c>
      <c r="V340" s="25">
        <f>V355/(V$133+T$133+S$133+R$133)</f>
        <v>0.10203805019236879</v>
      </c>
      <c r="W340" s="25">
        <f>W355/(W$133+V$133+T$133+S$133)</f>
        <v>8.5075165015633072E-2</v>
      </c>
      <c r="X340" s="25">
        <f>X355/(X$133+W$133+V$133+T$133)</f>
        <v>7.6172360420393673E-2</v>
      </c>
      <c r="Y340" s="25">
        <f>Y355/(Y$133+X$133+W$133+V$133)</f>
        <v>7.641184002761521E-2</v>
      </c>
      <c r="Z340" s="245">
        <f>Z355/Z$133</f>
        <v>7.641184002761521E-2</v>
      </c>
      <c r="AA340" s="25">
        <f>AA355/(AA$133+Y$133+X$133+W$133)</f>
        <v>8.8712516439254527E-2</v>
      </c>
      <c r="AB340" s="25">
        <f>AB355/(AB$133+AA$133+Y$133+X$133)</f>
        <v>8.5010041346721799E-2</v>
      </c>
      <c r="AC340" s="25">
        <f>AC355/(AC$133+AB$133+AA$133+Y$133)</f>
        <v>7.2653150752133286E-2</v>
      </c>
      <c r="AD340" s="25">
        <f>AD355/(AD$133+AC$133+AB$133+AA$133)</f>
        <v>7.4843759585967243E-2</v>
      </c>
      <c r="AE340" s="245">
        <f>AE355/AE$133</f>
        <v>7.4843759585967243E-2</v>
      </c>
      <c r="AF340" s="25">
        <f>AF355/(AF$133+AD$133+AC$133+AB$133)</f>
        <v>7.5451124004309894E-2</v>
      </c>
      <c r="AG340" s="25">
        <f>AG355/(AG$133+AF$133+AD$133+AC$133)</f>
        <v>9.6143240036550795E-2</v>
      </c>
      <c r="AH340" s="25">
        <f>AH355/(AH$133+AG$133+AF$133+AD$133)</f>
        <v>0.10137379445579946</v>
      </c>
      <c r="AI340" s="25">
        <f>AI355/(AI$133+AH$133+AG$133+AF$133)</f>
        <v>9.5872947059131505E-2</v>
      </c>
      <c r="AJ340" s="245">
        <f>AJ355/AJ$133</f>
        <v>9.5872947059131505E-2</v>
      </c>
      <c r="AK340" s="25">
        <f>AK355/(AK$133+AI$133+AH$133+AG$133)</f>
        <v>8.3691467767900887E-2</v>
      </c>
      <c r="AL340" s="311">
        <f>AL355/(AL$133+AK$133+AI$133+AH$133)</f>
        <v>7.5665374208108913E-2</v>
      </c>
      <c r="AM340" s="25"/>
      <c r="AN340" s="25"/>
      <c r="AO340" s="245"/>
      <c r="AP340" s="25"/>
      <c r="AQ340" s="25"/>
      <c r="AR340" s="25"/>
      <c r="AS340" s="25"/>
      <c r="AT340" s="245"/>
      <c r="AU340" s="245"/>
      <c r="AV340" s="245"/>
      <c r="AW340" s="245"/>
      <c r="AX340" s="25"/>
    </row>
    <row r="341" spans="1:50" s="16" customFormat="1" x14ac:dyDescent="0.3">
      <c r="A341" s="97" t="s">
        <v>195</v>
      </c>
      <c r="B341" s="142"/>
      <c r="C341" s="245">
        <f t="shared" ref="C341:F342" si="179">C372/C$133</f>
        <v>7.5617869084140504E-2</v>
      </c>
      <c r="D341" s="245">
        <f t="shared" si="179"/>
        <v>4.2201241593378173E-2</v>
      </c>
      <c r="E341" s="245">
        <f t="shared" si="179"/>
        <v>0.11622713123575223</v>
      </c>
      <c r="F341" s="245">
        <f t="shared" si="179"/>
        <v>7.474256138690373E-2</v>
      </c>
      <c r="G341" s="25"/>
      <c r="H341" s="25"/>
      <c r="I341" s="25"/>
      <c r="J341" s="25"/>
      <c r="K341" s="245">
        <f>K372/K$133</f>
        <v>7.6744972287391536E-2</v>
      </c>
      <c r="L341" s="25">
        <f>L372/(L$133+J$133+I$133+H$133)</f>
        <v>7.0400976478868393E-2</v>
      </c>
      <c r="M341" s="25">
        <f>M372/(M$133+L$133+J$133+I$133)</f>
        <v>7.3452664514261107E-2</v>
      </c>
      <c r="N341" s="25">
        <f>N372/(N$133+M$133+L$133+J$133)</f>
        <v>8.7091433729136164E-2</v>
      </c>
      <c r="O341" s="25">
        <f>O372/(O$133+N$133+M$133+L$133)</f>
        <v>8.5864522515954972E-2</v>
      </c>
      <c r="P341" s="245">
        <f>P372/P$133</f>
        <v>8.5864522515954958E-2</v>
      </c>
      <c r="Q341" s="25">
        <f>Q372/(Q$133+O$133+N$133+M$133)</f>
        <v>7.8807483347088522E-2</v>
      </c>
      <c r="R341" s="25">
        <f>R372/(R$133+Q$133+O$133+N$133)</f>
        <v>8.788815475284574E-2</v>
      </c>
      <c r="S341" s="25">
        <f>S372/(S$133+R$133+Q$133+O$133)</f>
        <v>6.7836918864371154E-2</v>
      </c>
      <c r="T341" s="25">
        <f>T372/(T$133+S$133+R$133+Q$133)</f>
        <v>6.7766736560610191E-2</v>
      </c>
      <c r="U341" s="245">
        <f>U372/U$133</f>
        <v>6.7766736560610205E-2</v>
      </c>
      <c r="V341" s="25">
        <f>V372/(V$133+T$133+S$133+R$133)</f>
        <v>6.7250714764745326E-2</v>
      </c>
      <c r="W341" s="25">
        <f>W372/(W$133+V$133+T$133+S$133)</f>
        <v>7.2660831026097217E-2</v>
      </c>
      <c r="X341" s="25">
        <f>X372/(X$133+W$133+V$133+T$133)</f>
        <v>6.2072291765609126E-2</v>
      </c>
      <c r="Y341" s="25">
        <f>Y372/(Y$133+X$133+W$133+V$133)</f>
        <v>6.942640099452127E-2</v>
      </c>
      <c r="Z341" s="245">
        <f>Z372/Z$133</f>
        <v>6.942640099452127E-2</v>
      </c>
      <c r="AA341" s="25">
        <f>AA372/(AA$133+Y$133+X$133+W$133)</f>
        <v>7.4707507838448484E-2</v>
      </c>
      <c r="AB341" s="25">
        <f>AB372/(AB$133+AA$133+Y$133+X$133)</f>
        <v>6.9408151210868282E-2</v>
      </c>
      <c r="AC341" s="25">
        <f>AC372/(AC$133+AB$133+AA$133+Y$133)</f>
        <v>4.9608013320943216E-2</v>
      </c>
      <c r="AD341" s="25">
        <f>AD372/(AD$133+AC$133+AB$133+AA$133)</f>
        <v>6.8399674496725862E-2</v>
      </c>
      <c r="AE341" s="245">
        <f>AE372/AE$133</f>
        <v>6.8399674496725862E-2</v>
      </c>
      <c r="AF341" s="25">
        <f>AF372/(AF$133+AD$133+AC$133+AB$133)</f>
        <v>6.9634069713962451E-2</v>
      </c>
      <c r="AG341" s="25">
        <f>AG372/(AG$133+AF$133+AD$133+AC$133)</f>
        <v>7.2386241760299244E-2</v>
      </c>
      <c r="AH341" s="25">
        <f>AH372/(AH$133+AG$133+AF$133+AD$133)</f>
        <v>7.0370777820881761E-2</v>
      </c>
      <c r="AI341" s="25">
        <f>AI372/(AI$133+AH$133+AG$133+AF$133)</f>
        <v>6.4602941189977808E-2</v>
      </c>
      <c r="AJ341" s="245">
        <f>AJ372/AJ$133</f>
        <v>6.4602941189977808E-2</v>
      </c>
      <c r="AK341" s="25">
        <f>AK372/(AK$133+AI$133+AH$133+AG$133)</f>
        <v>5.5425386715195625E-2</v>
      </c>
      <c r="AL341" s="311">
        <f>AL372/(AL$133+AK$133+AI$133+AH$133)</f>
        <v>6.2279397242792599E-2</v>
      </c>
      <c r="AM341" s="25"/>
      <c r="AN341" s="25"/>
      <c r="AO341" s="245"/>
      <c r="AP341" s="25"/>
      <c r="AQ341" s="25"/>
      <c r="AR341" s="25"/>
      <c r="AS341" s="25"/>
      <c r="AT341" s="245"/>
      <c r="AU341" s="245"/>
      <c r="AV341" s="245"/>
      <c r="AW341" s="245"/>
      <c r="AX341" s="25"/>
    </row>
    <row r="342" spans="1:50" s="16" customFormat="1" x14ac:dyDescent="0.3">
      <c r="A342" s="97" t="s">
        <v>534</v>
      </c>
      <c r="B342" s="142"/>
      <c r="C342" s="245">
        <f t="shared" si="179"/>
        <v>0.12757230016200752</v>
      </c>
      <c r="D342" s="245">
        <f t="shared" si="179"/>
        <v>0.10951888256595965</v>
      </c>
      <c r="E342" s="245">
        <f t="shared" si="179"/>
        <v>0.11992624907907783</v>
      </c>
      <c r="F342" s="245">
        <f t="shared" si="179"/>
        <v>0.1112142795812292</v>
      </c>
      <c r="G342" s="25"/>
      <c r="H342" s="25"/>
      <c r="I342" s="25"/>
      <c r="J342" s="25"/>
      <c r="K342" s="245">
        <f>K373/K$133</f>
        <v>0.13065137436097082</v>
      </c>
      <c r="L342" s="25">
        <f>L373/(L$133+J$133+I$133+H$133)</f>
        <v>0.13527480694363098</v>
      </c>
      <c r="M342" s="25">
        <f>M373/(M$133+L$133+J$133+I$133)</f>
        <v>0.13565264359034873</v>
      </c>
      <c r="N342" s="25">
        <f>N373/(N$133+M$133+L$133+J$133)</f>
        <v>0.13537579445065404</v>
      </c>
      <c r="O342" s="25">
        <f>O373/(O$133+N$133+M$133+L$133)</f>
        <v>0.133665768717284</v>
      </c>
      <c r="P342" s="245">
        <f>P373/P$133</f>
        <v>0.13366576871728397</v>
      </c>
      <c r="Q342" s="25">
        <f>Q373/(Q$133+O$133+N$133+M$133)</f>
        <v>0.12227520036298066</v>
      </c>
      <c r="R342" s="25">
        <f>R373/(R$133+Q$133+O$133+N$133)</f>
        <v>0.12848313732075917</v>
      </c>
      <c r="S342" s="25">
        <f>S373/(S$133+R$133+Q$133+O$133)</f>
        <v>0.10722687509239678</v>
      </c>
      <c r="T342" s="25">
        <f>T373/(T$133+S$133+R$133+Q$133)</f>
        <v>0.1128878354149573</v>
      </c>
      <c r="U342" s="245">
        <f>U373/U$133</f>
        <v>0.11288783541495731</v>
      </c>
      <c r="V342" s="25">
        <f>V373/(V$133+T$133+S$133+R$133)</f>
        <v>0.15062511030320144</v>
      </c>
      <c r="W342" s="25">
        <f>W373/(W$133+V$133+T$133+S$133)</f>
        <v>0.1152806581676159</v>
      </c>
      <c r="X342" s="25">
        <f>X373/(X$133+W$133+V$133+T$133)</f>
        <v>0.1112711962419503</v>
      </c>
      <c r="Y342" s="25">
        <f>Y373/(Y$133+X$133+W$133+V$133)</f>
        <v>0.12249824489386564</v>
      </c>
      <c r="Z342" s="245">
        <f>Z373/Z$133</f>
        <v>0.12249824489386564</v>
      </c>
      <c r="AA342" s="25">
        <f>AA373/(AA$133+Y$133+X$133+W$133)</f>
        <v>0.12614751000483906</v>
      </c>
      <c r="AB342" s="25">
        <f>AB373/(AB$133+AA$133+Y$133+X$133)</f>
        <v>0.11157235676314235</v>
      </c>
      <c r="AC342" s="25">
        <f>AC373/(AC$133+AB$133+AA$133+Y$133)</f>
        <v>0.10791426293768308</v>
      </c>
      <c r="AD342" s="25">
        <f>AD373/(AD$133+AC$133+AB$133+AA$133)</f>
        <v>0.13202792475457031</v>
      </c>
      <c r="AE342" s="245">
        <f>AE373/AE$133</f>
        <v>0.13202792475457031</v>
      </c>
      <c r="AF342" s="25">
        <f>AF373/(AF$133+AD$133+AC$133+AB$133)</f>
        <v>0.11623420229270537</v>
      </c>
      <c r="AG342" s="25">
        <f>AG373/(AG$133+AF$133+AD$133+AC$133)</f>
        <v>0.12698348091360703</v>
      </c>
      <c r="AH342" s="25">
        <f>AH373/(AH$133+AG$133+AF$133+AD$133)</f>
        <v>9.6912533027616793E-2</v>
      </c>
      <c r="AI342" s="25">
        <f>AI373/(AI$133+AH$133+AG$133+AF$133)</f>
        <v>0.11194377369131192</v>
      </c>
      <c r="AJ342" s="245">
        <f>AJ373/AJ$133</f>
        <v>0.11194377369131192</v>
      </c>
      <c r="AK342" s="25">
        <f>AK373/(AK$133+AI$133+AH$133+AG$133)</f>
        <v>0.12765188633023028</v>
      </c>
      <c r="AL342" s="311">
        <f>AL373/(AL$133+AK$133+AI$133+AH$133)</f>
        <v>0.120056852421714</v>
      </c>
      <c r="AM342" s="25"/>
      <c r="AN342" s="25"/>
      <c r="AO342" s="245"/>
      <c r="AP342" s="25"/>
      <c r="AQ342" s="25"/>
      <c r="AR342" s="25"/>
      <c r="AS342" s="25"/>
      <c r="AT342" s="245"/>
      <c r="AU342" s="245"/>
      <c r="AV342" s="245"/>
      <c r="AW342" s="245"/>
      <c r="AX342" s="25"/>
    </row>
    <row r="343" spans="1:50" s="16" customFormat="1" x14ac:dyDescent="0.3">
      <c r="A343" s="97"/>
      <c r="B343" s="142"/>
      <c r="C343" s="245"/>
      <c r="D343" s="245"/>
      <c r="E343" s="245"/>
      <c r="F343" s="245"/>
      <c r="G343" s="25"/>
      <c r="H343" s="25"/>
      <c r="I343" s="25"/>
      <c r="J343" s="25"/>
      <c r="K343" s="245"/>
      <c r="L343" s="25"/>
      <c r="M343" s="25"/>
      <c r="N343" s="25"/>
      <c r="O343" s="25"/>
      <c r="P343" s="245"/>
      <c r="Q343" s="25"/>
      <c r="R343" s="25"/>
      <c r="S343" s="25"/>
      <c r="T343" s="25"/>
      <c r="U343" s="245"/>
      <c r="V343" s="25"/>
      <c r="W343" s="25"/>
      <c r="X343" s="25"/>
      <c r="Y343" s="25"/>
      <c r="Z343" s="245"/>
      <c r="AA343" s="25"/>
      <c r="AB343" s="25"/>
      <c r="AC343" s="25"/>
      <c r="AD343" s="25"/>
      <c r="AE343" s="245"/>
      <c r="AF343" s="25"/>
      <c r="AG343" s="25"/>
      <c r="AH343" s="25"/>
      <c r="AI343" s="25"/>
      <c r="AJ343" s="245"/>
      <c r="AK343" s="25"/>
      <c r="AL343" s="311"/>
      <c r="AM343" s="25"/>
      <c r="AN343" s="25"/>
      <c r="AO343" s="245"/>
      <c r="AP343" s="25"/>
      <c r="AQ343" s="25"/>
      <c r="AR343" s="25"/>
      <c r="AS343" s="25"/>
      <c r="AT343" s="245"/>
      <c r="AU343" s="245"/>
      <c r="AV343" s="245"/>
      <c r="AW343" s="245"/>
      <c r="AX343" s="25"/>
    </row>
    <row r="344" spans="1:50" s="16" customFormat="1" x14ac:dyDescent="0.3">
      <c r="A344" s="246" t="s">
        <v>197</v>
      </c>
      <c r="B344" s="247"/>
      <c r="C344" s="248"/>
      <c r="D344" s="248">
        <f t="shared" ref="D344:F347" si="180">D339-C339</f>
        <v>-4.730978761770846E-2</v>
      </c>
      <c r="E344" s="248">
        <f t="shared" si="180"/>
        <v>5.7337353670817826E-2</v>
      </c>
      <c r="F344" s="248">
        <f t="shared" si="180"/>
        <v>-7.2559310760419188E-2</v>
      </c>
      <c r="G344" s="495"/>
      <c r="H344" s="495"/>
      <c r="I344" s="495"/>
      <c r="J344" s="495"/>
      <c r="K344" s="248">
        <f>K339-F339</f>
        <v>6.4536144873047263E-2</v>
      </c>
      <c r="L344" s="495"/>
      <c r="M344" s="495"/>
      <c r="N344" s="495"/>
      <c r="O344" s="495"/>
      <c r="P344" s="248">
        <f t="shared" ref="P344:Y347" si="181">P339-K339</f>
        <v>-3.7930874903505968E-2</v>
      </c>
      <c r="Q344" s="495">
        <f t="shared" si="181"/>
        <v>-5.0831094891981982E-2</v>
      </c>
      <c r="R344" s="495">
        <f t="shared" si="181"/>
        <v>-6.2040011660058986E-2</v>
      </c>
      <c r="S344" s="495">
        <f t="shared" si="181"/>
        <v>-6.6647645225267213E-2</v>
      </c>
      <c r="T344" s="495">
        <f t="shared" si="181"/>
        <v>-1.1976802801237751E-2</v>
      </c>
      <c r="U344" s="248">
        <f t="shared" si="181"/>
        <v>-1.1976802801237696E-2</v>
      </c>
      <c r="V344" s="495">
        <f t="shared" si="181"/>
        <v>3.9050753019772039E-2</v>
      </c>
      <c r="W344" s="495">
        <f t="shared" si="181"/>
        <v>4.7670786827783779E-2</v>
      </c>
      <c r="X344" s="495">
        <f t="shared" si="181"/>
        <v>5.9850415199998383E-2</v>
      </c>
      <c r="Y344" s="495">
        <f t="shared" si="181"/>
        <v>3.728027531122613E-2</v>
      </c>
      <c r="Z344" s="248">
        <f t="shared" ref="Z344:AI347" si="182">Z339-U339</f>
        <v>3.7280275311226102E-2</v>
      </c>
      <c r="AA344" s="495">
        <f t="shared" si="182"/>
        <v>2.2006454217424198E-4</v>
      </c>
      <c r="AB344" s="495">
        <f t="shared" si="182"/>
        <v>2.2279278330984698E-2</v>
      </c>
      <c r="AC344" s="495">
        <f t="shared" si="182"/>
        <v>-6.2350145201864049E-3</v>
      </c>
      <c r="AD344" s="495">
        <f t="shared" si="182"/>
        <v>1.3181876276271903E-2</v>
      </c>
      <c r="AE344" s="248">
        <f t="shared" si="182"/>
        <v>1.3181876276271903E-2</v>
      </c>
      <c r="AF344" s="495">
        <f t="shared" si="182"/>
        <v>5.6475746025279328E-3</v>
      </c>
      <c r="AG344" s="495">
        <f t="shared" si="182"/>
        <v>-1.8268646654825443E-2</v>
      </c>
      <c r="AH344" s="495">
        <f t="shared" si="182"/>
        <v>-1.9793594499425471E-2</v>
      </c>
      <c r="AI344" s="495">
        <f t="shared" si="182"/>
        <v>-4.0161758192430147E-2</v>
      </c>
      <c r="AJ344" s="248">
        <f t="shared" ref="AJ344:AL347" si="183">AJ339-AE339</f>
        <v>-4.0161758192430147E-2</v>
      </c>
      <c r="AK344" s="495">
        <f t="shared" si="183"/>
        <v>-4.0363678873212294E-3</v>
      </c>
      <c r="AL344" s="312">
        <f t="shared" si="183"/>
        <v>1.0700347976933727E-2</v>
      </c>
      <c r="AM344" s="249"/>
      <c r="AN344" s="249"/>
      <c r="AO344" s="248"/>
      <c r="AP344" s="249"/>
      <c r="AQ344" s="249"/>
      <c r="AR344" s="249"/>
      <c r="AS344" s="249"/>
      <c r="AT344" s="248"/>
      <c r="AU344" s="250"/>
      <c r="AV344" s="250"/>
      <c r="AW344" s="250"/>
      <c r="AX344" s="25"/>
    </row>
    <row r="345" spans="1:50" s="16" customFormat="1" x14ac:dyDescent="0.3">
      <c r="A345" s="246" t="s">
        <v>198</v>
      </c>
      <c r="B345" s="247"/>
      <c r="C345" s="248"/>
      <c r="D345" s="248">
        <f t="shared" si="180"/>
        <v>-4.6137736559350856E-3</v>
      </c>
      <c r="E345" s="248">
        <f t="shared" si="180"/>
        <v>2.048853727779841E-2</v>
      </c>
      <c r="F345" s="248">
        <f t="shared" si="180"/>
        <v>-9.7602899539076665E-3</v>
      </c>
      <c r="G345" s="495"/>
      <c r="H345" s="495"/>
      <c r="I345" s="495"/>
      <c r="J345" s="495"/>
      <c r="K345" s="248">
        <f>K340-F340</f>
        <v>6.9106181646320097E-3</v>
      </c>
      <c r="L345" s="495"/>
      <c r="M345" s="495"/>
      <c r="N345" s="495"/>
      <c r="O345" s="495"/>
      <c r="P345" s="248">
        <f t="shared" si="181"/>
        <v>2.5046774554307594E-3</v>
      </c>
      <c r="Q345" s="495">
        <f t="shared" si="181"/>
        <v>4.2430744108668261E-3</v>
      </c>
      <c r="R345" s="495">
        <f t="shared" si="181"/>
        <v>1.9621432725882529E-2</v>
      </c>
      <c r="S345" s="495">
        <f t="shared" si="181"/>
        <v>9.4555913947577536E-3</v>
      </c>
      <c r="T345" s="495">
        <f t="shared" si="181"/>
        <v>-9.894996809560741E-4</v>
      </c>
      <c r="U345" s="248">
        <f t="shared" si="181"/>
        <v>-9.8949968095604635E-4</v>
      </c>
      <c r="V345" s="495">
        <f t="shared" si="181"/>
        <v>2.3963371426662661E-3</v>
      </c>
      <c r="W345" s="495">
        <f t="shared" si="181"/>
        <v>-2.479158841786698E-2</v>
      </c>
      <c r="X345" s="495">
        <f t="shared" si="181"/>
        <v>-2.5240748032546625E-2</v>
      </c>
      <c r="Y345" s="495">
        <f t="shared" si="181"/>
        <v>-1.8511732464559685E-2</v>
      </c>
      <c r="Z345" s="248">
        <f t="shared" si="182"/>
        <v>-1.8511732464559713E-2</v>
      </c>
      <c r="AA345" s="495">
        <f t="shared" si="182"/>
        <v>-1.3325533753114266E-2</v>
      </c>
      <c r="AB345" s="495">
        <f t="shared" si="182"/>
        <v>-6.5123668911273858E-5</v>
      </c>
      <c r="AC345" s="495">
        <f t="shared" si="182"/>
        <v>-3.5192096682603868E-3</v>
      </c>
      <c r="AD345" s="495">
        <f t="shared" si="182"/>
        <v>-1.5680804416479677E-3</v>
      </c>
      <c r="AE345" s="248">
        <f t="shared" si="182"/>
        <v>-1.5680804416479677E-3</v>
      </c>
      <c r="AF345" s="495">
        <f t="shared" si="182"/>
        <v>-1.3261392434944633E-2</v>
      </c>
      <c r="AG345" s="495">
        <f t="shared" si="182"/>
        <v>1.1133198689828996E-2</v>
      </c>
      <c r="AH345" s="495">
        <f t="shared" si="182"/>
        <v>2.8720643703666171E-2</v>
      </c>
      <c r="AI345" s="495">
        <f t="shared" si="182"/>
        <v>2.1029187473164263E-2</v>
      </c>
      <c r="AJ345" s="248">
        <f t="shared" si="183"/>
        <v>2.1029187473164263E-2</v>
      </c>
      <c r="AK345" s="495">
        <f t="shared" si="183"/>
        <v>8.2403437635909932E-3</v>
      </c>
      <c r="AL345" s="312">
        <f t="shared" si="183"/>
        <v>-2.0477865828441882E-2</v>
      </c>
      <c r="AM345" s="249"/>
      <c r="AN345" s="249"/>
      <c r="AO345" s="248"/>
      <c r="AP345" s="249"/>
      <c r="AQ345" s="249"/>
      <c r="AR345" s="249"/>
      <c r="AS345" s="249"/>
      <c r="AT345" s="248"/>
      <c r="AU345" s="250"/>
      <c r="AV345" s="250"/>
      <c r="AW345" s="250"/>
      <c r="AX345" s="25"/>
    </row>
    <row r="346" spans="1:50" s="16" customFormat="1" x14ac:dyDescent="0.3">
      <c r="A346" s="246" t="s">
        <v>199</v>
      </c>
      <c r="B346" s="247"/>
      <c r="C346" s="248"/>
      <c r="D346" s="248">
        <f t="shared" si="180"/>
        <v>-3.3416627490762331E-2</v>
      </c>
      <c r="E346" s="248">
        <f t="shared" si="180"/>
        <v>7.4025889642374054E-2</v>
      </c>
      <c r="F346" s="248">
        <f t="shared" si="180"/>
        <v>-4.1484569848848504E-2</v>
      </c>
      <c r="G346" s="495"/>
      <c r="H346" s="495"/>
      <c r="I346" s="495"/>
      <c r="J346" s="495"/>
      <c r="K346" s="248">
        <f>K341-F341</f>
        <v>2.0024109004878055E-3</v>
      </c>
      <c r="L346" s="495"/>
      <c r="M346" s="495"/>
      <c r="N346" s="495"/>
      <c r="O346" s="495"/>
      <c r="P346" s="248">
        <f t="shared" si="181"/>
        <v>9.1195502285634222E-3</v>
      </c>
      <c r="Q346" s="495">
        <f t="shared" si="181"/>
        <v>8.4065068682201288E-3</v>
      </c>
      <c r="R346" s="495">
        <f t="shared" si="181"/>
        <v>1.4435490238584633E-2</v>
      </c>
      <c r="S346" s="495">
        <f t="shared" si="181"/>
        <v>-1.925451486476501E-2</v>
      </c>
      <c r="T346" s="495">
        <f t="shared" si="181"/>
        <v>-1.8097785955344781E-2</v>
      </c>
      <c r="U346" s="248">
        <f t="shared" si="181"/>
        <v>-1.8097785955344753E-2</v>
      </c>
      <c r="V346" s="495">
        <f t="shared" si="181"/>
        <v>-1.1556768582343196E-2</v>
      </c>
      <c r="W346" s="495">
        <f t="shared" si="181"/>
        <v>-1.5227323726748523E-2</v>
      </c>
      <c r="X346" s="495">
        <f t="shared" si="181"/>
        <v>-5.7646270987620277E-3</v>
      </c>
      <c r="Y346" s="495">
        <f t="shared" si="181"/>
        <v>1.6596644339110789E-3</v>
      </c>
      <c r="Z346" s="248">
        <f t="shared" si="182"/>
        <v>1.659664433911065E-3</v>
      </c>
      <c r="AA346" s="495">
        <f t="shared" si="182"/>
        <v>7.4567930737031579E-3</v>
      </c>
      <c r="AB346" s="495">
        <f t="shared" si="182"/>
        <v>-3.2526798152289343E-3</v>
      </c>
      <c r="AC346" s="495">
        <f t="shared" si="182"/>
        <v>-1.2464278444665911E-2</v>
      </c>
      <c r="AD346" s="495">
        <f t="shared" si="182"/>
        <v>-1.0267264977954077E-3</v>
      </c>
      <c r="AE346" s="248">
        <f t="shared" si="182"/>
        <v>-1.0267264977954077E-3</v>
      </c>
      <c r="AF346" s="495">
        <f t="shared" si="182"/>
        <v>-5.0734381244860322E-3</v>
      </c>
      <c r="AG346" s="495">
        <f t="shared" si="182"/>
        <v>2.9780905494309617E-3</v>
      </c>
      <c r="AH346" s="495">
        <f t="shared" si="182"/>
        <v>2.0762764499938545E-2</v>
      </c>
      <c r="AI346" s="495">
        <f t="shared" si="182"/>
        <v>-3.7967333067480541E-3</v>
      </c>
      <c r="AJ346" s="248">
        <f t="shared" si="183"/>
        <v>-3.7967333067480541E-3</v>
      </c>
      <c r="AK346" s="495">
        <f t="shared" si="183"/>
        <v>-1.4208682998766826E-2</v>
      </c>
      <c r="AL346" s="312">
        <f t="shared" si="183"/>
        <v>-1.0106844517506645E-2</v>
      </c>
      <c r="AM346" s="249"/>
      <c r="AN346" s="249"/>
      <c r="AO346" s="248"/>
      <c r="AP346" s="249"/>
      <c r="AQ346" s="249"/>
      <c r="AR346" s="249"/>
      <c r="AS346" s="249"/>
      <c r="AT346" s="248"/>
      <c r="AU346" s="250"/>
      <c r="AV346" s="250"/>
      <c r="AW346" s="250"/>
      <c r="AX346" s="25"/>
    </row>
    <row r="347" spans="1:50" s="16" customFormat="1" x14ac:dyDescent="0.3">
      <c r="A347" s="246" t="s">
        <v>535</v>
      </c>
      <c r="B347" s="247"/>
      <c r="C347" s="248"/>
      <c r="D347" s="248">
        <f t="shared" si="180"/>
        <v>-1.8053417596047866E-2</v>
      </c>
      <c r="E347" s="248">
        <f t="shared" si="180"/>
        <v>1.0407366513118174E-2</v>
      </c>
      <c r="F347" s="248">
        <f t="shared" si="180"/>
        <v>-8.7119694978486234E-3</v>
      </c>
      <c r="G347" s="495"/>
      <c r="H347" s="495"/>
      <c r="I347" s="495"/>
      <c r="J347" s="495"/>
      <c r="K347" s="248">
        <f>K342-F342</f>
        <v>1.943709477974162E-2</v>
      </c>
      <c r="L347" s="495"/>
      <c r="M347" s="495"/>
      <c r="N347" s="495"/>
      <c r="O347" s="495"/>
      <c r="P347" s="248">
        <f t="shared" si="181"/>
        <v>3.0143943563131492E-3</v>
      </c>
      <c r="Q347" s="495">
        <f t="shared" si="181"/>
        <v>-1.2999606580650316E-2</v>
      </c>
      <c r="R347" s="495">
        <f t="shared" si="181"/>
        <v>-7.1695062695895651E-3</v>
      </c>
      <c r="S347" s="495">
        <f t="shared" si="181"/>
        <v>-2.8148919358257252E-2</v>
      </c>
      <c r="T347" s="495">
        <f t="shared" si="181"/>
        <v>-2.0777933302326704E-2</v>
      </c>
      <c r="U347" s="248">
        <f t="shared" si="181"/>
        <v>-2.0777933302326662E-2</v>
      </c>
      <c r="V347" s="495">
        <f t="shared" si="181"/>
        <v>2.8349909940220783E-2</v>
      </c>
      <c r="W347" s="495">
        <f t="shared" si="181"/>
        <v>-1.3202479153143265E-2</v>
      </c>
      <c r="X347" s="495">
        <f t="shared" si="181"/>
        <v>4.044321149553512E-3</v>
      </c>
      <c r="Y347" s="495">
        <f t="shared" si="181"/>
        <v>9.6104094789083438E-3</v>
      </c>
      <c r="Z347" s="248">
        <f t="shared" si="182"/>
        <v>9.61040947890833E-3</v>
      </c>
      <c r="AA347" s="495">
        <f t="shared" si="182"/>
        <v>-2.4477600298362379E-2</v>
      </c>
      <c r="AB347" s="495">
        <f t="shared" si="182"/>
        <v>-3.7083014044735491E-3</v>
      </c>
      <c r="AC347" s="495">
        <f t="shared" si="182"/>
        <v>-3.356933304267215E-3</v>
      </c>
      <c r="AD347" s="495">
        <f t="shared" si="182"/>
        <v>9.5296798607046734E-3</v>
      </c>
      <c r="AE347" s="248">
        <f t="shared" si="182"/>
        <v>9.5296798607046734E-3</v>
      </c>
      <c r="AF347" s="495">
        <f t="shared" si="182"/>
        <v>-9.9133077121336954E-3</v>
      </c>
      <c r="AG347" s="495">
        <f t="shared" si="182"/>
        <v>1.5411124150464681E-2</v>
      </c>
      <c r="AH347" s="495">
        <f t="shared" si="182"/>
        <v>-1.1001729910066288E-2</v>
      </c>
      <c r="AI347" s="495">
        <f t="shared" si="182"/>
        <v>-2.0084151063258393E-2</v>
      </c>
      <c r="AJ347" s="248">
        <f t="shared" si="183"/>
        <v>-2.0084151063258393E-2</v>
      </c>
      <c r="AK347" s="495">
        <f t="shared" si="183"/>
        <v>1.1417684037524911E-2</v>
      </c>
      <c r="AL347" s="312">
        <f t="shared" si="183"/>
        <v>-6.9266284918930304E-3</v>
      </c>
      <c r="AM347" s="249"/>
      <c r="AN347" s="249"/>
      <c r="AO347" s="248"/>
      <c r="AP347" s="249"/>
      <c r="AQ347" s="249"/>
      <c r="AR347" s="249"/>
      <c r="AS347" s="249"/>
      <c r="AT347" s="248"/>
      <c r="AU347" s="250"/>
      <c r="AV347" s="250"/>
      <c r="AW347" s="250"/>
      <c r="AX347" s="25"/>
    </row>
    <row r="348" spans="1:50" s="9" customFormat="1" x14ac:dyDescent="0.3">
      <c r="A348" s="496"/>
      <c r="B348" s="497"/>
      <c r="C348" s="243"/>
      <c r="D348" s="243"/>
      <c r="E348" s="243"/>
      <c r="F348" s="243"/>
      <c r="G348" s="244"/>
      <c r="H348" s="244"/>
      <c r="I348" s="244"/>
      <c r="J348" s="244"/>
      <c r="K348" s="243"/>
      <c r="L348" s="244"/>
      <c r="M348" s="244"/>
      <c r="N348" s="244"/>
      <c r="O348" s="244"/>
      <c r="P348" s="243"/>
      <c r="Q348" s="244"/>
      <c r="R348" s="244"/>
      <c r="S348" s="244"/>
      <c r="T348" s="244"/>
      <c r="U348" s="243"/>
      <c r="V348" s="244"/>
      <c r="W348" s="244"/>
      <c r="X348" s="244"/>
      <c r="Y348" s="244"/>
      <c r="Z348" s="243"/>
      <c r="AA348" s="244"/>
      <c r="AB348" s="244"/>
      <c r="AC348" s="244"/>
      <c r="AD348" s="244"/>
      <c r="AE348" s="243"/>
      <c r="AF348" s="244"/>
      <c r="AG348" s="244"/>
      <c r="AH348" s="244"/>
      <c r="AI348" s="244"/>
      <c r="AJ348" s="243"/>
      <c r="AK348" s="244"/>
      <c r="AL348" s="313"/>
      <c r="AM348" s="244"/>
      <c r="AN348" s="244"/>
      <c r="AO348" s="243"/>
      <c r="AP348" s="244"/>
      <c r="AQ348" s="244"/>
      <c r="AR348" s="244"/>
      <c r="AS348" s="244"/>
      <c r="AT348" s="243"/>
      <c r="AU348" s="243"/>
      <c r="AV348" s="243"/>
      <c r="AW348" s="243"/>
      <c r="AX348" s="22"/>
    </row>
    <row r="349" spans="1:50" s="9" customFormat="1" x14ac:dyDescent="0.3">
      <c r="A349" s="45" t="s">
        <v>201</v>
      </c>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306"/>
      <c r="AM349" s="45"/>
      <c r="AN349" s="45"/>
      <c r="AO349" s="45"/>
      <c r="AP349" s="45"/>
      <c r="AQ349" s="45"/>
      <c r="AR349" s="45"/>
      <c r="AS349" s="45"/>
      <c r="AT349" s="45"/>
      <c r="AU349" s="45"/>
      <c r="AV349" s="45"/>
      <c r="AW349" s="45"/>
      <c r="AX349" s="22"/>
    </row>
    <row r="350" spans="1:50" s="9" customFormat="1" x14ac:dyDescent="0.3">
      <c r="A350" s="35" t="s">
        <v>202</v>
      </c>
      <c r="B350" s="103"/>
      <c r="C350" s="4"/>
      <c r="D350" s="4"/>
      <c r="E350" s="4"/>
      <c r="F350" s="4"/>
      <c r="G350" s="22"/>
      <c r="H350" s="22"/>
      <c r="I350" s="22"/>
      <c r="J350" s="22"/>
      <c r="K350" s="4"/>
      <c r="L350" s="22"/>
      <c r="M350" s="22"/>
      <c r="N350" s="22"/>
      <c r="O350" s="22"/>
      <c r="P350" s="4"/>
      <c r="Q350" s="22"/>
      <c r="R350" s="22"/>
      <c r="S350" s="22"/>
      <c r="T350" s="22"/>
      <c r="U350" s="4"/>
      <c r="V350" s="22"/>
      <c r="W350" s="22"/>
      <c r="X350" s="22"/>
      <c r="Y350" s="22"/>
      <c r="Z350" s="4"/>
      <c r="AA350" s="22"/>
      <c r="AB350" s="22"/>
      <c r="AC350" s="22"/>
      <c r="AD350" s="22"/>
      <c r="AE350" s="4"/>
      <c r="AF350" s="22"/>
      <c r="AG350" s="22"/>
      <c r="AH350" s="22"/>
      <c r="AI350" s="22"/>
      <c r="AJ350" s="4"/>
      <c r="AK350" s="22"/>
      <c r="AL350" s="308"/>
      <c r="AM350" s="22"/>
      <c r="AN350" s="22"/>
      <c r="AO350" s="4"/>
      <c r="AP350" s="22"/>
      <c r="AQ350" s="22"/>
      <c r="AR350" s="22"/>
      <c r="AS350" s="22"/>
      <c r="AT350" s="4"/>
      <c r="AU350" s="4"/>
      <c r="AV350" s="4"/>
      <c r="AW350" s="4"/>
      <c r="AX350" s="22"/>
    </row>
    <row r="351" spans="1:50" s="5" customFormat="1" x14ac:dyDescent="0.3">
      <c r="A351" s="36" t="s">
        <v>203</v>
      </c>
      <c r="B351" s="376"/>
      <c r="C351" s="343">
        <v>43.64</v>
      </c>
      <c r="D351" s="343">
        <v>107.994</v>
      </c>
      <c r="E351" s="343">
        <v>181.25800000000001</v>
      </c>
      <c r="F351" s="343">
        <v>117.054</v>
      </c>
      <c r="G351" s="228">
        <v>126.259</v>
      </c>
      <c r="H351" s="228">
        <v>126.48</v>
      </c>
      <c r="I351" s="228">
        <v>37.878</v>
      </c>
      <c r="J351" s="228">
        <f>K351</f>
        <v>63.164000000000001</v>
      </c>
      <c r="K351" s="343">
        <v>63.164000000000001</v>
      </c>
      <c r="L351" s="228">
        <v>48.014000000000003</v>
      </c>
      <c r="M351" s="228">
        <v>44.021999999999998</v>
      </c>
      <c r="N351" s="228">
        <v>54.851999999999997</v>
      </c>
      <c r="O351" s="228">
        <f>P351</f>
        <v>51.326000000000001</v>
      </c>
      <c r="P351" s="343">
        <v>51.326000000000001</v>
      </c>
      <c r="Q351" s="228">
        <v>61.655999999999999</v>
      </c>
      <c r="R351" s="228">
        <v>68.203000000000003</v>
      </c>
      <c r="S351" s="228">
        <v>140.511</v>
      </c>
      <c r="T351" s="228">
        <f>U351</f>
        <v>263.19900000000001</v>
      </c>
      <c r="U351" s="343">
        <v>263.19900000000001</v>
      </c>
      <c r="V351" s="228">
        <v>117.91200000000001</v>
      </c>
      <c r="W351" s="228">
        <v>63.500999999999998</v>
      </c>
      <c r="X351" s="228">
        <v>55.454999999999998</v>
      </c>
      <c r="Y351" s="93">
        <f t="shared" ref="Y351:Y357" si="184">Z351</f>
        <v>56.78</v>
      </c>
      <c r="Z351" s="344">
        <v>56.78</v>
      </c>
      <c r="AA351" s="228">
        <v>58.356999999999999</v>
      </c>
      <c r="AB351" s="228">
        <v>55.722000000000001</v>
      </c>
      <c r="AC351" s="228">
        <v>58.415999999999997</v>
      </c>
      <c r="AD351" s="93">
        <f t="shared" ref="AD351:AD357" si="185">AE351</f>
        <v>62.472999999999999</v>
      </c>
      <c r="AE351" s="344">
        <v>62.472999999999999</v>
      </c>
      <c r="AF351" s="228">
        <v>90.578000000000003</v>
      </c>
      <c r="AG351" s="228">
        <v>63.421999999999997</v>
      </c>
      <c r="AH351" s="228">
        <v>64.248000000000005</v>
      </c>
      <c r="AI351" s="93">
        <f t="shared" ref="AI351:AI357" si="186">AJ351</f>
        <v>56.765999999999998</v>
      </c>
      <c r="AJ351" s="344">
        <v>56.765999999999998</v>
      </c>
      <c r="AK351" s="228">
        <v>75.352000000000004</v>
      </c>
      <c r="AL351" s="322">
        <v>53.781999999999996</v>
      </c>
      <c r="AM351" s="93"/>
      <c r="AN351" s="93"/>
      <c r="AO351" s="344"/>
      <c r="AP351" s="93"/>
      <c r="AQ351" s="93"/>
      <c r="AR351" s="93"/>
      <c r="AS351" s="93"/>
      <c r="AT351" s="344"/>
      <c r="AU351" s="344"/>
      <c r="AV351" s="344"/>
      <c r="AW351" s="344"/>
      <c r="AX351" s="228"/>
    </row>
    <row r="352" spans="1:50" s="5" customFormat="1" x14ac:dyDescent="0.3">
      <c r="A352" s="36" t="s">
        <v>536</v>
      </c>
      <c r="B352" s="376"/>
      <c r="C352" s="343">
        <v>166.357</v>
      </c>
      <c r="D352" s="343">
        <v>141.959</v>
      </c>
      <c r="E352" s="343">
        <v>52.372999999999998</v>
      </c>
      <c r="F352" s="343">
        <v>302.59300000000002</v>
      </c>
      <c r="G352" s="228">
        <v>269.935</v>
      </c>
      <c r="H352" s="228">
        <v>231.06200000000001</v>
      </c>
      <c r="I352" s="228">
        <v>257.67200000000003</v>
      </c>
      <c r="J352" s="228">
        <f>K352</f>
        <v>263.52800000000002</v>
      </c>
      <c r="K352" s="343">
        <v>263.52800000000002</v>
      </c>
      <c r="L352" s="228">
        <v>288.46600000000001</v>
      </c>
      <c r="M352" s="228">
        <v>296.05099999999999</v>
      </c>
      <c r="N352" s="228">
        <v>295.79500000000002</v>
      </c>
      <c r="O352" s="228">
        <f>P352</f>
        <v>334.03800000000001</v>
      </c>
      <c r="P352" s="343">
        <v>334.03800000000001</v>
      </c>
      <c r="Q352" s="228">
        <v>367.46800000000002</v>
      </c>
      <c r="R352" s="228">
        <v>395.34399999999999</v>
      </c>
      <c r="S352" s="228">
        <v>345.09100000000001</v>
      </c>
      <c r="T352" s="228">
        <f>U352</f>
        <v>247.31399999999999</v>
      </c>
      <c r="U352" s="343">
        <v>247.31399999999999</v>
      </c>
      <c r="V352" s="228">
        <v>143.92599999999999</v>
      </c>
      <c r="W352" s="228">
        <v>212.95400000000001</v>
      </c>
      <c r="X352" s="228">
        <v>236.934</v>
      </c>
      <c r="Y352" s="93">
        <f t="shared" si="184"/>
        <v>271.661</v>
      </c>
      <c r="Z352" s="344">
        <v>271.661</v>
      </c>
      <c r="AA352" s="228">
        <v>266.83300000000003</v>
      </c>
      <c r="AB352" s="228">
        <v>254.54499999999999</v>
      </c>
      <c r="AC352" s="228">
        <v>287.74299999999999</v>
      </c>
      <c r="AD352" s="93">
        <f t="shared" si="185"/>
        <v>211.28100000000001</v>
      </c>
      <c r="AE352" s="344">
        <v>211.28100000000001</v>
      </c>
      <c r="AF352" s="228">
        <v>195.726</v>
      </c>
      <c r="AG352" s="228">
        <v>219.22499999999999</v>
      </c>
      <c r="AH352" s="228">
        <v>285.95499999999998</v>
      </c>
      <c r="AI352" s="93">
        <f t="shared" si="186"/>
        <v>381.72399999999999</v>
      </c>
      <c r="AJ352" s="344">
        <v>381.72399999999999</v>
      </c>
      <c r="AK352" s="228">
        <v>477.21100000000001</v>
      </c>
      <c r="AL352" s="322">
        <v>556.80600000000004</v>
      </c>
      <c r="AM352" s="93"/>
      <c r="AN352" s="93"/>
      <c r="AO352" s="344"/>
      <c r="AP352" s="93"/>
      <c r="AQ352" s="93"/>
      <c r="AR352" s="93"/>
      <c r="AS352" s="93"/>
      <c r="AT352" s="344"/>
      <c r="AU352" s="344"/>
      <c r="AV352" s="344"/>
      <c r="AW352" s="344"/>
      <c r="AX352" s="228"/>
    </row>
    <row r="353" spans="1:50" s="5" customFormat="1" x14ac:dyDescent="0.3">
      <c r="A353" s="36" t="s">
        <v>521</v>
      </c>
      <c r="B353" s="376"/>
      <c r="C353" s="343">
        <v>3.16</v>
      </c>
      <c r="D353" s="343">
        <v>3.3530000000000002</v>
      </c>
      <c r="E353" s="343">
        <v>4.452</v>
      </c>
      <c r="F353" s="343">
        <v>3.2290000000000001</v>
      </c>
      <c r="G353" s="228">
        <v>3.3159999999999998</v>
      </c>
      <c r="H353" s="228">
        <v>50.356000000000002</v>
      </c>
      <c r="I353" s="228">
        <v>3.5270000000000001</v>
      </c>
      <c r="J353" s="228">
        <f>K353</f>
        <v>0</v>
      </c>
      <c r="K353" s="343"/>
      <c r="L353" s="228"/>
      <c r="M353" s="228"/>
      <c r="N353" s="228">
        <v>3.6040000000000001</v>
      </c>
      <c r="O353" s="228">
        <f>P353</f>
        <v>3.6040000000000001</v>
      </c>
      <c r="P353" s="343">
        <v>3.6040000000000001</v>
      </c>
      <c r="Q353" s="228">
        <v>3.6040000000000001</v>
      </c>
      <c r="R353" s="228">
        <v>3.6040000000000001</v>
      </c>
      <c r="S353" s="228"/>
      <c r="T353" s="228">
        <f>U353</f>
        <v>0</v>
      </c>
      <c r="U353" s="343">
        <v>0</v>
      </c>
      <c r="V353" s="228"/>
      <c r="W353" s="228">
        <v>0</v>
      </c>
      <c r="X353" s="228">
        <v>0</v>
      </c>
      <c r="Y353" s="93">
        <f t="shared" si="184"/>
        <v>0</v>
      </c>
      <c r="Z353" s="344">
        <v>0</v>
      </c>
      <c r="AA353" s="228"/>
      <c r="AB353" s="228"/>
      <c r="AC353" s="228"/>
      <c r="AD353" s="93">
        <f t="shared" si="185"/>
        <v>0</v>
      </c>
      <c r="AE353" s="344"/>
      <c r="AF353" s="228"/>
      <c r="AG353" s="228"/>
      <c r="AH353" s="228"/>
      <c r="AI353" s="93">
        <f t="shared" si="186"/>
        <v>0</v>
      </c>
      <c r="AJ353" s="344"/>
      <c r="AK353" s="228"/>
      <c r="AL353" s="322"/>
      <c r="AM353" s="93"/>
      <c r="AN353" s="93"/>
      <c r="AO353" s="344"/>
      <c r="AP353" s="93"/>
      <c r="AQ353" s="93"/>
      <c r="AR353" s="93"/>
      <c r="AS353" s="93"/>
      <c r="AT353" s="344"/>
      <c r="AU353" s="344"/>
      <c r="AV353" s="344"/>
      <c r="AW353" s="344"/>
      <c r="AX353" s="228"/>
    </row>
    <row r="354" spans="1:50" s="5" customFormat="1" x14ac:dyDescent="0.3">
      <c r="A354" s="36" t="s">
        <v>205</v>
      </c>
      <c r="B354" s="376"/>
      <c r="C354" s="343">
        <v>20.417999999999999</v>
      </c>
      <c r="D354" s="343">
        <v>19.893000000000001</v>
      </c>
      <c r="E354" s="343">
        <v>48.215000000000003</v>
      </c>
      <c r="F354" s="343">
        <v>56.8</v>
      </c>
      <c r="G354" s="228">
        <v>59.145000000000003</v>
      </c>
      <c r="H354" s="228">
        <v>67.602000000000004</v>
      </c>
      <c r="I354" s="228">
        <v>73.832999999999998</v>
      </c>
      <c r="J354" s="228">
        <f>K354</f>
        <v>69.48</v>
      </c>
      <c r="K354" s="343">
        <v>69.48</v>
      </c>
      <c r="L354" s="228">
        <v>65.093999999999994</v>
      </c>
      <c r="M354" s="228">
        <v>69.361000000000004</v>
      </c>
      <c r="N354" s="228">
        <v>72.959000000000003</v>
      </c>
      <c r="O354" s="228">
        <f>P354</f>
        <v>64.921999999999997</v>
      </c>
      <c r="P354" s="343">
        <v>64.921999999999997</v>
      </c>
      <c r="Q354" s="228">
        <v>55.917000000000002</v>
      </c>
      <c r="R354" s="228">
        <v>61.003999999999998</v>
      </c>
      <c r="S354" s="228">
        <v>64.692999999999998</v>
      </c>
      <c r="T354" s="228">
        <f>U354</f>
        <v>84.272999999999996</v>
      </c>
      <c r="U354" s="343">
        <v>84.272999999999996</v>
      </c>
      <c r="V354" s="228">
        <v>105.114</v>
      </c>
      <c r="W354" s="228">
        <v>117.32299999999999</v>
      </c>
      <c r="X354" s="228">
        <v>133.13499999999999</v>
      </c>
      <c r="Y354" s="93">
        <f t="shared" si="184"/>
        <v>141.768</v>
      </c>
      <c r="Z354" s="344">
        <v>141.768</v>
      </c>
      <c r="AA354" s="228">
        <v>126.236</v>
      </c>
      <c r="AB354" s="228">
        <v>149.548</v>
      </c>
      <c r="AC354" s="228">
        <v>133.61799999999999</v>
      </c>
      <c r="AD354" s="93">
        <f t="shared" si="185"/>
        <v>154.21299999999999</v>
      </c>
      <c r="AE354" s="344">
        <v>154.21299999999999</v>
      </c>
      <c r="AF354" s="228">
        <v>142.89699999999999</v>
      </c>
      <c r="AG354" s="228">
        <v>155.66399999999999</v>
      </c>
      <c r="AH354" s="228">
        <v>142.77199999999999</v>
      </c>
      <c r="AI354" s="93">
        <f t="shared" si="186"/>
        <v>150.625</v>
      </c>
      <c r="AJ354" s="344">
        <v>150.625</v>
      </c>
      <c r="AK354" s="228">
        <v>171.71799999999999</v>
      </c>
      <c r="AL354" s="322">
        <v>200.351</v>
      </c>
      <c r="AM354" s="93"/>
      <c r="AN354" s="93"/>
      <c r="AO354" s="344"/>
      <c r="AP354" s="93"/>
      <c r="AQ354" s="93"/>
      <c r="AR354" s="93"/>
      <c r="AS354" s="93"/>
      <c r="AT354" s="344"/>
      <c r="AU354" s="344"/>
      <c r="AV354" s="344"/>
      <c r="AW354" s="344"/>
      <c r="AX354" s="228"/>
    </row>
    <row r="355" spans="1:50" s="5" customFormat="1" x14ac:dyDescent="0.3">
      <c r="A355" s="36" t="s">
        <v>155</v>
      </c>
      <c r="B355" s="376"/>
      <c r="C355" s="343">
        <v>9.3279999999999994</v>
      </c>
      <c r="D355" s="343">
        <v>11.717000000000001</v>
      </c>
      <c r="E355" s="343">
        <v>24.954999999999998</v>
      </c>
      <c r="F355" s="343">
        <v>43.317999999999998</v>
      </c>
      <c r="G355" s="228">
        <v>45.671999999999997</v>
      </c>
      <c r="H355" s="228">
        <v>36.484999999999999</v>
      </c>
      <c r="I355" s="228">
        <v>32.47</v>
      </c>
      <c r="J355" s="228">
        <f>K355</f>
        <v>36.47</v>
      </c>
      <c r="K355" s="343">
        <v>36.47</v>
      </c>
      <c r="L355" s="228">
        <v>38.765999999999998</v>
      </c>
      <c r="M355" s="228">
        <v>37.091999999999999</v>
      </c>
      <c r="N355" s="228">
        <v>39.326000000000001</v>
      </c>
      <c r="O355" s="228">
        <f>P355</f>
        <v>44.47</v>
      </c>
      <c r="P355" s="343">
        <v>44.47</v>
      </c>
      <c r="Q355" s="228">
        <v>50.948999999999998</v>
      </c>
      <c r="R355" s="228">
        <v>62.805</v>
      </c>
      <c r="S355" s="228">
        <v>63.110999999999997</v>
      </c>
      <c r="T355" s="228">
        <f>U355</f>
        <v>62.472999999999999</v>
      </c>
      <c r="U355" s="343">
        <v>62.472999999999999</v>
      </c>
      <c r="V355" s="228">
        <v>72.271000000000001</v>
      </c>
      <c r="W355" s="228">
        <v>64.650999999999996</v>
      </c>
      <c r="X355" s="228">
        <v>61.91</v>
      </c>
      <c r="Y355" s="93">
        <f t="shared" si="184"/>
        <v>65.522999999999996</v>
      </c>
      <c r="Z355" s="344">
        <v>65.522999999999996</v>
      </c>
      <c r="AA355" s="228">
        <v>75.346999999999994</v>
      </c>
      <c r="AB355" s="228">
        <v>71.960999999999999</v>
      </c>
      <c r="AC355" s="228">
        <v>61.609000000000002</v>
      </c>
      <c r="AD355" s="93">
        <f t="shared" si="185"/>
        <v>64.656999999999996</v>
      </c>
      <c r="AE355" s="344">
        <v>64.656999999999996</v>
      </c>
      <c r="AF355" s="228">
        <v>69.885999999999996</v>
      </c>
      <c r="AG355" s="228">
        <v>94.483999999999995</v>
      </c>
      <c r="AH355" s="228">
        <v>105.04900000000001</v>
      </c>
      <c r="AI355" s="93">
        <f t="shared" si="186"/>
        <v>104.381</v>
      </c>
      <c r="AJ355" s="344">
        <v>104.381</v>
      </c>
      <c r="AK355" s="228">
        <v>95.656000000000006</v>
      </c>
      <c r="AL355" s="322">
        <v>89.65</v>
      </c>
      <c r="AM355" s="93"/>
      <c r="AN355" s="93"/>
      <c r="AO355" s="344"/>
      <c r="AP355" s="93"/>
      <c r="AQ355" s="93"/>
      <c r="AR355" s="93"/>
      <c r="AS355" s="93"/>
      <c r="AT355" s="344"/>
      <c r="AU355" s="344"/>
      <c r="AV355" s="344"/>
      <c r="AW355" s="344"/>
      <c r="AX355" s="228"/>
    </row>
    <row r="356" spans="1:50" s="5" customFormat="1" x14ac:dyDescent="0.3">
      <c r="A356" s="36" t="s">
        <v>537</v>
      </c>
      <c r="B356" s="376"/>
      <c r="C356" s="343">
        <v>8.6050000000000004</v>
      </c>
      <c r="D356" s="343">
        <v>0.61599999999999999</v>
      </c>
      <c r="E356" s="343"/>
      <c r="F356" s="343"/>
      <c r="G356" s="228"/>
      <c r="H356" s="228"/>
      <c r="I356" s="228"/>
      <c r="J356" s="228"/>
      <c r="K356" s="343"/>
      <c r="L356" s="228"/>
      <c r="M356" s="228"/>
      <c r="N356" s="228"/>
      <c r="O356" s="228"/>
      <c r="P356" s="343"/>
      <c r="Q356" s="228"/>
      <c r="R356" s="228"/>
      <c r="S356" s="228"/>
      <c r="T356" s="228"/>
      <c r="U356" s="343"/>
      <c r="V356" s="228"/>
      <c r="W356" s="228">
        <v>0</v>
      </c>
      <c r="X356" s="228">
        <v>0</v>
      </c>
      <c r="Y356" s="93">
        <f t="shared" si="184"/>
        <v>0</v>
      </c>
      <c r="Z356" s="344">
        <v>0</v>
      </c>
      <c r="AA356" s="228"/>
      <c r="AB356" s="228"/>
      <c r="AC356" s="228"/>
      <c r="AD356" s="93">
        <f t="shared" si="185"/>
        <v>0</v>
      </c>
      <c r="AE356" s="344"/>
      <c r="AF356" s="228"/>
      <c r="AG356" s="228"/>
      <c r="AH356" s="228"/>
      <c r="AI356" s="93">
        <f t="shared" si="186"/>
        <v>0</v>
      </c>
      <c r="AJ356" s="344"/>
      <c r="AK356" s="228"/>
      <c r="AL356" s="322"/>
      <c r="AM356" s="93"/>
      <c r="AN356" s="93"/>
      <c r="AO356" s="344"/>
      <c r="AP356" s="93"/>
      <c r="AQ356" s="93"/>
      <c r="AR356" s="93"/>
      <c r="AS356" s="93"/>
      <c r="AT356" s="344"/>
      <c r="AU356" s="344"/>
      <c r="AV356" s="344"/>
      <c r="AW356" s="344"/>
      <c r="AX356" s="228"/>
    </row>
    <row r="357" spans="1:50" s="5" customFormat="1" x14ac:dyDescent="0.3">
      <c r="A357" s="36" t="s">
        <v>538</v>
      </c>
      <c r="B357" s="376"/>
      <c r="C357" s="343">
        <v>3.8250000000000002</v>
      </c>
      <c r="D357" s="343">
        <v>3.871</v>
      </c>
      <c r="E357" s="343">
        <v>7.3730000000000002</v>
      </c>
      <c r="F357" s="343">
        <v>15.616</v>
      </c>
      <c r="G357" s="228">
        <v>16.762</v>
      </c>
      <c r="H357" s="228">
        <v>13.291</v>
      </c>
      <c r="I357" s="228">
        <v>16.231999999999999</v>
      </c>
      <c r="J357" s="228">
        <f>K357</f>
        <v>17.581</v>
      </c>
      <c r="K357" s="343">
        <v>17.581</v>
      </c>
      <c r="L357" s="228">
        <v>18.498000000000001</v>
      </c>
      <c r="M357" s="228">
        <v>21.053999999999998</v>
      </c>
      <c r="N357" s="228">
        <v>24.510999999999999</v>
      </c>
      <c r="O357" s="228">
        <f>P357</f>
        <v>15.875999999999999</v>
      </c>
      <c r="P357" s="343">
        <v>15.875999999999999</v>
      </c>
      <c r="Q357" s="228">
        <v>15.465999999999999</v>
      </c>
      <c r="R357" s="228">
        <v>21.88</v>
      </c>
      <c r="S357" s="228">
        <v>21.106999999999999</v>
      </c>
      <c r="T357" s="228">
        <f>U357</f>
        <v>19.978999999999999</v>
      </c>
      <c r="U357" s="343">
        <v>19.978999999999999</v>
      </c>
      <c r="V357" s="228">
        <v>22.907</v>
      </c>
      <c r="W357" s="228">
        <v>20.498000000000001</v>
      </c>
      <c r="X357" s="228">
        <v>20.038</v>
      </c>
      <c r="Y357" s="93">
        <f t="shared" si="184"/>
        <v>17.346</v>
      </c>
      <c r="Z357" s="344">
        <v>17.346</v>
      </c>
      <c r="AA357" s="228">
        <v>23.007000000000001</v>
      </c>
      <c r="AB357" s="228">
        <v>20.725999999999999</v>
      </c>
      <c r="AC357" s="228">
        <v>20.222000000000001</v>
      </c>
      <c r="AD357" s="93">
        <f t="shared" si="185"/>
        <v>14.295</v>
      </c>
      <c r="AE357" s="344">
        <v>14.295</v>
      </c>
      <c r="AF357" s="228">
        <v>15.553000000000001</v>
      </c>
      <c r="AG357" s="228">
        <v>12.007</v>
      </c>
      <c r="AH357" s="228">
        <v>14.675000000000001</v>
      </c>
      <c r="AI357" s="93">
        <f t="shared" si="186"/>
        <v>16.942</v>
      </c>
      <c r="AJ357" s="344">
        <v>16.942</v>
      </c>
      <c r="AK357" s="345">
        <v>23.32</v>
      </c>
      <c r="AL357" s="346">
        <v>20.895</v>
      </c>
      <c r="AM357" s="93"/>
      <c r="AN357" s="93"/>
      <c r="AO357" s="344"/>
      <c r="AP357" s="93"/>
      <c r="AQ357" s="93"/>
      <c r="AR357" s="93"/>
      <c r="AS357" s="93"/>
      <c r="AT357" s="344"/>
      <c r="AU357" s="344"/>
      <c r="AV357" s="344"/>
      <c r="AW357" s="344"/>
      <c r="AX357" s="228"/>
    </row>
    <row r="358" spans="1:50" s="9" customFormat="1" x14ac:dyDescent="0.3">
      <c r="A358" s="347" t="s">
        <v>206</v>
      </c>
      <c r="B358" s="377"/>
      <c r="C358" s="349">
        <f t="shared" ref="C358:AL358" si="187">SUM(C351:C357)</f>
        <v>255.333</v>
      </c>
      <c r="D358" s="349">
        <f t="shared" si="187"/>
        <v>289.40299999999996</v>
      </c>
      <c r="E358" s="349">
        <f t="shared" si="187"/>
        <v>318.62599999999998</v>
      </c>
      <c r="F358" s="349">
        <f t="shared" si="187"/>
        <v>538.61</v>
      </c>
      <c r="G358" s="350">
        <f t="shared" si="187"/>
        <v>521.08899999999994</v>
      </c>
      <c r="H358" s="350">
        <f t="shared" si="187"/>
        <v>525.27600000000007</v>
      </c>
      <c r="I358" s="350">
        <f t="shared" si="187"/>
        <v>421.61199999999997</v>
      </c>
      <c r="J358" s="350">
        <f t="shared" si="187"/>
        <v>450.22300000000007</v>
      </c>
      <c r="K358" s="349">
        <f t="shared" si="187"/>
        <v>450.22300000000007</v>
      </c>
      <c r="L358" s="350">
        <f t="shared" si="187"/>
        <v>458.83800000000002</v>
      </c>
      <c r="M358" s="350">
        <f t="shared" si="187"/>
        <v>467.57999999999993</v>
      </c>
      <c r="N358" s="350">
        <f t="shared" si="187"/>
        <v>491.04700000000003</v>
      </c>
      <c r="O358" s="350">
        <f t="shared" si="187"/>
        <v>514.23599999999999</v>
      </c>
      <c r="P358" s="349">
        <f t="shared" si="187"/>
        <v>514.23599999999999</v>
      </c>
      <c r="Q358" s="350">
        <f t="shared" si="187"/>
        <v>555.05999999999995</v>
      </c>
      <c r="R358" s="350">
        <f t="shared" si="187"/>
        <v>612.83999999999992</v>
      </c>
      <c r="S358" s="350">
        <f t="shared" si="187"/>
        <v>634.51299999999992</v>
      </c>
      <c r="T358" s="350">
        <f t="shared" si="187"/>
        <v>677.23800000000006</v>
      </c>
      <c r="U358" s="349">
        <f t="shared" si="187"/>
        <v>677.23800000000006</v>
      </c>
      <c r="V358" s="350">
        <f t="shared" si="187"/>
        <v>462.13</v>
      </c>
      <c r="W358" s="350">
        <f t="shared" si="187"/>
        <v>478.92699999999996</v>
      </c>
      <c r="X358" s="350">
        <f t="shared" si="187"/>
        <v>507.47199999999998</v>
      </c>
      <c r="Y358" s="351">
        <f t="shared" si="187"/>
        <v>553.07800000000009</v>
      </c>
      <c r="Z358" s="352">
        <f t="shared" si="187"/>
        <v>553.07800000000009</v>
      </c>
      <c r="AA358" s="350">
        <f t="shared" si="187"/>
        <v>549.78</v>
      </c>
      <c r="AB358" s="350">
        <f t="shared" si="187"/>
        <v>552.50199999999995</v>
      </c>
      <c r="AC358" s="350">
        <f t="shared" si="187"/>
        <v>561.60799999999995</v>
      </c>
      <c r="AD358" s="351">
        <f t="shared" si="187"/>
        <v>506.91899999999998</v>
      </c>
      <c r="AE358" s="352">
        <f t="shared" si="187"/>
        <v>506.91899999999998</v>
      </c>
      <c r="AF358" s="350">
        <f t="shared" si="187"/>
        <v>514.64</v>
      </c>
      <c r="AG358" s="350">
        <f t="shared" si="187"/>
        <v>544.80199999999991</v>
      </c>
      <c r="AH358" s="350">
        <f t="shared" si="187"/>
        <v>612.69899999999996</v>
      </c>
      <c r="AI358" s="351">
        <f t="shared" si="187"/>
        <v>710.43799999999999</v>
      </c>
      <c r="AJ358" s="352">
        <f t="shared" si="187"/>
        <v>710.43799999999999</v>
      </c>
      <c r="AK358" s="350">
        <f t="shared" si="187"/>
        <v>843.25699999999995</v>
      </c>
      <c r="AL358" s="353">
        <f t="shared" si="187"/>
        <v>921.48400000000004</v>
      </c>
      <c r="AM358" s="351"/>
      <c r="AN358" s="351"/>
      <c r="AO358" s="352"/>
      <c r="AP358" s="351"/>
      <c r="AQ358" s="351"/>
      <c r="AR358" s="351"/>
      <c r="AS358" s="351"/>
      <c r="AT358" s="352"/>
      <c r="AU358" s="352"/>
      <c r="AV358" s="352"/>
      <c r="AW358" s="352"/>
      <c r="AX358" s="22"/>
    </row>
    <row r="359" spans="1:50" s="9" customFormat="1" x14ac:dyDescent="0.3">
      <c r="A359" s="35"/>
      <c r="B359" s="103"/>
      <c r="C359" s="4"/>
      <c r="D359" s="4"/>
      <c r="E359" s="4"/>
      <c r="F359" s="4"/>
      <c r="G359" s="22"/>
      <c r="H359" s="22"/>
      <c r="I359" s="22"/>
      <c r="J359" s="22"/>
      <c r="K359" s="4"/>
      <c r="L359" s="22"/>
      <c r="M359" s="22"/>
      <c r="N359" s="22"/>
      <c r="O359" s="22"/>
      <c r="P359" s="4"/>
      <c r="Q359" s="22"/>
      <c r="R359" s="22"/>
      <c r="S359" s="22"/>
      <c r="T359" s="22"/>
      <c r="U359" s="4"/>
      <c r="V359" s="22"/>
      <c r="W359" s="22"/>
      <c r="X359" s="22"/>
      <c r="Y359" s="22"/>
      <c r="Z359" s="4"/>
      <c r="AA359" s="22"/>
      <c r="AB359" s="22"/>
      <c r="AC359" s="22"/>
      <c r="AD359" s="22"/>
      <c r="AE359" s="4"/>
      <c r="AF359" s="22"/>
      <c r="AG359" s="22"/>
      <c r="AH359" s="22"/>
      <c r="AI359" s="22"/>
      <c r="AJ359" s="4"/>
      <c r="AK359" s="22"/>
      <c r="AL359" s="308"/>
      <c r="AM359" s="22"/>
      <c r="AN359" s="22"/>
      <c r="AO359" s="4"/>
      <c r="AP359" s="22"/>
      <c r="AQ359" s="22"/>
      <c r="AR359" s="22"/>
      <c r="AS359" s="22"/>
      <c r="AT359" s="4"/>
      <c r="AU359" s="4"/>
      <c r="AV359" s="4"/>
      <c r="AW359" s="4"/>
      <c r="AX359" s="22"/>
    </row>
    <row r="360" spans="1:50" s="9" customFormat="1" x14ac:dyDescent="0.3">
      <c r="A360" s="468" t="s">
        <v>207</v>
      </c>
      <c r="B360" s="103"/>
      <c r="C360" s="4"/>
      <c r="D360" s="4"/>
      <c r="E360" s="4"/>
      <c r="F360" s="4"/>
      <c r="G360" s="22"/>
      <c r="H360" s="22"/>
      <c r="I360" s="22"/>
      <c r="J360" s="22"/>
      <c r="K360" s="4"/>
      <c r="L360" s="22"/>
      <c r="M360" s="22"/>
      <c r="N360" s="22"/>
      <c r="O360" s="22"/>
      <c r="P360" s="4"/>
      <c r="Q360" s="22"/>
      <c r="R360" s="22"/>
      <c r="S360" s="22"/>
      <c r="T360" s="22"/>
      <c r="U360" s="4"/>
      <c r="V360" s="22"/>
      <c r="W360" s="22"/>
      <c r="X360" s="22"/>
      <c r="Y360" s="22"/>
      <c r="Z360" s="117"/>
      <c r="AA360" s="22"/>
      <c r="AB360" s="22"/>
      <c r="AC360" s="22"/>
      <c r="AD360" s="22"/>
      <c r="AE360" s="117"/>
      <c r="AF360" s="22"/>
      <c r="AG360" s="22"/>
      <c r="AH360" s="22"/>
      <c r="AI360" s="22"/>
      <c r="AJ360" s="117"/>
      <c r="AK360" s="22"/>
      <c r="AL360" s="308"/>
      <c r="AM360" s="22"/>
      <c r="AN360" s="22"/>
      <c r="AO360" s="117"/>
      <c r="AP360" s="22"/>
      <c r="AQ360" s="22"/>
      <c r="AR360" s="22"/>
      <c r="AS360" s="22"/>
      <c r="AT360" s="117"/>
      <c r="AU360" s="4"/>
      <c r="AV360" s="4"/>
      <c r="AW360" s="4"/>
      <c r="AX360" s="22"/>
    </row>
    <row r="361" spans="1:50" s="5" customFormat="1" x14ac:dyDescent="0.3">
      <c r="A361" s="36" t="s">
        <v>208</v>
      </c>
      <c r="B361" s="376"/>
      <c r="C361" s="343">
        <v>9.734</v>
      </c>
      <c r="D361" s="343">
        <v>15.49</v>
      </c>
      <c r="E361" s="343">
        <v>36.805999999999997</v>
      </c>
      <c r="F361" s="343">
        <v>62.375</v>
      </c>
      <c r="G361" s="228">
        <v>67.228999999999999</v>
      </c>
      <c r="H361" s="228">
        <v>68.244</v>
      </c>
      <c r="I361" s="228">
        <v>68.930999999999997</v>
      </c>
      <c r="J361" s="228">
        <f>K361</f>
        <v>71.915000000000006</v>
      </c>
      <c r="K361" s="343">
        <v>71.915000000000006</v>
      </c>
      <c r="L361" s="228">
        <v>70.405000000000001</v>
      </c>
      <c r="M361" s="228">
        <v>68.171999999999997</v>
      </c>
      <c r="N361" s="228">
        <v>73.953999999999994</v>
      </c>
      <c r="O361" s="228">
        <f>P361</f>
        <v>78.826999999999998</v>
      </c>
      <c r="P361" s="343">
        <v>78.826999999999998</v>
      </c>
      <c r="Q361" s="228">
        <v>83.149000000000001</v>
      </c>
      <c r="R361" s="228">
        <v>92.26</v>
      </c>
      <c r="S361" s="228">
        <v>97.328999999999994</v>
      </c>
      <c r="T361" s="228">
        <f>U361</f>
        <v>100.018</v>
      </c>
      <c r="U361" s="343">
        <v>100.018</v>
      </c>
      <c r="V361" s="228">
        <v>103.157</v>
      </c>
      <c r="W361" s="228">
        <v>112.264</v>
      </c>
      <c r="X361" s="228">
        <v>113.621</v>
      </c>
      <c r="Y361" s="93">
        <f>Z361</f>
        <v>118.58499999999999</v>
      </c>
      <c r="Z361" s="344">
        <v>118.58499999999999</v>
      </c>
      <c r="AA361" s="228">
        <v>123.913</v>
      </c>
      <c r="AB361" s="228">
        <v>121.173</v>
      </c>
      <c r="AC361" s="228">
        <v>117.483</v>
      </c>
      <c r="AD361" s="93">
        <f>AE361</f>
        <v>109.919</v>
      </c>
      <c r="AE361" s="344">
        <v>109.919</v>
      </c>
      <c r="AF361" s="228">
        <v>110.13500000000001</v>
      </c>
      <c r="AG361" s="228">
        <v>106.746</v>
      </c>
      <c r="AH361" s="228">
        <v>105.00700000000001</v>
      </c>
      <c r="AI361" s="93">
        <f>AJ361</f>
        <v>105.334</v>
      </c>
      <c r="AJ361" s="344">
        <v>105.334</v>
      </c>
      <c r="AK361" s="228">
        <v>107.509</v>
      </c>
      <c r="AL361" s="322">
        <v>108.142</v>
      </c>
      <c r="AM361" s="93"/>
      <c r="AN361" s="93"/>
      <c r="AO361" s="344"/>
      <c r="AP361" s="93"/>
      <c r="AQ361" s="93"/>
      <c r="AR361" s="93"/>
      <c r="AS361" s="93"/>
      <c r="AT361" s="344"/>
      <c r="AU361" s="344"/>
      <c r="AV361" s="344"/>
      <c r="AW361" s="344"/>
      <c r="AX361" s="228"/>
    </row>
    <row r="362" spans="1:50" s="5" customFormat="1" x14ac:dyDescent="0.3">
      <c r="A362" s="36" t="s">
        <v>539</v>
      </c>
      <c r="B362" s="376"/>
      <c r="C362" s="343">
        <v>4.6289999999999996</v>
      </c>
      <c r="D362" s="343">
        <v>5.7919999999999998</v>
      </c>
      <c r="E362" s="343">
        <v>7.7670000000000003</v>
      </c>
      <c r="F362" s="343">
        <v>8.907</v>
      </c>
      <c r="G362" s="228">
        <v>9.4019999999999992</v>
      </c>
      <c r="H362" s="228">
        <v>9.8450000000000006</v>
      </c>
      <c r="I362" s="228">
        <v>10.282</v>
      </c>
      <c r="J362" s="228">
        <f>K362</f>
        <v>10.63</v>
      </c>
      <c r="K362" s="343">
        <v>10.63</v>
      </c>
      <c r="L362" s="228">
        <v>10.422000000000001</v>
      </c>
      <c r="M362" s="228">
        <v>10.439</v>
      </c>
      <c r="N362" s="228">
        <v>9.8140000000000001</v>
      </c>
      <c r="O362" s="228">
        <f>P362</f>
        <v>9.4740000000000002</v>
      </c>
      <c r="P362" s="343">
        <v>9.4740000000000002</v>
      </c>
      <c r="Q362" s="228">
        <v>9.3339999999999996</v>
      </c>
      <c r="R362" s="228">
        <v>10.002000000000001</v>
      </c>
      <c r="S362" s="228">
        <v>9.5429999999999993</v>
      </c>
      <c r="T362" s="228">
        <f>U362</f>
        <v>9.5139999999999993</v>
      </c>
      <c r="U362" s="343">
        <v>9.5139999999999993</v>
      </c>
      <c r="V362" s="228">
        <v>15.787000000000001</v>
      </c>
      <c r="W362" s="228">
        <v>15.846</v>
      </c>
      <c r="X362" s="228">
        <v>16.428999999999998</v>
      </c>
      <c r="Y362" s="93">
        <f>Z362</f>
        <v>15.87</v>
      </c>
      <c r="Z362" s="344">
        <v>15.87</v>
      </c>
      <c r="AA362" s="228">
        <v>16.856999999999999</v>
      </c>
      <c r="AB362" s="228">
        <v>17.814</v>
      </c>
      <c r="AC362" s="228">
        <v>17.838999999999999</v>
      </c>
      <c r="AD362" s="93">
        <f>AE362</f>
        <v>18.302</v>
      </c>
      <c r="AE362" s="344">
        <v>18.302</v>
      </c>
      <c r="AF362" s="228">
        <v>18.012</v>
      </c>
      <c r="AG362" s="228">
        <v>17.111000000000001</v>
      </c>
      <c r="AH362" s="228">
        <v>17.78</v>
      </c>
      <c r="AI362" s="93">
        <f>AJ362</f>
        <v>17.042999999999999</v>
      </c>
      <c r="AJ362" s="344">
        <v>17.042999999999999</v>
      </c>
      <c r="AK362" s="228">
        <v>5.0670000000000002</v>
      </c>
      <c r="AL362" s="322"/>
      <c r="AM362" s="93"/>
      <c r="AN362" s="93"/>
      <c r="AO362" s="344"/>
      <c r="AP362" s="93"/>
      <c r="AQ362" s="93"/>
      <c r="AR362" s="93"/>
      <c r="AS362" s="93"/>
      <c r="AT362" s="344"/>
      <c r="AU362" s="344"/>
      <c r="AV362" s="344"/>
      <c r="AW362" s="344"/>
      <c r="AX362" s="228"/>
    </row>
    <row r="363" spans="1:50" s="5" customFormat="1" x14ac:dyDescent="0.3">
      <c r="A363" s="36" t="s">
        <v>210</v>
      </c>
      <c r="B363" s="376"/>
      <c r="C363" s="343">
        <v>0.42799999999999999</v>
      </c>
      <c r="D363" s="343">
        <v>0.28999999999999998</v>
      </c>
      <c r="E363" s="343">
        <v>25.657</v>
      </c>
      <c r="F363" s="343">
        <v>16.134</v>
      </c>
      <c r="G363" s="228">
        <v>20.006</v>
      </c>
      <c r="H363" s="228">
        <v>17.344000000000001</v>
      </c>
      <c r="I363" s="228">
        <v>57.886000000000003</v>
      </c>
      <c r="J363" s="228">
        <f>K363</f>
        <v>54.249000000000002</v>
      </c>
      <c r="K363" s="343">
        <v>54.249000000000002</v>
      </c>
      <c r="L363" s="228">
        <v>50.78</v>
      </c>
      <c r="M363" s="228">
        <v>47.877000000000002</v>
      </c>
      <c r="N363" s="228">
        <v>44.975000000000001</v>
      </c>
      <c r="O363" s="228">
        <f>P363</f>
        <v>42.067</v>
      </c>
      <c r="P363" s="343">
        <v>42.067</v>
      </c>
      <c r="Q363" s="228">
        <v>39.707999999999998</v>
      </c>
      <c r="R363" s="228">
        <v>37.340000000000003</v>
      </c>
      <c r="S363" s="228">
        <v>34.744</v>
      </c>
      <c r="T363" s="228">
        <f>U363</f>
        <v>32.154000000000003</v>
      </c>
      <c r="U363" s="343">
        <v>32.154000000000003</v>
      </c>
      <c r="V363" s="228">
        <v>308.721</v>
      </c>
      <c r="W363" s="228">
        <v>292.75799999999998</v>
      </c>
      <c r="X363" s="228">
        <v>288.72199999999998</v>
      </c>
      <c r="Y363" s="93">
        <f>Z363</f>
        <v>278.03100000000001</v>
      </c>
      <c r="Z363" s="344">
        <v>278.03100000000001</v>
      </c>
      <c r="AA363" s="228">
        <v>267.375</v>
      </c>
      <c r="AB363" s="228">
        <v>253.44</v>
      </c>
      <c r="AC363" s="228">
        <v>247.43100000000001</v>
      </c>
      <c r="AD363" s="93">
        <f>AE363</f>
        <v>228.19499999999999</v>
      </c>
      <c r="AE363" s="344">
        <v>228.19499999999999</v>
      </c>
      <c r="AF363" s="228">
        <v>218.738</v>
      </c>
      <c r="AG363" s="228">
        <v>208.45</v>
      </c>
      <c r="AH363" s="228">
        <v>194.54</v>
      </c>
      <c r="AI363" s="93">
        <f>AJ363</f>
        <v>179.328</v>
      </c>
      <c r="AJ363" s="344">
        <v>179.328</v>
      </c>
      <c r="AK363" s="228">
        <v>166.68600000000001</v>
      </c>
      <c r="AL363" s="322">
        <v>159.04599999999999</v>
      </c>
      <c r="AM363" s="93"/>
      <c r="AN363" s="93"/>
      <c r="AO363" s="344"/>
      <c r="AP363" s="93"/>
      <c r="AQ363" s="93"/>
      <c r="AR363" s="93"/>
      <c r="AS363" s="93"/>
      <c r="AT363" s="344"/>
      <c r="AU363" s="344"/>
      <c r="AV363" s="344"/>
      <c r="AW363" s="344"/>
      <c r="AX363" s="228"/>
    </row>
    <row r="364" spans="1:50" s="5" customFormat="1" x14ac:dyDescent="0.3">
      <c r="A364" s="36" t="s">
        <v>540</v>
      </c>
      <c r="B364" s="376"/>
      <c r="C364" s="343"/>
      <c r="D364" s="343"/>
      <c r="E364" s="343"/>
      <c r="F364" s="343"/>
      <c r="G364" s="228"/>
      <c r="H364" s="228"/>
      <c r="I364" s="228"/>
      <c r="J364" s="228"/>
      <c r="K364" s="343"/>
      <c r="L364" s="228"/>
      <c r="M364" s="228"/>
      <c r="N364" s="228"/>
      <c r="O364" s="228"/>
      <c r="P364" s="343"/>
      <c r="Q364" s="228"/>
      <c r="R364" s="228"/>
      <c r="S364" s="228"/>
      <c r="T364" s="228"/>
      <c r="U364" s="343"/>
      <c r="V364" s="228"/>
      <c r="W364" s="228"/>
      <c r="X364" s="228"/>
      <c r="Y364" s="93"/>
      <c r="Z364" s="344"/>
      <c r="AA364" s="228"/>
      <c r="AB364" s="228"/>
      <c r="AC364" s="228"/>
      <c r="AD364" s="93"/>
      <c r="AE364" s="344"/>
      <c r="AF364" s="228"/>
      <c r="AG364" s="228"/>
      <c r="AH364" s="228"/>
      <c r="AI364" s="93"/>
      <c r="AJ364" s="344"/>
      <c r="AK364" s="228">
        <v>65.733000000000004</v>
      </c>
      <c r="AL364" s="322"/>
      <c r="AM364" s="93"/>
      <c r="AN364" s="93"/>
      <c r="AO364" s="344"/>
      <c r="AP364" s="93"/>
      <c r="AQ364" s="93"/>
      <c r="AR364" s="93"/>
      <c r="AS364" s="93"/>
      <c r="AT364" s="344"/>
      <c r="AU364" s="344"/>
      <c r="AV364" s="344"/>
      <c r="AW364" s="344"/>
      <c r="AX364" s="228"/>
    </row>
    <row r="365" spans="1:50" s="5" customFormat="1" x14ac:dyDescent="0.3">
      <c r="A365" s="36" t="s">
        <v>209</v>
      </c>
      <c r="B365" s="376"/>
      <c r="C365" s="343"/>
      <c r="D365" s="343">
        <v>0</v>
      </c>
      <c r="E365" s="343">
        <v>132.88499999999999</v>
      </c>
      <c r="F365" s="343">
        <v>132.88499999999999</v>
      </c>
      <c r="G365" s="228">
        <v>132.88499999999999</v>
      </c>
      <c r="H365" s="228">
        <v>132.88499999999999</v>
      </c>
      <c r="I365" s="228">
        <v>199.55799999999999</v>
      </c>
      <c r="J365" s="228">
        <f>K365</f>
        <v>199.196</v>
      </c>
      <c r="K365" s="343">
        <v>199.196</v>
      </c>
      <c r="L365" s="228">
        <v>199.55799999999999</v>
      </c>
      <c r="M365" s="228">
        <v>199.55799999999999</v>
      </c>
      <c r="N365" s="228">
        <v>201.10499999999999</v>
      </c>
      <c r="O365" s="228">
        <f>P365</f>
        <v>200.74299999999999</v>
      </c>
      <c r="P365" s="343">
        <v>200.74299999999999</v>
      </c>
      <c r="Q365" s="228">
        <v>200.74299999999999</v>
      </c>
      <c r="R365" s="228">
        <v>200.74299999999999</v>
      </c>
      <c r="S365" s="228">
        <v>200.74299999999999</v>
      </c>
      <c r="T365" s="228">
        <f>U365</f>
        <v>200.74299999999999</v>
      </c>
      <c r="U365" s="343">
        <v>200.74299999999999</v>
      </c>
      <c r="V365" s="228">
        <v>476.03699999999998</v>
      </c>
      <c r="W365" s="228">
        <v>476.03699999999998</v>
      </c>
      <c r="X365" s="228">
        <v>476.03699999999998</v>
      </c>
      <c r="Y365" s="93">
        <f>Z365</f>
        <v>471.22800000000001</v>
      </c>
      <c r="Z365" s="344">
        <v>471.22800000000001</v>
      </c>
      <c r="AA365" s="228">
        <v>471.22800000000001</v>
      </c>
      <c r="AB365" s="228">
        <v>471.22800000000001</v>
      </c>
      <c r="AC365" s="228">
        <v>472.43700000000001</v>
      </c>
      <c r="AD365" s="93">
        <f>AE365</f>
        <v>472.43700000000001</v>
      </c>
      <c r="AE365" s="344">
        <v>472.43700000000001</v>
      </c>
      <c r="AF365" s="228">
        <v>472.43700000000001</v>
      </c>
      <c r="AG365" s="228">
        <v>473.916</v>
      </c>
      <c r="AH365" s="228">
        <v>473.916</v>
      </c>
      <c r="AI365" s="93">
        <f>AJ365</f>
        <v>473.916</v>
      </c>
      <c r="AJ365" s="344">
        <v>473.916</v>
      </c>
      <c r="AK365" s="228">
        <v>473.916</v>
      </c>
      <c r="AL365" s="322">
        <v>473.916</v>
      </c>
      <c r="AM365" s="93"/>
      <c r="AN365" s="93"/>
      <c r="AO365" s="344"/>
      <c r="AP365" s="93"/>
      <c r="AQ365" s="93"/>
      <c r="AR365" s="93"/>
      <c r="AS365" s="93"/>
      <c r="AT365" s="344"/>
      <c r="AU365" s="344"/>
      <c r="AV365" s="344"/>
      <c r="AW365" s="344"/>
      <c r="AX365" s="228"/>
    </row>
    <row r="366" spans="1:50" s="5" customFormat="1" x14ac:dyDescent="0.3">
      <c r="A366" s="36" t="s">
        <v>541</v>
      </c>
      <c r="B366" s="376"/>
      <c r="C366" s="343">
        <f>0.812+4.45</f>
        <v>5.2620000000000005</v>
      </c>
      <c r="D366" s="343">
        <f>3.358+1.422</f>
        <v>4.78</v>
      </c>
      <c r="E366" s="343">
        <v>8.2889999999999997</v>
      </c>
      <c r="F366" s="343">
        <v>10.419</v>
      </c>
      <c r="G366" s="228">
        <v>14.471</v>
      </c>
      <c r="H366" s="228">
        <v>15.349</v>
      </c>
      <c r="I366" s="228">
        <v>28.655999999999999</v>
      </c>
      <c r="J366" s="228">
        <f>K366</f>
        <v>20.613</v>
      </c>
      <c r="K366" s="343">
        <v>20.613</v>
      </c>
      <c r="L366" s="228">
        <v>21.997</v>
      </c>
      <c r="M366" s="228">
        <v>22.236000000000001</v>
      </c>
      <c r="N366" s="228">
        <v>21.327000000000002</v>
      </c>
      <c r="O366" s="228">
        <f>P366</f>
        <v>17.870999999999999</v>
      </c>
      <c r="P366" s="343">
        <v>17.870999999999999</v>
      </c>
      <c r="Q366" s="228">
        <v>11.224</v>
      </c>
      <c r="R366" s="228">
        <v>9.8130000000000006</v>
      </c>
      <c r="S366" s="228">
        <v>9.6969999999999992</v>
      </c>
      <c r="T366" s="228">
        <f>U366</f>
        <v>33.715000000000003</v>
      </c>
      <c r="U366" s="343">
        <v>33.715000000000003</v>
      </c>
      <c r="V366" s="228">
        <v>32.627000000000002</v>
      </c>
      <c r="W366" s="228">
        <v>31.759</v>
      </c>
      <c r="X366" s="228">
        <v>32.762999999999998</v>
      </c>
      <c r="Y366" s="93">
        <f>Z366</f>
        <v>36.713000000000001</v>
      </c>
      <c r="Z366" s="344">
        <v>36.713000000000001</v>
      </c>
      <c r="AA366" s="228">
        <v>49.902000000000001</v>
      </c>
      <c r="AB366" s="228">
        <v>50.506</v>
      </c>
      <c r="AC366" s="228">
        <v>53.942</v>
      </c>
      <c r="AD366" s="93">
        <f>AE366</f>
        <v>58.137000000000008</v>
      </c>
      <c r="AE366" s="344">
        <f>66.162-AE367</f>
        <v>58.137000000000008</v>
      </c>
      <c r="AF366" s="228">
        <f>94.404-AF367</f>
        <v>86.403999999999996</v>
      </c>
      <c r="AG366" s="228">
        <f>98.744-AG367</f>
        <v>90.813000000000002</v>
      </c>
      <c r="AH366" s="228">
        <f>99.835-AH367</f>
        <v>91.893000000000001</v>
      </c>
      <c r="AI366" s="93">
        <f>AJ366</f>
        <v>93.254999999999995</v>
      </c>
      <c r="AJ366" s="344">
        <f>101.139-AJ367</f>
        <v>93.254999999999995</v>
      </c>
      <c r="AK366" s="228">
        <f>95.605-AK367</f>
        <v>87.665000000000006</v>
      </c>
      <c r="AL366" s="322">
        <f>159.52-AL367</f>
        <v>159.52000000000001</v>
      </c>
      <c r="AM366" s="93"/>
      <c r="AN366" s="93"/>
      <c r="AO366" s="344"/>
      <c r="AP366" s="93"/>
      <c r="AQ366" s="93"/>
      <c r="AR366" s="93"/>
      <c r="AS366" s="93"/>
      <c r="AT366" s="344"/>
      <c r="AU366" s="344"/>
      <c r="AV366" s="344"/>
      <c r="AW366" s="344"/>
      <c r="AX366" s="228"/>
    </row>
    <row r="367" spans="1:50" s="5" customFormat="1" x14ac:dyDescent="0.3">
      <c r="A367" s="36" t="s">
        <v>521</v>
      </c>
      <c r="B367" s="376"/>
      <c r="C367" s="343"/>
      <c r="D367" s="343"/>
      <c r="E367" s="343"/>
      <c r="F367" s="343"/>
      <c r="G367" s="228"/>
      <c r="H367" s="228"/>
      <c r="I367" s="228"/>
      <c r="J367" s="228"/>
      <c r="K367" s="343"/>
      <c r="L367" s="228"/>
      <c r="M367" s="228"/>
      <c r="N367" s="228"/>
      <c r="O367" s="228"/>
      <c r="P367" s="343"/>
      <c r="Q367" s="228"/>
      <c r="R367" s="228"/>
      <c r="S367" s="228"/>
      <c r="T367" s="228"/>
      <c r="U367" s="343"/>
      <c r="V367" s="228"/>
      <c r="W367" s="228"/>
      <c r="X367" s="228"/>
      <c r="Y367" s="93"/>
      <c r="Z367" s="344"/>
      <c r="AA367" s="228"/>
      <c r="AB367" s="228"/>
      <c r="AC367" s="228"/>
      <c r="AD367" s="93">
        <f>AE367</f>
        <v>8.0250000000000004</v>
      </c>
      <c r="AE367" s="344">
        <v>8.0250000000000004</v>
      </c>
      <c r="AF367" s="228">
        <v>8</v>
      </c>
      <c r="AG367" s="228">
        <v>7.931</v>
      </c>
      <c r="AH367" s="228">
        <v>7.9420000000000002</v>
      </c>
      <c r="AI367" s="93">
        <f>AJ367</f>
        <v>7.8840000000000003</v>
      </c>
      <c r="AJ367" s="344">
        <v>7.8840000000000003</v>
      </c>
      <c r="AK367" s="345">
        <v>7.94</v>
      </c>
      <c r="AL367" s="322"/>
      <c r="AM367" s="93"/>
      <c r="AN367" s="93"/>
      <c r="AO367" s="344"/>
      <c r="AP367" s="93"/>
      <c r="AQ367" s="93"/>
      <c r="AR367" s="93"/>
      <c r="AS367" s="93"/>
      <c r="AT367" s="344"/>
      <c r="AU367" s="344"/>
      <c r="AV367" s="344"/>
      <c r="AW367" s="344"/>
      <c r="AX367" s="228"/>
    </row>
    <row r="368" spans="1:50" s="9" customFormat="1" x14ac:dyDescent="0.3">
      <c r="A368" s="347" t="s">
        <v>212</v>
      </c>
      <c r="B368" s="377"/>
      <c r="C368" s="349">
        <f t="shared" ref="C368:AL368" si="188">SUM(C361:C367)</f>
        <v>20.053000000000001</v>
      </c>
      <c r="D368" s="349">
        <f t="shared" si="188"/>
        <v>26.352</v>
      </c>
      <c r="E368" s="349">
        <f t="shared" si="188"/>
        <v>211.404</v>
      </c>
      <c r="F368" s="349">
        <f t="shared" si="188"/>
        <v>230.72</v>
      </c>
      <c r="G368" s="350">
        <f t="shared" si="188"/>
        <v>243.99299999999999</v>
      </c>
      <c r="H368" s="350">
        <f t="shared" si="188"/>
        <v>243.66699999999997</v>
      </c>
      <c r="I368" s="350">
        <f t="shared" si="188"/>
        <v>365.31299999999999</v>
      </c>
      <c r="J368" s="350">
        <f t="shared" si="188"/>
        <v>356.60300000000001</v>
      </c>
      <c r="K368" s="349">
        <f t="shared" si="188"/>
        <v>356.60300000000001</v>
      </c>
      <c r="L368" s="350">
        <f t="shared" si="188"/>
        <v>353.16199999999998</v>
      </c>
      <c r="M368" s="350">
        <f t="shared" si="188"/>
        <v>348.28199999999998</v>
      </c>
      <c r="N368" s="350">
        <f t="shared" si="188"/>
        <v>351.17499999999995</v>
      </c>
      <c r="O368" s="350">
        <f t="shared" si="188"/>
        <v>348.98199999999997</v>
      </c>
      <c r="P368" s="349">
        <f t="shared" si="188"/>
        <v>348.98199999999997</v>
      </c>
      <c r="Q368" s="350">
        <f t="shared" si="188"/>
        <v>344.15799999999996</v>
      </c>
      <c r="R368" s="350">
        <f t="shared" si="188"/>
        <v>350.15800000000002</v>
      </c>
      <c r="S368" s="350">
        <f t="shared" si="188"/>
        <v>352.05599999999998</v>
      </c>
      <c r="T368" s="350">
        <f t="shared" si="188"/>
        <v>376.14400000000001</v>
      </c>
      <c r="U368" s="349">
        <f t="shared" si="188"/>
        <v>376.14400000000001</v>
      </c>
      <c r="V368" s="350">
        <f t="shared" si="188"/>
        <v>936.32899999999995</v>
      </c>
      <c r="W368" s="350">
        <f t="shared" si="188"/>
        <v>928.66399999999999</v>
      </c>
      <c r="X368" s="350">
        <f t="shared" si="188"/>
        <v>927.572</v>
      </c>
      <c r="Y368" s="351">
        <f t="shared" si="188"/>
        <v>920.42699999999991</v>
      </c>
      <c r="Z368" s="352">
        <f t="shared" si="188"/>
        <v>920.42699999999991</v>
      </c>
      <c r="AA368" s="350">
        <f t="shared" si="188"/>
        <v>929.27500000000009</v>
      </c>
      <c r="AB368" s="350">
        <f t="shared" si="188"/>
        <v>914.16099999999994</v>
      </c>
      <c r="AC368" s="350">
        <f t="shared" si="188"/>
        <v>909.13200000000006</v>
      </c>
      <c r="AD368" s="351">
        <f t="shared" si="188"/>
        <v>895.0150000000001</v>
      </c>
      <c r="AE368" s="352">
        <f t="shared" si="188"/>
        <v>895.0150000000001</v>
      </c>
      <c r="AF368" s="350">
        <f t="shared" si="188"/>
        <v>913.726</v>
      </c>
      <c r="AG368" s="350">
        <f t="shared" si="188"/>
        <v>904.96699999999998</v>
      </c>
      <c r="AH368" s="350">
        <f t="shared" si="188"/>
        <v>891.07799999999997</v>
      </c>
      <c r="AI368" s="351">
        <f t="shared" si="188"/>
        <v>876.7600000000001</v>
      </c>
      <c r="AJ368" s="352">
        <f t="shared" si="188"/>
        <v>876.7600000000001</v>
      </c>
      <c r="AK368" s="350">
        <f t="shared" si="188"/>
        <v>914.51600000000008</v>
      </c>
      <c r="AL368" s="353">
        <f t="shared" si="188"/>
        <v>900.62400000000002</v>
      </c>
      <c r="AM368" s="351"/>
      <c r="AN368" s="351"/>
      <c r="AO368" s="352"/>
      <c r="AP368" s="351"/>
      <c r="AQ368" s="351"/>
      <c r="AR368" s="351"/>
      <c r="AS368" s="351"/>
      <c r="AT368" s="352"/>
      <c r="AU368" s="352"/>
      <c r="AV368" s="352"/>
      <c r="AW368" s="352"/>
      <c r="AX368" s="22"/>
    </row>
    <row r="369" spans="1:50" s="9" customFormat="1" x14ac:dyDescent="0.3">
      <c r="A369" s="35" t="s">
        <v>213</v>
      </c>
      <c r="B369" s="103"/>
      <c r="C369" s="4">
        <f t="shared" ref="C369:AL369" si="189">C358+C368</f>
        <v>275.38600000000002</v>
      </c>
      <c r="D369" s="4">
        <f t="shared" si="189"/>
        <v>315.75499999999994</v>
      </c>
      <c r="E369" s="4">
        <f t="shared" si="189"/>
        <v>530.03</v>
      </c>
      <c r="F369" s="4">
        <f t="shared" si="189"/>
        <v>769.33</v>
      </c>
      <c r="G369" s="22">
        <f t="shared" si="189"/>
        <v>765.08199999999988</v>
      </c>
      <c r="H369" s="22">
        <f t="shared" si="189"/>
        <v>768.94299999999998</v>
      </c>
      <c r="I369" s="22">
        <f t="shared" si="189"/>
        <v>786.92499999999995</v>
      </c>
      <c r="J369" s="22">
        <f t="shared" si="189"/>
        <v>806.82600000000002</v>
      </c>
      <c r="K369" s="4">
        <f t="shared" si="189"/>
        <v>806.82600000000002</v>
      </c>
      <c r="L369" s="22">
        <f t="shared" si="189"/>
        <v>812</v>
      </c>
      <c r="M369" s="22">
        <f t="shared" si="189"/>
        <v>815.86199999999985</v>
      </c>
      <c r="N369" s="22">
        <f t="shared" si="189"/>
        <v>842.22199999999998</v>
      </c>
      <c r="O369" s="22">
        <f t="shared" si="189"/>
        <v>863.21799999999996</v>
      </c>
      <c r="P369" s="4">
        <f t="shared" si="189"/>
        <v>863.21799999999996</v>
      </c>
      <c r="Q369" s="22">
        <f t="shared" si="189"/>
        <v>899.21799999999985</v>
      </c>
      <c r="R369" s="22">
        <f t="shared" si="189"/>
        <v>962.99799999999993</v>
      </c>
      <c r="S369" s="22">
        <f t="shared" si="189"/>
        <v>986.56899999999996</v>
      </c>
      <c r="T369" s="22">
        <f t="shared" si="189"/>
        <v>1053.3820000000001</v>
      </c>
      <c r="U369" s="4">
        <f t="shared" si="189"/>
        <v>1053.3820000000001</v>
      </c>
      <c r="V369" s="22">
        <f t="shared" si="189"/>
        <v>1398.4589999999998</v>
      </c>
      <c r="W369" s="22">
        <f t="shared" si="189"/>
        <v>1407.5909999999999</v>
      </c>
      <c r="X369" s="22">
        <f t="shared" si="189"/>
        <v>1435.0439999999999</v>
      </c>
      <c r="Y369" s="378">
        <f t="shared" si="189"/>
        <v>1473.5050000000001</v>
      </c>
      <c r="Z369" s="117">
        <f t="shared" si="189"/>
        <v>1473.5050000000001</v>
      </c>
      <c r="AA369" s="22">
        <f t="shared" si="189"/>
        <v>1479.0550000000001</v>
      </c>
      <c r="AB369" s="22">
        <f t="shared" si="189"/>
        <v>1466.663</v>
      </c>
      <c r="AC369" s="22">
        <f t="shared" si="189"/>
        <v>1470.74</v>
      </c>
      <c r="AD369" s="378">
        <f t="shared" si="189"/>
        <v>1401.9340000000002</v>
      </c>
      <c r="AE369" s="117">
        <f t="shared" si="189"/>
        <v>1401.9340000000002</v>
      </c>
      <c r="AF369" s="22">
        <f t="shared" si="189"/>
        <v>1428.366</v>
      </c>
      <c r="AG369" s="22">
        <f t="shared" si="189"/>
        <v>1449.7689999999998</v>
      </c>
      <c r="AH369" s="22">
        <f t="shared" si="189"/>
        <v>1503.777</v>
      </c>
      <c r="AI369" s="378">
        <f t="shared" si="189"/>
        <v>1587.1980000000001</v>
      </c>
      <c r="AJ369" s="117">
        <f t="shared" si="189"/>
        <v>1587.1980000000001</v>
      </c>
      <c r="AK369" s="22">
        <f t="shared" si="189"/>
        <v>1757.7730000000001</v>
      </c>
      <c r="AL369" s="308">
        <f t="shared" si="189"/>
        <v>1822.1080000000002</v>
      </c>
      <c r="AM369" s="378"/>
      <c r="AN369" s="378"/>
      <c r="AO369" s="117"/>
      <c r="AP369" s="378"/>
      <c r="AQ369" s="378"/>
      <c r="AR369" s="378"/>
      <c r="AS369" s="378"/>
      <c r="AT369" s="117"/>
      <c r="AU369" s="117"/>
      <c r="AV369" s="117"/>
      <c r="AW369" s="117"/>
      <c r="AX369" s="22"/>
    </row>
    <row r="370" spans="1:50" s="9" customFormat="1" x14ac:dyDescent="0.3">
      <c r="A370" s="35"/>
      <c r="B370" s="103"/>
      <c r="C370" s="4"/>
      <c r="D370" s="4"/>
      <c r="E370" s="4"/>
      <c r="F370" s="4"/>
      <c r="G370" s="22"/>
      <c r="H370" s="22"/>
      <c r="I370" s="22"/>
      <c r="J370" s="22"/>
      <c r="K370" s="4"/>
      <c r="L370" s="22"/>
      <c r="M370" s="22"/>
      <c r="N370" s="22"/>
      <c r="O370" s="22"/>
      <c r="P370" s="4"/>
      <c r="Q370" s="22"/>
      <c r="R370" s="22"/>
      <c r="S370" s="22"/>
      <c r="T370" s="22"/>
      <c r="U370" s="4"/>
      <c r="V370" s="22"/>
      <c r="W370" s="22"/>
      <c r="X370" s="22"/>
      <c r="Y370" s="22"/>
      <c r="Z370" s="4"/>
      <c r="AA370" s="22"/>
      <c r="AB370" s="22"/>
      <c r="AC370" s="22"/>
      <c r="AD370" s="22"/>
      <c r="AE370" s="4"/>
      <c r="AF370" s="22"/>
      <c r="AG370" s="22"/>
      <c r="AH370" s="22"/>
      <c r="AI370" s="22"/>
      <c r="AJ370" s="4"/>
      <c r="AK370" s="22"/>
      <c r="AL370" s="308"/>
      <c r="AM370" s="22"/>
      <c r="AN370" s="22"/>
      <c r="AO370" s="4"/>
      <c r="AP370" s="22"/>
      <c r="AQ370" s="22"/>
      <c r="AR370" s="22"/>
      <c r="AS370" s="22"/>
      <c r="AT370" s="4"/>
      <c r="AU370" s="4"/>
      <c r="AV370" s="4"/>
      <c r="AW370" s="4"/>
      <c r="AX370" s="22"/>
    </row>
    <row r="371" spans="1:50" s="9" customFormat="1" x14ac:dyDescent="0.3">
      <c r="A371" s="35" t="s">
        <v>214</v>
      </c>
      <c r="B371" s="103"/>
      <c r="C371" s="4"/>
      <c r="D371" s="4"/>
      <c r="E371" s="4"/>
      <c r="F371" s="4"/>
      <c r="G371" s="22"/>
      <c r="H371" s="22"/>
      <c r="I371" s="22"/>
      <c r="J371" s="22"/>
      <c r="K371" s="4"/>
      <c r="L371" s="22"/>
      <c r="M371" s="22"/>
      <c r="N371" s="22"/>
      <c r="O371" s="22"/>
      <c r="P371" s="4"/>
      <c r="Q371" s="22"/>
      <c r="R371" s="22"/>
      <c r="S371" s="22"/>
      <c r="T371" s="22"/>
      <c r="U371" s="4"/>
      <c r="V371" s="22"/>
      <c r="W371" s="22"/>
      <c r="X371" s="22"/>
      <c r="Y371" s="22"/>
      <c r="Z371" s="4"/>
      <c r="AA371" s="22"/>
      <c r="AB371" s="22"/>
      <c r="AC371" s="22"/>
      <c r="AD371" s="22"/>
      <c r="AE371" s="4"/>
      <c r="AF371" s="22"/>
      <c r="AG371" s="22"/>
      <c r="AH371" s="22"/>
      <c r="AI371" s="22"/>
      <c r="AJ371" s="4"/>
      <c r="AK371" s="22"/>
      <c r="AL371" s="308"/>
      <c r="AM371" s="22"/>
      <c r="AN371" s="22"/>
      <c r="AO371" s="4"/>
      <c r="AP371" s="22"/>
      <c r="AQ371" s="22"/>
      <c r="AR371" s="22"/>
      <c r="AS371" s="22"/>
      <c r="AT371" s="4"/>
      <c r="AU371" s="4"/>
      <c r="AV371" s="4"/>
      <c r="AW371" s="4"/>
      <c r="AX371" s="22"/>
    </row>
    <row r="372" spans="1:50" s="5" customFormat="1" x14ac:dyDescent="0.3">
      <c r="A372" s="36" t="s">
        <v>159</v>
      </c>
      <c r="B372" s="376"/>
      <c r="C372" s="343">
        <v>8.7750000000000004</v>
      </c>
      <c r="D372" s="343">
        <v>6.5259999999999998</v>
      </c>
      <c r="E372" s="343">
        <v>30.132000000000001</v>
      </c>
      <c r="F372" s="343">
        <v>37.430999999999997</v>
      </c>
      <c r="G372" s="228">
        <v>25.829000000000001</v>
      </c>
      <c r="H372" s="228">
        <v>25.968</v>
      </c>
      <c r="I372" s="228">
        <v>24.754000000000001</v>
      </c>
      <c r="J372" s="228">
        <f>K372</f>
        <v>29.963999999999999</v>
      </c>
      <c r="K372" s="343">
        <v>29.963999999999999</v>
      </c>
      <c r="L372" s="228">
        <v>28.608000000000001</v>
      </c>
      <c r="M372" s="228">
        <v>30.19</v>
      </c>
      <c r="N372" s="228">
        <v>37.244999999999997</v>
      </c>
      <c r="O372" s="228">
        <f>P372</f>
        <v>39.811</v>
      </c>
      <c r="P372" s="343">
        <v>39.811</v>
      </c>
      <c r="Q372" s="228">
        <v>40.295999999999999</v>
      </c>
      <c r="R372" s="228">
        <v>50.241</v>
      </c>
      <c r="S372" s="228">
        <v>42.216000000000001</v>
      </c>
      <c r="T372" s="228">
        <f>U372</f>
        <v>44.6</v>
      </c>
      <c r="U372" s="343">
        <v>44.6</v>
      </c>
      <c r="V372" s="228">
        <v>47.631999999999998</v>
      </c>
      <c r="W372" s="228">
        <v>55.216999999999999</v>
      </c>
      <c r="X372" s="228">
        <v>50.45</v>
      </c>
      <c r="Y372" s="93">
        <f>Z372</f>
        <v>59.533000000000001</v>
      </c>
      <c r="Z372" s="344">
        <v>59.533000000000001</v>
      </c>
      <c r="AA372" s="228">
        <v>63.451999999999998</v>
      </c>
      <c r="AB372" s="228">
        <v>58.753999999999998</v>
      </c>
      <c r="AC372" s="228">
        <v>42.067</v>
      </c>
      <c r="AD372" s="93">
        <f>AE372</f>
        <v>59.09</v>
      </c>
      <c r="AE372" s="344">
        <v>59.09</v>
      </c>
      <c r="AF372" s="228">
        <v>64.498000000000005</v>
      </c>
      <c r="AG372" s="228">
        <v>71.137</v>
      </c>
      <c r="AH372" s="228">
        <v>72.921999999999997</v>
      </c>
      <c r="AI372" s="93">
        <f>AJ372</f>
        <v>70.335999999999999</v>
      </c>
      <c r="AJ372" s="344">
        <v>70.335999999999999</v>
      </c>
      <c r="AK372" s="228">
        <v>63.348999999999997</v>
      </c>
      <c r="AL372" s="322">
        <v>73.790000000000006</v>
      </c>
      <c r="AM372" s="93"/>
      <c r="AN372" s="93"/>
      <c r="AO372" s="344"/>
      <c r="AP372" s="93"/>
      <c r="AQ372" s="93"/>
      <c r="AR372" s="93"/>
      <c r="AS372" s="93"/>
      <c r="AT372" s="344"/>
      <c r="AU372" s="344"/>
      <c r="AV372" s="344"/>
      <c r="AW372" s="344"/>
      <c r="AX372" s="228"/>
    </row>
    <row r="373" spans="1:50" s="5" customFormat="1" x14ac:dyDescent="0.3">
      <c r="A373" s="36" t="s">
        <v>542</v>
      </c>
      <c r="B373" s="376"/>
      <c r="C373" s="343">
        <v>14.804</v>
      </c>
      <c r="D373" s="343">
        <v>16.936</v>
      </c>
      <c r="E373" s="343">
        <v>31.091000000000001</v>
      </c>
      <c r="F373" s="343">
        <v>55.695999999999998</v>
      </c>
      <c r="G373" s="228">
        <v>54.167999999999999</v>
      </c>
      <c r="H373" s="228">
        <v>43.543999999999997</v>
      </c>
      <c r="I373" s="228">
        <v>44.415999999999997</v>
      </c>
      <c r="J373" s="228">
        <f>K373</f>
        <v>51.011000000000003</v>
      </c>
      <c r="K373" s="343">
        <v>51.011000000000003</v>
      </c>
      <c r="L373" s="228">
        <v>54.97</v>
      </c>
      <c r="M373" s="228">
        <v>55.755000000000003</v>
      </c>
      <c r="N373" s="228">
        <v>57.893999999999998</v>
      </c>
      <c r="O373" s="228">
        <f>P373</f>
        <v>61.973999999999997</v>
      </c>
      <c r="P373" s="343">
        <v>61.973999999999997</v>
      </c>
      <c r="Q373" s="228">
        <v>62.521999999999998</v>
      </c>
      <c r="R373" s="228">
        <v>73.447000000000003</v>
      </c>
      <c r="S373" s="228">
        <v>66.728999999999999</v>
      </c>
      <c r="T373" s="228">
        <f>U373</f>
        <v>74.296000000000006</v>
      </c>
      <c r="U373" s="343">
        <v>74.296000000000006</v>
      </c>
      <c r="V373" s="228">
        <v>106.684</v>
      </c>
      <c r="W373" s="228">
        <v>87.605000000000004</v>
      </c>
      <c r="X373" s="228">
        <v>90.436999999999998</v>
      </c>
      <c r="Y373" s="93">
        <f>Z373</f>
        <v>105.042</v>
      </c>
      <c r="Z373" s="344">
        <v>105.042</v>
      </c>
      <c r="AA373" s="228">
        <v>107.142</v>
      </c>
      <c r="AB373" s="228">
        <v>94.445999999999998</v>
      </c>
      <c r="AC373" s="228">
        <v>91.51</v>
      </c>
      <c r="AD373" s="93">
        <f>AE373</f>
        <v>114.05800000000001</v>
      </c>
      <c r="AE373" s="344">
        <v>114.05800000000001</v>
      </c>
      <c r="AF373" s="228">
        <v>107.661</v>
      </c>
      <c r="AG373" s="228">
        <v>124.792</v>
      </c>
      <c r="AH373" s="228">
        <v>100.426</v>
      </c>
      <c r="AI373" s="93">
        <f>AJ373</f>
        <v>121.878</v>
      </c>
      <c r="AJ373" s="344">
        <v>121.878</v>
      </c>
      <c r="AK373" s="228">
        <v>145.90100000000001</v>
      </c>
      <c r="AL373" s="322">
        <v>142.24600000000001</v>
      </c>
      <c r="AM373" s="93"/>
      <c r="AN373" s="93"/>
      <c r="AO373" s="344"/>
      <c r="AP373" s="93"/>
      <c r="AQ373" s="93"/>
      <c r="AR373" s="93"/>
      <c r="AS373" s="93"/>
      <c r="AT373" s="344"/>
      <c r="AU373" s="344"/>
      <c r="AV373" s="344"/>
      <c r="AW373" s="344"/>
      <c r="AX373" s="228"/>
    </row>
    <row r="374" spans="1:50" s="5" customFormat="1" x14ac:dyDescent="0.3">
      <c r="A374" s="36" t="s">
        <v>543</v>
      </c>
      <c r="B374" s="376"/>
      <c r="C374" s="343"/>
      <c r="D374" s="343"/>
      <c r="E374" s="343">
        <v>5.5709999999999997</v>
      </c>
      <c r="F374" s="343">
        <v>10.826000000000001</v>
      </c>
      <c r="G374" s="228">
        <v>11.159000000000001</v>
      </c>
      <c r="H374" s="228">
        <v>12.724</v>
      </c>
      <c r="I374" s="228">
        <v>13.529</v>
      </c>
      <c r="J374" s="228">
        <f>K374</f>
        <v>15.71</v>
      </c>
      <c r="K374" s="343">
        <v>15.71</v>
      </c>
      <c r="L374" s="228">
        <v>14.006</v>
      </c>
      <c r="M374" s="228">
        <v>13.792</v>
      </c>
      <c r="N374" s="228">
        <v>14.539</v>
      </c>
      <c r="O374" s="228">
        <f>P374</f>
        <v>14.757999999999999</v>
      </c>
      <c r="P374" s="343">
        <v>14.757999999999999</v>
      </c>
      <c r="Q374" s="228">
        <v>16.664999999999999</v>
      </c>
      <c r="R374" s="228">
        <v>16.186</v>
      </c>
      <c r="S374" s="228">
        <v>17.675000000000001</v>
      </c>
      <c r="T374" s="228">
        <f>U374</f>
        <v>17.742999999999999</v>
      </c>
      <c r="U374" s="343">
        <v>17.742999999999999</v>
      </c>
      <c r="V374" s="228">
        <v>18.948</v>
      </c>
      <c r="W374" s="228">
        <v>21.829000000000001</v>
      </c>
      <c r="X374" s="228">
        <v>23.4</v>
      </c>
      <c r="Y374" s="93">
        <f>Z374</f>
        <v>24.364000000000001</v>
      </c>
      <c r="Z374" s="344">
        <v>24.364000000000001</v>
      </c>
      <c r="AA374" s="228">
        <v>23.363</v>
      </c>
      <c r="AB374" s="228">
        <v>23.013000000000002</v>
      </c>
      <c r="AC374" s="228">
        <v>23.257000000000001</v>
      </c>
      <c r="AD374" s="93">
        <f>AE374</f>
        <v>23.484999999999999</v>
      </c>
      <c r="AE374" s="344">
        <v>23.484999999999999</v>
      </c>
      <c r="AF374" s="228">
        <v>20.216000000000001</v>
      </c>
      <c r="AG374" s="228">
        <v>20.719000000000001</v>
      </c>
      <c r="AH374" s="228">
        <v>20.326000000000001</v>
      </c>
      <c r="AI374" s="93">
        <f>AJ374</f>
        <v>20.558</v>
      </c>
      <c r="AJ374" s="344">
        <v>20.558</v>
      </c>
      <c r="AK374" s="228">
        <v>22.84</v>
      </c>
      <c r="AL374" s="322">
        <v>22.998000000000001</v>
      </c>
      <c r="AM374" s="93"/>
      <c r="AN374" s="93"/>
      <c r="AO374" s="344"/>
      <c r="AP374" s="93"/>
      <c r="AQ374" s="93"/>
      <c r="AR374" s="93"/>
      <c r="AS374" s="93"/>
      <c r="AT374" s="344"/>
      <c r="AU374" s="344"/>
      <c r="AV374" s="344"/>
      <c r="AW374" s="344"/>
      <c r="AX374" s="228"/>
    </row>
    <row r="375" spans="1:50" s="5" customFormat="1" x14ac:dyDescent="0.3">
      <c r="A375" s="36" t="s">
        <v>544</v>
      </c>
      <c r="B375" s="376"/>
      <c r="C375" s="343">
        <v>0.52800000000000002</v>
      </c>
      <c r="D375" s="343">
        <v>0.316</v>
      </c>
      <c r="E375" s="343">
        <v>0.29899999999999999</v>
      </c>
      <c r="F375" s="343">
        <v>1.2529999999999999</v>
      </c>
      <c r="G375" s="228">
        <v>1.2509999999999999</v>
      </c>
      <c r="H375" s="228">
        <v>1.109</v>
      </c>
      <c r="I375" s="228">
        <v>1.246</v>
      </c>
      <c r="J375" s="228">
        <f>K375</f>
        <v>1.377</v>
      </c>
      <c r="K375" s="343">
        <v>1.377</v>
      </c>
      <c r="L375" s="228">
        <v>1.2430000000000001</v>
      </c>
      <c r="M375" s="228">
        <v>1.2410000000000001</v>
      </c>
      <c r="N375" s="228">
        <v>1.101</v>
      </c>
      <c r="O375" s="228">
        <f>P375</f>
        <v>1.1020000000000001</v>
      </c>
      <c r="P375" s="343">
        <v>1.1020000000000001</v>
      </c>
      <c r="Q375" s="228">
        <v>1.0980000000000001</v>
      </c>
      <c r="R375" s="228">
        <v>1.04</v>
      </c>
      <c r="S375" s="228">
        <v>0.76500000000000001</v>
      </c>
      <c r="T375" s="228">
        <f>U375</f>
        <v>0.49099999999999999</v>
      </c>
      <c r="U375" s="343">
        <v>0.49099999999999999</v>
      </c>
      <c r="V375" s="228">
        <v>0.217</v>
      </c>
      <c r="W375" s="228">
        <v>0</v>
      </c>
      <c r="X375" s="228">
        <v>0</v>
      </c>
      <c r="Y375" s="93">
        <f>Z375</f>
        <v>0</v>
      </c>
      <c r="Z375" s="344">
        <v>0</v>
      </c>
      <c r="AA375" s="228"/>
      <c r="AB375" s="228"/>
      <c r="AC375" s="228"/>
      <c r="AD375" s="93">
        <f>AE375</f>
        <v>0</v>
      </c>
      <c r="AE375" s="344"/>
      <c r="AF375" s="228"/>
      <c r="AG375" s="228"/>
      <c r="AH375" s="228"/>
      <c r="AI375" s="93">
        <f>AJ375</f>
        <v>0</v>
      </c>
      <c r="AJ375" s="344"/>
      <c r="AK375" s="228"/>
      <c r="AL375" s="322"/>
      <c r="AM375" s="93"/>
      <c r="AN375" s="93"/>
      <c r="AO375" s="344"/>
      <c r="AP375" s="93"/>
      <c r="AQ375" s="93"/>
      <c r="AR375" s="93"/>
      <c r="AS375" s="93"/>
      <c r="AT375" s="344"/>
      <c r="AU375" s="344"/>
      <c r="AV375" s="344"/>
      <c r="AW375" s="344"/>
      <c r="AX375" s="228"/>
    </row>
    <row r="376" spans="1:50" s="5" customFormat="1" x14ac:dyDescent="0.3">
      <c r="A376" s="36" t="s">
        <v>545</v>
      </c>
      <c r="B376" s="376"/>
      <c r="C376" s="343"/>
      <c r="D376" s="343"/>
      <c r="E376" s="343"/>
      <c r="F376" s="343"/>
      <c r="G376" s="228"/>
      <c r="H376" s="228"/>
      <c r="I376" s="228"/>
      <c r="J376" s="228"/>
      <c r="K376" s="343"/>
      <c r="L376" s="228"/>
      <c r="M376" s="228"/>
      <c r="N376" s="228"/>
      <c r="O376" s="228"/>
      <c r="P376" s="343"/>
      <c r="Q376" s="228"/>
      <c r="R376" s="228"/>
      <c r="S376" s="228"/>
      <c r="T376" s="228"/>
      <c r="U376" s="343"/>
      <c r="V376" s="228"/>
      <c r="W376" s="228"/>
      <c r="X376" s="228"/>
      <c r="Y376" s="93"/>
      <c r="Z376" s="344"/>
      <c r="AA376" s="228"/>
      <c r="AB376" s="228"/>
      <c r="AC376" s="228"/>
      <c r="AD376" s="93"/>
      <c r="AE376" s="344"/>
      <c r="AF376" s="228"/>
      <c r="AG376" s="228"/>
      <c r="AH376" s="228"/>
      <c r="AI376" s="93"/>
      <c r="AJ376" s="344"/>
      <c r="AK376" s="228">
        <v>17.73</v>
      </c>
      <c r="AL376" s="322"/>
      <c r="AM376" s="93"/>
      <c r="AN376" s="93"/>
      <c r="AO376" s="344"/>
      <c r="AP376" s="93"/>
      <c r="AQ376" s="93"/>
      <c r="AR376" s="93"/>
      <c r="AS376" s="93"/>
      <c r="AT376" s="344"/>
      <c r="AU376" s="344"/>
      <c r="AV376" s="344"/>
      <c r="AW376" s="344"/>
      <c r="AX376" s="228"/>
    </row>
    <row r="377" spans="1:50" s="5" customFormat="1" x14ac:dyDescent="0.3">
      <c r="A377" s="36" t="s">
        <v>546</v>
      </c>
      <c r="B377" s="376"/>
      <c r="C377" s="343"/>
      <c r="D377" s="343"/>
      <c r="E377" s="343"/>
      <c r="F377" s="343"/>
      <c r="G377" s="228"/>
      <c r="H377" s="228"/>
      <c r="I377" s="228"/>
      <c r="J377" s="228">
        <f>K377</f>
        <v>0</v>
      </c>
      <c r="K377" s="343"/>
      <c r="L377" s="228"/>
      <c r="M377" s="228"/>
      <c r="N377" s="228"/>
      <c r="O377" s="228">
        <f>P377</f>
        <v>0</v>
      </c>
      <c r="P377" s="343"/>
      <c r="Q377" s="228"/>
      <c r="R377" s="228"/>
      <c r="S377" s="228"/>
      <c r="T377" s="228">
        <f>U377</f>
        <v>0</v>
      </c>
      <c r="U377" s="343"/>
      <c r="V377" s="228">
        <v>25.905000000000001</v>
      </c>
      <c r="W377" s="228">
        <v>29.471</v>
      </c>
      <c r="X377" s="228">
        <v>20.065000000000001</v>
      </c>
      <c r="Y377" s="93">
        <f>Z377</f>
        <v>23.628</v>
      </c>
      <c r="Z377" s="344">
        <v>23.628</v>
      </c>
      <c r="AA377" s="228">
        <v>14.225</v>
      </c>
      <c r="AB377" s="228">
        <v>21.773</v>
      </c>
      <c r="AC377" s="228">
        <v>23.341000000000001</v>
      </c>
      <c r="AD377" s="93">
        <f>AE377</f>
        <v>0</v>
      </c>
      <c r="AE377" s="344">
        <v>0</v>
      </c>
      <c r="AF377" s="228">
        <v>34.332000000000001</v>
      </c>
      <c r="AG377" s="228"/>
      <c r="AH377" s="228"/>
      <c r="AI377" s="93">
        <f>AJ377</f>
        <v>0</v>
      </c>
      <c r="AJ377" s="344"/>
      <c r="AK377" s="228"/>
      <c r="AL377" s="322"/>
      <c r="AM377" s="93"/>
      <c r="AN377" s="93"/>
      <c r="AO377" s="344"/>
      <c r="AP377" s="93"/>
      <c r="AQ377" s="93"/>
      <c r="AR377" s="93"/>
      <c r="AS377" s="93"/>
      <c r="AT377" s="344"/>
      <c r="AU377" s="344"/>
      <c r="AV377" s="344"/>
      <c r="AW377" s="344"/>
      <c r="AX377" s="228"/>
    </row>
    <row r="378" spans="1:50" s="9" customFormat="1" x14ac:dyDescent="0.3">
      <c r="A378" s="347" t="s">
        <v>215</v>
      </c>
      <c r="B378" s="377"/>
      <c r="C378" s="349">
        <f t="shared" ref="C378:AL378" si="190">SUM(C372:C377)</f>
        <v>24.106999999999999</v>
      </c>
      <c r="D378" s="349">
        <f t="shared" si="190"/>
        <v>23.777999999999999</v>
      </c>
      <c r="E378" s="349">
        <f t="shared" si="190"/>
        <v>67.093000000000004</v>
      </c>
      <c r="F378" s="349">
        <f t="shared" si="190"/>
        <v>105.206</v>
      </c>
      <c r="G378" s="350">
        <f t="shared" si="190"/>
        <v>92.407000000000011</v>
      </c>
      <c r="H378" s="350">
        <f t="shared" si="190"/>
        <v>83.344999999999999</v>
      </c>
      <c r="I378" s="350">
        <f t="shared" si="190"/>
        <v>83.944999999999993</v>
      </c>
      <c r="J378" s="350">
        <f t="shared" si="190"/>
        <v>98.061999999999998</v>
      </c>
      <c r="K378" s="349">
        <f t="shared" si="190"/>
        <v>98.061999999999998</v>
      </c>
      <c r="L378" s="350">
        <f t="shared" si="190"/>
        <v>98.826999999999998</v>
      </c>
      <c r="M378" s="350">
        <f t="shared" si="190"/>
        <v>100.97800000000001</v>
      </c>
      <c r="N378" s="350">
        <f t="shared" si="190"/>
        <v>110.779</v>
      </c>
      <c r="O378" s="350">
        <f t="shared" si="190"/>
        <v>117.645</v>
      </c>
      <c r="P378" s="349">
        <f t="shared" si="190"/>
        <v>117.645</v>
      </c>
      <c r="Q378" s="350">
        <f t="shared" si="190"/>
        <v>120.581</v>
      </c>
      <c r="R378" s="350">
        <f t="shared" si="190"/>
        <v>140.91399999999999</v>
      </c>
      <c r="S378" s="350">
        <f t="shared" si="190"/>
        <v>127.38499999999999</v>
      </c>
      <c r="T378" s="350">
        <f t="shared" si="190"/>
        <v>137.13000000000002</v>
      </c>
      <c r="U378" s="349">
        <f t="shared" si="190"/>
        <v>137.13000000000002</v>
      </c>
      <c r="V378" s="350">
        <f t="shared" si="190"/>
        <v>199.38600000000002</v>
      </c>
      <c r="W378" s="350">
        <f t="shared" si="190"/>
        <v>194.12200000000001</v>
      </c>
      <c r="X378" s="350">
        <f t="shared" si="190"/>
        <v>184.352</v>
      </c>
      <c r="Y378" s="351">
        <f t="shared" si="190"/>
        <v>212.56700000000001</v>
      </c>
      <c r="Z378" s="352">
        <f t="shared" si="190"/>
        <v>212.56700000000001</v>
      </c>
      <c r="AA378" s="350">
        <f t="shared" si="190"/>
        <v>208.18199999999999</v>
      </c>
      <c r="AB378" s="350">
        <f t="shared" si="190"/>
        <v>197.98599999999999</v>
      </c>
      <c r="AC378" s="350">
        <f t="shared" si="190"/>
        <v>180.17500000000001</v>
      </c>
      <c r="AD378" s="351">
        <f t="shared" si="190"/>
        <v>196.63300000000004</v>
      </c>
      <c r="AE378" s="352">
        <f t="shared" si="190"/>
        <v>196.63300000000004</v>
      </c>
      <c r="AF378" s="350">
        <f t="shared" si="190"/>
        <v>226.70699999999999</v>
      </c>
      <c r="AG378" s="350">
        <f t="shared" si="190"/>
        <v>216.648</v>
      </c>
      <c r="AH378" s="350">
        <f t="shared" si="190"/>
        <v>193.67400000000001</v>
      </c>
      <c r="AI378" s="351">
        <f t="shared" si="190"/>
        <v>212.77199999999999</v>
      </c>
      <c r="AJ378" s="352">
        <f t="shared" si="190"/>
        <v>212.77199999999999</v>
      </c>
      <c r="AK378" s="350">
        <f t="shared" si="190"/>
        <v>249.82</v>
      </c>
      <c r="AL378" s="353">
        <f t="shared" si="190"/>
        <v>239.03399999999999</v>
      </c>
      <c r="AM378" s="351"/>
      <c r="AN378" s="351"/>
      <c r="AO378" s="352"/>
      <c r="AP378" s="351"/>
      <c r="AQ378" s="351"/>
      <c r="AR378" s="351"/>
      <c r="AS378" s="351"/>
      <c r="AT378" s="352"/>
      <c r="AU378" s="352"/>
      <c r="AV378" s="352"/>
      <c r="AW378" s="352"/>
      <c r="AX378" s="22"/>
    </row>
    <row r="379" spans="1:50" s="9" customFormat="1" x14ac:dyDescent="0.3">
      <c r="A379" s="35"/>
      <c r="B379" s="103"/>
      <c r="C379" s="4"/>
      <c r="D379" s="4"/>
      <c r="E379" s="4"/>
      <c r="F379" s="4"/>
      <c r="G379" s="22"/>
      <c r="H379" s="22"/>
      <c r="I379" s="22"/>
      <c r="J379" s="22"/>
      <c r="K379" s="4"/>
      <c r="L379" s="22"/>
      <c r="M379" s="22"/>
      <c r="N379" s="22"/>
      <c r="O379" s="22"/>
      <c r="P379" s="4"/>
      <c r="Q379" s="22"/>
      <c r="R379" s="22"/>
      <c r="S379" s="22"/>
      <c r="T379" s="22"/>
      <c r="U379" s="4"/>
      <c r="V379" s="22"/>
      <c r="W379" s="22"/>
      <c r="X379" s="22"/>
      <c r="Y379" s="22"/>
      <c r="Z379" s="4"/>
      <c r="AA379" s="22"/>
      <c r="AB379" s="22"/>
      <c r="AC379" s="22"/>
      <c r="AD379" s="22"/>
      <c r="AE379" s="4"/>
      <c r="AF379" s="22"/>
      <c r="AG379" s="22"/>
      <c r="AH379" s="22"/>
      <c r="AI379" s="22"/>
      <c r="AJ379" s="4"/>
      <c r="AK379" s="22"/>
      <c r="AL379" s="308"/>
      <c r="AM379" s="22"/>
      <c r="AN379" s="22"/>
      <c r="AO379" s="4"/>
      <c r="AP379" s="22"/>
      <c r="AQ379" s="22"/>
      <c r="AR379" s="22"/>
      <c r="AS379" s="22"/>
      <c r="AT379" s="4"/>
      <c r="AU379" s="4"/>
      <c r="AV379" s="4"/>
      <c r="AW379" s="4"/>
      <c r="AX379" s="22"/>
    </row>
    <row r="380" spans="1:50" s="9" customFormat="1" x14ac:dyDescent="0.3">
      <c r="A380" s="468" t="s">
        <v>216</v>
      </c>
      <c r="B380" s="103"/>
      <c r="C380" s="4"/>
      <c r="D380" s="4"/>
      <c r="E380" s="4"/>
      <c r="F380" s="4"/>
      <c r="G380" s="22"/>
      <c r="H380" s="22"/>
      <c r="I380" s="22"/>
      <c r="J380" s="22"/>
      <c r="K380" s="4"/>
      <c r="L380" s="22"/>
      <c r="M380" s="22"/>
      <c r="N380" s="22"/>
      <c r="O380" s="22"/>
      <c r="P380" s="4"/>
      <c r="Q380" s="22"/>
      <c r="R380" s="22"/>
      <c r="S380" s="22"/>
      <c r="T380" s="22"/>
      <c r="U380" s="4"/>
      <c r="V380" s="22"/>
      <c r="W380" s="22"/>
      <c r="X380" s="22"/>
      <c r="Y380" s="22"/>
      <c r="Z380" s="4"/>
      <c r="AA380" s="22"/>
      <c r="AB380" s="22"/>
      <c r="AC380" s="22"/>
      <c r="AD380" s="22"/>
      <c r="AE380" s="4"/>
      <c r="AF380" s="22"/>
      <c r="AG380" s="22"/>
      <c r="AH380" s="22"/>
      <c r="AI380" s="22"/>
      <c r="AJ380" s="4"/>
      <c r="AK380" s="22"/>
      <c r="AL380" s="308"/>
      <c r="AM380" s="22"/>
      <c r="AN380" s="22"/>
      <c r="AO380" s="4"/>
      <c r="AP380" s="22"/>
      <c r="AQ380" s="22"/>
      <c r="AR380" s="22"/>
      <c r="AS380" s="22"/>
      <c r="AT380" s="4"/>
      <c r="AU380" s="4"/>
      <c r="AV380" s="4"/>
      <c r="AW380" s="4"/>
      <c r="AX380" s="22"/>
    </row>
    <row r="381" spans="1:50" s="5" customFormat="1" x14ac:dyDescent="0.3">
      <c r="A381" s="36" t="s">
        <v>547</v>
      </c>
      <c r="B381" s="376"/>
      <c r="C381" s="343">
        <v>5.7779999999999996</v>
      </c>
      <c r="D381" s="343">
        <v>7.3550000000000004</v>
      </c>
      <c r="E381" s="343">
        <v>10.433</v>
      </c>
      <c r="F381" s="343">
        <v>11.821</v>
      </c>
      <c r="G381" s="228">
        <v>12.327</v>
      </c>
      <c r="H381" s="228">
        <v>12.795999999999999</v>
      </c>
      <c r="I381" s="228">
        <v>13.273999999999999</v>
      </c>
      <c r="J381" s="228">
        <f>K381</f>
        <v>13.417999999999999</v>
      </c>
      <c r="K381" s="343">
        <v>13.417999999999999</v>
      </c>
      <c r="L381" s="228">
        <v>13.249000000000001</v>
      </c>
      <c r="M381" s="228">
        <v>13.286</v>
      </c>
      <c r="N381" s="228">
        <v>12.401</v>
      </c>
      <c r="O381" s="228">
        <f>P381</f>
        <v>11.85</v>
      </c>
      <c r="P381" s="343">
        <v>11.85</v>
      </c>
      <c r="Q381" s="228">
        <v>12.398999999999999</v>
      </c>
      <c r="R381" s="228">
        <v>13.087</v>
      </c>
      <c r="S381" s="228">
        <v>12.454000000000001</v>
      </c>
      <c r="T381" s="228">
        <f>U381</f>
        <v>12.464</v>
      </c>
      <c r="U381" s="343">
        <v>12.464</v>
      </c>
      <c r="V381" s="228">
        <v>19.63</v>
      </c>
      <c r="W381" s="228">
        <v>20.219000000000001</v>
      </c>
      <c r="X381" s="228">
        <v>20.582999999999998</v>
      </c>
      <c r="Y381" s="93">
        <f>Z381</f>
        <v>19.873999999999999</v>
      </c>
      <c r="Z381" s="344">
        <v>19.873999999999999</v>
      </c>
      <c r="AA381" s="228">
        <v>20.954999999999998</v>
      </c>
      <c r="AB381" s="228">
        <v>23.041</v>
      </c>
      <c r="AC381" s="228">
        <v>22.824999999999999</v>
      </c>
      <c r="AD381" s="93">
        <f>AE381</f>
        <v>23.204999999999998</v>
      </c>
      <c r="AE381" s="344">
        <v>23.204999999999998</v>
      </c>
      <c r="AF381" s="228">
        <v>22.77</v>
      </c>
      <c r="AG381" s="228">
        <v>21.463999999999999</v>
      </c>
      <c r="AH381" s="228">
        <v>22.603000000000002</v>
      </c>
      <c r="AI381" s="93">
        <f>AJ381</f>
        <v>21.645</v>
      </c>
      <c r="AJ381" s="344">
        <v>21.645</v>
      </c>
      <c r="AK381" s="228">
        <v>6.1449999999999996</v>
      </c>
      <c r="AL381" s="322"/>
      <c r="AM381" s="93"/>
      <c r="AN381" s="93"/>
      <c r="AO381" s="344"/>
      <c r="AP381" s="93"/>
      <c r="AQ381" s="93"/>
      <c r="AR381" s="93"/>
      <c r="AS381" s="93"/>
      <c r="AT381" s="344"/>
      <c r="AU381" s="344"/>
      <c r="AV381" s="344"/>
      <c r="AW381" s="344"/>
      <c r="AX381" s="228"/>
    </row>
    <row r="382" spans="1:50" s="5" customFormat="1" x14ac:dyDescent="0.3">
      <c r="A382" s="36" t="s">
        <v>543</v>
      </c>
      <c r="B382" s="376"/>
      <c r="C382" s="343"/>
      <c r="D382" s="343">
        <v>0.56299999999999994</v>
      </c>
      <c r="E382" s="343">
        <v>3.6640000000000001</v>
      </c>
      <c r="F382" s="343">
        <v>8.3659999999999997</v>
      </c>
      <c r="G382" s="228">
        <v>8.4990000000000006</v>
      </c>
      <c r="H382" s="228">
        <v>9.17</v>
      </c>
      <c r="I382" s="228">
        <v>9.1790000000000003</v>
      </c>
      <c r="J382" s="228">
        <f>K382</f>
        <v>9.0449999999999999</v>
      </c>
      <c r="K382" s="343">
        <v>9.0449999999999999</v>
      </c>
      <c r="L382" s="228">
        <v>9.0190000000000001</v>
      </c>
      <c r="M382" s="228">
        <v>8.43</v>
      </c>
      <c r="N382" s="228">
        <v>8.6690000000000005</v>
      </c>
      <c r="O382" s="228">
        <f>P382</f>
        <v>8.9420000000000002</v>
      </c>
      <c r="P382" s="343">
        <v>8.9420000000000002</v>
      </c>
      <c r="Q382" s="228">
        <v>9.7050000000000001</v>
      </c>
      <c r="R382" s="228">
        <v>10.348000000000001</v>
      </c>
      <c r="S382" s="228">
        <v>11.398</v>
      </c>
      <c r="T382" s="228">
        <f>U382</f>
        <v>12.439</v>
      </c>
      <c r="U382" s="343">
        <v>12.439</v>
      </c>
      <c r="V382" s="228">
        <v>12.196999999999999</v>
      </c>
      <c r="W382" s="228">
        <v>14.195</v>
      </c>
      <c r="X382" s="228">
        <v>15.507</v>
      </c>
      <c r="Y382" s="93">
        <f>Z382</f>
        <v>15.968</v>
      </c>
      <c r="Z382" s="344">
        <v>15.968</v>
      </c>
      <c r="AA382" s="228">
        <v>15.484999999999999</v>
      </c>
      <c r="AB382" s="228">
        <v>15.237</v>
      </c>
      <c r="AC382" s="228">
        <v>17.134</v>
      </c>
      <c r="AD382" s="93">
        <f>AE382</f>
        <v>17.82</v>
      </c>
      <c r="AE382" s="344">
        <v>17.82</v>
      </c>
      <c r="AF382" s="228">
        <v>18.600000000000001</v>
      </c>
      <c r="AG382" s="228">
        <v>17.791</v>
      </c>
      <c r="AH382" s="228">
        <v>17.829000000000001</v>
      </c>
      <c r="AI382" s="93">
        <f>AJ382</f>
        <v>18.664999999999999</v>
      </c>
      <c r="AJ382" s="344">
        <v>18.664999999999999</v>
      </c>
      <c r="AK382" s="228">
        <v>19.565000000000001</v>
      </c>
      <c r="AL382" s="322">
        <v>20.224</v>
      </c>
      <c r="AM382" s="93"/>
      <c r="AN382" s="93"/>
      <c r="AO382" s="344"/>
      <c r="AP382" s="93"/>
      <c r="AQ382" s="93"/>
      <c r="AR382" s="93"/>
      <c r="AS382" s="93"/>
      <c r="AT382" s="344"/>
      <c r="AU382" s="344"/>
      <c r="AV382" s="344"/>
      <c r="AW382" s="344"/>
      <c r="AX382" s="228"/>
    </row>
    <row r="383" spans="1:50" s="5" customFormat="1" x14ac:dyDescent="0.3">
      <c r="A383" s="36" t="s">
        <v>548</v>
      </c>
      <c r="B383" s="376"/>
      <c r="C383" s="343">
        <v>0.47399999999999998</v>
      </c>
      <c r="D383" s="343">
        <v>0.158</v>
      </c>
      <c r="E383" s="343">
        <v>0.27900000000000003</v>
      </c>
      <c r="F383" s="343">
        <v>2.835</v>
      </c>
      <c r="G383" s="228">
        <v>2.5579999999999998</v>
      </c>
      <c r="H383" s="228">
        <v>2.2839999999999998</v>
      </c>
      <c r="I383" s="228">
        <v>1.8819999999999999</v>
      </c>
      <c r="J383" s="228">
        <f>K383</f>
        <v>1.6</v>
      </c>
      <c r="K383" s="343">
        <v>1.6</v>
      </c>
      <c r="L383" s="228">
        <v>1.3180000000000001</v>
      </c>
      <c r="M383" s="228">
        <v>1.0429999999999999</v>
      </c>
      <c r="N383" s="228">
        <v>0.76800000000000002</v>
      </c>
      <c r="O383" s="228">
        <f>P383</f>
        <v>0.49399999999999999</v>
      </c>
      <c r="P383" s="343">
        <v>0.49399999999999999</v>
      </c>
      <c r="Q383" s="228">
        <v>0.217</v>
      </c>
      <c r="R383" s="228"/>
      <c r="S383" s="228"/>
      <c r="T383" s="228">
        <f>U383</f>
        <v>0</v>
      </c>
      <c r="U383" s="343">
        <v>0</v>
      </c>
      <c r="V383" s="228"/>
      <c r="W383" s="228">
        <v>0</v>
      </c>
      <c r="X383" s="228">
        <v>0</v>
      </c>
      <c r="Y383" s="93">
        <f>Z383</f>
        <v>0</v>
      </c>
      <c r="Z383" s="344">
        <v>0</v>
      </c>
      <c r="AA383" s="228"/>
      <c r="AB383" s="228"/>
      <c r="AC383" s="228"/>
      <c r="AD383" s="93">
        <f>AE383</f>
        <v>0</v>
      </c>
      <c r="AE383" s="344"/>
      <c r="AF383" s="228"/>
      <c r="AG383" s="228"/>
      <c r="AH383" s="228"/>
      <c r="AI383" s="93">
        <f>AJ383</f>
        <v>0</v>
      </c>
      <c r="AJ383" s="344"/>
      <c r="AK383" s="228"/>
      <c r="AL383" s="322"/>
      <c r="AM383" s="93"/>
      <c r="AN383" s="93"/>
      <c r="AO383" s="344"/>
      <c r="AP383" s="93"/>
      <c r="AQ383" s="93"/>
      <c r="AR383" s="93"/>
      <c r="AS383" s="93"/>
      <c r="AT383" s="344"/>
      <c r="AU383" s="344"/>
      <c r="AV383" s="344"/>
      <c r="AW383" s="344"/>
      <c r="AX383" s="228"/>
    </row>
    <row r="384" spans="1:50" s="5" customFormat="1" x14ac:dyDescent="0.3">
      <c r="A384" s="36" t="s">
        <v>549</v>
      </c>
      <c r="B384" s="376"/>
      <c r="C384" s="343"/>
      <c r="D384" s="343"/>
      <c r="E384" s="343"/>
      <c r="F384" s="343"/>
      <c r="G384" s="228"/>
      <c r="H384" s="228"/>
      <c r="I384" s="228"/>
      <c r="J384" s="228"/>
      <c r="K384" s="343"/>
      <c r="L384" s="228"/>
      <c r="M384" s="228"/>
      <c r="N384" s="228"/>
      <c r="O384" s="228"/>
      <c r="P384" s="343"/>
      <c r="Q384" s="228"/>
      <c r="R384" s="228"/>
      <c r="S384" s="228"/>
      <c r="T384" s="228"/>
      <c r="U384" s="343"/>
      <c r="V384" s="228"/>
      <c r="W384" s="228"/>
      <c r="X384" s="228"/>
      <c r="Y384" s="93"/>
      <c r="Z384" s="344"/>
      <c r="AA384" s="228"/>
      <c r="AB384" s="228"/>
      <c r="AC384" s="228"/>
      <c r="AD384" s="93"/>
      <c r="AE384" s="344"/>
      <c r="AF384" s="228"/>
      <c r="AG384" s="228"/>
      <c r="AH384" s="228"/>
      <c r="AI384" s="93"/>
      <c r="AJ384" s="344"/>
      <c r="AK384" s="228">
        <v>53.66</v>
      </c>
      <c r="AL384" s="322"/>
      <c r="AM384" s="93"/>
      <c r="AN384" s="93"/>
      <c r="AO384" s="344"/>
      <c r="AP384" s="93"/>
      <c r="AQ384" s="93"/>
      <c r="AR384" s="93"/>
      <c r="AS384" s="93"/>
      <c r="AT384" s="344"/>
      <c r="AU384" s="344"/>
      <c r="AV384" s="344"/>
      <c r="AW384" s="344"/>
      <c r="AX384" s="228"/>
    </row>
    <row r="385" spans="1:50" s="5" customFormat="1" x14ac:dyDescent="0.3">
      <c r="A385" s="36" t="s">
        <v>550</v>
      </c>
      <c r="B385" s="376"/>
      <c r="C385" s="343"/>
      <c r="D385" s="343"/>
      <c r="E385" s="343"/>
      <c r="F385" s="343"/>
      <c r="G385" s="228"/>
      <c r="H385" s="228"/>
      <c r="I385" s="228"/>
      <c r="J385" s="228">
        <f>K385</f>
        <v>0</v>
      </c>
      <c r="K385" s="343"/>
      <c r="L385" s="228"/>
      <c r="M385" s="228"/>
      <c r="N385" s="228"/>
      <c r="O385" s="228">
        <f>P385</f>
        <v>0</v>
      </c>
      <c r="P385" s="343"/>
      <c r="Q385" s="228"/>
      <c r="R385" s="228"/>
      <c r="S385" s="228"/>
      <c r="T385" s="228">
        <f>U385</f>
        <v>0</v>
      </c>
      <c r="U385" s="343"/>
      <c r="V385" s="228">
        <v>248.92599999999999</v>
      </c>
      <c r="W385" s="228">
        <v>238.904</v>
      </c>
      <c r="X385" s="228">
        <v>228.85</v>
      </c>
      <c r="Y385" s="93">
        <f>Z385</f>
        <v>218.786</v>
      </c>
      <c r="Z385" s="344">
        <v>218.786</v>
      </c>
      <c r="AA385" s="228">
        <v>208.673</v>
      </c>
      <c r="AB385" s="228">
        <v>191.57</v>
      </c>
      <c r="AC385" s="228">
        <v>174.441</v>
      </c>
      <c r="AD385" s="93">
        <f>AE385</f>
        <v>72.760999999999996</v>
      </c>
      <c r="AE385" s="344">
        <v>72.760999999999996</v>
      </c>
      <c r="AF385" s="228"/>
      <c r="AG385" s="228"/>
      <c r="AH385" s="228"/>
      <c r="AI385" s="93">
        <f>AJ385</f>
        <v>0</v>
      </c>
      <c r="AJ385" s="344"/>
      <c r="AK385" s="228"/>
      <c r="AL385" s="322"/>
      <c r="AM385" s="93"/>
      <c r="AN385" s="93"/>
      <c r="AO385" s="344"/>
      <c r="AP385" s="93"/>
      <c r="AQ385" s="93"/>
      <c r="AR385" s="93"/>
      <c r="AS385" s="93"/>
      <c r="AT385" s="344"/>
      <c r="AU385" s="344"/>
      <c r="AV385" s="344"/>
      <c r="AW385" s="344"/>
      <c r="AX385" s="228"/>
    </row>
    <row r="386" spans="1:50" s="5" customFormat="1" x14ac:dyDescent="0.3">
      <c r="A386" s="36" t="s">
        <v>161</v>
      </c>
      <c r="B386" s="376"/>
      <c r="C386" s="343">
        <v>2.1440000000000001</v>
      </c>
      <c r="D386" s="343">
        <v>2.2109999999999999</v>
      </c>
      <c r="E386" s="343">
        <v>6.2140000000000004</v>
      </c>
      <c r="F386" s="343">
        <v>11.981999999999999</v>
      </c>
      <c r="G386" s="228">
        <v>12.471</v>
      </c>
      <c r="H386" s="228">
        <v>13.833</v>
      </c>
      <c r="I386" s="228">
        <v>17.579000000000001</v>
      </c>
      <c r="J386" s="228">
        <f>K386</f>
        <v>17.89</v>
      </c>
      <c r="K386" s="343">
        <v>17.89</v>
      </c>
      <c r="L386" s="228">
        <v>17.355</v>
      </c>
      <c r="M386" s="228">
        <v>16.46</v>
      </c>
      <c r="N386" s="228">
        <v>14.888999999999999</v>
      </c>
      <c r="O386" s="228">
        <f>P386</f>
        <v>22.535</v>
      </c>
      <c r="P386" s="343">
        <v>22.535</v>
      </c>
      <c r="Q386" s="228">
        <v>24.332999999999998</v>
      </c>
      <c r="R386" s="228">
        <v>26.276</v>
      </c>
      <c r="S386" s="228">
        <v>26.824999999999999</v>
      </c>
      <c r="T386" s="228">
        <f>U386</f>
        <v>24.667999999999999</v>
      </c>
      <c r="U386" s="343">
        <v>24.667999999999999</v>
      </c>
      <c r="V386" s="228">
        <v>26.498000000000001</v>
      </c>
      <c r="W386" s="228">
        <v>26.216999999999999</v>
      </c>
      <c r="X386" s="228">
        <v>29.356000000000002</v>
      </c>
      <c r="Y386" s="93">
        <f>Z386</f>
        <v>30.58</v>
      </c>
      <c r="Z386" s="344">
        <v>30.58</v>
      </c>
      <c r="AA386" s="228">
        <v>31.516999999999999</v>
      </c>
      <c r="AB386" s="228">
        <v>33.741</v>
      </c>
      <c r="AC386" s="228">
        <v>39.107999999999997</v>
      </c>
      <c r="AD386" s="93">
        <f>AE386</f>
        <v>34.067</v>
      </c>
      <c r="AE386" s="344">
        <v>34.067</v>
      </c>
      <c r="AF386" s="228">
        <v>33.095999999999997</v>
      </c>
      <c r="AG386" s="228">
        <v>32.116999999999997</v>
      </c>
      <c r="AH386" s="228">
        <v>35.768000000000001</v>
      </c>
      <c r="AI386" s="93">
        <f>AJ386</f>
        <v>32.468000000000004</v>
      </c>
      <c r="AJ386" s="344">
        <v>32.468000000000004</v>
      </c>
      <c r="AK386" s="345">
        <v>33.673000000000002</v>
      </c>
      <c r="AL386" s="346">
        <v>100.093</v>
      </c>
      <c r="AM386" s="93"/>
      <c r="AN386" s="93"/>
      <c r="AO386" s="344"/>
      <c r="AP386" s="93"/>
      <c r="AQ386" s="93"/>
      <c r="AR386" s="93"/>
      <c r="AS386" s="93"/>
      <c r="AT386" s="344"/>
      <c r="AU386" s="344"/>
      <c r="AV386" s="344"/>
      <c r="AW386" s="344"/>
      <c r="AX386" s="228"/>
    </row>
    <row r="387" spans="1:50" s="9" customFormat="1" x14ac:dyDescent="0.3">
      <c r="A387" s="347" t="s">
        <v>220</v>
      </c>
      <c r="B387" s="377"/>
      <c r="C387" s="349">
        <f t="shared" ref="C387:AL387" si="191">SUM(C381:C386)</f>
        <v>8.3960000000000008</v>
      </c>
      <c r="D387" s="349">
        <f t="shared" si="191"/>
        <v>10.287000000000001</v>
      </c>
      <c r="E387" s="349">
        <f t="shared" si="191"/>
        <v>20.59</v>
      </c>
      <c r="F387" s="349">
        <f t="shared" si="191"/>
        <v>35.003999999999998</v>
      </c>
      <c r="G387" s="350">
        <f t="shared" si="191"/>
        <v>35.855000000000004</v>
      </c>
      <c r="H387" s="350">
        <f t="shared" si="191"/>
        <v>38.082999999999998</v>
      </c>
      <c r="I387" s="350">
        <f t="shared" si="191"/>
        <v>41.914000000000001</v>
      </c>
      <c r="J387" s="350">
        <f t="shared" si="191"/>
        <v>41.953000000000003</v>
      </c>
      <c r="K387" s="349">
        <f t="shared" si="191"/>
        <v>41.953000000000003</v>
      </c>
      <c r="L387" s="350">
        <f t="shared" si="191"/>
        <v>40.941000000000003</v>
      </c>
      <c r="M387" s="350">
        <f t="shared" si="191"/>
        <v>39.219000000000001</v>
      </c>
      <c r="N387" s="350">
        <f t="shared" si="191"/>
        <v>36.727000000000004</v>
      </c>
      <c r="O387" s="350">
        <f t="shared" si="191"/>
        <v>43.820999999999998</v>
      </c>
      <c r="P387" s="349">
        <f t="shared" si="191"/>
        <v>43.820999999999998</v>
      </c>
      <c r="Q387" s="350">
        <f t="shared" si="191"/>
        <v>46.653999999999996</v>
      </c>
      <c r="R387" s="350">
        <f t="shared" si="191"/>
        <v>49.710999999999999</v>
      </c>
      <c r="S387" s="350">
        <f t="shared" si="191"/>
        <v>50.677</v>
      </c>
      <c r="T387" s="350">
        <f t="shared" si="191"/>
        <v>49.570999999999998</v>
      </c>
      <c r="U387" s="349">
        <f t="shared" si="191"/>
        <v>49.570999999999998</v>
      </c>
      <c r="V387" s="350">
        <f t="shared" si="191"/>
        <v>307.25099999999998</v>
      </c>
      <c r="W387" s="350">
        <f t="shared" si="191"/>
        <v>299.53499999999997</v>
      </c>
      <c r="X387" s="350">
        <f t="shared" si="191"/>
        <v>294.29599999999999</v>
      </c>
      <c r="Y387" s="351">
        <f t="shared" si="191"/>
        <v>285.20799999999997</v>
      </c>
      <c r="Z387" s="352">
        <f t="shared" si="191"/>
        <v>285.20799999999997</v>
      </c>
      <c r="AA387" s="350">
        <f t="shared" si="191"/>
        <v>276.63</v>
      </c>
      <c r="AB387" s="350">
        <f t="shared" si="191"/>
        <v>263.589</v>
      </c>
      <c r="AC387" s="350">
        <f t="shared" si="191"/>
        <v>253.50800000000001</v>
      </c>
      <c r="AD387" s="351">
        <f t="shared" si="191"/>
        <v>147.85300000000001</v>
      </c>
      <c r="AE387" s="352">
        <f t="shared" si="191"/>
        <v>147.85300000000001</v>
      </c>
      <c r="AF387" s="350">
        <f t="shared" si="191"/>
        <v>74.466000000000008</v>
      </c>
      <c r="AG387" s="350">
        <f t="shared" si="191"/>
        <v>71.371999999999986</v>
      </c>
      <c r="AH387" s="350">
        <f t="shared" si="191"/>
        <v>76.2</v>
      </c>
      <c r="AI387" s="351">
        <f t="shared" si="191"/>
        <v>72.778000000000006</v>
      </c>
      <c r="AJ387" s="352">
        <f t="shared" si="191"/>
        <v>72.778000000000006</v>
      </c>
      <c r="AK387" s="350">
        <f t="shared" si="191"/>
        <v>113.04300000000001</v>
      </c>
      <c r="AL387" s="353">
        <f t="shared" si="191"/>
        <v>120.31700000000001</v>
      </c>
      <c r="AM387" s="351"/>
      <c r="AN387" s="351"/>
      <c r="AO387" s="352"/>
      <c r="AP387" s="351"/>
      <c r="AQ387" s="351"/>
      <c r="AR387" s="351"/>
      <c r="AS387" s="351"/>
      <c r="AT387" s="352"/>
      <c r="AU387" s="352"/>
      <c r="AV387" s="352"/>
      <c r="AW387" s="352"/>
      <c r="AX387" s="22"/>
    </row>
    <row r="388" spans="1:50" s="9" customFormat="1" x14ac:dyDescent="0.3">
      <c r="A388" s="35" t="s">
        <v>221</v>
      </c>
      <c r="B388" s="103"/>
      <c r="C388" s="4">
        <f t="shared" ref="C388:AL388" si="192">C378+C387</f>
        <v>32.503</v>
      </c>
      <c r="D388" s="4">
        <f t="shared" si="192"/>
        <v>34.064999999999998</v>
      </c>
      <c r="E388" s="4">
        <f t="shared" si="192"/>
        <v>87.683000000000007</v>
      </c>
      <c r="F388" s="4">
        <f t="shared" si="192"/>
        <v>140.21</v>
      </c>
      <c r="G388" s="22">
        <f t="shared" si="192"/>
        <v>128.262</v>
      </c>
      <c r="H388" s="22">
        <f t="shared" si="192"/>
        <v>121.428</v>
      </c>
      <c r="I388" s="22">
        <f t="shared" si="192"/>
        <v>125.85899999999999</v>
      </c>
      <c r="J388" s="22">
        <f t="shared" si="192"/>
        <v>140.01499999999999</v>
      </c>
      <c r="K388" s="4">
        <f t="shared" si="192"/>
        <v>140.01499999999999</v>
      </c>
      <c r="L388" s="22">
        <f t="shared" si="192"/>
        <v>139.768</v>
      </c>
      <c r="M388" s="22">
        <f t="shared" si="192"/>
        <v>140.197</v>
      </c>
      <c r="N388" s="22">
        <f t="shared" si="192"/>
        <v>147.506</v>
      </c>
      <c r="O388" s="22">
        <f t="shared" si="192"/>
        <v>161.46600000000001</v>
      </c>
      <c r="P388" s="4">
        <f t="shared" si="192"/>
        <v>161.46600000000001</v>
      </c>
      <c r="Q388" s="22">
        <f t="shared" si="192"/>
        <v>167.23500000000001</v>
      </c>
      <c r="R388" s="22">
        <f t="shared" si="192"/>
        <v>190.625</v>
      </c>
      <c r="S388" s="22">
        <f t="shared" si="192"/>
        <v>178.06199999999998</v>
      </c>
      <c r="T388" s="22">
        <f t="shared" si="192"/>
        <v>186.70100000000002</v>
      </c>
      <c r="U388" s="4">
        <f t="shared" si="192"/>
        <v>186.70100000000002</v>
      </c>
      <c r="V388" s="22">
        <f t="shared" si="192"/>
        <v>506.637</v>
      </c>
      <c r="W388" s="22">
        <f t="shared" si="192"/>
        <v>493.65699999999998</v>
      </c>
      <c r="X388" s="22">
        <f t="shared" si="192"/>
        <v>478.64800000000002</v>
      </c>
      <c r="Y388" s="378">
        <f t="shared" si="192"/>
        <v>497.77499999999998</v>
      </c>
      <c r="Z388" s="117">
        <f t="shared" si="192"/>
        <v>497.77499999999998</v>
      </c>
      <c r="AA388" s="22">
        <f t="shared" si="192"/>
        <v>484.81200000000001</v>
      </c>
      <c r="AB388" s="22">
        <f t="shared" si="192"/>
        <v>461.57499999999999</v>
      </c>
      <c r="AC388" s="22">
        <f t="shared" si="192"/>
        <v>433.68299999999999</v>
      </c>
      <c r="AD388" s="378">
        <f t="shared" si="192"/>
        <v>344.48600000000005</v>
      </c>
      <c r="AE388" s="117">
        <f t="shared" si="192"/>
        <v>344.48600000000005</v>
      </c>
      <c r="AF388" s="22">
        <f t="shared" si="192"/>
        <v>301.173</v>
      </c>
      <c r="AG388" s="22">
        <f t="shared" si="192"/>
        <v>288.02</v>
      </c>
      <c r="AH388" s="22">
        <f t="shared" si="192"/>
        <v>269.87400000000002</v>
      </c>
      <c r="AI388" s="378">
        <f t="shared" si="192"/>
        <v>285.55</v>
      </c>
      <c r="AJ388" s="117">
        <f t="shared" si="192"/>
        <v>285.55</v>
      </c>
      <c r="AK388" s="22">
        <f t="shared" si="192"/>
        <v>362.863</v>
      </c>
      <c r="AL388" s="308">
        <f t="shared" si="192"/>
        <v>359.351</v>
      </c>
      <c r="AM388" s="378"/>
      <c r="AN388" s="378"/>
      <c r="AO388" s="117"/>
      <c r="AP388" s="378"/>
      <c r="AQ388" s="378"/>
      <c r="AR388" s="378"/>
      <c r="AS388" s="378"/>
      <c r="AT388" s="117"/>
      <c r="AU388" s="117"/>
      <c r="AV388" s="117"/>
      <c r="AW388" s="117"/>
      <c r="AX388" s="22"/>
    </row>
    <row r="389" spans="1:50" s="9" customFormat="1" x14ac:dyDescent="0.3">
      <c r="A389" s="35"/>
      <c r="B389" s="103"/>
      <c r="C389" s="4"/>
      <c r="D389" s="4"/>
      <c r="E389" s="4"/>
      <c r="F389" s="4"/>
      <c r="G389" s="22"/>
      <c r="H389" s="22"/>
      <c r="I389" s="22"/>
      <c r="J389" s="22"/>
      <c r="K389" s="4"/>
      <c r="L389" s="22"/>
      <c r="M389" s="22"/>
      <c r="N389" s="22"/>
      <c r="O389" s="22"/>
      <c r="P389" s="4"/>
      <c r="Q389" s="22"/>
      <c r="R389" s="22"/>
      <c r="S389" s="22"/>
      <c r="T389" s="22"/>
      <c r="U389" s="4"/>
      <c r="V389" s="22"/>
      <c r="W389" s="22"/>
      <c r="X389" s="22"/>
      <c r="Y389" s="22"/>
      <c r="Z389" s="4"/>
      <c r="AA389" s="22"/>
      <c r="AB389" s="22"/>
      <c r="AC389" s="22"/>
      <c r="AD389" s="22"/>
      <c r="AE389" s="4"/>
      <c r="AF389" s="22"/>
      <c r="AG389" s="22"/>
      <c r="AH389" s="22"/>
      <c r="AI389" s="22"/>
      <c r="AJ389" s="4"/>
      <c r="AK389" s="22"/>
      <c r="AL389" s="308"/>
      <c r="AM389" s="22"/>
      <c r="AN389" s="22"/>
      <c r="AO389" s="4"/>
      <c r="AP389" s="22"/>
      <c r="AQ389" s="22"/>
      <c r="AR389" s="22"/>
      <c r="AS389" s="22"/>
      <c r="AT389" s="4"/>
      <c r="AU389" s="4"/>
      <c r="AV389" s="4"/>
      <c r="AW389" s="4"/>
      <c r="AX389" s="22"/>
    </row>
    <row r="390" spans="1:50" s="9" customFormat="1" x14ac:dyDescent="0.3">
      <c r="A390" s="468" t="s">
        <v>222</v>
      </c>
      <c r="B390" s="103"/>
      <c r="C390" s="4"/>
      <c r="D390" s="4"/>
      <c r="E390" s="4"/>
      <c r="F390" s="4"/>
      <c r="G390" s="22"/>
      <c r="H390" s="22"/>
      <c r="I390" s="22"/>
      <c r="J390" s="22"/>
      <c r="K390" s="4"/>
      <c r="L390" s="22"/>
      <c r="M390" s="22"/>
      <c r="N390" s="22"/>
      <c r="O390" s="22"/>
      <c r="P390" s="4"/>
      <c r="Q390" s="22"/>
      <c r="R390" s="22"/>
      <c r="S390" s="22"/>
      <c r="T390" s="22"/>
      <c r="U390" s="4"/>
      <c r="V390" s="22"/>
      <c r="W390" s="22"/>
      <c r="X390" s="22"/>
      <c r="Y390" s="22"/>
      <c r="Z390" s="4"/>
      <c r="AA390" s="22"/>
      <c r="AB390" s="22"/>
      <c r="AC390" s="22"/>
      <c r="AD390" s="22"/>
      <c r="AE390" s="4"/>
      <c r="AF390" s="22"/>
      <c r="AG390" s="22"/>
      <c r="AH390" s="22"/>
      <c r="AI390" s="22"/>
      <c r="AJ390" s="4"/>
      <c r="AK390" s="22"/>
      <c r="AL390" s="308"/>
      <c r="AM390" s="22"/>
      <c r="AN390" s="22"/>
      <c r="AO390" s="4"/>
      <c r="AP390" s="22"/>
      <c r="AQ390" s="22"/>
      <c r="AR390" s="22"/>
      <c r="AS390" s="22"/>
      <c r="AT390" s="4"/>
      <c r="AU390" s="4"/>
      <c r="AV390" s="4"/>
      <c r="AW390" s="4"/>
      <c r="AX390" s="22"/>
    </row>
    <row r="391" spans="1:50" s="5" customFormat="1" x14ac:dyDescent="0.3">
      <c r="A391" s="36" t="s">
        <v>551</v>
      </c>
      <c r="B391" s="376"/>
      <c r="C391" s="343">
        <v>0.13500000000000001</v>
      </c>
      <c r="D391" s="343">
        <v>0.14099999999999999</v>
      </c>
      <c r="E391" s="343">
        <v>0.16500000000000001</v>
      </c>
      <c r="F391" s="343">
        <v>0.17799999999999999</v>
      </c>
      <c r="G391" s="228">
        <v>0.18099999999999999</v>
      </c>
      <c r="H391" s="228">
        <v>0.182</v>
      </c>
      <c r="I391" s="228">
        <v>0.184</v>
      </c>
      <c r="J391" s="228">
        <f>K391</f>
        <v>0.185</v>
      </c>
      <c r="K391" s="343">
        <v>0.185</v>
      </c>
      <c r="L391" s="228">
        <v>0.188</v>
      </c>
      <c r="M391" s="228">
        <v>0.189</v>
      </c>
      <c r="N391" s="228">
        <v>0.191</v>
      </c>
      <c r="O391" s="228">
        <f>P391</f>
        <v>0.192</v>
      </c>
      <c r="P391" s="343">
        <v>0.192</v>
      </c>
      <c r="Q391" s="228">
        <v>0.19400000000000001</v>
      </c>
      <c r="R391" s="228">
        <v>0.19700000000000001</v>
      </c>
      <c r="S391" s="228">
        <v>0.19800000000000001</v>
      </c>
      <c r="T391" s="228">
        <f>U391</f>
        <v>0.2</v>
      </c>
      <c r="U391" s="343">
        <v>0.2</v>
      </c>
      <c r="V391" s="228">
        <v>0.20200000000000001</v>
      </c>
      <c r="W391" s="228">
        <v>0.20399999999999999</v>
      </c>
      <c r="X391" s="228">
        <v>0.20699999999999999</v>
      </c>
      <c r="Y391" s="93">
        <f>Z391</f>
        <v>0.20899999999999999</v>
      </c>
      <c r="Z391" s="344">
        <v>0.20899999999999999</v>
      </c>
      <c r="AA391" s="228">
        <v>0.21199999999999999</v>
      </c>
      <c r="AB391" s="228">
        <v>0.215</v>
      </c>
      <c r="AC391" s="228">
        <v>0.218</v>
      </c>
      <c r="AD391" s="93">
        <f>AE391</f>
        <v>0.221</v>
      </c>
      <c r="AE391" s="344">
        <v>0.221</v>
      </c>
      <c r="AF391" s="228">
        <v>0.224</v>
      </c>
      <c r="AG391" s="228">
        <v>0.22900000000000001</v>
      </c>
      <c r="AH391" s="228">
        <v>0.23200000000000001</v>
      </c>
      <c r="AI391" s="93">
        <f>AJ391</f>
        <v>0.23300000000000001</v>
      </c>
      <c r="AJ391" s="344">
        <v>0.23300000000000001</v>
      </c>
      <c r="AK391" s="228">
        <v>0.23599999999999999</v>
      </c>
      <c r="AL391" s="322">
        <v>0.23699999999999999</v>
      </c>
      <c r="AM391" s="93"/>
      <c r="AN391" s="93"/>
      <c r="AO391" s="344"/>
      <c r="AP391" s="93"/>
      <c r="AQ391" s="93"/>
      <c r="AR391" s="93"/>
      <c r="AS391" s="93"/>
      <c r="AT391" s="344"/>
      <c r="AU391" s="344"/>
      <c r="AV391" s="344"/>
      <c r="AW391" s="344"/>
      <c r="AX391" s="228"/>
    </row>
    <row r="392" spans="1:50" s="5" customFormat="1" x14ac:dyDescent="0.3">
      <c r="A392" s="36" t="s">
        <v>225</v>
      </c>
      <c r="B392" s="376"/>
      <c r="C392" s="343">
        <v>240.80699999999999</v>
      </c>
      <c r="D392" s="343">
        <v>265.48099999999999</v>
      </c>
      <c r="E392" s="343">
        <v>418.255</v>
      </c>
      <c r="F392" s="343">
        <v>488.36500000000001</v>
      </c>
      <c r="G392" s="228">
        <v>505.34</v>
      </c>
      <c r="H392" s="228">
        <v>518.89300000000003</v>
      </c>
      <c r="I392" s="228">
        <v>538.19799999999998</v>
      </c>
      <c r="J392" s="228">
        <f>K392</f>
        <v>550.79499999999996</v>
      </c>
      <c r="K392" s="343">
        <v>550.79499999999996</v>
      </c>
      <c r="L392" s="228">
        <v>569.12900000000002</v>
      </c>
      <c r="M392" s="228">
        <v>581.48500000000001</v>
      </c>
      <c r="N392" s="228">
        <v>601.84</v>
      </c>
      <c r="O392" s="228">
        <f>P392</f>
        <v>615.14800000000002</v>
      </c>
      <c r="P392" s="343">
        <v>615.14800000000002</v>
      </c>
      <c r="Q392" s="228">
        <v>634.05600000000004</v>
      </c>
      <c r="R392" s="228">
        <v>649.976</v>
      </c>
      <c r="S392" s="228">
        <v>669.95399999999995</v>
      </c>
      <c r="T392" s="228">
        <f>U392</f>
        <v>684.82399999999996</v>
      </c>
      <c r="U392" s="343">
        <v>684.82399999999996</v>
      </c>
      <c r="V392" s="228">
        <v>713.03899999999999</v>
      </c>
      <c r="W392" s="228">
        <v>732.59</v>
      </c>
      <c r="X392" s="228">
        <v>761.37400000000002</v>
      </c>
      <c r="Y392" s="93">
        <f>Z392</f>
        <v>774.60500000000002</v>
      </c>
      <c r="Z392" s="344">
        <v>774.60500000000002</v>
      </c>
      <c r="AA392" s="228">
        <v>801.83500000000004</v>
      </c>
      <c r="AB392" s="228">
        <v>820.21699999999998</v>
      </c>
      <c r="AC392" s="228">
        <v>851.48</v>
      </c>
      <c r="AD392" s="93">
        <f>AE392</f>
        <v>873.97900000000004</v>
      </c>
      <c r="AE392" s="344">
        <v>873.97900000000004</v>
      </c>
      <c r="AF392" s="228">
        <v>903.00800000000004</v>
      </c>
      <c r="AG392" s="228">
        <v>923.202</v>
      </c>
      <c r="AH392" s="228">
        <v>956.28099999999995</v>
      </c>
      <c r="AI392" s="93">
        <f>AJ392</f>
        <v>982.67700000000002</v>
      </c>
      <c r="AJ392" s="344">
        <v>982.67700000000002</v>
      </c>
      <c r="AK392" s="228">
        <v>1023.943</v>
      </c>
      <c r="AL392" s="322">
        <v>1051.9849999999999</v>
      </c>
      <c r="AM392" s="93"/>
      <c r="AN392" s="93"/>
      <c r="AO392" s="344"/>
      <c r="AP392" s="93"/>
      <c r="AQ392" s="93"/>
      <c r="AR392" s="93"/>
      <c r="AS392" s="93"/>
      <c r="AT392" s="344"/>
      <c r="AU392" s="344"/>
      <c r="AV392" s="344"/>
      <c r="AW392" s="344"/>
      <c r="AX392" s="228"/>
    </row>
    <row r="393" spans="1:50" s="5" customFormat="1" x14ac:dyDescent="0.3">
      <c r="A393" s="36" t="s">
        <v>227</v>
      </c>
      <c r="B393" s="376"/>
      <c r="C393" s="343">
        <v>0.36699999999999999</v>
      </c>
      <c r="D393" s="343">
        <v>0.95399999999999996</v>
      </c>
      <c r="E393" s="343">
        <v>-1.1639999999999999</v>
      </c>
      <c r="F393" s="343">
        <v>2.794</v>
      </c>
      <c r="G393" s="228">
        <v>3.2850000000000001</v>
      </c>
      <c r="H393" s="228">
        <v>2.165</v>
      </c>
      <c r="I393" s="228">
        <v>1.823</v>
      </c>
      <c r="J393" s="228">
        <f>K393</f>
        <v>1.39</v>
      </c>
      <c r="K393" s="343">
        <v>1.39</v>
      </c>
      <c r="L393" s="228">
        <v>0.67</v>
      </c>
      <c r="M393" s="228">
        <v>0.72099999999999997</v>
      </c>
      <c r="N393" s="228">
        <v>-2.2130000000000001</v>
      </c>
      <c r="O393" s="228">
        <f>P393</f>
        <v>-4.0199999999999996</v>
      </c>
      <c r="P393" s="343">
        <v>-4.0199999999999996</v>
      </c>
      <c r="Q393" s="228">
        <v>-3.1949999999999998</v>
      </c>
      <c r="R393" s="228">
        <v>2.024</v>
      </c>
      <c r="S393" s="228">
        <v>-1.7729999999999999</v>
      </c>
      <c r="T393" s="228">
        <f>U393</f>
        <v>-1.669</v>
      </c>
      <c r="U393" s="343">
        <v>-1.669</v>
      </c>
      <c r="V393" s="228">
        <v>2.423</v>
      </c>
      <c r="W393" s="228">
        <v>0.32800000000000001</v>
      </c>
      <c r="X393" s="228">
        <v>1.966</v>
      </c>
      <c r="Y393" s="93">
        <f>Z393</f>
        <v>-0.92800000000000005</v>
      </c>
      <c r="Z393" s="344">
        <v>-0.92800000000000005</v>
      </c>
      <c r="AA393" s="228">
        <v>3.3849999999999998</v>
      </c>
      <c r="AB393" s="228">
        <v>3.8359999999999999</v>
      </c>
      <c r="AC393" s="228">
        <v>1.1359999999999999</v>
      </c>
      <c r="AD393" s="93">
        <f>AE393</f>
        <v>1.6180000000000001</v>
      </c>
      <c r="AE393" s="344">
        <v>1.6180000000000001</v>
      </c>
      <c r="AF393" s="228">
        <v>-1.2999999999999999E-2</v>
      </c>
      <c r="AG393" s="228">
        <v>-2.1819999999999999</v>
      </c>
      <c r="AH393" s="228">
        <v>-0.16700000000000001</v>
      </c>
      <c r="AI393" s="93">
        <f>AJ393</f>
        <v>-1.0509999999999999</v>
      </c>
      <c r="AJ393" s="344">
        <v>-1.0509999999999999</v>
      </c>
      <c r="AK393" s="228">
        <v>2.3220000000000001</v>
      </c>
      <c r="AL393" s="322">
        <v>2.3940000000000001</v>
      </c>
      <c r="AM393" s="93"/>
      <c r="AN393" s="93"/>
      <c r="AO393" s="344"/>
      <c r="AP393" s="93"/>
      <c r="AQ393" s="93"/>
      <c r="AR393" s="93"/>
      <c r="AS393" s="93"/>
      <c r="AT393" s="344"/>
      <c r="AU393" s="344"/>
      <c r="AV393" s="344"/>
      <c r="AW393" s="344"/>
      <c r="AX393" s="228"/>
    </row>
    <row r="394" spans="1:50" s="5" customFormat="1" x14ac:dyDescent="0.3">
      <c r="A394" s="36" t="s">
        <v>228</v>
      </c>
      <c r="B394" s="376"/>
      <c r="C394" s="343">
        <v>1.5740000000000001</v>
      </c>
      <c r="D394" s="343">
        <v>15.114000000000001</v>
      </c>
      <c r="E394" s="343">
        <v>25.091000000000001</v>
      </c>
      <c r="F394" s="343">
        <v>137.78299999999999</v>
      </c>
      <c r="G394" s="228">
        <v>128.01400000000001</v>
      </c>
      <c r="H394" s="228">
        <v>126.27500000000001</v>
      </c>
      <c r="I394" s="228">
        <v>120.861</v>
      </c>
      <c r="J394" s="228">
        <f>K394</f>
        <v>114.441</v>
      </c>
      <c r="K394" s="343">
        <v>114.441</v>
      </c>
      <c r="L394" s="228">
        <v>102.245</v>
      </c>
      <c r="M394" s="228">
        <v>93.27</v>
      </c>
      <c r="N394" s="228">
        <v>94.897999999999996</v>
      </c>
      <c r="O394" s="228">
        <f>P394</f>
        <v>90.432000000000002</v>
      </c>
      <c r="P394" s="343">
        <v>90.432000000000002</v>
      </c>
      <c r="Q394" s="228">
        <v>100.928</v>
      </c>
      <c r="R394" s="228">
        <v>120.176</v>
      </c>
      <c r="S394" s="228">
        <v>140.12799999999999</v>
      </c>
      <c r="T394" s="228">
        <f>U394</f>
        <v>183.32599999999999</v>
      </c>
      <c r="U394" s="343">
        <v>183.32599999999999</v>
      </c>
      <c r="V394" s="228">
        <v>176.15799999999999</v>
      </c>
      <c r="W394" s="228">
        <v>180.81200000000001</v>
      </c>
      <c r="X394" s="228">
        <v>192.84899999999999</v>
      </c>
      <c r="Y394" s="93">
        <f>Z394</f>
        <v>201.84399999999999</v>
      </c>
      <c r="Z394" s="344">
        <v>201.84399999999999</v>
      </c>
      <c r="AA394" s="228">
        <v>188.81100000000001</v>
      </c>
      <c r="AB394" s="228">
        <v>180.82</v>
      </c>
      <c r="AC394" s="228">
        <v>184.22300000000001</v>
      </c>
      <c r="AD394" s="93">
        <f>AE394</f>
        <v>181.63</v>
      </c>
      <c r="AE394" s="344">
        <v>181.63</v>
      </c>
      <c r="AF394" s="228">
        <v>223.97399999999999</v>
      </c>
      <c r="AG394" s="228">
        <v>240.5</v>
      </c>
      <c r="AH394" s="228">
        <v>277.55700000000002</v>
      </c>
      <c r="AI394" s="93">
        <f>AJ394</f>
        <v>319.78899999999999</v>
      </c>
      <c r="AJ394" s="344">
        <v>319.78899999999999</v>
      </c>
      <c r="AK394" s="345">
        <v>368.40899999999999</v>
      </c>
      <c r="AL394" s="346">
        <v>408.14100000000002</v>
      </c>
      <c r="AM394" s="93"/>
      <c r="AN394" s="93"/>
      <c r="AO394" s="344"/>
      <c r="AP394" s="93"/>
      <c r="AQ394" s="93"/>
      <c r="AR394" s="93"/>
      <c r="AS394" s="93"/>
      <c r="AT394" s="344"/>
      <c r="AU394" s="344"/>
      <c r="AV394" s="344"/>
      <c r="AW394" s="344"/>
      <c r="AX394" s="228"/>
    </row>
    <row r="395" spans="1:50" s="9" customFormat="1" x14ac:dyDescent="0.3">
      <c r="A395" s="347" t="s">
        <v>229</v>
      </c>
      <c r="B395" s="377"/>
      <c r="C395" s="349">
        <f t="shared" ref="C395:AL395" si="193">SUM(C391:C394)</f>
        <v>242.88299999999998</v>
      </c>
      <c r="D395" s="349">
        <f t="shared" si="193"/>
        <v>281.69</v>
      </c>
      <c r="E395" s="349">
        <f t="shared" si="193"/>
        <v>442.34700000000004</v>
      </c>
      <c r="F395" s="349">
        <f t="shared" si="193"/>
        <v>629.12</v>
      </c>
      <c r="G395" s="350">
        <f t="shared" si="193"/>
        <v>636.81999999999994</v>
      </c>
      <c r="H395" s="350">
        <f t="shared" si="193"/>
        <v>647.51499999999999</v>
      </c>
      <c r="I395" s="350">
        <f t="shared" si="193"/>
        <v>661.06599999999992</v>
      </c>
      <c r="J395" s="350">
        <f t="shared" si="193"/>
        <v>666.81099999999992</v>
      </c>
      <c r="K395" s="349">
        <f t="shared" si="193"/>
        <v>666.81099999999992</v>
      </c>
      <c r="L395" s="350">
        <f t="shared" si="193"/>
        <v>672.23199999999997</v>
      </c>
      <c r="M395" s="350">
        <f t="shared" si="193"/>
        <v>675.66499999999996</v>
      </c>
      <c r="N395" s="350">
        <f t="shared" si="193"/>
        <v>694.71600000000012</v>
      </c>
      <c r="O395" s="350">
        <f t="shared" si="193"/>
        <v>701.75200000000007</v>
      </c>
      <c r="P395" s="349">
        <f t="shared" si="193"/>
        <v>701.75200000000007</v>
      </c>
      <c r="Q395" s="350">
        <f t="shared" si="193"/>
        <v>731.98299999999995</v>
      </c>
      <c r="R395" s="350">
        <f t="shared" si="193"/>
        <v>772.37300000000005</v>
      </c>
      <c r="S395" s="350">
        <f t="shared" si="193"/>
        <v>808.50699999999983</v>
      </c>
      <c r="T395" s="350">
        <f t="shared" si="193"/>
        <v>866.68100000000004</v>
      </c>
      <c r="U395" s="349">
        <f t="shared" si="193"/>
        <v>866.68100000000004</v>
      </c>
      <c r="V395" s="350">
        <f t="shared" si="193"/>
        <v>891.822</v>
      </c>
      <c r="W395" s="350">
        <f t="shared" si="193"/>
        <v>913.93399999999997</v>
      </c>
      <c r="X395" s="350">
        <f t="shared" si="193"/>
        <v>956.39599999999996</v>
      </c>
      <c r="Y395" s="351">
        <f t="shared" si="193"/>
        <v>975.73</v>
      </c>
      <c r="Z395" s="352">
        <f t="shared" si="193"/>
        <v>975.73</v>
      </c>
      <c r="AA395" s="350">
        <f t="shared" si="193"/>
        <v>994.24300000000005</v>
      </c>
      <c r="AB395" s="350">
        <f t="shared" si="193"/>
        <v>1005.088</v>
      </c>
      <c r="AC395" s="350">
        <f t="shared" si="193"/>
        <v>1037.057</v>
      </c>
      <c r="AD395" s="351">
        <f t="shared" si="193"/>
        <v>1057.4480000000001</v>
      </c>
      <c r="AE395" s="352">
        <f t="shared" si="193"/>
        <v>1057.4480000000001</v>
      </c>
      <c r="AF395" s="350">
        <f t="shared" si="193"/>
        <v>1127.193</v>
      </c>
      <c r="AG395" s="350">
        <f t="shared" si="193"/>
        <v>1161.749</v>
      </c>
      <c r="AH395" s="350">
        <f t="shared" si="193"/>
        <v>1233.9029999999998</v>
      </c>
      <c r="AI395" s="351">
        <f t="shared" si="193"/>
        <v>1301.6479999999999</v>
      </c>
      <c r="AJ395" s="352">
        <f t="shared" si="193"/>
        <v>1301.6479999999999</v>
      </c>
      <c r="AK395" s="350">
        <f t="shared" si="193"/>
        <v>1394.9099999999999</v>
      </c>
      <c r="AL395" s="353">
        <f t="shared" si="193"/>
        <v>1462.7570000000001</v>
      </c>
      <c r="AM395" s="351"/>
      <c r="AN395" s="351"/>
      <c r="AO395" s="352"/>
      <c r="AP395" s="351"/>
      <c r="AQ395" s="351"/>
      <c r="AR395" s="351"/>
      <c r="AS395" s="351"/>
      <c r="AT395" s="352"/>
      <c r="AU395" s="352"/>
      <c r="AV395" s="352"/>
      <c r="AW395" s="352"/>
      <c r="AX395" s="22"/>
    </row>
    <row r="396" spans="1:50" s="5" customFormat="1" x14ac:dyDescent="0.3">
      <c r="A396" s="36" t="s">
        <v>230</v>
      </c>
      <c r="B396" s="376"/>
      <c r="C396" s="343"/>
      <c r="D396" s="343"/>
      <c r="E396" s="343"/>
      <c r="F396" s="343"/>
      <c r="G396" s="228"/>
      <c r="H396" s="228"/>
      <c r="I396" s="228"/>
      <c r="J396" s="228"/>
      <c r="K396" s="343"/>
      <c r="L396" s="228"/>
      <c r="M396" s="228"/>
      <c r="N396" s="228"/>
      <c r="O396" s="228"/>
      <c r="P396" s="343"/>
      <c r="Q396" s="228"/>
      <c r="R396" s="228"/>
      <c r="S396" s="228"/>
      <c r="T396" s="228"/>
      <c r="U396" s="343"/>
      <c r="V396" s="228"/>
      <c r="W396" s="228"/>
      <c r="X396" s="228"/>
      <c r="Y396" s="228"/>
      <c r="Z396" s="343"/>
      <c r="AA396" s="228"/>
      <c r="AB396" s="228"/>
      <c r="AC396" s="228"/>
      <c r="AD396" s="228"/>
      <c r="AE396" s="343"/>
      <c r="AF396" s="228"/>
      <c r="AG396" s="228"/>
      <c r="AH396" s="228"/>
      <c r="AI396" s="228"/>
      <c r="AJ396" s="343"/>
      <c r="AK396" s="228"/>
      <c r="AL396" s="322"/>
      <c r="AM396" s="228"/>
      <c r="AN396" s="228"/>
      <c r="AO396" s="343"/>
      <c r="AP396" s="228"/>
      <c r="AQ396" s="228"/>
      <c r="AR396" s="228"/>
      <c r="AS396" s="228"/>
      <c r="AT396" s="343"/>
      <c r="AU396" s="343"/>
      <c r="AV396" s="343"/>
      <c r="AW396" s="343"/>
      <c r="AX396" s="228"/>
    </row>
    <row r="397" spans="1:50" s="9" customFormat="1" x14ac:dyDescent="0.3">
      <c r="A397" s="35" t="s">
        <v>231</v>
      </c>
      <c r="B397" s="103"/>
      <c r="C397" s="4">
        <f t="shared" ref="C397:AL397" si="194">C395+C388+C396</f>
        <v>275.38599999999997</v>
      </c>
      <c r="D397" s="4">
        <f t="shared" si="194"/>
        <v>315.755</v>
      </c>
      <c r="E397" s="4">
        <f t="shared" si="194"/>
        <v>530.03000000000009</v>
      </c>
      <c r="F397" s="4">
        <f t="shared" si="194"/>
        <v>769.33</v>
      </c>
      <c r="G397" s="22">
        <f t="shared" si="194"/>
        <v>765.08199999999988</v>
      </c>
      <c r="H397" s="22">
        <f t="shared" si="194"/>
        <v>768.94299999999998</v>
      </c>
      <c r="I397" s="22">
        <f t="shared" si="194"/>
        <v>786.92499999999995</v>
      </c>
      <c r="J397" s="22">
        <f t="shared" si="194"/>
        <v>806.82599999999991</v>
      </c>
      <c r="K397" s="4">
        <f t="shared" si="194"/>
        <v>806.82599999999991</v>
      </c>
      <c r="L397" s="22">
        <f t="shared" si="194"/>
        <v>812</v>
      </c>
      <c r="M397" s="22">
        <f t="shared" si="194"/>
        <v>815.86199999999997</v>
      </c>
      <c r="N397" s="22">
        <f t="shared" si="194"/>
        <v>842.22200000000009</v>
      </c>
      <c r="O397" s="22">
        <f t="shared" si="194"/>
        <v>863.21800000000007</v>
      </c>
      <c r="P397" s="4">
        <f t="shared" si="194"/>
        <v>863.21800000000007</v>
      </c>
      <c r="Q397" s="22">
        <f t="shared" si="194"/>
        <v>899.21799999999996</v>
      </c>
      <c r="R397" s="22">
        <f t="shared" si="194"/>
        <v>962.99800000000005</v>
      </c>
      <c r="S397" s="22">
        <f t="shared" si="194"/>
        <v>986.56899999999985</v>
      </c>
      <c r="T397" s="22">
        <f t="shared" si="194"/>
        <v>1053.3820000000001</v>
      </c>
      <c r="U397" s="4">
        <f t="shared" si="194"/>
        <v>1053.3820000000001</v>
      </c>
      <c r="V397" s="22">
        <f t="shared" si="194"/>
        <v>1398.4590000000001</v>
      </c>
      <c r="W397" s="22">
        <f t="shared" si="194"/>
        <v>1407.5909999999999</v>
      </c>
      <c r="X397" s="22">
        <f t="shared" si="194"/>
        <v>1435.0439999999999</v>
      </c>
      <c r="Y397" s="378">
        <f t="shared" si="194"/>
        <v>1473.5050000000001</v>
      </c>
      <c r="Z397" s="117">
        <f t="shared" si="194"/>
        <v>1473.5050000000001</v>
      </c>
      <c r="AA397" s="22">
        <f t="shared" si="194"/>
        <v>1479.0550000000001</v>
      </c>
      <c r="AB397" s="22">
        <f t="shared" si="194"/>
        <v>1466.663</v>
      </c>
      <c r="AC397" s="22">
        <f t="shared" si="194"/>
        <v>1470.74</v>
      </c>
      <c r="AD397" s="378">
        <f t="shared" si="194"/>
        <v>1401.9340000000002</v>
      </c>
      <c r="AE397" s="117">
        <f t="shared" si="194"/>
        <v>1401.9340000000002</v>
      </c>
      <c r="AF397" s="22">
        <f t="shared" si="194"/>
        <v>1428.366</v>
      </c>
      <c r="AG397" s="22">
        <f t="shared" si="194"/>
        <v>1449.769</v>
      </c>
      <c r="AH397" s="22">
        <f t="shared" si="194"/>
        <v>1503.7769999999998</v>
      </c>
      <c r="AI397" s="378">
        <f t="shared" si="194"/>
        <v>1587.1979999999999</v>
      </c>
      <c r="AJ397" s="117">
        <f t="shared" si="194"/>
        <v>1587.1979999999999</v>
      </c>
      <c r="AK397" s="22">
        <f t="shared" si="194"/>
        <v>1757.7729999999999</v>
      </c>
      <c r="AL397" s="308">
        <f t="shared" si="194"/>
        <v>1822.1080000000002</v>
      </c>
      <c r="AM397" s="378"/>
      <c r="AN397" s="378"/>
      <c r="AO397" s="117"/>
      <c r="AP397" s="378"/>
      <c r="AQ397" s="378"/>
      <c r="AR397" s="378"/>
      <c r="AS397" s="378"/>
      <c r="AT397" s="117"/>
      <c r="AU397" s="117"/>
      <c r="AV397" s="117"/>
      <c r="AW397" s="117"/>
      <c r="AX397" s="22"/>
    </row>
    <row r="398" spans="1:50" s="5" customFormat="1" x14ac:dyDescent="0.3">
      <c r="A398" s="228"/>
      <c r="B398" s="228"/>
      <c r="C398" s="228"/>
      <c r="D398" s="228"/>
      <c r="E398" s="228"/>
      <c r="F398" s="228"/>
      <c r="G398" s="228"/>
      <c r="H398" s="228"/>
      <c r="I398" s="228"/>
      <c r="J398" s="228"/>
      <c r="K398" s="228"/>
      <c r="L398" s="228"/>
      <c r="M398" s="228"/>
      <c r="N398" s="228"/>
      <c r="O398" s="228"/>
      <c r="P398" s="228"/>
      <c r="Q398" s="228"/>
      <c r="R398" s="228"/>
      <c r="S398" s="228"/>
      <c r="T398" s="228"/>
      <c r="U398" s="228"/>
      <c r="V398" s="228"/>
      <c r="W398" s="228"/>
      <c r="X398" s="228"/>
      <c r="Y398" s="228"/>
      <c r="Z398" s="228"/>
      <c r="AA398" s="228"/>
      <c r="AB398" s="228"/>
      <c r="AC398" s="228"/>
      <c r="AD398" s="228"/>
      <c r="AE398" s="228"/>
      <c r="AF398" s="228"/>
      <c r="AG398" s="228"/>
      <c r="AH398" s="228"/>
      <c r="AI398" s="228"/>
      <c r="AJ398" s="228"/>
      <c r="AK398" s="228"/>
      <c r="AL398" s="322"/>
      <c r="AM398" s="228"/>
      <c r="AN398" s="228"/>
      <c r="AO398" s="228"/>
      <c r="AP398" s="228"/>
      <c r="AQ398" s="228"/>
      <c r="AR398" s="228"/>
      <c r="AS398" s="228"/>
      <c r="AT398" s="228"/>
      <c r="AU398" s="228"/>
      <c r="AV398" s="228"/>
      <c r="AW398" s="228"/>
      <c r="AX398" s="228"/>
    </row>
    <row r="399" spans="1:50" s="5" customFormat="1" x14ac:dyDescent="0.3">
      <c r="A399" s="386" t="s">
        <v>232</v>
      </c>
      <c r="B399" s="386"/>
      <c r="C399" s="387">
        <f t="shared" ref="C399:AL399" si="195">ROUND(C369-C397,6)</f>
        <v>0</v>
      </c>
      <c r="D399" s="387">
        <f t="shared" si="195"/>
        <v>0</v>
      </c>
      <c r="E399" s="387">
        <f t="shared" si="195"/>
        <v>0</v>
      </c>
      <c r="F399" s="387">
        <f t="shared" si="195"/>
        <v>0</v>
      </c>
      <c r="G399" s="387">
        <f t="shared" si="195"/>
        <v>0</v>
      </c>
      <c r="H399" s="387">
        <f t="shared" si="195"/>
        <v>0</v>
      </c>
      <c r="I399" s="387">
        <f t="shared" si="195"/>
        <v>0</v>
      </c>
      <c r="J399" s="387">
        <f t="shared" si="195"/>
        <v>0</v>
      </c>
      <c r="K399" s="387">
        <f t="shared" si="195"/>
        <v>0</v>
      </c>
      <c r="L399" s="387">
        <f t="shared" si="195"/>
        <v>0</v>
      </c>
      <c r="M399" s="387">
        <f t="shared" si="195"/>
        <v>0</v>
      </c>
      <c r="N399" s="387">
        <f t="shared" si="195"/>
        <v>0</v>
      </c>
      <c r="O399" s="387">
        <f t="shared" si="195"/>
        <v>0</v>
      </c>
      <c r="P399" s="387">
        <f t="shared" si="195"/>
        <v>0</v>
      </c>
      <c r="Q399" s="387">
        <f t="shared" si="195"/>
        <v>0</v>
      </c>
      <c r="R399" s="387">
        <f t="shared" si="195"/>
        <v>0</v>
      </c>
      <c r="S399" s="387">
        <f t="shared" si="195"/>
        <v>0</v>
      </c>
      <c r="T399" s="387">
        <f t="shared" si="195"/>
        <v>0</v>
      </c>
      <c r="U399" s="387">
        <f t="shared" si="195"/>
        <v>0</v>
      </c>
      <c r="V399" s="387">
        <f t="shared" si="195"/>
        <v>0</v>
      </c>
      <c r="W399" s="387">
        <f t="shared" si="195"/>
        <v>0</v>
      </c>
      <c r="X399" s="387">
        <f t="shared" si="195"/>
        <v>0</v>
      </c>
      <c r="Y399" s="387">
        <f t="shared" si="195"/>
        <v>0</v>
      </c>
      <c r="Z399" s="387">
        <f t="shared" si="195"/>
        <v>0</v>
      </c>
      <c r="AA399" s="387">
        <f t="shared" si="195"/>
        <v>0</v>
      </c>
      <c r="AB399" s="387">
        <f t="shared" si="195"/>
        <v>0</v>
      </c>
      <c r="AC399" s="387">
        <f t="shared" si="195"/>
        <v>0</v>
      </c>
      <c r="AD399" s="387">
        <f t="shared" si="195"/>
        <v>0</v>
      </c>
      <c r="AE399" s="387">
        <f t="shared" si="195"/>
        <v>0</v>
      </c>
      <c r="AF399" s="387">
        <f t="shared" si="195"/>
        <v>0</v>
      </c>
      <c r="AG399" s="387">
        <f t="shared" si="195"/>
        <v>0</v>
      </c>
      <c r="AH399" s="387">
        <f t="shared" si="195"/>
        <v>0</v>
      </c>
      <c r="AI399" s="387">
        <f t="shared" si="195"/>
        <v>0</v>
      </c>
      <c r="AJ399" s="387">
        <f t="shared" si="195"/>
        <v>0</v>
      </c>
      <c r="AK399" s="387">
        <f t="shared" si="195"/>
        <v>0</v>
      </c>
      <c r="AL399" s="388">
        <f t="shared" si="195"/>
        <v>0</v>
      </c>
      <c r="AM399" s="387"/>
      <c r="AN399" s="387"/>
      <c r="AO399" s="387"/>
      <c r="AP399" s="387"/>
      <c r="AQ399" s="387"/>
      <c r="AR399" s="387"/>
      <c r="AS399" s="387"/>
      <c r="AT399" s="387"/>
      <c r="AU399" s="387"/>
      <c r="AV399" s="387"/>
      <c r="AW399" s="387"/>
      <c r="AX399" s="228"/>
    </row>
    <row r="400" spans="1:50" s="5" customFormat="1" x14ac:dyDescent="0.3">
      <c r="A400" s="228"/>
      <c r="B400" s="228"/>
      <c r="C400" s="228"/>
      <c r="D400" s="228"/>
      <c r="E400" s="228"/>
      <c r="F400" s="228"/>
      <c r="G400" s="228"/>
      <c r="H400" s="228"/>
      <c r="I400" s="228"/>
      <c r="J400" s="228"/>
      <c r="K400" s="228"/>
      <c r="L400" s="228"/>
      <c r="M400" s="228"/>
      <c r="N400" s="228"/>
      <c r="O400" s="228"/>
      <c r="P400" s="228"/>
      <c r="Q400" s="228"/>
      <c r="R400" s="228"/>
      <c r="S400" s="228"/>
      <c r="T400" s="228"/>
      <c r="U400" s="228"/>
      <c r="V400" s="228"/>
      <c r="W400" s="228"/>
      <c r="X400" s="228"/>
      <c r="Y400" s="228"/>
      <c r="Z400" s="228"/>
      <c r="AA400" s="228"/>
      <c r="AB400" s="228"/>
      <c r="AC400" s="228"/>
      <c r="AD400" s="228"/>
      <c r="AE400" s="228"/>
      <c r="AF400" s="228"/>
      <c r="AG400" s="228"/>
      <c r="AH400" s="228"/>
      <c r="AI400" s="228"/>
      <c r="AJ400" s="228"/>
      <c r="AK400" s="228"/>
      <c r="AL400" s="322"/>
      <c r="AM400" s="228"/>
      <c r="AN400" s="228"/>
      <c r="AO400" s="228"/>
      <c r="AP400" s="228"/>
      <c r="AQ400" s="228"/>
      <c r="AR400" s="228"/>
      <c r="AS400" s="228"/>
      <c r="AT400" s="228"/>
      <c r="AU400" s="228"/>
      <c r="AV400" s="228"/>
      <c r="AW400" s="228"/>
      <c r="AX400" s="228"/>
    </row>
    <row r="401" spans="1:50" s="9" customFormat="1" x14ac:dyDescent="0.3">
      <c r="A401" s="95" t="s">
        <v>233</v>
      </c>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c r="AF401" s="95"/>
      <c r="AG401" s="95"/>
      <c r="AH401" s="95"/>
      <c r="AI401" s="95"/>
      <c r="AJ401" s="95"/>
      <c r="AK401" s="95"/>
      <c r="AL401" s="314"/>
      <c r="AM401" s="95"/>
      <c r="AN401" s="95"/>
      <c r="AO401" s="95"/>
      <c r="AP401" s="95"/>
      <c r="AQ401" s="95"/>
      <c r="AR401" s="95"/>
      <c r="AS401" s="95"/>
      <c r="AT401" s="95"/>
      <c r="AU401" s="95"/>
      <c r="AV401" s="95"/>
      <c r="AW401" s="95"/>
      <c r="AX401" s="22"/>
    </row>
    <row r="402" spans="1:50" s="5" customFormat="1" x14ac:dyDescent="0.3">
      <c r="A402" s="228" t="s">
        <v>234</v>
      </c>
      <c r="B402" s="498"/>
      <c r="C402" s="387">
        <f t="shared" ref="C402:AL402" si="196">IF(ISBLANK(INDEX(MO_IS_FirstRow,0,COLUMN())),0,ROUND(C288-C176,6))</f>
        <v>0</v>
      </c>
      <c r="D402" s="387">
        <f t="shared" si="196"/>
        <v>0</v>
      </c>
      <c r="E402" s="387">
        <f t="shared" si="196"/>
        <v>0</v>
      </c>
      <c r="F402" s="387">
        <f t="shared" si="196"/>
        <v>0</v>
      </c>
      <c r="G402" s="387">
        <f t="shared" si="196"/>
        <v>0</v>
      </c>
      <c r="H402" s="387">
        <f t="shared" si="196"/>
        <v>0</v>
      </c>
      <c r="I402" s="387">
        <f t="shared" si="196"/>
        <v>0.17699999999999999</v>
      </c>
      <c r="J402" s="387">
        <f t="shared" si="196"/>
        <v>-0.17699999999999999</v>
      </c>
      <c r="K402" s="387">
        <f t="shared" si="196"/>
        <v>0</v>
      </c>
      <c r="L402" s="387">
        <f t="shared" si="196"/>
        <v>0</v>
      </c>
      <c r="M402" s="387">
        <f t="shared" si="196"/>
        <v>0</v>
      </c>
      <c r="N402" s="387">
        <f t="shared" si="196"/>
        <v>0</v>
      </c>
      <c r="O402" s="387">
        <f t="shared" si="196"/>
        <v>0</v>
      </c>
      <c r="P402" s="387">
        <f t="shared" si="196"/>
        <v>0</v>
      </c>
      <c r="Q402" s="387">
        <f t="shared" si="196"/>
        <v>0</v>
      </c>
      <c r="R402" s="387">
        <f t="shared" si="196"/>
        <v>0</v>
      </c>
      <c r="S402" s="387">
        <f t="shared" si="196"/>
        <v>0</v>
      </c>
      <c r="T402" s="387">
        <f t="shared" si="196"/>
        <v>0</v>
      </c>
      <c r="U402" s="387">
        <f t="shared" si="196"/>
        <v>0</v>
      </c>
      <c r="V402" s="387">
        <f t="shared" si="196"/>
        <v>0</v>
      </c>
      <c r="W402" s="387">
        <f t="shared" si="196"/>
        <v>0</v>
      </c>
      <c r="X402" s="387">
        <f t="shared" si="196"/>
        <v>0</v>
      </c>
      <c r="Y402" s="387">
        <f t="shared" si="196"/>
        <v>0</v>
      </c>
      <c r="Z402" s="387">
        <f t="shared" si="196"/>
        <v>0</v>
      </c>
      <c r="AA402" s="387">
        <f t="shared" si="196"/>
        <v>0</v>
      </c>
      <c r="AB402" s="387">
        <f t="shared" si="196"/>
        <v>0</v>
      </c>
      <c r="AC402" s="387">
        <f t="shared" si="196"/>
        <v>0</v>
      </c>
      <c r="AD402" s="387">
        <f t="shared" si="196"/>
        <v>0</v>
      </c>
      <c r="AE402" s="387">
        <f t="shared" si="196"/>
        <v>0</v>
      </c>
      <c r="AF402" s="387">
        <f t="shared" si="196"/>
        <v>0</v>
      </c>
      <c r="AG402" s="387">
        <f t="shared" si="196"/>
        <v>0</v>
      </c>
      <c r="AH402" s="387">
        <f t="shared" si="196"/>
        <v>0</v>
      </c>
      <c r="AI402" s="387">
        <f t="shared" si="196"/>
        <v>0</v>
      </c>
      <c r="AJ402" s="387">
        <f t="shared" si="196"/>
        <v>0</v>
      </c>
      <c r="AK402" s="387">
        <f t="shared" si="196"/>
        <v>0</v>
      </c>
      <c r="AL402" s="388">
        <f t="shared" si="196"/>
        <v>0</v>
      </c>
      <c r="AM402" s="387"/>
      <c r="AN402" s="387"/>
      <c r="AO402" s="387"/>
      <c r="AP402" s="387"/>
      <c r="AQ402" s="387"/>
      <c r="AR402" s="387"/>
      <c r="AS402" s="387"/>
      <c r="AT402" s="387"/>
      <c r="AU402" s="387"/>
      <c r="AV402" s="387"/>
      <c r="AW402" s="387"/>
      <c r="AX402" s="228"/>
    </row>
    <row r="403" spans="1:50" s="5" customFormat="1" x14ac:dyDescent="0.3">
      <c r="A403" s="228" t="s">
        <v>235</v>
      </c>
      <c r="B403" s="498"/>
      <c r="C403" s="387">
        <f t="shared" ref="C403:AL403" si="197">IF(ISBLANK(INDEX(MO_IS_FirstRow,0,COLUMN())),0,ROUND(C70-C176,6))</f>
        <v>0</v>
      </c>
      <c r="D403" s="387">
        <f t="shared" si="197"/>
        <v>0</v>
      </c>
      <c r="E403" s="387">
        <f t="shared" si="197"/>
        <v>0</v>
      </c>
      <c r="F403" s="387">
        <f t="shared" si="197"/>
        <v>0</v>
      </c>
      <c r="G403" s="387">
        <f t="shared" si="197"/>
        <v>0</v>
      </c>
      <c r="H403" s="387">
        <f t="shared" si="197"/>
        <v>0</v>
      </c>
      <c r="I403" s="387">
        <f t="shared" si="197"/>
        <v>0</v>
      </c>
      <c r="J403" s="387">
        <f t="shared" si="197"/>
        <v>0</v>
      </c>
      <c r="K403" s="387">
        <f t="shared" si="197"/>
        <v>0</v>
      </c>
      <c r="L403" s="387">
        <f t="shared" si="197"/>
        <v>0</v>
      </c>
      <c r="M403" s="387">
        <f t="shared" si="197"/>
        <v>0</v>
      </c>
      <c r="N403" s="387">
        <f t="shared" si="197"/>
        <v>0</v>
      </c>
      <c r="O403" s="387">
        <f t="shared" si="197"/>
        <v>0</v>
      </c>
      <c r="P403" s="387">
        <f t="shared" si="197"/>
        <v>0</v>
      </c>
      <c r="Q403" s="387">
        <f t="shared" si="197"/>
        <v>0</v>
      </c>
      <c r="R403" s="387">
        <f t="shared" si="197"/>
        <v>0</v>
      </c>
      <c r="S403" s="387">
        <f t="shared" si="197"/>
        <v>0</v>
      </c>
      <c r="T403" s="387">
        <f t="shared" si="197"/>
        <v>0</v>
      </c>
      <c r="U403" s="387">
        <f t="shared" si="197"/>
        <v>0</v>
      </c>
      <c r="V403" s="387">
        <f t="shared" si="197"/>
        <v>0</v>
      </c>
      <c r="W403" s="387">
        <f t="shared" si="197"/>
        <v>0</v>
      </c>
      <c r="X403" s="387">
        <f t="shared" si="197"/>
        <v>0</v>
      </c>
      <c r="Y403" s="387">
        <f t="shared" si="197"/>
        <v>0</v>
      </c>
      <c r="Z403" s="387">
        <f t="shared" si="197"/>
        <v>0</v>
      </c>
      <c r="AA403" s="387">
        <f t="shared" si="197"/>
        <v>0</v>
      </c>
      <c r="AB403" s="387">
        <f t="shared" si="197"/>
        <v>0</v>
      </c>
      <c r="AC403" s="387">
        <f t="shared" si="197"/>
        <v>0</v>
      </c>
      <c r="AD403" s="387">
        <f t="shared" si="197"/>
        <v>0</v>
      </c>
      <c r="AE403" s="387">
        <f t="shared" si="197"/>
        <v>0</v>
      </c>
      <c r="AF403" s="387">
        <f t="shared" si="197"/>
        <v>0</v>
      </c>
      <c r="AG403" s="387">
        <f t="shared" si="197"/>
        <v>0</v>
      </c>
      <c r="AH403" s="387">
        <f t="shared" si="197"/>
        <v>0</v>
      </c>
      <c r="AI403" s="387">
        <f t="shared" si="197"/>
        <v>0</v>
      </c>
      <c r="AJ403" s="387">
        <f t="shared" si="197"/>
        <v>0</v>
      </c>
      <c r="AK403" s="387">
        <f t="shared" si="197"/>
        <v>0</v>
      </c>
      <c r="AL403" s="388">
        <f t="shared" si="197"/>
        <v>0</v>
      </c>
      <c r="AM403" s="387"/>
      <c r="AN403" s="387"/>
      <c r="AO403" s="387"/>
      <c r="AP403" s="387"/>
      <c r="AQ403" s="387"/>
      <c r="AR403" s="387"/>
      <c r="AS403" s="387"/>
      <c r="AT403" s="387"/>
      <c r="AU403" s="387"/>
      <c r="AV403" s="387"/>
      <c r="AW403" s="387"/>
      <c r="AX403" s="228"/>
    </row>
    <row r="404" spans="1:50" s="5" customFormat="1" x14ac:dyDescent="0.3">
      <c r="A404" s="228" t="s">
        <v>236</v>
      </c>
      <c r="B404" s="498"/>
      <c r="C404" s="387">
        <f t="shared" ref="C404:AL404" si="198">IF(AND(ISBLANK(C14),ISBLANK(C15),ISBLANK(C16),ISBLANK(C17)),0,ROUND(C133-C14-C17-C15-C16,6))</f>
        <v>0</v>
      </c>
      <c r="D404" s="387">
        <f t="shared" si="198"/>
        <v>0</v>
      </c>
      <c r="E404" s="387">
        <f t="shared" si="198"/>
        <v>0</v>
      </c>
      <c r="F404" s="387">
        <f t="shared" si="198"/>
        <v>0</v>
      </c>
      <c r="G404" s="387">
        <f t="shared" si="198"/>
        <v>0</v>
      </c>
      <c r="H404" s="387">
        <f t="shared" si="198"/>
        <v>0</v>
      </c>
      <c r="I404" s="387">
        <f t="shared" si="198"/>
        <v>0</v>
      </c>
      <c r="J404" s="387">
        <f t="shared" si="198"/>
        <v>0</v>
      </c>
      <c r="K404" s="387">
        <f t="shared" si="198"/>
        <v>0</v>
      </c>
      <c r="L404" s="387">
        <f t="shared" si="198"/>
        <v>0</v>
      </c>
      <c r="M404" s="387">
        <f t="shared" si="198"/>
        <v>0</v>
      </c>
      <c r="N404" s="387">
        <f t="shared" si="198"/>
        <v>0</v>
      </c>
      <c r="O404" s="387">
        <f t="shared" si="198"/>
        <v>0</v>
      </c>
      <c r="P404" s="387">
        <f t="shared" si="198"/>
        <v>0</v>
      </c>
      <c r="Q404" s="387">
        <f t="shared" si="198"/>
        <v>0</v>
      </c>
      <c r="R404" s="387">
        <f t="shared" si="198"/>
        <v>0</v>
      </c>
      <c r="S404" s="387">
        <f t="shared" si="198"/>
        <v>0</v>
      </c>
      <c r="T404" s="387">
        <f t="shared" si="198"/>
        <v>0</v>
      </c>
      <c r="U404" s="387">
        <f t="shared" si="198"/>
        <v>0</v>
      </c>
      <c r="V404" s="387">
        <f t="shared" si="198"/>
        <v>0</v>
      </c>
      <c r="W404" s="387">
        <f t="shared" si="198"/>
        <v>0</v>
      </c>
      <c r="X404" s="387">
        <f t="shared" si="198"/>
        <v>0</v>
      </c>
      <c r="Y404" s="387">
        <f t="shared" si="198"/>
        <v>0</v>
      </c>
      <c r="Z404" s="387">
        <f t="shared" si="198"/>
        <v>0</v>
      </c>
      <c r="AA404" s="387">
        <f t="shared" si="198"/>
        <v>0</v>
      </c>
      <c r="AB404" s="387">
        <f t="shared" si="198"/>
        <v>0</v>
      </c>
      <c r="AC404" s="387">
        <f t="shared" si="198"/>
        <v>0</v>
      </c>
      <c r="AD404" s="387">
        <f t="shared" si="198"/>
        <v>0</v>
      </c>
      <c r="AE404" s="387">
        <f t="shared" si="198"/>
        <v>0</v>
      </c>
      <c r="AF404" s="387">
        <f t="shared" si="198"/>
        <v>0</v>
      </c>
      <c r="AG404" s="387">
        <f t="shared" si="198"/>
        <v>0</v>
      </c>
      <c r="AH404" s="387">
        <f t="shared" si="198"/>
        <v>0</v>
      </c>
      <c r="AI404" s="387">
        <f t="shared" si="198"/>
        <v>0</v>
      </c>
      <c r="AJ404" s="387">
        <f t="shared" si="198"/>
        <v>0</v>
      </c>
      <c r="AK404" s="387">
        <f t="shared" si="198"/>
        <v>0</v>
      </c>
      <c r="AL404" s="388">
        <f t="shared" si="198"/>
        <v>0</v>
      </c>
      <c r="AM404" s="387"/>
      <c r="AN404" s="387"/>
      <c r="AO404" s="387"/>
      <c r="AP404" s="387"/>
      <c r="AQ404" s="387"/>
      <c r="AR404" s="387"/>
      <c r="AS404" s="387"/>
      <c r="AT404" s="387"/>
      <c r="AU404" s="387"/>
      <c r="AV404" s="387"/>
      <c r="AW404" s="387"/>
      <c r="AX404" s="228"/>
    </row>
    <row r="405" spans="1:50" s="5" customFormat="1" x14ac:dyDescent="0.3">
      <c r="A405" s="228" t="s">
        <v>237</v>
      </c>
      <c r="B405" s="498"/>
      <c r="C405" s="387">
        <f>IF(ISBLANK(INDEX(MO_IS_FirstRow,0,COLUMN())),0,IF(OR(C331=B331,C331=D331),"CHECK",0))</f>
        <v>0</v>
      </c>
      <c r="D405" s="387">
        <f>IF(ISBLANK(INDEX(MO_IS_FirstRow,0,COLUMN())),0,IF(OR(D331=C331,D331=E331),"CHECK",0))</f>
        <v>0</v>
      </c>
      <c r="E405" s="387">
        <f>IF(ISBLANK(INDEX(MO_IS_FirstRow,0,COLUMN())),0,IF(OR(E331=D331,E331=F331),"CHECK",0))</f>
        <v>0</v>
      </c>
      <c r="F405" s="387">
        <f>IF(ISBLANK(INDEX(MO_IS_FirstRow,0,COLUMN())),0,IF(OR(F331=E331,F331=K331),"CHECK",0))</f>
        <v>0</v>
      </c>
      <c r="G405" s="387">
        <f>IF(ISBLANK(INDEX(MO_IS_FirstRow,0,COLUMN())),0,IF(OR(G331=B331,G331=H331,G331=E331),"CHECK",0))</f>
        <v>0</v>
      </c>
      <c r="H405" s="387">
        <f>IF(ISBLANK(INDEX(MO_IS_FirstRow,0,COLUMN())),0,IF(OR(H331=C331,H331=I331,H331=G331),"CHECK",0))</f>
        <v>0</v>
      </c>
      <c r="I405" s="387">
        <f>IF(ISBLANK(INDEX(MO_IS_FirstRow,0,COLUMN())),0,IF(OR(I331=D331,I331=J331,I331=H331),"CHECK",0))</f>
        <v>0</v>
      </c>
      <c r="J405" s="387">
        <f>IF(ISBLANK(INDEX(MO_IS_FirstRow,0,COLUMN())),0,IF(OR(J331=E331,J331=K331,J331=I331),"CHECK",0))</f>
        <v>0</v>
      </c>
      <c r="K405" s="387">
        <f>IF(ISBLANK(INDEX(MO_IS_FirstRow,0,COLUMN())),0,IF(K331=F331,"CHECK",0))</f>
        <v>0</v>
      </c>
      <c r="L405" s="387">
        <f>IF(ISBLANK(INDEX(MO_IS_FirstRow,0,COLUMN())),0,IF(OR(L331=G331,L331=M331,L331=J331),"CHECK",0))</f>
        <v>0</v>
      </c>
      <c r="M405" s="387">
        <f>IF(ISBLANK(INDEX(MO_IS_FirstRow,0,COLUMN())),0,IF(OR(M331=H331,M331=N331,M331=L331),"CHECK",0))</f>
        <v>0</v>
      </c>
      <c r="N405" s="387">
        <f>IF(ISBLANK(INDEX(MO_IS_FirstRow,0,COLUMN())),0,IF(OR(N331=I331,N331=O331,N331=M331),"CHECK",0))</f>
        <v>0</v>
      </c>
      <c r="O405" s="387">
        <f>IF(ISBLANK(INDEX(MO_IS_FirstRow,0,COLUMN())),0,IF(OR(O331=J331,O331=P331,O331=N331),"CHECK",0))</f>
        <v>0</v>
      </c>
      <c r="P405" s="387">
        <f>IF(ISBLANK(INDEX(MO_IS_FirstRow,0,COLUMN())),0,IF(P331=K331,"CHECK",0))</f>
        <v>0</v>
      </c>
      <c r="Q405" s="387">
        <f>IF(ISBLANK(INDEX(MO_IS_FirstRow,0,COLUMN())),0,IF(OR(Q331=L331,Q331=R331,Q331=O331),"CHECK",0))</f>
        <v>0</v>
      </c>
      <c r="R405" s="387">
        <f>IF(ISBLANK(INDEX(MO_IS_FirstRow,0,COLUMN())),0,IF(OR(R331=M331,R331=S331,R331=Q331),"CHECK",0))</f>
        <v>0</v>
      </c>
      <c r="S405" s="387">
        <f>IF(ISBLANK(INDEX(MO_IS_FirstRow,0,COLUMN())),0,IF(OR(S331=N331,S331=T331,S331=R331),"CHECK",0))</f>
        <v>0</v>
      </c>
      <c r="T405" s="387">
        <f>IF(ISBLANK(INDEX(MO_IS_FirstRow,0,COLUMN())),0,IF(OR(T331=O331,T331=U331,T331=S331),"CHECK",0))</f>
        <v>0</v>
      </c>
      <c r="U405" s="387">
        <f>IF(ISBLANK(INDEX(MO_IS_FirstRow,0,COLUMN())),0,IF(U331=P331,"CHECK",0))</f>
        <v>0</v>
      </c>
      <c r="V405" s="387">
        <f>IF(ISBLANK(INDEX(MO_IS_FirstRow,0,COLUMN())),0,IF(OR(V331=Q331,V331=W331,V331=T331),"CHECK",0))</f>
        <v>0</v>
      </c>
      <c r="W405" s="387">
        <f>IF(ISBLANK(INDEX(MO_IS_FirstRow,0,COLUMN())),0,IF(OR(W331=R331,W331=X331,W331=V331),"CHECK",0))</f>
        <v>0</v>
      </c>
      <c r="X405" s="387">
        <f>IF(ISBLANK(INDEX(MO_IS_FirstRow,0,COLUMN())),0,IF(OR(X331=S331,X331=Y331,X331=W331),"CHECK",0))</f>
        <v>0</v>
      </c>
      <c r="Y405" s="387">
        <f>IF(ISBLANK(INDEX(MO_IS_FirstRow,0,COLUMN())),0,IF(OR(Y331=T331,Y331=Z331,Y331=X331),"CHECK",0))</f>
        <v>0</v>
      </c>
      <c r="Z405" s="387">
        <f>IF(ISBLANK(INDEX(MO_IS_FirstRow,0,COLUMN())),0,IF(Z331=U331,"CHECK",0))</f>
        <v>0</v>
      </c>
      <c r="AA405" s="387">
        <f>IF(ISBLANK(INDEX(MO_IS_FirstRow,0,COLUMN())),0,IF(OR(AA331=V331,AA331=AB331,AA331=Y331),"CHECK",0))</f>
        <v>0</v>
      </c>
      <c r="AB405" s="387">
        <f>IF(ISBLANK(INDEX(MO_IS_FirstRow,0,COLUMN())),0,IF(OR(AB331=W331,AB331=AC331,AB331=AA331),"CHECK",0))</f>
        <v>0</v>
      </c>
      <c r="AC405" s="387">
        <f>IF(ISBLANK(INDEX(MO_IS_FirstRow,0,COLUMN())),0,IF(OR(AC331=X331,AC331=AD331,AC331=AB331),"CHECK",0))</f>
        <v>0</v>
      </c>
      <c r="AD405" s="387">
        <f>IF(ISBLANK(INDEX(MO_IS_FirstRow,0,COLUMN())),0,IF(OR(AD331=Y331,AD331=AE331,AD331=AC331),"CHECK",0))</f>
        <v>0</v>
      </c>
      <c r="AE405" s="387">
        <f>IF(ISBLANK(INDEX(MO_IS_FirstRow,0,COLUMN())),0,IF(AE331=Z331,"CHECK",0))</f>
        <v>0</v>
      </c>
      <c r="AF405" s="387">
        <f>IF(ISBLANK(INDEX(MO_IS_FirstRow,0,COLUMN())),0,IF(OR(AF331=AA331,AF331=AG331,AF331=AD331),"CHECK",0))</f>
        <v>0</v>
      </c>
      <c r="AG405" s="387">
        <f>IF(ISBLANK(INDEX(MO_IS_FirstRow,0,COLUMN())),0,IF(OR(AG331=AB331,AG331=AH331,AG331=AF331),"CHECK",0))</f>
        <v>0</v>
      </c>
      <c r="AH405" s="387">
        <f>IF(ISBLANK(INDEX(MO_IS_FirstRow,0,COLUMN())),0,IF(OR(AH331=AC331,AH331=AI331,AH331=AG331),"CHECK",0))</f>
        <v>0</v>
      </c>
      <c r="AI405" s="387">
        <f>IF(ISBLANK(INDEX(MO_IS_FirstRow,0,COLUMN())),0,IF(OR(AI331=AD331,AI331=AJ331,AI331=AH331),"CHECK",0))</f>
        <v>0</v>
      </c>
      <c r="AJ405" s="387">
        <f>IF(ISBLANK(INDEX(MO_IS_FirstRow,0,COLUMN())),0,IF(AJ331=AE331,"CHECK",0))</f>
        <v>0</v>
      </c>
      <c r="AK405" s="387">
        <f>IF(ISBLANK(INDEX(MO_IS_FirstRow,0,COLUMN())),0,IF(OR(AK331=AF331,AK331=AL331,AK331=AI331),"CHECK",0))</f>
        <v>0</v>
      </c>
      <c r="AL405" s="388">
        <f>IF(ISBLANK(INDEX(MO_IS_FirstRow,0,COLUMN())),0,IF(OR(AL331=AG331,AL331=AM331,AL331=AK331),"CHECK",0))</f>
        <v>0</v>
      </c>
      <c r="AM405" s="387"/>
      <c r="AN405" s="387"/>
      <c r="AO405" s="387"/>
      <c r="AP405" s="387"/>
      <c r="AQ405" s="387"/>
      <c r="AR405" s="387"/>
      <c r="AS405" s="387"/>
      <c r="AT405" s="387"/>
      <c r="AU405" s="387"/>
      <c r="AV405" s="387"/>
      <c r="AW405" s="387"/>
      <c r="AX405" s="228"/>
    </row>
    <row r="406" spans="1:50" s="5" customFormat="1" x14ac:dyDescent="0.3">
      <c r="A406" s="228" t="s">
        <v>238</v>
      </c>
      <c r="B406" s="498"/>
      <c r="C406" s="387"/>
      <c r="D406" s="387">
        <f t="shared" ref="D406:AL406" si="199">IF(ISBLANK(INDEX(MO_IS_FirstRow,0,COLUMN())),0,IF(OR(D176=A176,C176=E176,F176=B176),"CHECK",0))</f>
        <v>0</v>
      </c>
      <c r="E406" s="387">
        <f t="shared" si="199"/>
        <v>0</v>
      </c>
      <c r="F406" s="387">
        <f t="shared" si="199"/>
        <v>0</v>
      </c>
      <c r="G406" s="387">
        <f t="shared" si="199"/>
        <v>0</v>
      </c>
      <c r="H406" s="387">
        <f t="shared" si="199"/>
        <v>0</v>
      </c>
      <c r="I406" s="387">
        <f t="shared" si="199"/>
        <v>0</v>
      </c>
      <c r="J406" s="387">
        <f t="shared" si="199"/>
        <v>0</v>
      </c>
      <c r="K406" s="387">
        <f t="shared" si="199"/>
        <v>0</v>
      </c>
      <c r="L406" s="387">
        <f t="shared" si="199"/>
        <v>0</v>
      </c>
      <c r="M406" s="387">
        <f t="shared" si="199"/>
        <v>0</v>
      </c>
      <c r="N406" s="387">
        <f t="shared" si="199"/>
        <v>0</v>
      </c>
      <c r="O406" s="387">
        <f t="shared" si="199"/>
        <v>0</v>
      </c>
      <c r="P406" s="387">
        <f t="shared" si="199"/>
        <v>0</v>
      </c>
      <c r="Q406" s="387">
        <f t="shared" si="199"/>
        <v>0</v>
      </c>
      <c r="R406" s="387">
        <f t="shared" si="199"/>
        <v>0</v>
      </c>
      <c r="S406" s="387">
        <f t="shared" si="199"/>
        <v>0</v>
      </c>
      <c r="T406" s="387">
        <f t="shared" si="199"/>
        <v>0</v>
      </c>
      <c r="U406" s="387">
        <f t="shared" si="199"/>
        <v>0</v>
      </c>
      <c r="V406" s="387">
        <f t="shared" si="199"/>
        <v>0</v>
      </c>
      <c r="W406" s="387">
        <f t="shared" si="199"/>
        <v>0</v>
      </c>
      <c r="X406" s="387">
        <f t="shared" si="199"/>
        <v>0</v>
      </c>
      <c r="Y406" s="387">
        <f t="shared" si="199"/>
        <v>0</v>
      </c>
      <c r="Z406" s="387">
        <f t="shared" si="199"/>
        <v>0</v>
      </c>
      <c r="AA406" s="387">
        <f t="shared" si="199"/>
        <v>0</v>
      </c>
      <c r="AB406" s="387">
        <f t="shared" si="199"/>
        <v>0</v>
      </c>
      <c r="AC406" s="387">
        <f t="shared" si="199"/>
        <v>0</v>
      </c>
      <c r="AD406" s="387">
        <f t="shared" si="199"/>
        <v>0</v>
      </c>
      <c r="AE406" s="387">
        <f t="shared" si="199"/>
        <v>0</v>
      </c>
      <c r="AF406" s="387">
        <f t="shared" si="199"/>
        <v>0</v>
      </c>
      <c r="AG406" s="387">
        <f t="shared" si="199"/>
        <v>0</v>
      </c>
      <c r="AH406" s="387">
        <f t="shared" si="199"/>
        <v>0</v>
      </c>
      <c r="AI406" s="387">
        <f t="shared" si="199"/>
        <v>0</v>
      </c>
      <c r="AJ406" s="387">
        <f t="shared" si="199"/>
        <v>0</v>
      </c>
      <c r="AK406" s="387">
        <f t="shared" si="199"/>
        <v>0</v>
      </c>
      <c r="AL406" s="388">
        <f t="shared" si="199"/>
        <v>0</v>
      </c>
      <c r="AM406" s="387"/>
      <c r="AN406" s="387"/>
      <c r="AO406" s="387"/>
      <c r="AP406" s="387"/>
      <c r="AQ406" s="387"/>
      <c r="AR406" s="387"/>
      <c r="AS406" s="387"/>
      <c r="AT406" s="387"/>
      <c r="AU406" s="387"/>
      <c r="AV406" s="387"/>
      <c r="AW406" s="387"/>
      <c r="AX406" s="228"/>
    </row>
    <row r="407" spans="1:50" s="5" customFormat="1" x14ac:dyDescent="0.3">
      <c r="A407" s="228" t="s">
        <v>239</v>
      </c>
      <c r="B407" s="498"/>
      <c r="C407" s="387">
        <f>IF(OR(C369=B369,C369=D369),"CHECK",0)</f>
        <v>0</v>
      </c>
      <c r="D407" s="387">
        <f>IF(OR(D369=C369,D369=E369),"CHECK",0)</f>
        <v>0</v>
      </c>
      <c r="E407" s="387">
        <f>IF(OR(E369=D369,E369=F369),"CHECK",0)</f>
        <v>0</v>
      </c>
      <c r="F407" s="387">
        <f>IF(OR(F369=E369,F369=K369),"CHECK",0)</f>
        <v>0</v>
      </c>
      <c r="G407" s="387">
        <f>IF(OR(G369=B369,G369=H369,G369=E369),"CHECK",0)</f>
        <v>0</v>
      </c>
      <c r="H407" s="387">
        <f>IF(OR(H369=C369,H369=I369,H369=G369),"CHECK",0)</f>
        <v>0</v>
      </c>
      <c r="I407" s="387">
        <f>IF(OR(I369=D369,I369=J369,I369=H369),"CHECK",0)</f>
        <v>0</v>
      </c>
      <c r="J407" s="387">
        <f>IF(OR(J369=E369,J369=I369),"CHECK",0)</f>
        <v>0</v>
      </c>
      <c r="K407" s="387">
        <f>IF(K369=F369,"CHECK",0)</f>
        <v>0</v>
      </c>
      <c r="L407" s="387">
        <f>IF(OR(L369=G369,L369=M369,L369=J369),"CHECK",0)</f>
        <v>0</v>
      </c>
      <c r="M407" s="387">
        <f>IF(OR(M369=H369,M369=N369,M369=L369),"CHECK",0)</f>
        <v>0</v>
      </c>
      <c r="N407" s="387">
        <f>IF(OR(N369=I369,N369=O369,N369=M369),"CHECK",0)</f>
        <v>0</v>
      </c>
      <c r="O407" s="387">
        <f>IF(OR(O369=J369,O369=N369),"CHECK",0)</f>
        <v>0</v>
      </c>
      <c r="P407" s="387">
        <f>IF(P369=K369,"CHECK",0)</f>
        <v>0</v>
      </c>
      <c r="Q407" s="387">
        <f>IF(OR(Q369=L369,Q369=R369,Q369=O369),"CHECK",0)</f>
        <v>0</v>
      </c>
      <c r="R407" s="387">
        <f>IF(OR(R369=M369,R369=S369,R369=Q369),"CHECK",0)</f>
        <v>0</v>
      </c>
      <c r="S407" s="387">
        <f>IF(OR(S369=N369,S369=T369,S369=R369),"CHECK",0)</f>
        <v>0</v>
      </c>
      <c r="T407" s="387">
        <f>IF(OR(T369=O369,T369=S369),"CHECK",0)</f>
        <v>0</v>
      </c>
      <c r="U407" s="387">
        <f>IF(U369=P369,"CHECK",0)</f>
        <v>0</v>
      </c>
      <c r="V407" s="387">
        <f>IF(OR(V369=Q369,V369=W369,V369=T369),"CHECK",0)</f>
        <v>0</v>
      </c>
      <c r="W407" s="387">
        <f>IF(OR(W369=R369,W369=X369,W369=V369),"CHECK",0)</f>
        <v>0</v>
      </c>
      <c r="X407" s="387">
        <f>IF(OR(X369=S369,X369=Y369,X369=W369),"CHECK",0)</f>
        <v>0</v>
      </c>
      <c r="Y407" s="387">
        <f>IF(OR(Y369=T369,Y369=X369),"CHECK",0)</f>
        <v>0</v>
      </c>
      <c r="Z407" s="387">
        <f>IF(Z369=U369,"CHECK",0)</f>
        <v>0</v>
      </c>
      <c r="AA407" s="387">
        <f>IF(OR(AA369=V369,AA369=AB369,AA369=Y369),"CHECK",0)</f>
        <v>0</v>
      </c>
      <c r="AB407" s="387">
        <f>IF(OR(AB369=W369,AB369=AC369,AB369=AA369),"CHECK",0)</f>
        <v>0</v>
      </c>
      <c r="AC407" s="387">
        <f>IF(OR(AC369=X369,AC369=AD369,AC369=AB369),"CHECK",0)</f>
        <v>0</v>
      </c>
      <c r="AD407" s="387">
        <f>IF(OR(AD369=Y369,AD369=AC369),"CHECK",0)</f>
        <v>0</v>
      </c>
      <c r="AE407" s="387">
        <f>IF(AE369=Z369,"CHECK",0)</f>
        <v>0</v>
      </c>
      <c r="AF407" s="387">
        <f>IF(OR(AF369=AA369,AF369=AG369,AF369=AD369),"CHECK",0)</f>
        <v>0</v>
      </c>
      <c r="AG407" s="387">
        <f>IF(OR(AG369=AB369,AG369=AH369,AG369=AF369),"CHECK",0)</f>
        <v>0</v>
      </c>
      <c r="AH407" s="387">
        <f>IF(OR(AH369=AC369,AH369=AI369,AH369=AG369),"CHECK",0)</f>
        <v>0</v>
      </c>
      <c r="AI407" s="387">
        <f>IF(OR(AI369=AD369,AI369=AH369),"CHECK",0)</f>
        <v>0</v>
      </c>
      <c r="AJ407" s="387">
        <f>IF(AJ369=AE369,"CHECK",0)</f>
        <v>0</v>
      </c>
      <c r="AK407" s="387">
        <f>IF(OR(AK369=AF369,AK369=AL369,AK369=AI369),"CHECK",0)</f>
        <v>0</v>
      </c>
      <c r="AL407" s="388">
        <f>IF(OR(AL369=AG369,AL369=AM369,AL369=AK369),"CHECK",0)</f>
        <v>0</v>
      </c>
      <c r="AM407" s="387"/>
      <c r="AN407" s="387"/>
      <c r="AO407" s="387"/>
      <c r="AP407" s="387"/>
      <c r="AQ407" s="387"/>
      <c r="AR407" s="387"/>
      <c r="AS407" s="387"/>
      <c r="AT407" s="387"/>
      <c r="AU407" s="387"/>
      <c r="AV407" s="387"/>
      <c r="AW407" s="387"/>
      <c r="AX407" s="228"/>
    </row>
    <row r="408" spans="1:50" s="5" customFormat="1" x14ac:dyDescent="0.3">
      <c r="A408" s="228" t="s">
        <v>240</v>
      </c>
      <c r="B408" s="498"/>
      <c r="C408" s="387">
        <f t="shared" ref="C408:AL408" si="200">IF(ISBLANK(INDEX(MO_IS_FirstRow,0,COLUMN())),0,ROUND(C334-C284,6))</f>
        <v>0</v>
      </c>
      <c r="D408" s="387">
        <f t="shared" si="200"/>
        <v>0</v>
      </c>
      <c r="E408" s="387">
        <f t="shared" si="200"/>
        <v>0</v>
      </c>
      <c r="F408" s="387">
        <f t="shared" si="200"/>
        <v>0</v>
      </c>
      <c r="G408" s="387">
        <f t="shared" si="200"/>
        <v>0</v>
      </c>
      <c r="H408" s="387">
        <f t="shared" si="200"/>
        <v>0</v>
      </c>
      <c r="I408" s="387">
        <f t="shared" si="200"/>
        <v>0</v>
      </c>
      <c r="J408" s="387">
        <f t="shared" si="200"/>
        <v>0</v>
      </c>
      <c r="K408" s="387">
        <f t="shared" si="200"/>
        <v>0</v>
      </c>
      <c r="L408" s="387">
        <f t="shared" si="200"/>
        <v>0</v>
      </c>
      <c r="M408" s="387">
        <f t="shared" si="200"/>
        <v>0</v>
      </c>
      <c r="N408" s="387">
        <f t="shared" si="200"/>
        <v>0</v>
      </c>
      <c r="O408" s="387">
        <f t="shared" si="200"/>
        <v>0</v>
      </c>
      <c r="P408" s="387">
        <f t="shared" si="200"/>
        <v>0</v>
      </c>
      <c r="Q408" s="387">
        <f t="shared" si="200"/>
        <v>0</v>
      </c>
      <c r="R408" s="387">
        <f t="shared" si="200"/>
        <v>0</v>
      </c>
      <c r="S408" s="387">
        <f t="shared" si="200"/>
        <v>0</v>
      </c>
      <c r="T408" s="387">
        <f t="shared" si="200"/>
        <v>0</v>
      </c>
      <c r="U408" s="387">
        <f t="shared" si="200"/>
        <v>0</v>
      </c>
      <c r="V408" s="387">
        <f t="shared" si="200"/>
        <v>0</v>
      </c>
      <c r="W408" s="387">
        <f t="shared" si="200"/>
        <v>0</v>
      </c>
      <c r="X408" s="387">
        <f t="shared" si="200"/>
        <v>0</v>
      </c>
      <c r="Y408" s="387">
        <f t="shared" si="200"/>
        <v>0</v>
      </c>
      <c r="Z408" s="387">
        <f t="shared" si="200"/>
        <v>0</v>
      </c>
      <c r="AA408" s="387">
        <f t="shared" si="200"/>
        <v>0</v>
      </c>
      <c r="AB408" s="387">
        <f t="shared" si="200"/>
        <v>0</v>
      </c>
      <c r="AC408" s="387">
        <f t="shared" si="200"/>
        <v>0</v>
      </c>
      <c r="AD408" s="387">
        <f t="shared" si="200"/>
        <v>0</v>
      </c>
      <c r="AE408" s="387">
        <f t="shared" si="200"/>
        <v>0</v>
      </c>
      <c r="AF408" s="387">
        <f t="shared" si="200"/>
        <v>0</v>
      </c>
      <c r="AG408" s="387">
        <f t="shared" si="200"/>
        <v>0</v>
      </c>
      <c r="AH408" s="387">
        <f t="shared" si="200"/>
        <v>0</v>
      </c>
      <c r="AI408" s="387">
        <f t="shared" si="200"/>
        <v>0</v>
      </c>
      <c r="AJ408" s="387">
        <f t="shared" si="200"/>
        <v>0</v>
      </c>
      <c r="AK408" s="387">
        <f t="shared" si="200"/>
        <v>0</v>
      </c>
      <c r="AL408" s="388">
        <f t="shared" si="200"/>
        <v>0</v>
      </c>
      <c r="AM408" s="387"/>
      <c r="AN408" s="387"/>
      <c r="AO408" s="387"/>
      <c r="AP408" s="387"/>
      <c r="AQ408" s="387"/>
      <c r="AR408" s="387"/>
      <c r="AS408" s="387"/>
      <c r="AT408" s="387"/>
      <c r="AU408" s="387"/>
      <c r="AV408" s="387"/>
      <c r="AW408" s="387"/>
      <c r="AX408" s="228"/>
    </row>
    <row r="409" spans="1:50" s="5" customFormat="1" x14ac:dyDescent="0.3">
      <c r="A409" s="228" t="s">
        <v>241</v>
      </c>
      <c r="B409" s="498"/>
      <c r="C409" s="387">
        <f t="shared" ref="C409:AL409" si="201">ROUND(C196-C311-C313,6)</f>
        <v>0</v>
      </c>
      <c r="D409" s="387">
        <f t="shared" si="201"/>
        <v>0</v>
      </c>
      <c r="E409" s="387">
        <f t="shared" si="201"/>
        <v>0</v>
      </c>
      <c r="F409" s="387">
        <f t="shared" si="201"/>
        <v>0</v>
      </c>
      <c r="G409" s="387">
        <f t="shared" si="201"/>
        <v>0</v>
      </c>
      <c r="H409" s="387">
        <f t="shared" si="201"/>
        <v>0</v>
      </c>
      <c r="I409" s="387">
        <f t="shared" si="201"/>
        <v>0</v>
      </c>
      <c r="J409" s="387">
        <f t="shared" si="201"/>
        <v>0</v>
      </c>
      <c r="K409" s="387">
        <f t="shared" si="201"/>
        <v>0</v>
      </c>
      <c r="L409" s="387">
        <f t="shared" si="201"/>
        <v>0</v>
      </c>
      <c r="M409" s="387">
        <f t="shared" si="201"/>
        <v>0</v>
      </c>
      <c r="N409" s="387">
        <f t="shared" si="201"/>
        <v>0</v>
      </c>
      <c r="O409" s="387">
        <f t="shared" si="201"/>
        <v>0</v>
      </c>
      <c r="P409" s="387">
        <f t="shared" si="201"/>
        <v>0</v>
      </c>
      <c r="Q409" s="387">
        <f t="shared" si="201"/>
        <v>0</v>
      </c>
      <c r="R409" s="387">
        <f t="shared" si="201"/>
        <v>0</v>
      </c>
      <c r="S409" s="387">
        <f t="shared" si="201"/>
        <v>0</v>
      </c>
      <c r="T409" s="387">
        <f t="shared" si="201"/>
        <v>0</v>
      </c>
      <c r="U409" s="387">
        <f t="shared" si="201"/>
        <v>0</v>
      </c>
      <c r="V409" s="387">
        <f t="shared" si="201"/>
        <v>0</v>
      </c>
      <c r="W409" s="387">
        <f t="shared" si="201"/>
        <v>0</v>
      </c>
      <c r="X409" s="387">
        <f t="shared" si="201"/>
        <v>0</v>
      </c>
      <c r="Y409" s="387">
        <f t="shared" si="201"/>
        <v>0</v>
      </c>
      <c r="Z409" s="387">
        <f t="shared" si="201"/>
        <v>0</v>
      </c>
      <c r="AA409" s="387">
        <f t="shared" si="201"/>
        <v>0</v>
      </c>
      <c r="AB409" s="387">
        <f t="shared" si="201"/>
        <v>0</v>
      </c>
      <c r="AC409" s="387">
        <f t="shared" si="201"/>
        <v>0</v>
      </c>
      <c r="AD409" s="387">
        <f t="shared" si="201"/>
        <v>0</v>
      </c>
      <c r="AE409" s="387">
        <f t="shared" si="201"/>
        <v>0</v>
      </c>
      <c r="AF409" s="387">
        <f t="shared" si="201"/>
        <v>0</v>
      </c>
      <c r="AG409" s="387">
        <f t="shared" si="201"/>
        <v>0</v>
      </c>
      <c r="AH409" s="387">
        <f t="shared" si="201"/>
        <v>0</v>
      </c>
      <c r="AI409" s="387">
        <f t="shared" si="201"/>
        <v>0</v>
      </c>
      <c r="AJ409" s="387">
        <f t="shared" si="201"/>
        <v>0</v>
      </c>
      <c r="AK409" s="387">
        <f t="shared" si="201"/>
        <v>0</v>
      </c>
      <c r="AL409" s="388">
        <f t="shared" si="201"/>
        <v>0</v>
      </c>
      <c r="AM409" s="387"/>
      <c r="AN409" s="387"/>
      <c r="AO409" s="387"/>
      <c r="AP409" s="387"/>
      <c r="AQ409" s="387"/>
      <c r="AR409" s="387"/>
      <c r="AS409" s="387"/>
      <c r="AT409" s="387"/>
      <c r="AU409" s="387"/>
      <c r="AV409" s="387"/>
      <c r="AW409" s="387"/>
      <c r="AX409" s="228"/>
    </row>
    <row r="410" spans="1:50" s="5" customFormat="1" x14ac:dyDescent="0.3">
      <c r="A410" s="228" t="s">
        <v>552</v>
      </c>
      <c r="B410" s="498"/>
      <c r="C410" s="387">
        <f t="shared" ref="C410:AL410" si="202">ROUND(1-INDEX(MO_MA_COGS_NONGAAP,0,COLUMN())-INDEX(MO_MA_GA_NONGAAP,0,COLUMN())-INDEX(MO_MA_SM_NONGAAP,0,COLUMN())-INDEX(MO_MA_RD_NONGAAP,0,COLUMN())-INDEX(MO_MA_OperatingIncome_NONGAAP,0,COLUMN()),6)</f>
        <v>0</v>
      </c>
      <c r="D410" s="387">
        <f t="shared" si="202"/>
        <v>0</v>
      </c>
      <c r="E410" s="387">
        <f t="shared" si="202"/>
        <v>0</v>
      </c>
      <c r="F410" s="387">
        <f t="shared" si="202"/>
        <v>0</v>
      </c>
      <c r="G410" s="387">
        <f t="shared" si="202"/>
        <v>0</v>
      </c>
      <c r="H410" s="387">
        <f t="shared" si="202"/>
        <v>0</v>
      </c>
      <c r="I410" s="387">
        <f t="shared" si="202"/>
        <v>0</v>
      </c>
      <c r="J410" s="387">
        <f t="shared" si="202"/>
        <v>0</v>
      </c>
      <c r="K410" s="387">
        <f t="shared" si="202"/>
        <v>0</v>
      </c>
      <c r="L410" s="387">
        <f t="shared" si="202"/>
        <v>0</v>
      </c>
      <c r="M410" s="387">
        <f t="shared" si="202"/>
        <v>0</v>
      </c>
      <c r="N410" s="387">
        <f t="shared" si="202"/>
        <v>0</v>
      </c>
      <c r="O410" s="387">
        <f t="shared" si="202"/>
        <v>0</v>
      </c>
      <c r="P410" s="387">
        <f t="shared" si="202"/>
        <v>0</v>
      </c>
      <c r="Q410" s="387">
        <f t="shared" si="202"/>
        <v>0</v>
      </c>
      <c r="R410" s="387">
        <f t="shared" si="202"/>
        <v>0</v>
      </c>
      <c r="S410" s="387">
        <f t="shared" si="202"/>
        <v>0</v>
      </c>
      <c r="T410" s="387">
        <f t="shared" si="202"/>
        <v>0</v>
      </c>
      <c r="U410" s="387">
        <f t="shared" si="202"/>
        <v>0</v>
      </c>
      <c r="V410" s="387">
        <f t="shared" si="202"/>
        <v>0</v>
      </c>
      <c r="W410" s="387">
        <f t="shared" si="202"/>
        <v>0</v>
      </c>
      <c r="X410" s="387">
        <f t="shared" si="202"/>
        <v>0</v>
      </c>
      <c r="Y410" s="387">
        <f t="shared" si="202"/>
        <v>0</v>
      </c>
      <c r="Z410" s="387">
        <f t="shared" si="202"/>
        <v>0</v>
      </c>
      <c r="AA410" s="387">
        <f t="shared" si="202"/>
        <v>0</v>
      </c>
      <c r="AB410" s="387">
        <f t="shared" si="202"/>
        <v>0</v>
      </c>
      <c r="AC410" s="387">
        <f t="shared" si="202"/>
        <v>0</v>
      </c>
      <c r="AD410" s="387">
        <f t="shared" si="202"/>
        <v>0</v>
      </c>
      <c r="AE410" s="387">
        <f t="shared" si="202"/>
        <v>0</v>
      </c>
      <c r="AF410" s="387">
        <f t="shared" si="202"/>
        <v>0</v>
      </c>
      <c r="AG410" s="387">
        <f t="shared" si="202"/>
        <v>0</v>
      </c>
      <c r="AH410" s="387">
        <f t="shared" si="202"/>
        <v>0</v>
      </c>
      <c r="AI410" s="387">
        <f t="shared" si="202"/>
        <v>0</v>
      </c>
      <c r="AJ410" s="387">
        <f t="shared" si="202"/>
        <v>0</v>
      </c>
      <c r="AK410" s="387">
        <f t="shared" si="202"/>
        <v>0</v>
      </c>
      <c r="AL410" s="388">
        <f t="shared" si="202"/>
        <v>0</v>
      </c>
      <c r="AM410" s="387"/>
      <c r="AN410" s="387"/>
      <c r="AO410" s="387"/>
      <c r="AP410" s="387"/>
      <c r="AQ410" s="387"/>
      <c r="AR410" s="387"/>
      <c r="AS410" s="387"/>
      <c r="AT410" s="387"/>
      <c r="AU410" s="387"/>
      <c r="AV410" s="387"/>
      <c r="AW410" s="387"/>
      <c r="AX410" s="228"/>
    </row>
    <row r="411" spans="1:50" s="5" customFormat="1" x14ac:dyDescent="0.3">
      <c r="A411" s="228" t="s">
        <v>242</v>
      </c>
      <c r="B411" s="498"/>
      <c r="C411" s="387">
        <f t="shared" ref="C411:AL411" si="203">IF(ISBLANK(INDEX(MO_IS_FirstRow,0,COLUMN())),0,IF(MOD(C45*1000000,1)=0,"Check",0))</f>
        <v>0</v>
      </c>
      <c r="D411" s="387">
        <f t="shared" si="203"/>
        <v>0</v>
      </c>
      <c r="E411" s="387">
        <f t="shared" si="203"/>
        <v>0</v>
      </c>
      <c r="F411" s="387">
        <f t="shared" si="203"/>
        <v>0</v>
      </c>
      <c r="G411" s="387">
        <f t="shared" si="203"/>
        <v>0</v>
      </c>
      <c r="H411" s="387">
        <f t="shared" si="203"/>
        <v>0</v>
      </c>
      <c r="I411" s="387">
        <f t="shared" si="203"/>
        <v>0</v>
      </c>
      <c r="J411" s="387">
        <f t="shared" si="203"/>
        <v>0</v>
      </c>
      <c r="K411" s="387">
        <f t="shared" si="203"/>
        <v>0</v>
      </c>
      <c r="L411" s="387">
        <f t="shared" si="203"/>
        <v>0</v>
      </c>
      <c r="M411" s="387">
        <f t="shared" si="203"/>
        <v>0</v>
      </c>
      <c r="N411" s="387">
        <f t="shared" si="203"/>
        <v>0</v>
      </c>
      <c r="O411" s="387">
        <f t="shared" si="203"/>
        <v>0</v>
      </c>
      <c r="P411" s="387">
        <f t="shared" si="203"/>
        <v>0</v>
      </c>
      <c r="Q411" s="387">
        <f t="shared" si="203"/>
        <v>0</v>
      </c>
      <c r="R411" s="387">
        <f t="shared" si="203"/>
        <v>0</v>
      </c>
      <c r="S411" s="387">
        <f t="shared" si="203"/>
        <v>0</v>
      </c>
      <c r="T411" s="387">
        <f t="shared" si="203"/>
        <v>0</v>
      </c>
      <c r="U411" s="387">
        <f t="shared" si="203"/>
        <v>0</v>
      </c>
      <c r="V411" s="387">
        <f t="shared" si="203"/>
        <v>0</v>
      </c>
      <c r="W411" s="387">
        <f t="shared" si="203"/>
        <v>0</v>
      </c>
      <c r="X411" s="387">
        <f t="shared" si="203"/>
        <v>0</v>
      </c>
      <c r="Y411" s="387">
        <f t="shared" si="203"/>
        <v>0</v>
      </c>
      <c r="Z411" s="387">
        <f t="shared" si="203"/>
        <v>0</v>
      </c>
      <c r="AA411" s="387">
        <f t="shared" si="203"/>
        <v>0</v>
      </c>
      <c r="AB411" s="387">
        <f t="shared" si="203"/>
        <v>0</v>
      </c>
      <c r="AC411" s="387">
        <f t="shared" si="203"/>
        <v>0</v>
      </c>
      <c r="AD411" s="387">
        <f t="shared" si="203"/>
        <v>0</v>
      </c>
      <c r="AE411" s="387">
        <f t="shared" si="203"/>
        <v>0</v>
      </c>
      <c r="AF411" s="387">
        <f t="shared" si="203"/>
        <v>0</v>
      </c>
      <c r="AG411" s="387">
        <f t="shared" si="203"/>
        <v>0</v>
      </c>
      <c r="AH411" s="387">
        <f t="shared" si="203"/>
        <v>0</v>
      </c>
      <c r="AI411" s="387">
        <f t="shared" si="203"/>
        <v>0</v>
      </c>
      <c r="AJ411" s="387">
        <f t="shared" si="203"/>
        <v>0</v>
      </c>
      <c r="AK411" s="387">
        <f t="shared" si="203"/>
        <v>0</v>
      </c>
      <c r="AL411" s="388">
        <f t="shared" si="203"/>
        <v>0</v>
      </c>
      <c r="AM411" s="387"/>
      <c r="AN411" s="387"/>
      <c r="AO411" s="387"/>
      <c r="AP411" s="387"/>
      <c r="AQ411" s="387"/>
      <c r="AR411" s="387"/>
      <c r="AS411" s="387"/>
      <c r="AT411" s="387"/>
      <c r="AU411" s="387"/>
      <c r="AV411" s="387"/>
      <c r="AW411" s="387"/>
      <c r="AX411" s="228"/>
    </row>
    <row r="412" spans="1:50" s="5" customFormat="1" x14ac:dyDescent="0.3">
      <c r="A412" s="228" t="s">
        <v>243</v>
      </c>
      <c r="B412" s="498"/>
      <c r="C412" s="387"/>
      <c r="D412" s="387"/>
      <c r="E412" s="387"/>
      <c r="F412" s="387"/>
      <c r="G412" s="387"/>
      <c r="H412" s="387"/>
      <c r="I412" s="387"/>
      <c r="J412" s="387"/>
      <c r="K412" s="387">
        <f>IF(ISBLANK(INDEX(MO_IS_FirstRow,0,COLUMN())),0,ROUND(K75-SUM(G75:J75),6)+ROUND(K86-SUM(G86:J86),6))</f>
        <v>0</v>
      </c>
      <c r="L412" s="387"/>
      <c r="M412" s="387"/>
      <c r="N412" s="387"/>
      <c r="O412" s="387"/>
      <c r="P412" s="387">
        <f>IF(ISBLANK(INDEX(MO_IS_FirstRow,0,COLUMN())),0,ROUND(P75-SUM(L75:O75),6)+ROUND(P86-SUM(L86:O86),6))</f>
        <v>0</v>
      </c>
      <c r="Q412" s="387"/>
      <c r="R412" s="387"/>
      <c r="S412" s="387"/>
      <c r="T412" s="387"/>
      <c r="U412" s="387">
        <f>IF(ISBLANK(INDEX(MO_IS_FirstRow,0,COLUMN())),0,ROUND(U75-SUM(Q75:T75),6)+ROUND(U86-SUM(Q86:T86),6))</f>
        <v>0</v>
      </c>
      <c r="V412" s="387"/>
      <c r="W412" s="387"/>
      <c r="X412" s="387"/>
      <c r="Y412" s="387"/>
      <c r="Z412" s="387">
        <f>IF(ISBLANK(INDEX(MO_IS_FirstRow,0,COLUMN())),0,ROUND(Z75-SUM(V75:Y75),6)+ROUND(Z86-SUM(V86:Y86),6))</f>
        <v>-6.0000000000000001E-3</v>
      </c>
      <c r="AA412" s="387"/>
      <c r="AB412" s="387"/>
      <c r="AC412" s="387"/>
      <c r="AD412" s="387"/>
      <c r="AE412" s="387">
        <f>IF(ISBLANK(INDEX(MO_IS_FirstRow,0,COLUMN())),0,ROUND(AE75-SUM(AA75:AD75),6)+ROUND(AE86-SUM(AA86:AD86),6))</f>
        <v>0</v>
      </c>
      <c r="AF412" s="387"/>
      <c r="AG412" s="387"/>
      <c r="AH412" s="387"/>
      <c r="AI412" s="387"/>
      <c r="AJ412" s="387">
        <f>IF(ISBLANK(INDEX(MO_IS_FirstRow,0,COLUMN())),0,ROUND(AJ75-SUM(AF75:AI75),6)+ROUND(AJ86-SUM(AF86:AI86),6))</f>
        <v>0</v>
      </c>
      <c r="AK412" s="387"/>
      <c r="AL412" s="388"/>
      <c r="AM412" s="387"/>
      <c r="AN412" s="387"/>
      <c r="AO412" s="387"/>
      <c r="AP412" s="387"/>
      <c r="AQ412" s="387"/>
      <c r="AR412" s="387"/>
      <c r="AS412" s="387"/>
      <c r="AT412" s="387"/>
      <c r="AU412" s="387"/>
      <c r="AV412" s="387"/>
      <c r="AW412" s="387"/>
      <c r="AX412" s="228"/>
    </row>
    <row r="413" spans="1:50" s="5" customFormat="1" x14ac:dyDescent="0.3">
      <c r="A413" s="228" t="s">
        <v>244</v>
      </c>
      <c r="B413" s="498"/>
      <c r="C413" s="387">
        <f t="shared" ref="C413:AL413" si="204">IF(ISBLANK(INDEX(MO_IS_FirstRow,0,COLUMN())),0,IF(OR(ISBLANK(INDEX(MO_RIS_ShareCount_Company2917,1,COLUMN())),ISBLANK(INDEX(MO_RIS_ShareCount_WAD,1,COLUMN()))),"BLANK",IF(OR(INDEX(MO_RIS_ShareCount_Company2917,1,COLUMN())=INDEX(MO_RIS_ShareCount_Company2917,1,COLUMN()-1),INDEX(MO_RIS_ShareCount_WAD,1,COLUMN())=INDEX(MO_RIS_ShareCount_WAD,1,COLUMN()-1)),"CHECK",0)))</f>
        <v>0</v>
      </c>
      <c r="D413" s="387">
        <f t="shared" si="204"/>
        <v>0</v>
      </c>
      <c r="E413" s="387">
        <f t="shared" si="204"/>
        <v>0</v>
      </c>
      <c r="F413" s="387">
        <f t="shared" si="204"/>
        <v>0</v>
      </c>
      <c r="G413" s="387">
        <f t="shared" si="204"/>
        <v>0</v>
      </c>
      <c r="H413" s="387">
        <f t="shared" si="204"/>
        <v>0</v>
      </c>
      <c r="I413" s="387">
        <f t="shared" si="204"/>
        <v>0</v>
      </c>
      <c r="J413" s="387">
        <f t="shared" si="204"/>
        <v>0</v>
      </c>
      <c r="K413" s="387">
        <f t="shared" si="204"/>
        <v>0</v>
      </c>
      <c r="L413" s="387">
        <f t="shared" si="204"/>
        <v>0</v>
      </c>
      <c r="M413" s="387">
        <f t="shared" si="204"/>
        <v>0</v>
      </c>
      <c r="N413" s="387">
        <f t="shared" si="204"/>
        <v>0</v>
      </c>
      <c r="O413" s="387">
        <f t="shared" si="204"/>
        <v>0</v>
      </c>
      <c r="P413" s="387">
        <f t="shared" si="204"/>
        <v>0</v>
      </c>
      <c r="Q413" s="387">
        <f t="shared" si="204"/>
        <v>0</v>
      </c>
      <c r="R413" s="387">
        <f t="shared" si="204"/>
        <v>0</v>
      </c>
      <c r="S413" s="387">
        <f t="shared" si="204"/>
        <v>0</v>
      </c>
      <c r="T413" s="387">
        <f t="shared" si="204"/>
        <v>0</v>
      </c>
      <c r="U413" s="387">
        <f t="shared" si="204"/>
        <v>0</v>
      </c>
      <c r="V413" s="387">
        <f t="shared" si="204"/>
        <v>0</v>
      </c>
      <c r="W413" s="387">
        <f t="shared" si="204"/>
        <v>0</v>
      </c>
      <c r="X413" s="387">
        <f t="shared" si="204"/>
        <v>0</v>
      </c>
      <c r="Y413" s="387">
        <f t="shared" si="204"/>
        <v>0</v>
      </c>
      <c r="Z413" s="387">
        <f t="shared" si="204"/>
        <v>0</v>
      </c>
      <c r="AA413" s="387">
        <f t="shared" si="204"/>
        <v>0</v>
      </c>
      <c r="AB413" s="387">
        <f t="shared" si="204"/>
        <v>0</v>
      </c>
      <c r="AC413" s="387">
        <f t="shared" si="204"/>
        <v>0</v>
      </c>
      <c r="AD413" s="387">
        <f t="shared" si="204"/>
        <v>0</v>
      </c>
      <c r="AE413" s="387">
        <f t="shared" si="204"/>
        <v>0</v>
      </c>
      <c r="AF413" s="387">
        <f t="shared" si="204"/>
        <v>0</v>
      </c>
      <c r="AG413" s="387">
        <f t="shared" si="204"/>
        <v>0</v>
      </c>
      <c r="AH413" s="387">
        <f t="shared" si="204"/>
        <v>0</v>
      </c>
      <c r="AI413" s="387">
        <f t="shared" si="204"/>
        <v>0</v>
      </c>
      <c r="AJ413" s="387">
        <f t="shared" si="204"/>
        <v>0</v>
      </c>
      <c r="AK413" s="387">
        <f t="shared" si="204"/>
        <v>0</v>
      </c>
      <c r="AL413" s="388">
        <f t="shared" si="204"/>
        <v>0</v>
      </c>
      <c r="AM413" s="387"/>
      <c r="AN413" s="387"/>
      <c r="AO413" s="387"/>
      <c r="AP413" s="387"/>
      <c r="AQ413" s="387"/>
      <c r="AR413" s="387"/>
      <c r="AS413" s="387"/>
      <c r="AT413" s="387"/>
      <c r="AU413" s="387"/>
      <c r="AV413" s="387"/>
      <c r="AW413" s="387"/>
      <c r="AX413" s="228"/>
    </row>
    <row r="414" spans="1:50" s="5" customFormat="1" x14ac:dyDescent="0.3">
      <c r="A414" s="228" t="s">
        <v>246</v>
      </c>
      <c r="B414" s="498"/>
      <c r="C414" s="387">
        <f t="shared" ref="C414:AL414" si="205">IF(OR(INDEX(MO_CFSum_Acquisition,1,COLUMN())&gt;0,INDEX(MO_CFSum_Divestiture,1,COLUMN())&lt;0,INDEX(MO_CFSum_Capex,1,COLUMN())&gt;0,INDEX(MO_CFSum_Dividend,1,COLUMN())&gt;0),"CHECK",0)</f>
        <v>0</v>
      </c>
      <c r="D414" s="387">
        <f t="shared" si="205"/>
        <v>0</v>
      </c>
      <c r="E414" s="387">
        <f t="shared" si="205"/>
        <v>0</v>
      </c>
      <c r="F414" s="387">
        <f t="shared" si="205"/>
        <v>0</v>
      </c>
      <c r="G414" s="387">
        <f t="shared" si="205"/>
        <v>0</v>
      </c>
      <c r="H414" s="387">
        <f t="shared" si="205"/>
        <v>0</v>
      </c>
      <c r="I414" s="387">
        <f t="shared" si="205"/>
        <v>0</v>
      </c>
      <c r="J414" s="387">
        <f t="shared" si="205"/>
        <v>0</v>
      </c>
      <c r="K414" s="387">
        <f t="shared" si="205"/>
        <v>0</v>
      </c>
      <c r="L414" s="387">
        <f t="shared" si="205"/>
        <v>0</v>
      </c>
      <c r="M414" s="387">
        <f t="shared" si="205"/>
        <v>0</v>
      </c>
      <c r="N414" s="387">
        <f t="shared" si="205"/>
        <v>0</v>
      </c>
      <c r="O414" s="387">
        <f t="shared" si="205"/>
        <v>0</v>
      </c>
      <c r="P414" s="387">
        <f t="shared" si="205"/>
        <v>0</v>
      </c>
      <c r="Q414" s="387">
        <f t="shared" si="205"/>
        <v>0</v>
      </c>
      <c r="R414" s="387">
        <f t="shared" si="205"/>
        <v>0</v>
      </c>
      <c r="S414" s="387">
        <f t="shared" si="205"/>
        <v>0</v>
      </c>
      <c r="T414" s="387">
        <f t="shared" si="205"/>
        <v>0</v>
      </c>
      <c r="U414" s="387">
        <f t="shared" si="205"/>
        <v>0</v>
      </c>
      <c r="V414" s="387">
        <f t="shared" si="205"/>
        <v>0</v>
      </c>
      <c r="W414" s="387">
        <f t="shared" si="205"/>
        <v>0</v>
      </c>
      <c r="X414" s="387">
        <f t="shared" si="205"/>
        <v>0</v>
      </c>
      <c r="Y414" s="387" t="str">
        <f t="shared" si="205"/>
        <v>CHECK</v>
      </c>
      <c r="Z414" s="387">
        <f t="shared" si="205"/>
        <v>0</v>
      </c>
      <c r="AA414" s="387">
        <f t="shared" si="205"/>
        <v>0</v>
      </c>
      <c r="AB414" s="387">
        <f t="shared" si="205"/>
        <v>0</v>
      </c>
      <c r="AC414" s="387">
        <f t="shared" si="205"/>
        <v>0</v>
      </c>
      <c r="AD414" s="387">
        <f t="shared" si="205"/>
        <v>0</v>
      </c>
      <c r="AE414" s="387">
        <f t="shared" si="205"/>
        <v>0</v>
      </c>
      <c r="AF414" s="387">
        <f t="shared" si="205"/>
        <v>0</v>
      </c>
      <c r="AG414" s="387">
        <f t="shared" si="205"/>
        <v>0</v>
      </c>
      <c r="AH414" s="387">
        <f t="shared" si="205"/>
        <v>0</v>
      </c>
      <c r="AI414" s="387">
        <f t="shared" si="205"/>
        <v>0</v>
      </c>
      <c r="AJ414" s="387">
        <f t="shared" si="205"/>
        <v>0</v>
      </c>
      <c r="AK414" s="387">
        <f t="shared" si="205"/>
        <v>0</v>
      </c>
      <c r="AL414" s="388">
        <f t="shared" si="205"/>
        <v>0</v>
      </c>
      <c r="AM414" s="387"/>
      <c r="AN414" s="387"/>
      <c r="AO414" s="387"/>
      <c r="AP414" s="387"/>
      <c r="AQ414" s="387"/>
      <c r="AR414" s="387"/>
      <c r="AS414" s="387"/>
      <c r="AT414" s="387"/>
      <c r="AU414" s="387"/>
      <c r="AV414" s="387"/>
      <c r="AW414" s="387"/>
      <c r="AX414" s="228"/>
    </row>
    <row r="415" spans="1:50" s="5" customFormat="1" x14ac:dyDescent="0.3">
      <c r="A415" s="228" t="s">
        <v>247</v>
      </c>
      <c r="B415" s="498"/>
      <c r="C415" s="387"/>
      <c r="D415" s="387"/>
      <c r="E415" s="387"/>
      <c r="F415" s="387"/>
      <c r="G415" s="387"/>
      <c r="H415" s="387"/>
      <c r="I415" s="387"/>
      <c r="J415" s="387"/>
      <c r="K415" s="387">
        <f>ROUND(K176-SUM(G176:J176),6)</f>
        <v>0</v>
      </c>
      <c r="L415" s="387"/>
      <c r="M415" s="387"/>
      <c r="N415" s="387"/>
      <c r="O415" s="387"/>
      <c r="P415" s="387">
        <f>ROUND(P176-SUM(L176:O176),6)</f>
        <v>0</v>
      </c>
      <c r="Q415" s="387"/>
      <c r="R415" s="387"/>
      <c r="S415" s="387"/>
      <c r="T415" s="387"/>
      <c r="U415" s="387">
        <f>ROUND(U176-SUM(Q176:T176),6)</f>
        <v>0</v>
      </c>
      <c r="V415" s="387"/>
      <c r="W415" s="387"/>
      <c r="X415" s="387"/>
      <c r="Y415" s="387"/>
      <c r="Z415" s="387">
        <f>ROUND(Z176-SUM(V176:Y176),6)</f>
        <v>0</v>
      </c>
      <c r="AA415" s="387"/>
      <c r="AB415" s="387"/>
      <c r="AC415" s="387"/>
      <c r="AD415" s="387"/>
      <c r="AE415" s="387">
        <f>ROUND(AE176-SUM(AA176:AD176),6)</f>
        <v>0</v>
      </c>
      <c r="AF415" s="387"/>
      <c r="AG415" s="387"/>
      <c r="AH415" s="387"/>
      <c r="AI415" s="387"/>
      <c r="AJ415" s="387">
        <f>ROUND(AJ176-SUM(AF176:AI176),6)</f>
        <v>0</v>
      </c>
      <c r="AK415" s="387"/>
      <c r="AL415" s="388"/>
      <c r="AM415" s="387"/>
      <c r="AN415" s="387"/>
      <c r="AO415" s="387"/>
      <c r="AP415" s="387"/>
      <c r="AQ415" s="387"/>
      <c r="AR415" s="387"/>
      <c r="AS415" s="387"/>
      <c r="AT415" s="387"/>
      <c r="AU415" s="387"/>
      <c r="AV415" s="387"/>
      <c r="AW415" s="387"/>
      <c r="AX415" s="228"/>
    </row>
    <row r="416" spans="1:50" s="5" customFormat="1" x14ac:dyDescent="0.3">
      <c r="A416" s="228" t="s">
        <v>248</v>
      </c>
      <c r="B416" s="498"/>
      <c r="C416" s="387"/>
      <c r="D416" s="387"/>
      <c r="E416" s="387"/>
      <c r="F416" s="387"/>
      <c r="G416" s="387"/>
      <c r="H416" s="387"/>
      <c r="I416" s="387"/>
      <c r="J416" s="387"/>
      <c r="K416" s="387">
        <f ca="1">ROUND(SUM(OFFSET(INDEX(MO_RIS_NI_NONGAAP_Diluted,1,COLUMN()),0,-4,1,4))-INDEX(MO_RIS_NI_NONGAAP_Diluted,1,COLUMN()),6)</f>
        <v>0</v>
      </c>
      <c r="L416" s="387"/>
      <c r="M416" s="387"/>
      <c r="N416" s="387"/>
      <c r="O416" s="387"/>
      <c r="P416" s="387">
        <f ca="1">ROUND(SUM(OFFSET(INDEX(MO_RIS_NI_NONGAAP_Diluted,1,COLUMN()),0,-4,1,4))-INDEX(MO_RIS_NI_NONGAAP_Diluted,1,COLUMN()),6)</f>
        <v>0</v>
      </c>
      <c r="Q416" s="387"/>
      <c r="R416" s="387"/>
      <c r="S416" s="387"/>
      <c r="T416" s="387"/>
      <c r="U416" s="387">
        <f ca="1">ROUND(SUM(OFFSET(INDEX(MO_RIS_NI_NONGAAP_Diluted,1,COLUMN()),0,-4,1,4))-INDEX(MO_RIS_NI_NONGAAP_Diluted,1,COLUMN()),6)</f>
        <v>0</v>
      </c>
      <c r="V416" s="387"/>
      <c r="W416" s="387"/>
      <c r="X416" s="387"/>
      <c r="Y416" s="387"/>
      <c r="Z416" s="387">
        <f ca="1">ROUND(SUM(OFFSET(INDEX(MO_RIS_NI_NONGAAP_Diluted,1,COLUMN()),0,-4,1,4))-INDEX(MO_RIS_NI_NONGAAP_Diluted,1,COLUMN()),6)</f>
        <v>6.0000000000000001E-3</v>
      </c>
      <c r="AA416" s="387"/>
      <c r="AB416" s="387"/>
      <c r="AC416" s="387"/>
      <c r="AD416" s="387"/>
      <c r="AE416" s="387">
        <f ca="1">ROUND(SUM(OFFSET(INDEX(MO_RIS_NI_NONGAAP_Diluted,1,COLUMN()),0,-4,1,4))-INDEX(MO_RIS_NI_NONGAAP_Diluted,1,COLUMN()),6)</f>
        <v>0</v>
      </c>
      <c r="AF416" s="387"/>
      <c r="AG416" s="387"/>
      <c r="AH416" s="387"/>
      <c r="AI416" s="387"/>
      <c r="AJ416" s="387">
        <f ca="1">ROUND(SUM(OFFSET(INDEX(MO_RIS_NI_NONGAAP_Diluted,1,COLUMN()),0,-4,1,4))-INDEX(MO_RIS_NI_NONGAAP_Diluted,1,COLUMN()),6)</f>
        <v>0</v>
      </c>
      <c r="AK416" s="387"/>
      <c r="AL416" s="388"/>
      <c r="AM416" s="387"/>
      <c r="AN416" s="387"/>
      <c r="AO416" s="387"/>
      <c r="AP416" s="387"/>
      <c r="AQ416" s="387"/>
      <c r="AR416" s="387"/>
      <c r="AS416" s="387"/>
      <c r="AT416" s="387"/>
      <c r="AU416" s="387"/>
      <c r="AV416" s="387"/>
      <c r="AW416" s="387"/>
      <c r="AX416" s="228"/>
    </row>
    <row r="417" spans="1:50" s="5" customFormat="1" x14ac:dyDescent="0.3">
      <c r="A417" s="228" t="s">
        <v>249</v>
      </c>
      <c r="B417" s="498"/>
      <c r="C417" s="387"/>
      <c r="D417" s="387"/>
      <c r="E417" s="387"/>
      <c r="F417" s="387"/>
      <c r="G417" s="387"/>
      <c r="H417" s="387"/>
      <c r="I417" s="387"/>
      <c r="J417" s="387"/>
      <c r="K417" s="387">
        <f ca="1">ROUND(SUM(OFFSET(INDEX(MO_CFS_CFO_BeforeWC,1,COLUMN()),0,-4,1,4))-SUM(OFFSET(INDEX(MO_CFS_CFO_BeforeWC,1,COLUMN()),ROW(INDEX(MO_SubSection_CFS_CFO,1,COLUMN()))-ROW(INDEX(MO_CFS_CFO_BeforeWC,1,COLUMN())),0,ROW(INDEX(MO_CFS_CFO_BeforeWC,1,COLUMN()))-ROW(INDEX(MO_SubSection_CFS_CFO,1,COLUMN())),1)),6)</f>
        <v>0</v>
      </c>
      <c r="L417" s="387"/>
      <c r="M417" s="387"/>
      <c r="N417" s="387"/>
      <c r="O417" s="387"/>
      <c r="P417" s="387">
        <f ca="1">ROUND(SUM(OFFSET(INDEX(MO_CFS_CFO_BeforeWC,1,COLUMN()),0,-4,1,4))-SUM(OFFSET(INDEX(MO_CFS_CFO_BeforeWC,1,COLUMN()),ROW(INDEX(MO_SubSection_CFS_CFO,1,COLUMN()))-ROW(INDEX(MO_CFS_CFO_BeforeWC,1,COLUMN())),0,ROW(INDEX(MO_CFS_CFO_BeforeWC,1,COLUMN()))-ROW(INDEX(MO_SubSection_CFS_CFO,1,COLUMN())),1)),6)</f>
        <v>0</v>
      </c>
      <c r="Q417" s="387"/>
      <c r="R417" s="387"/>
      <c r="S417" s="387"/>
      <c r="T417" s="387"/>
      <c r="U417" s="387">
        <f ca="1">ROUND(SUM(OFFSET(INDEX(MO_CFS_CFO_BeforeWC,1,COLUMN()),0,-4,1,4))-SUM(OFFSET(INDEX(MO_CFS_CFO_BeforeWC,1,COLUMN()),ROW(INDEX(MO_SubSection_CFS_CFO,1,COLUMN()))-ROW(INDEX(MO_CFS_CFO_BeforeWC,1,COLUMN())),0,ROW(INDEX(MO_CFS_CFO_BeforeWC,1,COLUMN()))-ROW(INDEX(MO_SubSection_CFS_CFO,1,COLUMN())),1)),6)</f>
        <v>0</v>
      </c>
      <c r="V417" s="387"/>
      <c r="W417" s="387"/>
      <c r="X417" s="387"/>
      <c r="Y417" s="387"/>
      <c r="Z417" s="387">
        <f ca="1">ROUND(SUM(OFFSET(INDEX(MO_CFS_CFO_BeforeWC,1,COLUMN()),0,-4,1,4))-SUM(OFFSET(INDEX(MO_CFS_CFO_BeforeWC,1,COLUMN()),ROW(INDEX(MO_SubSection_CFS_CFO,1,COLUMN()))-ROW(INDEX(MO_CFS_CFO_BeforeWC,1,COLUMN())),0,ROW(INDEX(MO_CFS_CFO_BeforeWC,1,COLUMN()))-ROW(INDEX(MO_SubSection_CFS_CFO,1,COLUMN())),1)),6)</f>
        <v>0</v>
      </c>
      <c r="AA417" s="387"/>
      <c r="AB417" s="387"/>
      <c r="AC417" s="387"/>
      <c r="AD417" s="387"/>
      <c r="AE417" s="387">
        <f ca="1">ROUND(SUM(OFFSET(INDEX(MO_CFS_CFO_BeforeWC,1,COLUMN()),0,-4,1,4))-SUM(OFFSET(INDEX(MO_CFS_CFO_BeforeWC,1,COLUMN()),ROW(INDEX(MO_SubSection_CFS_CFO,1,COLUMN()))-ROW(INDEX(MO_CFS_CFO_BeforeWC,1,COLUMN())),0,ROW(INDEX(MO_CFS_CFO_BeforeWC,1,COLUMN()))-ROW(INDEX(MO_SubSection_CFS_CFO,1,COLUMN())),1)),6)</f>
        <v>0</v>
      </c>
      <c r="AF417" s="387"/>
      <c r="AG417" s="387"/>
      <c r="AH417" s="387"/>
      <c r="AI417" s="387"/>
      <c r="AJ417" s="387">
        <f ca="1">ROUND(SUM(OFFSET(INDEX(MO_CFS_CFO_BeforeWC,1,COLUMN()),0,-4,1,4))-SUM(OFFSET(INDEX(MO_CFS_CFO_BeforeWC,1,COLUMN()),ROW(INDEX(MO_SubSection_CFS_CFO,1,COLUMN()))-ROW(INDEX(MO_CFS_CFO_BeforeWC,1,COLUMN())),0,ROW(INDEX(MO_CFS_CFO_BeforeWC,1,COLUMN()))-ROW(INDEX(MO_SubSection_CFS_CFO,1,COLUMN())),1)),6)</f>
        <v>0</v>
      </c>
      <c r="AK417" s="387"/>
      <c r="AL417" s="388"/>
      <c r="AM417" s="387"/>
      <c r="AN417" s="387"/>
      <c r="AO417" s="387"/>
      <c r="AP417" s="387"/>
      <c r="AQ417" s="387"/>
      <c r="AR417" s="387"/>
      <c r="AS417" s="387"/>
      <c r="AT417" s="387"/>
      <c r="AU417" s="387"/>
      <c r="AV417" s="387"/>
      <c r="AW417" s="387"/>
      <c r="AX417" s="228"/>
    </row>
    <row r="418" spans="1:50" s="5" customFormat="1" x14ac:dyDescent="0.3">
      <c r="A418" s="228" t="s">
        <v>250</v>
      </c>
      <c r="B418" s="498"/>
      <c r="C418" s="387"/>
      <c r="D418" s="387"/>
      <c r="E418" s="387"/>
      <c r="F418" s="387"/>
      <c r="G418" s="387"/>
      <c r="H418" s="387"/>
      <c r="I418" s="387"/>
      <c r="J418" s="387"/>
      <c r="K418" s="387">
        <f ca="1">ROUND(SUM(OFFSET(INDEX(MO_CFS_CFO,1,COLUMN()),0,-4,1,4))-SUM(OFFSET(INDEX(MO_CFS_CFO,1,COLUMN()),ROW(INDEX(MO_CFS_CFO_BeforeWC,1,COLUMN()))-ROW(INDEX(MO_CFS_CFO,1,COLUMN())),0,ROW(INDEX(MO_CFS_CFO,1,COLUMN()))-ROW(INDEX(MO_CFS_CFO_BeforeWC,1,COLUMN())),1)),6)</f>
        <v>0</v>
      </c>
      <c r="L418" s="387"/>
      <c r="M418" s="387"/>
      <c r="N418" s="387"/>
      <c r="O418" s="387"/>
      <c r="P418" s="387">
        <f ca="1">ROUND(SUM(OFFSET(INDEX(MO_CFS_CFO,1,COLUMN()),0,-4,1,4))-SUM(OFFSET(INDEX(MO_CFS_CFO,1,COLUMN()),ROW(INDEX(MO_CFS_CFO_BeforeWC,1,COLUMN()))-ROW(INDEX(MO_CFS_CFO,1,COLUMN())),0,ROW(INDEX(MO_CFS_CFO,1,COLUMN()))-ROW(INDEX(MO_CFS_CFO_BeforeWC,1,COLUMN())),1)),6)</f>
        <v>0</v>
      </c>
      <c r="Q418" s="387"/>
      <c r="R418" s="387"/>
      <c r="S418" s="387"/>
      <c r="T418" s="387"/>
      <c r="U418" s="387">
        <f ca="1">ROUND(SUM(OFFSET(INDEX(MO_CFS_CFO,1,COLUMN()),0,-4,1,4))-SUM(OFFSET(INDEX(MO_CFS_CFO,1,COLUMN()),ROW(INDEX(MO_CFS_CFO_BeforeWC,1,COLUMN()))-ROW(INDEX(MO_CFS_CFO,1,COLUMN())),0,ROW(INDEX(MO_CFS_CFO,1,COLUMN()))-ROW(INDEX(MO_CFS_CFO_BeforeWC,1,COLUMN())),1)),6)</f>
        <v>0</v>
      </c>
      <c r="V418" s="387"/>
      <c r="W418" s="387"/>
      <c r="X418" s="387"/>
      <c r="Y418" s="387"/>
      <c r="Z418" s="387">
        <f ca="1">ROUND(SUM(OFFSET(INDEX(MO_CFS_CFO,1,COLUMN()),0,-4,1,4))-SUM(OFFSET(INDEX(MO_CFS_CFO,1,COLUMN()),ROW(INDEX(MO_CFS_CFO_BeforeWC,1,COLUMN()))-ROW(INDEX(MO_CFS_CFO,1,COLUMN())),0,ROW(INDEX(MO_CFS_CFO,1,COLUMN()))-ROW(INDEX(MO_CFS_CFO_BeforeWC,1,COLUMN())),1)),6)</f>
        <v>0</v>
      </c>
      <c r="AA418" s="387"/>
      <c r="AB418" s="387"/>
      <c r="AC418" s="387"/>
      <c r="AD418" s="387"/>
      <c r="AE418" s="387">
        <f ca="1">ROUND(SUM(OFFSET(INDEX(MO_CFS_CFO,1,COLUMN()),0,-4,1,4))-SUM(OFFSET(INDEX(MO_CFS_CFO,1,COLUMN()),ROW(INDEX(MO_CFS_CFO_BeforeWC,1,COLUMN()))-ROW(INDEX(MO_CFS_CFO,1,COLUMN())),0,ROW(INDEX(MO_CFS_CFO,1,COLUMN()))-ROW(INDEX(MO_CFS_CFO_BeforeWC,1,COLUMN())),1)),6)</f>
        <v>0</v>
      </c>
      <c r="AF418" s="387"/>
      <c r="AG418" s="387"/>
      <c r="AH418" s="387"/>
      <c r="AI418" s="387"/>
      <c r="AJ418" s="387">
        <f ca="1">ROUND(SUM(OFFSET(INDEX(MO_CFS_CFO,1,COLUMN()),0,-4,1,4))-SUM(OFFSET(INDEX(MO_CFS_CFO,1,COLUMN()),ROW(INDEX(MO_CFS_CFO_BeforeWC,1,COLUMN()))-ROW(INDEX(MO_CFS_CFO,1,COLUMN())),0,ROW(INDEX(MO_CFS_CFO,1,COLUMN()))-ROW(INDEX(MO_CFS_CFO_BeforeWC,1,COLUMN())),1)),6)</f>
        <v>0</v>
      </c>
      <c r="AK418" s="387"/>
      <c r="AL418" s="388"/>
      <c r="AM418" s="387"/>
      <c r="AN418" s="387"/>
      <c r="AO418" s="387"/>
      <c r="AP418" s="387"/>
      <c r="AQ418" s="387"/>
      <c r="AR418" s="387"/>
      <c r="AS418" s="387"/>
      <c r="AT418" s="387"/>
      <c r="AU418" s="387"/>
      <c r="AV418" s="387"/>
      <c r="AW418" s="387"/>
      <c r="AX418" s="228"/>
    </row>
    <row r="419" spans="1:50" s="5" customFormat="1" x14ac:dyDescent="0.3">
      <c r="A419" s="228" t="s">
        <v>251</v>
      </c>
      <c r="B419" s="498"/>
      <c r="C419" s="387"/>
      <c r="D419" s="387"/>
      <c r="E419" s="387"/>
      <c r="F419" s="387"/>
      <c r="G419" s="387"/>
      <c r="H419" s="387"/>
      <c r="I419" s="387"/>
      <c r="J419" s="387"/>
      <c r="K419" s="387">
        <f ca="1">ROUND(SUM(OFFSET(INDEX(MO_CFS_CFI,1,COLUMN()),0,-4,1,4))-SUM(OFFSET(INDEX(MO_CFS_CFI,1,COLUMN()),ROW(INDEX(MO_SubSection_CFS_CFI,1,COLUMN()))-ROW(INDEX(MO_CFS_CFI,1,COLUMN())),0,ROW(INDEX(MO_CFS_CFI,1,COLUMN()))-ROW(INDEX(MO_SubSection_CFS_CFI,1,COLUMN())),1)),6)</f>
        <v>0</v>
      </c>
      <c r="L419" s="387"/>
      <c r="M419" s="387"/>
      <c r="N419" s="387"/>
      <c r="O419" s="387"/>
      <c r="P419" s="387">
        <f ca="1">ROUND(SUM(OFFSET(INDEX(MO_CFS_CFI,1,COLUMN()),0,-4,1,4))-SUM(OFFSET(INDEX(MO_CFS_CFI,1,COLUMN()),ROW(INDEX(MO_SubSection_CFS_CFI,1,COLUMN()))-ROW(INDEX(MO_CFS_CFI,1,COLUMN())),0,ROW(INDEX(MO_CFS_CFI,1,COLUMN()))-ROW(INDEX(MO_SubSection_CFS_CFI,1,COLUMN())),1)),6)</f>
        <v>0</v>
      </c>
      <c r="Q419" s="387"/>
      <c r="R419" s="387"/>
      <c r="S419" s="387"/>
      <c r="T419" s="387"/>
      <c r="U419" s="387">
        <f ca="1">ROUND(SUM(OFFSET(INDEX(MO_CFS_CFI,1,COLUMN()),0,-4,1,4))-SUM(OFFSET(INDEX(MO_CFS_CFI,1,COLUMN()),ROW(INDEX(MO_SubSection_CFS_CFI,1,COLUMN()))-ROW(INDEX(MO_CFS_CFI,1,COLUMN())),0,ROW(INDEX(MO_CFS_CFI,1,COLUMN()))-ROW(INDEX(MO_SubSection_CFS_CFI,1,COLUMN())),1)),6)</f>
        <v>0</v>
      </c>
      <c r="V419" s="387"/>
      <c r="W419" s="387"/>
      <c r="X419" s="387"/>
      <c r="Y419" s="387"/>
      <c r="Z419" s="387">
        <f ca="1">ROUND(SUM(OFFSET(INDEX(MO_CFS_CFI,1,COLUMN()),0,-4,1,4))-SUM(OFFSET(INDEX(MO_CFS_CFI,1,COLUMN()),ROW(INDEX(MO_SubSection_CFS_CFI,1,COLUMN()))-ROW(INDEX(MO_CFS_CFI,1,COLUMN())),0,ROW(INDEX(MO_CFS_CFI,1,COLUMN()))-ROW(INDEX(MO_SubSection_CFS_CFI,1,COLUMN())),1)),6)</f>
        <v>0</v>
      </c>
      <c r="AA419" s="387"/>
      <c r="AB419" s="387"/>
      <c r="AC419" s="387"/>
      <c r="AD419" s="387"/>
      <c r="AE419" s="387">
        <f ca="1">ROUND(SUM(OFFSET(INDEX(MO_CFS_CFI,1,COLUMN()),0,-4,1,4))-SUM(OFFSET(INDEX(MO_CFS_CFI,1,COLUMN()),ROW(INDEX(MO_SubSection_CFS_CFI,1,COLUMN()))-ROW(INDEX(MO_CFS_CFI,1,COLUMN())),0,ROW(INDEX(MO_CFS_CFI,1,COLUMN()))-ROW(INDEX(MO_SubSection_CFS_CFI,1,COLUMN())),1)),6)</f>
        <v>0</v>
      </c>
      <c r="AF419" s="387"/>
      <c r="AG419" s="387"/>
      <c r="AH419" s="387"/>
      <c r="AI419" s="387"/>
      <c r="AJ419" s="387">
        <f ca="1">ROUND(SUM(OFFSET(INDEX(MO_CFS_CFI,1,COLUMN()),0,-4,1,4))-SUM(OFFSET(INDEX(MO_CFS_CFI,1,COLUMN()),ROW(INDEX(MO_SubSection_CFS_CFI,1,COLUMN()))-ROW(INDEX(MO_CFS_CFI,1,COLUMN())),0,ROW(INDEX(MO_CFS_CFI,1,COLUMN()))-ROW(INDEX(MO_SubSection_CFS_CFI,1,COLUMN())),1)),6)</f>
        <v>0</v>
      </c>
      <c r="AK419" s="387"/>
      <c r="AL419" s="388"/>
      <c r="AM419" s="387"/>
      <c r="AN419" s="387"/>
      <c r="AO419" s="387"/>
      <c r="AP419" s="387"/>
      <c r="AQ419" s="387"/>
      <c r="AR419" s="387"/>
      <c r="AS419" s="387"/>
      <c r="AT419" s="387"/>
      <c r="AU419" s="387"/>
      <c r="AV419" s="387"/>
      <c r="AW419" s="387"/>
      <c r="AX419" s="228"/>
    </row>
    <row r="420" spans="1:50" s="5" customFormat="1" x14ac:dyDescent="0.3">
      <c r="A420" s="228" t="s">
        <v>252</v>
      </c>
      <c r="B420" s="498"/>
      <c r="C420" s="387"/>
      <c r="D420" s="387"/>
      <c r="E420" s="387"/>
      <c r="F420" s="387"/>
      <c r="G420" s="387"/>
      <c r="H420" s="387"/>
      <c r="I420" s="387"/>
      <c r="J420" s="387"/>
      <c r="K420" s="387">
        <f ca="1">ROUND(SUM(OFFSET(INDEX(MO_CFS_CFF,1,COLUMN()),0,-4,1,4))-SUM(OFFSET(INDEX(MO_CFS_CFF,1,COLUMN()),ROW(INDEX(MO_SubSection_CFS_CFF,1,COLUMN()))-ROW(INDEX(MO_CFS_CFF,1,COLUMN())),0,ROW(INDEX(MO_CFS_CFF,1,COLUMN()))-ROW(INDEX(MO_SubSection_CFS_CFF,1,COLUMN())),1)),6)</f>
        <v>0</v>
      </c>
      <c r="L420" s="387"/>
      <c r="M420" s="387"/>
      <c r="N420" s="387"/>
      <c r="O420" s="387"/>
      <c r="P420" s="387">
        <f ca="1">ROUND(SUM(OFFSET(INDEX(MO_CFS_CFF,1,COLUMN()),0,-4,1,4))-SUM(OFFSET(INDEX(MO_CFS_CFF,1,COLUMN()),ROW(INDEX(MO_SubSection_CFS_CFF,1,COLUMN()))-ROW(INDEX(MO_CFS_CFF,1,COLUMN())),0,ROW(INDEX(MO_CFS_CFF,1,COLUMN()))-ROW(INDEX(MO_SubSection_CFS_CFF,1,COLUMN())),1)),6)</f>
        <v>0</v>
      </c>
      <c r="Q420" s="387"/>
      <c r="R420" s="387"/>
      <c r="S420" s="387"/>
      <c r="T420" s="387"/>
      <c r="U420" s="387">
        <f ca="1">ROUND(SUM(OFFSET(INDEX(MO_CFS_CFF,1,COLUMN()),0,-4,1,4))-SUM(OFFSET(INDEX(MO_CFS_CFF,1,COLUMN()),ROW(INDEX(MO_SubSection_CFS_CFF,1,COLUMN()))-ROW(INDEX(MO_CFS_CFF,1,COLUMN())),0,ROW(INDEX(MO_CFS_CFF,1,COLUMN()))-ROW(INDEX(MO_SubSection_CFS_CFF,1,COLUMN())),1)),6)</f>
        <v>0</v>
      </c>
      <c r="V420" s="387"/>
      <c r="W420" s="387"/>
      <c r="X420" s="387"/>
      <c r="Y420" s="387"/>
      <c r="Z420" s="387">
        <f ca="1">ROUND(SUM(OFFSET(INDEX(MO_CFS_CFF,1,COLUMN()),0,-4,1,4))-SUM(OFFSET(INDEX(MO_CFS_CFF,1,COLUMN()),ROW(INDEX(MO_SubSection_CFS_CFF,1,COLUMN()))-ROW(INDEX(MO_CFS_CFF,1,COLUMN())),0,ROW(INDEX(MO_CFS_CFF,1,COLUMN()))-ROW(INDEX(MO_SubSection_CFS_CFF,1,COLUMN())),1)),6)</f>
        <v>0</v>
      </c>
      <c r="AA420" s="387"/>
      <c r="AB420" s="387"/>
      <c r="AC420" s="387"/>
      <c r="AD420" s="387"/>
      <c r="AE420" s="387">
        <f ca="1">ROUND(SUM(OFFSET(INDEX(MO_CFS_CFF,1,COLUMN()),0,-4,1,4))-SUM(OFFSET(INDEX(MO_CFS_CFF,1,COLUMN()),ROW(INDEX(MO_SubSection_CFS_CFF,1,COLUMN()))-ROW(INDEX(MO_CFS_CFF,1,COLUMN())),0,ROW(INDEX(MO_CFS_CFF,1,COLUMN()))-ROW(INDEX(MO_SubSection_CFS_CFF,1,COLUMN())),1)),6)</f>
        <v>0</v>
      </c>
      <c r="AF420" s="387"/>
      <c r="AG420" s="387"/>
      <c r="AH420" s="387"/>
      <c r="AI420" s="387"/>
      <c r="AJ420" s="387">
        <f ca="1">ROUND(SUM(OFFSET(INDEX(MO_CFS_CFF,1,COLUMN()),0,-4,1,4))-SUM(OFFSET(INDEX(MO_CFS_CFF,1,COLUMN()),ROW(INDEX(MO_SubSection_CFS_CFF,1,COLUMN()))-ROW(INDEX(MO_CFS_CFF,1,COLUMN())),0,ROW(INDEX(MO_CFS_CFF,1,COLUMN()))-ROW(INDEX(MO_SubSection_CFS_CFF,1,COLUMN())),1)),6)</f>
        <v>0</v>
      </c>
      <c r="AK420" s="387"/>
      <c r="AL420" s="388"/>
      <c r="AM420" s="387"/>
      <c r="AN420" s="387"/>
      <c r="AO420" s="387"/>
      <c r="AP420" s="387"/>
      <c r="AQ420" s="387"/>
      <c r="AR420" s="387"/>
      <c r="AS420" s="387"/>
      <c r="AT420" s="387"/>
      <c r="AU420" s="387"/>
      <c r="AV420" s="387"/>
      <c r="AW420" s="387"/>
      <c r="AX420" s="228"/>
    </row>
    <row r="421" spans="1:50" s="5" customFormat="1" x14ac:dyDescent="0.3">
      <c r="A421" s="228" t="s">
        <v>253</v>
      </c>
      <c r="B421" s="498"/>
      <c r="C421" s="387"/>
      <c r="D421" s="387"/>
      <c r="E421" s="387"/>
      <c r="F421" s="387"/>
      <c r="G421" s="387"/>
      <c r="H421" s="387"/>
      <c r="I421" s="387"/>
      <c r="J421" s="387"/>
      <c r="K421" s="387">
        <f ca="1">ROUND(SUM(INDEX(MO_CFSum_Acquisition,0,COLUMN()),INDEX(MO_CFSum_Capex,0,COLUMN()),INDEX(MO_CFSum_Divestiture,0,COLUMN()),INDEX(MO_CFSum_Dividend,0,COLUMN()))-SUM(OFFSET(INDEX(MO_CFSum_Acquisition,0,COLUMN()),0,-4,3,4))-SUM(OFFSET(INDEX(MO_CFSum_Capex,0,COLUMN()),0,-4,1,4)),6)</f>
        <v>0</v>
      </c>
      <c r="L421" s="387"/>
      <c r="M421" s="387"/>
      <c r="N421" s="387"/>
      <c r="O421" s="387"/>
      <c r="P421" s="387">
        <f ca="1">ROUND(SUM(INDEX(MO_CFSum_Acquisition,0,COLUMN()),INDEX(MO_CFSum_Capex,0,COLUMN()),INDEX(MO_CFSum_Divestiture,0,COLUMN()),INDEX(MO_CFSum_Dividend,0,COLUMN()))-SUM(OFFSET(INDEX(MO_CFSum_Acquisition,0,COLUMN()),0,-4,3,4))-SUM(OFFSET(INDEX(MO_CFSum_Capex,0,COLUMN()),0,-4,1,4)),6)</f>
        <v>0</v>
      </c>
      <c r="Q421" s="387"/>
      <c r="R421" s="387"/>
      <c r="S421" s="387"/>
      <c r="T421" s="387"/>
      <c r="U421" s="387">
        <f ca="1">ROUND(SUM(INDEX(MO_CFSum_Acquisition,0,COLUMN()),INDEX(MO_CFSum_Capex,0,COLUMN()),INDEX(MO_CFSum_Divestiture,0,COLUMN()),INDEX(MO_CFSum_Dividend,0,COLUMN()))-SUM(OFFSET(INDEX(MO_CFSum_Acquisition,0,COLUMN()),0,-4,3,4))-SUM(OFFSET(INDEX(MO_CFSum_Capex,0,COLUMN()),0,-4,1,4)),6)</f>
        <v>0</v>
      </c>
      <c r="V421" s="387"/>
      <c r="W421" s="387"/>
      <c r="X421" s="387"/>
      <c r="Y421" s="387"/>
      <c r="Z421" s="387">
        <f ca="1">ROUND(SUM(INDEX(MO_CFSum_Acquisition,0,COLUMN()),INDEX(MO_CFSum_Capex,0,COLUMN()),INDEX(MO_CFSum_Divestiture,0,COLUMN()),INDEX(MO_CFSum_Dividend,0,COLUMN()))-SUM(OFFSET(INDEX(MO_CFSum_Acquisition,0,COLUMN()),0,-4,3,4))-SUM(OFFSET(INDEX(MO_CFSum_Capex,0,COLUMN()),0,-4,1,4)),6)</f>
        <v>0</v>
      </c>
      <c r="AA421" s="387"/>
      <c r="AB421" s="387"/>
      <c r="AC421" s="387"/>
      <c r="AD421" s="387"/>
      <c r="AE421" s="387">
        <f ca="1">ROUND(SUM(INDEX(MO_CFSum_Acquisition,0,COLUMN()),INDEX(MO_CFSum_Capex,0,COLUMN()),INDEX(MO_CFSum_Divestiture,0,COLUMN()),INDEX(MO_CFSum_Dividend,0,COLUMN()))-SUM(OFFSET(INDEX(MO_CFSum_Acquisition,0,COLUMN()),0,-4,3,4))-SUM(OFFSET(INDEX(MO_CFSum_Capex,0,COLUMN()),0,-4,1,4)),6)</f>
        <v>0</v>
      </c>
      <c r="AF421" s="387"/>
      <c r="AG421" s="387"/>
      <c r="AH421" s="387"/>
      <c r="AI421" s="387"/>
      <c r="AJ421" s="387">
        <f ca="1">ROUND(SUM(INDEX(MO_CFSum_Acquisition,0,COLUMN()),INDEX(MO_CFSum_Capex,0,COLUMN()),INDEX(MO_CFSum_Divestiture,0,COLUMN()),INDEX(MO_CFSum_Dividend,0,COLUMN()))-SUM(OFFSET(INDEX(MO_CFSum_Acquisition,0,COLUMN()),0,-4,3,4))-SUM(OFFSET(INDEX(MO_CFSum_Capex,0,COLUMN()),0,-4,1,4)),6)</f>
        <v>0</v>
      </c>
      <c r="AK421" s="387"/>
      <c r="AL421" s="388"/>
      <c r="AM421" s="387"/>
      <c r="AN421" s="387"/>
      <c r="AO421" s="387"/>
      <c r="AP421" s="387"/>
      <c r="AQ421" s="387"/>
      <c r="AR421" s="387"/>
      <c r="AS421" s="387"/>
      <c r="AT421" s="387"/>
      <c r="AU421" s="387"/>
      <c r="AV421" s="387"/>
      <c r="AW421" s="387"/>
      <c r="AX421" s="228"/>
    </row>
    <row r="422" spans="1:50" s="5" customFormat="1" x14ac:dyDescent="0.3">
      <c r="A422" s="228"/>
      <c r="B422" s="228"/>
      <c r="C422" s="228"/>
      <c r="D422" s="228"/>
      <c r="E422" s="228"/>
      <c r="F422" s="228"/>
      <c r="G422" s="228"/>
      <c r="H422" s="228"/>
      <c r="I422" s="228"/>
      <c r="J422" s="228"/>
      <c r="K422" s="228"/>
      <c r="L422" s="228"/>
      <c r="M422" s="228"/>
      <c r="N422" s="228"/>
      <c r="O422" s="228"/>
      <c r="P422" s="228"/>
      <c r="Q422" s="228"/>
      <c r="R422" s="228"/>
      <c r="S422" s="228"/>
      <c r="T422" s="228"/>
      <c r="U422" s="228"/>
      <c r="V422" s="228"/>
      <c r="W422" s="228"/>
      <c r="X422" s="228"/>
      <c r="Y422" s="228"/>
      <c r="Z422" s="228"/>
      <c r="AA422" s="228"/>
      <c r="AB422" s="228"/>
      <c r="AC422" s="228"/>
      <c r="AD422" s="228"/>
      <c r="AE422" s="228"/>
      <c r="AF422" s="228"/>
      <c r="AG422" s="228"/>
      <c r="AH422" s="228"/>
      <c r="AI422" s="228"/>
      <c r="AJ422" s="228"/>
      <c r="AK422" s="228"/>
      <c r="AL422" s="499"/>
      <c r="AM422" s="228"/>
      <c r="AN422" s="228"/>
      <c r="AO422" s="228"/>
      <c r="AP422" s="228"/>
      <c r="AQ422" s="228"/>
      <c r="AR422" s="228"/>
      <c r="AS422" s="228"/>
      <c r="AT422" s="228"/>
      <c r="AU422" s="228"/>
      <c r="AV422" s="228"/>
      <c r="AW422" s="228"/>
      <c r="AX422" s="228"/>
    </row>
    <row r="423" spans="1:50" s="9" customFormat="1" x14ac:dyDescent="0.3">
      <c r="A423" s="95" t="s">
        <v>254</v>
      </c>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c r="AF423" s="95"/>
      <c r="AG423" s="95"/>
      <c r="AH423" s="95"/>
      <c r="AI423" s="95"/>
      <c r="AJ423" s="95"/>
      <c r="AK423" s="95"/>
      <c r="AL423" s="500"/>
      <c r="AM423" s="95"/>
      <c r="AN423" s="95"/>
      <c r="AO423" s="95"/>
      <c r="AP423" s="95"/>
      <c r="AQ423" s="95"/>
      <c r="AR423" s="95"/>
      <c r="AS423" s="95"/>
      <c r="AT423" s="95"/>
      <c r="AU423" s="95"/>
      <c r="AV423" s="95"/>
      <c r="AW423" s="95"/>
      <c r="AX423" s="22"/>
    </row>
    <row r="424" spans="1:50" s="5" customFormat="1" x14ac:dyDescent="0.3">
      <c r="A424" s="501"/>
      <c r="B424" s="228"/>
      <c r="C424" s="502"/>
      <c r="D424" s="502"/>
      <c r="E424" s="228"/>
      <c r="F424" s="228"/>
      <c r="G424" s="228"/>
      <c r="H424" s="228"/>
      <c r="I424" s="228"/>
      <c r="J424" s="228"/>
      <c r="K424" s="228"/>
      <c r="L424" s="228"/>
      <c r="M424" s="228"/>
      <c r="N424" s="228"/>
      <c r="O424" s="228"/>
      <c r="P424" s="228"/>
      <c r="Q424" s="228"/>
      <c r="R424" s="228"/>
      <c r="S424" s="228"/>
      <c r="T424" s="228"/>
      <c r="U424" s="228"/>
      <c r="V424" s="228"/>
      <c r="W424" s="228"/>
      <c r="X424" s="228"/>
      <c r="Y424" s="228"/>
      <c r="Z424" s="228"/>
      <c r="AA424" s="228"/>
      <c r="AB424" s="228"/>
      <c r="AC424" s="228"/>
      <c r="AD424" s="228"/>
      <c r="AE424" s="228"/>
      <c r="AF424" s="228"/>
      <c r="AG424" s="228"/>
      <c r="AH424" s="228"/>
      <c r="AI424" s="228"/>
      <c r="AJ424" s="228"/>
      <c r="AK424" s="228"/>
      <c r="AL424" s="499"/>
      <c r="AM424" s="228"/>
      <c r="AN424" s="228"/>
      <c r="AO424" s="228"/>
      <c r="AP424" s="228"/>
      <c r="AQ424" s="228"/>
      <c r="AR424" s="228"/>
      <c r="AS424" s="228"/>
      <c r="AT424" s="228"/>
      <c r="AU424" s="228"/>
      <c r="AV424" s="228"/>
      <c r="AW424" s="228"/>
      <c r="AX424" s="228"/>
    </row>
    <row r="425" spans="1:50" s="44" customFormat="1" x14ac:dyDescent="0.3">
      <c r="A425" s="503" t="s">
        <v>255</v>
      </c>
      <c r="B425" s="28"/>
      <c r="C425" s="504"/>
      <c r="D425" s="504"/>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505"/>
      <c r="AM425" s="28"/>
      <c r="AN425" s="28"/>
      <c r="AO425" s="28"/>
      <c r="AP425" s="28"/>
      <c r="AQ425" s="28"/>
      <c r="AR425" s="28"/>
      <c r="AS425" s="28"/>
      <c r="AT425" s="28"/>
      <c r="AU425" s="28"/>
      <c r="AV425" s="28"/>
      <c r="AW425" s="28"/>
      <c r="AX425" s="28"/>
    </row>
    <row r="426" spans="1:50" s="227" customFormat="1" x14ac:dyDescent="0.3">
      <c r="A426" s="506" t="s">
        <v>553</v>
      </c>
      <c r="B426" s="27"/>
      <c r="C426" s="507"/>
      <c r="D426" s="50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508"/>
      <c r="AM426" s="27"/>
      <c r="AN426" s="27"/>
      <c r="AO426" s="27"/>
      <c r="AP426" s="27"/>
      <c r="AQ426" s="27"/>
      <c r="AR426" s="27"/>
      <c r="AS426" s="27"/>
      <c r="AT426" s="27"/>
      <c r="AU426" s="27"/>
      <c r="AV426" s="27"/>
      <c r="AW426" s="27"/>
      <c r="AX426" s="27"/>
    </row>
    <row r="427" spans="1:50" s="227" customFormat="1" x14ac:dyDescent="0.3">
      <c r="A427" s="509" t="s">
        <v>554</v>
      </c>
      <c r="B427" s="27"/>
      <c r="C427" s="507"/>
      <c r="D427" s="50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508"/>
      <c r="AM427" s="27"/>
      <c r="AN427" s="27"/>
      <c r="AO427" s="27"/>
      <c r="AP427" s="27"/>
      <c r="AQ427" s="27"/>
      <c r="AR427" s="27"/>
      <c r="AS427" s="27"/>
      <c r="AT427" s="27"/>
      <c r="AU427" s="27"/>
      <c r="AV427" s="27"/>
      <c r="AW427" s="27"/>
      <c r="AX427" s="27"/>
    </row>
    <row r="428" spans="1:50" s="227" customFormat="1" x14ac:dyDescent="0.3">
      <c r="A428" s="510" t="s">
        <v>555</v>
      </c>
      <c r="B428" s="27"/>
      <c r="C428" s="507"/>
      <c r="D428" s="50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508"/>
      <c r="AM428" s="27"/>
      <c r="AN428" s="27"/>
      <c r="AO428" s="27"/>
      <c r="AP428" s="27"/>
      <c r="AQ428" s="27"/>
      <c r="AR428" s="27"/>
      <c r="AS428" s="27"/>
      <c r="AT428" s="27"/>
      <c r="AU428" s="27"/>
      <c r="AV428" s="27"/>
      <c r="AW428" s="27"/>
      <c r="AX428" s="27"/>
    </row>
    <row r="429" spans="1:50" s="227" customFormat="1" x14ac:dyDescent="0.3">
      <c r="A429" s="511" t="s">
        <v>556</v>
      </c>
      <c r="B429" s="27"/>
      <c r="C429" s="507"/>
      <c r="D429" s="50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508"/>
      <c r="AM429" s="27"/>
      <c r="AN429" s="27"/>
      <c r="AO429" s="27"/>
      <c r="AP429" s="27"/>
      <c r="AQ429" s="27"/>
      <c r="AR429" s="27"/>
      <c r="AS429" s="27"/>
      <c r="AT429" s="27"/>
      <c r="AU429" s="27"/>
      <c r="AV429" s="27"/>
      <c r="AW429" s="27"/>
      <c r="AX429" s="27"/>
    </row>
    <row r="430" spans="1:50" s="227" customFormat="1" x14ac:dyDescent="0.3">
      <c r="A430" s="501"/>
      <c r="B430" s="27"/>
      <c r="C430" s="507"/>
      <c r="D430" s="50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508"/>
      <c r="AM430" s="27"/>
      <c r="AN430" s="27"/>
      <c r="AO430" s="27"/>
      <c r="AP430" s="27"/>
      <c r="AQ430" s="27"/>
      <c r="AR430" s="27"/>
      <c r="AS430" s="27"/>
      <c r="AT430" s="27"/>
      <c r="AU430" s="27"/>
      <c r="AV430" s="27"/>
      <c r="AW430" s="27"/>
      <c r="AX430" s="27"/>
    </row>
    <row r="431" spans="1:50" s="32" customFormat="1" x14ac:dyDescent="0.3">
      <c r="A431" s="512" t="s">
        <v>260</v>
      </c>
      <c r="B431" s="324"/>
      <c r="C431" s="237"/>
      <c r="D431" s="237"/>
      <c r="E431" s="237"/>
      <c r="F431" s="237"/>
      <c r="G431" s="237"/>
      <c r="H431" s="237"/>
      <c r="I431" s="237"/>
      <c r="J431" s="237"/>
      <c r="K431" s="237"/>
      <c r="L431" s="237"/>
      <c r="M431" s="237"/>
      <c r="N431" s="237"/>
      <c r="O431" s="237"/>
      <c r="P431" s="237"/>
      <c r="Q431" s="237"/>
      <c r="R431" s="237"/>
      <c r="S431" s="237"/>
      <c r="T431" s="237"/>
      <c r="U431" s="237"/>
      <c r="V431" s="237"/>
      <c r="W431" s="237"/>
      <c r="X431" s="237"/>
      <c r="Y431" s="237"/>
      <c r="Z431" s="237"/>
      <c r="AA431" s="237"/>
      <c r="AB431" s="237"/>
      <c r="AC431" s="237"/>
      <c r="AD431" s="237"/>
      <c r="AE431" s="237"/>
      <c r="AF431" s="237"/>
      <c r="AG431" s="237"/>
      <c r="AH431" s="237"/>
      <c r="AI431" s="237"/>
      <c r="AJ431" s="237"/>
      <c r="AK431" s="237"/>
      <c r="AL431" s="513"/>
      <c r="AM431" s="237"/>
      <c r="AN431" s="237"/>
      <c r="AO431" s="237"/>
      <c r="AP431" s="237"/>
      <c r="AQ431" s="237"/>
      <c r="AR431" s="237"/>
      <c r="AS431" s="237"/>
      <c r="AT431" s="237"/>
      <c r="AU431" s="237"/>
      <c r="AV431" s="237"/>
      <c r="AW431" s="237"/>
      <c r="AX431" s="237"/>
    </row>
    <row r="432" spans="1:50" s="227" customFormat="1" x14ac:dyDescent="0.3">
      <c r="A432" s="514" t="s">
        <v>261</v>
      </c>
      <c r="B432" s="515">
        <v>1</v>
      </c>
      <c r="C432" s="27"/>
      <c r="D432" s="50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508"/>
      <c r="AM432" s="27"/>
      <c r="AN432" s="27"/>
      <c r="AO432" s="27"/>
      <c r="AP432" s="27"/>
      <c r="AQ432" s="27"/>
      <c r="AR432" s="27"/>
      <c r="AS432" s="27"/>
      <c r="AT432" s="27"/>
      <c r="AU432" s="27"/>
      <c r="AV432" s="27"/>
      <c r="AW432" s="27"/>
      <c r="AX432" s="27"/>
    </row>
    <row r="433" spans="1:50" s="227" customFormat="1" x14ac:dyDescent="0.3">
      <c r="A433" s="514" t="s">
        <v>262</v>
      </c>
      <c r="B433" s="515">
        <v>2</v>
      </c>
      <c r="C433" s="27"/>
      <c r="D433" s="50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508"/>
      <c r="AM433" s="27"/>
      <c r="AN433" s="27"/>
      <c r="AO433" s="27"/>
      <c r="AP433" s="27"/>
      <c r="AQ433" s="27"/>
      <c r="AR433" s="27"/>
      <c r="AS433" s="27"/>
      <c r="AT433" s="27"/>
      <c r="AU433" s="27"/>
      <c r="AV433" s="27"/>
      <c r="AW433" s="27"/>
      <c r="AX433" s="27"/>
    </row>
    <row r="434" spans="1:50" s="227" customFormat="1" x14ac:dyDescent="0.3">
      <c r="A434" s="516" t="s">
        <v>134</v>
      </c>
      <c r="B434" s="517">
        <v>3</v>
      </c>
      <c r="C434" s="27"/>
      <c r="D434" s="50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508"/>
      <c r="AM434" s="27"/>
      <c r="AN434" s="27"/>
      <c r="AO434" s="27"/>
      <c r="AP434" s="27"/>
      <c r="AQ434" s="27"/>
      <c r="AR434" s="27"/>
      <c r="AS434" s="27"/>
      <c r="AT434" s="27"/>
      <c r="AU434" s="27"/>
      <c r="AV434" s="27"/>
      <c r="AW434" s="27"/>
      <c r="AX434" s="27"/>
    </row>
    <row r="435" spans="1:50" s="227" customFormat="1" x14ac:dyDescent="0.3">
      <c r="A435" s="501"/>
      <c r="B435" s="27"/>
      <c r="C435" s="507"/>
      <c r="D435" s="50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508"/>
      <c r="AM435" s="27"/>
      <c r="AN435" s="27"/>
      <c r="AO435" s="27"/>
      <c r="AP435" s="27"/>
      <c r="AQ435" s="27"/>
      <c r="AR435" s="27"/>
      <c r="AS435" s="27"/>
      <c r="AT435" s="27"/>
      <c r="AU435" s="27"/>
      <c r="AV435" s="27"/>
      <c r="AW435" s="27"/>
      <c r="AX435" s="27"/>
    </row>
    <row r="436" spans="1:50" s="9" customFormat="1" x14ac:dyDescent="0.3">
      <c r="A436" s="164" t="s">
        <v>263</v>
      </c>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c r="AB436" s="157"/>
      <c r="AC436" s="157"/>
      <c r="AD436" s="157"/>
      <c r="AE436" s="157"/>
      <c r="AF436" s="157"/>
      <c r="AG436" s="157"/>
      <c r="AH436" s="157"/>
      <c r="AI436" s="157"/>
      <c r="AJ436" s="157"/>
      <c r="AK436" s="157"/>
      <c r="AL436" s="157"/>
      <c r="AM436" s="157" t="str">
        <f>AM5</f>
        <v>Q3-2019</v>
      </c>
      <c r="AN436" s="157" t="str">
        <f>AN5</f>
        <v>Q4-2019</v>
      </c>
      <c r="AO436" s="157" t="str">
        <f>AO5</f>
        <v>FY2019</v>
      </c>
      <c r="AP436" s="157" t="str">
        <f>AP5</f>
        <v>Q1-2020</v>
      </c>
      <c r="AQ436" s="157" t="str">
        <f>AQ5</f>
        <v>Q2-2020</v>
      </c>
      <c r="AR436" s="157" t="str">
        <f>AR5</f>
        <v>Q3-2020</v>
      </c>
      <c r="AS436" s="157" t="str">
        <f>AS5</f>
        <v>Q4-2020</v>
      </c>
      <c r="AT436" s="157" t="str">
        <f>AT5</f>
        <v>FY2020</v>
      </c>
      <c r="AU436" s="157" t="str">
        <f>AU5</f>
        <v>FY2021</v>
      </c>
      <c r="AV436" s="157" t="str">
        <f>AV5</f>
        <v>FY2022</v>
      </c>
      <c r="AW436" s="159" t="str">
        <f>AW5</f>
        <v>FY2023</v>
      </c>
      <c r="AX436" s="22"/>
    </row>
    <row r="437" spans="1:50" s="9" customFormat="1" x14ac:dyDescent="0.3">
      <c r="A437" s="165" t="s">
        <v>264</v>
      </c>
      <c r="B437" s="378"/>
      <c r="C437" s="378"/>
      <c r="D437" s="378"/>
      <c r="E437" s="378"/>
      <c r="F437" s="378"/>
      <c r="G437" s="378"/>
      <c r="H437" s="378"/>
      <c r="I437" s="378"/>
      <c r="J437" s="378"/>
      <c r="K437" s="378"/>
      <c r="L437" s="378"/>
      <c r="M437" s="378"/>
      <c r="N437" s="378"/>
      <c r="O437" s="378"/>
      <c r="P437" s="378"/>
      <c r="Q437" s="378"/>
      <c r="R437" s="378"/>
      <c r="S437" s="378"/>
      <c r="T437" s="378"/>
      <c r="U437" s="378"/>
      <c r="V437" s="378"/>
      <c r="W437" s="378"/>
      <c r="X437" s="378"/>
      <c r="Y437" s="378"/>
      <c r="Z437" s="378"/>
      <c r="AA437" s="378"/>
      <c r="AB437" s="378"/>
      <c r="AC437" s="378"/>
      <c r="AD437" s="378"/>
      <c r="AE437" s="378"/>
      <c r="AF437" s="378"/>
      <c r="AG437" s="378"/>
      <c r="AH437" s="378"/>
      <c r="AI437" s="378"/>
      <c r="AJ437" s="378"/>
      <c r="AK437" s="378"/>
      <c r="AL437" s="378"/>
      <c r="AM437" s="378" t="str">
        <f>IF(MO.DataSourceIndex=3,IF(LEFT(AM436,2)="FY","ANNUAL",IF(LEFT(AM436,1)="Q","QUARTERLY","")),IF(LEFT(AM436,2)="FY","FY",IF(LEFT(AM436,1)="Q","FQ","")))</f>
        <v>FQ</v>
      </c>
      <c r="AN437" s="378" t="str">
        <f>IF(MO.DataSourceIndex=3,IF(LEFT(AN436,2)="FY","ANNUAL",IF(LEFT(AN436,1)="Q","QUARTERLY","")),IF(LEFT(AN436,2)="FY","FY",IF(LEFT(AN436,1)="Q","FQ","")))</f>
        <v>FQ</v>
      </c>
      <c r="AO437" s="378" t="str">
        <f>IF(MO.DataSourceIndex=3,IF(LEFT(AO436,2)="FY","ANNUAL",IF(LEFT(AO436,1)="Q","QUARTERLY","")),IF(LEFT(AO436,2)="FY","FY",IF(LEFT(AO436,1)="Q","FQ","")))</f>
        <v>FY</v>
      </c>
      <c r="AP437" s="378" t="str">
        <f>IF(MO.DataSourceIndex=3,IF(LEFT(AP436,2)="FY","ANNUAL",IF(LEFT(AP436,1)="Q","QUARTERLY","")),IF(LEFT(AP436,2)="FY","FY",IF(LEFT(AP436,1)="Q","FQ","")))</f>
        <v>FQ</v>
      </c>
      <c r="AQ437" s="378" t="str">
        <f>IF(MO.DataSourceIndex=3,IF(LEFT(AQ436,2)="FY","ANNUAL",IF(LEFT(AQ436,1)="Q","QUARTERLY","")),IF(LEFT(AQ436,2)="FY","FY",IF(LEFT(AQ436,1)="Q","FQ","")))</f>
        <v>FQ</v>
      </c>
      <c r="AR437" s="378" t="str">
        <f>IF(MO.DataSourceIndex=3,IF(LEFT(AR436,2)="FY","ANNUAL",IF(LEFT(AR436,1)="Q","QUARTERLY","")),IF(LEFT(AR436,2)="FY","FY",IF(LEFT(AR436,1)="Q","FQ","")))</f>
        <v>FQ</v>
      </c>
      <c r="AS437" s="378" t="str">
        <f>IF(MO.DataSourceIndex=3,IF(LEFT(AS436,2)="FY","ANNUAL",IF(LEFT(AS436,1)="Q","QUARTERLY","")),IF(LEFT(AS436,2)="FY","FY",IF(LEFT(AS436,1)="Q","FQ","")))</f>
        <v>FQ</v>
      </c>
      <c r="AT437" s="378" t="str">
        <f>IF(MO.DataSourceIndex=3,IF(LEFT(AT436,2)="FY","ANNUAL",IF(LEFT(AT436,1)="Q","QUARTERLY","")),IF(LEFT(AT436,2)="FY","FY",IF(LEFT(AT436,1)="Q","FQ","")))</f>
        <v>FY</v>
      </c>
      <c r="AU437" s="378" t="str">
        <f>IF(MO.DataSourceIndex=3,IF(LEFT(AU436,2)="FY","ANNUAL",IF(LEFT(AU436,1)="Q","QUARTERLY","")),IF(LEFT(AU436,2)="FY","FY",IF(LEFT(AU436,1)="Q","FQ","")))</f>
        <v>FY</v>
      </c>
      <c r="AV437" s="378" t="str">
        <f>IF(MO.DataSourceIndex=3,IF(LEFT(AV436,2)="FY","ANNUAL",IF(LEFT(AV436,1)="Q","QUARTERLY","")),IF(LEFT(AV436,2)="FY","FY",IF(LEFT(AV436,1)="Q","FQ","")))</f>
        <v>FY</v>
      </c>
      <c r="AW437" s="160" t="str">
        <f>IF(MO.DataSourceIndex=3,IF(LEFT(AW436,2)="FY","ANNUAL",IF(LEFT(AW436,1)="Q","QUARTERLY","")),IF(LEFT(AW436,2)="FY","FY",IF(LEFT(AW436,1)="Q","FQ","")))</f>
        <v>FY</v>
      </c>
      <c r="AX437" s="22"/>
    </row>
    <row r="438" spans="1:50" s="9" customFormat="1" x14ac:dyDescent="0.3">
      <c r="A438" s="165" t="s">
        <v>265</v>
      </c>
      <c r="B438" s="378"/>
      <c r="C438" s="378"/>
      <c r="D438" s="378"/>
      <c r="E438" s="378"/>
      <c r="F438" s="378"/>
      <c r="G438" s="378"/>
      <c r="H438" s="378"/>
      <c r="I438" s="378"/>
      <c r="J438" s="378"/>
      <c r="K438" s="378"/>
      <c r="L438" s="378"/>
      <c r="M438" s="378"/>
      <c r="N438" s="378"/>
      <c r="O438" s="378"/>
      <c r="P438" s="378"/>
      <c r="Q438" s="378"/>
      <c r="R438" s="378"/>
      <c r="S438" s="378"/>
      <c r="T438" s="378"/>
      <c r="U438" s="378"/>
      <c r="V438" s="378"/>
      <c r="W438" s="378"/>
      <c r="X438" s="378"/>
      <c r="Y438" s="378"/>
      <c r="Z438" s="378"/>
      <c r="AA438" s="378"/>
      <c r="AB438" s="378"/>
      <c r="AC438" s="378"/>
      <c r="AD438" s="378"/>
      <c r="AE438" s="378"/>
      <c r="AF438" s="378"/>
      <c r="AG438" s="378"/>
      <c r="AH438" s="378"/>
      <c r="AI438" s="378"/>
      <c r="AJ438" s="378"/>
      <c r="AK438" s="378"/>
      <c r="AL438" s="378"/>
      <c r="AM438" s="378">
        <f ca="1">IF(MO.DataSourceIndex=3,IF(AM437="ANNUAL",COUNTIF(OFFSET($A$437,,,,COLUMN()),"ANNUAL"),IF(AM437="QUARTERLY",COUNTIF(OFFSET($A$437,,,,COLUMN()),"QUARTERLY"),"")),IF(AM437="FY",COUNTIF(OFFSET($A$437,,,,COLUMN()),"FY"),IF(AM437="FQ",COUNTIF(OFFSET($A$437,,,,COLUMN()),"FQ"),"")))</f>
        <v>1</v>
      </c>
      <c r="AN438" s="378">
        <f ca="1">IF(MO.DataSourceIndex=3,IF(AN437="ANNUAL",COUNTIF(OFFSET($A$437,,,,COLUMN()),"ANNUAL"),IF(AN437="QUARTERLY",COUNTIF(OFFSET($A$437,,,,COLUMN()),"QUARTERLY"),"")),IF(AN437="FY",COUNTIF(OFFSET($A$437,,,,COLUMN()),"FY"),IF(AN437="FQ",COUNTIF(OFFSET($A$437,,,,COLUMN()),"FQ"),"")))</f>
        <v>2</v>
      </c>
      <c r="AO438" s="378">
        <f ca="1">IF(MO.DataSourceIndex=3,IF(AO437="ANNUAL",COUNTIF(OFFSET($A$437,,,,COLUMN()),"ANNUAL"),IF(AO437="QUARTERLY",COUNTIF(OFFSET($A$437,,,,COLUMN()),"QUARTERLY"),"")),IF(AO437="FY",COUNTIF(OFFSET($A$437,,,,COLUMN()),"FY"),IF(AO437="FQ",COUNTIF(OFFSET($A$437,,,,COLUMN()),"FQ"),"")))</f>
        <v>1</v>
      </c>
      <c r="AP438" s="378">
        <f ca="1">IF(MO.DataSourceIndex=3,IF(AP437="ANNUAL",COUNTIF(OFFSET($A$437,,,,COLUMN()),"ANNUAL"),IF(AP437="QUARTERLY",COUNTIF(OFFSET($A$437,,,,COLUMN()),"QUARTERLY"),"")),IF(AP437="FY",COUNTIF(OFFSET($A$437,,,,COLUMN()),"FY"),IF(AP437="FQ",COUNTIF(OFFSET($A$437,,,,COLUMN()),"FQ"),"")))</f>
        <v>3</v>
      </c>
      <c r="AQ438" s="378">
        <f ca="1">IF(MO.DataSourceIndex=3,IF(AQ437="ANNUAL",COUNTIF(OFFSET($A$437,,,,COLUMN()),"ANNUAL"),IF(AQ437="QUARTERLY",COUNTIF(OFFSET($A$437,,,,COLUMN()),"QUARTERLY"),"")),IF(AQ437="FY",COUNTIF(OFFSET($A$437,,,,COLUMN()),"FY"),IF(AQ437="FQ",COUNTIF(OFFSET($A$437,,,,COLUMN()),"FQ"),"")))</f>
        <v>4</v>
      </c>
      <c r="AR438" s="378">
        <f ca="1">IF(MO.DataSourceIndex=3,IF(AR437="ANNUAL",COUNTIF(OFFSET($A$437,,,,COLUMN()),"ANNUAL"),IF(AR437="QUARTERLY",COUNTIF(OFFSET($A$437,,,,COLUMN()),"QUARTERLY"),"")),IF(AR437="FY",COUNTIF(OFFSET($A$437,,,,COLUMN()),"FY"),IF(AR437="FQ",COUNTIF(OFFSET($A$437,,,,COLUMN()),"FQ"),"")))</f>
        <v>5</v>
      </c>
      <c r="AS438" s="378">
        <f ca="1">IF(MO.DataSourceIndex=3,IF(AS437="ANNUAL",COUNTIF(OFFSET($A$437,,,,COLUMN()),"ANNUAL"),IF(AS437="QUARTERLY",COUNTIF(OFFSET($A$437,,,,COLUMN()),"QUARTERLY"),"")),IF(AS437="FY",COUNTIF(OFFSET($A$437,,,,COLUMN()),"FY"),IF(AS437="FQ",COUNTIF(OFFSET($A$437,,,,COLUMN()),"FQ"),"")))</f>
        <v>6</v>
      </c>
      <c r="AT438" s="378">
        <f ca="1">IF(MO.DataSourceIndex=3,IF(AT437="ANNUAL",COUNTIF(OFFSET($A$437,,,,COLUMN()),"ANNUAL"),IF(AT437="QUARTERLY",COUNTIF(OFFSET($A$437,,,,COLUMN()),"QUARTERLY"),"")),IF(AT437="FY",COUNTIF(OFFSET($A$437,,,,COLUMN()),"FY"),IF(AT437="FQ",COUNTIF(OFFSET($A$437,,,,COLUMN()),"FQ"),"")))</f>
        <v>2</v>
      </c>
      <c r="AU438" s="378">
        <f ca="1">IF(MO.DataSourceIndex=3,IF(AU437="ANNUAL",COUNTIF(OFFSET($A$437,,,,COLUMN()),"ANNUAL"),IF(AU437="QUARTERLY",COUNTIF(OFFSET($A$437,,,,COLUMN()),"QUARTERLY"),"")),IF(AU437="FY",COUNTIF(OFFSET($A$437,,,,COLUMN()),"FY"),IF(AU437="FQ",COUNTIF(OFFSET($A$437,,,,COLUMN()),"FQ"),"")))</f>
        <v>3</v>
      </c>
      <c r="AV438" s="378">
        <f ca="1">IF(MO.DataSourceIndex=3,IF(AV437="ANNUAL",COUNTIF(OFFSET($A$437,,,,COLUMN()),"ANNUAL"),IF(AV437="QUARTERLY",COUNTIF(OFFSET($A$437,,,,COLUMN()),"QUARTERLY"),"")),IF(AV437="FY",COUNTIF(OFFSET($A$437,,,,COLUMN()),"FY"),IF(AV437="FQ",COUNTIF(OFFSET($A$437,,,,COLUMN()),"FQ"),"")))</f>
        <v>4</v>
      </c>
      <c r="AW438" s="160">
        <f ca="1">IF(MO.DataSourceIndex=3,IF(AW437="ANNUAL",COUNTIF(OFFSET($A$437,,,,COLUMN()),"ANNUAL"),IF(AW437="QUARTERLY",COUNTIF(OFFSET($A$437,,,,COLUMN()),"QUARTERLY"),"")),IF(AW437="FY",COUNTIF(OFFSET($A$437,,,,COLUMN()),"FY"),IF(AW437="FQ",COUNTIF(OFFSET($A$437,,,,COLUMN()),"FQ"),"")))</f>
        <v>5</v>
      </c>
      <c r="AX438" s="22"/>
    </row>
    <row r="439" spans="1:50" s="5" customFormat="1" x14ac:dyDescent="0.3">
      <c r="A439" s="514" t="str">
        <f>$A$43</f>
        <v>Consensus Estimates - Gross Margin, %</v>
      </c>
      <c r="B439" s="93"/>
      <c r="C439" s="518"/>
      <c r="D439" s="518"/>
      <c r="E439" s="518"/>
      <c r="F439" s="518"/>
      <c r="G439" s="518"/>
      <c r="H439" s="315"/>
      <c r="I439" s="315"/>
      <c r="J439" s="315"/>
      <c r="K439" s="315"/>
      <c r="L439" s="315"/>
      <c r="M439" s="315"/>
      <c r="N439" s="315"/>
      <c r="O439" s="315"/>
      <c r="P439" s="93"/>
      <c r="Q439" s="93"/>
      <c r="R439" s="93"/>
      <c r="S439" s="93"/>
      <c r="T439" s="93"/>
      <c r="U439" s="93"/>
      <c r="V439" s="93"/>
      <c r="W439" s="93"/>
      <c r="X439" s="93"/>
      <c r="Y439" s="93"/>
      <c r="Z439" s="93"/>
      <c r="AA439" s="93"/>
      <c r="AB439" s="93"/>
      <c r="AC439" s="93"/>
      <c r="AD439" s="93"/>
      <c r="AE439" s="93"/>
      <c r="AF439" s="93"/>
      <c r="AG439" s="93"/>
      <c r="AH439" s="93"/>
      <c r="AI439" s="93"/>
      <c r="AJ439" s="93"/>
      <c r="AK439" s="93"/>
      <c r="AL439" s="93"/>
      <c r="AM439" s="315" t="s">
        <v>1295</v>
      </c>
      <c r="AN439" s="315" t="s">
        <v>1295</v>
      </c>
      <c r="AO439" s="315" t="s">
        <v>1295</v>
      </c>
      <c r="AP439" s="315" t="s">
        <v>1295</v>
      </c>
      <c r="AQ439" s="315" t="s">
        <v>1295</v>
      </c>
      <c r="AR439" s="315" t="s">
        <v>1295</v>
      </c>
      <c r="AS439" s="315" t="s">
        <v>1295</v>
      </c>
      <c r="AT439" s="315" t="s">
        <v>1295</v>
      </c>
      <c r="AU439" s="315" t="s">
        <v>1295</v>
      </c>
      <c r="AV439" s="315" t="s">
        <v>1295</v>
      </c>
      <c r="AW439" s="161" t="s">
        <v>1295</v>
      </c>
      <c r="AX439" s="228"/>
    </row>
    <row r="440" spans="1:50" s="5" customFormat="1" x14ac:dyDescent="0.3">
      <c r="A440" s="514" t="str">
        <f>$A$134</f>
        <v>Consensus Estimates - Net Revenue</v>
      </c>
      <c r="B440" s="93"/>
      <c r="C440" s="519"/>
      <c r="D440" s="519"/>
      <c r="E440" s="519"/>
      <c r="F440" s="519"/>
      <c r="G440" s="519"/>
      <c r="H440" s="93"/>
      <c r="I440" s="93"/>
      <c r="J440" s="93"/>
      <c r="K440" s="93"/>
      <c r="L440" s="93"/>
      <c r="M440" s="93"/>
      <c r="N440" s="93"/>
      <c r="O440" s="93"/>
      <c r="P440" s="93"/>
      <c r="Q440" s="93"/>
      <c r="R440" s="93"/>
      <c r="S440" s="93"/>
      <c r="T440" s="93"/>
      <c r="U440" s="93"/>
      <c r="V440" s="93"/>
      <c r="W440" s="93"/>
      <c r="X440" s="93"/>
      <c r="Y440" s="93"/>
      <c r="Z440" s="93"/>
      <c r="AA440" s="93"/>
      <c r="AB440" s="93"/>
      <c r="AC440" s="93"/>
      <c r="AD440" s="93"/>
      <c r="AE440" s="93"/>
      <c r="AF440" s="93"/>
      <c r="AG440" s="93"/>
      <c r="AH440" s="93"/>
      <c r="AI440" s="93"/>
      <c r="AJ440" s="93"/>
      <c r="AK440" s="93"/>
      <c r="AL440" s="93"/>
      <c r="AM440" s="93" t="s">
        <v>1295</v>
      </c>
      <c r="AN440" s="93" t="s">
        <v>1295</v>
      </c>
      <c r="AO440" s="93" t="s">
        <v>1295</v>
      </c>
      <c r="AP440" s="93" t="s">
        <v>1295</v>
      </c>
      <c r="AQ440" s="93" t="s">
        <v>1295</v>
      </c>
      <c r="AR440" s="93" t="s">
        <v>1295</v>
      </c>
      <c r="AS440" s="93" t="s">
        <v>1295</v>
      </c>
      <c r="AT440" s="93" t="s">
        <v>1295</v>
      </c>
      <c r="AU440" s="93" t="s">
        <v>1295</v>
      </c>
      <c r="AV440" s="93" t="s">
        <v>1295</v>
      </c>
      <c r="AW440" s="162" t="s">
        <v>1295</v>
      </c>
      <c r="AX440" s="228"/>
    </row>
    <row r="441" spans="1:50" s="5" customFormat="1" x14ac:dyDescent="0.3">
      <c r="A441" s="514" t="str">
        <f>A161</f>
        <v>Consensus Estimates - Company Reported Non-GAAP Operating Income</v>
      </c>
      <c r="B441" s="93"/>
      <c r="C441" s="519"/>
      <c r="D441" s="519"/>
      <c r="E441" s="519"/>
      <c r="F441" s="519"/>
      <c r="G441" s="519"/>
      <c r="H441" s="93"/>
      <c r="I441" s="93"/>
      <c r="J441" s="93"/>
      <c r="K441" s="93"/>
      <c r="L441" s="93"/>
      <c r="M441" s="93"/>
      <c r="N441" s="93"/>
      <c r="O441" s="93"/>
      <c r="P441" s="93"/>
      <c r="Q441" s="93"/>
      <c r="R441" s="93"/>
      <c r="S441" s="93"/>
      <c r="T441" s="93"/>
      <c r="U441" s="93"/>
      <c r="V441" s="93"/>
      <c r="W441" s="93"/>
      <c r="X441" s="93"/>
      <c r="Y441" s="93"/>
      <c r="Z441" s="93"/>
      <c r="AA441" s="93"/>
      <c r="AB441" s="93"/>
      <c r="AC441" s="93"/>
      <c r="AD441" s="93"/>
      <c r="AE441" s="93"/>
      <c r="AF441" s="93"/>
      <c r="AG441" s="93"/>
      <c r="AH441" s="93"/>
      <c r="AI441" s="93"/>
      <c r="AJ441" s="93"/>
      <c r="AK441" s="93"/>
      <c r="AL441" s="93"/>
      <c r="AM441" s="93" t="s">
        <v>1295</v>
      </c>
      <c r="AN441" s="93" t="s">
        <v>1295</v>
      </c>
      <c r="AO441" s="93" t="s">
        <v>1295</v>
      </c>
      <c r="AP441" s="93" t="s">
        <v>1295</v>
      </c>
      <c r="AQ441" s="93" t="s">
        <v>1295</v>
      </c>
      <c r="AR441" s="93" t="s">
        <v>1295</v>
      </c>
      <c r="AS441" s="93" t="s">
        <v>1295</v>
      </c>
      <c r="AT441" s="93" t="s">
        <v>1295</v>
      </c>
      <c r="AU441" s="93" t="s">
        <v>1295</v>
      </c>
      <c r="AV441" s="93" t="s">
        <v>1295</v>
      </c>
      <c r="AW441" s="162" t="s">
        <v>1295</v>
      </c>
      <c r="AX441" s="228"/>
    </row>
    <row r="442" spans="1:50" s="5" customFormat="1" x14ac:dyDescent="0.3">
      <c r="A442" s="514" t="str">
        <f>$A$165</f>
        <v>Consensus Estimates - Non-GAAP EBITDA</v>
      </c>
      <c r="B442" s="93"/>
      <c r="C442" s="519"/>
      <c r="D442" s="519"/>
      <c r="E442" s="519"/>
      <c r="F442" s="519"/>
      <c r="G442" s="519"/>
      <c r="H442" s="93"/>
      <c r="I442" s="93"/>
      <c r="J442" s="93"/>
      <c r="K442" s="93"/>
      <c r="L442" s="93"/>
      <c r="M442" s="93"/>
      <c r="N442" s="93"/>
      <c r="O442" s="93"/>
      <c r="P442" s="93"/>
      <c r="Q442" s="93"/>
      <c r="R442" s="93"/>
      <c r="S442" s="93"/>
      <c r="T442" s="93"/>
      <c r="U442" s="93"/>
      <c r="V442" s="93"/>
      <c r="W442" s="93"/>
      <c r="X442" s="93"/>
      <c r="Y442" s="93"/>
      <c r="Z442" s="93"/>
      <c r="AA442" s="93"/>
      <c r="AB442" s="93"/>
      <c r="AC442" s="93"/>
      <c r="AD442" s="93"/>
      <c r="AE442" s="93"/>
      <c r="AF442" s="93"/>
      <c r="AG442" s="93"/>
      <c r="AH442" s="93"/>
      <c r="AI442" s="93"/>
      <c r="AJ442" s="93"/>
      <c r="AK442" s="93"/>
      <c r="AL442" s="93"/>
      <c r="AM442" s="93" t="s">
        <v>1295</v>
      </c>
      <c r="AN442" s="93" t="s">
        <v>1295</v>
      </c>
      <c r="AO442" s="93" t="s">
        <v>1295</v>
      </c>
      <c r="AP442" s="93" t="s">
        <v>1295</v>
      </c>
      <c r="AQ442" s="93" t="s">
        <v>1295</v>
      </c>
      <c r="AR442" s="93" t="s">
        <v>1295</v>
      </c>
      <c r="AS442" s="93" t="s">
        <v>1295</v>
      </c>
      <c r="AT442" s="93" t="s">
        <v>1295</v>
      </c>
      <c r="AU442" s="93" t="s">
        <v>1295</v>
      </c>
      <c r="AV442" s="93" t="s">
        <v>1295</v>
      </c>
      <c r="AW442" s="162" t="s">
        <v>1295</v>
      </c>
      <c r="AX442" s="228"/>
    </row>
    <row r="443" spans="1:50" s="5" customFormat="1" x14ac:dyDescent="0.3">
      <c r="A443" s="514" t="str">
        <f>$A$186</f>
        <v>Consensus Estimates - Non-GAAP Adjusted Earnings Per Share - WAD</v>
      </c>
      <c r="B443" s="93"/>
      <c r="C443" s="316"/>
      <c r="D443" s="316"/>
      <c r="E443" s="316"/>
      <c r="F443" s="316"/>
      <c r="G443" s="316"/>
      <c r="H443" s="93"/>
      <c r="I443" s="93"/>
      <c r="J443" s="93"/>
      <c r="K443" s="93"/>
      <c r="L443" s="93"/>
      <c r="M443" s="93"/>
      <c r="N443" s="93"/>
      <c r="O443" s="93"/>
      <c r="P443" s="93"/>
      <c r="Q443" s="93"/>
      <c r="R443" s="93"/>
      <c r="S443" s="93"/>
      <c r="T443" s="93"/>
      <c r="U443" s="93"/>
      <c r="V443" s="93"/>
      <c r="W443" s="93"/>
      <c r="X443" s="93"/>
      <c r="Y443" s="93"/>
      <c r="Z443" s="93"/>
      <c r="AA443" s="93"/>
      <c r="AB443" s="93"/>
      <c r="AC443" s="93"/>
      <c r="AD443" s="93"/>
      <c r="AE443" s="93"/>
      <c r="AF443" s="93"/>
      <c r="AG443" s="93"/>
      <c r="AH443" s="93"/>
      <c r="AI443" s="93"/>
      <c r="AJ443" s="93"/>
      <c r="AK443" s="93"/>
      <c r="AL443" s="93"/>
      <c r="AM443" s="93" t="s">
        <v>1295</v>
      </c>
      <c r="AN443" s="93" t="s">
        <v>1295</v>
      </c>
      <c r="AO443" s="93" t="s">
        <v>1295</v>
      </c>
      <c r="AP443" s="93" t="s">
        <v>1295</v>
      </c>
      <c r="AQ443" s="93" t="s">
        <v>1295</v>
      </c>
      <c r="AR443" s="93" t="s">
        <v>1295</v>
      </c>
      <c r="AS443" s="93" t="s">
        <v>1295</v>
      </c>
      <c r="AT443" s="93" t="s">
        <v>1295</v>
      </c>
      <c r="AU443" s="93" t="s">
        <v>1295</v>
      </c>
      <c r="AV443" s="93" t="s">
        <v>1295</v>
      </c>
      <c r="AW443" s="162" t="s">
        <v>1295</v>
      </c>
      <c r="AX443" s="228"/>
    </row>
    <row r="444" spans="1:50" s="5" customFormat="1" x14ac:dyDescent="0.3">
      <c r="A444" s="514" t="str">
        <f>$A$195</f>
        <v>Consensus Estimates - Cash Flow Per Diluted Share</v>
      </c>
      <c r="B444" s="93"/>
      <c r="C444" s="316"/>
      <c r="D444" s="316"/>
      <c r="E444" s="316"/>
      <c r="F444" s="316"/>
      <c r="G444" s="316"/>
      <c r="H444" s="93"/>
      <c r="I444" s="93"/>
      <c r="J444" s="93"/>
      <c r="K444" s="93"/>
      <c r="L444" s="93"/>
      <c r="M444" s="93"/>
      <c r="N444" s="93"/>
      <c r="O444" s="93"/>
      <c r="P444" s="93"/>
      <c r="Q444" s="93"/>
      <c r="R444" s="93"/>
      <c r="S444" s="93"/>
      <c r="T444" s="93"/>
      <c r="U444" s="93"/>
      <c r="V444" s="93"/>
      <c r="W444" s="93"/>
      <c r="X444" s="93"/>
      <c r="Y444" s="93"/>
      <c r="Z444" s="93"/>
      <c r="AA444" s="93"/>
      <c r="AB444" s="93"/>
      <c r="AC444" s="93"/>
      <c r="AD444" s="93"/>
      <c r="AE444" s="93"/>
      <c r="AF444" s="93"/>
      <c r="AG444" s="93"/>
      <c r="AH444" s="93"/>
      <c r="AI444" s="93"/>
      <c r="AJ444" s="93"/>
      <c r="AK444" s="93"/>
      <c r="AL444" s="93"/>
      <c r="AM444" s="93" t="s">
        <v>1295</v>
      </c>
      <c r="AN444" s="93" t="s">
        <v>1295</v>
      </c>
      <c r="AO444" s="93" t="s">
        <v>1295</v>
      </c>
      <c r="AP444" s="93" t="s">
        <v>1295</v>
      </c>
      <c r="AQ444" s="93" t="s">
        <v>1295</v>
      </c>
      <c r="AR444" s="93" t="s">
        <v>1295</v>
      </c>
      <c r="AS444" s="93" t="s">
        <v>1295</v>
      </c>
      <c r="AT444" s="93" t="s">
        <v>1295</v>
      </c>
      <c r="AU444" s="93" t="s">
        <v>1295</v>
      </c>
      <c r="AV444" s="93" t="s">
        <v>1295</v>
      </c>
      <c r="AW444" s="162" t="s">
        <v>1295</v>
      </c>
      <c r="AX444" s="228"/>
    </row>
    <row r="445" spans="1:50" s="5" customFormat="1" x14ac:dyDescent="0.3">
      <c r="A445" s="514" t="str">
        <f>A197</f>
        <v>Consensus Estimates - Capex</v>
      </c>
      <c r="B445" s="93"/>
      <c r="C445" s="519"/>
      <c r="D445" s="519"/>
      <c r="E445" s="519"/>
      <c r="F445" s="519"/>
      <c r="G445" s="519"/>
      <c r="H445" s="93"/>
      <c r="I445" s="93"/>
      <c r="J445" s="93"/>
      <c r="K445" s="93"/>
      <c r="L445" s="93"/>
      <c r="M445" s="93"/>
      <c r="N445" s="93"/>
      <c r="O445" s="93"/>
      <c r="P445" s="93"/>
      <c r="Q445" s="93"/>
      <c r="R445" s="93"/>
      <c r="S445" s="93"/>
      <c r="T445" s="93"/>
      <c r="U445" s="93"/>
      <c r="V445" s="93"/>
      <c r="W445" s="93"/>
      <c r="X445" s="93"/>
      <c r="Y445" s="93"/>
      <c r="Z445" s="93"/>
      <c r="AA445" s="93"/>
      <c r="AB445" s="93"/>
      <c r="AC445" s="93"/>
      <c r="AD445" s="93"/>
      <c r="AE445" s="93"/>
      <c r="AF445" s="93"/>
      <c r="AG445" s="93"/>
      <c r="AH445" s="93"/>
      <c r="AI445" s="93"/>
      <c r="AJ445" s="93"/>
      <c r="AK445" s="93"/>
      <c r="AL445" s="93"/>
      <c r="AM445" s="93" t="s">
        <v>1295</v>
      </c>
      <c r="AN445" s="93" t="s">
        <v>1295</v>
      </c>
      <c r="AO445" s="93" t="s">
        <v>1295</v>
      </c>
      <c r="AP445" s="93" t="s">
        <v>1295</v>
      </c>
      <c r="AQ445" s="93" t="s">
        <v>1295</v>
      </c>
      <c r="AR445" s="93" t="s">
        <v>1295</v>
      </c>
      <c r="AS445" s="93" t="s">
        <v>1295</v>
      </c>
      <c r="AT445" s="93" t="s">
        <v>1295</v>
      </c>
      <c r="AU445" s="93" t="s">
        <v>1295</v>
      </c>
      <c r="AV445" s="93" t="s">
        <v>1295</v>
      </c>
      <c r="AW445" s="162" t="s">
        <v>1295</v>
      </c>
      <c r="AX445" s="228"/>
    </row>
    <row r="446" spans="1:50" s="5" customFormat="1" x14ac:dyDescent="0.3">
      <c r="A446" s="516"/>
      <c r="B446" s="158"/>
      <c r="C446" s="520"/>
      <c r="D446" s="520"/>
      <c r="E446" s="520"/>
      <c r="F446" s="520"/>
      <c r="G446" s="520"/>
      <c r="H446" s="158"/>
      <c r="I446" s="158"/>
      <c r="J446" s="158"/>
      <c r="K446" s="158"/>
      <c r="L446" s="158"/>
      <c r="M446" s="158"/>
      <c r="N446" s="158"/>
      <c r="O446" s="158"/>
      <c r="P446" s="158"/>
      <c r="Q446" s="158"/>
      <c r="R446" s="158"/>
      <c r="S446" s="158"/>
      <c r="T446" s="158"/>
      <c r="U446" s="158"/>
      <c r="V446" s="158"/>
      <c r="W446" s="158"/>
      <c r="X446" s="158"/>
      <c r="Y446" s="158"/>
      <c r="Z446" s="158"/>
      <c r="AA446" s="158"/>
      <c r="AB446" s="158"/>
      <c r="AC446" s="158"/>
      <c r="AD446" s="158"/>
      <c r="AE446" s="158"/>
      <c r="AF446" s="158"/>
      <c r="AG446" s="158"/>
      <c r="AH446" s="158"/>
      <c r="AI446" s="158"/>
      <c r="AJ446" s="158"/>
      <c r="AK446" s="158"/>
      <c r="AL446" s="158"/>
      <c r="AM446" s="158"/>
      <c r="AN446" s="158"/>
      <c r="AO446" s="158"/>
      <c r="AP446" s="158"/>
      <c r="AQ446" s="158"/>
      <c r="AR446" s="158"/>
      <c r="AS446" s="158"/>
      <c r="AT446" s="158"/>
      <c r="AU446" s="158"/>
      <c r="AV446" s="158"/>
      <c r="AW446" s="163"/>
      <c r="AX446" s="228"/>
    </row>
    <row r="447" spans="1:50" s="5" customFormat="1" x14ac:dyDescent="0.3">
      <c r="A447" s="521"/>
      <c r="B447" s="93"/>
      <c r="C447" s="519"/>
      <c r="D447" s="519"/>
      <c r="E447" s="519"/>
      <c r="F447" s="519"/>
      <c r="G447" s="519"/>
      <c r="H447" s="93"/>
      <c r="I447" s="93"/>
      <c r="J447" s="93"/>
      <c r="K447" s="93"/>
      <c r="L447" s="93"/>
      <c r="M447" s="93"/>
      <c r="N447" s="93"/>
      <c r="O447" s="93"/>
      <c r="P447" s="93"/>
      <c r="Q447" s="93"/>
      <c r="R447" s="93"/>
      <c r="S447" s="93"/>
      <c r="T447" s="93"/>
      <c r="U447" s="93"/>
      <c r="V447" s="93"/>
      <c r="W447" s="93"/>
      <c r="X447" s="93"/>
      <c r="Y447" s="93"/>
      <c r="Z447" s="93"/>
      <c r="AA447" s="93"/>
      <c r="AB447" s="93"/>
      <c r="AC447" s="93"/>
      <c r="AD447" s="93"/>
      <c r="AE447" s="93"/>
      <c r="AF447" s="93"/>
      <c r="AG447" s="93"/>
      <c r="AH447" s="93"/>
      <c r="AI447" s="93"/>
      <c r="AJ447" s="93"/>
      <c r="AK447" s="93"/>
      <c r="AL447" s="522"/>
      <c r="AM447" s="93"/>
      <c r="AN447" s="93"/>
      <c r="AO447" s="93"/>
      <c r="AP447" s="93"/>
      <c r="AQ447" s="93"/>
      <c r="AR447" s="93"/>
      <c r="AS447" s="93"/>
      <c r="AT447" s="93"/>
      <c r="AU447" s="93"/>
      <c r="AV447" s="93"/>
      <c r="AW447" s="93"/>
      <c r="AX447" s="228"/>
    </row>
    <row r="448" spans="1:50" s="5" customFormat="1" x14ac:dyDescent="0.3">
      <c r="A448" s="523" t="s">
        <v>266</v>
      </c>
      <c r="B448" s="254"/>
      <c r="C448" s="524"/>
      <c r="D448" s="524"/>
      <c r="E448" s="524"/>
      <c r="F448" s="524"/>
      <c r="G448" s="524"/>
      <c r="H448" s="254"/>
      <c r="I448" s="254"/>
      <c r="J448" s="254"/>
      <c r="K448" s="254"/>
      <c r="L448" s="254"/>
      <c r="M448" s="254"/>
      <c r="N448" s="254"/>
      <c r="O448" s="254"/>
      <c r="P448" s="254"/>
      <c r="Q448" s="254"/>
      <c r="R448" s="254"/>
      <c r="S448" s="254"/>
      <c r="T448" s="254"/>
      <c r="U448" s="254"/>
      <c r="V448" s="254"/>
      <c r="W448" s="254"/>
      <c r="X448" s="254"/>
      <c r="Y448" s="254"/>
      <c r="Z448" s="254"/>
      <c r="AA448" s="254"/>
      <c r="AB448" s="254"/>
      <c r="AC448" s="254"/>
      <c r="AD448" s="254"/>
      <c r="AE448" s="254"/>
      <c r="AF448" s="254"/>
      <c r="AG448" s="254"/>
      <c r="AH448" s="254"/>
      <c r="AI448" s="254"/>
      <c r="AJ448" s="254"/>
      <c r="AK448" s="254"/>
      <c r="AL448" s="525"/>
      <c r="AM448" s="254"/>
      <c r="AN448" s="254"/>
      <c r="AO448" s="254"/>
      <c r="AP448" s="254"/>
      <c r="AQ448" s="254"/>
      <c r="AR448" s="254"/>
      <c r="AS448" s="254"/>
      <c r="AT448" s="254"/>
      <c r="AU448" s="254"/>
      <c r="AV448" s="254"/>
      <c r="AW448" s="256"/>
      <c r="AX448" s="228"/>
    </row>
    <row r="449" spans="1:50" s="5" customFormat="1" x14ac:dyDescent="0.3">
      <c r="A449" s="526" t="s">
        <v>267</v>
      </c>
      <c r="B449" s="93"/>
      <c r="C449" s="527">
        <f>INDEX(MO_Common_QEndDate,0,COLUMN())-INDEX(MO_Common_FPDays,0,COLUMN())+1</f>
        <v>39814</v>
      </c>
      <c r="D449" s="527">
        <f>INDEX(MO_Common_QEndDate,0,COLUMN())-INDEX(MO_Common_FPDays,0,COLUMN())+1</f>
        <v>40179</v>
      </c>
      <c r="E449" s="527">
        <f>INDEX(MO_Common_QEndDate,0,COLUMN())-INDEX(MO_Common_FPDays,0,COLUMN())+1</f>
        <v>40544</v>
      </c>
      <c r="F449" s="527">
        <f>INDEX(MO_Common_QEndDate,0,COLUMN())-INDEX(MO_Common_FPDays,0,COLUMN())+1</f>
        <v>40909</v>
      </c>
      <c r="G449" s="527">
        <f>INDEX(MO_Common_QEndDate,0,COLUMN())-INDEX(MO_Common_FPDays,0,COLUMN())+1</f>
        <v>41275</v>
      </c>
      <c r="H449" s="259">
        <f>INDEX(MO_Common_QEndDate,0,COLUMN())-INDEX(MO_Common_FPDays,0,COLUMN())+1</f>
        <v>41365</v>
      </c>
      <c r="I449" s="259">
        <f>INDEX(MO_Common_QEndDate,0,COLUMN())-INDEX(MO_Common_FPDays,0,COLUMN())+1</f>
        <v>41456</v>
      </c>
      <c r="J449" s="259">
        <f>INDEX(MO_Common_QEndDate,0,COLUMN())-INDEX(MO_Common_FPDays,0,COLUMN())+1</f>
        <v>41548</v>
      </c>
      <c r="K449" s="259">
        <f>INDEX(MO_Common_QEndDate,0,COLUMN())-INDEX(MO_Common_FPDays,0,COLUMN())+1</f>
        <v>41275</v>
      </c>
      <c r="L449" s="259">
        <f>INDEX(MO_Common_QEndDate,0,COLUMN())-INDEX(MO_Common_FPDays,0,COLUMN())+1</f>
        <v>41640</v>
      </c>
      <c r="M449" s="259">
        <f>INDEX(MO_Common_QEndDate,0,COLUMN())-INDEX(MO_Common_FPDays,0,COLUMN())+1</f>
        <v>41730</v>
      </c>
      <c r="N449" s="259">
        <f>INDEX(MO_Common_QEndDate,0,COLUMN())-INDEX(MO_Common_FPDays,0,COLUMN())+1</f>
        <v>41821</v>
      </c>
      <c r="O449" s="259">
        <f>INDEX(MO_Common_QEndDate,0,COLUMN())-INDEX(MO_Common_FPDays,0,COLUMN())+1</f>
        <v>41913</v>
      </c>
      <c r="P449" s="259">
        <f>INDEX(MO_Common_QEndDate,0,COLUMN())-INDEX(MO_Common_FPDays,0,COLUMN())+1</f>
        <v>41640</v>
      </c>
      <c r="Q449" s="259">
        <f>INDEX(MO_Common_QEndDate,0,COLUMN())-INDEX(MO_Common_FPDays,0,COLUMN())+1</f>
        <v>42005</v>
      </c>
      <c r="R449" s="259">
        <f>INDEX(MO_Common_QEndDate,0,COLUMN())-INDEX(MO_Common_FPDays,0,COLUMN())+1</f>
        <v>42095</v>
      </c>
      <c r="S449" s="259">
        <f>INDEX(MO_Common_QEndDate,0,COLUMN())-INDEX(MO_Common_FPDays,0,COLUMN())+1</f>
        <v>42186</v>
      </c>
      <c r="T449" s="259">
        <f>INDEX(MO_Common_QEndDate,0,COLUMN())-INDEX(MO_Common_FPDays,0,COLUMN())+1</f>
        <v>42278</v>
      </c>
      <c r="U449" s="259">
        <f>INDEX(MO_Common_QEndDate,0,COLUMN())-INDEX(MO_Common_FPDays,0,COLUMN())+1</f>
        <v>42005</v>
      </c>
      <c r="V449" s="259">
        <f>INDEX(MO_Common_QEndDate,0,COLUMN())-INDEX(MO_Common_FPDays,0,COLUMN())+1</f>
        <v>42370</v>
      </c>
      <c r="W449" s="259">
        <f>INDEX(MO_Common_QEndDate,0,COLUMN())-INDEX(MO_Common_FPDays,0,COLUMN())+1</f>
        <v>42461</v>
      </c>
      <c r="X449" s="259">
        <f>INDEX(MO_Common_QEndDate,0,COLUMN())-INDEX(MO_Common_FPDays,0,COLUMN())+1</f>
        <v>42552</v>
      </c>
      <c r="Y449" s="259">
        <f>INDEX(MO_Common_QEndDate,0,COLUMN())-INDEX(MO_Common_FPDays,0,COLUMN())+1</f>
        <v>42644</v>
      </c>
      <c r="Z449" s="259">
        <f>INDEX(MO_Common_QEndDate,0,COLUMN())-INDEX(MO_Common_FPDays,0,COLUMN())+1</f>
        <v>42370</v>
      </c>
      <c r="AA449" s="259">
        <f>INDEX(MO_Common_QEndDate,0,COLUMN())-INDEX(MO_Common_FPDays,0,COLUMN())+1</f>
        <v>42736</v>
      </c>
      <c r="AB449" s="259">
        <f>INDEX(MO_Common_QEndDate,0,COLUMN())-INDEX(MO_Common_FPDays,0,COLUMN())+1</f>
        <v>42826</v>
      </c>
      <c r="AC449" s="259">
        <f>INDEX(MO_Common_QEndDate,0,COLUMN())-INDEX(MO_Common_FPDays,0,COLUMN())+1</f>
        <v>42917</v>
      </c>
      <c r="AD449" s="259">
        <f>INDEX(MO_Common_QEndDate,0,COLUMN())-INDEX(MO_Common_FPDays,0,COLUMN())+1</f>
        <v>43009</v>
      </c>
      <c r="AE449" s="259">
        <f>INDEX(MO_Common_QEndDate,0,COLUMN())-INDEX(MO_Common_FPDays,0,COLUMN())+1</f>
        <v>42736</v>
      </c>
      <c r="AF449" s="259">
        <f>INDEX(MO_Common_QEndDate,0,COLUMN())-INDEX(MO_Common_FPDays,0,COLUMN())+1</f>
        <v>43101</v>
      </c>
      <c r="AG449" s="259">
        <f>INDEX(MO_Common_QEndDate,0,COLUMN())-INDEX(MO_Common_FPDays,0,COLUMN())+1</f>
        <v>43191</v>
      </c>
      <c r="AH449" s="259">
        <f>INDEX(MO_Common_QEndDate,0,COLUMN())-INDEX(MO_Common_FPDays,0,COLUMN())+1</f>
        <v>43282</v>
      </c>
      <c r="AI449" s="259">
        <f>INDEX(MO_Common_QEndDate,0,COLUMN())-INDEX(MO_Common_FPDays,0,COLUMN())+1</f>
        <v>43374</v>
      </c>
      <c r="AJ449" s="259">
        <f>INDEX(MO_Common_QEndDate,0,COLUMN())-INDEX(MO_Common_FPDays,0,COLUMN())+1</f>
        <v>43101</v>
      </c>
      <c r="AK449" s="259">
        <f>INDEX(MO_Common_QEndDate,0,COLUMN())-INDEX(MO_Common_FPDays,0,COLUMN())+1</f>
        <v>43466</v>
      </c>
      <c r="AL449" s="528">
        <f>INDEX(MO_Common_QEndDate,0,COLUMN())-INDEX(MO_Common_FPDays,0,COLUMN())+1</f>
        <v>43556</v>
      </c>
      <c r="AM449" s="259">
        <f>INDEX(MO_Common_QEndDate,0,COLUMN())-INDEX(MO_Common_FPDays,0,COLUMN())+1</f>
        <v>43647</v>
      </c>
      <c r="AN449" s="259">
        <f>INDEX(MO_Common_QEndDate,0,COLUMN())-INDEX(MO_Common_FPDays,0,COLUMN())+1</f>
        <v>43739</v>
      </c>
      <c r="AO449" s="259">
        <f>INDEX(MO_Common_QEndDate,0,COLUMN())-INDEX(MO_Common_FPDays,0,COLUMN())+1</f>
        <v>43466</v>
      </c>
      <c r="AP449" s="259">
        <f>INDEX(MO_Common_QEndDate,0,COLUMN())-INDEX(MO_Common_FPDays,0,COLUMN())+1</f>
        <v>43831</v>
      </c>
      <c r="AQ449" s="259">
        <f>INDEX(MO_Common_QEndDate,0,COLUMN())-INDEX(MO_Common_FPDays,0,COLUMN())+1</f>
        <v>43922</v>
      </c>
      <c r="AR449" s="259">
        <f>INDEX(MO_Common_QEndDate,0,COLUMN())-INDEX(MO_Common_FPDays,0,COLUMN())+1</f>
        <v>44013</v>
      </c>
      <c r="AS449" s="259">
        <f>INDEX(MO_Common_QEndDate,0,COLUMN())-INDEX(MO_Common_FPDays,0,COLUMN())+1</f>
        <v>44105</v>
      </c>
      <c r="AT449" s="259">
        <f>INDEX(MO_Common_QEndDate,0,COLUMN())-INDEX(MO_Common_FPDays,0,COLUMN())+1</f>
        <v>43831</v>
      </c>
      <c r="AU449" s="259">
        <f>INDEX(MO_Common_QEndDate,0,COLUMN())-INDEX(MO_Common_FPDays,0,COLUMN())+1</f>
        <v>44197</v>
      </c>
      <c r="AV449" s="259">
        <f>INDEX(MO_Common_QEndDate,0,COLUMN())-INDEX(MO_Common_FPDays,0,COLUMN())+1</f>
        <v>44562</v>
      </c>
      <c r="AW449" s="260">
        <f>INDEX(MO_Common_QEndDate,0,COLUMN())-INDEX(MO_Common_FPDays,0,COLUMN())+1</f>
        <v>44927</v>
      </c>
      <c r="AX449" s="228"/>
    </row>
    <row r="450" spans="1:50" s="5" customFormat="1" x14ac:dyDescent="0.3">
      <c r="A450" s="526" t="s">
        <v>403</v>
      </c>
      <c r="B450" s="93"/>
      <c r="C450" s="527" t="b">
        <f>TRUE</f>
        <v>1</v>
      </c>
      <c r="D450" s="527" t="b">
        <f>TRUE</f>
        <v>1</v>
      </c>
      <c r="E450" s="527" t="b">
        <f>TRUE</f>
        <v>1</v>
      </c>
      <c r="F450" s="527" t="b">
        <f>TRUE</f>
        <v>1</v>
      </c>
      <c r="G450" s="527" t="b">
        <f>TRUE</f>
        <v>1</v>
      </c>
      <c r="H450" s="259" t="b">
        <f>TRUE</f>
        <v>1</v>
      </c>
      <c r="I450" s="259" t="b">
        <f>TRUE</f>
        <v>1</v>
      </c>
      <c r="J450" s="259" t="b">
        <f>TRUE</f>
        <v>1</v>
      </c>
      <c r="K450" s="259" t="b">
        <f>TRUE</f>
        <v>1</v>
      </c>
      <c r="L450" s="259" t="b">
        <f>TRUE</f>
        <v>1</v>
      </c>
      <c r="M450" s="259" t="b">
        <f>TRUE</f>
        <v>1</v>
      </c>
      <c r="N450" s="259" t="b">
        <f>TRUE</f>
        <v>1</v>
      </c>
      <c r="O450" s="259" t="b">
        <f>TRUE</f>
        <v>1</v>
      </c>
      <c r="P450" s="259" t="b">
        <f>TRUE</f>
        <v>1</v>
      </c>
      <c r="Q450" s="259" t="b">
        <f>TRUE</f>
        <v>1</v>
      </c>
      <c r="R450" s="259" t="b">
        <f>TRUE</f>
        <v>1</v>
      </c>
      <c r="S450" s="259" t="b">
        <f>TRUE</f>
        <v>1</v>
      </c>
      <c r="T450" s="259" t="b">
        <f>TRUE</f>
        <v>1</v>
      </c>
      <c r="U450" s="259" t="b">
        <f>TRUE</f>
        <v>1</v>
      </c>
      <c r="V450" s="259" t="b">
        <f>TRUE</f>
        <v>1</v>
      </c>
      <c r="W450" s="259" t="b">
        <f>TRUE</f>
        <v>1</v>
      </c>
      <c r="X450" s="259" t="b">
        <f>TRUE</f>
        <v>1</v>
      </c>
      <c r="Y450" s="259" t="b">
        <f>TRUE</f>
        <v>1</v>
      </c>
      <c r="Z450" s="259" t="b">
        <f>TRUE</f>
        <v>1</v>
      </c>
      <c r="AA450" s="259" t="b">
        <f>TRUE</f>
        <v>1</v>
      </c>
      <c r="AB450" s="259" t="b">
        <f>TRUE</f>
        <v>1</v>
      </c>
      <c r="AC450" s="259" t="b">
        <f>TRUE</f>
        <v>1</v>
      </c>
      <c r="AD450" s="259" t="b">
        <f>TRUE</f>
        <v>1</v>
      </c>
      <c r="AE450" s="259" t="b">
        <f>TRUE</f>
        <v>1</v>
      </c>
      <c r="AF450" s="259" t="b">
        <f>TRUE</f>
        <v>1</v>
      </c>
      <c r="AG450" s="259" t="b">
        <f>TRUE</f>
        <v>1</v>
      </c>
      <c r="AH450" s="259" t="b">
        <f>TRUE</f>
        <v>1</v>
      </c>
      <c r="AI450" s="259" t="b">
        <f>TRUE</f>
        <v>1</v>
      </c>
      <c r="AJ450" s="259" t="b">
        <f>TRUE</f>
        <v>1</v>
      </c>
      <c r="AK450" s="259" t="b">
        <f>TRUE</f>
        <v>1</v>
      </c>
      <c r="AL450" s="528" t="b">
        <f>TRUE</f>
        <v>1</v>
      </c>
      <c r="AM450" s="259" t="b">
        <f>FALSE</f>
        <v>0</v>
      </c>
      <c r="AN450" s="259" t="b">
        <f>FALSE</f>
        <v>0</v>
      </c>
      <c r="AO450" s="259" t="b">
        <f>FALSE</f>
        <v>0</v>
      </c>
      <c r="AP450" s="259" t="b">
        <f>FALSE</f>
        <v>0</v>
      </c>
      <c r="AQ450" s="259" t="b">
        <f>FALSE</f>
        <v>0</v>
      </c>
      <c r="AR450" s="259" t="b">
        <f>FALSE</f>
        <v>0</v>
      </c>
      <c r="AS450" s="259" t="b">
        <f>FALSE</f>
        <v>0</v>
      </c>
      <c r="AT450" s="259" t="b">
        <f>FALSE</f>
        <v>0</v>
      </c>
      <c r="AU450" s="259" t="b">
        <f>FALSE</f>
        <v>0</v>
      </c>
      <c r="AV450" s="259" t="b">
        <f>FALSE</f>
        <v>0</v>
      </c>
      <c r="AW450" s="260" t="b">
        <f>FALSE</f>
        <v>0</v>
      </c>
      <c r="AX450" s="228"/>
    </row>
    <row r="451" spans="1:50" s="226" customFormat="1" x14ac:dyDescent="0.3">
      <c r="A451" s="529" t="str">
        <f>IFERROR("Stock High: "&amp;IF(OR(MO.RealTimeStockPriceToggle=FALSE,VLOOKUP(MO.DataSourceName,MO_SPT_StockHigh_Sources,COLUMN()+2,FALSE)="N/A"),"Real-Time Off Source",MO.DataSourceName),"N/A")</f>
        <v>Stock High: Real-Time Off Source</v>
      </c>
      <c r="B451" s="262"/>
      <c r="C451" s="530">
        <f>IFERROR(IF(OR(MO.RealTimeStockPriceToggle=FALSE,VLOOKUP(MO.DataSourceName,MO_SPT_StockHigh_Sources,COLUMN(),FALSE)="N/A"),VLOOKUP("Real-Time Off Source",MO_SPT_StockHigh_Sources,COLUMN(),FALSE),VLOOKUP(MO.DataSourceName,MO_SPT_StockHigh_Sources,COLUMN(),FALSE)),"N/A")</f>
        <v>19.79</v>
      </c>
      <c r="D451" s="530">
        <f>IFERROR(IF(OR(MO.RealTimeStockPriceToggle=FALSE,VLOOKUP(MO.DataSourceName,MO_SPT_StockHigh_Sources,COLUMN(),FALSE)="N/A"),VLOOKUP("Real-Time Off Source",MO_SPT_StockHigh_Sources,COLUMN(),FALSE),VLOOKUP(MO.DataSourceName,MO_SPT_StockHigh_Sources,COLUMN(),FALSE)),"N/A")</f>
        <v>27</v>
      </c>
      <c r="E451" s="530">
        <f>IFERROR(IF(OR(MO.RealTimeStockPriceToggle=FALSE,VLOOKUP(MO.DataSourceName,MO_SPT_StockHigh_Sources,COLUMN(),FALSE)="N/A"),VLOOKUP("Real-Time Off Source",MO_SPT_StockHigh_Sources,COLUMN(),FALSE),VLOOKUP(MO.DataSourceName,MO_SPT_StockHigh_Sources,COLUMN(),FALSE)),"N/A")</f>
        <v>36.450000000000003</v>
      </c>
      <c r="F451" s="530">
        <f>IFERROR(IF(OR(MO.RealTimeStockPriceToggle=FALSE,VLOOKUP(MO.DataSourceName,MO_SPT_StockHigh_Sources,COLUMN(),FALSE)="N/A"),VLOOKUP("Real-Time Off Source",MO_SPT_StockHigh_Sources,COLUMN(),FALSE),VLOOKUP(MO.DataSourceName,MO_SPT_StockHigh_Sources,COLUMN(),FALSE)),"N/A")</f>
        <v>120.05</v>
      </c>
      <c r="G451" s="530">
        <f>IFERROR(IF(OR(MO.RealTimeStockPriceToggle=FALSE,VLOOKUP(MO.DataSourceName,MO_SPT_StockHigh_Sources,COLUMN(),FALSE)="N/A"),VLOOKUP("Real-Time Off Source",MO_SPT_StockHigh_Sources,COLUMN(),FALSE),VLOOKUP(MO.DataSourceName,MO_SPT_StockHigh_Sources,COLUMN(),FALSE)),"N/A")</f>
        <v>65.77</v>
      </c>
      <c r="H451" s="262">
        <f>IFERROR(IF(OR(MO.RealTimeStockPriceToggle=FALSE,VLOOKUP(MO.DataSourceName,MO_SPT_StockHigh_Sources,COLUMN(),FALSE)="N/A"),VLOOKUP("Real-Time Off Source",MO_SPT_StockHigh_Sources,COLUMN(),FALSE),VLOOKUP(MO.DataSourceName,MO_SPT_StockHigh_Sources,COLUMN(),FALSE)),"N/A")</f>
        <v>63.09</v>
      </c>
      <c r="I451" s="262">
        <f>IFERROR(IF(OR(MO.RealTimeStockPriceToggle=FALSE,VLOOKUP(MO.DataSourceName,MO_SPT_StockHigh_Sources,COLUMN(),FALSE)="N/A"),VLOOKUP("Real-Time Off Source",MO_SPT_StockHigh_Sources,COLUMN(),FALSE),VLOOKUP(MO.DataSourceName,MO_SPT_StockHigh_Sources,COLUMN(),FALSE)),"N/A")</f>
        <v>54.89</v>
      </c>
      <c r="J451" s="262">
        <f>IFERROR(IF(OR(MO.RealTimeStockPriceToggle=FALSE,VLOOKUP(MO.DataSourceName,MO_SPT_StockHigh_Sources,COLUMN(),FALSE)="N/A"),VLOOKUP("Real-Time Off Source",MO_SPT_StockHigh_Sources,COLUMN(),FALSE),VLOOKUP(MO.DataSourceName,MO_SPT_StockHigh_Sources,COLUMN(),FALSE)),"N/A")</f>
        <v>42.45</v>
      </c>
      <c r="K451" s="262">
        <f>IFERROR(IF(OR(MO.RealTimeStockPriceToggle=FALSE,VLOOKUP(MO.DataSourceName,MO_SPT_StockHigh_Sources,COLUMN(),FALSE)="N/A"),VLOOKUP("Real-Time Off Source",MO_SPT_StockHigh_Sources,COLUMN(),FALSE),VLOOKUP(MO.DataSourceName,MO_SPT_StockHigh_Sources,COLUMN(),FALSE)),"N/A")</f>
        <v>65.77</v>
      </c>
      <c r="L451" s="262">
        <f>IFERROR(IF(OR(MO.RealTimeStockPriceToggle=FALSE,VLOOKUP(MO.DataSourceName,MO_SPT_StockHigh_Sources,COLUMN(),FALSE)="N/A"),VLOOKUP("Real-Time Off Source",MO_SPT_StockHigh_Sources,COLUMN(),FALSE),VLOOKUP(MO.DataSourceName,MO_SPT_StockHigh_Sources,COLUMN(),FALSE)),"N/A")</f>
        <v>46.04</v>
      </c>
      <c r="M451" s="262">
        <f>IFERROR(IF(OR(MO.RealTimeStockPriceToggle=FALSE,VLOOKUP(MO.DataSourceName,MO_SPT_StockHigh_Sources,COLUMN(),FALSE)="N/A"),VLOOKUP("Real-Time Off Source",MO_SPT_StockHigh_Sources,COLUMN(),FALSE),VLOOKUP(MO.DataSourceName,MO_SPT_StockHigh_Sources,COLUMN(),FALSE)),"N/A")</f>
        <v>40.799999999999997</v>
      </c>
      <c r="N451" s="262">
        <f>IFERROR(IF(OR(MO.RealTimeStockPriceToggle=FALSE,VLOOKUP(MO.DataSourceName,MO_SPT_StockHigh_Sources,COLUMN(),FALSE)="N/A"),VLOOKUP("Real-Time Off Source",MO_SPT_StockHigh_Sources,COLUMN(),FALSE),VLOOKUP(MO.DataSourceName,MO_SPT_StockHigh_Sources,COLUMN(),FALSE)),"N/A")</f>
        <v>45.15</v>
      </c>
      <c r="O451" s="262">
        <f>IFERROR(IF(OR(MO.RealTimeStockPriceToggle=FALSE,VLOOKUP(MO.DataSourceName,MO_SPT_StockHigh_Sources,COLUMN(),FALSE)="N/A"),VLOOKUP("Real-Time Off Source",MO_SPT_StockHigh_Sources,COLUMN(),FALSE),VLOOKUP(MO.DataSourceName,MO_SPT_StockHigh_Sources,COLUMN(),FALSE)),"N/A")</f>
        <v>46.96</v>
      </c>
      <c r="P451" s="262">
        <f>IFERROR(IF(OR(MO.RealTimeStockPriceToggle=FALSE,VLOOKUP(MO.DataSourceName,MO_SPT_StockHigh_Sources,COLUMN(),FALSE)="N/A"),VLOOKUP("Real-Time Off Source",MO_SPT_StockHigh_Sources,COLUMN(),FALSE),VLOOKUP(MO.DataSourceName,MO_SPT_StockHigh_Sources,COLUMN(),FALSE)),"N/A")</f>
        <v>46.96</v>
      </c>
      <c r="Q451" s="262">
        <f>IFERROR(IF(OR(MO.RealTimeStockPriceToggle=FALSE,VLOOKUP(MO.DataSourceName,MO_SPT_StockHigh_Sources,COLUMN(),FALSE)="N/A"),VLOOKUP("Real-Time Off Source",MO_SPT_StockHigh_Sources,COLUMN(),FALSE),VLOOKUP(MO.DataSourceName,MO_SPT_StockHigh_Sources,COLUMN(),FALSE)),"N/A")</f>
        <v>48.92</v>
      </c>
      <c r="R451" s="262">
        <f>IFERROR(IF(OR(MO.RealTimeStockPriceToggle=FALSE,VLOOKUP(MO.DataSourceName,MO_SPT_StockHigh_Sources,COLUMN(),FALSE)="N/A"),VLOOKUP("Real-Time Off Source",MO_SPT_StockHigh_Sources,COLUMN(),FALSE),VLOOKUP(MO.DataSourceName,MO_SPT_StockHigh_Sources,COLUMN(),FALSE)),"N/A")</f>
        <v>52.77</v>
      </c>
      <c r="S451" s="262">
        <f>IFERROR(IF(OR(MO.RealTimeStockPriceToggle=FALSE,VLOOKUP(MO.DataSourceName,MO_SPT_StockHigh_Sources,COLUMN(),FALSE)="N/A"),VLOOKUP("Real-Time Off Source",MO_SPT_StockHigh_Sources,COLUMN(),FALSE),VLOOKUP(MO.DataSourceName,MO_SPT_StockHigh_Sources,COLUMN(),FALSE)),"N/A")</f>
        <v>49.59</v>
      </c>
      <c r="T451" s="262">
        <f>IFERROR(IF(OR(MO.RealTimeStockPriceToggle=FALSE,VLOOKUP(MO.DataSourceName,MO_SPT_StockHigh_Sources,COLUMN(),FALSE)="N/A"),VLOOKUP("Real-Time Off Source",MO_SPT_StockHigh_Sources,COLUMN(),FALSE),VLOOKUP(MO.DataSourceName,MO_SPT_StockHigh_Sources,COLUMN(),FALSE)),"N/A")</f>
        <v>48.14</v>
      </c>
      <c r="U451" s="262">
        <f>IFERROR(IF(OR(MO.RealTimeStockPriceToggle=FALSE,VLOOKUP(MO.DataSourceName,MO_SPT_StockHigh_Sources,COLUMN(),FALSE)="N/A"),VLOOKUP("Real-Time Off Source",MO_SPT_StockHigh_Sources,COLUMN(),FALSE),VLOOKUP(MO.DataSourceName,MO_SPT_StockHigh_Sources,COLUMN(),FALSE)),"N/A")</f>
        <v>52.77</v>
      </c>
      <c r="V451" s="262">
        <f>IFERROR(IF(OR(MO.RealTimeStockPriceToggle=FALSE,VLOOKUP(MO.DataSourceName,MO_SPT_StockHigh_Sources,COLUMN(),FALSE)="N/A"),VLOOKUP("Real-Time Off Source",MO_SPT_StockHigh_Sources,COLUMN(),FALSE),VLOOKUP(MO.DataSourceName,MO_SPT_StockHigh_Sources,COLUMN(),FALSE)),"N/A")</f>
        <v>55.8</v>
      </c>
      <c r="W451" s="262">
        <f>IFERROR(IF(OR(MO.RealTimeStockPriceToggle=FALSE,VLOOKUP(MO.DataSourceName,MO_SPT_StockHigh_Sources,COLUMN(),FALSE)="N/A"),VLOOKUP("Real-Time Off Source",MO_SPT_StockHigh_Sources,COLUMN(),FALSE),VLOOKUP(MO.DataSourceName,MO_SPT_StockHigh_Sources,COLUMN(),FALSE)),"N/A")</f>
        <v>55.45</v>
      </c>
      <c r="X451" s="262">
        <f>IFERROR(IF(OR(MO.RealTimeStockPriceToggle=FALSE,VLOOKUP(MO.DataSourceName,MO_SPT_StockHigh_Sources,COLUMN(),FALSE)="N/A"),VLOOKUP("Real-Time Off Source",MO_SPT_StockHigh_Sources,COLUMN(),FALSE),VLOOKUP(MO.DataSourceName,MO_SPT_StockHigh_Sources,COLUMN(),FALSE)),"N/A")</f>
        <v>52.15</v>
      </c>
      <c r="Y451" s="262">
        <f>IFERROR(IF(OR(MO.RealTimeStockPriceToggle=FALSE,VLOOKUP(MO.DataSourceName,MO_SPT_StockHigh_Sources,COLUMN(),FALSE)="N/A"),VLOOKUP("Real-Time Off Source",MO_SPT_StockHigh_Sources,COLUMN(),FALSE),VLOOKUP(MO.DataSourceName,MO_SPT_StockHigh_Sources,COLUMN(),FALSE)),"N/A")</f>
        <v>46.2</v>
      </c>
      <c r="Z451" s="262">
        <f>IFERROR(IF(OR(MO.RealTimeStockPriceToggle=FALSE,VLOOKUP(MO.DataSourceName,MO_SPT_StockHigh_Sources,COLUMN(),FALSE)="N/A"),VLOOKUP("Real-Time Off Source",MO_SPT_StockHigh_Sources,COLUMN(),FALSE),VLOOKUP(MO.DataSourceName,MO_SPT_StockHigh_Sources,COLUMN(),FALSE)),"N/A")</f>
        <v>55.8</v>
      </c>
      <c r="AA451" s="262">
        <f>IFERROR(IF(OR(MO.RealTimeStockPriceToggle=FALSE,VLOOKUP(MO.DataSourceName,MO_SPT_StockHigh_Sources,COLUMN(),FALSE)="N/A"),VLOOKUP("Real-Time Off Source",MO_SPT_StockHigh_Sources,COLUMN(),FALSE),VLOOKUP(MO.DataSourceName,MO_SPT_StockHigh_Sources,COLUMN(),FALSE)),"N/A")</f>
        <v>52.8</v>
      </c>
      <c r="AB451" s="262">
        <f>IFERROR(IF(OR(MO.RealTimeStockPriceToggle=FALSE,VLOOKUP(MO.DataSourceName,MO_SPT_StockHigh_Sources,COLUMN(),FALSE)="N/A"),VLOOKUP("Real-Time Off Source",MO_SPT_StockHigh_Sources,COLUMN(),FALSE),VLOOKUP(MO.DataSourceName,MO_SPT_StockHigh_Sources,COLUMN(),FALSE)),"N/A")</f>
        <v>52.65</v>
      </c>
      <c r="AC451" s="262">
        <f>IFERROR(IF(OR(MO.RealTimeStockPriceToggle=FALSE,VLOOKUP(MO.DataSourceName,MO_SPT_StockHigh_Sources,COLUMN(),FALSE)="N/A"),VLOOKUP("Real-Time Off Source",MO_SPT_StockHigh_Sources,COLUMN(),FALSE),VLOOKUP(MO.DataSourceName,MO_SPT_StockHigh_Sources,COLUMN(),FALSE)),"N/A")</f>
        <v>47.95</v>
      </c>
      <c r="AD451" s="262">
        <f>IFERROR(IF(OR(MO.RealTimeStockPriceToggle=FALSE,VLOOKUP(MO.DataSourceName,MO_SPT_StockHigh_Sources,COLUMN(),FALSE)="N/A"),VLOOKUP("Real-Time Off Source",MO_SPT_StockHigh_Sources,COLUMN(),FALSE),VLOOKUP(MO.DataSourceName,MO_SPT_StockHigh_Sources,COLUMN(),FALSE)),"N/A")</f>
        <v>65.900000000000006</v>
      </c>
      <c r="AE451" s="262">
        <f>IFERROR(IF(OR(MO.RealTimeStockPriceToggle=FALSE,VLOOKUP(MO.DataSourceName,MO_SPT_StockHigh_Sources,COLUMN(),FALSE)="N/A"),VLOOKUP("Real-Time Off Source",MO_SPT_StockHigh_Sources,COLUMN(),FALSE),VLOOKUP(MO.DataSourceName,MO_SPT_StockHigh_Sources,COLUMN(),FALSE)),"N/A")</f>
        <v>65.900000000000006</v>
      </c>
      <c r="AF451" s="262">
        <f>IFERROR(IF(OR(MO.RealTimeStockPriceToggle=FALSE,VLOOKUP(MO.DataSourceName,MO_SPT_StockHigh_Sources,COLUMN(),FALSE)="N/A"),VLOOKUP("Real-Time Off Source",MO_SPT_StockHigh_Sources,COLUMN(),FALSE),VLOOKUP(MO.DataSourceName,MO_SPT_StockHigh_Sources,COLUMN(),FALSE)),"N/A")</f>
        <v>75.8</v>
      </c>
      <c r="AG451" s="262">
        <f>IFERROR(IF(OR(MO.RealTimeStockPriceToggle=FALSE,VLOOKUP(MO.DataSourceName,MO_SPT_StockHigh_Sources,COLUMN(),FALSE)="N/A"),VLOOKUP("Real-Time Off Source",MO_SPT_StockHigh_Sources,COLUMN(),FALSE),VLOOKUP(MO.DataSourceName,MO_SPT_StockHigh_Sources,COLUMN(),FALSE)),"N/A")</f>
        <v>88.6</v>
      </c>
      <c r="AH451" s="262">
        <f>IFERROR(IF(OR(MO.RealTimeStockPriceToggle=FALSE,VLOOKUP(MO.DataSourceName,MO_SPT_StockHigh_Sources,COLUMN(),FALSE)="N/A"),VLOOKUP("Real-Time Off Source",MO_SPT_StockHigh_Sources,COLUMN(),FALSE),VLOOKUP(MO.DataSourceName,MO_SPT_StockHigh_Sources,COLUMN(),FALSE)),"N/A")</f>
        <v>86.45</v>
      </c>
      <c r="AI451" s="262">
        <f>IFERROR(IF(OR(MO.RealTimeStockPriceToggle=FALSE,VLOOKUP(MO.DataSourceName,MO_SPT_StockHigh_Sources,COLUMN(),FALSE)="N/A"),VLOOKUP("Real-Time Off Source",MO_SPT_StockHigh_Sources,COLUMN(),FALSE),VLOOKUP(MO.DataSourceName,MO_SPT_StockHigh_Sources,COLUMN(),FALSE)),"N/A")</f>
        <v>97.48</v>
      </c>
      <c r="AJ451" s="262">
        <f>IFERROR(IF(OR(MO.RealTimeStockPriceToggle=FALSE,VLOOKUP(MO.DataSourceName,MO_SPT_StockHigh_Sources,COLUMN(),FALSE)="N/A"),VLOOKUP("Real-Time Off Source",MO_SPT_StockHigh_Sources,COLUMN(),FALSE),VLOOKUP(MO.DataSourceName,MO_SPT_StockHigh_Sources,COLUMN(),FALSE)),"N/A")</f>
        <v>97.48</v>
      </c>
      <c r="AK451" s="262">
        <f>IFERROR(IF(OR(MO.RealTimeStockPriceToggle=FALSE,VLOOKUP(MO.DataSourceName,MO_SPT_StockHigh_Sources,COLUMN(),FALSE)="N/A"),VLOOKUP("Real-Time Off Source",MO_SPT_StockHigh_Sources,COLUMN(),FALSE),VLOOKUP(MO.DataSourceName,MO_SPT_StockHigh_Sources,COLUMN(),FALSE)),"N/A")</f>
        <v>118.36</v>
      </c>
      <c r="AL451" s="531">
        <f>IFERROR(IF(OR(MO.RealTimeStockPriceToggle=FALSE,VLOOKUP(MO.DataSourceName,MO_SPT_StockHigh_Sources,COLUMN(),FALSE)="N/A"),VLOOKUP("Real-Time Off Source",MO_SPT_StockHigh_Sources,COLUMN(),FALSE),VLOOKUP(MO.DataSourceName,MO_SPT_StockHigh_Sources,COLUMN(),FALSE)),"N/A")</f>
        <v>120.81</v>
      </c>
      <c r="AM451" s="262">
        <f>IFERROR(IF(OR(MO.RealTimeStockPriceToggle=FALSE,VLOOKUP(MO.DataSourceName,MO_SPT_StockHigh_Sources,COLUMN(),FALSE)="N/A"),VLOOKUP("Real-Time Off Source",MO_SPT_StockHigh_Sources,COLUMN(),FALSE),VLOOKUP(MO.DataSourceName,MO_SPT_StockHigh_Sources,COLUMN(),FALSE)),"N/A")</f>
        <v>0</v>
      </c>
      <c r="AN451" s="262">
        <f>IFERROR(IF(OR(MO.RealTimeStockPriceToggle=FALSE,VLOOKUP(MO.DataSourceName,MO_SPT_StockHigh_Sources,COLUMN(),FALSE)="N/A"),VLOOKUP("Real-Time Off Source",MO_SPT_StockHigh_Sources,COLUMN(),FALSE),VLOOKUP(MO.DataSourceName,MO_SPT_StockHigh_Sources,COLUMN(),FALSE)),"N/A")</f>
        <v>0</v>
      </c>
      <c r="AO451" s="262">
        <f>IFERROR(IF(OR(MO.RealTimeStockPriceToggle=FALSE,VLOOKUP(MO.DataSourceName,MO_SPT_StockHigh_Sources,COLUMN(),FALSE)="N/A"),VLOOKUP("Real-Time Off Source",MO_SPT_StockHigh_Sources,COLUMN(),FALSE),VLOOKUP(MO.DataSourceName,MO_SPT_StockHigh_Sources,COLUMN(),FALSE)),"N/A")</f>
        <v>0</v>
      </c>
      <c r="AP451" s="262">
        <f>IFERROR(IF(OR(MO.RealTimeStockPriceToggle=FALSE,VLOOKUP(MO.DataSourceName,MO_SPT_StockHigh_Sources,COLUMN(),FALSE)="N/A"),VLOOKUP("Real-Time Off Source",MO_SPT_StockHigh_Sources,COLUMN(),FALSE),VLOOKUP(MO.DataSourceName,MO_SPT_StockHigh_Sources,COLUMN(),FALSE)),"N/A")</f>
        <v>0</v>
      </c>
      <c r="AQ451" s="262">
        <f>IFERROR(IF(OR(MO.RealTimeStockPriceToggle=FALSE,VLOOKUP(MO.DataSourceName,MO_SPT_StockHigh_Sources,COLUMN(),FALSE)="N/A"),VLOOKUP("Real-Time Off Source",MO_SPT_StockHigh_Sources,COLUMN(),FALSE),VLOOKUP(MO.DataSourceName,MO_SPT_StockHigh_Sources,COLUMN(),FALSE)),"N/A")</f>
        <v>0</v>
      </c>
      <c r="AR451" s="262">
        <f>IFERROR(IF(OR(MO.RealTimeStockPriceToggle=FALSE,VLOOKUP(MO.DataSourceName,MO_SPT_StockHigh_Sources,COLUMN(),FALSE)="N/A"),VLOOKUP("Real-Time Off Source",MO_SPT_StockHigh_Sources,COLUMN(),FALSE),VLOOKUP(MO.DataSourceName,MO_SPT_StockHigh_Sources,COLUMN(),FALSE)),"N/A")</f>
        <v>0</v>
      </c>
      <c r="AS451" s="262">
        <f>IFERROR(IF(OR(MO.RealTimeStockPriceToggle=FALSE,VLOOKUP(MO.DataSourceName,MO_SPT_StockHigh_Sources,COLUMN(),FALSE)="N/A"),VLOOKUP("Real-Time Off Source",MO_SPT_StockHigh_Sources,COLUMN(),FALSE),VLOOKUP(MO.DataSourceName,MO_SPT_StockHigh_Sources,COLUMN(),FALSE)),"N/A")</f>
        <v>0</v>
      </c>
      <c r="AT451" s="262">
        <f>IFERROR(IF(OR(MO.RealTimeStockPriceToggle=FALSE,VLOOKUP(MO.DataSourceName,MO_SPT_StockHigh_Sources,COLUMN(),FALSE)="N/A"),VLOOKUP("Real-Time Off Source",MO_SPT_StockHigh_Sources,COLUMN(),FALSE),VLOOKUP(MO.DataSourceName,MO_SPT_StockHigh_Sources,COLUMN(),FALSE)),"N/A")</f>
        <v>0</v>
      </c>
      <c r="AU451" s="262">
        <f>IFERROR(IF(OR(MO.RealTimeStockPriceToggle=FALSE,VLOOKUP(MO.DataSourceName,MO_SPT_StockHigh_Sources,COLUMN(),FALSE)="N/A"),VLOOKUP("Real-Time Off Source",MO_SPT_StockHigh_Sources,COLUMN(),FALSE),VLOOKUP(MO.DataSourceName,MO_SPT_StockHigh_Sources,COLUMN(),FALSE)),"N/A")</f>
        <v>0</v>
      </c>
      <c r="AV451" s="262">
        <f>IFERROR(IF(OR(MO.RealTimeStockPriceToggle=FALSE,VLOOKUP(MO.DataSourceName,MO_SPT_StockHigh_Sources,COLUMN(),FALSE)="N/A"),VLOOKUP("Real-Time Off Source",MO_SPT_StockHigh_Sources,COLUMN(),FALSE),VLOOKUP(MO.DataSourceName,MO_SPT_StockHigh_Sources,COLUMN(),FALSE)),"N/A")</f>
        <v>0</v>
      </c>
      <c r="AW451" s="263">
        <f>IFERROR(IF(OR(MO.RealTimeStockPriceToggle=FALSE,VLOOKUP(MO.DataSourceName,MO_SPT_StockHigh_Sources,COLUMN(),FALSE)="N/A"),VLOOKUP("Real-Time Off Source",MO_SPT_StockHigh_Sources,COLUMN(),FALSE),VLOOKUP(MO.DataSourceName,MO_SPT_StockHigh_Sources,COLUMN(),FALSE)),"N/A")</f>
        <v>0</v>
      </c>
      <c r="AX451" s="232"/>
    </row>
    <row r="452" spans="1:50" s="226" customFormat="1" hidden="1" outlineLevel="1" x14ac:dyDescent="0.3">
      <c r="A452" s="532" t="s">
        <v>268</v>
      </c>
      <c r="B452" s="262"/>
      <c r="C452" s="530">
        <v>19.79</v>
      </c>
      <c r="D452" s="530">
        <v>27</v>
      </c>
      <c r="E452" s="530">
        <v>36.450000000000003</v>
      </c>
      <c r="F452" s="530">
        <v>120.05</v>
      </c>
      <c r="G452" s="530">
        <v>65.77</v>
      </c>
      <c r="H452" s="262">
        <v>63.09</v>
      </c>
      <c r="I452" s="262">
        <v>54.89</v>
      </c>
      <c r="J452" s="262">
        <v>42.45</v>
      </c>
      <c r="K452" s="262">
        <v>65.77</v>
      </c>
      <c r="L452" s="262">
        <v>46.04</v>
      </c>
      <c r="M452" s="262">
        <v>40.799999999999997</v>
      </c>
      <c r="N452" s="262">
        <v>45.15</v>
      </c>
      <c r="O452" s="262">
        <v>46.96</v>
      </c>
      <c r="P452" s="262">
        <v>46.96</v>
      </c>
      <c r="Q452" s="262">
        <v>48.92</v>
      </c>
      <c r="R452" s="262">
        <v>52.77</v>
      </c>
      <c r="S452" s="262">
        <v>49.59</v>
      </c>
      <c r="T452" s="262">
        <v>48.14</v>
      </c>
      <c r="U452" s="262">
        <v>52.77</v>
      </c>
      <c r="V452" s="262">
        <v>55.8</v>
      </c>
      <c r="W452" s="262">
        <v>55.45</v>
      </c>
      <c r="X452" s="262">
        <v>52.15</v>
      </c>
      <c r="Y452" s="262">
        <v>46.2</v>
      </c>
      <c r="Z452" s="262">
        <v>55.8</v>
      </c>
      <c r="AA452" s="262">
        <v>52.8</v>
      </c>
      <c r="AB452" s="262">
        <v>52.65</v>
      </c>
      <c r="AC452" s="262">
        <v>47.95</v>
      </c>
      <c r="AD452" s="262">
        <v>65.900000000000006</v>
      </c>
      <c r="AE452" s="262">
        <v>65.900000000000006</v>
      </c>
      <c r="AF452" s="262">
        <v>75.8</v>
      </c>
      <c r="AG452" s="262">
        <v>88.6</v>
      </c>
      <c r="AH452" s="262">
        <v>86.45</v>
      </c>
      <c r="AI452" s="262">
        <v>97.48</v>
      </c>
      <c r="AJ452" s="262">
        <v>97.48</v>
      </c>
      <c r="AK452" s="262">
        <v>118.36</v>
      </c>
      <c r="AL452" s="531">
        <v>120.81</v>
      </c>
      <c r="AM452" s="262"/>
      <c r="AN452" s="262"/>
      <c r="AO452" s="262"/>
      <c r="AP452" s="262"/>
      <c r="AQ452" s="262"/>
      <c r="AR452" s="262"/>
      <c r="AS452" s="262"/>
      <c r="AT452" s="262"/>
      <c r="AU452" s="262"/>
      <c r="AV452" s="262"/>
      <c r="AW452" s="263"/>
      <c r="AX452" s="232"/>
    </row>
    <row r="453" spans="1:50" s="226" customFormat="1" hidden="1" outlineLevel="1" x14ac:dyDescent="0.3">
      <c r="A453" s="532" t="s">
        <v>7</v>
      </c>
      <c r="B453" s="262"/>
      <c r="C453" s="530" t="s">
        <v>1295</v>
      </c>
      <c r="D453" s="530" t="s">
        <v>1295</v>
      </c>
      <c r="E453" s="530" t="s">
        <v>1295</v>
      </c>
      <c r="F453" s="530" t="s">
        <v>1295</v>
      </c>
      <c r="G453" s="530" t="s">
        <v>1295</v>
      </c>
      <c r="H453" s="262" t="s">
        <v>1295</v>
      </c>
      <c r="I453" s="262" t="s">
        <v>1295</v>
      </c>
      <c r="J453" s="262" t="s">
        <v>1295</v>
      </c>
      <c r="K453" s="262" t="s">
        <v>1295</v>
      </c>
      <c r="L453" s="262" t="s">
        <v>1295</v>
      </c>
      <c r="M453" s="262" t="s">
        <v>1295</v>
      </c>
      <c r="N453" s="262" t="s">
        <v>1295</v>
      </c>
      <c r="O453" s="262" t="s">
        <v>1295</v>
      </c>
      <c r="P453" s="262" t="s">
        <v>1295</v>
      </c>
      <c r="Q453" s="262" t="s">
        <v>1295</v>
      </c>
      <c r="R453" s="262" t="s">
        <v>1295</v>
      </c>
      <c r="S453" s="262" t="s">
        <v>1295</v>
      </c>
      <c r="T453" s="262" t="s">
        <v>1295</v>
      </c>
      <c r="U453" s="262" t="s">
        <v>1295</v>
      </c>
      <c r="V453" s="262" t="s">
        <v>1295</v>
      </c>
      <c r="W453" s="262" t="s">
        <v>1295</v>
      </c>
      <c r="X453" s="262" t="s">
        <v>1295</v>
      </c>
      <c r="Y453" s="262" t="s">
        <v>1295</v>
      </c>
      <c r="Z453" s="262" t="s">
        <v>1295</v>
      </c>
      <c r="AA453" s="262" t="s">
        <v>1295</v>
      </c>
      <c r="AB453" s="262" t="s">
        <v>1295</v>
      </c>
      <c r="AC453" s="262" t="s">
        <v>1295</v>
      </c>
      <c r="AD453" s="262" t="s">
        <v>1295</v>
      </c>
      <c r="AE453" s="262" t="s">
        <v>1295</v>
      </c>
      <c r="AF453" s="262" t="s">
        <v>1295</v>
      </c>
      <c r="AG453" s="262" t="s">
        <v>1295</v>
      </c>
      <c r="AH453" s="262" t="s">
        <v>1295</v>
      </c>
      <c r="AI453" s="262" t="s">
        <v>1295</v>
      </c>
      <c r="AJ453" s="262" t="s">
        <v>1295</v>
      </c>
      <c r="AK453" s="262" t="s">
        <v>1295</v>
      </c>
      <c r="AL453" s="531" t="s">
        <v>1295</v>
      </c>
      <c r="AM453" s="262" t="s">
        <v>1295</v>
      </c>
      <c r="AN453" s="262" t="s">
        <v>1295</v>
      </c>
      <c r="AO453" s="262" t="s">
        <v>1295</v>
      </c>
      <c r="AP453" s="262" t="s">
        <v>1295</v>
      </c>
      <c r="AQ453" s="262" t="s">
        <v>1295</v>
      </c>
      <c r="AR453" s="262" t="s">
        <v>1295</v>
      </c>
      <c r="AS453" s="262" t="s">
        <v>1295</v>
      </c>
      <c r="AT453" s="262" t="s">
        <v>1295</v>
      </c>
      <c r="AU453" s="262" t="s">
        <v>1295</v>
      </c>
      <c r="AV453" s="262" t="s">
        <v>1295</v>
      </c>
      <c r="AW453" s="263" t="s">
        <v>1295</v>
      </c>
      <c r="AX453" s="232"/>
    </row>
    <row r="454" spans="1:50" s="226" customFormat="1" hidden="1" outlineLevel="1" x14ac:dyDescent="0.3">
      <c r="A454" s="532" t="s">
        <v>269</v>
      </c>
      <c r="B454" s="262"/>
      <c r="C454" s="530" t="s">
        <v>1296</v>
      </c>
      <c r="D454" s="530" t="s">
        <v>1296</v>
      </c>
      <c r="E454" s="530" t="s">
        <v>1296</v>
      </c>
      <c r="F454" s="530" t="s">
        <v>1296</v>
      </c>
      <c r="G454" s="530" t="s">
        <v>1296</v>
      </c>
      <c r="H454" s="262" t="s">
        <v>1296</v>
      </c>
      <c r="I454" s="262" t="s">
        <v>1296</v>
      </c>
      <c r="J454" s="262" t="s">
        <v>1296</v>
      </c>
      <c r="K454" s="262" t="s">
        <v>1296</v>
      </c>
      <c r="L454" s="262" t="s">
        <v>1296</v>
      </c>
      <c r="M454" s="262" t="s">
        <v>1296</v>
      </c>
      <c r="N454" s="262" t="s">
        <v>1296</v>
      </c>
      <c r="O454" s="262" t="s">
        <v>1296</v>
      </c>
      <c r="P454" s="262" t="s">
        <v>1296</v>
      </c>
      <c r="Q454" s="262" t="s">
        <v>1296</v>
      </c>
      <c r="R454" s="262" t="s">
        <v>1296</v>
      </c>
      <c r="S454" s="262" t="s">
        <v>1296</v>
      </c>
      <c r="T454" s="262" t="s">
        <v>1296</v>
      </c>
      <c r="U454" s="262" t="s">
        <v>1296</v>
      </c>
      <c r="V454" s="262" t="s">
        <v>1296</v>
      </c>
      <c r="W454" s="262" t="s">
        <v>1296</v>
      </c>
      <c r="X454" s="262" t="s">
        <v>1296</v>
      </c>
      <c r="Y454" s="262" t="s">
        <v>1296</v>
      </c>
      <c r="Z454" s="262" t="s">
        <v>1296</v>
      </c>
      <c r="AA454" s="262" t="s">
        <v>1296</v>
      </c>
      <c r="AB454" s="262" t="s">
        <v>1296</v>
      </c>
      <c r="AC454" s="262" t="s">
        <v>1296</v>
      </c>
      <c r="AD454" s="262" t="s">
        <v>1296</v>
      </c>
      <c r="AE454" s="262" t="s">
        <v>1296</v>
      </c>
      <c r="AF454" s="262" t="s">
        <v>1296</v>
      </c>
      <c r="AG454" s="262" t="s">
        <v>1296</v>
      </c>
      <c r="AH454" s="262" t="s">
        <v>1296</v>
      </c>
      <c r="AI454" s="262" t="s">
        <v>1296</v>
      </c>
      <c r="AJ454" s="262" t="s">
        <v>1296</v>
      </c>
      <c r="AK454" s="262" t="s">
        <v>1296</v>
      </c>
      <c r="AL454" s="531" t="s">
        <v>1296</v>
      </c>
      <c r="AM454" s="262" t="s">
        <v>1296</v>
      </c>
      <c r="AN454" s="262" t="s">
        <v>1296</v>
      </c>
      <c r="AO454" s="262" t="s">
        <v>1296</v>
      </c>
      <c r="AP454" s="262" t="s">
        <v>1296</v>
      </c>
      <c r="AQ454" s="262" t="s">
        <v>1296</v>
      </c>
      <c r="AR454" s="262" t="s">
        <v>1296</v>
      </c>
      <c r="AS454" s="262" t="s">
        <v>1296</v>
      </c>
      <c r="AT454" s="262" t="s">
        <v>1296</v>
      </c>
      <c r="AU454" s="262" t="s">
        <v>1296</v>
      </c>
      <c r="AV454" s="262" t="s">
        <v>1296</v>
      </c>
      <c r="AW454" s="263" t="s">
        <v>1296</v>
      </c>
      <c r="AX454" s="232"/>
    </row>
    <row r="455" spans="1:50" s="226" customFormat="1" hidden="1" outlineLevel="1" x14ac:dyDescent="0.3">
      <c r="A455" s="532" t="s">
        <v>270</v>
      </c>
      <c r="B455" s="262"/>
      <c r="C455" s="530" t="s">
        <v>1295</v>
      </c>
      <c r="D455" s="530" t="s">
        <v>1295</v>
      </c>
      <c r="E455" s="530" t="s">
        <v>1295</v>
      </c>
      <c r="F455" s="530" t="s">
        <v>1295</v>
      </c>
      <c r="G455" s="530" t="s">
        <v>1295</v>
      </c>
      <c r="H455" s="262" t="s">
        <v>1295</v>
      </c>
      <c r="I455" s="262" t="s">
        <v>1295</v>
      </c>
      <c r="J455" s="262" t="s">
        <v>1295</v>
      </c>
      <c r="K455" s="262" t="s">
        <v>1295</v>
      </c>
      <c r="L455" s="262" t="s">
        <v>1295</v>
      </c>
      <c r="M455" s="262" t="s">
        <v>1295</v>
      </c>
      <c r="N455" s="262" t="s">
        <v>1295</v>
      </c>
      <c r="O455" s="262" t="s">
        <v>1295</v>
      </c>
      <c r="P455" s="262" t="s">
        <v>1295</v>
      </c>
      <c r="Q455" s="262" t="s">
        <v>1295</v>
      </c>
      <c r="R455" s="262" t="s">
        <v>1295</v>
      </c>
      <c r="S455" s="262" t="s">
        <v>1295</v>
      </c>
      <c r="T455" s="262" t="s">
        <v>1295</v>
      </c>
      <c r="U455" s="262" t="s">
        <v>1295</v>
      </c>
      <c r="V455" s="262" t="s">
        <v>1295</v>
      </c>
      <c r="W455" s="262" t="s">
        <v>1295</v>
      </c>
      <c r="X455" s="262" t="s">
        <v>1295</v>
      </c>
      <c r="Y455" s="262" t="s">
        <v>1295</v>
      </c>
      <c r="Z455" s="262" t="s">
        <v>1295</v>
      </c>
      <c r="AA455" s="262" t="s">
        <v>1295</v>
      </c>
      <c r="AB455" s="262" t="s">
        <v>1295</v>
      </c>
      <c r="AC455" s="262" t="s">
        <v>1295</v>
      </c>
      <c r="AD455" s="262" t="s">
        <v>1295</v>
      </c>
      <c r="AE455" s="262" t="s">
        <v>1295</v>
      </c>
      <c r="AF455" s="262" t="s">
        <v>1295</v>
      </c>
      <c r="AG455" s="262" t="s">
        <v>1295</v>
      </c>
      <c r="AH455" s="262" t="s">
        <v>1295</v>
      </c>
      <c r="AI455" s="262" t="s">
        <v>1295</v>
      </c>
      <c r="AJ455" s="262" t="s">
        <v>1295</v>
      </c>
      <c r="AK455" s="262" t="s">
        <v>1295</v>
      </c>
      <c r="AL455" s="531" t="s">
        <v>1295</v>
      </c>
      <c r="AM455" s="262" t="s">
        <v>1295</v>
      </c>
      <c r="AN455" s="262" t="s">
        <v>1295</v>
      </c>
      <c r="AO455" s="262" t="s">
        <v>1295</v>
      </c>
      <c r="AP455" s="262" t="s">
        <v>1295</v>
      </c>
      <c r="AQ455" s="262" t="s">
        <v>1295</v>
      </c>
      <c r="AR455" s="262" t="s">
        <v>1295</v>
      </c>
      <c r="AS455" s="262" t="s">
        <v>1295</v>
      </c>
      <c r="AT455" s="262" t="s">
        <v>1295</v>
      </c>
      <c r="AU455" s="262" t="s">
        <v>1295</v>
      </c>
      <c r="AV455" s="262" t="s">
        <v>1295</v>
      </c>
      <c r="AW455" s="263" t="s">
        <v>1295</v>
      </c>
      <c r="AX455" s="232"/>
    </row>
    <row r="456" spans="1:50" s="226" customFormat="1" hidden="1" outlineLevel="1" x14ac:dyDescent="0.3">
      <c r="A456" s="532" t="s">
        <v>271</v>
      </c>
      <c r="B456" s="262"/>
      <c r="C456" s="530" t="s">
        <v>1295</v>
      </c>
      <c r="D456" s="530" t="s">
        <v>1295</v>
      </c>
      <c r="E456" s="530" t="s">
        <v>1295</v>
      </c>
      <c r="F456" s="530" t="s">
        <v>1295</v>
      </c>
      <c r="G456" s="530" t="s">
        <v>1295</v>
      </c>
      <c r="H456" s="262" t="s">
        <v>1295</v>
      </c>
      <c r="I456" s="262" t="s">
        <v>1295</v>
      </c>
      <c r="J456" s="262" t="s">
        <v>1295</v>
      </c>
      <c r="K456" s="262" t="s">
        <v>1295</v>
      </c>
      <c r="L456" s="262" t="s">
        <v>1295</v>
      </c>
      <c r="M456" s="262" t="s">
        <v>1295</v>
      </c>
      <c r="N456" s="262" t="s">
        <v>1295</v>
      </c>
      <c r="O456" s="262" t="s">
        <v>1295</v>
      </c>
      <c r="P456" s="262" t="s">
        <v>1295</v>
      </c>
      <c r="Q456" s="262" t="s">
        <v>1295</v>
      </c>
      <c r="R456" s="262" t="s">
        <v>1295</v>
      </c>
      <c r="S456" s="262" t="s">
        <v>1295</v>
      </c>
      <c r="T456" s="262" t="s">
        <v>1295</v>
      </c>
      <c r="U456" s="262" t="s">
        <v>1295</v>
      </c>
      <c r="V456" s="262" t="s">
        <v>1295</v>
      </c>
      <c r="W456" s="262" t="s">
        <v>1295</v>
      </c>
      <c r="X456" s="262" t="s">
        <v>1295</v>
      </c>
      <c r="Y456" s="262" t="s">
        <v>1295</v>
      </c>
      <c r="Z456" s="262" t="s">
        <v>1295</v>
      </c>
      <c r="AA456" s="262" t="s">
        <v>1295</v>
      </c>
      <c r="AB456" s="262" t="s">
        <v>1295</v>
      </c>
      <c r="AC456" s="262" t="s">
        <v>1295</v>
      </c>
      <c r="AD456" s="262" t="s">
        <v>1295</v>
      </c>
      <c r="AE456" s="262" t="s">
        <v>1295</v>
      </c>
      <c r="AF456" s="262" t="s">
        <v>1295</v>
      </c>
      <c r="AG456" s="262" t="s">
        <v>1295</v>
      </c>
      <c r="AH456" s="262" t="s">
        <v>1295</v>
      </c>
      <c r="AI456" s="262" t="s">
        <v>1295</v>
      </c>
      <c r="AJ456" s="262" t="s">
        <v>1295</v>
      </c>
      <c r="AK456" s="262" t="s">
        <v>1295</v>
      </c>
      <c r="AL456" s="531" t="s">
        <v>1295</v>
      </c>
      <c r="AM456" s="262" t="s">
        <v>1295</v>
      </c>
      <c r="AN456" s="262" t="s">
        <v>1295</v>
      </c>
      <c r="AO456" s="262" t="s">
        <v>1295</v>
      </c>
      <c r="AP456" s="262" t="s">
        <v>1295</v>
      </c>
      <c r="AQ456" s="262" t="s">
        <v>1295</v>
      </c>
      <c r="AR456" s="262" t="s">
        <v>1295</v>
      </c>
      <c r="AS456" s="262" t="s">
        <v>1295</v>
      </c>
      <c r="AT456" s="262" t="s">
        <v>1295</v>
      </c>
      <c r="AU456" s="262" t="s">
        <v>1295</v>
      </c>
      <c r="AV456" s="262" t="s">
        <v>1295</v>
      </c>
      <c r="AW456" s="263" t="s">
        <v>1295</v>
      </c>
      <c r="AX456" s="232"/>
    </row>
    <row r="457" spans="1:50" s="5" customFormat="1" hidden="1" outlineLevel="1" x14ac:dyDescent="0.3">
      <c r="A457" s="514"/>
      <c r="B457" s="93"/>
      <c r="C457" s="519"/>
      <c r="D457" s="519"/>
      <c r="E457" s="519"/>
      <c r="F457" s="519"/>
      <c r="G457" s="519"/>
      <c r="H457" s="93"/>
      <c r="I457" s="93"/>
      <c r="J457" s="93"/>
      <c r="K457" s="93"/>
      <c r="L457" s="93"/>
      <c r="M457" s="93"/>
      <c r="N457" s="93"/>
      <c r="O457" s="93"/>
      <c r="P457" s="93"/>
      <c r="Q457" s="93"/>
      <c r="R457" s="93"/>
      <c r="S457" s="93"/>
      <c r="T457" s="93"/>
      <c r="U457" s="93"/>
      <c r="V457" s="93"/>
      <c r="W457" s="93"/>
      <c r="X457" s="93"/>
      <c r="Y457" s="93"/>
      <c r="Z457" s="93"/>
      <c r="AA457" s="93"/>
      <c r="AB457" s="93"/>
      <c r="AC457" s="93"/>
      <c r="AD457" s="93"/>
      <c r="AE457" s="93"/>
      <c r="AF457" s="93"/>
      <c r="AG457" s="93"/>
      <c r="AH457" s="93"/>
      <c r="AI457" s="93"/>
      <c r="AJ457" s="93"/>
      <c r="AK457" s="93"/>
      <c r="AL457" s="522"/>
      <c r="AM457" s="93"/>
      <c r="AN457" s="93"/>
      <c r="AO457" s="93"/>
      <c r="AP457" s="93"/>
      <c r="AQ457" s="93"/>
      <c r="AR457" s="93"/>
      <c r="AS457" s="93"/>
      <c r="AT457" s="93"/>
      <c r="AU457" s="93"/>
      <c r="AV457" s="93"/>
      <c r="AW457" s="162"/>
      <c r="AX457" s="228"/>
    </row>
    <row r="458" spans="1:50" s="226" customFormat="1" collapsed="1" x14ac:dyDescent="0.3">
      <c r="A458" s="529" t="str">
        <f>IFERROR("Stock Low: "&amp;IF(OR(MO.RealTimeStockPriceToggle=FALSE,VLOOKUP(MO.DataSourceName,MO_SPT_StockLow_Sources,COLUMN()+2,FALSE)="N/A"),"Real-Time Off Source",MO.DataSourceName),"N/A")</f>
        <v>Stock Low: Real-Time Off Source</v>
      </c>
      <c r="B458" s="262"/>
      <c r="C458" s="530">
        <f>IFERROR(IF(OR(MO.RealTimeStockPriceToggle=FALSE,VLOOKUP(MO.DataSourceName,MO_SPT_StockLow_Sources,COLUMN(),FALSE)="N/A"),VLOOKUP("Real-Time Off Source",MO_SPT_StockLow_Sources,COLUMN(),FALSE),VLOOKUP(MO.DataSourceName,MO_SPT_StockLow_Sources,COLUMN(),FALSE)),"N/A")</f>
        <v>6.9</v>
      </c>
      <c r="D458" s="530">
        <f>IFERROR(IF(OR(MO.RealTimeStockPriceToggle=FALSE,VLOOKUP(MO.DataSourceName,MO_SPT_StockLow_Sources,COLUMN(),FALSE)="N/A"),VLOOKUP("Real-Time Off Source",MO_SPT_StockLow_Sources,COLUMN(),FALSE),VLOOKUP(MO.DataSourceName,MO_SPT_StockLow_Sources,COLUMN(),FALSE)),"N/A")</f>
        <v>14.79</v>
      </c>
      <c r="E458" s="530">
        <f>IFERROR(IF(OR(MO.RealTimeStockPriceToggle=FALSE,VLOOKUP(MO.DataSourceName,MO_SPT_StockLow_Sources,COLUMN(),FALSE)="N/A"),VLOOKUP("Real-Time Off Source",MO_SPT_StockLow_Sources,COLUMN(),FALSE),VLOOKUP(MO.DataSourceName,MO_SPT_StockLow_Sources,COLUMN(),FALSE)),"N/A")</f>
        <v>23.96</v>
      </c>
      <c r="F458" s="530">
        <f>IFERROR(IF(OR(MO.RealTimeStockPriceToggle=FALSE,VLOOKUP(MO.DataSourceName,MO_SPT_StockLow_Sources,COLUMN(),FALSE)="N/A"),VLOOKUP("Real-Time Off Source",MO_SPT_StockLow_Sources,COLUMN(),FALSE),VLOOKUP(MO.DataSourceName,MO_SPT_StockLow_Sources,COLUMN(),FALSE)),"N/A")</f>
        <v>30</v>
      </c>
      <c r="G458" s="530">
        <f>IFERROR(IF(OR(MO.RealTimeStockPriceToggle=FALSE,VLOOKUP(MO.DataSourceName,MO_SPT_StockLow_Sources,COLUMN(),FALSE)="N/A"),VLOOKUP("Real-Time Off Source",MO_SPT_StockLow_Sources,COLUMN(),FALSE),VLOOKUP(MO.DataSourceName,MO_SPT_StockLow_Sources,COLUMN(),FALSE)),"N/A")</f>
        <v>41.75</v>
      </c>
      <c r="H458" s="262">
        <f>IFERROR(IF(OR(MO.RealTimeStockPriceToggle=FALSE,VLOOKUP(MO.DataSourceName,MO_SPT_StockLow_Sources,COLUMN(),FALSE)="N/A"),VLOOKUP("Real-Time Off Source",MO_SPT_StockLow_Sources,COLUMN(),FALSE),VLOOKUP(MO.DataSourceName,MO_SPT_StockLow_Sources,COLUMN(),FALSE)),"N/A")</f>
        <v>42.58</v>
      </c>
      <c r="I458" s="262">
        <f>IFERROR(IF(OR(MO.RealTimeStockPriceToggle=FALSE,VLOOKUP(MO.DataSourceName,MO_SPT_StockLow_Sources,COLUMN(),FALSE)="N/A"),VLOOKUP("Real-Time Off Source",MO_SPT_StockLow_Sources,COLUMN(),FALSE),VLOOKUP(MO.DataSourceName,MO_SPT_StockLow_Sources,COLUMN(),FALSE)),"N/A")</f>
        <v>33.69</v>
      </c>
      <c r="J458" s="262">
        <f>IFERROR(IF(OR(MO.RealTimeStockPriceToggle=FALSE,VLOOKUP(MO.DataSourceName,MO_SPT_StockLow_Sources,COLUMN(),FALSE)="N/A"),VLOOKUP("Real-Time Off Source",MO_SPT_StockLow_Sources,COLUMN(),FALSE),VLOOKUP(MO.DataSourceName,MO_SPT_StockLow_Sources,COLUMN(),FALSE)),"N/A")</f>
        <v>32.35</v>
      </c>
      <c r="K458" s="262">
        <f>IFERROR(IF(OR(MO.RealTimeStockPriceToggle=FALSE,VLOOKUP(MO.DataSourceName,MO_SPT_StockLow_Sources,COLUMN(),FALSE)="N/A"),VLOOKUP("Real-Time Off Source",MO_SPT_StockLow_Sources,COLUMN(),FALSE),VLOOKUP(MO.DataSourceName,MO_SPT_StockLow_Sources,COLUMN(),FALSE)),"N/A")</f>
        <v>32.35</v>
      </c>
      <c r="L458" s="262">
        <f>IFERROR(IF(OR(MO.RealTimeStockPriceToggle=FALSE,VLOOKUP(MO.DataSourceName,MO_SPT_StockLow_Sources,COLUMN(),FALSE)="N/A"),VLOOKUP("Real-Time Off Source",MO_SPT_StockLow_Sources,COLUMN(),FALSE),VLOOKUP(MO.DataSourceName,MO_SPT_StockLow_Sources,COLUMN(),FALSE)),"N/A")</f>
        <v>33.07</v>
      </c>
      <c r="M458" s="262">
        <f>IFERROR(IF(OR(MO.RealTimeStockPriceToggle=FALSE,VLOOKUP(MO.DataSourceName,MO_SPT_StockLow_Sources,COLUMN(),FALSE)="N/A"),VLOOKUP("Real-Time Off Source",MO_SPT_StockLow_Sources,COLUMN(),FALSE),VLOOKUP(MO.DataSourceName,MO_SPT_StockLow_Sources,COLUMN(),FALSE)),"N/A")</f>
        <v>30.58</v>
      </c>
      <c r="N458" s="262">
        <f>IFERROR(IF(OR(MO.RealTimeStockPriceToggle=FALSE,VLOOKUP(MO.DataSourceName,MO_SPT_StockLow_Sources,COLUMN(),FALSE)="N/A"),VLOOKUP("Real-Time Off Source",MO_SPT_StockLow_Sources,COLUMN(),FALSE),VLOOKUP(MO.DataSourceName,MO_SPT_StockLow_Sources,COLUMN(),FALSE)),"N/A")</f>
        <v>33.33</v>
      </c>
      <c r="O458" s="262">
        <f>IFERROR(IF(OR(MO.RealTimeStockPriceToggle=FALSE,VLOOKUP(MO.DataSourceName,MO_SPT_StockLow_Sources,COLUMN(),FALSE)="N/A"),VLOOKUP("Real-Time Off Source",MO_SPT_StockLow_Sources,COLUMN(),FALSE),VLOOKUP(MO.DataSourceName,MO_SPT_StockLow_Sources,COLUMN(),FALSE)),"N/A")</f>
        <v>39.21</v>
      </c>
      <c r="P458" s="262">
        <f>IFERROR(IF(OR(MO.RealTimeStockPriceToggle=FALSE,VLOOKUP(MO.DataSourceName,MO_SPT_StockLow_Sources,COLUMN(),FALSE)="N/A"),VLOOKUP("Real-Time Off Source",MO_SPT_StockLow_Sources,COLUMN(),FALSE),VLOOKUP(MO.DataSourceName,MO_SPT_StockLow_Sources,COLUMN(),FALSE)),"N/A")</f>
        <v>30.58</v>
      </c>
      <c r="Q458" s="262">
        <f>IFERROR(IF(OR(MO.RealTimeStockPriceToggle=FALSE,VLOOKUP(MO.DataSourceName,MO_SPT_StockLow_Sources,COLUMN(),FALSE)="N/A"),VLOOKUP("Real-Time Off Source",MO_SPT_StockLow_Sources,COLUMN(),FALSE),VLOOKUP(MO.DataSourceName,MO_SPT_StockLow_Sources,COLUMN(),FALSE)),"N/A")</f>
        <v>42.37</v>
      </c>
      <c r="R458" s="262">
        <f>IFERROR(IF(OR(MO.RealTimeStockPriceToggle=FALSE,VLOOKUP(MO.DataSourceName,MO_SPT_StockLow_Sources,COLUMN(),FALSE)="N/A"),VLOOKUP("Real-Time Off Source",MO_SPT_StockLow_Sources,COLUMN(),FALSE),VLOOKUP(MO.DataSourceName,MO_SPT_StockLow_Sources,COLUMN(),FALSE)),"N/A")</f>
        <v>44.28</v>
      </c>
      <c r="S458" s="262">
        <f>IFERROR(IF(OR(MO.RealTimeStockPriceToggle=FALSE,VLOOKUP(MO.DataSourceName,MO_SPT_StockLow_Sources,COLUMN(),FALSE)="N/A"),VLOOKUP("Real-Time Off Source",MO_SPT_StockLow_Sources,COLUMN(),FALSE),VLOOKUP(MO.DataSourceName,MO_SPT_StockLow_Sources,COLUMN(),FALSE)),"N/A")</f>
        <v>32.24</v>
      </c>
      <c r="T458" s="262">
        <f>IFERROR(IF(OR(MO.RealTimeStockPriceToggle=FALSE,VLOOKUP(MO.DataSourceName,MO_SPT_StockLow_Sources,COLUMN(),FALSE)="N/A"),VLOOKUP("Real-Time Off Source",MO_SPT_StockLow_Sources,COLUMN(),FALSE),VLOOKUP(MO.DataSourceName,MO_SPT_StockLow_Sources,COLUMN(),FALSE)),"N/A")</f>
        <v>37.049999999999997</v>
      </c>
      <c r="U458" s="262">
        <f>IFERROR(IF(OR(MO.RealTimeStockPriceToggle=FALSE,VLOOKUP(MO.DataSourceName,MO_SPT_StockLow_Sources,COLUMN(),FALSE)="N/A"),VLOOKUP("Real-Time Off Source",MO_SPT_StockLow_Sources,COLUMN(),FALSE),VLOOKUP(MO.DataSourceName,MO_SPT_StockLow_Sources,COLUMN(),FALSE)),"N/A")</f>
        <v>32.24</v>
      </c>
      <c r="V458" s="262">
        <f>IFERROR(IF(OR(MO.RealTimeStockPriceToggle=FALSE,VLOOKUP(MO.DataSourceName,MO_SPT_StockLow_Sources,COLUMN(),FALSE)="N/A"),VLOOKUP("Real-Time Off Source",MO_SPT_StockLow_Sources,COLUMN(),FALSE),VLOOKUP(MO.DataSourceName,MO_SPT_StockLow_Sources,COLUMN(),FALSE)),"N/A")</f>
        <v>37.54</v>
      </c>
      <c r="W458" s="262">
        <f>IFERROR(IF(OR(MO.RealTimeStockPriceToggle=FALSE,VLOOKUP(MO.DataSourceName,MO_SPT_StockLow_Sources,COLUMN(),FALSE)="N/A"),VLOOKUP("Real-Time Off Source",MO_SPT_StockLow_Sources,COLUMN(),FALSE),VLOOKUP(MO.DataSourceName,MO_SPT_StockLow_Sources,COLUMN(),FALSE)),"N/A")</f>
        <v>40.54</v>
      </c>
      <c r="X458" s="262">
        <f>IFERROR(IF(OR(MO.RealTimeStockPriceToggle=FALSE,VLOOKUP(MO.DataSourceName,MO_SPT_StockLow_Sources,COLUMN(),FALSE)="N/A"),VLOOKUP("Real-Time Off Source",MO_SPT_StockLow_Sources,COLUMN(),FALSE),VLOOKUP(MO.DataSourceName,MO_SPT_StockLow_Sources,COLUMN(),FALSE)),"N/A")</f>
        <v>39.53</v>
      </c>
      <c r="Y458" s="262">
        <f>IFERROR(IF(OR(MO.RealTimeStockPriceToggle=FALSE,VLOOKUP(MO.DataSourceName,MO_SPT_StockLow_Sources,COLUMN(),FALSE)="N/A"),VLOOKUP("Real-Time Off Source",MO_SPT_StockLow_Sources,COLUMN(),FALSE),VLOOKUP(MO.DataSourceName,MO_SPT_StockLow_Sources,COLUMN(),FALSE)),"N/A")</f>
        <v>38.75</v>
      </c>
      <c r="Z458" s="262">
        <f>IFERROR(IF(OR(MO.RealTimeStockPriceToggle=FALSE,VLOOKUP(MO.DataSourceName,MO_SPT_StockLow_Sources,COLUMN(),FALSE)="N/A"),VLOOKUP("Real-Time Off Source",MO_SPT_StockLow_Sources,COLUMN(),FALSE),VLOOKUP(MO.DataSourceName,MO_SPT_StockLow_Sources,COLUMN(),FALSE)),"N/A")</f>
        <v>37.54</v>
      </c>
      <c r="AA458" s="262">
        <f>IFERROR(IF(OR(MO.RealTimeStockPriceToggle=FALSE,VLOOKUP(MO.DataSourceName,MO_SPT_StockLow_Sources,COLUMN(),FALSE)="N/A"),VLOOKUP("Real-Time Off Source",MO_SPT_StockLow_Sources,COLUMN(),FALSE),VLOOKUP(MO.DataSourceName,MO_SPT_StockLow_Sources,COLUMN(),FALSE)),"N/A")</f>
        <v>40.700000000000003</v>
      </c>
      <c r="AB458" s="262">
        <f>IFERROR(IF(OR(MO.RealTimeStockPriceToggle=FALSE,VLOOKUP(MO.DataSourceName,MO_SPT_StockLow_Sources,COLUMN(),FALSE)="N/A"),VLOOKUP("Real-Time Off Source",MO_SPT_StockLow_Sources,COLUMN(),FALSE),VLOOKUP(MO.DataSourceName,MO_SPT_StockLow_Sources,COLUMN(),FALSE)),"N/A")</f>
        <v>41.55</v>
      </c>
      <c r="AC458" s="262">
        <f>IFERROR(IF(OR(MO.RealTimeStockPriceToggle=FALSE,VLOOKUP(MO.DataSourceName,MO_SPT_StockLow_Sources,COLUMN(),FALSE)="N/A"),VLOOKUP("Real-Time Off Source",MO_SPT_StockLow_Sources,COLUMN(),FALSE),VLOOKUP(MO.DataSourceName,MO_SPT_StockLow_Sources,COLUMN(),FALSE)),"N/A")</f>
        <v>42.05</v>
      </c>
      <c r="AD458" s="262">
        <f>IFERROR(IF(OR(MO.RealTimeStockPriceToggle=FALSE,VLOOKUP(MO.DataSourceName,MO_SPT_StockLow_Sources,COLUMN(),FALSE)="N/A"),VLOOKUP("Real-Time Off Source",MO_SPT_StockLow_Sources,COLUMN(),FALSE),VLOOKUP(MO.DataSourceName,MO_SPT_StockLow_Sources,COLUMN(),FALSE)),"N/A")</f>
        <v>42.25</v>
      </c>
      <c r="AE458" s="262">
        <f>IFERROR(IF(OR(MO.RealTimeStockPriceToggle=FALSE,VLOOKUP(MO.DataSourceName,MO_SPT_StockLow_Sources,COLUMN(),FALSE)="N/A"),VLOOKUP("Real-Time Off Source",MO_SPT_StockLow_Sources,COLUMN(),FALSE),VLOOKUP(MO.DataSourceName,MO_SPT_StockLow_Sources,COLUMN(),FALSE)),"N/A")</f>
        <v>40.700000000000003</v>
      </c>
      <c r="AF458" s="262">
        <f>IFERROR(IF(OR(MO.RealTimeStockPriceToggle=FALSE,VLOOKUP(MO.DataSourceName,MO_SPT_StockLow_Sources,COLUMN(),FALSE)="N/A"),VLOOKUP("Real-Time Off Source",MO_SPT_StockLow_Sources,COLUMN(),FALSE),VLOOKUP(MO.DataSourceName,MO_SPT_StockLow_Sources,COLUMN(),FALSE)),"N/A")</f>
        <v>59.3</v>
      </c>
      <c r="AG458" s="262">
        <f>IFERROR(IF(OR(MO.RealTimeStockPriceToggle=FALSE,VLOOKUP(MO.DataSourceName,MO_SPT_StockLow_Sources,COLUMN(),FALSE)="N/A"),VLOOKUP("Real-Time Off Source",MO_SPT_StockLow_Sources,COLUMN(),FALSE),VLOOKUP(MO.DataSourceName,MO_SPT_StockLow_Sources,COLUMN(),FALSE)),"N/A")</f>
        <v>71.2</v>
      </c>
      <c r="AH458" s="262">
        <f>IFERROR(IF(OR(MO.RealTimeStockPriceToggle=FALSE,VLOOKUP(MO.DataSourceName,MO_SPT_StockLow_Sources,COLUMN(),FALSE)="N/A"),VLOOKUP("Real-Time Off Source",MO_SPT_StockLow_Sources,COLUMN(),FALSE),VLOOKUP(MO.DataSourceName,MO_SPT_StockLow_Sources,COLUMN(),FALSE)),"N/A")</f>
        <v>72.400000000000006</v>
      </c>
      <c r="AI458" s="262">
        <f>IFERROR(IF(OR(MO.RealTimeStockPriceToggle=FALSE,VLOOKUP(MO.DataSourceName,MO_SPT_StockLow_Sources,COLUMN(),FALSE)="N/A"),VLOOKUP("Real-Time Off Source",MO_SPT_StockLow_Sources,COLUMN(),FALSE),VLOOKUP(MO.DataSourceName,MO_SPT_StockLow_Sources,COLUMN(),FALSE)),"N/A")</f>
        <v>65.98</v>
      </c>
      <c r="AJ458" s="262">
        <f>IFERROR(IF(OR(MO.RealTimeStockPriceToggle=FALSE,VLOOKUP(MO.DataSourceName,MO_SPT_StockLow_Sources,COLUMN(),FALSE)="N/A"),VLOOKUP("Real-Time Off Source",MO_SPT_StockLow_Sources,COLUMN(),FALSE),VLOOKUP(MO.DataSourceName,MO_SPT_StockLow_Sources,COLUMN(),FALSE)),"N/A")</f>
        <v>59.3</v>
      </c>
      <c r="AK458" s="262">
        <f>IFERROR(IF(OR(MO.RealTimeStockPriceToggle=FALSE,VLOOKUP(MO.DataSourceName,MO_SPT_StockLow_Sources,COLUMN(),FALSE)="N/A"),VLOOKUP("Real-Time Off Source",MO_SPT_StockLow_Sources,COLUMN(),FALSE),VLOOKUP(MO.DataSourceName,MO_SPT_StockLow_Sources,COLUMN(),FALSE)),"N/A")</f>
        <v>80.400000000000006</v>
      </c>
      <c r="AL458" s="531">
        <f>IFERROR(IF(OR(MO.RealTimeStockPriceToggle=FALSE,VLOOKUP(MO.DataSourceName,MO_SPT_StockLow_Sources,COLUMN(),FALSE)="N/A"),VLOOKUP("Real-Time Off Source",MO_SPT_StockLow_Sources,COLUMN(),FALSE),VLOOKUP(MO.DataSourceName,MO_SPT_StockLow_Sources,COLUMN(),FALSE)),"N/A")</f>
        <v>109.64</v>
      </c>
      <c r="AM458" s="262">
        <f>IFERROR(IF(OR(MO.RealTimeStockPriceToggle=FALSE,VLOOKUP(MO.DataSourceName,MO_SPT_StockLow_Sources,COLUMN(),FALSE)="N/A"),VLOOKUP("Real-Time Off Source",MO_SPT_StockLow_Sources,COLUMN(),FALSE),VLOOKUP(MO.DataSourceName,MO_SPT_StockLow_Sources,COLUMN(),FALSE)),"N/A")</f>
        <v>0</v>
      </c>
      <c r="AN458" s="262">
        <f>IFERROR(IF(OR(MO.RealTimeStockPriceToggle=FALSE,VLOOKUP(MO.DataSourceName,MO_SPT_StockLow_Sources,COLUMN(),FALSE)="N/A"),VLOOKUP("Real-Time Off Source",MO_SPT_StockLow_Sources,COLUMN(),FALSE),VLOOKUP(MO.DataSourceName,MO_SPT_StockLow_Sources,COLUMN(),FALSE)),"N/A")</f>
        <v>0</v>
      </c>
      <c r="AO458" s="262">
        <f>IFERROR(IF(OR(MO.RealTimeStockPriceToggle=FALSE,VLOOKUP(MO.DataSourceName,MO_SPT_StockLow_Sources,COLUMN(),FALSE)="N/A"),VLOOKUP("Real-Time Off Source",MO_SPT_StockLow_Sources,COLUMN(),FALSE),VLOOKUP(MO.DataSourceName,MO_SPT_StockLow_Sources,COLUMN(),FALSE)),"N/A")</f>
        <v>0</v>
      </c>
      <c r="AP458" s="262">
        <f>IFERROR(IF(OR(MO.RealTimeStockPriceToggle=FALSE,VLOOKUP(MO.DataSourceName,MO_SPT_StockLow_Sources,COLUMN(),FALSE)="N/A"),VLOOKUP("Real-Time Off Source",MO_SPT_StockLow_Sources,COLUMN(),FALSE),VLOOKUP(MO.DataSourceName,MO_SPT_StockLow_Sources,COLUMN(),FALSE)),"N/A")</f>
        <v>0</v>
      </c>
      <c r="AQ458" s="262">
        <f>IFERROR(IF(OR(MO.RealTimeStockPriceToggle=FALSE,VLOOKUP(MO.DataSourceName,MO_SPT_StockLow_Sources,COLUMN(),FALSE)="N/A"),VLOOKUP("Real-Time Off Source",MO_SPT_StockLow_Sources,COLUMN(),FALSE),VLOOKUP(MO.DataSourceName,MO_SPT_StockLow_Sources,COLUMN(),FALSE)),"N/A")</f>
        <v>0</v>
      </c>
      <c r="AR458" s="262">
        <f>IFERROR(IF(OR(MO.RealTimeStockPriceToggle=FALSE,VLOOKUP(MO.DataSourceName,MO_SPT_StockLow_Sources,COLUMN(),FALSE)="N/A"),VLOOKUP("Real-Time Off Source",MO_SPT_StockLow_Sources,COLUMN(),FALSE),VLOOKUP(MO.DataSourceName,MO_SPT_StockLow_Sources,COLUMN(),FALSE)),"N/A")</f>
        <v>0</v>
      </c>
      <c r="AS458" s="262">
        <f>IFERROR(IF(OR(MO.RealTimeStockPriceToggle=FALSE,VLOOKUP(MO.DataSourceName,MO_SPT_StockLow_Sources,COLUMN(),FALSE)="N/A"),VLOOKUP("Real-Time Off Source",MO_SPT_StockLow_Sources,COLUMN(),FALSE),VLOOKUP(MO.DataSourceName,MO_SPT_StockLow_Sources,COLUMN(),FALSE)),"N/A")</f>
        <v>0</v>
      </c>
      <c r="AT458" s="262">
        <f>IFERROR(IF(OR(MO.RealTimeStockPriceToggle=FALSE,VLOOKUP(MO.DataSourceName,MO_SPT_StockLow_Sources,COLUMN(),FALSE)="N/A"),VLOOKUP("Real-Time Off Source",MO_SPT_StockLow_Sources,COLUMN(),FALSE),VLOOKUP(MO.DataSourceName,MO_SPT_StockLow_Sources,COLUMN(),FALSE)),"N/A")</f>
        <v>0</v>
      </c>
      <c r="AU458" s="262">
        <f>IFERROR(IF(OR(MO.RealTimeStockPriceToggle=FALSE,VLOOKUP(MO.DataSourceName,MO_SPT_StockLow_Sources,COLUMN(),FALSE)="N/A"),VLOOKUP("Real-Time Off Source",MO_SPT_StockLow_Sources,COLUMN(),FALSE),VLOOKUP(MO.DataSourceName,MO_SPT_StockLow_Sources,COLUMN(),FALSE)),"N/A")</f>
        <v>0</v>
      </c>
      <c r="AV458" s="262">
        <f>IFERROR(IF(OR(MO.RealTimeStockPriceToggle=FALSE,VLOOKUP(MO.DataSourceName,MO_SPT_StockLow_Sources,COLUMN(),FALSE)="N/A"),VLOOKUP("Real-Time Off Source",MO_SPT_StockLow_Sources,COLUMN(),FALSE),VLOOKUP(MO.DataSourceName,MO_SPT_StockLow_Sources,COLUMN(),FALSE)),"N/A")</f>
        <v>0</v>
      </c>
      <c r="AW458" s="263">
        <f>IFERROR(IF(OR(MO.RealTimeStockPriceToggle=FALSE,VLOOKUP(MO.DataSourceName,MO_SPT_StockLow_Sources,COLUMN(),FALSE)="N/A"),VLOOKUP("Real-Time Off Source",MO_SPT_StockLow_Sources,COLUMN(),FALSE),VLOOKUP(MO.DataSourceName,MO_SPT_StockLow_Sources,COLUMN(),FALSE)),"N/A")</f>
        <v>0</v>
      </c>
      <c r="AX458" s="232"/>
    </row>
    <row r="459" spans="1:50" s="226" customFormat="1" hidden="1" outlineLevel="1" x14ac:dyDescent="0.3">
      <c r="A459" s="532" t="s">
        <v>268</v>
      </c>
      <c r="B459" s="262"/>
      <c r="C459" s="530">
        <v>6.9</v>
      </c>
      <c r="D459" s="530">
        <v>14.79</v>
      </c>
      <c r="E459" s="530">
        <v>23.96</v>
      </c>
      <c r="F459" s="530">
        <v>30</v>
      </c>
      <c r="G459" s="530">
        <v>41.75</v>
      </c>
      <c r="H459" s="262">
        <v>42.58</v>
      </c>
      <c r="I459" s="262">
        <v>33.69</v>
      </c>
      <c r="J459" s="262">
        <v>32.35</v>
      </c>
      <c r="K459" s="262">
        <v>32.35</v>
      </c>
      <c r="L459" s="262">
        <v>33.07</v>
      </c>
      <c r="M459" s="262">
        <v>30.58</v>
      </c>
      <c r="N459" s="262">
        <v>33.33</v>
      </c>
      <c r="O459" s="262">
        <v>39.21</v>
      </c>
      <c r="P459" s="262">
        <v>30.58</v>
      </c>
      <c r="Q459" s="262">
        <v>42.37</v>
      </c>
      <c r="R459" s="262">
        <v>44.28</v>
      </c>
      <c r="S459" s="262">
        <v>32.24</v>
      </c>
      <c r="T459" s="262">
        <v>37.049999999999997</v>
      </c>
      <c r="U459" s="262">
        <v>32.24</v>
      </c>
      <c r="V459" s="262">
        <v>37.54</v>
      </c>
      <c r="W459" s="262">
        <v>40.54</v>
      </c>
      <c r="X459" s="262">
        <v>39.53</v>
      </c>
      <c r="Y459" s="262">
        <v>38.75</v>
      </c>
      <c r="Z459" s="262">
        <v>37.54</v>
      </c>
      <c r="AA459" s="262">
        <v>40.700000000000003</v>
      </c>
      <c r="AB459" s="262">
        <v>41.55</v>
      </c>
      <c r="AC459" s="262">
        <v>42.05</v>
      </c>
      <c r="AD459" s="262">
        <v>42.25</v>
      </c>
      <c r="AE459" s="262">
        <v>40.700000000000003</v>
      </c>
      <c r="AF459" s="262">
        <v>59.3</v>
      </c>
      <c r="AG459" s="262">
        <v>71.2</v>
      </c>
      <c r="AH459" s="262">
        <v>72.400000000000006</v>
      </c>
      <c r="AI459" s="262">
        <v>65.98</v>
      </c>
      <c r="AJ459" s="262">
        <v>59.3</v>
      </c>
      <c r="AK459" s="262">
        <v>80.400000000000006</v>
      </c>
      <c r="AL459" s="531">
        <v>109.64</v>
      </c>
      <c r="AM459" s="262"/>
      <c r="AN459" s="262"/>
      <c r="AO459" s="262"/>
      <c r="AP459" s="262"/>
      <c r="AQ459" s="262"/>
      <c r="AR459" s="262"/>
      <c r="AS459" s="262"/>
      <c r="AT459" s="262"/>
      <c r="AU459" s="262"/>
      <c r="AV459" s="262"/>
      <c r="AW459" s="263"/>
      <c r="AX459" s="232"/>
    </row>
    <row r="460" spans="1:50" s="226" customFormat="1" hidden="1" outlineLevel="1" x14ac:dyDescent="0.3">
      <c r="A460" s="532" t="s">
        <v>7</v>
      </c>
      <c r="B460" s="262"/>
      <c r="C460" s="530" t="s">
        <v>1295</v>
      </c>
      <c r="D460" s="530" t="s">
        <v>1295</v>
      </c>
      <c r="E460" s="530" t="s">
        <v>1295</v>
      </c>
      <c r="F460" s="530" t="s">
        <v>1295</v>
      </c>
      <c r="G460" s="530" t="s">
        <v>1295</v>
      </c>
      <c r="H460" s="262" t="s">
        <v>1295</v>
      </c>
      <c r="I460" s="262" t="s">
        <v>1295</v>
      </c>
      <c r="J460" s="262" t="s">
        <v>1295</v>
      </c>
      <c r="K460" s="262" t="s">
        <v>1295</v>
      </c>
      <c r="L460" s="262" t="s">
        <v>1295</v>
      </c>
      <c r="M460" s="262" t="s">
        <v>1295</v>
      </c>
      <c r="N460" s="262" t="s">
        <v>1295</v>
      </c>
      <c r="O460" s="262" t="s">
        <v>1295</v>
      </c>
      <c r="P460" s="262" t="s">
        <v>1295</v>
      </c>
      <c r="Q460" s="262" t="s">
        <v>1295</v>
      </c>
      <c r="R460" s="262" t="s">
        <v>1295</v>
      </c>
      <c r="S460" s="262" t="s">
        <v>1295</v>
      </c>
      <c r="T460" s="262" t="s">
        <v>1295</v>
      </c>
      <c r="U460" s="262" t="s">
        <v>1295</v>
      </c>
      <c r="V460" s="262" t="s">
        <v>1295</v>
      </c>
      <c r="W460" s="262" t="s">
        <v>1295</v>
      </c>
      <c r="X460" s="262" t="s">
        <v>1295</v>
      </c>
      <c r="Y460" s="262" t="s">
        <v>1295</v>
      </c>
      <c r="Z460" s="262" t="s">
        <v>1295</v>
      </c>
      <c r="AA460" s="262" t="s">
        <v>1295</v>
      </c>
      <c r="AB460" s="262" t="s">
        <v>1295</v>
      </c>
      <c r="AC460" s="262" t="s">
        <v>1295</v>
      </c>
      <c r="AD460" s="262" t="s">
        <v>1295</v>
      </c>
      <c r="AE460" s="262" t="s">
        <v>1295</v>
      </c>
      <c r="AF460" s="262" t="s">
        <v>1295</v>
      </c>
      <c r="AG460" s="262" t="s">
        <v>1295</v>
      </c>
      <c r="AH460" s="262" t="s">
        <v>1295</v>
      </c>
      <c r="AI460" s="262" t="s">
        <v>1295</v>
      </c>
      <c r="AJ460" s="262" t="s">
        <v>1295</v>
      </c>
      <c r="AK460" s="262" t="s">
        <v>1295</v>
      </c>
      <c r="AL460" s="531" t="s">
        <v>1295</v>
      </c>
      <c r="AM460" s="262" t="s">
        <v>1295</v>
      </c>
      <c r="AN460" s="262" t="s">
        <v>1295</v>
      </c>
      <c r="AO460" s="262" t="s">
        <v>1295</v>
      </c>
      <c r="AP460" s="262" t="s">
        <v>1295</v>
      </c>
      <c r="AQ460" s="262" t="s">
        <v>1295</v>
      </c>
      <c r="AR460" s="262" t="s">
        <v>1295</v>
      </c>
      <c r="AS460" s="262" t="s">
        <v>1295</v>
      </c>
      <c r="AT460" s="262" t="s">
        <v>1295</v>
      </c>
      <c r="AU460" s="262" t="s">
        <v>1295</v>
      </c>
      <c r="AV460" s="262" t="s">
        <v>1295</v>
      </c>
      <c r="AW460" s="263" t="s">
        <v>1295</v>
      </c>
      <c r="AX460" s="232"/>
    </row>
    <row r="461" spans="1:50" s="226" customFormat="1" hidden="1" outlineLevel="1" x14ac:dyDescent="0.3">
      <c r="A461" s="532" t="s">
        <v>269</v>
      </c>
      <c r="B461" s="262"/>
      <c r="C461" s="530" t="s">
        <v>1296</v>
      </c>
      <c r="D461" s="530" t="s">
        <v>1296</v>
      </c>
      <c r="E461" s="530" t="s">
        <v>1296</v>
      </c>
      <c r="F461" s="530" t="s">
        <v>1296</v>
      </c>
      <c r="G461" s="530" t="s">
        <v>1296</v>
      </c>
      <c r="H461" s="262" t="s">
        <v>1296</v>
      </c>
      <c r="I461" s="262" t="s">
        <v>1296</v>
      </c>
      <c r="J461" s="262" t="s">
        <v>1296</v>
      </c>
      <c r="K461" s="262" t="s">
        <v>1296</v>
      </c>
      <c r="L461" s="262" t="s">
        <v>1296</v>
      </c>
      <c r="M461" s="262" t="s">
        <v>1296</v>
      </c>
      <c r="N461" s="262" t="s">
        <v>1296</v>
      </c>
      <c r="O461" s="262" t="s">
        <v>1296</v>
      </c>
      <c r="P461" s="262" t="s">
        <v>1296</v>
      </c>
      <c r="Q461" s="262" t="s">
        <v>1296</v>
      </c>
      <c r="R461" s="262" t="s">
        <v>1296</v>
      </c>
      <c r="S461" s="262" t="s">
        <v>1296</v>
      </c>
      <c r="T461" s="262" t="s">
        <v>1296</v>
      </c>
      <c r="U461" s="262" t="s">
        <v>1296</v>
      </c>
      <c r="V461" s="262" t="s">
        <v>1296</v>
      </c>
      <c r="W461" s="262" t="s">
        <v>1296</v>
      </c>
      <c r="X461" s="262" t="s">
        <v>1296</v>
      </c>
      <c r="Y461" s="262" t="s">
        <v>1296</v>
      </c>
      <c r="Z461" s="262" t="s">
        <v>1296</v>
      </c>
      <c r="AA461" s="262" t="s">
        <v>1296</v>
      </c>
      <c r="AB461" s="262" t="s">
        <v>1296</v>
      </c>
      <c r="AC461" s="262" t="s">
        <v>1296</v>
      </c>
      <c r="AD461" s="262" t="s">
        <v>1296</v>
      </c>
      <c r="AE461" s="262" t="s">
        <v>1296</v>
      </c>
      <c r="AF461" s="262" t="s">
        <v>1296</v>
      </c>
      <c r="AG461" s="262" t="s">
        <v>1296</v>
      </c>
      <c r="AH461" s="262" t="s">
        <v>1296</v>
      </c>
      <c r="AI461" s="262" t="s">
        <v>1296</v>
      </c>
      <c r="AJ461" s="262" t="s">
        <v>1296</v>
      </c>
      <c r="AK461" s="262" t="s">
        <v>1296</v>
      </c>
      <c r="AL461" s="531" t="s">
        <v>1296</v>
      </c>
      <c r="AM461" s="262" t="s">
        <v>1296</v>
      </c>
      <c r="AN461" s="262" t="s">
        <v>1296</v>
      </c>
      <c r="AO461" s="262" t="s">
        <v>1296</v>
      </c>
      <c r="AP461" s="262" t="s">
        <v>1296</v>
      </c>
      <c r="AQ461" s="262" t="s">
        <v>1296</v>
      </c>
      <c r="AR461" s="262" t="s">
        <v>1296</v>
      </c>
      <c r="AS461" s="262" t="s">
        <v>1296</v>
      </c>
      <c r="AT461" s="262" t="s">
        <v>1296</v>
      </c>
      <c r="AU461" s="262" t="s">
        <v>1296</v>
      </c>
      <c r="AV461" s="262" t="s">
        <v>1296</v>
      </c>
      <c r="AW461" s="263" t="s">
        <v>1296</v>
      </c>
      <c r="AX461" s="232"/>
    </row>
    <row r="462" spans="1:50" s="226" customFormat="1" hidden="1" outlineLevel="1" x14ac:dyDescent="0.3">
      <c r="A462" s="532" t="s">
        <v>270</v>
      </c>
      <c r="B462" s="262"/>
      <c r="C462" s="530" t="s">
        <v>1295</v>
      </c>
      <c r="D462" s="530" t="s">
        <v>1295</v>
      </c>
      <c r="E462" s="530" t="s">
        <v>1295</v>
      </c>
      <c r="F462" s="530" t="s">
        <v>1295</v>
      </c>
      <c r="G462" s="530" t="s">
        <v>1295</v>
      </c>
      <c r="H462" s="262" t="s">
        <v>1295</v>
      </c>
      <c r="I462" s="262" t="s">
        <v>1295</v>
      </c>
      <c r="J462" s="262" t="s">
        <v>1295</v>
      </c>
      <c r="K462" s="262" t="s">
        <v>1295</v>
      </c>
      <c r="L462" s="262" t="s">
        <v>1295</v>
      </c>
      <c r="M462" s="262" t="s">
        <v>1295</v>
      </c>
      <c r="N462" s="262" t="s">
        <v>1295</v>
      </c>
      <c r="O462" s="262" t="s">
        <v>1295</v>
      </c>
      <c r="P462" s="262" t="s">
        <v>1295</v>
      </c>
      <c r="Q462" s="262" t="s">
        <v>1295</v>
      </c>
      <c r="R462" s="262" t="s">
        <v>1295</v>
      </c>
      <c r="S462" s="262" t="s">
        <v>1295</v>
      </c>
      <c r="T462" s="262" t="s">
        <v>1295</v>
      </c>
      <c r="U462" s="262" t="s">
        <v>1295</v>
      </c>
      <c r="V462" s="262" t="s">
        <v>1295</v>
      </c>
      <c r="W462" s="262" t="s">
        <v>1295</v>
      </c>
      <c r="X462" s="262" t="s">
        <v>1295</v>
      </c>
      <c r="Y462" s="262" t="s">
        <v>1295</v>
      </c>
      <c r="Z462" s="262" t="s">
        <v>1295</v>
      </c>
      <c r="AA462" s="262" t="s">
        <v>1295</v>
      </c>
      <c r="AB462" s="262" t="s">
        <v>1295</v>
      </c>
      <c r="AC462" s="262" t="s">
        <v>1295</v>
      </c>
      <c r="AD462" s="262" t="s">
        <v>1295</v>
      </c>
      <c r="AE462" s="262" t="s">
        <v>1295</v>
      </c>
      <c r="AF462" s="262" t="s">
        <v>1295</v>
      </c>
      <c r="AG462" s="262" t="s">
        <v>1295</v>
      </c>
      <c r="AH462" s="262" t="s">
        <v>1295</v>
      </c>
      <c r="AI462" s="262" t="s">
        <v>1295</v>
      </c>
      <c r="AJ462" s="262" t="s">
        <v>1295</v>
      </c>
      <c r="AK462" s="262" t="s">
        <v>1295</v>
      </c>
      <c r="AL462" s="531" t="s">
        <v>1295</v>
      </c>
      <c r="AM462" s="262" t="s">
        <v>1295</v>
      </c>
      <c r="AN462" s="262" t="s">
        <v>1295</v>
      </c>
      <c r="AO462" s="262" t="s">
        <v>1295</v>
      </c>
      <c r="AP462" s="262" t="s">
        <v>1295</v>
      </c>
      <c r="AQ462" s="262" t="s">
        <v>1295</v>
      </c>
      <c r="AR462" s="262" t="s">
        <v>1295</v>
      </c>
      <c r="AS462" s="262" t="s">
        <v>1295</v>
      </c>
      <c r="AT462" s="262" t="s">
        <v>1295</v>
      </c>
      <c r="AU462" s="262" t="s">
        <v>1295</v>
      </c>
      <c r="AV462" s="262" t="s">
        <v>1295</v>
      </c>
      <c r="AW462" s="263" t="s">
        <v>1295</v>
      </c>
      <c r="AX462" s="232"/>
    </row>
    <row r="463" spans="1:50" s="226" customFormat="1" hidden="1" outlineLevel="1" x14ac:dyDescent="0.3">
      <c r="A463" s="532" t="s">
        <v>271</v>
      </c>
      <c r="B463" s="262"/>
      <c r="C463" s="530" t="s">
        <v>1295</v>
      </c>
      <c r="D463" s="530" t="s">
        <v>1295</v>
      </c>
      <c r="E463" s="530" t="s">
        <v>1295</v>
      </c>
      <c r="F463" s="530" t="s">
        <v>1295</v>
      </c>
      <c r="G463" s="530" t="s">
        <v>1295</v>
      </c>
      <c r="H463" s="262" t="s">
        <v>1295</v>
      </c>
      <c r="I463" s="262" t="s">
        <v>1295</v>
      </c>
      <c r="J463" s="262" t="s">
        <v>1295</v>
      </c>
      <c r="K463" s="262" t="s">
        <v>1295</v>
      </c>
      <c r="L463" s="262" t="s">
        <v>1295</v>
      </c>
      <c r="M463" s="262" t="s">
        <v>1295</v>
      </c>
      <c r="N463" s="262" t="s">
        <v>1295</v>
      </c>
      <c r="O463" s="262" t="s">
        <v>1295</v>
      </c>
      <c r="P463" s="262" t="s">
        <v>1295</v>
      </c>
      <c r="Q463" s="262" t="s">
        <v>1295</v>
      </c>
      <c r="R463" s="262" t="s">
        <v>1295</v>
      </c>
      <c r="S463" s="262" t="s">
        <v>1295</v>
      </c>
      <c r="T463" s="262" t="s">
        <v>1295</v>
      </c>
      <c r="U463" s="262" t="s">
        <v>1295</v>
      </c>
      <c r="V463" s="262" t="s">
        <v>1295</v>
      </c>
      <c r="W463" s="262" t="s">
        <v>1295</v>
      </c>
      <c r="X463" s="262" t="s">
        <v>1295</v>
      </c>
      <c r="Y463" s="262" t="s">
        <v>1295</v>
      </c>
      <c r="Z463" s="262" t="s">
        <v>1295</v>
      </c>
      <c r="AA463" s="262" t="s">
        <v>1295</v>
      </c>
      <c r="AB463" s="262" t="s">
        <v>1295</v>
      </c>
      <c r="AC463" s="262" t="s">
        <v>1295</v>
      </c>
      <c r="AD463" s="262" t="s">
        <v>1295</v>
      </c>
      <c r="AE463" s="262" t="s">
        <v>1295</v>
      </c>
      <c r="AF463" s="262" t="s">
        <v>1295</v>
      </c>
      <c r="AG463" s="262" t="s">
        <v>1295</v>
      </c>
      <c r="AH463" s="262" t="s">
        <v>1295</v>
      </c>
      <c r="AI463" s="262" t="s">
        <v>1295</v>
      </c>
      <c r="AJ463" s="262" t="s">
        <v>1295</v>
      </c>
      <c r="AK463" s="262" t="s">
        <v>1295</v>
      </c>
      <c r="AL463" s="531" t="s">
        <v>1295</v>
      </c>
      <c r="AM463" s="262" t="s">
        <v>1295</v>
      </c>
      <c r="AN463" s="262" t="s">
        <v>1295</v>
      </c>
      <c r="AO463" s="262" t="s">
        <v>1295</v>
      </c>
      <c r="AP463" s="262" t="s">
        <v>1295</v>
      </c>
      <c r="AQ463" s="262" t="s">
        <v>1295</v>
      </c>
      <c r="AR463" s="262" t="s">
        <v>1295</v>
      </c>
      <c r="AS463" s="262" t="s">
        <v>1295</v>
      </c>
      <c r="AT463" s="262" t="s">
        <v>1295</v>
      </c>
      <c r="AU463" s="262" t="s">
        <v>1295</v>
      </c>
      <c r="AV463" s="262" t="s">
        <v>1295</v>
      </c>
      <c r="AW463" s="263" t="s">
        <v>1295</v>
      </c>
      <c r="AX463" s="232"/>
    </row>
    <row r="464" spans="1:50" s="5" customFormat="1" hidden="1" outlineLevel="1" x14ac:dyDescent="0.3">
      <c r="A464" s="514"/>
      <c r="B464" s="93"/>
      <c r="C464" s="519"/>
      <c r="D464" s="519"/>
      <c r="E464" s="519"/>
      <c r="F464" s="519"/>
      <c r="G464" s="519"/>
      <c r="H464" s="93"/>
      <c r="I464" s="93"/>
      <c r="J464" s="93"/>
      <c r="K464" s="93"/>
      <c r="L464" s="93"/>
      <c r="M464" s="93"/>
      <c r="N464" s="93"/>
      <c r="O464" s="93"/>
      <c r="P464" s="93"/>
      <c r="Q464" s="93"/>
      <c r="R464" s="93"/>
      <c r="S464" s="93"/>
      <c r="T464" s="93"/>
      <c r="U464" s="93"/>
      <c r="V464" s="93"/>
      <c r="W464" s="93"/>
      <c r="X464" s="93"/>
      <c r="Y464" s="93"/>
      <c r="Z464" s="93"/>
      <c r="AA464" s="93"/>
      <c r="AB464" s="93"/>
      <c r="AC464" s="93"/>
      <c r="AD464" s="93"/>
      <c r="AE464" s="93"/>
      <c r="AF464" s="93"/>
      <c r="AG464" s="93"/>
      <c r="AH464" s="93"/>
      <c r="AI464" s="93"/>
      <c r="AJ464" s="93"/>
      <c r="AK464" s="93"/>
      <c r="AL464" s="522"/>
      <c r="AM464" s="93"/>
      <c r="AN464" s="93"/>
      <c r="AO464" s="93"/>
      <c r="AP464" s="93"/>
      <c r="AQ464" s="93"/>
      <c r="AR464" s="93"/>
      <c r="AS464" s="93"/>
      <c r="AT464" s="93"/>
      <c r="AU464" s="93"/>
      <c r="AV464" s="93"/>
      <c r="AW464" s="162"/>
      <c r="AX464" s="228"/>
    </row>
    <row r="465" spans="1:50" s="226" customFormat="1" collapsed="1" x14ac:dyDescent="0.3">
      <c r="A465" s="529" t="str">
        <f>IFERROR("Stock Average: "&amp;IF(OR(MO.RealTimeStockPriceToggle=FALSE,VLOOKUP(MO.DataSourceName,MO_SPT_StockAverage_Sources,COLUMN()+2,FALSE)="N/A"),"Real-Time Off Source",MO.DataSourceName),"N/A")</f>
        <v>Stock Average: Real-Time Off Source</v>
      </c>
      <c r="B465" s="262"/>
      <c r="C465" s="530">
        <f>IFERROR(IF(OR(MO.RealTimeStockPriceToggle=FALSE,VLOOKUP(MO.DataSourceName,MO_SPT_StockAverage_Sources,COLUMN(),FALSE)="N/A"),VLOOKUP("Real-Time Off Source",MO_SPT_StockAverage_Sources,COLUMN(),FALSE),VLOOKUP(MO.DataSourceName,MO_SPT_StockAverage_Sources,COLUMN(),FALSE)),"N/A")</f>
        <v>12.69375</v>
      </c>
      <c r="D465" s="530">
        <f>IFERROR(IF(OR(MO.RealTimeStockPriceToggle=FALSE,VLOOKUP(MO.DataSourceName,MO_SPT_StockAverage_Sources,COLUMN(),FALSE)="N/A"),VLOOKUP("Real-Time Off Source",MO_SPT_StockAverage_Sources,COLUMN(),FALSE),VLOOKUP(MO.DataSourceName,MO_SPT_StockAverage_Sources,COLUMN(),FALSE)),"N/A")</f>
        <v>21.995000000000001</v>
      </c>
      <c r="E465" s="530">
        <f>IFERROR(IF(OR(MO.RealTimeStockPriceToggle=FALSE,VLOOKUP(MO.DataSourceName,MO_SPT_StockAverage_Sources,COLUMN(),FALSE)="N/A"),VLOOKUP("Real-Time Off Source",MO_SPT_StockAverage_Sources,COLUMN(),FALSE),VLOOKUP(MO.DataSourceName,MO_SPT_StockAverage_Sources,COLUMN(),FALSE)),"N/A")</f>
        <v>29.84</v>
      </c>
      <c r="F465" s="530">
        <f>IFERROR(IF(OR(MO.RealTimeStockPriceToggle=FALSE,VLOOKUP(MO.DataSourceName,MO_SPT_StockAverage_Sources,COLUMN(),FALSE)="N/A"),VLOOKUP("Real-Time Off Source",MO_SPT_StockAverage_Sources,COLUMN(),FALSE),VLOOKUP(MO.DataSourceName,MO_SPT_StockAverage_Sources,COLUMN(),FALSE)),"N/A")</f>
        <v>66.965000000000003</v>
      </c>
      <c r="G465" s="530">
        <f>IFERROR(IF(OR(MO.RealTimeStockPriceToggle=FALSE,VLOOKUP(MO.DataSourceName,MO_SPT_StockAverage_Sources,COLUMN(),FALSE)="N/A"),VLOOKUP("Real-Time Off Source",MO_SPT_StockAverage_Sources,COLUMN(),FALSE),VLOOKUP(MO.DataSourceName,MO_SPT_StockAverage_Sources,COLUMN(),FALSE)),"N/A")</f>
        <v>53.76</v>
      </c>
      <c r="H465" s="262">
        <f>IFERROR(IF(OR(MO.RealTimeStockPriceToggle=FALSE,VLOOKUP(MO.DataSourceName,MO_SPT_StockAverage_Sources,COLUMN(),FALSE)="N/A"),VLOOKUP("Real-Time Off Source",MO_SPT_StockAverage_Sources,COLUMN(),FALSE),VLOOKUP(MO.DataSourceName,MO_SPT_StockAverage_Sources,COLUMN(),FALSE)),"N/A")</f>
        <v>52.835000000000001</v>
      </c>
      <c r="I465" s="262">
        <f>IFERROR(IF(OR(MO.RealTimeStockPriceToggle=FALSE,VLOOKUP(MO.DataSourceName,MO_SPT_StockAverage_Sources,COLUMN(),FALSE)="N/A"),VLOOKUP("Real-Time Off Source",MO_SPT_StockAverage_Sources,COLUMN(),FALSE),VLOOKUP(MO.DataSourceName,MO_SPT_StockAverage_Sources,COLUMN(),FALSE)),"N/A")</f>
        <v>44.29</v>
      </c>
      <c r="J465" s="262">
        <f>IFERROR(IF(OR(MO.RealTimeStockPriceToggle=FALSE,VLOOKUP(MO.DataSourceName,MO_SPT_StockAverage_Sources,COLUMN(),FALSE)="N/A"),VLOOKUP("Real-Time Off Source",MO_SPT_StockAverage_Sources,COLUMN(),FALSE),VLOOKUP(MO.DataSourceName,MO_SPT_StockAverage_Sources,COLUMN(),FALSE)),"N/A")</f>
        <v>37.4</v>
      </c>
      <c r="K465" s="262">
        <f>IFERROR(IF(OR(MO.RealTimeStockPriceToggle=FALSE,VLOOKUP(MO.DataSourceName,MO_SPT_StockAverage_Sources,COLUMN(),FALSE)="N/A"),VLOOKUP("Real-Time Off Source",MO_SPT_StockAverage_Sources,COLUMN(),FALSE),VLOOKUP(MO.DataSourceName,MO_SPT_StockAverage_Sources,COLUMN(),FALSE)),"N/A")</f>
        <v>47.071249999999999</v>
      </c>
      <c r="L465" s="262">
        <f>IFERROR(IF(OR(MO.RealTimeStockPriceToggle=FALSE,VLOOKUP(MO.DataSourceName,MO_SPT_StockAverage_Sources,COLUMN(),FALSE)="N/A"),VLOOKUP("Real-Time Off Source",MO_SPT_StockAverage_Sources,COLUMN(),FALSE),VLOOKUP(MO.DataSourceName,MO_SPT_StockAverage_Sources,COLUMN(),FALSE)),"N/A")</f>
        <v>39.555</v>
      </c>
      <c r="M465" s="262">
        <f>IFERROR(IF(OR(MO.RealTimeStockPriceToggle=FALSE,VLOOKUP(MO.DataSourceName,MO_SPT_StockAverage_Sources,COLUMN(),FALSE)="N/A"),VLOOKUP("Real-Time Off Source",MO_SPT_StockAverage_Sources,COLUMN(),FALSE),VLOOKUP(MO.DataSourceName,MO_SPT_StockAverage_Sources,COLUMN(),FALSE)),"N/A")</f>
        <v>35.69</v>
      </c>
      <c r="N465" s="262">
        <f>IFERROR(IF(OR(MO.RealTimeStockPriceToggle=FALSE,VLOOKUP(MO.DataSourceName,MO_SPT_StockAverage_Sources,COLUMN(),FALSE)="N/A"),VLOOKUP("Real-Time Off Source",MO_SPT_StockAverage_Sources,COLUMN(),FALSE),VLOOKUP(MO.DataSourceName,MO_SPT_StockAverage_Sources,COLUMN(),FALSE)),"N/A")</f>
        <v>39.24</v>
      </c>
      <c r="O465" s="262">
        <f>IFERROR(IF(OR(MO.RealTimeStockPriceToggle=FALSE,VLOOKUP(MO.DataSourceName,MO_SPT_StockAverage_Sources,COLUMN(),FALSE)="N/A"),VLOOKUP("Real-Time Off Source",MO_SPT_StockAverage_Sources,COLUMN(),FALSE),VLOOKUP(MO.DataSourceName,MO_SPT_StockAverage_Sources,COLUMN(),FALSE)),"N/A")</f>
        <v>43.085000000000001</v>
      </c>
      <c r="P465" s="262">
        <f>IFERROR(IF(OR(MO.RealTimeStockPriceToggle=FALSE,VLOOKUP(MO.DataSourceName,MO_SPT_StockAverage_Sources,COLUMN(),FALSE)="N/A"),VLOOKUP("Real-Time Off Source",MO_SPT_StockAverage_Sources,COLUMN(),FALSE),VLOOKUP(MO.DataSourceName,MO_SPT_StockAverage_Sources,COLUMN(),FALSE)),"N/A")</f>
        <v>39.392499999999998</v>
      </c>
      <c r="Q465" s="262">
        <f>IFERROR(IF(OR(MO.RealTimeStockPriceToggle=FALSE,VLOOKUP(MO.DataSourceName,MO_SPT_StockAverage_Sources,COLUMN(),FALSE)="N/A"),VLOOKUP("Real-Time Off Source",MO_SPT_StockAverage_Sources,COLUMN(),FALSE),VLOOKUP(MO.DataSourceName,MO_SPT_StockAverage_Sources,COLUMN(),FALSE)),"N/A")</f>
        <v>45.645000000000003</v>
      </c>
      <c r="R465" s="262">
        <f>IFERROR(IF(OR(MO.RealTimeStockPriceToggle=FALSE,VLOOKUP(MO.DataSourceName,MO_SPT_StockAverage_Sources,COLUMN(),FALSE)="N/A"),VLOOKUP("Real-Time Off Source",MO_SPT_StockAverage_Sources,COLUMN(),FALSE),VLOOKUP(MO.DataSourceName,MO_SPT_StockAverage_Sources,COLUMN(),FALSE)),"N/A")</f>
        <v>48.524999999999999</v>
      </c>
      <c r="S465" s="262">
        <f>IFERROR(IF(OR(MO.RealTimeStockPriceToggle=FALSE,VLOOKUP(MO.DataSourceName,MO_SPT_StockAverage_Sources,COLUMN(),FALSE)="N/A"),VLOOKUP("Real-Time Off Source",MO_SPT_StockAverage_Sources,COLUMN(),FALSE),VLOOKUP(MO.DataSourceName,MO_SPT_StockAverage_Sources,COLUMN(),FALSE)),"N/A")</f>
        <v>40.914999999999999</v>
      </c>
      <c r="T465" s="262">
        <f>IFERROR(IF(OR(MO.RealTimeStockPriceToggle=FALSE,VLOOKUP(MO.DataSourceName,MO_SPT_StockAverage_Sources,COLUMN(),FALSE)="N/A"),VLOOKUP("Real-Time Off Source",MO_SPT_StockAverage_Sources,COLUMN(),FALSE),VLOOKUP(MO.DataSourceName,MO_SPT_StockAverage_Sources,COLUMN(),FALSE)),"N/A")</f>
        <v>42.594999999999999</v>
      </c>
      <c r="U465" s="262">
        <f>IFERROR(IF(OR(MO.RealTimeStockPriceToggle=FALSE,VLOOKUP(MO.DataSourceName,MO_SPT_StockAverage_Sources,COLUMN(),FALSE)="N/A"),VLOOKUP("Real-Time Off Source",MO_SPT_StockAverage_Sources,COLUMN(),FALSE),VLOOKUP(MO.DataSourceName,MO_SPT_StockAverage_Sources,COLUMN(),FALSE)),"N/A")</f>
        <v>44.42</v>
      </c>
      <c r="V465" s="262">
        <f>IFERROR(IF(OR(MO.RealTimeStockPriceToggle=FALSE,VLOOKUP(MO.DataSourceName,MO_SPT_StockAverage_Sources,COLUMN(),FALSE)="N/A"),VLOOKUP("Real-Time Off Source",MO_SPT_StockAverage_Sources,COLUMN(),FALSE),VLOOKUP(MO.DataSourceName,MO_SPT_StockAverage_Sources,COLUMN(),FALSE)),"N/A")</f>
        <v>46.67</v>
      </c>
      <c r="W465" s="262">
        <f>IFERROR(IF(OR(MO.RealTimeStockPriceToggle=FALSE,VLOOKUP(MO.DataSourceName,MO_SPT_StockAverage_Sources,COLUMN(),FALSE)="N/A"),VLOOKUP("Real-Time Off Source",MO_SPT_StockAverage_Sources,COLUMN(),FALSE),VLOOKUP(MO.DataSourceName,MO_SPT_StockAverage_Sources,COLUMN(),FALSE)),"N/A")</f>
        <v>47.994999999999997</v>
      </c>
      <c r="X465" s="262">
        <f>IFERROR(IF(OR(MO.RealTimeStockPriceToggle=FALSE,VLOOKUP(MO.DataSourceName,MO_SPT_StockAverage_Sources,COLUMN(),FALSE)="N/A"),VLOOKUP("Real-Time Off Source",MO_SPT_StockAverage_Sources,COLUMN(),FALSE),VLOOKUP(MO.DataSourceName,MO_SPT_StockAverage_Sources,COLUMN(),FALSE)),"N/A")</f>
        <v>45.84</v>
      </c>
      <c r="Y465" s="262">
        <f>IFERROR(IF(OR(MO.RealTimeStockPriceToggle=FALSE,VLOOKUP(MO.DataSourceName,MO_SPT_StockAverage_Sources,COLUMN(),FALSE)="N/A"),VLOOKUP("Real-Time Off Source",MO_SPT_StockAverage_Sources,COLUMN(),FALSE),VLOOKUP(MO.DataSourceName,MO_SPT_StockAverage_Sources,COLUMN(),FALSE)),"N/A")</f>
        <v>42.475000000000001</v>
      </c>
      <c r="Z465" s="262">
        <f>IFERROR(IF(OR(MO.RealTimeStockPriceToggle=FALSE,VLOOKUP(MO.DataSourceName,MO_SPT_StockAverage_Sources,COLUMN(),FALSE)="N/A"),VLOOKUP("Real-Time Off Source",MO_SPT_StockAverage_Sources,COLUMN(),FALSE),VLOOKUP(MO.DataSourceName,MO_SPT_StockAverage_Sources,COLUMN(),FALSE)),"N/A")</f>
        <v>45.744999999999997</v>
      </c>
      <c r="AA465" s="262">
        <f>IFERROR(IF(OR(MO.RealTimeStockPriceToggle=FALSE,VLOOKUP(MO.DataSourceName,MO_SPT_StockAverage_Sources,COLUMN(),FALSE)="N/A"),VLOOKUP("Real-Time Off Source",MO_SPT_StockAverage_Sources,COLUMN(),FALSE),VLOOKUP(MO.DataSourceName,MO_SPT_StockAverage_Sources,COLUMN(),FALSE)),"N/A")</f>
        <v>46.75</v>
      </c>
      <c r="AB465" s="262">
        <f>IFERROR(IF(OR(MO.RealTimeStockPriceToggle=FALSE,VLOOKUP(MO.DataSourceName,MO_SPT_StockAverage_Sources,COLUMN(),FALSE)="N/A"),VLOOKUP("Real-Time Off Source",MO_SPT_StockAverage_Sources,COLUMN(),FALSE),VLOOKUP(MO.DataSourceName,MO_SPT_StockAverage_Sources,COLUMN(),FALSE)),"N/A")</f>
        <v>47.1</v>
      </c>
      <c r="AC465" s="262">
        <f>IFERROR(IF(OR(MO.RealTimeStockPriceToggle=FALSE,VLOOKUP(MO.DataSourceName,MO_SPT_StockAverage_Sources,COLUMN(),FALSE)="N/A"),VLOOKUP("Real-Time Off Source",MO_SPT_StockAverage_Sources,COLUMN(),FALSE),VLOOKUP(MO.DataSourceName,MO_SPT_StockAverage_Sources,COLUMN(),FALSE)),"N/A")</f>
        <v>45</v>
      </c>
      <c r="AD465" s="262">
        <f>IFERROR(IF(OR(MO.RealTimeStockPriceToggle=FALSE,VLOOKUP(MO.DataSourceName,MO_SPT_StockAverage_Sources,COLUMN(),FALSE)="N/A"),VLOOKUP("Real-Time Off Source",MO_SPT_StockAverage_Sources,COLUMN(),FALSE),VLOOKUP(MO.DataSourceName,MO_SPT_StockAverage_Sources,COLUMN(),FALSE)),"N/A")</f>
        <v>54.075000000000003</v>
      </c>
      <c r="AE465" s="262">
        <f>IFERROR(IF(OR(MO.RealTimeStockPriceToggle=FALSE,VLOOKUP(MO.DataSourceName,MO_SPT_StockAverage_Sources,COLUMN(),FALSE)="N/A"),VLOOKUP("Real-Time Off Source",MO_SPT_StockAverage_Sources,COLUMN(),FALSE),VLOOKUP(MO.DataSourceName,MO_SPT_StockAverage_Sources,COLUMN(),FALSE)),"N/A")</f>
        <v>48.231250000000003</v>
      </c>
      <c r="AF465" s="262">
        <f>IFERROR(IF(OR(MO.RealTimeStockPriceToggle=FALSE,VLOOKUP(MO.DataSourceName,MO_SPT_StockAverage_Sources,COLUMN(),FALSE)="N/A"),VLOOKUP("Real-Time Off Source",MO_SPT_StockAverage_Sources,COLUMN(),FALSE),VLOOKUP(MO.DataSourceName,MO_SPT_StockAverage_Sources,COLUMN(),FALSE)),"N/A")</f>
        <v>67.325409836065603</v>
      </c>
      <c r="AG465" s="262">
        <f>IFERROR(IF(OR(MO.RealTimeStockPriceToggle=FALSE,VLOOKUP(MO.DataSourceName,MO_SPT_StockAverage_Sources,COLUMN(),FALSE)="N/A"),VLOOKUP("Real-Time Off Source",MO_SPT_StockAverage_Sources,COLUMN(),FALSE),VLOOKUP(MO.DataSourceName,MO_SPT_StockAverage_Sources,COLUMN(),FALSE)),"N/A")</f>
        <v>81.900781249999994</v>
      </c>
      <c r="AH465" s="262">
        <f>IFERROR(IF(OR(MO.RealTimeStockPriceToggle=FALSE,VLOOKUP(MO.DataSourceName,MO_SPT_StockAverage_Sources,COLUMN(),FALSE)="N/A"),VLOOKUP("Real-Time Off Source",MO_SPT_StockAverage_Sources,COLUMN(),FALSE),VLOOKUP(MO.DataSourceName,MO_SPT_StockAverage_Sources,COLUMN(),FALSE)),"N/A")</f>
        <v>80.448412698412696</v>
      </c>
      <c r="AI465" s="262">
        <f>IFERROR(IF(OR(MO.RealTimeStockPriceToggle=FALSE,VLOOKUP(MO.DataSourceName,MO_SPT_StockAverage_Sources,COLUMN(),FALSE)="N/A"),VLOOKUP("Real-Time Off Source",MO_SPT_StockAverage_Sources,COLUMN(),FALSE),VLOOKUP(MO.DataSourceName,MO_SPT_StockAverage_Sources,COLUMN(),FALSE)),"N/A")</f>
        <v>84.974603174603203</v>
      </c>
      <c r="AJ465" s="262">
        <f>IFERROR(IF(OR(MO.RealTimeStockPriceToggle=FALSE,VLOOKUP(MO.DataSourceName,MO_SPT_StockAverage_Sources,COLUMN(),FALSE)="N/A"),VLOOKUP("Real-Time Off Source",MO_SPT_StockAverage_Sources,COLUMN(),FALSE),VLOOKUP(MO.DataSourceName,MO_SPT_StockAverage_Sources,COLUMN(),FALSE)),"N/A")</f>
        <v>78.765537848605604</v>
      </c>
      <c r="AK465" s="262">
        <f>IFERROR(IF(OR(MO.RealTimeStockPriceToggle=FALSE,VLOOKUP(MO.DataSourceName,MO_SPT_StockAverage_Sources,COLUMN(),FALSE)="N/A"),VLOOKUP("Real-Time Off Source",MO_SPT_StockAverage_Sources,COLUMN(),FALSE),VLOOKUP(MO.DataSourceName,MO_SPT_StockAverage_Sources,COLUMN(),FALSE)),"N/A")</f>
        <v>100.560163934426</v>
      </c>
      <c r="AL465" s="531">
        <f>IFERROR(IF(OR(MO.RealTimeStockPriceToggle=FALSE,VLOOKUP(MO.DataSourceName,MO_SPT_StockAverage_Sources,COLUMN(),FALSE)="N/A"),VLOOKUP("Real-Time Off Source",MO_SPT_StockAverage_Sources,COLUMN(),FALSE),VLOOKUP(MO.DataSourceName,MO_SPT_StockAverage_Sources,COLUMN(),FALSE)),"N/A")</f>
        <v>115.19920634920599</v>
      </c>
      <c r="AM465" s="262">
        <f>IFERROR(IF(OR(MO.RealTimeStockPriceToggle=FALSE,VLOOKUP(MO.DataSourceName,MO_SPT_StockAverage_Sources,COLUMN(),FALSE)="N/A"),VLOOKUP("Real-Time Off Source",MO_SPT_StockAverage_Sources,COLUMN(),FALSE),VLOOKUP(MO.DataSourceName,MO_SPT_StockAverage_Sources,COLUMN(),FALSE)),"N/A")</f>
        <v>0</v>
      </c>
      <c r="AN465" s="262">
        <f>IFERROR(IF(OR(MO.RealTimeStockPriceToggle=FALSE,VLOOKUP(MO.DataSourceName,MO_SPT_StockAverage_Sources,COLUMN(),FALSE)="N/A"),VLOOKUP("Real-Time Off Source",MO_SPT_StockAverage_Sources,COLUMN(),FALSE),VLOOKUP(MO.DataSourceName,MO_SPT_StockAverage_Sources,COLUMN(),FALSE)),"N/A")</f>
        <v>0</v>
      </c>
      <c r="AO465" s="262">
        <f>IFERROR(IF(OR(MO.RealTimeStockPriceToggle=FALSE,VLOOKUP(MO.DataSourceName,MO_SPT_StockAverage_Sources,COLUMN(),FALSE)="N/A"),VLOOKUP("Real-Time Off Source",MO_SPT_StockAverage_Sources,COLUMN(),FALSE),VLOOKUP(MO.DataSourceName,MO_SPT_StockAverage_Sources,COLUMN(),FALSE)),"N/A")</f>
        <v>0</v>
      </c>
      <c r="AP465" s="262">
        <f>IFERROR(IF(OR(MO.RealTimeStockPriceToggle=FALSE,VLOOKUP(MO.DataSourceName,MO_SPT_StockAverage_Sources,COLUMN(),FALSE)="N/A"),VLOOKUP("Real-Time Off Source",MO_SPT_StockAverage_Sources,COLUMN(),FALSE),VLOOKUP(MO.DataSourceName,MO_SPT_StockAverage_Sources,COLUMN(),FALSE)),"N/A")</f>
        <v>0</v>
      </c>
      <c r="AQ465" s="262">
        <f>IFERROR(IF(OR(MO.RealTimeStockPriceToggle=FALSE,VLOOKUP(MO.DataSourceName,MO_SPT_StockAverage_Sources,COLUMN(),FALSE)="N/A"),VLOOKUP("Real-Time Off Source",MO_SPT_StockAverage_Sources,COLUMN(),FALSE),VLOOKUP(MO.DataSourceName,MO_SPT_StockAverage_Sources,COLUMN(),FALSE)),"N/A")</f>
        <v>0</v>
      </c>
      <c r="AR465" s="262">
        <f>IFERROR(IF(OR(MO.RealTimeStockPriceToggle=FALSE,VLOOKUP(MO.DataSourceName,MO_SPT_StockAverage_Sources,COLUMN(),FALSE)="N/A"),VLOOKUP("Real-Time Off Source",MO_SPT_StockAverage_Sources,COLUMN(),FALSE),VLOOKUP(MO.DataSourceName,MO_SPT_StockAverage_Sources,COLUMN(),FALSE)),"N/A")</f>
        <v>0</v>
      </c>
      <c r="AS465" s="262">
        <f>IFERROR(IF(OR(MO.RealTimeStockPriceToggle=FALSE,VLOOKUP(MO.DataSourceName,MO_SPT_StockAverage_Sources,COLUMN(),FALSE)="N/A"),VLOOKUP("Real-Time Off Source",MO_SPT_StockAverage_Sources,COLUMN(),FALSE),VLOOKUP(MO.DataSourceName,MO_SPT_StockAverage_Sources,COLUMN(),FALSE)),"N/A")</f>
        <v>0</v>
      </c>
      <c r="AT465" s="262">
        <f>IFERROR(IF(OR(MO.RealTimeStockPriceToggle=FALSE,VLOOKUP(MO.DataSourceName,MO_SPT_StockAverage_Sources,COLUMN(),FALSE)="N/A"),VLOOKUP("Real-Time Off Source",MO_SPT_StockAverage_Sources,COLUMN(),FALSE),VLOOKUP(MO.DataSourceName,MO_SPT_StockAverage_Sources,COLUMN(),FALSE)),"N/A")</f>
        <v>0</v>
      </c>
      <c r="AU465" s="262">
        <f>IFERROR(IF(OR(MO.RealTimeStockPriceToggle=FALSE,VLOOKUP(MO.DataSourceName,MO_SPT_StockAverage_Sources,COLUMN(),FALSE)="N/A"),VLOOKUP("Real-Time Off Source",MO_SPT_StockAverage_Sources,COLUMN(),FALSE),VLOOKUP(MO.DataSourceName,MO_SPT_StockAverage_Sources,COLUMN(),FALSE)),"N/A")</f>
        <v>0</v>
      </c>
      <c r="AV465" s="262">
        <f>IFERROR(IF(OR(MO.RealTimeStockPriceToggle=FALSE,VLOOKUP(MO.DataSourceName,MO_SPT_StockAverage_Sources,COLUMN(),FALSE)="N/A"),VLOOKUP("Real-Time Off Source",MO_SPT_StockAverage_Sources,COLUMN(),FALSE),VLOOKUP(MO.DataSourceName,MO_SPT_StockAverage_Sources,COLUMN(),FALSE)),"N/A")</f>
        <v>0</v>
      </c>
      <c r="AW465" s="263">
        <f>IFERROR(IF(OR(MO.RealTimeStockPriceToggle=FALSE,VLOOKUP(MO.DataSourceName,MO_SPT_StockAverage_Sources,COLUMN(),FALSE)="N/A"),VLOOKUP("Real-Time Off Source",MO_SPT_StockAverage_Sources,COLUMN(),FALSE),VLOOKUP(MO.DataSourceName,MO_SPT_StockAverage_Sources,COLUMN(),FALSE)),"N/A")</f>
        <v>0</v>
      </c>
      <c r="AX465" s="232"/>
    </row>
    <row r="466" spans="1:50" s="226" customFormat="1" hidden="1" outlineLevel="1" x14ac:dyDescent="0.3">
      <c r="A466" s="532" t="s">
        <v>268</v>
      </c>
      <c r="B466" s="262"/>
      <c r="C466" s="530">
        <v>12.69375</v>
      </c>
      <c r="D466" s="530">
        <v>21.995000000000001</v>
      </c>
      <c r="E466" s="530">
        <v>29.84</v>
      </c>
      <c r="F466" s="530">
        <v>66.965000000000003</v>
      </c>
      <c r="G466" s="530">
        <v>53.76</v>
      </c>
      <c r="H466" s="262">
        <v>52.835000000000001</v>
      </c>
      <c r="I466" s="262">
        <v>44.29</v>
      </c>
      <c r="J466" s="262">
        <v>37.4</v>
      </c>
      <c r="K466" s="262">
        <v>47.071249999999999</v>
      </c>
      <c r="L466" s="262">
        <v>39.555</v>
      </c>
      <c r="M466" s="262">
        <v>35.69</v>
      </c>
      <c r="N466" s="262">
        <v>39.24</v>
      </c>
      <c r="O466" s="262">
        <v>43.085000000000001</v>
      </c>
      <c r="P466" s="262">
        <v>39.392499999999998</v>
      </c>
      <c r="Q466" s="262">
        <v>45.645000000000003</v>
      </c>
      <c r="R466" s="262">
        <v>48.524999999999999</v>
      </c>
      <c r="S466" s="262">
        <v>40.914999999999999</v>
      </c>
      <c r="T466" s="262">
        <v>42.594999999999999</v>
      </c>
      <c r="U466" s="262">
        <v>44.42</v>
      </c>
      <c r="V466" s="262">
        <v>46.67</v>
      </c>
      <c r="W466" s="262">
        <v>47.994999999999997</v>
      </c>
      <c r="X466" s="262">
        <v>45.84</v>
      </c>
      <c r="Y466" s="262">
        <v>42.475000000000001</v>
      </c>
      <c r="Z466" s="262">
        <v>45.744999999999997</v>
      </c>
      <c r="AA466" s="262">
        <v>46.75</v>
      </c>
      <c r="AB466" s="262">
        <v>47.1</v>
      </c>
      <c r="AC466" s="262">
        <v>45</v>
      </c>
      <c r="AD466" s="262">
        <v>54.075000000000003</v>
      </c>
      <c r="AE466" s="262">
        <v>48.231250000000003</v>
      </c>
      <c r="AF466" s="262">
        <v>67.325409836065603</v>
      </c>
      <c r="AG466" s="262">
        <v>81.900781249999994</v>
      </c>
      <c r="AH466" s="262">
        <v>80.448412698412696</v>
      </c>
      <c r="AI466" s="262">
        <v>84.974603174603203</v>
      </c>
      <c r="AJ466" s="262">
        <v>78.765537848605604</v>
      </c>
      <c r="AK466" s="262">
        <v>100.560163934426</v>
      </c>
      <c r="AL466" s="531">
        <v>115.19920634920599</v>
      </c>
      <c r="AM466" s="262"/>
      <c r="AN466" s="262"/>
      <c r="AO466" s="262"/>
      <c r="AP466" s="262"/>
      <c r="AQ466" s="262"/>
      <c r="AR466" s="262"/>
      <c r="AS466" s="262"/>
      <c r="AT466" s="262"/>
      <c r="AU466" s="262"/>
      <c r="AV466" s="262"/>
      <c r="AW466" s="263"/>
      <c r="AX466" s="232"/>
    </row>
    <row r="467" spans="1:50" s="226" customFormat="1" hidden="1" outlineLevel="1" x14ac:dyDescent="0.3">
      <c r="A467" s="532" t="s">
        <v>7</v>
      </c>
      <c r="B467" s="262"/>
      <c r="C467" s="530" t="s">
        <v>1295</v>
      </c>
      <c r="D467" s="530" t="s">
        <v>1295</v>
      </c>
      <c r="E467" s="530" t="s">
        <v>1295</v>
      </c>
      <c r="F467" s="530" t="s">
        <v>1295</v>
      </c>
      <c r="G467" s="530" t="s">
        <v>1295</v>
      </c>
      <c r="H467" s="262" t="s">
        <v>1295</v>
      </c>
      <c r="I467" s="262" t="s">
        <v>1295</v>
      </c>
      <c r="J467" s="262" t="s">
        <v>1295</v>
      </c>
      <c r="K467" s="262" t="s">
        <v>1295</v>
      </c>
      <c r="L467" s="262" t="s">
        <v>1295</v>
      </c>
      <c r="M467" s="262" t="s">
        <v>1295</v>
      </c>
      <c r="N467" s="262" t="s">
        <v>1295</v>
      </c>
      <c r="O467" s="262" t="s">
        <v>1295</v>
      </c>
      <c r="P467" s="262" t="s">
        <v>1295</v>
      </c>
      <c r="Q467" s="262" t="s">
        <v>1295</v>
      </c>
      <c r="R467" s="262" t="s">
        <v>1295</v>
      </c>
      <c r="S467" s="262" t="s">
        <v>1295</v>
      </c>
      <c r="T467" s="262" t="s">
        <v>1295</v>
      </c>
      <c r="U467" s="262" t="s">
        <v>1295</v>
      </c>
      <c r="V467" s="262" t="s">
        <v>1295</v>
      </c>
      <c r="W467" s="262" t="s">
        <v>1295</v>
      </c>
      <c r="X467" s="262" t="s">
        <v>1295</v>
      </c>
      <c r="Y467" s="262" t="s">
        <v>1295</v>
      </c>
      <c r="Z467" s="262" t="s">
        <v>1295</v>
      </c>
      <c r="AA467" s="262" t="s">
        <v>1295</v>
      </c>
      <c r="AB467" s="262" t="s">
        <v>1295</v>
      </c>
      <c r="AC467" s="262" t="s">
        <v>1295</v>
      </c>
      <c r="AD467" s="262" t="s">
        <v>1295</v>
      </c>
      <c r="AE467" s="262" t="s">
        <v>1295</v>
      </c>
      <c r="AF467" s="262" t="s">
        <v>1295</v>
      </c>
      <c r="AG467" s="262" t="s">
        <v>1295</v>
      </c>
      <c r="AH467" s="262" t="s">
        <v>1295</v>
      </c>
      <c r="AI467" s="262" t="s">
        <v>1295</v>
      </c>
      <c r="AJ467" s="262" t="s">
        <v>1295</v>
      </c>
      <c r="AK467" s="262" t="s">
        <v>1295</v>
      </c>
      <c r="AL467" s="531" t="s">
        <v>1295</v>
      </c>
      <c r="AM467" s="262" t="s">
        <v>1295</v>
      </c>
      <c r="AN467" s="262" t="s">
        <v>1295</v>
      </c>
      <c r="AO467" s="262" t="s">
        <v>1295</v>
      </c>
      <c r="AP467" s="262" t="s">
        <v>1295</v>
      </c>
      <c r="AQ467" s="262" t="s">
        <v>1295</v>
      </c>
      <c r="AR467" s="262" t="s">
        <v>1295</v>
      </c>
      <c r="AS467" s="262" t="s">
        <v>1295</v>
      </c>
      <c r="AT467" s="262" t="s">
        <v>1295</v>
      </c>
      <c r="AU467" s="262" t="s">
        <v>1295</v>
      </c>
      <c r="AV467" s="262" t="s">
        <v>1295</v>
      </c>
      <c r="AW467" s="263" t="s">
        <v>1295</v>
      </c>
      <c r="AX467" s="232"/>
    </row>
    <row r="468" spans="1:50" s="226" customFormat="1" hidden="1" outlineLevel="1" x14ac:dyDescent="0.3">
      <c r="A468" s="532" t="s">
        <v>269</v>
      </c>
      <c r="B468" s="262"/>
      <c r="C468" s="530" t="s">
        <v>1296</v>
      </c>
      <c r="D468" s="530" t="s">
        <v>1296</v>
      </c>
      <c r="E468" s="530" t="s">
        <v>1296</v>
      </c>
      <c r="F468" s="530" t="s">
        <v>1296</v>
      </c>
      <c r="G468" s="530" t="s">
        <v>1296</v>
      </c>
      <c r="H468" s="262" t="s">
        <v>1296</v>
      </c>
      <c r="I468" s="262" t="s">
        <v>1296</v>
      </c>
      <c r="J468" s="262" t="s">
        <v>1296</v>
      </c>
      <c r="K468" s="262" t="s">
        <v>1296</v>
      </c>
      <c r="L468" s="262" t="s">
        <v>1296</v>
      </c>
      <c r="M468" s="262" t="s">
        <v>1296</v>
      </c>
      <c r="N468" s="262" t="s">
        <v>1296</v>
      </c>
      <c r="O468" s="262" t="s">
        <v>1296</v>
      </c>
      <c r="P468" s="262" t="s">
        <v>1296</v>
      </c>
      <c r="Q468" s="262" t="s">
        <v>1296</v>
      </c>
      <c r="R468" s="262" t="s">
        <v>1296</v>
      </c>
      <c r="S468" s="262" t="s">
        <v>1296</v>
      </c>
      <c r="T468" s="262" t="s">
        <v>1296</v>
      </c>
      <c r="U468" s="262" t="s">
        <v>1296</v>
      </c>
      <c r="V468" s="262" t="s">
        <v>1296</v>
      </c>
      <c r="W468" s="262" t="s">
        <v>1296</v>
      </c>
      <c r="X468" s="262" t="s">
        <v>1296</v>
      </c>
      <c r="Y468" s="262" t="s">
        <v>1296</v>
      </c>
      <c r="Z468" s="262" t="s">
        <v>1296</v>
      </c>
      <c r="AA468" s="262" t="s">
        <v>1296</v>
      </c>
      <c r="AB468" s="262" t="s">
        <v>1296</v>
      </c>
      <c r="AC468" s="262" t="s">
        <v>1296</v>
      </c>
      <c r="AD468" s="262" t="s">
        <v>1296</v>
      </c>
      <c r="AE468" s="262" t="s">
        <v>1296</v>
      </c>
      <c r="AF468" s="262" t="s">
        <v>1296</v>
      </c>
      <c r="AG468" s="262" t="s">
        <v>1296</v>
      </c>
      <c r="AH468" s="262" t="s">
        <v>1296</v>
      </c>
      <c r="AI468" s="262" t="s">
        <v>1296</v>
      </c>
      <c r="AJ468" s="262" t="s">
        <v>1296</v>
      </c>
      <c r="AK468" s="262" t="s">
        <v>1296</v>
      </c>
      <c r="AL468" s="531" t="s">
        <v>1296</v>
      </c>
      <c r="AM468" s="262" t="s">
        <v>1296</v>
      </c>
      <c r="AN468" s="262" t="s">
        <v>1296</v>
      </c>
      <c r="AO468" s="262" t="s">
        <v>1296</v>
      </c>
      <c r="AP468" s="262" t="s">
        <v>1296</v>
      </c>
      <c r="AQ468" s="262" t="s">
        <v>1296</v>
      </c>
      <c r="AR468" s="262" t="s">
        <v>1296</v>
      </c>
      <c r="AS468" s="262" t="s">
        <v>1296</v>
      </c>
      <c r="AT468" s="262" t="s">
        <v>1296</v>
      </c>
      <c r="AU468" s="262" t="s">
        <v>1296</v>
      </c>
      <c r="AV468" s="262" t="s">
        <v>1296</v>
      </c>
      <c r="AW468" s="263" t="s">
        <v>1296</v>
      </c>
      <c r="AX468" s="232"/>
    </row>
    <row r="469" spans="1:50" s="226" customFormat="1" hidden="1" outlineLevel="1" x14ac:dyDescent="0.3">
      <c r="A469" s="532" t="s">
        <v>270</v>
      </c>
      <c r="B469" s="262"/>
      <c r="C469" s="530" t="s">
        <v>1295</v>
      </c>
      <c r="D469" s="530" t="s">
        <v>1295</v>
      </c>
      <c r="E469" s="530" t="s">
        <v>1295</v>
      </c>
      <c r="F469" s="530" t="s">
        <v>1295</v>
      </c>
      <c r="G469" s="530" t="s">
        <v>1295</v>
      </c>
      <c r="H469" s="262" t="s">
        <v>1295</v>
      </c>
      <c r="I469" s="262" t="s">
        <v>1295</v>
      </c>
      <c r="J469" s="262" t="s">
        <v>1295</v>
      </c>
      <c r="K469" s="262" t="s">
        <v>1295</v>
      </c>
      <c r="L469" s="262" t="s">
        <v>1295</v>
      </c>
      <c r="M469" s="262" t="s">
        <v>1295</v>
      </c>
      <c r="N469" s="262" t="s">
        <v>1295</v>
      </c>
      <c r="O469" s="262" t="s">
        <v>1295</v>
      </c>
      <c r="P469" s="262" t="s">
        <v>1295</v>
      </c>
      <c r="Q469" s="262" t="s">
        <v>1295</v>
      </c>
      <c r="R469" s="262" t="s">
        <v>1295</v>
      </c>
      <c r="S469" s="262" t="s">
        <v>1295</v>
      </c>
      <c r="T469" s="262" t="s">
        <v>1295</v>
      </c>
      <c r="U469" s="262" t="s">
        <v>1295</v>
      </c>
      <c r="V469" s="262" t="s">
        <v>1295</v>
      </c>
      <c r="W469" s="262" t="s">
        <v>1295</v>
      </c>
      <c r="X469" s="262" t="s">
        <v>1295</v>
      </c>
      <c r="Y469" s="262" t="s">
        <v>1295</v>
      </c>
      <c r="Z469" s="262" t="s">
        <v>1295</v>
      </c>
      <c r="AA469" s="262" t="s">
        <v>1295</v>
      </c>
      <c r="AB469" s="262" t="s">
        <v>1295</v>
      </c>
      <c r="AC469" s="262" t="s">
        <v>1295</v>
      </c>
      <c r="AD469" s="262" t="s">
        <v>1295</v>
      </c>
      <c r="AE469" s="262" t="s">
        <v>1295</v>
      </c>
      <c r="AF469" s="262" t="s">
        <v>1295</v>
      </c>
      <c r="AG469" s="262" t="s">
        <v>1295</v>
      </c>
      <c r="AH469" s="262" t="s">
        <v>1295</v>
      </c>
      <c r="AI469" s="262" t="s">
        <v>1295</v>
      </c>
      <c r="AJ469" s="262" t="s">
        <v>1295</v>
      </c>
      <c r="AK469" s="262" t="s">
        <v>1295</v>
      </c>
      <c r="AL469" s="531" t="s">
        <v>1295</v>
      </c>
      <c r="AM469" s="262" t="s">
        <v>1295</v>
      </c>
      <c r="AN469" s="262" t="s">
        <v>1295</v>
      </c>
      <c r="AO469" s="262" t="s">
        <v>1295</v>
      </c>
      <c r="AP469" s="262" t="s">
        <v>1295</v>
      </c>
      <c r="AQ469" s="262" t="s">
        <v>1295</v>
      </c>
      <c r="AR469" s="262" t="s">
        <v>1295</v>
      </c>
      <c r="AS469" s="262" t="s">
        <v>1295</v>
      </c>
      <c r="AT469" s="262" t="s">
        <v>1295</v>
      </c>
      <c r="AU469" s="262" t="s">
        <v>1295</v>
      </c>
      <c r="AV469" s="262" t="s">
        <v>1295</v>
      </c>
      <c r="AW469" s="263" t="s">
        <v>1295</v>
      </c>
      <c r="AX469" s="232"/>
    </row>
    <row r="470" spans="1:50" s="226" customFormat="1" hidden="1" outlineLevel="1" x14ac:dyDescent="0.3">
      <c r="A470" s="532" t="s">
        <v>271</v>
      </c>
      <c r="B470" s="262"/>
      <c r="C470" s="530" t="s">
        <v>1295</v>
      </c>
      <c r="D470" s="530" t="s">
        <v>1295</v>
      </c>
      <c r="E470" s="530" t="s">
        <v>1295</v>
      </c>
      <c r="F470" s="530" t="s">
        <v>1295</v>
      </c>
      <c r="G470" s="530" t="s">
        <v>1295</v>
      </c>
      <c r="H470" s="262" t="s">
        <v>1295</v>
      </c>
      <c r="I470" s="262" t="s">
        <v>1295</v>
      </c>
      <c r="J470" s="262" t="s">
        <v>1295</v>
      </c>
      <c r="K470" s="262" t="s">
        <v>1295</v>
      </c>
      <c r="L470" s="262" t="s">
        <v>1295</v>
      </c>
      <c r="M470" s="262" t="s">
        <v>1295</v>
      </c>
      <c r="N470" s="262" t="s">
        <v>1295</v>
      </c>
      <c r="O470" s="262" t="s">
        <v>1295</v>
      </c>
      <c r="P470" s="262" t="s">
        <v>1295</v>
      </c>
      <c r="Q470" s="262" t="s">
        <v>1295</v>
      </c>
      <c r="R470" s="262" t="s">
        <v>1295</v>
      </c>
      <c r="S470" s="262" t="s">
        <v>1295</v>
      </c>
      <c r="T470" s="262" t="s">
        <v>1295</v>
      </c>
      <c r="U470" s="262" t="s">
        <v>1295</v>
      </c>
      <c r="V470" s="262" t="s">
        <v>1295</v>
      </c>
      <c r="W470" s="262" t="s">
        <v>1295</v>
      </c>
      <c r="X470" s="262" t="s">
        <v>1295</v>
      </c>
      <c r="Y470" s="262" t="s">
        <v>1295</v>
      </c>
      <c r="Z470" s="262" t="s">
        <v>1295</v>
      </c>
      <c r="AA470" s="262" t="s">
        <v>1295</v>
      </c>
      <c r="AB470" s="262" t="s">
        <v>1295</v>
      </c>
      <c r="AC470" s="262" t="s">
        <v>1295</v>
      </c>
      <c r="AD470" s="262" t="s">
        <v>1295</v>
      </c>
      <c r="AE470" s="262" t="s">
        <v>1295</v>
      </c>
      <c r="AF470" s="262" t="s">
        <v>1295</v>
      </c>
      <c r="AG470" s="262" t="s">
        <v>1295</v>
      </c>
      <c r="AH470" s="262" t="s">
        <v>1295</v>
      </c>
      <c r="AI470" s="262" t="s">
        <v>1295</v>
      </c>
      <c r="AJ470" s="262" t="s">
        <v>1295</v>
      </c>
      <c r="AK470" s="262" t="s">
        <v>1295</v>
      </c>
      <c r="AL470" s="531" t="s">
        <v>1295</v>
      </c>
      <c r="AM470" s="262" t="s">
        <v>1295</v>
      </c>
      <c r="AN470" s="262" t="s">
        <v>1295</v>
      </c>
      <c r="AO470" s="262" t="s">
        <v>1295</v>
      </c>
      <c r="AP470" s="262" t="s">
        <v>1295</v>
      </c>
      <c r="AQ470" s="262" t="s">
        <v>1295</v>
      </c>
      <c r="AR470" s="262" t="s">
        <v>1295</v>
      </c>
      <c r="AS470" s="262" t="s">
        <v>1295</v>
      </c>
      <c r="AT470" s="262" t="s">
        <v>1295</v>
      </c>
      <c r="AU470" s="262" t="s">
        <v>1295</v>
      </c>
      <c r="AV470" s="262" t="s">
        <v>1295</v>
      </c>
      <c r="AW470" s="263" t="s">
        <v>1295</v>
      </c>
      <c r="AX470" s="232"/>
    </row>
    <row r="471" spans="1:50" s="5" customFormat="1" hidden="1" outlineLevel="1" x14ac:dyDescent="0.3">
      <c r="A471" s="514"/>
      <c r="B471" s="93"/>
      <c r="C471" s="519"/>
      <c r="D471" s="519"/>
      <c r="E471" s="519"/>
      <c r="F471" s="519"/>
      <c r="G471" s="519"/>
      <c r="H471" s="93"/>
      <c r="I471" s="93"/>
      <c r="J471" s="93"/>
      <c r="K471" s="93"/>
      <c r="L471" s="93"/>
      <c r="M471" s="93"/>
      <c r="N471" s="93"/>
      <c r="O471" s="93"/>
      <c r="P471" s="93"/>
      <c r="Q471" s="93"/>
      <c r="R471" s="93"/>
      <c r="S471" s="93"/>
      <c r="T471" s="93"/>
      <c r="U471" s="93"/>
      <c r="V471" s="93"/>
      <c r="W471" s="93"/>
      <c r="X471" s="93"/>
      <c r="Y471" s="93"/>
      <c r="Z471" s="93"/>
      <c r="AA471" s="93"/>
      <c r="AB471" s="93"/>
      <c r="AC471" s="93"/>
      <c r="AD471" s="93"/>
      <c r="AE471" s="93"/>
      <c r="AF471" s="93"/>
      <c r="AG471" s="93"/>
      <c r="AH471" s="93"/>
      <c r="AI471" s="93"/>
      <c r="AJ471" s="93"/>
      <c r="AK471" s="93"/>
      <c r="AL471" s="522"/>
      <c r="AM471" s="93"/>
      <c r="AN471" s="93"/>
      <c r="AO471" s="93"/>
      <c r="AP471" s="93"/>
      <c r="AQ471" s="93"/>
      <c r="AR471" s="93"/>
      <c r="AS471" s="93"/>
      <c r="AT471" s="93"/>
      <c r="AU471" s="93"/>
      <c r="AV471" s="93"/>
      <c r="AW471" s="162"/>
      <c r="AX471" s="228"/>
    </row>
    <row r="472" spans="1:50" s="490" customFormat="1" collapsed="1" x14ac:dyDescent="0.3">
      <c r="A472" s="533" t="str">
        <f>IFERROR("FX Average: "&amp;IF(OR(MO.RealTimeStockPriceToggle=FALSE,VLOOKUP(MO.DataSourceName,MO_SPT_FXAverage_Sources,COLUMN()+2,FALSE)="N/A"),"Real-Time Off Source",MO.DataSourceName),"N/A")</f>
        <v>FX Average: Real-Time Off Source</v>
      </c>
      <c r="B472" s="266"/>
      <c r="C472" s="534" t="str">
        <f>IFERROR(IF(OR(MO.RealTimeStockPriceToggle=FALSE,AA.CurrencyMatch,VLOOKUP(MO.DataSourceName,MO_SPT_FXAverage_Sources,COLUMN(),FALSE)="N/A"),VLOOKUP("Real-Time Off Source",MO_SPT_FXAverage_Sources,COLUMN(),FALSE),VLOOKUP(MO.DataSourceName,MO_SPT_FXAverage_Sources,COLUMN(),FALSE)),"N/A")</f>
        <v>N/A</v>
      </c>
      <c r="D472" s="534" t="str">
        <f>IFERROR(IF(OR(MO.RealTimeStockPriceToggle=FALSE,AA.CurrencyMatch,VLOOKUP(MO.DataSourceName,MO_SPT_FXAverage_Sources,COLUMN(),FALSE)="N/A"),VLOOKUP("Real-Time Off Source",MO_SPT_FXAverage_Sources,COLUMN(),FALSE),VLOOKUP(MO.DataSourceName,MO_SPT_FXAverage_Sources,COLUMN(),FALSE)),"N/A")</f>
        <v>N/A</v>
      </c>
      <c r="E472" s="534" t="str">
        <f>IFERROR(IF(OR(MO.RealTimeStockPriceToggle=FALSE,AA.CurrencyMatch,VLOOKUP(MO.DataSourceName,MO_SPT_FXAverage_Sources,COLUMN(),FALSE)="N/A"),VLOOKUP("Real-Time Off Source",MO_SPT_FXAverage_Sources,COLUMN(),FALSE),VLOOKUP(MO.DataSourceName,MO_SPT_FXAverage_Sources,COLUMN(),FALSE)),"N/A")</f>
        <v>N/A</v>
      </c>
      <c r="F472" s="534" t="str">
        <f>IFERROR(IF(OR(MO.RealTimeStockPriceToggle=FALSE,AA.CurrencyMatch,VLOOKUP(MO.DataSourceName,MO_SPT_FXAverage_Sources,COLUMN(),FALSE)="N/A"),VLOOKUP("Real-Time Off Source",MO_SPT_FXAverage_Sources,COLUMN(),FALSE),VLOOKUP(MO.DataSourceName,MO_SPT_FXAverage_Sources,COLUMN(),FALSE)),"N/A")</f>
        <v>N/A</v>
      </c>
      <c r="G472" s="534" t="str">
        <f>IFERROR(IF(OR(MO.RealTimeStockPriceToggle=FALSE,AA.CurrencyMatch,VLOOKUP(MO.DataSourceName,MO_SPT_FXAverage_Sources,COLUMN(),FALSE)="N/A"),VLOOKUP("Real-Time Off Source",MO_SPT_FXAverage_Sources,COLUMN(),FALSE),VLOOKUP(MO.DataSourceName,MO_SPT_FXAverage_Sources,COLUMN(),FALSE)),"N/A")</f>
        <v>N/A</v>
      </c>
      <c r="H472" s="266" t="str">
        <f>IFERROR(IF(OR(MO.RealTimeStockPriceToggle=FALSE,AA.CurrencyMatch,VLOOKUP(MO.DataSourceName,MO_SPT_FXAverage_Sources,COLUMN(),FALSE)="N/A"),VLOOKUP("Real-Time Off Source",MO_SPT_FXAverage_Sources,COLUMN(),FALSE),VLOOKUP(MO.DataSourceName,MO_SPT_FXAverage_Sources,COLUMN(),FALSE)),"N/A")</f>
        <v>N/A</v>
      </c>
      <c r="I472" s="266" t="str">
        <f>IFERROR(IF(OR(MO.RealTimeStockPriceToggle=FALSE,AA.CurrencyMatch,VLOOKUP(MO.DataSourceName,MO_SPT_FXAverage_Sources,COLUMN(),FALSE)="N/A"),VLOOKUP("Real-Time Off Source",MO_SPT_FXAverage_Sources,COLUMN(),FALSE),VLOOKUP(MO.DataSourceName,MO_SPT_FXAverage_Sources,COLUMN(),FALSE)),"N/A")</f>
        <v>N/A</v>
      </c>
      <c r="J472" s="266" t="str">
        <f>IFERROR(IF(OR(MO.RealTimeStockPriceToggle=FALSE,AA.CurrencyMatch,VLOOKUP(MO.DataSourceName,MO_SPT_FXAverage_Sources,COLUMN(),FALSE)="N/A"),VLOOKUP("Real-Time Off Source",MO_SPT_FXAverage_Sources,COLUMN(),FALSE),VLOOKUP(MO.DataSourceName,MO_SPT_FXAverage_Sources,COLUMN(),FALSE)),"N/A")</f>
        <v>N/A</v>
      </c>
      <c r="K472" s="266" t="str">
        <f>IFERROR(IF(OR(MO.RealTimeStockPriceToggle=FALSE,AA.CurrencyMatch,VLOOKUP(MO.DataSourceName,MO_SPT_FXAverage_Sources,COLUMN(),FALSE)="N/A"),VLOOKUP("Real-Time Off Source",MO_SPT_FXAverage_Sources,COLUMN(),FALSE),VLOOKUP(MO.DataSourceName,MO_SPT_FXAverage_Sources,COLUMN(),FALSE)),"N/A")</f>
        <v>N/A</v>
      </c>
      <c r="L472" s="266" t="str">
        <f>IFERROR(IF(OR(MO.RealTimeStockPriceToggle=FALSE,AA.CurrencyMatch,VLOOKUP(MO.DataSourceName,MO_SPT_FXAverage_Sources,COLUMN(),FALSE)="N/A"),VLOOKUP("Real-Time Off Source",MO_SPT_FXAverage_Sources,COLUMN(),FALSE),VLOOKUP(MO.DataSourceName,MO_SPT_FXAverage_Sources,COLUMN(),FALSE)),"N/A")</f>
        <v>N/A</v>
      </c>
      <c r="M472" s="266" t="str">
        <f>IFERROR(IF(OR(MO.RealTimeStockPriceToggle=FALSE,AA.CurrencyMatch,VLOOKUP(MO.DataSourceName,MO_SPT_FXAverage_Sources,COLUMN(),FALSE)="N/A"),VLOOKUP("Real-Time Off Source",MO_SPT_FXAverage_Sources,COLUMN(),FALSE),VLOOKUP(MO.DataSourceName,MO_SPT_FXAverage_Sources,COLUMN(),FALSE)),"N/A")</f>
        <v>N/A</v>
      </c>
      <c r="N472" s="266" t="str">
        <f>IFERROR(IF(OR(MO.RealTimeStockPriceToggle=FALSE,AA.CurrencyMatch,VLOOKUP(MO.DataSourceName,MO_SPT_FXAverage_Sources,COLUMN(),FALSE)="N/A"),VLOOKUP("Real-Time Off Source",MO_SPT_FXAverage_Sources,COLUMN(),FALSE),VLOOKUP(MO.DataSourceName,MO_SPT_FXAverage_Sources,COLUMN(),FALSE)),"N/A")</f>
        <v>N/A</v>
      </c>
      <c r="O472" s="266" t="str">
        <f>IFERROR(IF(OR(MO.RealTimeStockPriceToggle=FALSE,AA.CurrencyMatch,VLOOKUP(MO.DataSourceName,MO_SPT_FXAverage_Sources,COLUMN(),FALSE)="N/A"),VLOOKUP("Real-Time Off Source",MO_SPT_FXAverage_Sources,COLUMN(),FALSE),VLOOKUP(MO.DataSourceName,MO_SPT_FXAverage_Sources,COLUMN(),FALSE)),"N/A")</f>
        <v>N/A</v>
      </c>
      <c r="P472" s="266" t="str">
        <f>IFERROR(IF(OR(MO.RealTimeStockPriceToggle=FALSE,AA.CurrencyMatch,VLOOKUP(MO.DataSourceName,MO_SPT_FXAverage_Sources,COLUMN(),FALSE)="N/A"),VLOOKUP("Real-Time Off Source",MO_SPT_FXAverage_Sources,COLUMN(),FALSE),VLOOKUP(MO.DataSourceName,MO_SPT_FXAverage_Sources,COLUMN(),FALSE)),"N/A")</f>
        <v>N/A</v>
      </c>
      <c r="Q472" s="266" t="str">
        <f>IFERROR(IF(OR(MO.RealTimeStockPriceToggle=FALSE,AA.CurrencyMatch,VLOOKUP(MO.DataSourceName,MO_SPT_FXAverage_Sources,COLUMN(),FALSE)="N/A"),VLOOKUP("Real-Time Off Source",MO_SPT_FXAverage_Sources,COLUMN(),FALSE),VLOOKUP(MO.DataSourceName,MO_SPT_FXAverage_Sources,COLUMN(),FALSE)),"N/A")</f>
        <v>N/A</v>
      </c>
      <c r="R472" s="266" t="str">
        <f>IFERROR(IF(OR(MO.RealTimeStockPriceToggle=FALSE,AA.CurrencyMatch,VLOOKUP(MO.DataSourceName,MO_SPT_FXAverage_Sources,COLUMN(),FALSE)="N/A"),VLOOKUP("Real-Time Off Source",MO_SPT_FXAverage_Sources,COLUMN(),FALSE),VLOOKUP(MO.DataSourceName,MO_SPT_FXAverage_Sources,COLUMN(),FALSE)),"N/A")</f>
        <v>N/A</v>
      </c>
      <c r="S472" s="266" t="str">
        <f>IFERROR(IF(OR(MO.RealTimeStockPriceToggle=FALSE,AA.CurrencyMatch,VLOOKUP(MO.DataSourceName,MO_SPT_FXAverage_Sources,COLUMN(),FALSE)="N/A"),VLOOKUP("Real-Time Off Source",MO_SPT_FXAverage_Sources,COLUMN(),FALSE),VLOOKUP(MO.DataSourceName,MO_SPT_FXAverage_Sources,COLUMN(),FALSE)),"N/A")</f>
        <v>N/A</v>
      </c>
      <c r="T472" s="266" t="str">
        <f>IFERROR(IF(OR(MO.RealTimeStockPriceToggle=FALSE,AA.CurrencyMatch,VLOOKUP(MO.DataSourceName,MO_SPT_FXAverage_Sources,COLUMN(),FALSE)="N/A"),VLOOKUP("Real-Time Off Source",MO_SPT_FXAverage_Sources,COLUMN(),FALSE),VLOOKUP(MO.DataSourceName,MO_SPT_FXAverage_Sources,COLUMN(),FALSE)),"N/A")</f>
        <v>N/A</v>
      </c>
      <c r="U472" s="266" t="str">
        <f>IFERROR(IF(OR(MO.RealTimeStockPriceToggle=FALSE,AA.CurrencyMatch,VLOOKUP(MO.DataSourceName,MO_SPT_FXAverage_Sources,COLUMN(),FALSE)="N/A"),VLOOKUP("Real-Time Off Source",MO_SPT_FXAverage_Sources,COLUMN(),FALSE),VLOOKUP(MO.DataSourceName,MO_SPT_FXAverage_Sources,COLUMN(),FALSE)),"N/A")</f>
        <v>N/A</v>
      </c>
      <c r="V472" s="266" t="str">
        <f>IFERROR(IF(OR(MO.RealTimeStockPriceToggle=FALSE,AA.CurrencyMatch,VLOOKUP(MO.DataSourceName,MO_SPT_FXAverage_Sources,COLUMN(),FALSE)="N/A"),VLOOKUP("Real-Time Off Source",MO_SPT_FXAverage_Sources,COLUMN(),FALSE),VLOOKUP(MO.DataSourceName,MO_SPT_FXAverage_Sources,COLUMN(),FALSE)),"N/A")</f>
        <v>N/A</v>
      </c>
      <c r="W472" s="266" t="str">
        <f>IFERROR(IF(OR(MO.RealTimeStockPriceToggle=FALSE,AA.CurrencyMatch,VLOOKUP(MO.DataSourceName,MO_SPT_FXAverage_Sources,COLUMN(),FALSE)="N/A"),VLOOKUP("Real-Time Off Source",MO_SPT_FXAverage_Sources,COLUMN(),FALSE),VLOOKUP(MO.DataSourceName,MO_SPT_FXAverage_Sources,COLUMN(),FALSE)),"N/A")</f>
        <v>N/A</v>
      </c>
      <c r="X472" s="266" t="str">
        <f>IFERROR(IF(OR(MO.RealTimeStockPriceToggle=FALSE,AA.CurrencyMatch,VLOOKUP(MO.DataSourceName,MO_SPT_FXAverage_Sources,COLUMN(),FALSE)="N/A"),VLOOKUP("Real-Time Off Source",MO_SPT_FXAverage_Sources,COLUMN(),FALSE),VLOOKUP(MO.DataSourceName,MO_SPT_FXAverage_Sources,COLUMN(),FALSE)),"N/A")</f>
        <v>N/A</v>
      </c>
      <c r="Y472" s="266" t="str">
        <f>IFERROR(IF(OR(MO.RealTimeStockPriceToggle=FALSE,AA.CurrencyMatch,VLOOKUP(MO.DataSourceName,MO_SPT_FXAverage_Sources,COLUMN(),FALSE)="N/A"),VLOOKUP("Real-Time Off Source",MO_SPT_FXAverage_Sources,COLUMN(),FALSE),VLOOKUP(MO.DataSourceName,MO_SPT_FXAverage_Sources,COLUMN(),FALSE)),"N/A")</f>
        <v>N/A</v>
      </c>
      <c r="Z472" s="266" t="str">
        <f>IFERROR(IF(OR(MO.RealTimeStockPriceToggle=FALSE,AA.CurrencyMatch,VLOOKUP(MO.DataSourceName,MO_SPT_FXAverage_Sources,COLUMN(),FALSE)="N/A"),VLOOKUP("Real-Time Off Source",MO_SPT_FXAverage_Sources,COLUMN(),FALSE),VLOOKUP(MO.DataSourceName,MO_SPT_FXAverage_Sources,COLUMN(),FALSE)),"N/A")</f>
        <v>N/A</v>
      </c>
      <c r="AA472" s="266" t="str">
        <f>IFERROR(IF(OR(MO.RealTimeStockPriceToggle=FALSE,AA.CurrencyMatch,VLOOKUP(MO.DataSourceName,MO_SPT_FXAverage_Sources,COLUMN(),FALSE)="N/A"),VLOOKUP("Real-Time Off Source",MO_SPT_FXAverage_Sources,COLUMN(),FALSE),VLOOKUP(MO.DataSourceName,MO_SPT_FXAverage_Sources,COLUMN(),FALSE)),"N/A")</f>
        <v>N/A</v>
      </c>
      <c r="AB472" s="266" t="str">
        <f>IFERROR(IF(OR(MO.RealTimeStockPriceToggle=FALSE,AA.CurrencyMatch,VLOOKUP(MO.DataSourceName,MO_SPT_FXAverage_Sources,COLUMN(),FALSE)="N/A"),VLOOKUP("Real-Time Off Source",MO_SPT_FXAverage_Sources,COLUMN(),FALSE),VLOOKUP(MO.DataSourceName,MO_SPT_FXAverage_Sources,COLUMN(),FALSE)),"N/A")</f>
        <v>N/A</v>
      </c>
      <c r="AC472" s="266" t="str">
        <f>IFERROR(IF(OR(MO.RealTimeStockPriceToggle=FALSE,AA.CurrencyMatch,VLOOKUP(MO.DataSourceName,MO_SPT_FXAverage_Sources,COLUMN(),FALSE)="N/A"),VLOOKUP("Real-Time Off Source",MO_SPT_FXAverage_Sources,COLUMN(),FALSE),VLOOKUP(MO.DataSourceName,MO_SPT_FXAverage_Sources,COLUMN(),FALSE)),"N/A")</f>
        <v>N/A</v>
      </c>
      <c r="AD472" s="266" t="str">
        <f>IFERROR(IF(OR(MO.RealTimeStockPriceToggle=FALSE,AA.CurrencyMatch,VLOOKUP(MO.DataSourceName,MO_SPT_FXAverage_Sources,COLUMN(),FALSE)="N/A"),VLOOKUP("Real-Time Off Source",MO_SPT_FXAverage_Sources,COLUMN(),FALSE),VLOOKUP(MO.DataSourceName,MO_SPT_FXAverage_Sources,COLUMN(),FALSE)),"N/A")</f>
        <v>N/A</v>
      </c>
      <c r="AE472" s="266" t="str">
        <f>IFERROR(IF(OR(MO.RealTimeStockPriceToggle=FALSE,AA.CurrencyMatch,VLOOKUP(MO.DataSourceName,MO_SPT_FXAverage_Sources,COLUMN(),FALSE)="N/A"),VLOOKUP("Real-Time Off Source",MO_SPT_FXAverage_Sources,COLUMN(),FALSE),VLOOKUP(MO.DataSourceName,MO_SPT_FXAverage_Sources,COLUMN(),FALSE)),"N/A")</f>
        <v>N/A</v>
      </c>
      <c r="AF472" s="266" t="str">
        <f>IFERROR(IF(OR(MO.RealTimeStockPriceToggle=FALSE,AA.CurrencyMatch,VLOOKUP(MO.DataSourceName,MO_SPT_FXAverage_Sources,COLUMN(),FALSE)="N/A"),VLOOKUP("Real-Time Off Source",MO_SPT_FXAverage_Sources,COLUMN(),FALSE),VLOOKUP(MO.DataSourceName,MO_SPT_FXAverage_Sources,COLUMN(),FALSE)),"N/A")</f>
        <v>N/A</v>
      </c>
      <c r="AG472" s="266" t="str">
        <f>IFERROR(IF(OR(MO.RealTimeStockPriceToggle=FALSE,AA.CurrencyMatch,VLOOKUP(MO.DataSourceName,MO_SPT_FXAverage_Sources,COLUMN(),FALSE)="N/A"),VLOOKUP("Real-Time Off Source",MO_SPT_FXAverage_Sources,COLUMN(),FALSE),VLOOKUP(MO.DataSourceName,MO_SPT_FXAverage_Sources,COLUMN(),FALSE)),"N/A")</f>
        <v>N/A</v>
      </c>
      <c r="AH472" s="266" t="str">
        <f>IFERROR(IF(OR(MO.RealTimeStockPriceToggle=FALSE,AA.CurrencyMatch,VLOOKUP(MO.DataSourceName,MO_SPT_FXAverage_Sources,COLUMN(),FALSE)="N/A"),VLOOKUP("Real-Time Off Source",MO_SPT_FXAverage_Sources,COLUMN(),FALSE),VLOOKUP(MO.DataSourceName,MO_SPT_FXAverage_Sources,COLUMN(),FALSE)),"N/A")</f>
        <v>N/A</v>
      </c>
      <c r="AI472" s="266" t="str">
        <f>IFERROR(IF(OR(MO.RealTimeStockPriceToggle=FALSE,AA.CurrencyMatch,VLOOKUP(MO.DataSourceName,MO_SPT_FXAverage_Sources,COLUMN(),FALSE)="N/A"),VLOOKUP("Real-Time Off Source",MO_SPT_FXAverage_Sources,COLUMN(),FALSE),VLOOKUP(MO.DataSourceName,MO_SPT_FXAverage_Sources,COLUMN(),FALSE)),"N/A")</f>
        <v>N/A</v>
      </c>
      <c r="AJ472" s="266" t="str">
        <f>IFERROR(IF(OR(MO.RealTimeStockPriceToggle=FALSE,AA.CurrencyMatch,VLOOKUP(MO.DataSourceName,MO_SPT_FXAverage_Sources,COLUMN(),FALSE)="N/A"),VLOOKUP("Real-Time Off Source",MO_SPT_FXAverage_Sources,COLUMN(),FALSE),VLOOKUP(MO.DataSourceName,MO_SPT_FXAverage_Sources,COLUMN(),FALSE)),"N/A")</f>
        <v>N/A</v>
      </c>
      <c r="AK472" s="266" t="str">
        <f>IFERROR(IF(OR(MO.RealTimeStockPriceToggle=FALSE,AA.CurrencyMatch,VLOOKUP(MO.DataSourceName,MO_SPT_FXAverage_Sources,COLUMN(),FALSE)="N/A"),VLOOKUP("Real-Time Off Source",MO_SPT_FXAverage_Sources,COLUMN(),FALSE),VLOOKUP(MO.DataSourceName,MO_SPT_FXAverage_Sources,COLUMN(),FALSE)),"N/A")</f>
        <v>N/A</v>
      </c>
      <c r="AL472" s="535" t="str">
        <f>IFERROR(IF(OR(MO.RealTimeStockPriceToggle=FALSE,AA.CurrencyMatch,VLOOKUP(MO.DataSourceName,MO_SPT_FXAverage_Sources,COLUMN(),FALSE)="N/A"),VLOOKUP("Real-Time Off Source",MO_SPT_FXAverage_Sources,COLUMN(),FALSE),VLOOKUP(MO.DataSourceName,MO_SPT_FXAverage_Sources,COLUMN(),FALSE)),"N/A")</f>
        <v>N/A</v>
      </c>
      <c r="AM472" s="266" t="str">
        <f>IFERROR(IF(OR(MO.RealTimeStockPriceToggle=FALSE,AA.CurrencyMatch,VLOOKUP(MO.DataSourceName,MO_SPT_FXAverage_Sources,COLUMN(),FALSE)="N/A"),VLOOKUP("Real-Time Off Source",MO_SPT_FXAverage_Sources,COLUMN(),FALSE),VLOOKUP(MO.DataSourceName,MO_SPT_FXAverage_Sources,COLUMN(),FALSE)),"N/A")</f>
        <v>N/A</v>
      </c>
      <c r="AN472" s="266" t="str">
        <f>IFERROR(IF(OR(MO.RealTimeStockPriceToggle=FALSE,AA.CurrencyMatch,VLOOKUP(MO.DataSourceName,MO_SPT_FXAverage_Sources,COLUMN(),FALSE)="N/A"),VLOOKUP("Real-Time Off Source",MO_SPT_FXAverage_Sources,COLUMN(),FALSE),VLOOKUP(MO.DataSourceName,MO_SPT_FXAverage_Sources,COLUMN(),FALSE)),"N/A")</f>
        <v>N/A</v>
      </c>
      <c r="AO472" s="266" t="str">
        <f>IFERROR(IF(OR(MO.RealTimeStockPriceToggle=FALSE,AA.CurrencyMatch,VLOOKUP(MO.DataSourceName,MO_SPT_FXAverage_Sources,COLUMN(),FALSE)="N/A"),VLOOKUP("Real-Time Off Source",MO_SPT_FXAverage_Sources,COLUMN(),FALSE),VLOOKUP(MO.DataSourceName,MO_SPT_FXAverage_Sources,COLUMN(),FALSE)),"N/A")</f>
        <v>N/A</v>
      </c>
      <c r="AP472" s="266" t="str">
        <f>IFERROR(IF(OR(MO.RealTimeStockPriceToggle=FALSE,AA.CurrencyMatch,VLOOKUP(MO.DataSourceName,MO_SPT_FXAverage_Sources,COLUMN(),FALSE)="N/A"),VLOOKUP("Real-Time Off Source",MO_SPT_FXAverage_Sources,COLUMN(),FALSE),VLOOKUP(MO.DataSourceName,MO_SPT_FXAverage_Sources,COLUMN(),FALSE)),"N/A")</f>
        <v>N/A</v>
      </c>
      <c r="AQ472" s="266" t="str">
        <f>IFERROR(IF(OR(MO.RealTimeStockPriceToggle=FALSE,AA.CurrencyMatch,VLOOKUP(MO.DataSourceName,MO_SPT_FXAverage_Sources,COLUMN(),FALSE)="N/A"),VLOOKUP("Real-Time Off Source",MO_SPT_FXAverage_Sources,COLUMN(),FALSE),VLOOKUP(MO.DataSourceName,MO_SPT_FXAverage_Sources,COLUMN(),FALSE)),"N/A")</f>
        <v>N/A</v>
      </c>
      <c r="AR472" s="266" t="str">
        <f>IFERROR(IF(OR(MO.RealTimeStockPriceToggle=FALSE,AA.CurrencyMatch,VLOOKUP(MO.DataSourceName,MO_SPT_FXAverage_Sources,COLUMN(),FALSE)="N/A"),VLOOKUP("Real-Time Off Source",MO_SPT_FXAverage_Sources,COLUMN(),FALSE),VLOOKUP(MO.DataSourceName,MO_SPT_FXAverage_Sources,COLUMN(),FALSE)),"N/A")</f>
        <v>N/A</v>
      </c>
      <c r="AS472" s="266" t="str">
        <f>IFERROR(IF(OR(MO.RealTimeStockPriceToggle=FALSE,AA.CurrencyMatch,VLOOKUP(MO.DataSourceName,MO_SPT_FXAverage_Sources,COLUMN(),FALSE)="N/A"),VLOOKUP("Real-Time Off Source",MO_SPT_FXAverage_Sources,COLUMN(),FALSE),VLOOKUP(MO.DataSourceName,MO_SPT_FXAverage_Sources,COLUMN(),FALSE)),"N/A")</f>
        <v>N/A</v>
      </c>
      <c r="AT472" s="266" t="str">
        <f>IFERROR(IF(OR(MO.RealTimeStockPriceToggle=FALSE,AA.CurrencyMatch,VLOOKUP(MO.DataSourceName,MO_SPT_FXAverage_Sources,COLUMN(),FALSE)="N/A"),VLOOKUP("Real-Time Off Source",MO_SPT_FXAverage_Sources,COLUMN(),FALSE),VLOOKUP(MO.DataSourceName,MO_SPT_FXAverage_Sources,COLUMN(),FALSE)),"N/A")</f>
        <v>N/A</v>
      </c>
      <c r="AU472" s="266" t="str">
        <f>IFERROR(IF(OR(MO.RealTimeStockPriceToggle=FALSE,AA.CurrencyMatch,VLOOKUP(MO.DataSourceName,MO_SPT_FXAverage_Sources,COLUMN(),FALSE)="N/A"),VLOOKUP("Real-Time Off Source",MO_SPT_FXAverage_Sources,COLUMN(),FALSE),VLOOKUP(MO.DataSourceName,MO_SPT_FXAverage_Sources,COLUMN(),FALSE)),"N/A")</f>
        <v>N/A</v>
      </c>
      <c r="AV472" s="266" t="str">
        <f>IFERROR(IF(OR(MO.RealTimeStockPriceToggle=FALSE,AA.CurrencyMatch,VLOOKUP(MO.DataSourceName,MO_SPT_FXAverage_Sources,COLUMN(),FALSE)="N/A"),VLOOKUP("Real-Time Off Source",MO_SPT_FXAverage_Sources,COLUMN(),FALSE),VLOOKUP(MO.DataSourceName,MO_SPT_FXAverage_Sources,COLUMN(),FALSE)),"N/A")</f>
        <v>N/A</v>
      </c>
      <c r="AW472" s="267" t="str">
        <f>IFERROR(IF(OR(MO.RealTimeStockPriceToggle=FALSE,AA.CurrencyMatch,VLOOKUP(MO.DataSourceName,MO_SPT_FXAverage_Sources,COLUMN(),FALSE)="N/A"),VLOOKUP("Real-Time Off Source",MO_SPT_FXAverage_Sources,COLUMN(),FALSE),VLOOKUP(MO.DataSourceName,MO_SPT_FXAverage_Sources,COLUMN(),FALSE)),"N/A")</f>
        <v>N/A</v>
      </c>
      <c r="AX472" s="251"/>
    </row>
    <row r="473" spans="1:50" s="490" customFormat="1" hidden="1" outlineLevel="1" x14ac:dyDescent="0.3">
      <c r="A473" s="536" t="s">
        <v>268</v>
      </c>
      <c r="B473" s="266"/>
      <c r="C473" s="534"/>
      <c r="D473" s="534"/>
      <c r="E473" s="534"/>
      <c r="F473" s="534"/>
      <c r="G473" s="534"/>
      <c r="H473" s="266"/>
      <c r="I473" s="266"/>
      <c r="J473" s="266"/>
      <c r="K473" s="266"/>
      <c r="L473" s="266"/>
      <c r="M473" s="266"/>
      <c r="N473" s="266"/>
      <c r="O473" s="266"/>
      <c r="P473" s="266"/>
      <c r="Q473" s="266"/>
      <c r="R473" s="266"/>
      <c r="S473" s="266"/>
      <c r="T473" s="266"/>
      <c r="U473" s="266"/>
      <c r="V473" s="266"/>
      <c r="W473" s="266"/>
      <c r="X473" s="266"/>
      <c r="Y473" s="266"/>
      <c r="Z473" s="266"/>
      <c r="AA473" s="266"/>
      <c r="AB473" s="266"/>
      <c r="AC473" s="266"/>
      <c r="AD473" s="266"/>
      <c r="AE473" s="266"/>
      <c r="AF473" s="266"/>
      <c r="AG473" s="266"/>
      <c r="AH473" s="266"/>
      <c r="AI473" s="266"/>
      <c r="AJ473" s="266"/>
      <c r="AK473" s="266"/>
      <c r="AL473" s="535"/>
      <c r="AM473" s="266">
        <f>MO.MRFX.Hardcoded</f>
        <v>1</v>
      </c>
      <c r="AN473" s="266">
        <f>MO.MRFX.Hardcoded</f>
        <v>1</v>
      </c>
      <c r="AO473" s="266">
        <f>MO.MRFX.Hardcoded</f>
        <v>1</v>
      </c>
      <c r="AP473" s="266">
        <f>MO.MRFX.Hardcoded</f>
        <v>1</v>
      </c>
      <c r="AQ473" s="266">
        <f>MO.MRFX.Hardcoded</f>
        <v>1</v>
      </c>
      <c r="AR473" s="266">
        <f>MO.MRFX.Hardcoded</f>
        <v>1</v>
      </c>
      <c r="AS473" s="266">
        <f>MO.MRFX.Hardcoded</f>
        <v>1</v>
      </c>
      <c r="AT473" s="266">
        <f>MO.MRFX.Hardcoded</f>
        <v>1</v>
      </c>
      <c r="AU473" s="266">
        <f>MO.MRFX.Hardcoded</f>
        <v>1</v>
      </c>
      <c r="AV473" s="266">
        <f>MO.MRFX.Hardcoded</f>
        <v>1</v>
      </c>
      <c r="AW473" s="267">
        <f>MO.MRFX.Hardcoded</f>
        <v>1</v>
      </c>
      <c r="AX473" s="251"/>
    </row>
    <row r="474" spans="1:50" s="490" customFormat="1" hidden="1" outlineLevel="1" x14ac:dyDescent="0.3">
      <c r="A474" s="536" t="s">
        <v>7</v>
      </c>
      <c r="B474" s="266"/>
      <c r="C474" s="534" t="s">
        <v>1295</v>
      </c>
      <c r="D474" s="534" t="s">
        <v>1295</v>
      </c>
      <c r="E474" s="534" t="s">
        <v>1295</v>
      </c>
      <c r="F474" s="534" t="s">
        <v>1295</v>
      </c>
      <c r="G474" s="534" t="s">
        <v>1295</v>
      </c>
      <c r="H474" s="266" t="s">
        <v>1295</v>
      </c>
      <c r="I474" s="266" t="s">
        <v>1295</v>
      </c>
      <c r="J474" s="266" t="s">
        <v>1295</v>
      </c>
      <c r="K474" s="266" t="s">
        <v>1295</v>
      </c>
      <c r="L474" s="266" t="s">
        <v>1295</v>
      </c>
      <c r="M474" s="266" t="s">
        <v>1295</v>
      </c>
      <c r="N474" s="266" t="s">
        <v>1295</v>
      </c>
      <c r="O474" s="266" t="s">
        <v>1295</v>
      </c>
      <c r="P474" s="266" t="s">
        <v>1295</v>
      </c>
      <c r="Q474" s="266" t="s">
        <v>1295</v>
      </c>
      <c r="R474" s="266" t="s">
        <v>1295</v>
      </c>
      <c r="S474" s="266" t="s">
        <v>1295</v>
      </c>
      <c r="T474" s="266" t="s">
        <v>1295</v>
      </c>
      <c r="U474" s="266" t="s">
        <v>1295</v>
      </c>
      <c r="V474" s="266" t="s">
        <v>1295</v>
      </c>
      <c r="W474" s="266" t="s">
        <v>1295</v>
      </c>
      <c r="X474" s="266" t="s">
        <v>1295</v>
      </c>
      <c r="Y474" s="266" t="s">
        <v>1295</v>
      </c>
      <c r="Z474" s="266" t="s">
        <v>1295</v>
      </c>
      <c r="AA474" s="266" t="s">
        <v>1295</v>
      </c>
      <c r="AB474" s="266" t="s">
        <v>1295</v>
      </c>
      <c r="AC474" s="266" t="s">
        <v>1295</v>
      </c>
      <c r="AD474" s="266" t="s">
        <v>1295</v>
      </c>
      <c r="AE474" s="266" t="s">
        <v>1295</v>
      </c>
      <c r="AF474" s="266" t="s">
        <v>1295</v>
      </c>
      <c r="AG474" s="266" t="s">
        <v>1295</v>
      </c>
      <c r="AH474" s="266" t="s">
        <v>1295</v>
      </c>
      <c r="AI474" s="266" t="s">
        <v>1295</v>
      </c>
      <c r="AJ474" s="266" t="s">
        <v>1295</v>
      </c>
      <c r="AK474" s="266" t="s">
        <v>1295</v>
      </c>
      <c r="AL474" s="535" t="s">
        <v>1295</v>
      </c>
      <c r="AM474" s="266" t="s">
        <v>1295</v>
      </c>
      <c r="AN474" s="266" t="s">
        <v>1295</v>
      </c>
      <c r="AO474" s="266" t="s">
        <v>1295</v>
      </c>
      <c r="AP474" s="266" t="s">
        <v>1295</v>
      </c>
      <c r="AQ474" s="266" t="s">
        <v>1295</v>
      </c>
      <c r="AR474" s="266" t="s">
        <v>1295</v>
      </c>
      <c r="AS474" s="266" t="s">
        <v>1295</v>
      </c>
      <c r="AT474" s="266" t="s">
        <v>1295</v>
      </c>
      <c r="AU474" s="266" t="s">
        <v>1295</v>
      </c>
      <c r="AV474" s="266" t="s">
        <v>1295</v>
      </c>
      <c r="AW474" s="267" t="s">
        <v>1295</v>
      </c>
      <c r="AX474" s="251"/>
    </row>
    <row r="475" spans="1:50" s="490" customFormat="1" hidden="1" outlineLevel="1" x14ac:dyDescent="0.3">
      <c r="A475" s="536" t="s">
        <v>269</v>
      </c>
      <c r="B475" s="266"/>
      <c r="C475" s="534">
        <v>1</v>
      </c>
      <c r="D475" s="534">
        <v>1</v>
      </c>
      <c r="E475" s="534">
        <v>1</v>
      </c>
      <c r="F475" s="534">
        <v>1</v>
      </c>
      <c r="G475" s="534">
        <v>1</v>
      </c>
      <c r="H475" s="266">
        <v>1</v>
      </c>
      <c r="I475" s="266">
        <v>1</v>
      </c>
      <c r="J475" s="266">
        <v>1</v>
      </c>
      <c r="K475" s="266">
        <v>1</v>
      </c>
      <c r="L475" s="266">
        <v>1</v>
      </c>
      <c r="M475" s="266">
        <v>1</v>
      </c>
      <c r="N475" s="266">
        <v>1</v>
      </c>
      <c r="O475" s="266">
        <v>1</v>
      </c>
      <c r="P475" s="266">
        <v>1</v>
      </c>
      <c r="Q475" s="266">
        <v>1</v>
      </c>
      <c r="R475" s="266">
        <v>1</v>
      </c>
      <c r="S475" s="266">
        <v>1</v>
      </c>
      <c r="T475" s="266">
        <v>1</v>
      </c>
      <c r="U475" s="266">
        <v>1</v>
      </c>
      <c r="V475" s="266">
        <v>1</v>
      </c>
      <c r="W475" s="266">
        <v>1</v>
      </c>
      <c r="X475" s="266">
        <v>1</v>
      </c>
      <c r="Y475" s="266">
        <v>1</v>
      </c>
      <c r="Z475" s="266">
        <v>1</v>
      </c>
      <c r="AA475" s="266">
        <v>1</v>
      </c>
      <c r="AB475" s="266">
        <v>1</v>
      </c>
      <c r="AC475" s="266">
        <v>1</v>
      </c>
      <c r="AD475" s="266">
        <v>1</v>
      </c>
      <c r="AE475" s="266">
        <v>1</v>
      </c>
      <c r="AF475" s="266">
        <v>1</v>
      </c>
      <c r="AG475" s="266">
        <v>1</v>
      </c>
      <c r="AH475" s="266">
        <v>1</v>
      </c>
      <c r="AI475" s="266">
        <v>1</v>
      </c>
      <c r="AJ475" s="266">
        <v>1</v>
      </c>
      <c r="AK475" s="266">
        <v>1</v>
      </c>
      <c r="AL475" s="535">
        <v>1</v>
      </c>
      <c r="AM475" s="266">
        <v>1</v>
      </c>
      <c r="AN475" s="266">
        <v>1</v>
      </c>
      <c r="AO475" s="266">
        <v>1</v>
      </c>
      <c r="AP475" s="266">
        <v>1</v>
      </c>
      <c r="AQ475" s="266">
        <v>1</v>
      </c>
      <c r="AR475" s="266">
        <v>1</v>
      </c>
      <c r="AS475" s="266">
        <v>1</v>
      </c>
      <c r="AT475" s="266">
        <v>1</v>
      </c>
      <c r="AU475" s="266">
        <v>1</v>
      </c>
      <c r="AV475" s="266">
        <v>1</v>
      </c>
      <c r="AW475" s="267">
        <v>1</v>
      </c>
      <c r="AX475" s="251"/>
    </row>
    <row r="476" spans="1:50" s="490" customFormat="1" hidden="1" outlineLevel="1" x14ac:dyDescent="0.3">
      <c r="A476" s="536" t="s">
        <v>270</v>
      </c>
      <c r="B476" s="266"/>
      <c r="C476" s="534" t="s">
        <v>1295</v>
      </c>
      <c r="D476" s="534" t="s">
        <v>1295</v>
      </c>
      <c r="E476" s="534" t="s">
        <v>1295</v>
      </c>
      <c r="F476" s="534" t="s">
        <v>1295</v>
      </c>
      <c r="G476" s="534" t="s">
        <v>1295</v>
      </c>
      <c r="H476" s="266" t="s">
        <v>1295</v>
      </c>
      <c r="I476" s="266" t="s">
        <v>1295</v>
      </c>
      <c r="J476" s="266" t="s">
        <v>1295</v>
      </c>
      <c r="K476" s="266" t="s">
        <v>1295</v>
      </c>
      <c r="L476" s="266" t="s">
        <v>1295</v>
      </c>
      <c r="M476" s="266" t="s">
        <v>1295</v>
      </c>
      <c r="N476" s="266" t="s">
        <v>1295</v>
      </c>
      <c r="O476" s="266" t="s">
        <v>1295</v>
      </c>
      <c r="P476" s="266" t="s">
        <v>1295</v>
      </c>
      <c r="Q476" s="266" t="s">
        <v>1295</v>
      </c>
      <c r="R476" s="266" t="s">
        <v>1295</v>
      </c>
      <c r="S476" s="266" t="s">
        <v>1295</v>
      </c>
      <c r="T476" s="266" t="s">
        <v>1295</v>
      </c>
      <c r="U476" s="266" t="s">
        <v>1295</v>
      </c>
      <c r="V476" s="266" t="s">
        <v>1295</v>
      </c>
      <c r="W476" s="266" t="s">
        <v>1295</v>
      </c>
      <c r="X476" s="266" t="s">
        <v>1295</v>
      </c>
      <c r="Y476" s="266" t="s">
        <v>1295</v>
      </c>
      <c r="Z476" s="266" t="s">
        <v>1295</v>
      </c>
      <c r="AA476" s="266" t="s">
        <v>1295</v>
      </c>
      <c r="AB476" s="266" t="s">
        <v>1295</v>
      </c>
      <c r="AC476" s="266" t="s">
        <v>1295</v>
      </c>
      <c r="AD476" s="266" t="s">
        <v>1295</v>
      </c>
      <c r="AE476" s="266" t="s">
        <v>1295</v>
      </c>
      <c r="AF476" s="266" t="s">
        <v>1295</v>
      </c>
      <c r="AG476" s="266" t="s">
        <v>1295</v>
      </c>
      <c r="AH476" s="266" t="s">
        <v>1295</v>
      </c>
      <c r="AI476" s="266" t="s">
        <v>1295</v>
      </c>
      <c r="AJ476" s="266" t="s">
        <v>1295</v>
      </c>
      <c r="AK476" s="266" t="s">
        <v>1295</v>
      </c>
      <c r="AL476" s="535" t="s">
        <v>1295</v>
      </c>
      <c r="AM476" s="266" t="s">
        <v>1295</v>
      </c>
      <c r="AN476" s="266" t="s">
        <v>1295</v>
      </c>
      <c r="AO476" s="266" t="s">
        <v>1295</v>
      </c>
      <c r="AP476" s="266" t="s">
        <v>1295</v>
      </c>
      <c r="AQ476" s="266" t="s">
        <v>1295</v>
      </c>
      <c r="AR476" s="266" t="s">
        <v>1295</v>
      </c>
      <c r="AS476" s="266" t="s">
        <v>1295</v>
      </c>
      <c r="AT476" s="266" t="s">
        <v>1295</v>
      </c>
      <c r="AU476" s="266" t="s">
        <v>1295</v>
      </c>
      <c r="AV476" s="266" t="s">
        <v>1295</v>
      </c>
      <c r="AW476" s="267" t="s">
        <v>1295</v>
      </c>
      <c r="AX476" s="251"/>
    </row>
    <row r="477" spans="1:50" s="490" customFormat="1" hidden="1" outlineLevel="1" x14ac:dyDescent="0.3">
      <c r="A477" s="536" t="s">
        <v>271</v>
      </c>
      <c r="B477" s="266"/>
      <c r="C477" s="534" t="str">
        <f>"N/A"</f>
        <v>N/A</v>
      </c>
      <c r="D477" s="534" t="str">
        <f>"N/A"</f>
        <v>N/A</v>
      </c>
      <c r="E477" s="534" t="str">
        <f>"N/A"</f>
        <v>N/A</v>
      </c>
      <c r="F477" s="534" t="str">
        <f>"N/A"</f>
        <v>N/A</v>
      </c>
      <c r="G477" s="534" t="str">
        <f>"N/A"</f>
        <v>N/A</v>
      </c>
      <c r="H477" s="266" t="str">
        <f>"N/A"</f>
        <v>N/A</v>
      </c>
      <c r="I477" s="266" t="str">
        <f>"N/A"</f>
        <v>N/A</v>
      </c>
      <c r="J477" s="266" t="str">
        <f>"N/A"</f>
        <v>N/A</v>
      </c>
      <c r="K477" s="266" t="str">
        <f>"N/A"</f>
        <v>N/A</v>
      </c>
      <c r="L477" s="266" t="str">
        <f>"N/A"</f>
        <v>N/A</v>
      </c>
      <c r="M477" s="266" t="str">
        <f>"N/A"</f>
        <v>N/A</v>
      </c>
      <c r="N477" s="266" t="str">
        <f>"N/A"</f>
        <v>N/A</v>
      </c>
      <c r="O477" s="266" t="str">
        <f>"N/A"</f>
        <v>N/A</v>
      </c>
      <c r="P477" s="266" t="str">
        <f>"N/A"</f>
        <v>N/A</v>
      </c>
      <c r="Q477" s="266" t="str">
        <f>"N/A"</f>
        <v>N/A</v>
      </c>
      <c r="R477" s="266" t="str">
        <f>"N/A"</f>
        <v>N/A</v>
      </c>
      <c r="S477" s="266" t="str">
        <f>"N/A"</f>
        <v>N/A</v>
      </c>
      <c r="T477" s="266" t="str">
        <f>"N/A"</f>
        <v>N/A</v>
      </c>
      <c r="U477" s="266" t="str">
        <f>"N/A"</f>
        <v>N/A</v>
      </c>
      <c r="V477" s="266" t="str">
        <f>"N/A"</f>
        <v>N/A</v>
      </c>
      <c r="W477" s="266" t="str">
        <f>"N/A"</f>
        <v>N/A</v>
      </c>
      <c r="X477" s="266" t="str">
        <f>"N/A"</f>
        <v>N/A</v>
      </c>
      <c r="Y477" s="266" t="str">
        <f>"N/A"</f>
        <v>N/A</v>
      </c>
      <c r="Z477" s="266" t="str">
        <f>"N/A"</f>
        <v>N/A</v>
      </c>
      <c r="AA477" s="266" t="str">
        <f>"N/A"</f>
        <v>N/A</v>
      </c>
      <c r="AB477" s="266" t="str">
        <f>"N/A"</f>
        <v>N/A</v>
      </c>
      <c r="AC477" s="266" t="str">
        <f>"N/A"</f>
        <v>N/A</v>
      </c>
      <c r="AD477" s="266" t="str">
        <f>"N/A"</f>
        <v>N/A</v>
      </c>
      <c r="AE477" s="266" t="str">
        <f>"N/A"</f>
        <v>N/A</v>
      </c>
      <c r="AF477" s="266" t="str">
        <f>"N/A"</f>
        <v>N/A</v>
      </c>
      <c r="AG477" s="266" t="str">
        <f>"N/A"</f>
        <v>N/A</v>
      </c>
      <c r="AH477" s="266" t="str">
        <f>"N/A"</f>
        <v>N/A</v>
      </c>
      <c r="AI477" s="266" t="str">
        <f>"N/A"</f>
        <v>N/A</v>
      </c>
      <c r="AJ477" s="266" t="str">
        <f>"N/A"</f>
        <v>N/A</v>
      </c>
      <c r="AK477" s="266" t="str">
        <f>"N/A"</f>
        <v>N/A</v>
      </c>
      <c r="AL477" s="535" t="str">
        <f>"N/A"</f>
        <v>N/A</v>
      </c>
      <c r="AM477" s="266" t="str">
        <f>"N/A"</f>
        <v>N/A</v>
      </c>
      <c r="AN477" s="266" t="str">
        <f>"N/A"</f>
        <v>N/A</v>
      </c>
      <c r="AO477" s="266" t="str">
        <f>"N/A"</f>
        <v>N/A</v>
      </c>
      <c r="AP477" s="266" t="str">
        <f>"N/A"</f>
        <v>N/A</v>
      </c>
      <c r="AQ477" s="266" t="str">
        <f>"N/A"</f>
        <v>N/A</v>
      </c>
      <c r="AR477" s="266" t="str">
        <f>"N/A"</f>
        <v>N/A</v>
      </c>
      <c r="AS477" s="266" t="str">
        <f>"N/A"</f>
        <v>N/A</v>
      </c>
      <c r="AT477" s="266" t="str">
        <f>"N/A"</f>
        <v>N/A</v>
      </c>
      <c r="AU477" s="266" t="str">
        <f>"N/A"</f>
        <v>N/A</v>
      </c>
      <c r="AV477" s="266" t="str">
        <f>"N/A"</f>
        <v>N/A</v>
      </c>
      <c r="AW477" s="267" t="str">
        <f>"N/A"</f>
        <v>N/A</v>
      </c>
      <c r="AX477" s="251"/>
    </row>
    <row r="478" spans="1:50" s="5" customFormat="1" collapsed="1" x14ac:dyDescent="0.3">
      <c r="A478" s="516"/>
      <c r="B478" s="158"/>
      <c r="C478" s="520"/>
      <c r="D478" s="520"/>
      <c r="E478" s="520"/>
      <c r="F478" s="520"/>
      <c r="G478" s="520"/>
      <c r="H478" s="158"/>
      <c r="I478" s="158"/>
      <c r="J478" s="158"/>
      <c r="K478" s="158"/>
      <c r="L478" s="158"/>
      <c r="M478" s="158"/>
      <c r="N478" s="158"/>
      <c r="O478" s="158"/>
      <c r="P478" s="158"/>
      <c r="Q478" s="158"/>
      <c r="R478" s="158"/>
      <c r="S478" s="158"/>
      <c r="T478" s="158"/>
      <c r="U478" s="158"/>
      <c r="V478" s="158"/>
      <c r="W478" s="158"/>
      <c r="X478" s="158"/>
      <c r="Y478" s="158"/>
      <c r="Z478" s="158"/>
      <c r="AA478" s="158"/>
      <c r="AB478" s="158"/>
      <c r="AC478" s="158"/>
      <c r="AD478" s="158"/>
      <c r="AE478" s="158"/>
      <c r="AF478" s="158"/>
      <c r="AG478" s="158"/>
      <c r="AH478" s="158"/>
      <c r="AI478" s="158"/>
      <c r="AJ478" s="158"/>
      <c r="AK478" s="158"/>
      <c r="AL478" s="537"/>
      <c r="AM478" s="158"/>
      <c r="AN478" s="158"/>
      <c r="AO478" s="158"/>
      <c r="AP478" s="158"/>
      <c r="AQ478" s="158"/>
      <c r="AR478" s="158"/>
      <c r="AS478" s="158"/>
      <c r="AT478" s="158"/>
      <c r="AU478" s="158"/>
      <c r="AV478" s="158"/>
      <c r="AW478" s="163"/>
      <c r="AX478" s="228"/>
    </row>
    <row r="479" spans="1:50" s="5" customFormat="1" x14ac:dyDescent="0.3">
      <c r="A479" s="501"/>
      <c r="B479" s="228"/>
      <c r="C479" s="502"/>
      <c r="D479" s="502"/>
      <c r="E479" s="228"/>
      <c r="F479" s="228"/>
      <c r="G479" s="228"/>
      <c r="H479" s="228"/>
      <c r="I479" s="228"/>
      <c r="J479" s="228"/>
      <c r="K479" s="228"/>
      <c r="L479" s="228"/>
      <c r="M479" s="228"/>
      <c r="N479" s="228"/>
      <c r="O479" s="228"/>
      <c r="P479" s="228"/>
      <c r="Q479" s="228"/>
      <c r="R479" s="228"/>
      <c r="S479" s="228"/>
      <c r="T479" s="228"/>
      <c r="U479" s="228"/>
      <c r="V479" s="228"/>
      <c r="W479" s="228"/>
      <c r="X479" s="228"/>
      <c r="Y479" s="228"/>
      <c r="Z479" s="228"/>
      <c r="AA479" s="228"/>
      <c r="AB479" s="228"/>
      <c r="AC479" s="228"/>
      <c r="AD479" s="228"/>
      <c r="AE479" s="228"/>
      <c r="AF479" s="228"/>
      <c r="AG479" s="228"/>
      <c r="AH479" s="228"/>
      <c r="AI479" s="228"/>
      <c r="AJ479" s="228"/>
      <c r="AK479" s="228"/>
      <c r="AL479" s="499"/>
      <c r="AM479" s="228"/>
      <c r="AN479" s="228"/>
      <c r="AO479" s="228"/>
      <c r="AP479" s="228"/>
      <c r="AQ479" s="228"/>
      <c r="AR479" s="228"/>
      <c r="AS479" s="228"/>
      <c r="AT479" s="228"/>
      <c r="AU479" s="228"/>
      <c r="AV479" s="228"/>
      <c r="AW479" s="228"/>
      <c r="AX479" s="228"/>
    </row>
    <row r="480" spans="1:50" s="5" customFormat="1" x14ac:dyDescent="0.3">
      <c r="A480" s="225" t="s">
        <v>272</v>
      </c>
      <c r="B480" s="229"/>
      <c r="C480" s="228"/>
      <c r="D480" s="228"/>
      <c r="E480" s="228"/>
      <c r="F480" s="228"/>
      <c r="G480" s="228"/>
      <c r="H480" s="228"/>
      <c r="I480" s="228"/>
      <c r="J480" s="228"/>
      <c r="K480" s="228"/>
      <c r="L480" s="228"/>
      <c r="M480" s="228"/>
      <c r="N480" s="228"/>
      <c r="O480" s="228"/>
      <c r="P480" s="228"/>
      <c r="Q480" s="228"/>
      <c r="R480" s="228"/>
      <c r="S480" s="228"/>
      <c r="T480" s="228"/>
      <c r="U480" s="228"/>
      <c r="V480" s="228"/>
      <c r="W480" s="228"/>
      <c r="X480" s="228"/>
      <c r="Y480" s="228"/>
      <c r="Z480" s="228"/>
      <c r="AA480" s="228"/>
      <c r="AB480" s="228"/>
      <c r="AC480" s="228"/>
      <c r="AD480" s="228"/>
      <c r="AE480" s="228"/>
      <c r="AF480" s="228"/>
      <c r="AG480" s="228"/>
      <c r="AH480" s="228"/>
      <c r="AI480" s="228"/>
      <c r="AJ480" s="228"/>
      <c r="AK480" s="228"/>
      <c r="AL480" s="499"/>
      <c r="AM480" s="228"/>
      <c r="AN480" s="228"/>
      <c r="AO480" s="228"/>
      <c r="AP480" s="228"/>
      <c r="AQ480" s="228"/>
      <c r="AR480" s="228"/>
      <c r="AS480" s="228"/>
      <c r="AT480" s="228"/>
      <c r="AU480" s="228"/>
      <c r="AV480" s="228"/>
      <c r="AW480" s="228"/>
      <c r="AX480" s="228"/>
    </row>
    <row r="481" spans="1:50" s="226" customFormat="1" x14ac:dyDescent="0.3">
      <c r="A481" s="230" t="s">
        <v>273</v>
      </c>
      <c r="B481" s="231">
        <f>FP.LastPrice</f>
        <v>222.82</v>
      </c>
      <c r="C481" s="232"/>
      <c r="D481" s="232"/>
      <c r="E481" s="232"/>
      <c r="F481" s="232"/>
      <c r="G481" s="232"/>
      <c r="H481" s="232"/>
      <c r="I481" s="232"/>
      <c r="J481" s="232"/>
      <c r="K481" s="232"/>
      <c r="L481" s="232"/>
      <c r="M481" s="232"/>
      <c r="N481" s="232"/>
      <c r="O481" s="232"/>
      <c r="P481" s="232"/>
      <c r="Q481" s="232"/>
      <c r="R481" s="232"/>
      <c r="S481" s="232"/>
      <c r="T481" s="232"/>
      <c r="U481" s="232"/>
      <c r="V481" s="232"/>
      <c r="W481" s="232"/>
      <c r="X481" s="232"/>
      <c r="Y481" s="232"/>
      <c r="Z481" s="232"/>
      <c r="AA481" s="232"/>
      <c r="AB481" s="232"/>
      <c r="AC481" s="232"/>
      <c r="AD481" s="232"/>
      <c r="AE481" s="232"/>
      <c r="AF481" s="232"/>
      <c r="AG481" s="232"/>
      <c r="AH481" s="232"/>
      <c r="AI481" s="232"/>
      <c r="AJ481" s="232"/>
      <c r="AK481" s="232"/>
      <c r="AL481" s="538"/>
      <c r="AM481" s="232"/>
      <c r="AN481" s="232"/>
      <c r="AO481" s="232"/>
      <c r="AP481" s="232"/>
      <c r="AQ481" s="232"/>
      <c r="AR481" s="232"/>
      <c r="AS481" s="232"/>
      <c r="AT481" s="232"/>
      <c r="AU481" s="232"/>
      <c r="AV481" s="232"/>
      <c r="AW481" s="232"/>
      <c r="AX481" s="232"/>
    </row>
    <row r="482" spans="1:50" x14ac:dyDescent="0.3">
      <c r="A482" s="36" t="s">
        <v>274</v>
      </c>
      <c r="B482" s="233">
        <f>FP.LastPriceDate</f>
        <v>46175</v>
      </c>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c r="AA482" s="155"/>
      <c r="AB482" s="155"/>
      <c r="AC482" s="155"/>
      <c r="AD482" s="155"/>
      <c r="AE482" s="155"/>
      <c r="AF482" s="155"/>
      <c r="AG482" s="155"/>
      <c r="AH482" s="155"/>
      <c r="AI482" s="155"/>
      <c r="AJ482" s="155"/>
      <c r="AK482" s="155"/>
      <c r="AL482" s="539"/>
      <c r="AM482" s="155"/>
      <c r="AN482" s="155"/>
      <c r="AO482" s="155"/>
      <c r="AP482" s="155"/>
      <c r="AQ482" s="155"/>
      <c r="AR482" s="155"/>
      <c r="AS482" s="155"/>
      <c r="AT482" s="155"/>
      <c r="AU482" s="155"/>
      <c r="AV482" s="155"/>
      <c r="AW482" s="155"/>
      <c r="AX482" s="155"/>
    </row>
    <row r="483" spans="1:50" x14ac:dyDescent="0.3">
      <c r="A483" s="36" t="s">
        <v>275</v>
      </c>
      <c r="B483" s="155" t="b">
        <f>IF(FP.RealTimeToggle="ON",TRUE,FALSE)</f>
        <v>0</v>
      </c>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c r="AA483" s="155"/>
      <c r="AB483" s="155"/>
      <c r="AC483" s="155"/>
      <c r="AD483" s="155"/>
      <c r="AE483" s="155"/>
      <c r="AF483" s="155"/>
      <c r="AG483" s="155"/>
      <c r="AH483" s="155"/>
      <c r="AI483" s="155"/>
      <c r="AJ483" s="155"/>
      <c r="AK483" s="155"/>
      <c r="AL483" s="539"/>
      <c r="AM483" s="155"/>
      <c r="AN483" s="155"/>
      <c r="AO483" s="155"/>
      <c r="AP483" s="155"/>
      <c r="AQ483" s="155"/>
      <c r="AR483" s="155"/>
      <c r="AS483" s="155"/>
      <c r="AT483" s="155"/>
      <c r="AU483" s="155"/>
      <c r="AV483" s="155"/>
      <c r="AW483" s="155"/>
      <c r="AX483" s="155"/>
    </row>
    <row r="484" spans="1:50" s="226" customFormat="1" x14ac:dyDescent="0.3">
      <c r="A484" s="230" t="s">
        <v>276</v>
      </c>
      <c r="B484" s="232" t="s">
        <v>1295</v>
      </c>
      <c r="C484" s="232"/>
      <c r="D484" s="232"/>
      <c r="E484" s="232"/>
      <c r="F484" s="232"/>
      <c r="G484" s="232"/>
      <c r="H484" s="232"/>
      <c r="I484" s="232"/>
      <c r="J484" s="232"/>
      <c r="K484" s="232"/>
      <c r="L484" s="232"/>
      <c r="M484" s="232"/>
      <c r="N484" s="232"/>
      <c r="O484" s="232"/>
      <c r="P484" s="232"/>
      <c r="Q484" s="232"/>
      <c r="R484" s="232"/>
      <c r="S484" s="232"/>
      <c r="T484" s="232"/>
      <c r="U484" s="232"/>
      <c r="V484" s="232"/>
      <c r="W484" s="232"/>
      <c r="X484" s="232"/>
      <c r="Y484" s="232"/>
      <c r="Z484" s="232"/>
      <c r="AA484" s="232"/>
      <c r="AB484" s="232"/>
      <c r="AC484" s="232"/>
      <c r="AD484" s="232"/>
      <c r="AE484" s="232"/>
      <c r="AF484" s="232"/>
      <c r="AG484" s="232"/>
      <c r="AH484" s="232"/>
      <c r="AI484" s="232"/>
      <c r="AJ484" s="232"/>
      <c r="AK484" s="232"/>
      <c r="AL484" s="538"/>
      <c r="AM484" s="232"/>
      <c r="AN484" s="232"/>
      <c r="AO484" s="232"/>
      <c r="AP484" s="232"/>
      <c r="AQ484" s="232"/>
      <c r="AR484" s="232"/>
      <c r="AS484" s="232"/>
      <c r="AT484" s="232"/>
      <c r="AU484" s="232"/>
      <c r="AV484" s="232"/>
      <c r="AW484" s="232"/>
      <c r="AX484" s="232"/>
    </row>
    <row r="485" spans="1:50" s="226" customFormat="1" x14ac:dyDescent="0.3">
      <c r="A485" s="230" t="s">
        <v>277</v>
      </c>
      <c r="B485" s="232" t="s">
        <v>12</v>
      </c>
      <c r="C485" s="232"/>
      <c r="D485" s="232"/>
      <c r="E485" s="232"/>
      <c r="F485" s="232"/>
      <c r="G485" s="232"/>
      <c r="H485" s="232"/>
      <c r="I485" s="232"/>
      <c r="J485" s="232"/>
      <c r="K485" s="232"/>
      <c r="L485" s="232"/>
      <c r="M485" s="232"/>
      <c r="N485" s="232"/>
      <c r="O485" s="232"/>
      <c r="P485" s="232"/>
      <c r="Q485" s="232"/>
      <c r="R485" s="232"/>
      <c r="S485" s="232"/>
      <c r="T485" s="232"/>
      <c r="U485" s="232"/>
      <c r="V485" s="232"/>
      <c r="W485" s="232"/>
      <c r="X485" s="232"/>
      <c r="Y485" s="232"/>
      <c r="Z485" s="232"/>
      <c r="AA485" s="232"/>
      <c r="AB485" s="232"/>
      <c r="AC485" s="232"/>
      <c r="AD485" s="232"/>
      <c r="AE485" s="232"/>
      <c r="AF485" s="232"/>
      <c r="AG485" s="232"/>
      <c r="AH485" s="232"/>
      <c r="AI485" s="232"/>
      <c r="AJ485" s="232"/>
      <c r="AK485" s="232"/>
      <c r="AL485" s="538"/>
      <c r="AM485" s="232"/>
      <c r="AN485" s="232"/>
      <c r="AO485" s="232"/>
      <c r="AP485" s="232"/>
      <c r="AQ485" s="232"/>
      <c r="AR485" s="232"/>
      <c r="AS485" s="232"/>
      <c r="AT485" s="232"/>
      <c r="AU485" s="232"/>
      <c r="AV485" s="232"/>
      <c r="AW485" s="232"/>
      <c r="AX485" s="232"/>
    </row>
    <row r="486" spans="1:50" s="226" customFormat="1" x14ac:dyDescent="0.3">
      <c r="A486" s="230" t="s">
        <v>278</v>
      </c>
      <c r="B486" s="232" t="s">
        <v>12</v>
      </c>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c r="AA486" s="232"/>
      <c r="AB486" s="232"/>
      <c r="AC486" s="232"/>
      <c r="AD486" s="232"/>
      <c r="AE486" s="232"/>
      <c r="AF486" s="232"/>
      <c r="AG486" s="232"/>
      <c r="AH486" s="232"/>
      <c r="AI486" s="232"/>
      <c r="AJ486" s="232"/>
      <c r="AK486" s="232"/>
      <c r="AL486" s="538"/>
      <c r="AM486" s="232"/>
      <c r="AN486" s="232"/>
      <c r="AO486" s="232"/>
      <c r="AP486" s="232"/>
      <c r="AQ486" s="232"/>
      <c r="AR486" s="232"/>
      <c r="AS486" s="232"/>
      <c r="AT486" s="232"/>
      <c r="AU486" s="232"/>
      <c r="AV486" s="232"/>
      <c r="AW486" s="232"/>
      <c r="AX486" s="232"/>
    </row>
    <row r="487" spans="1:50" s="226" customFormat="1" x14ac:dyDescent="0.3">
      <c r="A487" s="230" t="s">
        <v>279</v>
      </c>
      <c r="B487" s="232" t="s">
        <v>12</v>
      </c>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c r="AA487" s="232"/>
      <c r="AB487" s="232"/>
      <c r="AC487" s="232"/>
      <c r="AD487" s="232"/>
      <c r="AE487" s="232"/>
      <c r="AF487" s="232"/>
      <c r="AG487" s="232"/>
      <c r="AH487" s="232"/>
      <c r="AI487" s="232"/>
      <c r="AJ487" s="232"/>
      <c r="AK487" s="232"/>
      <c r="AL487" s="538"/>
      <c r="AM487" s="232"/>
      <c r="AN487" s="232"/>
      <c r="AO487" s="232"/>
      <c r="AP487" s="232"/>
      <c r="AQ487" s="232"/>
      <c r="AR487" s="232"/>
      <c r="AS487" s="232"/>
      <c r="AT487" s="232"/>
      <c r="AU487" s="232"/>
      <c r="AV487" s="232"/>
      <c r="AW487" s="232"/>
      <c r="AX487" s="232"/>
    </row>
    <row r="488" spans="1:50" s="226" customFormat="1" x14ac:dyDescent="0.3">
      <c r="A488" s="230" t="s">
        <v>280</v>
      </c>
      <c r="B488" s="251">
        <f>IF(MO.ReportFX=HP.TradeCurrency,1,IF(OR(INDEX(MO_SPT_FXAverage,1,MO.MRFPColumnNumber+1)="N/A",ISERROR(INDEX(MO_SPT_FXAverage,1,MO.MRFPColumnNumber+1))),MO.MRFX.Hardcoded,INDEX(MO_SPT_FXAverage,1,MO.MRFPColumnNumber+1)))</f>
        <v>1</v>
      </c>
      <c r="C488" s="232"/>
      <c r="D488" s="232"/>
      <c r="E488" s="232"/>
      <c r="F488" s="232"/>
      <c r="G488" s="232"/>
      <c r="H488" s="232"/>
      <c r="I488" s="232"/>
      <c r="J488" s="232"/>
      <c r="K488" s="232"/>
      <c r="L488" s="232"/>
      <c r="M488" s="232"/>
      <c r="N488" s="232"/>
      <c r="O488" s="232"/>
      <c r="P488" s="232"/>
      <c r="Q488" s="232"/>
      <c r="R488" s="232"/>
      <c r="S488" s="232"/>
      <c r="T488" s="232"/>
      <c r="U488" s="232"/>
      <c r="V488" s="232"/>
      <c r="W488" s="232"/>
      <c r="X488" s="232"/>
      <c r="Y488" s="232"/>
      <c r="Z488" s="232"/>
      <c r="AA488" s="232"/>
      <c r="AB488" s="232"/>
      <c r="AC488" s="232"/>
      <c r="AD488" s="232"/>
      <c r="AE488" s="232"/>
      <c r="AF488" s="232"/>
      <c r="AG488" s="232"/>
      <c r="AH488" s="232"/>
      <c r="AI488" s="232"/>
      <c r="AJ488" s="232"/>
      <c r="AK488" s="232"/>
      <c r="AL488" s="538"/>
      <c r="AM488" s="232"/>
      <c r="AN488" s="232"/>
      <c r="AO488" s="232"/>
      <c r="AP488" s="232"/>
      <c r="AQ488" s="232"/>
      <c r="AR488" s="232"/>
      <c r="AS488" s="232"/>
      <c r="AT488" s="232"/>
      <c r="AU488" s="232"/>
      <c r="AV488" s="232"/>
      <c r="AW488" s="232"/>
      <c r="AX488" s="232"/>
    </row>
    <row r="489" spans="1:50" s="226" customFormat="1" x14ac:dyDescent="0.3">
      <c r="A489" s="230" t="s">
        <v>281</v>
      </c>
      <c r="B489" s="252">
        <v>1</v>
      </c>
      <c r="C489" s="232"/>
      <c r="D489" s="232"/>
      <c r="E489" s="232"/>
      <c r="F489" s="232"/>
      <c r="G489" s="232"/>
      <c r="H489" s="232"/>
      <c r="I489" s="232"/>
      <c r="J489" s="232"/>
      <c r="K489" s="232"/>
      <c r="L489" s="232"/>
      <c r="M489" s="232"/>
      <c r="N489" s="232"/>
      <c r="O489" s="232"/>
      <c r="P489" s="232"/>
      <c r="Q489" s="232"/>
      <c r="R489" s="232"/>
      <c r="S489" s="232"/>
      <c r="T489" s="232"/>
      <c r="U489" s="232"/>
      <c r="V489" s="232"/>
      <c r="W489" s="232"/>
      <c r="X489" s="232"/>
      <c r="Y489" s="232"/>
      <c r="Z489" s="232"/>
      <c r="AA489" s="232"/>
      <c r="AB489" s="232"/>
      <c r="AC489" s="232"/>
      <c r="AD489" s="232"/>
      <c r="AE489" s="232"/>
      <c r="AF489" s="232"/>
      <c r="AG489" s="232"/>
      <c r="AH489" s="232"/>
      <c r="AI489" s="232"/>
      <c r="AJ489" s="232"/>
      <c r="AK489" s="232"/>
      <c r="AL489" s="538"/>
      <c r="AM489" s="232"/>
      <c r="AN489" s="232"/>
      <c r="AO489" s="232"/>
      <c r="AP489" s="232"/>
      <c r="AQ489" s="232"/>
      <c r="AR489" s="232"/>
      <c r="AS489" s="232"/>
      <c r="AT489" s="232"/>
      <c r="AU489" s="232"/>
      <c r="AV489" s="232"/>
      <c r="AW489" s="232"/>
      <c r="AX489" s="232"/>
    </row>
    <row r="490" spans="1:50" s="227" customFormat="1" x14ac:dyDescent="0.3">
      <c r="A490" s="67" t="s">
        <v>282</v>
      </c>
      <c r="B490" s="27">
        <f>LOOKUP(2,1/(MO_IS_FirstRow&lt;&gt;""),COLUMN(MO_IS_FirstRow))</f>
        <v>38</v>
      </c>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508"/>
      <c r="AM490" s="27"/>
      <c r="AN490" s="27"/>
      <c r="AO490" s="27"/>
      <c r="AP490" s="27"/>
      <c r="AQ490" s="27"/>
      <c r="AR490" s="27"/>
      <c r="AS490" s="27"/>
      <c r="AT490" s="27"/>
      <c r="AU490" s="27"/>
      <c r="AV490" s="27"/>
      <c r="AW490" s="27"/>
      <c r="AX490" s="27"/>
    </row>
    <row r="491" spans="1:50" s="227" customFormat="1" x14ac:dyDescent="0.3">
      <c r="A491" s="67" t="s">
        <v>283</v>
      </c>
      <c r="B491" s="27" t="str">
        <f>INDEX(MO_Common_ColumnHeader,0,MO.MRFPColumnNumber)</f>
        <v>Q2-2019</v>
      </c>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508"/>
      <c r="AM491" s="27"/>
      <c r="AN491" s="27"/>
      <c r="AO491" s="27"/>
      <c r="AP491" s="27"/>
      <c r="AQ491" s="27"/>
      <c r="AR491" s="27"/>
      <c r="AS491" s="27"/>
      <c r="AT491" s="27"/>
      <c r="AU491" s="27"/>
      <c r="AV491" s="27"/>
      <c r="AW491" s="27"/>
      <c r="AX491" s="27"/>
    </row>
    <row r="492" spans="1:50" s="227" customFormat="1" x14ac:dyDescent="0.3">
      <c r="A492" s="67" t="s">
        <v>284</v>
      </c>
      <c r="B492" s="27" t="str">
        <f>"FY"&amp;RIGHT(MO.MRFP,4)</f>
        <v>FY2019</v>
      </c>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508"/>
      <c r="AM492" s="27"/>
      <c r="AN492" s="27"/>
      <c r="AO492" s="27"/>
      <c r="AP492" s="27"/>
      <c r="AQ492" s="27"/>
      <c r="AR492" s="27"/>
      <c r="AS492" s="27"/>
      <c r="AT492" s="27"/>
      <c r="AU492" s="27"/>
      <c r="AV492" s="27"/>
      <c r="AW492" s="27"/>
      <c r="AX492" s="27"/>
    </row>
    <row r="493" spans="1:50" s="227" customFormat="1" x14ac:dyDescent="0.3">
      <c r="A493" s="234" t="s">
        <v>285</v>
      </c>
      <c r="B493" s="235">
        <f>IF(MO.DataSourceName="Bloomberg",1,IF(MO.DataSourceName="Capital IQ",2,IF(MO.DataSourceName="FactSet",3,IF(MO.DataSourceName="Thomson",4,1))))</f>
        <v>1</v>
      </c>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508"/>
      <c r="AM493" s="27"/>
      <c r="AN493" s="27"/>
      <c r="AO493" s="27"/>
      <c r="AP493" s="27"/>
      <c r="AQ493" s="27"/>
      <c r="AR493" s="27"/>
      <c r="AS493" s="27"/>
      <c r="AT493" s="27"/>
      <c r="AU493" s="27"/>
      <c r="AV493" s="27"/>
      <c r="AW493" s="27"/>
      <c r="AX493" s="27"/>
    </row>
    <row r="494" spans="1:50" x14ac:dyDescent="0.3">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c r="AA494" s="155"/>
      <c r="AB494" s="155"/>
      <c r="AC494" s="155"/>
      <c r="AD494" s="155"/>
      <c r="AE494" s="155"/>
      <c r="AF494" s="155"/>
      <c r="AG494" s="155"/>
      <c r="AH494" s="155"/>
      <c r="AI494" s="155"/>
      <c r="AJ494" s="155"/>
      <c r="AK494" s="155"/>
      <c r="AL494" s="539"/>
      <c r="AM494" s="155"/>
      <c r="AN494" s="155"/>
      <c r="AO494" s="155"/>
      <c r="AP494" s="155"/>
      <c r="AQ494" s="155"/>
      <c r="AR494" s="155"/>
      <c r="AS494" s="155"/>
      <c r="AT494" s="155"/>
      <c r="AU494" s="155"/>
      <c r="AV494" s="155"/>
      <c r="AW494" s="155"/>
      <c r="AX494" s="155"/>
    </row>
    <row r="495" spans="1:50" x14ac:dyDescent="0.3">
      <c r="A495" s="236" t="s">
        <v>411</v>
      </c>
      <c r="B495" s="236"/>
      <c r="C495" s="236"/>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236"/>
      <c r="AH495" s="236"/>
      <c r="AI495" s="236"/>
      <c r="AJ495" s="236"/>
      <c r="AK495" s="236"/>
      <c r="AL495" s="540"/>
      <c r="AM495" s="236"/>
      <c r="AN495" s="236"/>
      <c r="AO495" s="236"/>
      <c r="AP495" s="236"/>
      <c r="AQ495" s="236"/>
      <c r="AR495" s="236"/>
      <c r="AS495" s="236"/>
      <c r="AT495" s="236"/>
      <c r="AU495" s="236"/>
      <c r="AV495" s="236"/>
      <c r="AW495" s="236"/>
      <c r="AX495" s="155"/>
    </row>
    <row r="496" spans="1:50" x14ac:dyDescent="0.3">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c r="AA496" s="155"/>
      <c r="AB496" s="155"/>
      <c r="AC496" s="155"/>
      <c r="AD496" s="155"/>
      <c r="AE496" s="155"/>
      <c r="AF496" s="155"/>
      <c r="AG496" s="155"/>
      <c r="AH496" s="155"/>
      <c r="AI496" s="155"/>
      <c r="AJ496" s="155"/>
      <c r="AK496" s="155"/>
      <c r="AL496" s="155"/>
      <c r="AM496" s="155"/>
      <c r="AN496" s="155"/>
      <c r="AO496" s="155"/>
      <c r="AP496" s="155"/>
      <c r="AQ496" s="155"/>
      <c r="AR496" s="155"/>
      <c r="AS496" s="155"/>
      <c r="AT496" s="155"/>
      <c r="AU496" s="155"/>
      <c r="AV496" s="155"/>
      <c r="AW496" s="155"/>
      <c r="AX496" s="155"/>
    </row>
  </sheetData>
  <conditionalFormatting sqref="C72:H72">
    <cfRule type="cellIs" dxfId="19" priority="101" operator="notEqual">
      <formula>0</formula>
    </cfRule>
    <cfRule type="cellIs" dxfId="18" priority="102" operator="equal">
      <formula>0</formula>
    </cfRule>
  </conditionalFormatting>
  <conditionalFormatting sqref="C402:H402 K402:AA402 C403:AA411 C412:Y412 AA412 C413:AA413 C414:X414 Z414:AA414 C415:AA415 C416:Y416 AA416 C417:AA421">
    <cfRule type="cellIs" dxfId="17" priority="107" operator="equal">
      <formula>0</formula>
    </cfRule>
    <cfRule type="cellIs" dxfId="16" priority="108" operator="notEqual">
      <formula>0</formula>
    </cfRule>
  </conditionalFormatting>
  <conditionalFormatting sqref="C336:AW336">
    <cfRule type="cellIs" dxfId="15" priority="5" operator="notEqual">
      <formula>0</formula>
    </cfRule>
    <cfRule type="cellIs" dxfId="14" priority="6" operator="equal">
      <formula>0</formula>
    </cfRule>
  </conditionalFormatting>
  <conditionalFormatting sqref="C399:AW399">
    <cfRule type="cellIs" dxfId="13" priority="3" operator="equal">
      <formula>0</formula>
    </cfRule>
    <cfRule type="cellIs" dxfId="12" priority="4" operator="notEqual">
      <formula>0</formula>
    </cfRule>
  </conditionalFormatting>
  <conditionalFormatting sqref="K72:AW72">
    <cfRule type="cellIs" dxfId="11" priority="1" operator="notEqual">
      <formula>0</formula>
    </cfRule>
    <cfRule type="cellIs" dxfId="10" priority="2" operator="equal">
      <formula>0</formula>
    </cfRule>
  </conditionalFormatting>
  <conditionalFormatting sqref="AB402:AC421">
    <cfRule type="cellIs" dxfId="9" priority="91" operator="equal">
      <formula>0</formula>
    </cfRule>
    <cfRule type="cellIs" dxfId="8" priority="92" operator="notEqual">
      <formula>0</formula>
    </cfRule>
  </conditionalFormatting>
  <conditionalFormatting sqref="AD402:AE411 AD412 AD413:AE413 AE414 AD415:AE415 AD416 AD417:AE421">
    <cfRule type="cellIs" dxfId="7" priority="83" operator="equal">
      <formula>0</formula>
    </cfRule>
    <cfRule type="cellIs" dxfId="6" priority="84" operator="notEqual">
      <formula>0</formula>
    </cfRule>
  </conditionalFormatting>
  <conditionalFormatting sqref="AF402:AH421">
    <cfRule type="cellIs" dxfId="5" priority="49" operator="equal">
      <formula>0</formula>
    </cfRule>
    <cfRule type="cellIs" dxfId="4" priority="50" operator="notEqual">
      <formula>0</formula>
    </cfRule>
  </conditionalFormatting>
  <conditionalFormatting sqref="AI402:AJ411 AI412 AI413:AJ413 AJ414 AI415:AJ415 AI416 AI417:AJ421">
    <cfRule type="cellIs" dxfId="3" priority="41" operator="equal">
      <formula>0</formula>
    </cfRule>
    <cfRule type="cellIs" dxfId="2" priority="42" operator="notEqual">
      <formula>0</formula>
    </cfRule>
  </conditionalFormatting>
  <conditionalFormatting sqref="AK402:AW421">
    <cfRule type="cellIs" dxfId="1" priority="7" operator="equal">
      <formula>0</formula>
    </cfRule>
    <cfRule type="cellIs" dxfId="0" priority="8" operator="notEqual">
      <formula>0</formula>
    </cfRule>
  </conditionalFormatting>
  <dataValidations count="2">
    <dataValidation type="decimal" showInputMessage="1" showErrorMessage="1" sqref="C7:AW12" xr:uid="{00000000-0002-0000-0500-000000000000}">
      <formula1>-1000</formula1>
      <formula2>1000</formula2>
    </dataValidation>
    <dataValidation type="list" allowBlank="1" showInputMessage="1" showErrorMessage="1" sqref="B215" xr:uid="{00000000-0002-0000-0500-000001000000}">
      <formula1>$A$432:$A$434</formula1>
    </dataValidation>
  </dataValidations>
  <hyperlinks>
    <hyperlink ref="A1" r:id="rId1" xr:uid="{00000000-0004-0000-0500-000000000000}"/>
  </hyperlinks>
  <pageMargins left="0.7" right="0.7" top="0.75" bottom="0.75" header="0.3" footer="0.3"/>
  <pageSetup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1348-54A4-4EB0-9698-8848CE387446}">
  <sheetPr codeName="Sheet41"/>
  <dimension ref="A1:J97"/>
  <sheetViews>
    <sheetView showGridLines="0" workbookViewId="0"/>
  </sheetViews>
  <sheetFormatPr defaultColWidth="8.6640625" defaultRowHeight="14.4" x14ac:dyDescent="0.3"/>
  <cols>
    <col min="1" max="1" width="4.44140625" style="2" customWidth="1"/>
    <col min="2" max="2" width="9.6640625" style="2" customWidth="1"/>
    <col min="3" max="3" width="15.6640625" style="2" customWidth="1"/>
    <col min="4" max="4" width="20.6640625" style="2" customWidth="1"/>
    <col min="5" max="5" width="30.6640625" style="2" customWidth="1"/>
    <col min="6" max="6" width="20.6640625" style="2"/>
    <col min="7" max="7" width="23.6640625" style="2" customWidth="1"/>
    <col min="8" max="8" width="45.6640625" style="2" customWidth="1"/>
    <col min="9" max="9" width="7.6640625" style="2" customWidth="1"/>
    <col min="10" max="15" width="8.6640625" style="2" customWidth="1"/>
    <col min="16" max="16384" width="8.6640625" style="2"/>
  </cols>
  <sheetData>
    <row r="1" spans="1:10" x14ac:dyDescent="0.3">
      <c r="A1" s="3"/>
      <c r="B1" s="3"/>
      <c r="C1" s="3"/>
      <c r="D1" s="3"/>
      <c r="E1" s="3"/>
      <c r="F1" s="3"/>
      <c r="G1" s="3"/>
      <c r="H1" s="3"/>
      <c r="I1" s="3"/>
      <c r="J1" s="3"/>
    </row>
    <row r="2" spans="1:10" x14ac:dyDescent="0.3">
      <c r="A2" s="3"/>
      <c r="B2" s="3"/>
      <c r="C2" s="3"/>
      <c r="D2" s="3"/>
      <c r="E2" s="3"/>
      <c r="F2" s="3"/>
      <c r="G2" s="3"/>
      <c r="H2" s="3"/>
      <c r="I2" s="3"/>
      <c r="J2" s="3"/>
    </row>
    <row r="3" spans="1:10" x14ac:dyDescent="0.3">
      <c r="A3" s="3"/>
      <c r="B3" s="3"/>
      <c r="C3" s="3"/>
      <c r="D3" s="3"/>
      <c r="E3" s="3"/>
      <c r="F3" s="3"/>
      <c r="G3" s="3"/>
      <c r="H3" s="3"/>
      <c r="I3" s="3"/>
      <c r="J3" s="3"/>
    </row>
    <row r="4" spans="1:10" x14ac:dyDescent="0.3">
      <c r="A4" s="3"/>
      <c r="B4" s="3"/>
      <c r="C4" s="3"/>
      <c r="D4" s="3"/>
      <c r="E4" s="3"/>
      <c r="F4" s="3"/>
      <c r="G4" s="3"/>
      <c r="H4" s="3"/>
      <c r="I4" s="3"/>
      <c r="J4" s="3"/>
    </row>
    <row r="5" spans="1:10" x14ac:dyDescent="0.3">
      <c r="A5" s="3"/>
      <c r="B5" s="3"/>
      <c r="C5" s="3"/>
      <c r="D5" s="3"/>
      <c r="E5" s="3"/>
      <c r="F5" s="3"/>
      <c r="G5" s="3"/>
      <c r="H5" s="3"/>
      <c r="I5" s="3"/>
      <c r="J5" s="3"/>
    </row>
    <row r="6" spans="1:10" x14ac:dyDescent="0.3">
      <c r="A6" s="3"/>
      <c r="B6" s="3"/>
      <c r="C6" s="3"/>
      <c r="D6" s="3"/>
      <c r="E6" s="3"/>
      <c r="F6" s="3"/>
      <c r="G6" s="3"/>
      <c r="H6" s="3"/>
      <c r="I6" s="3"/>
      <c r="J6" s="3"/>
    </row>
    <row r="7" spans="1:10" ht="18" x14ac:dyDescent="0.3">
      <c r="A7" s="3"/>
      <c r="B7" s="3"/>
      <c r="C7" s="3"/>
      <c r="D7" s="3"/>
      <c r="E7" s="764">
        <f>MO.MRFPColumnNumber</f>
        <v>77</v>
      </c>
      <c r="F7" s="756" t="str">
        <f>MO.MRFP</f>
        <v>Q1-2027</v>
      </c>
      <c r="G7" s="756"/>
      <c r="H7" s="765" t="str">
        <f>AA.CSIN</f>
        <v>A7FLSL0150</v>
      </c>
      <c r="I7" s="752"/>
      <c r="J7" s="751"/>
    </row>
    <row r="8" spans="1:10" x14ac:dyDescent="0.3">
      <c r="A8" s="3"/>
      <c r="B8" s="3"/>
      <c r="C8" s="3"/>
      <c r="D8" s="3"/>
      <c r="E8" s="3"/>
      <c r="F8" s="3"/>
      <c r="G8" s="3"/>
      <c r="H8" s="766" t="str">
        <f>+AA.ModelVersion</f>
        <v>Q1-2027.23</v>
      </c>
      <c r="I8" s="3"/>
      <c r="J8" s="3"/>
    </row>
    <row r="9" spans="1:10" x14ac:dyDescent="0.3">
      <c r="A9" s="3"/>
      <c r="B9" s="3"/>
      <c r="C9" s="3"/>
      <c r="D9" s="3"/>
      <c r="E9" s="3"/>
      <c r="F9" s="3"/>
      <c r="G9" s="3"/>
      <c r="H9" s="3"/>
      <c r="I9" s="3"/>
      <c r="J9" s="3"/>
    </row>
    <row r="10" spans="1:10" x14ac:dyDescent="0.3">
      <c r="A10" s="3"/>
      <c r="B10" s="3"/>
      <c r="C10" s="789" t="s">
        <v>373</v>
      </c>
      <c r="D10" s="789" t="s">
        <v>374</v>
      </c>
      <c r="E10" s="789" t="s">
        <v>375</v>
      </c>
      <c r="F10" s="789" t="s">
        <v>564</v>
      </c>
      <c r="G10" s="789" t="s">
        <v>376</v>
      </c>
      <c r="H10" s="790" t="s">
        <v>377</v>
      </c>
      <c r="I10" s="3"/>
      <c r="J10" s="3"/>
    </row>
    <row r="11" spans="1:10" x14ac:dyDescent="0.3">
      <c r="A11" s="3"/>
      <c r="B11" s="3"/>
      <c r="C11" s="767">
        <v>46162</v>
      </c>
      <c r="D11" s="768" t="s">
        <v>619</v>
      </c>
      <c r="E11" s="769" t="s">
        <v>565</v>
      </c>
      <c r="F11" s="769" t="s">
        <v>1280</v>
      </c>
      <c r="G11" s="770"/>
      <c r="H11" s="635" t="s">
        <v>379</v>
      </c>
      <c r="I11" s="3"/>
      <c r="J11" s="3"/>
    </row>
    <row r="12" spans="1:10" x14ac:dyDescent="0.3">
      <c r="A12" s="3"/>
      <c r="B12" s="3"/>
      <c r="C12" s="767">
        <v>46162</v>
      </c>
      <c r="D12" s="768" t="s">
        <v>619</v>
      </c>
      <c r="E12" s="769" t="s">
        <v>570</v>
      </c>
      <c r="F12" s="769" t="s">
        <v>1280</v>
      </c>
      <c r="G12" s="770"/>
      <c r="H12" s="562" t="s">
        <v>379</v>
      </c>
      <c r="I12" s="3"/>
      <c r="J12" s="3"/>
    </row>
    <row r="13" spans="1:10" x14ac:dyDescent="0.3">
      <c r="A13" s="3"/>
      <c r="B13" s="3"/>
      <c r="C13" s="767">
        <v>46078</v>
      </c>
      <c r="D13" s="768" t="s">
        <v>619</v>
      </c>
      <c r="E13" s="769" t="s">
        <v>566</v>
      </c>
      <c r="F13" s="769" t="s">
        <v>1279</v>
      </c>
      <c r="G13" s="770"/>
      <c r="H13" s="562" t="s">
        <v>379</v>
      </c>
      <c r="I13" s="3"/>
      <c r="J13" s="3"/>
    </row>
    <row r="14" spans="1:10" x14ac:dyDescent="0.3">
      <c r="A14" s="3"/>
      <c r="B14" s="3"/>
      <c r="C14" s="767">
        <v>46078</v>
      </c>
      <c r="D14" s="768" t="s">
        <v>619</v>
      </c>
      <c r="E14" s="769" t="s">
        <v>570</v>
      </c>
      <c r="F14" s="769" t="s">
        <v>1279</v>
      </c>
      <c r="G14" s="770"/>
      <c r="H14" s="880" t="s">
        <v>379</v>
      </c>
      <c r="I14" s="3"/>
      <c r="J14" s="3"/>
    </row>
    <row r="15" spans="1:10" x14ac:dyDescent="0.3">
      <c r="A15" s="3"/>
      <c r="B15" s="3"/>
      <c r="C15" s="767">
        <v>45980</v>
      </c>
      <c r="D15" s="768" t="s">
        <v>1276</v>
      </c>
      <c r="E15" s="769" t="s">
        <v>565</v>
      </c>
      <c r="F15" s="769" t="s">
        <v>1274</v>
      </c>
      <c r="G15" s="770"/>
      <c r="H15" s="879" t="s">
        <v>379</v>
      </c>
      <c r="I15" s="3"/>
      <c r="J15" s="3"/>
    </row>
    <row r="16" spans="1:10" x14ac:dyDescent="0.3">
      <c r="A16" s="3"/>
      <c r="B16" s="3"/>
      <c r="C16" s="767">
        <v>45896</v>
      </c>
      <c r="D16" s="768" t="s">
        <v>619</v>
      </c>
      <c r="E16" s="769" t="s">
        <v>565</v>
      </c>
      <c r="F16" s="769" t="s">
        <v>1268</v>
      </c>
      <c r="G16" s="770"/>
      <c r="H16" s="562" t="s">
        <v>379</v>
      </c>
      <c r="I16" s="3"/>
      <c r="J16" s="3"/>
    </row>
    <row r="17" spans="1:10" x14ac:dyDescent="0.3">
      <c r="A17" s="3"/>
      <c r="B17" s="3"/>
      <c r="C17" s="767">
        <v>45896</v>
      </c>
      <c r="D17" s="768" t="s">
        <v>619</v>
      </c>
      <c r="E17" s="769" t="s">
        <v>565</v>
      </c>
      <c r="F17" s="769" t="s">
        <v>1268</v>
      </c>
      <c r="G17" s="770"/>
      <c r="H17" s="562" t="s">
        <v>379</v>
      </c>
      <c r="I17" s="3"/>
      <c r="J17" s="3"/>
    </row>
    <row r="18" spans="1:10" x14ac:dyDescent="0.3">
      <c r="A18" s="3"/>
      <c r="B18" s="3"/>
      <c r="C18" s="767">
        <v>45805</v>
      </c>
      <c r="D18" s="768" t="s">
        <v>619</v>
      </c>
      <c r="E18" s="769" t="s">
        <v>565</v>
      </c>
      <c r="F18" s="769" t="s">
        <v>1255</v>
      </c>
      <c r="G18" s="770"/>
      <c r="H18" s="863" t="s">
        <v>379</v>
      </c>
      <c r="I18" s="3"/>
      <c r="J18" s="3"/>
    </row>
    <row r="19" spans="1:10" x14ac:dyDescent="0.3">
      <c r="A19" s="3"/>
      <c r="B19" s="3"/>
      <c r="C19" s="767">
        <v>45714</v>
      </c>
      <c r="D19" s="768" t="s">
        <v>619</v>
      </c>
      <c r="E19" s="769" t="s">
        <v>566</v>
      </c>
      <c r="F19" s="769" t="s">
        <v>1243</v>
      </c>
      <c r="G19" s="770"/>
      <c r="H19" s="562" t="s">
        <v>379</v>
      </c>
      <c r="I19" s="3"/>
      <c r="J19" s="3"/>
    </row>
    <row r="20" spans="1:10" x14ac:dyDescent="0.3">
      <c r="A20" s="3"/>
      <c r="B20" s="3"/>
      <c r="C20" s="767">
        <v>45714</v>
      </c>
      <c r="D20" s="768" t="s">
        <v>619</v>
      </c>
      <c r="E20" s="769" t="s">
        <v>570</v>
      </c>
      <c r="F20" s="769" t="s">
        <v>1243</v>
      </c>
      <c r="G20" s="770"/>
      <c r="H20" s="562" t="s">
        <v>379</v>
      </c>
      <c r="I20" s="3"/>
      <c r="J20" s="3"/>
    </row>
    <row r="21" spans="1:10" x14ac:dyDescent="0.3">
      <c r="A21" s="3"/>
      <c r="B21" s="3"/>
      <c r="C21" s="767">
        <v>45616</v>
      </c>
      <c r="D21" s="768" t="s">
        <v>869</v>
      </c>
      <c r="E21" s="769" t="s">
        <v>565</v>
      </c>
      <c r="F21" s="769" t="s">
        <v>1248</v>
      </c>
      <c r="G21" s="770"/>
      <c r="H21" s="562" t="s">
        <v>379</v>
      </c>
      <c r="I21" s="3"/>
      <c r="J21" s="3"/>
    </row>
    <row r="22" spans="1:10" x14ac:dyDescent="0.3">
      <c r="A22" s="3"/>
      <c r="B22" s="3"/>
      <c r="C22" s="767">
        <v>45616</v>
      </c>
      <c r="D22" s="768" t="s">
        <v>869</v>
      </c>
      <c r="E22" s="769" t="s">
        <v>570</v>
      </c>
      <c r="F22" s="769" t="s">
        <v>1248</v>
      </c>
      <c r="G22" s="770"/>
      <c r="H22" s="562" t="s">
        <v>379</v>
      </c>
      <c r="I22" s="3"/>
      <c r="J22" s="3"/>
    </row>
    <row r="23" spans="1:10" x14ac:dyDescent="0.3">
      <c r="A23" s="3"/>
      <c r="B23" s="3"/>
      <c r="C23" s="767">
        <v>45532</v>
      </c>
      <c r="D23" s="768" t="s">
        <v>1249</v>
      </c>
      <c r="E23" s="769" t="s">
        <v>565</v>
      </c>
      <c r="F23" s="769" t="s">
        <v>1242</v>
      </c>
      <c r="G23" s="770"/>
      <c r="H23" s="562" t="s">
        <v>379</v>
      </c>
      <c r="I23" s="3"/>
      <c r="J23" s="3"/>
    </row>
    <row r="24" spans="1:10" x14ac:dyDescent="0.3">
      <c r="A24" s="3"/>
      <c r="B24" s="3"/>
      <c r="C24" s="767">
        <v>45532</v>
      </c>
      <c r="D24" s="768" t="s">
        <v>619</v>
      </c>
      <c r="E24" s="769" t="s">
        <v>570</v>
      </c>
      <c r="F24" s="769" t="s">
        <v>1242</v>
      </c>
      <c r="G24" s="770"/>
      <c r="H24" s="562" t="s">
        <v>379</v>
      </c>
      <c r="I24" s="3"/>
      <c r="J24" s="3"/>
    </row>
    <row r="25" spans="1:10" x14ac:dyDescent="0.3">
      <c r="A25" s="3"/>
      <c r="B25" s="3"/>
      <c r="C25" s="767">
        <v>45441</v>
      </c>
      <c r="D25" s="768" t="s">
        <v>1244</v>
      </c>
      <c r="E25" s="769" t="s">
        <v>565</v>
      </c>
      <c r="F25" s="769" t="s">
        <v>1114</v>
      </c>
      <c r="G25" s="770"/>
      <c r="H25" s="562" t="s">
        <v>379</v>
      </c>
      <c r="I25" s="3"/>
      <c r="J25" s="3"/>
    </row>
    <row r="26" spans="1:10" x14ac:dyDescent="0.3">
      <c r="A26" s="3"/>
      <c r="B26" s="3"/>
      <c r="C26" s="767">
        <v>45434</v>
      </c>
      <c r="D26" s="768" t="s">
        <v>619</v>
      </c>
      <c r="E26" s="769" t="s">
        <v>570</v>
      </c>
      <c r="F26" s="769" t="s">
        <v>1114</v>
      </c>
      <c r="G26" s="770"/>
      <c r="H26" s="863" t="s">
        <v>379</v>
      </c>
      <c r="I26" s="3"/>
      <c r="J26" s="3"/>
    </row>
    <row r="27" spans="1:10" x14ac:dyDescent="0.3">
      <c r="A27" s="3"/>
      <c r="B27" s="3"/>
      <c r="C27" s="767">
        <v>45343</v>
      </c>
      <c r="D27" s="768" t="s">
        <v>619</v>
      </c>
      <c r="E27" s="769" t="s">
        <v>566</v>
      </c>
      <c r="F27" s="769" t="s">
        <v>868</v>
      </c>
      <c r="G27" s="770"/>
      <c r="H27" s="562" t="s">
        <v>379</v>
      </c>
      <c r="I27" s="3"/>
      <c r="J27" s="3"/>
    </row>
    <row r="28" spans="1:10" x14ac:dyDescent="0.3">
      <c r="A28" s="3"/>
      <c r="B28" s="3"/>
      <c r="C28" s="767">
        <v>45343</v>
      </c>
      <c r="D28" s="768" t="s">
        <v>619</v>
      </c>
      <c r="E28" s="769" t="s">
        <v>570</v>
      </c>
      <c r="F28" s="769" t="s">
        <v>868</v>
      </c>
      <c r="G28" s="770"/>
      <c r="H28" s="562" t="s">
        <v>379</v>
      </c>
      <c r="I28" s="3"/>
      <c r="J28" s="3"/>
    </row>
    <row r="29" spans="1:10" x14ac:dyDescent="0.3">
      <c r="A29" s="3"/>
      <c r="B29" s="3"/>
      <c r="C29" s="767">
        <v>45251</v>
      </c>
      <c r="D29" s="768" t="s">
        <v>925</v>
      </c>
      <c r="E29" s="769" t="s">
        <v>565</v>
      </c>
      <c r="F29" s="769" t="s">
        <v>930</v>
      </c>
      <c r="G29" s="770"/>
      <c r="H29" s="562" t="s">
        <v>379</v>
      </c>
      <c r="I29" s="3"/>
      <c r="J29" s="3"/>
    </row>
    <row r="30" spans="1:10" x14ac:dyDescent="0.3">
      <c r="A30" s="3"/>
      <c r="B30" s="3"/>
      <c r="C30" s="767">
        <v>45251</v>
      </c>
      <c r="D30" s="768" t="s">
        <v>925</v>
      </c>
      <c r="E30" s="769" t="s">
        <v>570</v>
      </c>
      <c r="F30" s="769" t="s">
        <v>930</v>
      </c>
      <c r="G30" s="770"/>
      <c r="H30" s="562" t="s">
        <v>379</v>
      </c>
      <c r="I30" s="3"/>
      <c r="J30" s="3"/>
    </row>
    <row r="31" spans="1:10" x14ac:dyDescent="0.3">
      <c r="A31" s="3"/>
      <c r="B31" s="3"/>
      <c r="C31" s="767">
        <v>45166</v>
      </c>
      <c r="D31" s="768" t="s">
        <v>931</v>
      </c>
      <c r="E31" s="769" t="s">
        <v>565</v>
      </c>
      <c r="F31" s="769" t="s">
        <v>926</v>
      </c>
      <c r="G31" s="770"/>
      <c r="H31" s="562" t="s">
        <v>379</v>
      </c>
      <c r="I31" s="3"/>
      <c r="J31" s="3"/>
    </row>
    <row r="32" spans="1:10" x14ac:dyDescent="0.3">
      <c r="A32" s="3"/>
      <c r="B32" s="3"/>
      <c r="C32" s="767">
        <v>45161</v>
      </c>
      <c r="D32" s="768" t="s">
        <v>619</v>
      </c>
      <c r="E32" s="769" t="s">
        <v>570</v>
      </c>
      <c r="F32" s="769" t="s">
        <v>926</v>
      </c>
      <c r="G32" s="770"/>
      <c r="H32" s="562" t="s">
        <v>379</v>
      </c>
      <c r="I32" s="3"/>
      <c r="J32" s="3"/>
    </row>
    <row r="33" spans="1:10" x14ac:dyDescent="0.3">
      <c r="A33" s="3"/>
      <c r="B33" s="3"/>
      <c r="C33" s="767">
        <v>45072</v>
      </c>
      <c r="D33" s="768" t="s">
        <v>927</v>
      </c>
      <c r="E33" s="769" t="s">
        <v>565</v>
      </c>
      <c r="F33" s="769" t="s">
        <v>867</v>
      </c>
      <c r="G33" s="770"/>
      <c r="H33" s="562" t="s">
        <v>379</v>
      </c>
      <c r="I33" s="3"/>
      <c r="J33" s="3"/>
    </row>
    <row r="34" spans="1:10" x14ac:dyDescent="0.3">
      <c r="A34" s="3"/>
      <c r="B34" s="3"/>
      <c r="C34" s="767">
        <v>45070</v>
      </c>
      <c r="D34" s="768" t="s">
        <v>925</v>
      </c>
      <c r="E34" s="769" t="s">
        <v>570</v>
      </c>
      <c r="F34" s="769" t="s">
        <v>867</v>
      </c>
      <c r="G34" s="770"/>
      <c r="H34" s="562" t="s">
        <v>379</v>
      </c>
      <c r="I34" s="3"/>
      <c r="J34" s="3"/>
    </row>
    <row r="35" spans="1:10" x14ac:dyDescent="0.3">
      <c r="A35" s="3"/>
      <c r="B35" s="3"/>
      <c r="C35" s="767">
        <v>44981</v>
      </c>
      <c r="D35" s="768" t="s">
        <v>869</v>
      </c>
      <c r="E35" s="769" t="s">
        <v>566</v>
      </c>
      <c r="F35" s="769" t="s">
        <v>865</v>
      </c>
      <c r="G35" s="770"/>
      <c r="H35" s="562" t="s">
        <v>379</v>
      </c>
      <c r="I35" s="3"/>
      <c r="J35" s="3"/>
    </row>
    <row r="36" spans="1:10" x14ac:dyDescent="0.3">
      <c r="A36" s="3"/>
      <c r="B36" s="3"/>
      <c r="C36" s="767">
        <v>44979</v>
      </c>
      <c r="D36" s="768" t="s">
        <v>866</v>
      </c>
      <c r="E36" s="769" t="s">
        <v>570</v>
      </c>
      <c r="F36" s="769" t="s">
        <v>865</v>
      </c>
      <c r="G36" s="770"/>
      <c r="H36" s="562" t="s">
        <v>379</v>
      </c>
      <c r="I36" s="3"/>
      <c r="J36" s="3"/>
    </row>
    <row r="37" spans="1:10" x14ac:dyDescent="0.3">
      <c r="A37" s="3"/>
      <c r="B37" s="3"/>
      <c r="C37" s="767">
        <v>44883</v>
      </c>
      <c r="D37" s="768" t="s">
        <v>394</v>
      </c>
      <c r="E37" s="769" t="s">
        <v>565</v>
      </c>
      <c r="F37" s="769" t="s">
        <v>839</v>
      </c>
      <c r="G37" s="770"/>
      <c r="H37" s="635" t="s">
        <v>379</v>
      </c>
      <c r="I37" s="3"/>
      <c r="J37" s="3"/>
    </row>
    <row r="38" spans="1:10" x14ac:dyDescent="0.3">
      <c r="A38" s="3"/>
      <c r="B38" s="3"/>
      <c r="C38" s="767">
        <v>44881</v>
      </c>
      <c r="D38" s="768" t="s">
        <v>394</v>
      </c>
      <c r="E38" s="769" t="s">
        <v>570</v>
      </c>
      <c r="F38" s="769" t="s">
        <v>839</v>
      </c>
      <c r="G38" s="770"/>
      <c r="H38" s="562" t="s">
        <v>379</v>
      </c>
      <c r="I38" s="3"/>
      <c r="J38" s="3"/>
    </row>
    <row r="39" spans="1:10" x14ac:dyDescent="0.3">
      <c r="A39" s="3"/>
      <c r="B39" s="3"/>
      <c r="C39" s="767">
        <v>44804</v>
      </c>
      <c r="D39" s="768" t="s">
        <v>658</v>
      </c>
      <c r="E39" s="769" t="s">
        <v>565</v>
      </c>
      <c r="F39" s="769" t="s">
        <v>682</v>
      </c>
      <c r="G39" s="770"/>
      <c r="H39" s="562" t="s">
        <v>379</v>
      </c>
      <c r="I39" s="3"/>
      <c r="J39" s="3"/>
    </row>
    <row r="40" spans="1:10" x14ac:dyDescent="0.3">
      <c r="A40" s="3"/>
      <c r="B40" s="3"/>
      <c r="C40" s="767">
        <v>44797</v>
      </c>
      <c r="D40" s="768" t="s">
        <v>619</v>
      </c>
      <c r="E40" s="769" t="s">
        <v>570</v>
      </c>
      <c r="F40" s="769" t="s">
        <v>682</v>
      </c>
      <c r="G40" s="770"/>
      <c r="H40" s="562" t="s">
        <v>379</v>
      </c>
      <c r="I40" s="3"/>
      <c r="J40" s="3"/>
    </row>
    <row r="41" spans="1:10" x14ac:dyDescent="0.3">
      <c r="A41" s="3"/>
      <c r="B41" s="3"/>
      <c r="C41" s="767">
        <v>44708</v>
      </c>
      <c r="D41" s="768" t="s">
        <v>619</v>
      </c>
      <c r="E41" s="769" t="s">
        <v>565</v>
      </c>
      <c r="F41" s="769" t="s">
        <v>677</v>
      </c>
      <c r="G41" s="770"/>
      <c r="H41" s="562" t="s">
        <v>379</v>
      </c>
      <c r="I41" s="3"/>
      <c r="J41" s="3"/>
    </row>
    <row r="42" spans="1:10" x14ac:dyDescent="0.3">
      <c r="A42" s="3"/>
      <c r="B42" s="3"/>
      <c r="C42" s="767">
        <v>44706</v>
      </c>
      <c r="D42" s="768" t="s">
        <v>619</v>
      </c>
      <c r="E42" s="769" t="s">
        <v>570</v>
      </c>
      <c r="F42" s="769" t="s">
        <v>677</v>
      </c>
      <c r="G42" s="770"/>
      <c r="H42" s="562" t="s">
        <v>379</v>
      </c>
      <c r="I42" s="3"/>
      <c r="J42" s="3"/>
    </row>
    <row r="43" spans="1:10" x14ac:dyDescent="0.3">
      <c r="A43" s="3"/>
      <c r="B43" s="3"/>
      <c r="C43" s="767">
        <v>44638</v>
      </c>
      <c r="D43" s="768" t="s">
        <v>678</v>
      </c>
      <c r="E43" s="769" t="s">
        <v>566</v>
      </c>
      <c r="F43" s="769" t="s">
        <v>674</v>
      </c>
      <c r="G43" s="770"/>
      <c r="H43" s="562" t="s">
        <v>379</v>
      </c>
      <c r="I43" s="3"/>
      <c r="J43" s="3"/>
    </row>
    <row r="44" spans="1:10" x14ac:dyDescent="0.3">
      <c r="A44" s="3"/>
      <c r="B44" s="3"/>
      <c r="C44" s="767">
        <v>44608</v>
      </c>
      <c r="D44" s="768" t="s">
        <v>675</v>
      </c>
      <c r="E44" s="769" t="s">
        <v>570</v>
      </c>
      <c r="F44" s="769" t="s">
        <v>674</v>
      </c>
      <c r="G44" s="770"/>
      <c r="H44" s="562" t="s">
        <v>379</v>
      </c>
      <c r="I44" s="3"/>
      <c r="J44" s="3"/>
    </row>
    <row r="45" spans="1:10" x14ac:dyDescent="0.3">
      <c r="A45" s="3"/>
      <c r="B45" s="3"/>
      <c r="C45" s="767">
        <v>44522</v>
      </c>
      <c r="D45" s="768" t="s">
        <v>661</v>
      </c>
      <c r="E45" s="769" t="s">
        <v>565</v>
      </c>
      <c r="F45" s="769" t="s">
        <v>653</v>
      </c>
      <c r="G45" s="770"/>
      <c r="H45" s="562" t="s">
        <v>379</v>
      </c>
      <c r="I45" s="3"/>
      <c r="J45" s="3"/>
    </row>
    <row r="46" spans="1:10" x14ac:dyDescent="0.3">
      <c r="A46" s="3"/>
      <c r="B46" s="3"/>
      <c r="C46" s="767">
        <v>44517</v>
      </c>
      <c r="D46" s="768" t="s">
        <v>658</v>
      </c>
      <c r="E46" s="769" t="s">
        <v>570</v>
      </c>
      <c r="F46" s="769" t="s">
        <v>653</v>
      </c>
      <c r="G46" s="770"/>
      <c r="H46" s="562" t="s">
        <v>379</v>
      </c>
      <c r="I46" s="3"/>
      <c r="J46" s="3"/>
    </row>
    <row r="47" spans="1:10" x14ac:dyDescent="0.3">
      <c r="A47" s="3"/>
      <c r="B47" s="3"/>
      <c r="C47" s="767">
        <v>44428</v>
      </c>
      <c r="D47" s="768" t="s">
        <v>619</v>
      </c>
      <c r="E47" s="769" t="s">
        <v>565</v>
      </c>
      <c r="F47" s="769" t="s">
        <v>625</v>
      </c>
      <c r="G47" s="770"/>
      <c r="H47" s="562" t="s">
        <v>379</v>
      </c>
      <c r="I47" s="3"/>
      <c r="J47" s="3"/>
    </row>
    <row r="48" spans="1:10" x14ac:dyDescent="0.3">
      <c r="A48" s="3"/>
      <c r="B48" s="3"/>
      <c r="C48" s="767">
        <v>44426</v>
      </c>
      <c r="D48" s="768" t="s">
        <v>651</v>
      </c>
      <c r="E48" s="769" t="s">
        <v>570</v>
      </c>
      <c r="F48" s="769" t="s">
        <v>625</v>
      </c>
      <c r="G48" s="770"/>
      <c r="H48" s="562" t="s">
        <v>379</v>
      </c>
      <c r="I48" s="3"/>
      <c r="J48" s="3"/>
    </row>
    <row r="49" spans="1:10" x14ac:dyDescent="0.3">
      <c r="A49" s="3"/>
      <c r="B49" s="3"/>
      <c r="C49" s="767">
        <v>44342</v>
      </c>
      <c r="D49" s="768" t="s">
        <v>619</v>
      </c>
      <c r="E49" s="769" t="s">
        <v>395</v>
      </c>
      <c r="F49" s="769" t="s">
        <v>621</v>
      </c>
      <c r="G49" s="770" t="s">
        <v>650</v>
      </c>
      <c r="H49" s="585"/>
      <c r="I49" s="3"/>
      <c r="J49" s="3"/>
    </row>
    <row r="50" spans="1:10" x14ac:dyDescent="0.3">
      <c r="A50" s="3"/>
      <c r="B50" s="3"/>
      <c r="C50" s="767">
        <v>44342</v>
      </c>
      <c r="D50" s="768" t="s">
        <v>619</v>
      </c>
      <c r="E50" s="769" t="s">
        <v>565</v>
      </c>
      <c r="F50" s="769" t="s">
        <v>621</v>
      </c>
      <c r="G50" s="770"/>
      <c r="H50" s="771" t="s">
        <v>379</v>
      </c>
      <c r="I50" s="3"/>
      <c r="J50" s="3"/>
    </row>
    <row r="51" spans="1:10" x14ac:dyDescent="0.3">
      <c r="A51" s="3"/>
      <c r="B51" s="3"/>
      <c r="C51" s="767">
        <v>44253</v>
      </c>
      <c r="D51" s="768" t="s">
        <v>619</v>
      </c>
      <c r="E51" s="769" t="s">
        <v>566</v>
      </c>
      <c r="F51" s="769" t="s">
        <v>585</v>
      </c>
      <c r="G51" s="770"/>
      <c r="H51" s="562" t="s">
        <v>379</v>
      </c>
      <c r="I51" s="3"/>
      <c r="J51" s="3"/>
    </row>
    <row r="52" spans="1:10" x14ac:dyDescent="0.3">
      <c r="A52" s="3"/>
      <c r="B52" s="3"/>
      <c r="C52" s="767">
        <v>44251</v>
      </c>
      <c r="D52" s="768" t="s">
        <v>619</v>
      </c>
      <c r="E52" s="769" t="s">
        <v>570</v>
      </c>
      <c r="F52" s="769" t="s">
        <v>585</v>
      </c>
      <c r="G52" s="770"/>
      <c r="H52" s="562" t="s">
        <v>379</v>
      </c>
      <c r="I52" s="3"/>
      <c r="J52" s="3"/>
    </row>
    <row r="53" spans="1:10" x14ac:dyDescent="0.3">
      <c r="A53" s="3"/>
      <c r="B53" s="3"/>
      <c r="C53" s="767">
        <v>44153</v>
      </c>
      <c r="D53" s="768" t="s">
        <v>611</v>
      </c>
      <c r="E53" s="769" t="s">
        <v>565</v>
      </c>
      <c r="F53" s="769" t="s">
        <v>608</v>
      </c>
      <c r="G53" s="770"/>
      <c r="H53" s="585" t="s">
        <v>379</v>
      </c>
      <c r="I53" s="3"/>
      <c r="J53" s="3"/>
    </row>
    <row r="54" spans="1:10" x14ac:dyDescent="0.3">
      <c r="A54" s="3"/>
      <c r="B54" s="3"/>
      <c r="C54" s="767">
        <v>44062</v>
      </c>
      <c r="D54" s="768" t="s">
        <v>607</v>
      </c>
      <c r="E54" s="769" t="s">
        <v>565</v>
      </c>
      <c r="F54" s="769" t="s">
        <v>586</v>
      </c>
      <c r="G54" s="770"/>
      <c r="H54" s="771" t="s">
        <v>379</v>
      </c>
      <c r="I54" s="3"/>
      <c r="J54" s="3"/>
    </row>
    <row r="55" spans="1:10" x14ac:dyDescent="0.3">
      <c r="A55" s="3"/>
      <c r="B55" s="3"/>
      <c r="C55" s="767">
        <v>43972</v>
      </c>
      <c r="D55" s="768" t="s">
        <v>569</v>
      </c>
      <c r="E55" s="769" t="s">
        <v>565</v>
      </c>
      <c r="F55" s="769" t="s">
        <v>571</v>
      </c>
      <c r="G55" s="770"/>
      <c r="H55" s="771" t="s">
        <v>379</v>
      </c>
      <c r="I55" s="3"/>
      <c r="J55" s="3"/>
    </row>
    <row r="56" spans="1:10" x14ac:dyDescent="0.3">
      <c r="A56" s="3"/>
      <c r="B56" s="3"/>
      <c r="C56" s="767">
        <v>43882</v>
      </c>
      <c r="D56" s="768" t="s">
        <v>572</v>
      </c>
      <c r="E56" s="769" t="s">
        <v>566</v>
      </c>
      <c r="F56" s="769" t="s">
        <v>568</v>
      </c>
      <c r="G56" s="770"/>
      <c r="H56" s="562" t="s">
        <v>379</v>
      </c>
      <c r="I56" s="3"/>
      <c r="J56" s="3"/>
    </row>
    <row r="57" spans="1:10" x14ac:dyDescent="0.3">
      <c r="A57" s="3"/>
      <c r="B57" s="3"/>
      <c r="C57" s="767">
        <v>43874</v>
      </c>
      <c r="D57" s="768" t="s">
        <v>569</v>
      </c>
      <c r="E57" s="769" t="s">
        <v>570</v>
      </c>
      <c r="F57" s="769" t="s">
        <v>568</v>
      </c>
      <c r="G57" s="770"/>
      <c r="H57" s="772" t="s">
        <v>379</v>
      </c>
      <c r="I57" s="3"/>
      <c r="J57" s="3"/>
    </row>
    <row r="58" spans="1:10" x14ac:dyDescent="0.3">
      <c r="A58" s="3"/>
      <c r="B58" s="3"/>
      <c r="C58" s="767">
        <v>43783</v>
      </c>
      <c r="D58" s="768" t="s">
        <v>409</v>
      </c>
      <c r="E58" s="769" t="s">
        <v>565</v>
      </c>
      <c r="F58" s="769" t="s">
        <v>412</v>
      </c>
      <c r="G58" s="770"/>
      <c r="H58" s="772" t="s">
        <v>379</v>
      </c>
      <c r="I58" s="3"/>
      <c r="J58" s="3"/>
    </row>
    <row r="59" spans="1:10" x14ac:dyDescent="0.3">
      <c r="A59" s="3"/>
      <c r="B59" s="3"/>
      <c r="C59" s="773">
        <v>43692</v>
      </c>
      <c r="D59" s="774" t="s">
        <v>409</v>
      </c>
      <c r="E59" s="775" t="s">
        <v>565</v>
      </c>
      <c r="F59" s="775" t="s">
        <v>408</v>
      </c>
      <c r="G59" s="776"/>
      <c r="H59" s="777" t="s">
        <v>379</v>
      </c>
      <c r="I59" s="3"/>
      <c r="J59" s="3"/>
    </row>
    <row r="60" spans="1:10" x14ac:dyDescent="0.3">
      <c r="A60" s="3"/>
      <c r="B60" s="3"/>
      <c r="C60" s="773">
        <v>43601</v>
      </c>
      <c r="D60" s="774" t="s">
        <v>409</v>
      </c>
      <c r="E60" s="775" t="s">
        <v>565</v>
      </c>
      <c r="F60" s="775" t="s">
        <v>301</v>
      </c>
      <c r="G60" s="776"/>
      <c r="H60" s="777" t="s">
        <v>379</v>
      </c>
      <c r="I60" s="3"/>
      <c r="J60" s="3"/>
    </row>
    <row r="61" spans="1:10" x14ac:dyDescent="0.3">
      <c r="A61" s="3"/>
      <c r="B61" s="3"/>
      <c r="C61" s="773">
        <v>43521</v>
      </c>
      <c r="D61" s="774" t="s">
        <v>378</v>
      </c>
      <c r="E61" s="775" t="s">
        <v>566</v>
      </c>
      <c r="F61" s="775" t="s">
        <v>317</v>
      </c>
      <c r="G61" s="776"/>
      <c r="H61" s="777" t="s">
        <v>379</v>
      </c>
      <c r="I61" s="3"/>
      <c r="J61" s="3"/>
    </row>
    <row r="62" spans="1:10" x14ac:dyDescent="0.3">
      <c r="A62" s="3"/>
      <c r="B62" s="3"/>
      <c r="C62" s="773">
        <v>43440</v>
      </c>
      <c r="D62" s="774" t="s">
        <v>380</v>
      </c>
      <c r="E62" s="775" t="s">
        <v>381</v>
      </c>
      <c r="F62" s="775" t="s">
        <v>314</v>
      </c>
      <c r="G62" s="776"/>
      <c r="H62" s="778"/>
      <c r="I62" s="3"/>
      <c r="J62" s="3"/>
    </row>
    <row r="63" spans="1:10" x14ac:dyDescent="0.3">
      <c r="A63" s="3"/>
      <c r="B63" s="3"/>
      <c r="C63" s="773">
        <v>43419</v>
      </c>
      <c r="D63" s="774" t="s">
        <v>382</v>
      </c>
      <c r="E63" s="775" t="s">
        <v>565</v>
      </c>
      <c r="F63" s="775" t="s">
        <v>314</v>
      </c>
      <c r="G63" s="776"/>
      <c r="H63" s="778" t="s">
        <v>379</v>
      </c>
      <c r="I63" s="3"/>
      <c r="J63" s="3"/>
    </row>
    <row r="64" spans="1:10" x14ac:dyDescent="0.3">
      <c r="A64" s="3"/>
      <c r="B64" s="3"/>
      <c r="C64" s="773">
        <v>43329</v>
      </c>
      <c r="D64" s="774" t="s">
        <v>383</v>
      </c>
      <c r="E64" s="775" t="s">
        <v>565</v>
      </c>
      <c r="F64" s="775" t="s">
        <v>315</v>
      </c>
      <c r="G64" s="776"/>
      <c r="H64" s="778" t="s">
        <v>379</v>
      </c>
      <c r="I64" s="3"/>
      <c r="J64" s="3"/>
    </row>
    <row r="65" spans="1:10" x14ac:dyDescent="0.3">
      <c r="A65" s="3"/>
      <c r="B65" s="3"/>
      <c r="C65" s="767">
        <v>43243</v>
      </c>
      <c r="D65" s="768" t="s">
        <v>384</v>
      </c>
      <c r="E65" s="769" t="s">
        <v>565</v>
      </c>
      <c r="F65" s="769" t="s">
        <v>318</v>
      </c>
      <c r="G65" s="770"/>
      <c r="H65" s="779" t="s">
        <v>379</v>
      </c>
      <c r="I65" s="3"/>
      <c r="J65" s="3"/>
    </row>
    <row r="66" spans="1:10" x14ac:dyDescent="0.3">
      <c r="A66" s="3"/>
      <c r="B66" s="3"/>
      <c r="C66" s="780">
        <v>43159</v>
      </c>
      <c r="D66" s="781" t="s">
        <v>385</v>
      </c>
      <c r="E66" s="782" t="s">
        <v>566</v>
      </c>
      <c r="F66" s="782" t="s">
        <v>386</v>
      </c>
      <c r="G66" s="783"/>
      <c r="H66" s="784" t="s">
        <v>379</v>
      </c>
      <c r="I66" s="3"/>
      <c r="J66" s="3"/>
    </row>
    <row r="67" spans="1:10" x14ac:dyDescent="0.3">
      <c r="A67" s="3"/>
      <c r="B67" s="3"/>
      <c r="C67" s="780">
        <v>43060</v>
      </c>
      <c r="D67" s="781" t="s">
        <v>387</v>
      </c>
      <c r="E67" s="782" t="s">
        <v>565</v>
      </c>
      <c r="F67" s="782" t="s">
        <v>388</v>
      </c>
      <c r="G67" s="783"/>
      <c r="H67" s="784" t="s">
        <v>379</v>
      </c>
      <c r="I67" s="3"/>
      <c r="J67" s="3"/>
    </row>
    <row r="68" spans="1:10" x14ac:dyDescent="0.3">
      <c r="A68" s="3"/>
      <c r="B68" s="3"/>
      <c r="C68" s="780">
        <v>42971</v>
      </c>
      <c r="D68" s="781" t="s">
        <v>384</v>
      </c>
      <c r="E68" s="782" t="s">
        <v>565</v>
      </c>
      <c r="F68" s="782" t="s">
        <v>389</v>
      </c>
      <c r="G68" s="783"/>
      <c r="H68" s="784" t="s">
        <v>379</v>
      </c>
      <c r="I68" s="3"/>
      <c r="J68" s="3"/>
    </row>
    <row r="69" spans="1:10" x14ac:dyDescent="0.3">
      <c r="A69" s="3"/>
      <c r="B69" s="3"/>
      <c r="C69" s="780">
        <v>42864</v>
      </c>
      <c r="D69" s="781" t="s">
        <v>390</v>
      </c>
      <c r="E69" s="782" t="s">
        <v>565</v>
      </c>
      <c r="F69" s="782" t="s">
        <v>391</v>
      </c>
      <c r="G69" s="783"/>
      <c r="H69" s="784" t="s">
        <v>379</v>
      </c>
      <c r="I69" s="3"/>
      <c r="J69" s="3"/>
    </row>
    <row r="70" spans="1:10" x14ac:dyDescent="0.3">
      <c r="A70" s="3"/>
      <c r="B70" s="3"/>
      <c r="C70" s="780">
        <v>42797</v>
      </c>
      <c r="D70" s="781" t="s">
        <v>392</v>
      </c>
      <c r="E70" s="782" t="s">
        <v>566</v>
      </c>
      <c r="F70" s="782" t="s">
        <v>393</v>
      </c>
      <c r="G70" s="783"/>
      <c r="H70" s="784" t="s">
        <v>379</v>
      </c>
      <c r="I70" s="3"/>
      <c r="J70" s="3"/>
    </row>
    <row r="71" spans="1:10" x14ac:dyDescent="0.3">
      <c r="A71" s="3"/>
      <c r="B71" s="3"/>
      <c r="C71" s="780">
        <v>42716</v>
      </c>
      <c r="D71" s="781" t="s">
        <v>394</v>
      </c>
      <c r="E71" s="782" t="s">
        <v>395</v>
      </c>
      <c r="F71" s="782" t="s">
        <v>398</v>
      </c>
      <c r="G71" s="783" t="s">
        <v>396</v>
      </c>
      <c r="H71" s="784"/>
      <c r="I71" s="3"/>
      <c r="J71" s="3"/>
    </row>
    <row r="72" spans="1:10" x14ac:dyDescent="0.3">
      <c r="A72" s="3"/>
      <c r="B72" s="3"/>
      <c r="C72" s="780">
        <v>42696</v>
      </c>
      <c r="D72" s="781" t="s">
        <v>397</v>
      </c>
      <c r="E72" s="782" t="s">
        <v>565</v>
      </c>
      <c r="F72" s="782" t="s">
        <v>398</v>
      </c>
      <c r="G72" s="783"/>
      <c r="H72" s="784" t="s">
        <v>379</v>
      </c>
      <c r="I72" s="3"/>
      <c r="J72" s="3"/>
    </row>
    <row r="73" spans="1:10" x14ac:dyDescent="0.3">
      <c r="A73" s="3"/>
      <c r="B73" s="3"/>
      <c r="C73" s="780">
        <v>42691</v>
      </c>
      <c r="D73" s="781" t="s">
        <v>394</v>
      </c>
      <c r="E73" s="782" t="s">
        <v>565</v>
      </c>
      <c r="F73" s="782" t="s">
        <v>399</v>
      </c>
      <c r="G73" s="783"/>
      <c r="H73" s="784" t="s">
        <v>379</v>
      </c>
      <c r="I73" s="3"/>
      <c r="J73" s="3"/>
    </row>
    <row r="74" spans="1:10" x14ac:dyDescent="0.3">
      <c r="A74" s="3"/>
      <c r="B74" s="3"/>
      <c r="C74" s="780">
        <v>42530</v>
      </c>
      <c r="D74" s="781" t="s">
        <v>400</v>
      </c>
      <c r="E74" s="782" t="s">
        <v>401</v>
      </c>
      <c r="F74" s="782" t="s">
        <v>567</v>
      </c>
      <c r="G74" s="783"/>
      <c r="H74" s="784"/>
      <c r="I74" s="3"/>
      <c r="J74" s="3"/>
    </row>
    <row r="75" spans="1:10" x14ac:dyDescent="0.3">
      <c r="A75" s="3"/>
      <c r="B75" s="3"/>
      <c r="C75" s="3"/>
      <c r="D75" s="3"/>
      <c r="E75" s="3"/>
      <c r="F75" s="3"/>
      <c r="G75" s="3"/>
      <c r="H75" s="3"/>
      <c r="I75" s="3"/>
      <c r="J75" s="3"/>
    </row>
    <row r="76" spans="1:10" x14ac:dyDescent="0.3">
      <c r="A76" s="3"/>
      <c r="B76" s="3"/>
      <c r="C76" s="3"/>
      <c r="D76" s="3"/>
      <c r="E76" s="3"/>
      <c r="F76" s="3"/>
      <c r="G76" s="3"/>
      <c r="H76" s="3"/>
      <c r="I76" s="3"/>
      <c r="J76" s="3"/>
    </row>
    <row r="77" spans="1:10" x14ac:dyDescent="0.3">
      <c r="A77" s="3"/>
      <c r="B77" s="3"/>
      <c r="C77" s="3"/>
      <c r="D77" s="3"/>
      <c r="E77" s="3"/>
      <c r="F77" s="3"/>
      <c r="G77" s="3"/>
      <c r="H77" s="3"/>
      <c r="I77" s="3"/>
      <c r="J77" s="3"/>
    </row>
    <row r="78" spans="1:10" x14ac:dyDescent="0.3">
      <c r="A78" s="3"/>
      <c r="B78" s="3"/>
      <c r="C78" s="3"/>
      <c r="D78" s="3"/>
      <c r="E78" s="3"/>
      <c r="F78" s="3"/>
      <c r="G78" s="3"/>
      <c r="H78" s="3"/>
      <c r="I78" s="3"/>
      <c r="J78" s="3"/>
    </row>
    <row r="79" spans="1:10" x14ac:dyDescent="0.3">
      <c r="A79" s="3"/>
      <c r="B79" s="3"/>
      <c r="C79" s="3"/>
      <c r="D79" s="3"/>
      <c r="E79" s="3"/>
      <c r="F79" s="3"/>
      <c r="G79" s="3"/>
      <c r="H79" s="3"/>
      <c r="I79" s="3"/>
      <c r="J79" s="3"/>
    </row>
    <row r="80" spans="1:10" x14ac:dyDescent="0.3">
      <c r="A80" s="3"/>
      <c r="B80" s="3"/>
      <c r="C80" s="3"/>
      <c r="D80" s="3"/>
      <c r="E80" s="3"/>
      <c r="F80" s="3"/>
      <c r="G80" s="3"/>
      <c r="H80" s="3"/>
      <c r="I80" s="3"/>
      <c r="J80" s="3"/>
    </row>
    <row r="81" spans="1:10" x14ac:dyDescent="0.3">
      <c r="A81" s="3"/>
      <c r="B81" s="3"/>
      <c r="C81" s="3"/>
      <c r="D81" s="3"/>
      <c r="E81" s="3"/>
      <c r="F81" s="3"/>
      <c r="G81" s="3"/>
      <c r="H81" s="3"/>
      <c r="I81" s="3"/>
      <c r="J81" s="3"/>
    </row>
    <row r="82" spans="1:10" x14ac:dyDescent="0.3">
      <c r="A82" s="3"/>
      <c r="B82" s="3"/>
      <c r="C82" s="3"/>
      <c r="D82" s="3"/>
      <c r="E82" s="3"/>
      <c r="F82" s="3"/>
      <c r="G82" s="3"/>
      <c r="H82" s="3"/>
      <c r="I82" s="3"/>
      <c r="J82" s="3"/>
    </row>
    <row r="83" spans="1:10" x14ac:dyDescent="0.3">
      <c r="A83" s="3"/>
      <c r="B83" s="3"/>
      <c r="C83" s="3"/>
      <c r="D83" s="3"/>
      <c r="E83" s="3"/>
      <c r="F83" s="3"/>
      <c r="G83" s="3"/>
      <c r="H83" s="3"/>
      <c r="I83" s="3"/>
      <c r="J83" s="3"/>
    </row>
    <row r="84" spans="1:10" x14ac:dyDescent="0.3">
      <c r="A84" s="3"/>
      <c r="B84" s="3"/>
      <c r="C84" s="3"/>
      <c r="D84" s="3"/>
      <c r="E84" s="3"/>
      <c r="F84" s="3"/>
      <c r="G84" s="3"/>
      <c r="H84" s="3"/>
      <c r="I84" s="3"/>
      <c r="J84" s="3"/>
    </row>
    <row r="85" spans="1:10" x14ac:dyDescent="0.3">
      <c r="A85" s="3"/>
      <c r="B85" s="3"/>
      <c r="C85" s="3"/>
      <c r="D85" s="3"/>
      <c r="E85" s="3"/>
      <c r="F85" s="3"/>
      <c r="G85" s="3"/>
      <c r="H85" s="3"/>
      <c r="I85" s="3"/>
      <c r="J85" s="3"/>
    </row>
    <row r="86" spans="1:10" x14ac:dyDescent="0.3">
      <c r="A86" s="3"/>
      <c r="B86" s="3"/>
      <c r="C86" s="3"/>
      <c r="D86" s="3"/>
      <c r="E86" s="3"/>
      <c r="F86" s="3"/>
      <c r="G86" s="3"/>
      <c r="H86" s="3"/>
      <c r="I86" s="3"/>
      <c r="J86" s="3"/>
    </row>
    <row r="87" spans="1:10" x14ac:dyDescent="0.3">
      <c r="A87" s="3"/>
      <c r="B87" s="3"/>
      <c r="C87" s="3"/>
      <c r="D87" s="3"/>
      <c r="E87" s="3"/>
      <c r="F87" s="3"/>
      <c r="G87" s="3"/>
      <c r="H87" s="3"/>
      <c r="I87" s="3"/>
      <c r="J87" s="3"/>
    </row>
    <row r="88" spans="1:10" x14ac:dyDescent="0.3">
      <c r="A88" s="3"/>
      <c r="B88" s="3"/>
      <c r="C88" s="3"/>
      <c r="D88" s="3"/>
      <c r="E88" s="3"/>
      <c r="F88" s="3"/>
      <c r="G88" s="3"/>
      <c r="H88" s="3"/>
      <c r="I88" s="3"/>
      <c r="J88" s="3"/>
    </row>
    <row r="89" spans="1:10" x14ac:dyDescent="0.3">
      <c r="A89" s="3"/>
      <c r="B89" s="3"/>
      <c r="C89" s="3"/>
      <c r="D89" s="3"/>
      <c r="E89" s="3"/>
      <c r="F89" s="3"/>
      <c r="G89" s="3"/>
      <c r="H89" s="3"/>
      <c r="I89" s="3"/>
      <c r="J89" s="3"/>
    </row>
    <row r="90" spans="1:10" x14ac:dyDescent="0.3">
      <c r="A90" s="3"/>
      <c r="B90" s="3"/>
      <c r="C90" s="3"/>
      <c r="D90" s="3"/>
      <c r="E90" s="3"/>
      <c r="F90" s="3"/>
      <c r="G90" s="3"/>
      <c r="H90" s="3"/>
      <c r="I90" s="3"/>
      <c r="J90" s="3"/>
    </row>
    <row r="91" spans="1:10" x14ac:dyDescent="0.3">
      <c r="A91" s="3"/>
      <c r="B91" s="3"/>
      <c r="C91" s="3"/>
      <c r="D91" s="3"/>
      <c r="E91" s="3"/>
      <c r="F91" s="3"/>
      <c r="G91" s="3"/>
      <c r="H91" s="3"/>
      <c r="I91" s="3"/>
      <c r="J91" s="3"/>
    </row>
    <row r="92" spans="1:10" x14ac:dyDescent="0.3">
      <c r="A92" s="3"/>
      <c r="B92" s="3"/>
      <c r="C92" s="3"/>
      <c r="D92" s="3"/>
      <c r="E92" s="3"/>
      <c r="F92" s="3"/>
      <c r="G92" s="3"/>
      <c r="H92" s="3"/>
      <c r="I92" s="3"/>
      <c r="J92" s="3"/>
    </row>
    <row r="93" spans="1:10" x14ac:dyDescent="0.3">
      <c r="A93" s="3"/>
      <c r="B93" s="3"/>
      <c r="C93" s="3"/>
      <c r="D93" s="3"/>
      <c r="E93" s="3"/>
      <c r="F93" s="3"/>
      <c r="G93" s="3"/>
      <c r="H93" s="3"/>
      <c r="I93" s="3"/>
      <c r="J93" s="3"/>
    </row>
    <row r="94" spans="1:10" x14ac:dyDescent="0.3">
      <c r="A94" s="3"/>
      <c r="B94" s="3"/>
      <c r="C94" s="3"/>
      <c r="D94" s="3"/>
      <c r="E94" s="3"/>
      <c r="F94" s="3"/>
      <c r="G94" s="3"/>
      <c r="H94" s="3"/>
      <c r="I94" s="3"/>
      <c r="J94" s="3"/>
    </row>
    <row r="95" spans="1:10" x14ac:dyDescent="0.3">
      <c r="A95" s="3"/>
      <c r="B95" s="3"/>
      <c r="C95" s="3"/>
      <c r="D95" s="3"/>
      <c r="E95" s="3"/>
      <c r="F95" s="3"/>
      <c r="G95" s="3"/>
      <c r="H95" s="3"/>
      <c r="I95" s="3"/>
      <c r="J95" s="3"/>
    </row>
    <row r="96" spans="1:10" x14ac:dyDescent="0.3">
      <c r="A96" s="3"/>
      <c r="B96" s="3"/>
      <c r="C96" s="3"/>
      <c r="D96" s="3"/>
      <c r="E96" s="3"/>
      <c r="F96" s="3"/>
      <c r="G96" s="3"/>
      <c r="H96" s="3"/>
      <c r="I96" s="3"/>
      <c r="J96" s="3"/>
    </row>
    <row r="97" spans="1:10" x14ac:dyDescent="0.3">
      <c r="A97" s="3"/>
      <c r="B97" s="3"/>
      <c r="C97" s="3"/>
      <c r="D97" s="3"/>
      <c r="E97" s="3"/>
      <c r="F97" s="3"/>
      <c r="G97" s="3"/>
      <c r="H97" s="3"/>
      <c r="I97" s="3"/>
      <c r="J97" s="3"/>
    </row>
  </sheetData>
  <hyperlinks>
    <hyperlink ref="H61" r:id="rId1" tooltip="Website Link" xr:uid="{00000000-0004-0000-0600-000000000000}"/>
    <hyperlink ref="H63" r:id="rId2" tooltip="Website Link" xr:uid="{00000000-0004-0000-0600-000001000000}"/>
    <hyperlink ref="H64" r:id="rId3" tooltip="Website Link" xr:uid="{00000000-0004-0000-0600-000002000000}"/>
    <hyperlink ref="H65" r:id="rId4" tooltip="Website Link" xr:uid="{00000000-0004-0000-0600-000003000000}"/>
    <hyperlink ref="H66" r:id="rId5" tooltip="Website Link" xr:uid="{00000000-0004-0000-0600-000004000000}"/>
    <hyperlink ref="H67" r:id="rId6" tooltip="Website Link" xr:uid="{00000000-0004-0000-0600-000005000000}"/>
    <hyperlink ref="H68" r:id="rId7" tooltip="Website Link" xr:uid="{00000000-0004-0000-0600-000006000000}"/>
    <hyperlink ref="H69" r:id="rId8" xr:uid="{00000000-0004-0000-0600-000007000000}"/>
    <hyperlink ref="H70" r:id="rId9" tooltip="Website Link" xr:uid="{00000000-0004-0000-0600-000008000000}"/>
    <hyperlink ref="H72" r:id="rId10" tooltip="Website Link" xr:uid="{00000000-0004-0000-0600-000009000000}"/>
    <hyperlink ref="H73" r:id="rId11" tooltip="Website Link" xr:uid="{00000000-0004-0000-0600-00000A000000}"/>
    <hyperlink ref="H60" r:id="rId12" tooltip="Website Link" xr:uid="{00000000-0004-0000-0600-00000B000000}"/>
    <hyperlink ref="H59" r:id="rId13" tooltip="Website Link" xr:uid="{00000000-0004-0000-0600-00000C000000}"/>
    <hyperlink ref="H58" r:id="rId14" tooltip="Website Link" xr:uid="{00000000-0004-0000-0600-00000D000000}"/>
    <hyperlink ref="H57" r:id="rId15" tooltip="Website Link" xr:uid="{00000000-0004-0000-0600-00000E000000}"/>
    <hyperlink ref="H56" r:id="rId16" tooltip="Website Link" xr:uid="{00000000-0004-0000-0600-00000F000000}"/>
    <hyperlink ref="H55" r:id="rId17" tooltip="Website Link" xr:uid="{00000000-0004-0000-0600-000010000000}"/>
    <hyperlink ref="H54" r:id="rId18" tooltip="Website Link" xr:uid="{00000000-0004-0000-0600-000011000000}"/>
    <hyperlink ref="H53" r:id="rId19" tooltip="Website Link" xr:uid="{00000000-0004-0000-0600-000012000000}"/>
    <hyperlink ref="H52" r:id="rId20" tooltip="Website Link" xr:uid="{00000000-0004-0000-0600-000013000000}"/>
    <hyperlink ref="H51" r:id="rId21" tooltip="Website Link" xr:uid="{00000000-0004-0000-0600-000014000000}"/>
    <hyperlink ref="H50" r:id="rId22" tooltip="Website Link" xr:uid="{00000000-0004-0000-0600-000015000000}"/>
    <hyperlink ref="H48" r:id="rId23" tooltip="Website Link" xr:uid="{00000000-0004-0000-0600-000016000000}"/>
    <hyperlink ref="H47" r:id="rId24" tooltip="Website Link" xr:uid="{00000000-0004-0000-0600-000017000000}"/>
    <hyperlink ref="H46" r:id="rId25" tooltip="Website Link" xr:uid="{00000000-0004-0000-0600-000018000000}"/>
    <hyperlink ref="H45" r:id="rId26" tooltip="Website Link" xr:uid="{00000000-0004-0000-0600-000019000000}"/>
    <hyperlink ref="H44" r:id="rId27" tooltip="Website Link" xr:uid="{00000000-0004-0000-0600-00001A000000}"/>
    <hyperlink ref="H43" r:id="rId28" tooltip="Website Link" xr:uid="{00000000-0004-0000-0600-00001B000000}"/>
    <hyperlink ref="H42" r:id="rId29" tooltip="Website Link" xr:uid="{00000000-0004-0000-0600-00001C000000}"/>
    <hyperlink ref="H41" r:id="rId30" tooltip="Website Link" xr:uid="{00000000-0004-0000-0600-00001D000000}"/>
    <hyperlink ref="H40" r:id="rId31" tooltip="Website Link" xr:uid="{00000000-0004-0000-0600-00001E000000}"/>
    <hyperlink ref="H39" r:id="rId32" tooltip="Website Link" xr:uid="{00000000-0004-0000-0600-00001F000000}"/>
    <hyperlink ref="H38" r:id="rId33" tooltip="Website Link" xr:uid="{00000000-0004-0000-0600-000020000000}"/>
    <hyperlink ref="H37" r:id="rId34" tooltip="Website Link" xr:uid="{00000000-0004-0000-0600-000021000000}"/>
    <hyperlink ref="H36" r:id="rId35" xr:uid="{00000000-0004-0000-0600-000022000000}"/>
    <hyperlink ref="H35" r:id="rId36" tooltip="Website Link" xr:uid="{00000000-0004-0000-0600-000023000000}"/>
    <hyperlink ref="H34" r:id="rId37" tooltip="Website Link" xr:uid="{00000000-0004-0000-0600-000024000000}"/>
    <hyperlink ref="H33" r:id="rId38" tooltip="Website Link" xr:uid="{00000000-0004-0000-0600-000025000000}"/>
    <hyperlink ref="H32" r:id="rId39" tooltip="Website Link" xr:uid="{00000000-0004-0000-0600-000026000000}"/>
    <hyperlink ref="H31" r:id="rId40" tooltip="Website Link" xr:uid="{00000000-0004-0000-0600-000027000000}"/>
    <hyperlink ref="H30" r:id="rId41" tooltip="Website Link" xr:uid="{00000000-0004-0000-0600-000028000000}"/>
    <hyperlink ref="H29" r:id="rId42" tooltip="Website Link" xr:uid="{00000000-0004-0000-0600-000029000000}"/>
    <hyperlink ref="H28" r:id="rId43" tooltip="Website Link" xr:uid="{00000000-0004-0000-0600-00002A000000}"/>
    <hyperlink ref="H27" r:id="rId44" tooltip="Website Link" xr:uid="{00000000-0004-0000-0600-00002B000000}"/>
    <hyperlink ref="H26" r:id="rId45" tooltip="Website Link" xr:uid="{00000000-0004-0000-0600-00002C000000}"/>
    <hyperlink ref="H25" r:id="rId46" tooltip="Website Link" xr:uid="{00000000-0004-0000-0600-00002D000000}"/>
    <hyperlink ref="H24" r:id="rId47" tooltip="Website Link" xr:uid="{00000000-0004-0000-0600-00002E000000}"/>
    <hyperlink ref="H23" r:id="rId48" tooltip="Website Link" xr:uid="{00000000-0004-0000-0600-00002F000000}"/>
    <hyperlink ref="H22" r:id="rId49" tooltip="Website Link" xr:uid="{00000000-0004-0000-0600-000030000000}"/>
    <hyperlink ref="H21" r:id="rId50" tooltip="Website Link" xr:uid="{00000000-0004-0000-0600-000031000000}"/>
    <hyperlink ref="H20" r:id="rId51" tooltip="Website Link" xr:uid="{00000000-0004-0000-0600-000032000000}"/>
    <hyperlink ref="H19" r:id="rId52" tooltip="Website Link" xr:uid="{00000000-0004-0000-0600-000033000000}"/>
    <hyperlink ref="H18" r:id="rId53" tooltip="Website Link" xr:uid="{00000000-0004-0000-0600-000034000000}"/>
    <hyperlink ref="H17" r:id="rId54" tooltip="Website Link" xr:uid="{00000000-0004-0000-0600-000035000000}"/>
    <hyperlink ref="H16" r:id="rId55" tooltip="Website Link" xr:uid="{00000000-0004-0000-0600-000036000000}"/>
    <hyperlink ref="H15" r:id="rId56" xr:uid="{00000000-0004-0000-0600-000037000000}"/>
    <hyperlink ref="H14" r:id="rId57" tooltip="Website Link" xr:uid="{00000000-0004-0000-0600-000038000000}"/>
    <hyperlink ref="H13" r:id="rId58" tooltip="Website Link" xr:uid="{00000000-0004-0000-0600-000039000000}"/>
    <hyperlink ref="H12" r:id="rId59" tooltip="Website Link" xr:uid="{00000000-0004-0000-0600-00003A000000}"/>
    <hyperlink ref="H11" r:id="rId60" tooltip="Website Link" xr:uid="{00000000-0004-0000-0600-00003B000000}"/>
  </hyperlinks>
  <pageMargins left="0.7" right="0.7" top="0.75" bottom="0.75" header="0.3" footer="0.3"/>
  <pageSetup orientation="portrait"/>
  <drawing r:id="rId6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2197</vt:i4>
      </vt:variant>
    </vt:vector>
  </HeadingPairs>
  <TitlesOfParts>
    <vt:vector size="2204" baseType="lpstr">
      <vt:lpstr>Front Page</vt:lpstr>
      <vt:lpstr>Model</vt:lpstr>
      <vt:lpstr>Exec Comp</vt:lpstr>
      <vt:lpstr>Guidance</vt:lpstr>
      <vt:lpstr>Summary Page</vt:lpstr>
      <vt:lpstr>Company1719</vt:lpstr>
      <vt:lpstr>Update Log</vt:lpstr>
      <vt:lpstr>AS_KPI_1_Rpos</vt:lpstr>
      <vt:lpstr>AS_KPI_2_TotalFutureUnconditionalPurchaseCommitments</vt:lpstr>
      <vt:lpstr>AS_KPI_3_SalesToLargestCustomerAsAPercentOfTotalSales</vt:lpstr>
      <vt:lpstr>AS_KPI_4_SalesToSecondLargestCustomerAsAPercentOfTotalSales</vt:lpstr>
      <vt:lpstr>AS_KPI_5_SalesToThirdLargestCustomerAsAPercentOfTotalSales</vt:lpstr>
      <vt:lpstr>EC_CEO_BasePay</vt:lpstr>
      <vt:lpstr>EC_CEO_EquityComp_Percent</vt:lpstr>
      <vt:lpstr>EC_CEO_SharesOwned</vt:lpstr>
      <vt:lpstr>EC_CEO_TotalComp</vt:lpstr>
      <vt:lpstr>EC_CFO_BasePay</vt:lpstr>
      <vt:lpstr>EC_CFO_EquityComp_Percent</vt:lpstr>
      <vt:lpstr>EC_CFO_SharesOwned</vt:lpstr>
      <vt:lpstr>EC_CFO_TotalComp</vt:lpstr>
      <vt:lpstr>EC_Director_Compensation_Cash</vt:lpstr>
      <vt:lpstr>EC_Director_Compensation_Total</vt:lpstr>
      <vt:lpstr>EC_Directors_Current</vt:lpstr>
      <vt:lpstr>EC_Directors_Current_Diverse</vt:lpstr>
      <vt:lpstr>EC_Directors_Current_Female</vt:lpstr>
      <vt:lpstr>EC_Directors_Current_Independent</vt:lpstr>
      <vt:lpstr>EC_Directors_Nominees</vt:lpstr>
      <vt:lpstr>EC_Directors_Nominees_Independent</vt:lpstr>
      <vt:lpstr>EC_OperatingIncome_Target_NONGAAP</vt:lpstr>
      <vt:lpstr>EC_Revenue_Target</vt:lpstr>
      <vt:lpstr>FP.DataSource</vt:lpstr>
      <vt:lpstr>Company1719!FP.DataSourceName</vt:lpstr>
      <vt:lpstr>FP.DataSourceName</vt:lpstr>
      <vt:lpstr>FP.Disclaimer</vt:lpstr>
      <vt:lpstr>Company1719!FP.LastPrice</vt:lpstr>
      <vt:lpstr>FP.LastPrice</vt:lpstr>
      <vt:lpstr>Company1719!FP.LastPriceDate</vt:lpstr>
      <vt:lpstr>FP.LastPriceDate</vt:lpstr>
      <vt:lpstr>Company1719!FP.RealTimeToggle</vt:lpstr>
      <vt:lpstr>FP.RealTimeToggle</vt:lpstr>
      <vt:lpstr>FP.UpdateDate</vt:lpstr>
      <vt:lpstr>FP.UpdateEvent</vt:lpstr>
      <vt:lpstr>FP_Comment</vt:lpstr>
      <vt:lpstr>FP_StockPriceOverride</vt:lpstr>
      <vt:lpstr>GD.CompanyName</vt:lpstr>
      <vt:lpstr>GD.MRQ</vt:lpstr>
      <vt:lpstr>GD_Difference_Mid_Absolute</vt:lpstr>
      <vt:lpstr>GD_Difference_Mid_Relative</vt:lpstr>
      <vt:lpstr>GD_Guidance_High</vt:lpstr>
      <vt:lpstr>GD_Guidance_Low</vt:lpstr>
      <vt:lpstr>GD_Guidance_Mid</vt:lpstr>
      <vt:lpstr>GD_Header_Column</vt:lpstr>
      <vt:lpstr>GD_Header_Section</vt:lpstr>
      <vt:lpstr>GD_Index</vt:lpstr>
      <vt:lpstr>GD_Item</vt:lpstr>
      <vt:lpstr>GD_Item_BasePeriod</vt:lpstr>
      <vt:lpstr>GD_Item_FiscalPeriod</vt:lpstr>
      <vt:lpstr>GD_Item_Name</vt:lpstr>
      <vt:lpstr>GD_Model_Output</vt:lpstr>
      <vt:lpstr>GD_Model_Type</vt:lpstr>
      <vt:lpstr>GD_Type</vt:lpstr>
      <vt:lpstr>GD_Update_Date</vt:lpstr>
      <vt:lpstr>GD_Update_Link</vt:lpstr>
      <vt:lpstr>Company1719!HP.MRFX</vt:lpstr>
      <vt:lpstr>HP.MRFX</vt:lpstr>
      <vt:lpstr>Company1719!HP.ReportCurrency</vt:lpstr>
      <vt:lpstr>HP.ReportCurrency</vt:lpstr>
      <vt:lpstr>Company1719!HP.Ticker</vt:lpstr>
      <vt:lpstr>HP.Ticker</vt:lpstr>
      <vt:lpstr>Company1719!HP.TradeCurrency</vt:lpstr>
      <vt:lpstr>HP.TradeCurrency</vt:lpstr>
      <vt:lpstr>Company1719!HP.TradeCurrency.HardCoded</vt:lpstr>
      <vt:lpstr>HP.TradeCurrency.HardCoded</vt:lpstr>
      <vt:lpstr>MO.ApplyTradeCurrencyScaling</vt:lpstr>
      <vt:lpstr>Company1719!MO.CFY</vt:lpstr>
      <vt:lpstr>MO.CFY</vt:lpstr>
      <vt:lpstr>Company1719!MO.CompanyName</vt:lpstr>
      <vt:lpstr>MO.CompanyName</vt:lpstr>
      <vt:lpstr>Company1719!MO.DataSourceIndex</vt:lpstr>
      <vt:lpstr>MO.DataSourceIndex</vt:lpstr>
      <vt:lpstr>Company1719!MO.DataSourceName</vt:lpstr>
      <vt:lpstr>MO.DataSourceName</vt:lpstr>
      <vt:lpstr>MO.FirstForecastedFiscalYear</vt:lpstr>
      <vt:lpstr>MO.KPI.1</vt:lpstr>
      <vt:lpstr>MO.KPI.10</vt:lpstr>
      <vt:lpstr>MO.KPI.11</vt:lpstr>
      <vt:lpstr>MO.KPI.12</vt:lpstr>
      <vt:lpstr>MO.KPI.13</vt:lpstr>
      <vt:lpstr>MO.KPI.14</vt:lpstr>
      <vt:lpstr>MO.KPI.15</vt:lpstr>
      <vt:lpstr>MO.KPI.16</vt:lpstr>
      <vt:lpstr>MO.KPI.17</vt:lpstr>
      <vt:lpstr>MO.KPI.18</vt:lpstr>
      <vt:lpstr>MO.KPI.19</vt:lpstr>
      <vt:lpstr>MO.KPI.2</vt:lpstr>
      <vt:lpstr>MO.KPI.20</vt:lpstr>
      <vt:lpstr>MO.KPI.21</vt:lpstr>
      <vt:lpstr>MO.KPI.3</vt:lpstr>
      <vt:lpstr>MO.KPI.4</vt:lpstr>
      <vt:lpstr>MO.KPI.5</vt:lpstr>
      <vt:lpstr>MO.KPI.6</vt:lpstr>
      <vt:lpstr>MO.KPI.7</vt:lpstr>
      <vt:lpstr>MO.KPI.8</vt:lpstr>
      <vt:lpstr>MO.KPI.9</vt:lpstr>
      <vt:lpstr>MO.KPI.Count</vt:lpstr>
      <vt:lpstr>Company1719!MO.LastPrice</vt:lpstr>
      <vt:lpstr>MO.LastPrice</vt:lpstr>
      <vt:lpstr>Company1719!MO.LastPriceDate</vt:lpstr>
      <vt:lpstr>MO.LastPriceDate</vt:lpstr>
      <vt:lpstr>Company1719!MO.LastPriceFormula</vt:lpstr>
      <vt:lpstr>MO.LastPriceFormula</vt:lpstr>
      <vt:lpstr>Company1719!MO.LastPriceHardcoded</vt:lpstr>
      <vt:lpstr>MO.LastPriceHardcoded</vt:lpstr>
      <vt:lpstr>Company1719!MO.MRFP</vt:lpstr>
      <vt:lpstr>MO.MRFP</vt:lpstr>
      <vt:lpstr>Company1719!MO.MRFPColumnNumber</vt:lpstr>
      <vt:lpstr>MO.MRFPColumnNumber</vt:lpstr>
      <vt:lpstr>Company1719!MO.MRFX.Hardcoded</vt:lpstr>
      <vt:lpstr>MO.MRFX.Hardcoded</vt:lpstr>
      <vt:lpstr>Company1719!MO.RealTime</vt:lpstr>
      <vt:lpstr>MO.RealTime</vt:lpstr>
      <vt:lpstr>Company1719!MO.RealTimeStockPriceToggle</vt:lpstr>
      <vt:lpstr>MO.RealTimeStockPriceToggle</vt:lpstr>
      <vt:lpstr>Company1719!MO.ReportCurrency</vt:lpstr>
      <vt:lpstr>MO.ReportCurrency</vt:lpstr>
      <vt:lpstr>Company1719!MO.ReportFX</vt:lpstr>
      <vt:lpstr>MO.ReportFX</vt:lpstr>
      <vt:lpstr>Company1719!MO.Ticker</vt:lpstr>
      <vt:lpstr>MO.Ticker</vt:lpstr>
      <vt:lpstr>Company1719!MO.Ticker.Bloomberg</vt:lpstr>
      <vt:lpstr>MO.Ticker.Bloomberg</vt:lpstr>
      <vt:lpstr>MO.Ticker.Source</vt:lpstr>
      <vt:lpstr>Company1719!MO.Ticker.CapIQ</vt:lpstr>
      <vt:lpstr>MO.Ticker.CapIQ</vt:lpstr>
      <vt:lpstr>Company1719!MO.Ticker.FactSet</vt:lpstr>
      <vt:lpstr>MO.Ticker.FactSet</vt:lpstr>
      <vt:lpstr>Company1719!MO.Ticker.Thomson</vt:lpstr>
      <vt:lpstr>MO.Ticker.Thomson</vt:lpstr>
      <vt:lpstr>Company1719!MO.TradingCurrency</vt:lpstr>
      <vt:lpstr>MO.TradingCurrency</vt:lpstr>
      <vt:lpstr>Company1719!MO.ValuationToggle</vt:lpstr>
      <vt:lpstr>MO.ValuationToggle</vt:lpstr>
      <vt:lpstr>MO_AN_DA</vt:lpstr>
      <vt:lpstr>MO_AN_EBIT_Adj</vt:lpstr>
      <vt:lpstr>MO_AN_GP_Adj</vt:lpstr>
      <vt:lpstr>MO_AN_NI_NONGAAP_Diluted</vt:lpstr>
      <vt:lpstr>MO_AN_OPEX_Adj</vt:lpstr>
      <vt:lpstr>MO_AN_SBC</vt:lpstr>
      <vt:lpstr>MO_BS_AEandOther</vt:lpstr>
      <vt:lpstr>Company1719!MO_BS_AP</vt:lpstr>
      <vt:lpstr>MO_BS_AP</vt:lpstr>
      <vt:lpstr>Company1719!MO_BS_AR</vt:lpstr>
      <vt:lpstr>MO_BS_AR</vt:lpstr>
      <vt:lpstr>Company1719!MO_BS_CA</vt:lpstr>
      <vt:lpstr>MO_BS_CA</vt:lpstr>
      <vt:lpstr>MO_BS_Cash</vt:lpstr>
      <vt:lpstr>Company1719!MO_BS_CL</vt:lpstr>
      <vt:lpstr>MO_BS_CL</vt:lpstr>
      <vt:lpstr>MO_BS_CommonStock</vt:lpstr>
      <vt:lpstr>MO_BS_ContributedSurplus</vt:lpstr>
      <vt:lpstr>MO_BS_DefRev</vt:lpstr>
      <vt:lpstr>MO_BS_FL_NonCurrent</vt:lpstr>
      <vt:lpstr>Company1719!MO_BS_Goodwill</vt:lpstr>
      <vt:lpstr>MO_BS_Goodwill</vt:lpstr>
      <vt:lpstr>Company1719!MO_BS_Intangibles</vt:lpstr>
      <vt:lpstr>MO_BS_Intangibles</vt:lpstr>
      <vt:lpstr>Company1719!MO_BS_INV</vt:lpstr>
      <vt:lpstr>MO_BS_INV</vt:lpstr>
      <vt:lpstr>MO_BS_INV_FG</vt:lpstr>
      <vt:lpstr>MO_BS_INV_RM</vt:lpstr>
      <vt:lpstr>MO_BS_INV_WIP</vt:lpstr>
      <vt:lpstr>MO_BS_LTInvestments</vt:lpstr>
      <vt:lpstr>Company1719!MO_BS_NCA</vt:lpstr>
      <vt:lpstr>MO_BS_NCA</vt:lpstr>
      <vt:lpstr>Company1719!MO_BS_NCI</vt:lpstr>
      <vt:lpstr>MO_BS_NCI</vt:lpstr>
      <vt:lpstr>Company1719!MO_BS_NCL</vt:lpstr>
      <vt:lpstr>MO_BS_NCL</vt:lpstr>
      <vt:lpstr>MO_BS_OCI</vt:lpstr>
      <vt:lpstr>MO_BS_OL_Current</vt:lpstr>
      <vt:lpstr>MO_BS_OL_NonCurrent</vt:lpstr>
      <vt:lpstr>Company1719!MO_BS_PPE</vt:lpstr>
      <vt:lpstr>MO_BS_PPE</vt:lpstr>
      <vt:lpstr>MO_BS_PreferredStock</vt:lpstr>
      <vt:lpstr>MO_BS_PrepaidExpensesAndOther</vt:lpstr>
      <vt:lpstr>MO_BS_RetainedEarnings</vt:lpstr>
      <vt:lpstr>MO_BS_ROU</vt:lpstr>
      <vt:lpstr>Company1719!MO_BS_SE</vt:lpstr>
      <vt:lpstr>MO_BS_SE</vt:lpstr>
      <vt:lpstr>MO_BS_STInvestments</vt:lpstr>
      <vt:lpstr>Company1719!MO_BS_TA</vt:lpstr>
      <vt:lpstr>MO_BS_TA</vt:lpstr>
      <vt:lpstr>MO_BS_TaxAssets_Deferred_Current</vt:lpstr>
      <vt:lpstr>MO_BS_TaxAssets_Deferred_NonCurrent</vt:lpstr>
      <vt:lpstr>Company1719!MO_BS_TL</vt:lpstr>
      <vt:lpstr>MO_BS_TL</vt:lpstr>
      <vt:lpstr>Company1719!MO_BS_TLSE</vt:lpstr>
      <vt:lpstr>MO_BS_TLSE</vt:lpstr>
      <vt:lpstr>MO_BS_TreasuryStock</vt:lpstr>
      <vt:lpstr>Company1719!MO_BSS_Cash</vt:lpstr>
      <vt:lpstr>MO_BSS_Cash</vt:lpstr>
      <vt:lpstr>Company1719!MO_BSS_Debt</vt:lpstr>
      <vt:lpstr>MO_BSS_Debt</vt:lpstr>
      <vt:lpstr>MO_BSS_Debt_LT</vt:lpstr>
      <vt:lpstr>Company1719!MO_BSS_Debt_Net</vt:lpstr>
      <vt:lpstr>MO_BSS_Debt_Net</vt:lpstr>
      <vt:lpstr>MO_BSS_Debt_ST</vt:lpstr>
      <vt:lpstr>Company1719!MO_BSS_Debt_ToCF</vt:lpstr>
      <vt:lpstr>MO_BSS_Debt_ToCF</vt:lpstr>
      <vt:lpstr>Company1719!MO_BSS_Debt_ToEBITDA</vt:lpstr>
      <vt:lpstr>MO_BSS_Debt_ToEBITDA</vt:lpstr>
      <vt:lpstr>MO_BSS_IE</vt:lpstr>
      <vt:lpstr>MO_BSS_IE_Net</vt:lpstr>
      <vt:lpstr>MO_BSS_II</vt:lpstr>
      <vt:lpstr>MO_BSS_InterestRate_Cash</vt:lpstr>
      <vt:lpstr>MO_BSS_InterestRate_Debt</vt:lpstr>
      <vt:lpstr>MO_BSS_NetInterestCoverage</vt:lpstr>
      <vt:lpstr>MO_BSS_NetInterestRate_Debt</vt:lpstr>
      <vt:lpstr>MO_BSS_OL</vt:lpstr>
      <vt:lpstr>Company1719!MO_CCFS_Balance_Begin</vt:lpstr>
      <vt:lpstr>MO_CCFS_Balance_Begin</vt:lpstr>
      <vt:lpstr>Company1719!MO_CCFS_Balance_End</vt:lpstr>
      <vt:lpstr>MO_CCFS_Balance_End</vt:lpstr>
      <vt:lpstr>Company1719!MO_CCFS_CFF</vt:lpstr>
      <vt:lpstr>MO_CCFS_CFF</vt:lpstr>
      <vt:lpstr>Company1719!MO_CCFS_CFI</vt:lpstr>
      <vt:lpstr>MO_CCFS_CFI</vt:lpstr>
      <vt:lpstr>Company1719!MO_CCFS_CFO</vt:lpstr>
      <vt:lpstr>MO_CCFS_CFO</vt:lpstr>
      <vt:lpstr>Company1719!MO_CCFS_CFO_BeforeWC</vt:lpstr>
      <vt:lpstr>MO_CCFS_CFO_BeforeWC</vt:lpstr>
      <vt:lpstr>Company1719!MO_CCFS_FX</vt:lpstr>
      <vt:lpstr>MO_CCFS_FX</vt:lpstr>
      <vt:lpstr>Company1719!MO_CCFS_NetChange</vt:lpstr>
      <vt:lpstr>MO_CCFS_NetChange</vt:lpstr>
      <vt:lpstr>MO_CCFS_Sup_CashInterest</vt:lpstr>
      <vt:lpstr>MO_CCFS_Sup_CashTax</vt:lpstr>
      <vt:lpstr>Company1719!MO_CFS_Balance_Begin</vt:lpstr>
      <vt:lpstr>MO_CFS_Balance_Begin</vt:lpstr>
      <vt:lpstr>Company1719!MO_CFS_Balance_End</vt:lpstr>
      <vt:lpstr>MO_CFS_Balance_End</vt:lpstr>
      <vt:lpstr>MO_CFS_Buyback</vt:lpstr>
      <vt:lpstr>MO_CFS_Buyback_1</vt:lpstr>
      <vt:lpstr>MO_CFS_Capex</vt:lpstr>
      <vt:lpstr>Company1719!MO_CFS_CFF</vt:lpstr>
      <vt:lpstr>MO_CFS_CFF</vt:lpstr>
      <vt:lpstr>Company1719!MO_CFS_CFI</vt:lpstr>
      <vt:lpstr>MO_CFS_CFI</vt:lpstr>
      <vt:lpstr>Company1719!MO_CFS_CFO</vt:lpstr>
      <vt:lpstr>MO_CFS_CFO</vt:lpstr>
      <vt:lpstr>Company1719!MO_CFS_CFO_BeforeWC</vt:lpstr>
      <vt:lpstr>MO_CFS_CFO_BeforeWC</vt:lpstr>
      <vt:lpstr>MO_CFS_DA</vt:lpstr>
      <vt:lpstr>MO_CFS_DeferredTax</vt:lpstr>
      <vt:lpstr>MO_CFS_Dividend</vt:lpstr>
      <vt:lpstr>Company1719!MO_CFS_FX</vt:lpstr>
      <vt:lpstr>MO_CFS_FX</vt:lpstr>
      <vt:lpstr>MO_CFS_Impairment</vt:lpstr>
      <vt:lpstr>Company1719!MO_CFS_NetChange</vt:lpstr>
      <vt:lpstr>MO_CFS_NetChange</vt:lpstr>
      <vt:lpstr>MO_CFS_NewEquityIssued</vt:lpstr>
      <vt:lpstr>MO_CFS_NI</vt:lpstr>
      <vt:lpstr>MO_CFS_SBC</vt:lpstr>
      <vt:lpstr>MO_CFS_Sup_CashInterest</vt:lpstr>
      <vt:lpstr>MO_CFS_Sup_CashTax</vt:lpstr>
      <vt:lpstr>MO_CFS_WC_AEandOther</vt:lpstr>
      <vt:lpstr>MO_CFS_WC_AP</vt:lpstr>
      <vt:lpstr>MO_CFS_WC_AR</vt:lpstr>
      <vt:lpstr>MO_CFS_WC_DefRev</vt:lpstr>
      <vt:lpstr>MO_CFS_WC_INV</vt:lpstr>
      <vt:lpstr>MO_CFS_WC_PrepaidExpensesAndOther</vt:lpstr>
      <vt:lpstr>Company1719!MO_CFSum_Acquisition</vt:lpstr>
      <vt:lpstr>MO_CFSum_Acquisition</vt:lpstr>
      <vt:lpstr>Company1719!MO_CFSum_Capex</vt:lpstr>
      <vt:lpstr>MO_CFSum_Capex</vt:lpstr>
      <vt:lpstr>MO_CFSum_CFO</vt:lpstr>
      <vt:lpstr>Company1719!MO_CFSum_CFO_BeforeWC</vt:lpstr>
      <vt:lpstr>MO_CFSum_CFO_BeforeWC</vt:lpstr>
      <vt:lpstr>MO_CFSum_CFOPS</vt:lpstr>
      <vt:lpstr>MO_CFSum_CFOPS_BeforeWC</vt:lpstr>
      <vt:lpstr>Company1719!MO_CFSum_CFPS</vt:lpstr>
      <vt:lpstr>MO_CFSum_CFPS</vt:lpstr>
      <vt:lpstr>MO_CFSum_ChangeInWC</vt:lpstr>
      <vt:lpstr>Company1719!MO_CFSum_Divestiture</vt:lpstr>
      <vt:lpstr>MO_CFSum_Divestiture</vt:lpstr>
      <vt:lpstr>Company1719!MO_CFSum_Dividend</vt:lpstr>
      <vt:lpstr>MO_CFSum_Dividend</vt:lpstr>
      <vt:lpstr>Company1719!MO_CFSum_DPS</vt:lpstr>
      <vt:lpstr>MO_CFSum_DPS</vt:lpstr>
      <vt:lpstr>Company1719!MO_CFSum_FCF_PostDivPostAD</vt:lpstr>
      <vt:lpstr>MO_CFSum_FCF_PostDivPostAD</vt:lpstr>
      <vt:lpstr>MO_CFSum_FCF_PostDivPostADPostDebtPostBuyback</vt:lpstr>
      <vt:lpstr>Company1719!MO_CFSum_FCF_PostDivPreAD</vt:lpstr>
      <vt:lpstr>MO_CFSum_FCF_PostDivPreAD</vt:lpstr>
      <vt:lpstr>MO_CFSum_FCF_PostWCPostDivPostAD</vt:lpstr>
      <vt:lpstr>MO_CFSum_FCF_PostWCPostDivPostADPostDebtPostBuyback</vt:lpstr>
      <vt:lpstr>MO_CFSum_FCF_PostWCPostDivPreAD</vt:lpstr>
      <vt:lpstr>MO_CFSum_FCF_PostWCPreDiv</vt:lpstr>
      <vt:lpstr>Company1719!MO_CFSum_FCF_PreDiv</vt:lpstr>
      <vt:lpstr>MO_CFSum_FCF_PreDiv</vt:lpstr>
      <vt:lpstr>MO_CFSum_NetDebtIssuance</vt:lpstr>
      <vt:lpstr>MO_CFSum_NetShares</vt:lpstr>
      <vt:lpstr>MO_CFSum_NetShares_Price</vt:lpstr>
      <vt:lpstr>MO_CFSum_SBC</vt:lpstr>
      <vt:lpstr>MO_CFSum_SBC_Margin</vt:lpstr>
      <vt:lpstr>Company1719!MO_Checks_Bottom</vt:lpstr>
      <vt:lpstr>MO_Checks_Bottom</vt:lpstr>
      <vt:lpstr>Company1719!MO_Checks_BS</vt:lpstr>
      <vt:lpstr>MO_Checks_BS</vt:lpstr>
      <vt:lpstr>Company1719!MO_Checks_CF</vt:lpstr>
      <vt:lpstr>MO_Checks_CF</vt:lpstr>
      <vt:lpstr>Company1719!MO_Checks_IS</vt:lpstr>
      <vt:lpstr>MO_Checks_IS</vt:lpstr>
      <vt:lpstr>Company1719!MO_Common_Column_A</vt:lpstr>
      <vt:lpstr>MO_Common_Column_A</vt:lpstr>
      <vt:lpstr>Company1719!MO_Common_Column_B</vt:lpstr>
      <vt:lpstr>MO_Common_Column_B</vt:lpstr>
      <vt:lpstr>Company1719!MO_Common_ColumnHeader</vt:lpstr>
      <vt:lpstr>MO_Common_ColumnHeader</vt:lpstr>
      <vt:lpstr>Company1719!MO_Common_CompanySubtitle</vt:lpstr>
      <vt:lpstr>MO_Common_CompanySubtitle</vt:lpstr>
      <vt:lpstr>Company1719!MO_Common_CompanyTitle</vt:lpstr>
      <vt:lpstr>MO_Common_CompanyTitle</vt:lpstr>
      <vt:lpstr>Company1719!MO_Common_FPDays</vt:lpstr>
      <vt:lpstr>MO_Common_FPDays</vt:lpstr>
      <vt:lpstr>Company1719!MO_Common_QEndDate</vt:lpstr>
      <vt:lpstr>MO_Common_QEndDate</vt:lpstr>
      <vt:lpstr>MO_Common_QEndDate_LWD</vt:lpstr>
      <vt:lpstr>MO_DAF_A</vt:lpstr>
      <vt:lpstr>MO_DAF_A_Percentage</vt:lpstr>
      <vt:lpstr>MO_DAF_Acquisition</vt:lpstr>
      <vt:lpstr>MO_DAF_Capex</vt:lpstr>
      <vt:lpstr>MO_DAF_D</vt:lpstr>
      <vt:lpstr>MO_DAF_D_Percentage</vt:lpstr>
      <vt:lpstr>MO_DAF_DA</vt:lpstr>
      <vt:lpstr>MO_DAF_Intangibles_Acquisition_Percent</vt:lpstr>
      <vt:lpstr>MO_DAF_Intangibles_BoP</vt:lpstr>
      <vt:lpstr>MO_DAF_Intangibles_Capex</vt:lpstr>
      <vt:lpstr>MO_DAF_Intangibles_Capex_Percent</vt:lpstr>
      <vt:lpstr>MO_DAF_Intangibles_EoP</vt:lpstr>
      <vt:lpstr>MO_DAF_Intangibles_Life</vt:lpstr>
      <vt:lpstr>MO_DAF_Intangibles_Other</vt:lpstr>
      <vt:lpstr>MO_DAF_PPE_BoP</vt:lpstr>
      <vt:lpstr>MO_DAF_PPE_Capex</vt:lpstr>
      <vt:lpstr>MO_DAF_PPE_EoP</vt:lpstr>
      <vt:lpstr>MO_DAF_PPE_Life</vt:lpstr>
      <vt:lpstr>MO_DAF_PPE_Other</vt:lpstr>
      <vt:lpstr>MO_GA_REV_SEMI</vt:lpstr>
      <vt:lpstr>MO_GA_REV_SEMI_Auto</vt:lpstr>
      <vt:lpstr>MO_GA_REV_SEMI_Comp</vt:lpstr>
      <vt:lpstr>MO_GA_REV_SEMI_Cons</vt:lpstr>
      <vt:lpstr>MO_GA_REV_SEMI_Data</vt:lpstr>
      <vt:lpstr>Company1719!MO_GA_TotalRevenue</vt:lpstr>
      <vt:lpstr>MO_GA_TotalRevenue</vt:lpstr>
      <vt:lpstr>MO_GuidanceAnalysis_NonGaapGrossProfit_FY</vt:lpstr>
      <vt:lpstr>MO_GuidanceAnalysis_NonGaapGrossProfit_MostRecentMidpoint</vt:lpstr>
      <vt:lpstr>MO_GuidanceAnalysis_NonGaapGrossProfit_Q</vt:lpstr>
      <vt:lpstr>MO_GuidanceAnalysis_NonGaapGrossProfitMargin_MostRecentMidpoint</vt:lpstr>
      <vt:lpstr>MO_GuidanceAnalysis_Revenue_FY</vt:lpstr>
      <vt:lpstr>MO_GuidanceAnalysis_Revenue_MostRecentMidpoint</vt:lpstr>
      <vt:lpstr>MO_GuidanceAnalysis_Revenue_Q</vt:lpstr>
      <vt:lpstr>MO_IS_COGS</vt:lpstr>
      <vt:lpstr>MO_IS_EBIT</vt:lpstr>
      <vt:lpstr>MO_IS_EBT</vt:lpstr>
      <vt:lpstr>Company1719!MO_IS_FirstRow</vt:lpstr>
      <vt:lpstr>MO_IS_FirstRow</vt:lpstr>
      <vt:lpstr>MO_IS_GP</vt:lpstr>
      <vt:lpstr>MO_IS_IE</vt:lpstr>
      <vt:lpstr>MO_IS_II</vt:lpstr>
      <vt:lpstr>MO_IS_NI_ContinOp</vt:lpstr>
      <vt:lpstr>MO_IS_OPEX</vt:lpstr>
      <vt:lpstr>MO_IS_RD</vt:lpstr>
      <vt:lpstr>MO_IS_Restructuring</vt:lpstr>
      <vt:lpstr>MO_IS_REV</vt:lpstr>
      <vt:lpstr>MO_IS_SGA</vt:lpstr>
      <vt:lpstr>MO_IS_Tax</vt:lpstr>
      <vt:lpstr>MO_KPI_EmployeeCount</vt:lpstr>
      <vt:lpstr>MO_KPI_EmployeeCount_RD</vt:lpstr>
      <vt:lpstr>MO_KPI_REV_ADAS</vt:lpstr>
      <vt:lpstr>MO_KPI_REV_Geo_China</vt:lpstr>
      <vt:lpstr>MO_KPI_REV_Geo_Taiwan</vt:lpstr>
      <vt:lpstr>MO_KPI_REV_Geo_US</vt:lpstr>
      <vt:lpstr>MO_KPI_REV_SEMI</vt:lpstr>
      <vt:lpstr>MO_KPI_REV_SEMI_Auto</vt:lpstr>
      <vt:lpstr>MO_KPI_REV_SEMI_Auto_Growth</vt:lpstr>
      <vt:lpstr>MO_KPI_REV_SEMI_Comp</vt:lpstr>
      <vt:lpstr>MO_KPI_REV_SEMI_Comp_Growth</vt:lpstr>
      <vt:lpstr>MO_KPI_REV_SEMI_Cons</vt:lpstr>
      <vt:lpstr>MO_KPI_REV_SEMI_Cons_Growth</vt:lpstr>
      <vt:lpstr>MO_KPI_REV_SEMI_Data</vt:lpstr>
      <vt:lpstr>MO_KPI_REV_SEMI_Data_Growth</vt:lpstr>
      <vt:lpstr>MO_KPI_REV_SEMI_Growth</vt:lpstr>
      <vt:lpstr>MO_KPI_RevenueContribution_LargestClient</vt:lpstr>
      <vt:lpstr>MO_KPI_RevenueContribution_SecondLargestClient</vt:lpstr>
      <vt:lpstr>MO_KPI_RPO</vt:lpstr>
      <vt:lpstr>MO_KPI_RPO_Current</vt:lpstr>
      <vt:lpstr>MO_KPI_RPO_NonCurrent</vt:lpstr>
      <vt:lpstr>Company1719!MO_MA_COGS</vt:lpstr>
      <vt:lpstr>MO_MA_COGS</vt:lpstr>
      <vt:lpstr>Company1719!MO_MA_COGS_NONGAAP</vt:lpstr>
      <vt:lpstr>MO_MA_COGS_NONGAAP</vt:lpstr>
      <vt:lpstr>MO_MA_EBIT</vt:lpstr>
      <vt:lpstr>MO_MA_EBITDA_Adj</vt:lpstr>
      <vt:lpstr>Company1719!MO_MA_GA</vt:lpstr>
      <vt:lpstr>Company1719!MO_MA_GA_NONGAAP</vt:lpstr>
      <vt:lpstr>Company1719!MO_MA_GM</vt:lpstr>
      <vt:lpstr>MO_MA_GM</vt:lpstr>
      <vt:lpstr>Company1719!MO_MA_GM_NONGAAP</vt:lpstr>
      <vt:lpstr>MO_MA_GM_NONGAAP</vt:lpstr>
      <vt:lpstr>Company1719!MO_MA_OperatingIncome</vt:lpstr>
      <vt:lpstr>MO_MA_OperatingIncome</vt:lpstr>
      <vt:lpstr>Company1719!MO_MA_OperatingIncome_NONGAAP</vt:lpstr>
      <vt:lpstr>MO_MA_OperatingIncome_NONGAAP</vt:lpstr>
      <vt:lpstr>MO_MA_OPEX</vt:lpstr>
      <vt:lpstr>MO_MA_OPEX_NONGAAP</vt:lpstr>
      <vt:lpstr>Company1719!MO_MA_RD</vt:lpstr>
      <vt:lpstr>MO_MA_RD</vt:lpstr>
      <vt:lpstr>Company1719!MO_MA_RD_NONGAAP</vt:lpstr>
      <vt:lpstr>MO_MA_RD_NONGAAP</vt:lpstr>
      <vt:lpstr>MO_MA_Reported_OperatingIncome_NONGAAP</vt:lpstr>
      <vt:lpstr>MO_MA_RIS_EBIT_NONGAAP</vt:lpstr>
      <vt:lpstr>MO_MA_SGA</vt:lpstr>
      <vt:lpstr>MO_MA_SGA_NONGAAP</vt:lpstr>
      <vt:lpstr>Company1719!MO_MA_SM</vt:lpstr>
      <vt:lpstr>Company1719!MO_MA_SM_NONGAAP</vt:lpstr>
      <vt:lpstr>MO_OS_EmployeeCount</vt:lpstr>
      <vt:lpstr>MO_OS_EmployeeCount_RD</vt:lpstr>
      <vt:lpstr>MO_OS_OPEX</vt:lpstr>
      <vt:lpstr>MO_OS_REV_ADAS</vt:lpstr>
      <vt:lpstr>MO_OS_REV_SEMI</vt:lpstr>
      <vt:lpstr>MO_OS_RevenueContribution_LargestClient</vt:lpstr>
      <vt:lpstr>MO_OS_RevenueContribution_SecondLargestClient</vt:lpstr>
      <vt:lpstr>MO_OS_RPO</vt:lpstr>
      <vt:lpstr>MO_OS_RPO_Current</vt:lpstr>
      <vt:lpstr>MO_OS_RPO_NonCurrent</vt:lpstr>
      <vt:lpstr>MO_RIS_Acquisition_COGS</vt:lpstr>
      <vt:lpstr>MO_RIS_Acquisition_RD</vt:lpstr>
      <vt:lpstr>MO_RIS_Acquisition_SGA</vt:lpstr>
      <vt:lpstr>Company1719!MO_RIS_AcquisitionCharges_COGS</vt:lpstr>
      <vt:lpstr>MO_RIS_Adjustments_Dilution_GAAP</vt:lpstr>
      <vt:lpstr>MO_RIS_Adjustments_NONGAAP_Other</vt:lpstr>
      <vt:lpstr>Company1719!MO_RIS_COGS</vt:lpstr>
      <vt:lpstr>MO_RIS_COGS</vt:lpstr>
      <vt:lpstr>Company1719!MO_RIS_COGS_Adjustments</vt:lpstr>
      <vt:lpstr>MO_RIS_COGS_Adjustments</vt:lpstr>
      <vt:lpstr>Company1719!MO_RIS_DA</vt:lpstr>
      <vt:lpstr>MO_RIS_DA</vt:lpstr>
      <vt:lpstr>Company1719!MO_RIS_DAintangibles</vt:lpstr>
      <vt:lpstr>MO_RIS_DAintangibles</vt:lpstr>
      <vt:lpstr>Company1719!MO_RIS_DAintangibles_COGS</vt:lpstr>
      <vt:lpstr>MO_RIS_DeferredTax_To_TotalNonGAAPTax</vt:lpstr>
      <vt:lpstr>MO_RIS_EBIT_NONGAAP</vt:lpstr>
      <vt:lpstr>Company1719!MO_RIS_EBITDA_Adj</vt:lpstr>
      <vt:lpstr>MO_RIS_EBITDA_Adj</vt:lpstr>
      <vt:lpstr>MO_RIS_EBITDA_NONGAAP</vt:lpstr>
      <vt:lpstr>MO_RIS_EBT_NONGAAP</vt:lpstr>
      <vt:lpstr>Company1719!MO_RIS_EPS_Company2917</vt:lpstr>
      <vt:lpstr>MO_RIS_EPS_Company2917</vt:lpstr>
      <vt:lpstr>Company1719!MO_RIS_EPS_WAD</vt:lpstr>
      <vt:lpstr>MO_RIS_EPS_WAD</vt:lpstr>
      <vt:lpstr>Company1719!MO_RIS_EPS_WAD_Adj</vt:lpstr>
      <vt:lpstr>MO_RIS_EPS_WAD_Adj</vt:lpstr>
      <vt:lpstr>Company1719!MO_RIS_GA</vt:lpstr>
      <vt:lpstr>Company1719!MO_RIS_GA_NONGAAP</vt:lpstr>
      <vt:lpstr>Company1719!MO_RIS_GAAP_Adjustments</vt:lpstr>
      <vt:lpstr>MO_RIS_GAAP_Adjustments</vt:lpstr>
      <vt:lpstr>Company1719!MO_RIS_GP_NONGAAP</vt:lpstr>
      <vt:lpstr>MO_RIS_GP_NONGAAP</vt:lpstr>
      <vt:lpstr>MO_RIS_IE</vt:lpstr>
      <vt:lpstr>MO_RIS_IE_Adjustments</vt:lpstr>
      <vt:lpstr>MO_RIS_IE_Net</vt:lpstr>
      <vt:lpstr>MO_RIS_IE_Net_NONGAAP</vt:lpstr>
      <vt:lpstr>Company1719!MO_RIS_IE_NONGAAP</vt:lpstr>
      <vt:lpstr>MO_RIS_IE_NONGAAP_Adjustments</vt:lpstr>
      <vt:lpstr>MO_RIS_II</vt:lpstr>
      <vt:lpstr>Company1719!MO_RIS_NI_GAAP_Basic</vt:lpstr>
      <vt:lpstr>MO_RIS_NI_GAAP_Basic</vt:lpstr>
      <vt:lpstr>Company1719!MO_RIS_NI_GAAP_Diluted</vt:lpstr>
      <vt:lpstr>MO_RIS_NI_GAAP_Diluted</vt:lpstr>
      <vt:lpstr>Company1719!MO_RIS_NI_NONGAAP_Diluted</vt:lpstr>
      <vt:lpstr>MO_RIS_NI_NONGAAP_Diluted</vt:lpstr>
      <vt:lpstr>MO_RIS_OI</vt:lpstr>
      <vt:lpstr>Company1719!MO_RIS_OI_NONGAAP</vt:lpstr>
      <vt:lpstr>MO_RIS_OI_NONGAAP</vt:lpstr>
      <vt:lpstr>MO_RIS_OI_NONGAAP_Adjustments</vt:lpstr>
      <vt:lpstr>MO_RIS_OO_Adjustments</vt:lpstr>
      <vt:lpstr>MO_RIS_OPEX</vt:lpstr>
      <vt:lpstr>MO_RIS_OPEX_Adjustments</vt:lpstr>
      <vt:lpstr>MO_RIS_OPEX_NONGAAP</vt:lpstr>
      <vt:lpstr>Company1719!MO_RIS_OtherOperating_NONGAAP</vt:lpstr>
      <vt:lpstr>MO_RIS_OtherOperating_NONGAAP</vt:lpstr>
      <vt:lpstr>Company1719!MO_RIS_RD</vt:lpstr>
      <vt:lpstr>MO_RIS_RD</vt:lpstr>
      <vt:lpstr>MO_RIS_RD_Adjustments</vt:lpstr>
      <vt:lpstr>Company1719!MO_RIS_RD_NONGAAP</vt:lpstr>
      <vt:lpstr>MO_RIS_RD_NONGAAP</vt:lpstr>
      <vt:lpstr>Company1719!MO_RIS_Reported_OperatingIncome_NONGAAP</vt:lpstr>
      <vt:lpstr>MO_RIS_Reported_OperatingIncome_NONGAAP</vt:lpstr>
      <vt:lpstr>Company1719!MO_RIS_REV</vt:lpstr>
      <vt:lpstr>MO_RIS_REV</vt:lpstr>
      <vt:lpstr>Company1719!MO_RIS_SBC</vt:lpstr>
      <vt:lpstr>MO_RIS_SBC</vt:lpstr>
      <vt:lpstr>Company1719!MO_RIS_SBC_COGS</vt:lpstr>
      <vt:lpstr>MO_RIS_SBC_COGS</vt:lpstr>
      <vt:lpstr>MO_RIS_SBC_RD</vt:lpstr>
      <vt:lpstr>MO_RIS_SBC_SGA</vt:lpstr>
      <vt:lpstr>MO_RIS_SGA</vt:lpstr>
      <vt:lpstr>MO_RIS_SGA_Adjustments</vt:lpstr>
      <vt:lpstr>MO_RIS_SGA_NONGAAP</vt:lpstr>
      <vt:lpstr>Company1719!MO_RIS_ShareCount_Company2917</vt:lpstr>
      <vt:lpstr>MO_RIS_ShareCount_Company2917</vt:lpstr>
      <vt:lpstr>Company1719!MO_RIS_ShareCount_WAD</vt:lpstr>
      <vt:lpstr>MO_RIS_ShareCount_WAD</vt:lpstr>
      <vt:lpstr>Company1719!MO_RIS_ShareCount_WAD_Adj</vt:lpstr>
      <vt:lpstr>MO_RIS_ShareCount_WAD_Adj</vt:lpstr>
      <vt:lpstr>Company1719!MO_RIS_SM</vt:lpstr>
      <vt:lpstr>Company1719!MO_RIS_SM_NONGAAP</vt:lpstr>
      <vt:lpstr>MO_RIS_Tax</vt:lpstr>
      <vt:lpstr>Company1719!MO_RIS_Tax_NONGAAP</vt:lpstr>
      <vt:lpstr>MO_RIS_Tax_NONGAAP</vt:lpstr>
      <vt:lpstr>MO_RIS_Tax_NONGAAP_Adjustments</vt:lpstr>
      <vt:lpstr>MO_RIS_TaxImpact_Adjustments</vt:lpstr>
      <vt:lpstr>MO_RIS_TaxRate</vt:lpstr>
      <vt:lpstr>Company1719!MO_RIS_TaxRate_NONGAAP</vt:lpstr>
      <vt:lpstr>MO_RIS_TaxRate_NONGAAP</vt:lpstr>
      <vt:lpstr>MO_RIS_TaxRate_OnAdjustments</vt:lpstr>
      <vt:lpstr>MO_SCA_Date_CoverPage</vt:lpstr>
      <vt:lpstr>MO_SCA_Date_LastWorkingDay</vt:lpstr>
      <vt:lpstr>MO_SCA_ESPPObligations_EoP</vt:lpstr>
      <vt:lpstr>MO_SCA_Ratio_DilutedOverBasic</vt:lpstr>
      <vt:lpstr>MO_SCA_Repurchase_DollarValue</vt:lpstr>
      <vt:lpstr>MO_SCA_Repurchase_Program_Addition</vt:lpstr>
      <vt:lpstr>MO_SCA_Repurchase_Program_Remaining</vt:lpstr>
      <vt:lpstr>MO_SCA_Repurchase_Reported_Price</vt:lpstr>
      <vt:lpstr>MO_SCA_Repurchase_Reported_Shares_Total</vt:lpstr>
      <vt:lpstr>MO_SCA_ShareCount_CoverPage</vt:lpstr>
      <vt:lpstr>MO_SCA_ShareCount_CoverPage_Class1</vt:lpstr>
      <vt:lpstr>MO_SCA_ShareCount_CoverPage_Dilutive</vt:lpstr>
      <vt:lpstr>MO_SCA_ShareCount_CoverPage_Ticker1</vt:lpstr>
      <vt:lpstr>MO_SCA_ShareCount_DilutiveShares</vt:lpstr>
      <vt:lpstr>MO_SCA_ShareCount_EoP</vt:lpstr>
      <vt:lpstr>MO_SCA_ShareCount_EoP_Class1</vt:lpstr>
      <vt:lpstr>MO_SCA_ShareCount_EoP_Diluted</vt:lpstr>
      <vt:lpstr>MO_SCA_ShareCount_EoP_Growth_Dilutive_QoQ</vt:lpstr>
      <vt:lpstr>MO_SCA_ShareCount_EoP_Growth_Dilutive_YoY</vt:lpstr>
      <vt:lpstr>MO_SCA_ShareCount_EoP_Growth_NetIssuance_QoQ</vt:lpstr>
      <vt:lpstr>MO_SCA_ShareCount_EoP_Growth_NetIssuance_YoY</vt:lpstr>
      <vt:lpstr>MO_SCA_ShareCount_EoP_Growth_QoQ</vt:lpstr>
      <vt:lpstr>MO_SCA_ShareCount_EoP_Growth_YoY</vt:lpstr>
      <vt:lpstr>MO_SCA_ShareCount_EoP_Ticker1</vt:lpstr>
      <vt:lpstr>MO_SCA_ShareCount_FullyDiluted</vt:lpstr>
      <vt:lpstr>MO_SCA_ShareCount_PotentialDilution</vt:lpstr>
      <vt:lpstr>MO_SCA_StockOptions_BoP</vt:lpstr>
      <vt:lpstr>MO_SCA_StockOptions_Canceled</vt:lpstr>
      <vt:lpstr>MO_SCA_StockOptions_Cumulative_BoP</vt:lpstr>
      <vt:lpstr>MO_SCA_StockOptions_Cumulative_Canceled</vt:lpstr>
      <vt:lpstr>MO_SCA_StockOptions_Cumulative_EoP</vt:lpstr>
      <vt:lpstr>MO_SCA_StockOptions_Cumulative_Exercised</vt:lpstr>
      <vt:lpstr>MO_SCA_StockOptions_Cumulative_Granted</vt:lpstr>
      <vt:lpstr>MO_SCA_StockOptions_Dilution</vt:lpstr>
      <vt:lpstr>MO_SCA_StockOptions_EoP</vt:lpstr>
      <vt:lpstr>MO_SCA_StockOptions_Exercisable</vt:lpstr>
      <vt:lpstr>MO_SCA_StockOptions_Exercised</vt:lpstr>
      <vt:lpstr>MO_SCA_StockOptions_Granted</vt:lpstr>
      <vt:lpstr>MO_SCA_StockOptions_Price_BoP</vt:lpstr>
      <vt:lpstr>MO_SCA_StockOptions_Price_Canceled</vt:lpstr>
      <vt:lpstr>MO_SCA_StockOptions_Price_Cumulative_BoP</vt:lpstr>
      <vt:lpstr>MO_SCA_StockOptions_Price_Cumulative_Canceled</vt:lpstr>
      <vt:lpstr>MO_SCA_StockOptions_Price_Cumulative_EoP</vt:lpstr>
      <vt:lpstr>MO_SCA_StockOptions_Price_Cumulative_Exercised</vt:lpstr>
      <vt:lpstr>MO_SCA_StockOptions_Price_Cumulative_Granted</vt:lpstr>
      <vt:lpstr>MO_SCA_StockOptions_Price_EoP</vt:lpstr>
      <vt:lpstr>MO_SCA_StockOptions_Price_Exercisable</vt:lpstr>
      <vt:lpstr>MO_SCA_StockOptions_Price_Exercised</vt:lpstr>
      <vt:lpstr>MO_SCA_StockOptions_Price_Granted</vt:lpstr>
      <vt:lpstr>MO_SCA_StockPrice_EoP</vt:lpstr>
      <vt:lpstr>MO_SCA_UnvestedRSU_EoP</vt:lpstr>
      <vt:lpstr>MO_SCA_UnvestedRSU_Price_EoP</vt:lpstr>
      <vt:lpstr>Company1719!MO_Section_AdjustedNumbers</vt:lpstr>
      <vt:lpstr>MO_Section_AdjustedNumbers</vt:lpstr>
      <vt:lpstr>Company1719!MO_Section_BalanceSheet</vt:lpstr>
      <vt:lpstr>MO_Section_BalanceSheet</vt:lpstr>
      <vt:lpstr>Company1719!MO_Section_BalanceSheetSummary</vt:lpstr>
      <vt:lpstr>MO_Section_BalanceSheetSummary</vt:lpstr>
      <vt:lpstr>MO_Section_BoardDiversity</vt:lpstr>
      <vt:lpstr>MO_Section_Source</vt:lpstr>
      <vt:lpstr>MO_Section_CapexGuidanceAnalysis</vt:lpstr>
      <vt:lpstr>Company1719!MO_Section_CashFlowStatement</vt:lpstr>
      <vt:lpstr>MO_Section_CashFlowStatement</vt:lpstr>
      <vt:lpstr>Company1719!MO_Section_CashFlowSummary</vt:lpstr>
      <vt:lpstr>MO_Section_CashFlowSummary</vt:lpstr>
      <vt:lpstr>MO_Section_CompanyFinancialGoals</vt:lpstr>
      <vt:lpstr>Company1719!MO_Section_Copyright</vt:lpstr>
      <vt:lpstr>Company1719!MO_Section_CumulativeCashFlowStatement</vt:lpstr>
      <vt:lpstr>MO_Section_CumulativeCashFlowStatement</vt:lpstr>
      <vt:lpstr>MO_Section_DAForecasting</vt:lpstr>
      <vt:lpstr>MO_Section_DirectorCompensation</vt:lpstr>
      <vt:lpstr>MO_Section_ExecutiveCompensation</vt:lpstr>
      <vt:lpstr>Company1719!MO_Section_GrowthAnalysis</vt:lpstr>
      <vt:lpstr>MO_Section_GuidanceAnalysis</vt:lpstr>
      <vt:lpstr>Company1719!MO_Section_IncomeStatement</vt:lpstr>
      <vt:lpstr>MO_Section_IncomeStatement</vt:lpstr>
      <vt:lpstr>MO_Section_KeyMetricsCustomerConcentrationFS</vt:lpstr>
      <vt:lpstr>MO_Section_KeyMetricsDaysSalesOutstandingCFOCommentary</vt:lpstr>
      <vt:lpstr>MO_Section_KeyMetricsDeferredRevenuesandRPOsFS</vt:lpstr>
      <vt:lpstr>MO_Section_KeyMetricsEmployeesFS</vt:lpstr>
      <vt:lpstr>MO_Section_KeyMetricsInventoryProvisionsFS</vt:lpstr>
      <vt:lpstr>MO_Section_KeyMetricsInventoryPurchaseandLongtermSupplyObligationsFS</vt:lpstr>
      <vt:lpstr>Company1719!MO_Section_KeyMetricsMajorCustomerswithRevenues10FS</vt:lpstr>
      <vt:lpstr>MO_Section_KeyMetricsTotalAddressableMarketIP</vt:lpstr>
      <vt:lpstr>Company1719!MO_Section_LastRow</vt:lpstr>
      <vt:lpstr>MO_Section_LastRow</vt:lpstr>
      <vt:lpstr>Company1719!MO_Section_MarginAnalysis</vt:lpstr>
      <vt:lpstr>MO_Section_MarginAnalysis</vt:lpstr>
      <vt:lpstr>Company1719!MO_Section_ModelChecks</vt:lpstr>
      <vt:lpstr>MO_Section_ModelChecks</vt:lpstr>
      <vt:lpstr>MO_Section_NonGaapGrossProfitGuidanceAnalysis</vt:lpstr>
      <vt:lpstr>MO_Section_NonGAAPOperatingExpensesGuidanceAnalysis</vt:lpstr>
      <vt:lpstr>MO_Section_OperatingExpenseForecasting</vt:lpstr>
      <vt:lpstr>MO_Section_OtherAlignmentDataPoints</vt:lpstr>
      <vt:lpstr>MO_Section_RevenueBuildFSPR</vt:lpstr>
      <vt:lpstr>MO_Section_RevenueGuidanceAnalysis</vt:lpstr>
      <vt:lpstr>Company1719!MO_Section_RevisedIncomeStatement</vt:lpstr>
      <vt:lpstr>MO_Section_RevisedIncomeStatement</vt:lpstr>
      <vt:lpstr>MO_Section_SBCDAAcquisitionrelatedCostsBreakdownFS</vt:lpstr>
      <vt:lpstr>MO_Section_SegmentedResultsGeographicBreakdownFS</vt:lpstr>
      <vt:lpstr>MO_Section_SegmentedResultsOperatingIncomeBreakdownFS</vt:lpstr>
      <vt:lpstr>MO_Section_SegmentedResultsRevenueBreakdownFS</vt:lpstr>
      <vt:lpstr>Company1719!MO_Section_SegmentedResultsRevenueBreakdownInterconnectProtocolandDataRateFS</vt:lpstr>
      <vt:lpstr>Company1719!MO_Section_SegmentedResultsRevenueBreakdownProductCategoryFS</vt:lpstr>
      <vt:lpstr>MO_Section_ShareCountAnalysis</vt:lpstr>
      <vt:lpstr>MO_Section_SupplementalData</vt:lpstr>
      <vt:lpstr>Company1719!MO_Section_Tables</vt:lpstr>
      <vt:lpstr>MO_Section_Tables</vt:lpstr>
      <vt:lpstr>Company1719!MO_Section_Valuation</vt:lpstr>
      <vt:lpstr>MO_Section_Valuation</vt:lpstr>
      <vt:lpstr>Company1719!MO_Section_WorkingCapitalForecasting</vt:lpstr>
      <vt:lpstr>MO_Section_WorkingCapitalForecasting</vt:lpstr>
      <vt:lpstr>MO_SNA_ConsensusEstimatePeriodNumber</vt:lpstr>
      <vt:lpstr>MO_SNA_ConsensusEstimatePeriodType</vt:lpstr>
      <vt:lpstr>Company1719!MO_SNA_FPStartDate</vt:lpstr>
      <vt:lpstr>MO_SNA_FPStartDate</vt:lpstr>
      <vt:lpstr>MO_SNA_Guidance_ApplicablePeriod_FY</vt:lpstr>
      <vt:lpstr>MO_SNA_Guidance_ApplicablePeriod_Q</vt:lpstr>
      <vt:lpstr>MO_SNA_Guidance_IsLatest_FY</vt:lpstr>
      <vt:lpstr>MO_SNA_Guidance_ReportDate_FY</vt:lpstr>
      <vt:lpstr>MO_SNA_Guidance_ReportDate_Q</vt:lpstr>
      <vt:lpstr>Company1719!MO_SNA_IsHistoricalPeriod</vt:lpstr>
      <vt:lpstr>MO_SNA_IsHistoricalPeriod</vt:lpstr>
      <vt:lpstr>Company1719!MO_SNA_LastDataRow</vt:lpstr>
      <vt:lpstr>MO_SNA_LastDataRow</vt:lpstr>
      <vt:lpstr>Company1719!MO_SPT_FXAverage</vt:lpstr>
      <vt:lpstr>MO_SPT_FXAverage</vt:lpstr>
      <vt:lpstr>Company1719!MO_SPT_FXAverage_Sources</vt:lpstr>
      <vt:lpstr>MO_SPT_FXAverage_Sources</vt:lpstr>
      <vt:lpstr>MO_SPT_FXAverage_Sources_Bloomberg</vt:lpstr>
      <vt:lpstr>MO_SPT_FXAverage_Sources_CapIQ</vt:lpstr>
      <vt:lpstr>MO_SPT_FXAverage_Sources_FactSet</vt:lpstr>
      <vt:lpstr>MO_SPT_FXAverage_Sources_RealTimeOff</vt:lpstr>
      <vt:lpstr>MO_SPT_FXAverage_Sources_Thomson</vt:lpstr>
      <vt:lpstr>MO_SPT_FXEoP</vt:lpstr>
      <vt:lpstr>Company1719!MO_SPT_StockAverage</vt:lpstr>
      <vt:lpstr>MO_SPT_StockAverage</vt:lpstr>
      <vt:lpstr>Company1719!MO_SPT_StockAverage_Sources</vt:lpstr>
      <vt:lpstr>MO_SPT_StockAverage_Sources</vt:lpstr>
      <vt:lpstr>MO_SPT_StockAverage_Sources_Bloomberg</vt:lpstr>
      <vt:lpstr>MO_SPT_StockAverage_Sources_CapIQ</vt:lpstr>
      <vt:lpstr>MO_SPT_StockAverage_Sources_FactSet</vt:lpstr>
      <vt:lpstr>MO_SPT_StockAverage_Sources_RealTimeOff</vt:lpstr>
      <vt:lpstr>MO_SPT_StockAverage_Sources_Thomson</vt:lpstr>
      <vt:lpstr>MO_SPT_StockEoP</vt:lpstr>
      <vt:lpstr>Company1719!MO_SPT_StockHigh</vt:lpstr>
      <vt:lpstr>MO_SPT_StockHigh</vt:lpstr>
      <vt:lpstr>Company1719!MO_SPT_StockHigh_Sources</vt:lpstr>
      <vt:lpstr>MO_SPT_StockHigh_Sources</vt:lpstr>
      <vt:lpstr>MO_SPT_StockHigh_Sources_Bloomberg</vt:lpstr>
      <vt:lpstr>MO_SPT_StockHigh_Sources_CapIQ</vt:lpstr>
      <vt:lpstr>MO_SPT_StockHigh_Sources_FactSet</vt:lpstr>
      <vt:lpstr>MO_SPT_StockHigh_Sources_RealTimeOff</vt:lpstr>
      <vt:lpstr>MO_SPT_StockHigh_Sources_Thomson</vt:lpstr>
      <vt:lpstr>Company1719!MO_SPT_StockLow</vt:lpstr>
      <vt:lpstr>MO_SPT_StockLow</vt:lpstr>
      <vt:lpstr>Company1719!MO_SPT_StockLow_Sources</vt:lpstr>
      <vt:lpstr>MO_SPT_StockLow_Sources</vt:lpstr>
      <vt:lpstr>MO_SPT_StockLow_Sources_Bloomberg</vt:lpstr>
      <vt:lpstr>MO_SPT_StockLow_Sources_CapIQ</vt:lpstr>
      <vt:lpstr>MO_SPT_StockLow_Sources_FactSet</vt:lpstr>
      <vt:lpstr>MO_SPT_StockLow_Sources_RealTimeOff</vt:lpstr>
      <vt:lpstr>MO_SPT_StockLow_Sources_Thomson</vt:lpstr>
      <vt:lpstr>MO_SR_Geo_China</vt:lpstr>
      <vt:lpstr>MO_SR_Geo_Taiwan</vt:lpstr>
      <vt:lpstr>MO_SR_Geo_US</vt:lpstr>
      <vt:lpstr>MO_SR_SEMI_Auto</vt:lpstr>
      <vt:lpstr>MO_SR_SEMI_Comp</vt:lpstr>
      <vt:lpstr>MO_SR_SEMI_Cons</vt:lpstr>
      <vt:lpstr>MO_SR_SEMI_Data</vt:lpstr>
      <vt:lpstr>Company1719!MO_SubSection_BS_CA</vt:lpstr>
      <vt:lpstr>MO_SubSection_BS_CA</vt:lpstr>
      <vt:lpstr>Company1719!MO_SubSection_BS_CL</vt:lpstr>
      <vt:lpstr>MO_SubSection_BS_CL</vt:lpstr>
      <vt:lpstr>Company1719!MO_SubSection_BS_NCA</vt:lpstr>
      <vt:lpstr>MO_SubSection_BS_NCA</vt:lpstr>
      <vt:lpstr>Company1719!MO_SubSection_BS_NCL</vt:lpstr>
      <vt:lpstr>MO_SubSection_BS_NCL</vt:lpstr>
      <vt:lpstr>Company1719!MO_SubSection_BS_SE</vt:lpstr>
      <vt:lpstr>MO_SubSection_BS_SE</vt:lpstr>
      <vt:lpstr>Company1719!MO_SubSection_CCFS_CFF</vt:lpstr>
      <vt:lpstr>MO_SubSection_CCFS_CFF</vt:lpstr>
      <vt:lpstr>Company1719!MO_SubSection_CCFS_CFI</vt:lpstr>
      <vt:lpstr>MO_SubSection_CCFS_CFI</vt:lpstr>
      <vt:lpstr>Company1719!MO_SubSection_CCFS_CFO</vt:lpstr>
      <vt:lpstr>MO_SubSection_CCFS_CFO</vt:lpstr>
      <vt:lpstr>Company1719!MO_SubSection_CFS_CFF</vt:lpstr>
      <vt:lpstr>MO_SubSection_CFS_CFF</vt:lpstr>
      <vt:lpstr>Company1719!MO_SubSection_CFS_CFI</vt:lpstr>
      <vt:lpstr>MO_SubSection_CFS_CFI</vt:lpstr>
      <vt:lpstr>Company1719!MO_SubSection_CFS_CFO</vt:lpstr>
      <vt:lpstr>MO_SubSection_CFS_CFO</vt:lpstr>
      <vt:lpstr>Company1719!MO_VA_EV</vt:lpstr>
      <vt:lpstr>MO_VA_EV</vt:lpstr>
      <vt:lpstr>Company1719!MO_VA_EV_ToEBITDA</vt:lpstr>
      <vt:lpstr>MO_VA_EV_ToEBITDA</vt:lpstr>
      <vt:lpstr>MO_VA_EV_ToSales</vt:lpstr>
      <vt:lpstr>Company1719!MO_VA_EVCalc_NCI</vt:lpstr>
      <vt:lpstr>MO_VA_EVCalc_NCI</vt:lpstr>
      <vt:lpstr>Company1719!MO_VA_EVCalc_Other</vt:lpstr>
      <vt:lpstr>MO_VA_EVCalc_Other</vt:lpstr>
      <vt:lpstr>Company1719!MO_VA_EVCalc_Prefs</vt:lpstr>
      <vt:lpstr>MO_VA_EVCalc_Prefs</vt:lpstr>
      <vt:lpstr>Company1719!MO_VA_FCFYield_ToEV</vt:lpstr>
      <vt:lpstr>MO_VA_FCFYield_ToEV</vt:lpstr>
      <vt:lpstr>Company1719!MO_VA_FCFYield_ToMktCap</vt:lpstr>
      <vt:lpstr>MO_VA_FCFYield_ToMktCap</vt:lpstr>
      <vt:lpstr>Company1719!MO_VA_FX_Average</vt:lpstr>
      <vt:lpstr>MO_VA_FX_Average</vt:lpstr>
      <vt:lpstr>MO_VA_FX_EoP</vt:lpstr>
      <vt:lpstr>Company1719!MO_VA_MarketCap</vt:lpstr>
      <vt:lpstr>MO_VA_MarketCap</vt:lpstr>
      <vt:lpstr>Company1719!MO_VA_P_ToCF</vt:lpstr>
      <vt:lpstr>MO_VA_P_ToCF</vt:lpstr>
      <vt:lpstr>Company1719!MO_VA_P_ToE</vt:lpstr>
      <vt:lpstr>MO_VA_P_ToE</vt:lpstr>
      <vt:lpstr>Company1719!MO_VA_StockPrice</vt:lpstr>
      <vt:lpstr>MO_VA_StockPrice</vt:lpstr>
      <vt:lpstr>Company1719!MO_VA_StockPrice_Avg</vt:lpstr>
      <vt:lpstr>MO_VA_StockPrice_Avg</vt:lpstr>
      <vt:lpstr>MO_VA_StockPrice_EoP</vt:lpstr>
      <vt:lpstr>Company1719!MO_VA_StockPrice_High</vt:lpstr>
      <vt:lpstr>MO_VA_StockPrice_High</vt:lpstr>
      <vt:lpstr>Company1719!MO_VA_StockPrice_Low</vt:lpstr>
      <vt:lpstr>MO_VA_StockPrice_Low</vt:lpstr>
      <vt:lpstr>Company1719!MO_VA_StockPrice_TradingCurrency</vt:lpstr>
      <vt:lpstr>MO_VA_StockPrice_TradingCurrency</vt:lpstr>
      <vt:lpstr>Company1719!MO_WCF_AP_Margin</vt:lpstr>
      <vt:lpstr>MO_WCF_AP_Margin</vt:lpstr>
      <vt:lpstr>Company1719!MO_WCF_AP_Margin_Change</vt:lpstr>
      <vt:lpstr>MO_WCF_AP_Margin_Change</vt:lpstr>
      <vt:lpstr>Company1719!MO_WCF_AR_Margin</vt:lpstr>
      <vt:lpstr>MO_WCF_AR_Margin</vt:lpstr>
      <vt:lpstr>Company1719!MO_WCF_AR_Margin_Change</vt:lpstr>
      <vt:lpstr>MO_WCF_AR_Margin_Change</vt:lpstr>
      <vt:lpstr>Company1719!MO_WCF_INV_Margin</vt:lpstr>
      <vt:lpstr>MO_WCF_INV_Margin</vt:lpstr>
      <vt:lpstr>Company1719!MO_WCF_INV_Margin_Change</vt:lpstr>
      <vt:lpstr>MO_WCF_INV_Margin_Change</vt:lpstr>
      <vt:lpstr>Model!Print_Area</vt:lpstr>
      <vt:lpstr>'Summary Page'!Print_Area</vt:lpstr>
      <vt:lpstr>Model!Print_Titles</vt:lpstr>
      <vt:lpstr>SP.ReportFX</vt:lpstr>
      <vt:lpstr>SP.ValuationToggle</vt:lpstr>
      <vt:lpstr>SP_BSR_Capital</vt:lpstr>
      <vt:lpstr>SP_BSR_CashFlow</vt:lpstr>
      <vt:lpstr>SP_BSR_CashFlow_LTM</vt:lpstr>
      <vt:lpstr>SP_BSR_CL</vt:lpstr>
      <vt:lpstr>SP_BSR_CL_Avg</vt:lpstr>
      <vt:lpstr>SP_BSR_Debt</vt:lpstr>
      <vt:lpstr>SP_BSR_Debt_Avg</vt:lpstr>
      <vt:lpstr>SP_BSR_EBITDA</vt:lpstr>
      <vt:lpstr>SP_BSR_EBITDA_LTM</vt:lpstr>
      <vt:lpstr>SP_BSR_SE</vt:lpstr>
      <vt:lpstr>SP_BSR_SE_Avg</vt:lpstr>
      <vt:lpstr>SP_BSR_TA</vt:lpstr>
      <vt:lpstr>SP_BSR_TA_Avg</vt:lpstr>
      <vt:lpstr>SP_CFA_Acquisition</vt:lpstr>
      <vt:lpstr>SP_CFA_Capex</vt:lpstr>
      <vt:lpstr>SP_CFA_CFO</vt:lpstr>
      <vt:lpstr>SP_CFA_CFO_BeforeWC</vt:lpstr>
      <vt:lpstr>SP_CFA_CFO_PerShare</vt:lpstr>
      <vt:lpstr>SP_CFA_Debt</vt:lpstr>
      <vt:lpstr>SP_CFA_Div</vt:lpstr>
      <vt:lpstr>SP_CFA_Div_PerShare</vt:lpstr>
      <vt:lpstr>SP_CFA_Divestiture</vt:lpstr>
      <vt:lpstr>SP_CFA_Equity</vt:lpstr>
      <vt:lpstr>SP_CFA_FCF_PerShare</vt:lpstr>
      <vt:lpstr>SP_CFA_FCF_PostDiv</vt:lpstr>
      <vt:lpstr>SP_CFA_FCF_PreDiv</vt:lpstr>
      <vt:lpstr>SP_CFA_NetChange</vt:lpstr>
      <vt:lpstr>SP_CFA_Other</vt:lpstr>
      <vt:lpstr>SP_CFA_Payout_vsEPS</vt:lpstr>
      <vt:lpstr>SP_CFA_Payout_vsFCF</vt:lpstr>
      <vt:lpstr>SP_CFA_WC</vt:lpstr>
      <vt:lpstr>SP_Checks_SummaryPage</vt:lpstr>
      <vt:lpstr>SP_Common_Column_A</vt:lpstr>
      <vt:lpstr>SP_Common_Column_B</vt:lpstr>
      <vt:lpstr>SP_Common_ColumnHeader</vt:lpstr>
      <vt:lpstr>SP_Common_QEndDate</vt:lpstr>
      <vt:lpstr>SP_CS_Cash</vt:lpstr>
      <vt:lpstr>SP_CS_Debt</vt:lpstr>
      <vt:lpstr>SP_CS_EV</vt:lpstr>
      <vt:lpstr>SP_CS_EVCalc_Other</vt:lpstr>
      <vt:lpstr>SP_CS_MarketCap</vt:lpstr>
      <vt:lpstr>SP_CS_OL</vt:lpstr>
      <vt:lpstr>SP_CS_ShareCount</vt:lpstr>
      <vt:lpstr>SP_CS_ShareCount_EoP_Diluted</vt:lpstr>
      <vt:lpstr>SP_CS_StockPrice</vt:lpstr>
      <vt:lpstr>SP_GF_COGS</vt:lpstr>
      <vt:lpstr>SP_GF_EBITDA</vt:lpstr>
      <vt:lpstr>SP_GF_EBT</vt:lpstr>
      <vt:lpstr>SP_GF_EPS_WAD</vt:lpstr>
      <vt:lpstr>SP_GF_IE</vt:lpstr>
      <vt:lpstr>SP_GF_IE_Net</vt:lpstr>
      <vt:lpstr>SP_GF_NI</vt:lpstr>
      <vt:lpstr>SP_GF_OI</vt:lpstr>
      <vt:lpstr>SP_GF_RD</vt:lpstr>
      <vt:lpstr>SP_GF_Rev</vt:lpstr>
      <vt:lpstr>SP_GF_SGA</vt:lpstr>
      <vt:lpstr>SP_GF_ShareCount</vt:lpstr>
      <vt:lpstr>SP_GF_SM</vt:lpstr>
      <vt:lpstr>SP_GF_Tax</vt:lpstr>
      <vt:lpstr>SP_MA_EBITDA</vt:lpstr>
      <vt:lpstr>SP_MA_EBITDA_Adj</vt:lpstr>
      <vt:lpstr>SP_MA_GA</vt:lpstr>
      <vt:lpstr>SP_MA_SM</vt:lpstr>
      <vt:lpstr>SP_Company1876_EBITDA</vt:lpstr>
      <vt:lpstr>SP_Company1876_EPS</vt:lpstr>
      <vt:lpstr>SP_Company1876_NI</vt:lpstr>
      <vt:lpstr>SP_PR_ROA</vt:lpstr>
      <vt:lpstr>SP_PR_ROCE</vt:lpstr>
      <vt:lpstr>SP_PR_ROE</vt:lpstr>
      <vt:lpstr>SP_PR_ROIC</vt:lpstr>
      <vt:lpstr>SP_Company2123_CFO</vt:lpstr>
      <vt:lpstr>SP_Section_BalanceSheetRatios</vt:lpstr>
      <vt:lpstr>SP_Section_CapitalizationSummary</vt:lpstr>
      <vt:lpstr>SP_Section_CashFlowAnalysis</vt:lpstr>
      <vt:lpstr>SP_Section_Checks</vt:lpstr>
      <vt:lpstr>SP_Section_GAAPFinancials</vt:lpstr>
      <vt:lpstr>SP_Section_LastRow</vt:lpstr>
      <vt:lpstr>SP_Section_PerShareGrowthMetrics</vt:lpstr>
      <vt:lpstr>SP_Section_ProfitabilityRatios</vt:lpstr>
      <vt:lpstr>SP_VM_EV_toSales</vt:lpstr>
      <vt:lpstr>Company1719!tb_ConsensusEstimate</vt:lpstr>
      <vt:lpstr>tb_ConsensusEstimate</vt:lpstr>
      <vt:lpstr>Company1719!tb_EntireModel</vt:lpstr>
      <vt:lpstr>tb_EntireModel</vt:lpstr>
      <vt:lpstr>tb_Guidance_FY</vt:lpstr>
      <vt:lpstr>tb_Guidance_Q</vt:lpstr>
      <vt:lpstr>tb_KeyOutputs</vt:lpstr>
      <vt:lpstr>tb_KPIs</vt:lpstr>
      <vt:lpstr>Company1719!tb_StockPrice</vt:lpstr>
      <vt:lpstr>tb_StockPrice</vt:lpstr>
      <vt:lpstr>Company1719!tb_Tickers</vt:lpstr>
      <vt:lpstr>tb_Tickers</vt:lpstr>
      <vt:lpstr>tb_UpdateLog</vt:lpstr>
      <vt:lpstr>Company1719!tb_ValuationToggle</vt:lpstr>
      <vt:lpstr>tb_ValuationToggle</vt:lpstr>
      <vt:lpstr>UL.CSIN</vt:lpstr>
      <vt:lpstr>UL.ModelVersion</vt:lpstr>
      <vt:lpstr>UL.MRQ</vt:lpstr>
      <vt:lpstr>UL.MRQColNum</vt:lpstr>
      <vt:lpstr>'Exec Comp'!WS_ColumnHeader</vt:lpstr>
      <vt:lpstr>'Exec Comp'!WS_LastRow</vt:lpstr>
      <vt:lpstr>'Exec Comp'!WS_PeriodMetadata_FPDays</vt:lpstr>
      <vt:lpstr>'Exec Comp'!WS_PeriodMetadata_PAnnotation</vt:lpstr>
      <vt:lpstr>'Exec Comp'!WS_PeriodMetadata_PEndDate</vt:lpstr>
      <vt:lpstr>'Exec Comp'!WS_RowTitle</vt:lpstr>
      <vt:lpstr>'Exec Comp'!WS_WorkingRange_FirstColumn</vt:lpstr>
      <vt:lpstr>'Exec Comp'!WS_WorkingRange_FirstRow</vt:lpstr>
      <vt:lpstr>'Exec Comp'!WS_WorkingRange_LastColumn</vt:lpstr>
      <vt:lpstr>'Exec Comp'!WS_WorkingRange_LastRow</vt:lpstr>
      <vt:lpstr>z_A7FLSL0150_MO_AN_Acquisitionrelatedandothercosts</vt:lpstr>
      <vt:lpstr>z_A7FLSL0150_MO_AN_Acquisitionrelatedcosts</vt:lpstr>
      <vt:lpstr>z_A7FLSL0150_MO_AN_AcquisitionrelatedcostsinDirectCosts</vt:lpstr>
      <vt:lpstr>z_A7FLSL0150_MO_AN_AcquisitionrelatedcostsinGA</vt:lpstr>
      <vt:lpstr>z_A7FLSL0150_MO_AN_AcquisitionrelatedcostsinRD</vt:lpstr>
      <vt:lpstr>z_A7FLSL0150_MO_AN_Acquisitionterminationcost</vt:lpstr>
      <vt:lpstr>z_A7FLSL0150_MO_AN_Amortization_1</vt:lpstr>
      <vt:lpstr>z_A7FLSL0150_MO_AN_Amortizationofacquisitionrelatedintangibleassets</vt:lpstr>
      <vt:lpstr>z_A7FLSL0150_MO_AN_contributions</vt:lpstr>
      <vt:lpstr>z_A7FLSL0150_MO_AN_creditfromaweakdiepackagingmaterialset</vt:lpstr>
      <vt:lpstr>z_A7FLSL0150_MO_AN_creditfromaweakdiepackagingmaterialset_1</vt:lpstr>
      <vt:lpstr>z_A7FLSL0150_MO_AN_Debtrelatedcosts</vt:lpstr>
      <vt:lpstr>z_A7FLSL0150_MO_AN_Depreciation</vt:lpstr>
      <vt:lpstr>z_A7FLSL0150_MO_AN_DepreciationAmortization</vt:lpstr>
      <vt:lpstr>z_A7FLSL0150_MO_AN_Domesticationtaxbenefit</vt:lpstr>
      <vt:lpstr>z_A7FLSL0150_MO_AN_Foreigntaxbenefit</vt:lpstr>
      <vt:lpstr>z_A7FLSL0150_MO_AN_Freecashflow</vt:lpstr>
      <vt:lpstr>z_A7FLSL0150_MO_AN_gaapgrossprofit</vt:lpstr>
      <vt:lpstr>z_A7FLSL0150_MO_AN_gaapincomefromoperations</vt:lpstr>
      <vt:lpstr>z_A7FLSL0150_MO_AN_GAAPnetcashprovidedbyoperatingactivities</vt:lpstr>
      <vt:lpstr>z_A7FLSL0150_MO_AN_gaapnetincome</vt:lpstr>
      <vt:lpstr>z_A7FLSL0150_MO_AN_gaapoperatingexpenses</vt:lpstr>
      <vt:lpstr>z_A7FLSL0150_MO_AN_GAAPotherincomeexpense_1</vt:lpstr>
      <vt:lpstr>z_A7FLSL0150_MO_AN_Gainslossesfromnonaffiliatedinvestments</vt:lpstr>
      <vt:lpstr>z_A7FLSL0150_MO_AN_incometaximpactofnongaapadjustments</vt:lpstr>
      <vt:lpstr>z_A7FLSL0150_MO_AN_Interestexpenserelatedtoamortizationofdebtdiscount_1</vt:lpstr>
      <vt:lpstr>z_A7FLSL0150_MO_AN_IPrelatedcostsandassetsheldforsalerelatedadjustments</vt:lpstr>
      <vt:lpstr>z_A7FLSL0150_MO_AN_legalsettlementcosts</vt:lpstr>
      <vt:lpstr>z_A7FLSL0150_MO_AN_legalsettlementcosts_1</vt:lpstr>
      <vt:lpstr>z_A7FLSL0150_MO_AN_nongaapgrossprofit</vt:lpstr>
      <vt:lpstr>z_A7FLSL0150_MO_AN_nongaapincomefromoperations</vt:lpstr>
      <vt:lpstr>z_A7FLSL0150_MO_AN_nongaapnetincome</vt:lpstr>
      <vt:lpstr>z_A7FLSL0150_MO_AN_nongaapoperatingexpenses</vt:lpstr>
      <vt:lpstr>z_A7FLSL0150_MO_AN_NonGAAPotherincomeexpense_1</vt:lpstr>
      <vt:lpstr>z_A7FLSL0150_MO_AN_nonrecurringchargerelatedtoroyaltydispute</vt:lpstr>
      <vt:lpstr>z_A7FLSL0150_MO_AN_Other</vt:lpstr>
      <vt:lpstr>z_A7FLSL0150_MO_AN_Other_1</vt:lpstr>
      <vt:lpstr>z_A7FLSL0150_MO_AN_Principalpaymentsonpropertyandequipmentandintangibleassets</vt:lpstr>
      <vt:lpstr>z_A7FLSL0150_MO_AN_productwarrantychange</vt:lpstr>
      <vt:lpstr>z_A7FLSL0150_MO_AN_Provisionaltaxbenefitfromincometaxreform</vt:lpstr>
      <vt:lpstr>z_A7FLSL0150_MO_AN_Purchasesrelatedtopropertyandequipmentandintangibleassets</vt:lpstr>
      <vt:lpstr>z_A7FLSL0150_MO_AN_Restructuringandothercharges</vt:lpstr>
      <vt:lpstr>z_A7FLSL0150_MO_AN_sbcindirectcosts</vt:lpstr>
      <vt:lpstr>z_A7FLSL0150_MO_AN_sbcinga</vt:lpstr>
      <vt:lpstr>z_A7FLSL0150_MO_AN_sbcinrd</vt:lpstr>
      <vt:lpstr>z_A7FLSL0150_MO_AN_stockbasedcompensationexpense</vt:lpstr>
      <vt:lpstr>z_A7FLSL0150_MO_AN_stockbasedcompensationexpense_1</vt:lpstr>
      <vt:lpstr>z_A7FLSL0150_MO_AN_stockoptionpurchasechargerelatedtocostofrevenue</vt:lpstr>
      <vt:lpstr>z_A7FLSL0150_MO_AN_stockoptionpurchasechargerelatedtooperatingexpenses</vt:lpstr>
      <vt:lpstr>z_A7FLSL0150_MO_AN_TaxexpensefromOBBBA</vt:lpstr>
      <vt:lpstr>z_A7FLSL0150_MO_AN_TotalAcquisitionrelatedcosts</vt:lpstr>
      <vt:lpstr>z_A7FLSL0150_MO_AN_totalimpactofnongaapadjustmentstoincomefromoperations</vt:lpstr>
      <vt:lpstr>z_A7FLSL0150_MO_AN_totalpretaximpactofnongaapadjustments</vt:lpstr>
      <vt:lpstr>z_A7FLSL0150_MO_AN_totalsbc</vt:lpstr>
      <vt:lpstr>z_A7FLSL0150_MO_BlankRow_AN</vt:lpstr>
      <vt:lpstr>z_A7FLSL0150_MO_BlankRow_AN_1</vt:lpstr>
      <vt:lpstr>z_A7FLSL0150_MO_BlankRow_AN_2</vt:lpstr>
      <vt:lpstr>z_A7FLSL0150_MO_BlankRow_AN_4</vt:lpstr>
      <vt:lpstr>z_A7FLSL0150_MO_BlankRow_AN_5</vt:lpstr>
      <vt:lpstr>z_A7FLSL0150_MO_BlankRow_AN_6</vt:lpstr>
      <vt:lpstr>z_A7FLSL0150_MO_BlankRow_AN_7</vt:lpstr>
      <vt:lpstr>z_A7FLSL0150_MO_BlankRow_AN_9</vt:lpstr>
      <vt:lpstr>z_A7FLSL0150_MO_BlankRow_BS_1</vt:lpstr>
      <vt:lpstr>z_A7FLSL0150_MO_BlankRow_BS_2</vt:lpstr>
      <vt:lpstr>z_A7FLSL0150_MO_BlankRow_BS_3</vt:lpstr>
      <vt:lpstr>z_A7FLSL0150_MO_BlankRow_BS_4</vt:lpstr>
      <vt:lpstr>z_A7FLSL0150_MO_BlankRow_BS_5</vt:lpstr>
      <vt:lpstr>z_A7FLSL0150_MO_BlankRow_BS_6</vt:lpstr>
      <vt:lpstr>z_A7FLSL0150_MO_BlankRow_BSS</vt:lpstr>
      <vt:lpstr>z_A7FLSL0150_MO_BlankRow_BSS_1</vt:lpstr>
      <vt:lpstr>z_A7FLSL0150_MO_BlankRow_BSS_2</vt:lpstr>
      <vt:lpstr>z_A7FLSL0150_MO_BlankRow_CCFS</vt:lpstr>
      <vt:lpstr>z_A7FLSL0150_MO_BlankRow_CCFS_1</vt:lpstr>
      <vt:lpstr>z_A7FLSL0150_MO_BlankRow_CCFS_2</vt:lpstr>
      <vt:lpstr>z_A7FLSL0150_MO_BlankRow_CCFS_3</vt:lpstr>
      <vt:lpstr>z_A7FLSL0150_MO_BlankRow_CCFS_4</vt:lpstr>
      <vt:lpstr>z_A7FLSL0150_MO_BlankRow_CCFS_5</vt:lpstr>
      <vt:lpstr>z_A7FLSL0150_MO_BlankRow_CFS_10</vt:lpstr>
      <vt:lpstr>z_A7FLSL0150_MO_BlankRow_CFS_2</vt:lpstr>
      <vt:lpstr>z_A7FLSL0150_MO_BlankRow_CFS_3</vt:lpstr>
      <vt:lpstr>z_A7FLSL0150_MO_BlankRow_CFS_4</vt:lpstr>
      <vt:lpstr>z_A7FLSL0150_MO_BlankRow_CFS_5</vt:lpstr>
      <vt:lpstr>z_A7FLSL0150_MO_BlankRow_CFS_6</vt:lpstr>
      <vt:lpstr>z_A7FLSL0150_MO_BlankRow_CFS_7</vt:lpstr>
      <vt:lpstr>z_A7FLSL0150_MO_BlankRow_CFSum</vt:lpstr>
      <vt:lpstr>z_A7FLSL0150_MO_BlankRow_CFSum_1</vt:lpstr>
      <vt:lpstr>z_A7FLSL0150_MO_BlankRow_CFSum_2</vt:lpstr>
      <vt:lpstr>z_A7FLSL0150_MO_BlankRow_CFSum_3</vt:lpstr>
      <vt:lpstr>z_A7FLSL0150_MO_BlankRow_DAF</vt:lpstr>
      <vt:lpstr>z_A7FLSL0150_MO_BlankRow_DAF_2</vt:lpstr>
      <vt:lpstr>z_A7FLSL0150_MO_BlankRow_DAF_3</vt:lpstr>
      <vt:lpstr>z_A7FLSL0150_MO_BlankRow_DAF_4</vt:lpstr>
      <vt:lpstr>z_A7FLSL0150_MO_BlankRow_IS</vt:lpstr>
      <vt:lpstr>z_A7FLSL0150_MO_BlankRow_IS_1</vt:lpstr>
      <vt:lpstr>z_A7FLSL0150_MO_BlankRow_MA_10</vt:lpstr>
      <vt:lpstr>z_A7FLSL0150_MO_BlankRow_MA_2</vt:lpstr>
      <vt:lpstr>z_A7FLSL0150_MO_BlankRow_MA_3</vt:lpstr>
      <vt:lpstr>z_A7FLSL0150_MO_BlankRow_MA_4</vt:lpstr>
      <vt:lpstr>z_A7FLSL0150_MO_BlankRow_MA_5</vt:lpstr>
      <vt:lpstr>z_A7FLSL0150_MO_BlankRow_MA_6</vt:lpstr>
      <vt:lpstr>z_A7FLSL0150_MO_BlankRow_MA_7</vt:lpstr>
      <vt:lpstr>z_A7FLSL0150_MO_BlankRow_MA_8</vt:lpstr>
      <vt:lpstr>z_A7FLSL0150_MO_BlankRow_MA_9</vt:lpstr>
      <vt:lpstr>z_A7FLSL0150_MO_BlankRow_OS</vt:lpstr>
      <vt:lpstr>z_A7FLSL0150_MO_BlankRow_OS_1</vt:lpstr>
      <vt:lpstr>z_A7FLSL0150_MO_BlankRow_OS_10</vt:lpstr>
      <vt:lpstr>z_A7FLSL0150_MO_BlankRow_OS_100</vt:lpstr>
      <vt:lpstr>z_A7FLSL0150_MO_BlankRow_OS_101</vt:lpstr>
      <vt:lpstr>z_A7FLSL0150_MO_BlankRow_OS_102</vt:lpstr>
      <vt:lpstr>z_A7FLSL0150_MO_BlankRow_OS_103</vt:lpstr>
      <vt:lpstr>z_A7FLSL0150_MO_BlankRow_OS_104</vt:lpstr>
      <vt:lpstr>z_A7FLSL0150_MO_BlankRow_OS_105</vt:lpstr>
      <vt:lpstr>z_A7FLSL0150_MO_BlankRow_OS_106</vt:lpstr>
      <vt:lpstr>z_A7FLSL0150_MO_BlankRow_OS_107</vt:lpstr>
      <vt:lpstr>z_A7FLSL0150_MO_BlankRow_OS_108</vt:lpstr>
      <vt:lpstr>z_A7FLSL0150_MO_BlankRow_OS_109</vt:lpstr>
      <vt:lpstr>z_A7FLSL0150_MO_BlankRow_OS_11</vt:lpstr>
      <vt:lpstr>z_A7FLSL0150_MO_BlankRow_OS_111</vt:lpstr>
      <vt:lpstr>z_A7FLSL0150_MO_BlankRow_OS_112</vt:lpstr>
      <vt:lpstr>z_A7FLSL0150_MO_BlankRow_OS_113</vt:lpstr>
      <vt:lpstr>z_A7FLSL0150_MO_BlankRow_OS_114</vt:lpstr>
      <vt:lpstr>z_A7FLSL0150_MO_BlankRow_OS_12</vt:lpstr>
      <vt:lpstr>z_A7FLSL0150_MO_BlankRow_OS_13</vt:lpstr>
      <vt:lpstr>z_A7FLSL0150_MO_BlankRow_OS_14</vt:lpstr>
      <vt:lpstr>z_A7FLSL0150_MO_BlankRow_OS_15</vt:lpstr>
      <vt:lpstr>z_A7FLSL0150_MO_BlankRow_OS_17</vt:lpstr>
      <vt:lpstr>z_A7FLSL0150_MO_BlankRow_OS_18</vt:lpstr>
      <vt:lpstr>z_A7FLSL0150_MO_BlankRow_OS_19</vt:lpstr>
      <vt:lpstr>z_A7FLSL0150_MO_BlankRow_OS_2</vt:lpstr>
      <vt:lpstr>z_A7FLSL0150_MO_BlankRow_OS_20</vt:lpstr>
      <vt:lpstr>z_A7FLSL0150_MO_BlankRow_OS_21</vt:lpstr>
      <vt:lpstr>z_A7FLSL0150_MO_BlankRow_OS_22</vt:lpstr>
      <vt:lpstr>z_A7FLSL0150_MO_BlankRow_OS_23</vt:lpstr>
      <vt:lpstr>z_A7FLSL0150_MO_BlankRow_OS_24</vt:lpstr>
      <vt:lpstr>z_A7FLSL0150_MO_BlankRow_OS_25</vt:lpstr>
      <vt:lpstr>z_A7FLSL0150_MO_BlankRow_OS_26</vt:lpstr>
      <vt:lpstr>z_A7FLSL0150_MO_BlankRow_OS_27</vt:lpstr>
      <vt:lpstr>z_A7FLSL0150_MO_BlankRow_OS_28</vt:lpstr>
      <vt:lpstr>z_A7FLSL0150_MO_BlankRow_OS_29</vt:lpstr>
      <vt:lpstr>z_A7FLSL0150_MO_BlankRow_OS_3</vt:lpstr>
      <vt:lpstr>z_A7FLSL0150_MO_BlankRow_OS_30</vt:lpstr>
      <vt:lpstr>z_A7FLSL0150_MO_BlankRow_OS_31</vt:lpstr>
      <vt:lpstr>z_A7FLSL0150_MO_BlankRow_OS_32</vt:lpstr>
      <vt:lpstr>z_A7FLSL0150_MO_BlankRow_OS_33</vt:lpstr>
      <vt:lpstr>z_A7FLSL0150_MO_BlankRow_OS_34</vt:lpstr>
      <vt:lpstr>z_A7FLSL0150_MO_BlankRow_OS_35</vt:lpstr>
      <vt:lpstr>z_A7FLSL0150_MO_BlankRow_OS_36</vt:lpstr>
      <vt:lpstr>z_A7FLSL0150_MO_BlankRow_OS_37</vt:lpstr>
      <vt:lpstr>z_A7FLSL0150_MO_BlankRow_OS_38</vt:lpstr>
      <vt:lpstr>z_A7FLSL0150_MO_BlankRow_OS_39</vt:lpstr>
      <vt:lpstr>z_A7FLSL0150_MO_BlankRow_OS_4</vt:lpstr>
      <vt:lpstr>z_A7FLSL0150_MO_BlankRow_OS_40</vt:lpstr>
      <vt:lpstr>z_A7FLSL0150_MO_BlankRow_OS_44</vt:lpstr>
      <vt:lpstr>z_A7FLSL0150_MO_BlankRow_OS_45</vt:lpstr>
      <vt:lpstr>z_A7FLSL0150_MO_BlankRow_OS_46</vt:lpstr>
      <vt:lpstr>z_A7FLSL0150_MO_BlankRow_OS_47</vt:lpstr>
      <vt:lpstr>z_A7FLSL0150_MO_BlankRow_OS_48</vt:lpstr>
      <vt:lpstr>z_A7FLSL0150_MO_BlankRow_OS_49</vt:lpstr>
      <vt:lpstr>z_A7FLSL0150_MO_BlankRow_OS_50</vt:lpstr>
      <vt:lpstr>z_A7FLSL0150_MO_BlankRow_OS_51</vt:lpstr>
      <vt:lpstr>z_A7FLSL0150_MO_BlankRow_OS_53</vt:lpstr>
      <vt:lpstr>z_A7FLSL0150_MO_BlankRow_OS_54</vt:lpstr>
      <vt:lpstr>z_A7FLSL0150_MO_BlankRow_OS_55</vt:lpstr>
      <vt:lpstr>z_A7FLSL0150_MO_BlankRow_OS_56</vt:lpstr>
      <vt:lpstr>z_A7FLSL0150_MO_BlankRow_OS_57</vt:lpstr>
      <vt:lpstr>z_A7FLSL0150_MO_BlankRow_OS_58</vt:lpstr>
      <vt:lpstr>z_A7FLSL0150_MO_BlankRow_OS_59</vt:lpstr>
      <vt:lpstr>z_A7FLSL0150_MO_BlankRow_OS_60</vt:lpstr>
      <vt:lpstr>z_A7FLSL0150_MO_BlankRow_OS_61</vt:lpstr>
      <vt:lpstr>z_A7FLSL0150_MO_BlankRow_OS_62</vt:lpstr>
      <vt:lpstr>z_A7FLSL0150_MO_BlankRow_OS_63</vt:lpstr>
      <vt:lpstr>z_A7FLSL0150_MO_BlankRow_OS_64</vt:lpstr>
      <vt:lpstr>z_A7FLSL0150_MO_BlankRow_OS_65</vt:lpstr>
      <vt:lpstr>z_A7FLSL0150_MO_BlankRow_OS_66</vt:lpstr>
      <vt:lpstr>z_A7FLSL0150_MO_BlankRow_OS_67</vt:lpstr>
      <vt:lpstr>z_A7FLSL0150_MO_BlankRow_OS_68</vt:lpstr>
      <vt:lpstr>z_A7FLSL0150_MO_BlankRow_OS_69</vt:lpstr>
      <vt:lpstr>z_A7FLSL0150_MO_BlankRow_OS_7</vt:lpstr>
      <vt:lpstr>z_A7FLSL0150_MO_BlankRow_OS_70</vt:lpstr>
      <vt:lpstr>z_A7FLSL0150_MO_BlankRow_OS_71</vt:lpstr>
      <vt:lpstr>z_A7FLSL0150_MO_BlankRow_OS_72</vt:lpstr>
      <vt:lpstr>z_A7FLSL0150_MO_BlankRow_OS_73</vt:lpstr>
      <vt:lpstr>z_A7FLSL0150_MO_BlankRow_OS_74</vt:lpstr>
      <vt:lpstr>z_A7FLSL0150_MO_BlankRow_OS_75</vt:lpstr>
      <vt:lpstr>z_A7FLSL0150_MO_BlankRow_OS_76</vt:lpstr>
      <vt:lpstr>z_A7FLSL0150_MO_BlankRow_OS_77</vt:lpstr>
      <vt:lpstr>z_A7FLSL0150_MO_BlankRow_OS_78</vt:lpstr>
      <vt:lpstr>z_A7FLSL0150_MO_BlankRow_OS_79</vt:lpstr>
      <vt:lpstr>z_A7FLSL0150_MO_BlankRow_OS_8</vt:lpstr>
      <vt:lpstr>z_A7FLSL0150_MO_BlankRow_OS_80</vt:lpstr>
      <vt:lpstr>z_A7FLSL0150_MO_BlankRow_OS_81</vt:lpstr>
      <vt:lpstr>z_A7FLSL0150_MO_BlankRow_OS_82</vt:lpstr>
      <vt:lpstr>z_A7FLSL0150_MO_BlankRow_OS_83</vt:lpstr>
      <vt:lpstr>z_A7FLSL0150_MO_BlankRow_OS_85</vt:lpstr>
      <vt:lpstr>z_A7FLSL0150_MO_BlankRow_OS_86</vt:lpstr>
      <vt:lpstr>z_A7FLSL0150_MO_BlankRow_OS_87</vt:lpstr>
      <vt:lpstr>z_A7FLSL0150_MO_BlankRow_OS_88</vt:lpstr>
      <vt:lpstr>z_A7FLSL0150_MO_BlankRow_OS_89</vt:lpstr>
      <vt:lpstr>z_A7FLSL0150_MO_BlankRow_OS_9</vt:lpstr>
      <vt:lpstr>z_A7FLSL0150_MO_BlankRow_OS_90</vt:lpstr>
      <vt:lpstr>z_A7FLSL0150_MO_BlankRow_OS_91</vt:lpstr>
      <vt:lpstr>z_A7FLSL0150_MO_BlankRow_OS_92</vt:lpstr>
      <vt:lpstr>z_A7FLSL0150_MO_BlankRow_OS_93</vt:lpstr>
      <vt:lpstr>z_A7FLSL0150_MO_BlankRow_OS_94</vt:lpstr>
      <vt:lpstr>z_A7FLSL0150_MO_BlankRow_OS_95</vt:lpstr>
      <vt:lpstr>z_A7FLSL0150_MO_BlankRow_OS_96</vt:lpstr>
      <vt:lpstr>z_A7FLSL0150_MO_BlankRow_OS_97</vt:lpstr>
      <vt:lpstr>z_A7FLSL0150_MO_BlankRow_OS_98</vt:lpstr>
      <vt:lpstr>z_A7FLSL0150_MO_BlankRow_OS_99</vt:lpstr>
      <vt:lpstr>z_A7FLSL0150_MO_BlankRow_RIS</vt:lpstr>
      <vt:lpstr>z_A7FLSL0150_MO_BlankRow_RIS_1</vt:lpstr>
      <vt:lpstr>z_A7FLSL0150_MO_BlankRow_RIS_2</vt:lpstr>
      <vt:lpstr>z_A7FLSL0150_MO_BlankRow_RIS_3</vt:lpstr>
      <vt:lpstr>z_A7FLSL0150_MO_BlankRow_RIS_5</vt:lpstr>
      <vt:lpstr>z_A7FLSL0150_MO_BlankRow_RIS_6</vt:lpstr>
      <vt:lpstr>z_A7FLSL0150_MO_BlankRow_RIS_7</vt:lpstr>
      <vt:lpstr>z_A7FLSL0150_MO_BlankRow_RIS_8</vt:lpstr>
      <vt:lpstr>z_A7FLSL0150_MO_BlankRow_SNA</vt:lpstr>
      <vt:lpstr>z_A7FLSL0150_MO_BlankRow_SNA_1</vt:lpstr>
      <vt:lpstr>z_A7FLSL0150_MO_BlankRow_SNA_10</vt:lpstr>
      <vt:lpstr>z_A7FLSL0150_MO_BlankRow_SNA_11</vt:lpstr>
      <vt:lpstr>z_A7FLSL0150_MO_BlankRow_SNA_12</vt:lpstr>
      <vt:lpstr>z_A7FLSL0150_MO_BlankRow_SNA_13</vt:lpstr>
      <vt:lpstr>z_A7FLSL0150_MO_BlankRow_SNA_14</vt:lpstr>
      <vt:lpstr>z_A7FLSL0150_MO_BlankRow_SNA_15</vt:lpstr>
      <vt:lpstr>z_A7FLSL0150_MO_BlankRow_SNA_16</vt:lpstr>
      <vt:lpstr>z_A7FLSL0150_MO_BlankRow_SNA_17</vt:lpstr>
      <vt:lpstr>z_A7FLSL0150_MO_BlankRow_SNA_18</vt:lpstr>
      <vt:lpstr>z_A7FLSL0150_MO_BlankRow_SNA_19</vt:lpstr>
      <vt:lpstr>z_A7FLSL0150_MO_BlankRow_SNA_2</vt:lpstr>
      <vt:lpstr>z_A7FLSL0150_MO_BlankRow_SNA_20</vt:lpstr>
      <vt:lpstr>z_A7FLSL0150_MO_BlankRow_SNA_3</vt:lpstr>
      <vt:lpstr>z_A7FLSL0150_MO_BlankRow_SNA_4</vt:lpstr>
      <vt:lpstr>z_A7FLSL0150_MO_BlankRow_SNA_5</vt:lpstr>
      <vt:lpstr>z_A7FLSL0150_MO_BlankRow_SNA_6</vt:lpstr>
      <vt:lpstr>z_A7FLSL0150_MO_BlankRow_SNA_7</vt:lpstr>
      <vt:lpstr>z_A7FLSL0150_MO_BlankRow_SNA_8</vt:lpstr>
      <vt:lpstr>z_A7FLSL0150_MO_BlankRow_SNA_9</vt:lpstr>
      <vt:lpstr>z_A7FLSL0150_MO_BS_Accountspayable</vt:lpstr>
      <vt:lpstr>z_A7FLSL0150_MO_BS_Accountsreceivable</vt:lpstr>
      <vt:lpstr>z_A7FLSL0150_MO_BS_Accruedandothercurrentliabilities</vt:lpstr>
      <vt:lpstr>z_A7FLSL0150_MO_BS_Accumulatedothercomprehensiveincomeloss</vt:lpstr>
      <vt:lpstr>z_A7FLSL0150_MO_BS_Acquisitionrelatedintangibleassets</vt:lpstr>
      <vt:lpstr>z_A7FLSL0150_MO_BS_Additionalpaidincapital</vt:lpstr>
      <vt:lpstr>z_A7FLSL0150_MO_BS_Advancedconsiderationforacquisition</vt:lpstr>
      <vt:lpstr>z_A7FLSL0150_MO_BS_BSCheck</vt:lpstr>
      <vt:lpstr>z_A7FLSL0150_MO_BS_capitalleaseobligations</vt:lpstr>
      <vt:lpstr>z_A7FLSL0150_MO_BS_cashandcashequivalents</vt:lpstr>
      <vt:lpstr>z_A7FLSL0150_MO_BS_commonstock</vt:lpstr>
      <vt:lpstr>z_A7FLSL0150_MO_BS_Convertibledebtconversionobligation</vt:lpstr>
      <vt:lpstr>z_A7FLSL0150_MO_BS_Convertiblelongtermdebt</vt:lpstr>
      <vt:lpstr>z_A7FLSL0150_MO_BS_Convertibleshorttermdebt</vt:lpstr>
      <vt:lpstr>z_A7FLSL0150_MO_BS_CurrentAssets</vt:lpstr>
      <vt:lpstr>z_A7FLSL0150_MO_BS_CurrentLiabilities</vt:lpstr>
      <vt:lpstr>z_A7FLSL0150_MO_BS_Deferredincometaxassets</vt:lpstr>
      <vt:lpstr>z_A7FLSL0150_MO_BS_deferredincometaxes</vt:lpstr>
      <vt:lpstr>z_A7FLSL0150_MO_BS_Deposits</vt:lpstr>
      <vt:lpstr>z_A7FLSL0150_MO_BS_Finishedgoods</vt:lpstr>
      <vt:lpstr>z_A7FLSL0150_MO_BS_Goodwill</vt:lpstr>
      <vt:lpstr>z_A7FLSL0150_MO_BS_Incometaxreceivable</vt:lpstr>
      <vt:lpstr>z_A7FLSL0150_MO_BS_Intangibleassets</vt:lpstr>
      <vt:lpstr>z_A7FLSL0150_MO_BS_Inventories</vt:lpstr>
      <vt:lpstr>z_A7FLSL0150_MO_BS_Investmentinnonaffiliatedentities</vt:lpstr>
      <vt:lpstr>z_A7FLSL0150_MO_BS_Longtermoperatingleaseliabilities</vt:lpstr>
      <vt:lpstr>z_A7FLSL0150_MO_BS_marketablesecurities</vt:lpstr>
      <vt:lpstr>z_A7FLSL0150_MO_BS_NCI</vt:lpstr>
      <vt:lpstr>z_A7FLSL0150_MO_BS_NetIncomeonReportedISNIonRevised</vt:lpstr>
      <vt:lpstr>z_A7FLSL0150_MO_BS_NetIncomeonRevisedISNIonCFstatement</vt:lpstr>
      <vt:lpstr>z_A7FLSL0150_MO_BS_NonCurrentAssets</vt:lpstr>
      <vt:lpstr>z_A7FLSL0150_MO_BS_NonCurrentLiabilities</vt:lpstr>
      <vt:lpstr>z_A7FLSL0150_MO_BS_Operatingleaseassets</vt:lpstr>
      <vt:lpstr>z_A7FLSL0150_MO_BS_Otherassets</vt:lpstr>
      <vt:lpstr>z_A7FLSL0150_MO_BS_Otherassets_1</vt:lpstr>
      <vt:lpstr>z_A7FLSL0150_MO_BS_Otherlongtermliabilities</vt:lpstr>
      <vt:lpstr>z_A7FLSL0150_MO_BS_Patentsandlicensedtechnology</vt:lpstr>
      <vt:lpstr>z_A7FLSL0150_MO_BS_preferredstock</vt:lpstr>
      <vt:lpstr>z_A7FLSL0150_MO_BS_Prepaidcloudservices</vt:lpstr>
      <vt:lpstr>z_A7FLSL0150_MO_BS_Prepaidexpensesandothercurrentassets</vt:lpstr>
      <vt:lpstr>z_A7FLSL0150_MO_BS_Prepaidroyalties</vt:lpstr>
      <vt:lpstr>z_A7FLSL0150_MO_BS_Prepaidsupplyagreements</vt:lpstr>
      <vt:lpstr>z_A7FLSL0150_MO_BS_Propertyandequipment</vt:lpstr>
      <vt:lpstr>z_A7FLSL0150_MO_BS_Rawmaterials</vt:lpstr>
      <vt:lpstr>z_A7FLSL0150_MO_BS_Restrictedcash</vt:lpstr>
      <vt:lpstr>z_A7FLSL0150_MO_BS_retainedearnings</vt:lpstr>
      <vt:lpstr>z_A7FLSL0150_MO_BS_ShareholdersEquity</vt:lpstr>
      <vt:lpstr>z_A7FLSL0150_MO_BS_Shorttermoperatingleaseliabilities</vt:lpstr>
      <vt:lpstr>z_A7FLSL0150_MO_BS_TotalAssets</vt:lpstr>
      <vt:lpstr>z_A7FLSL0150_MO_BS_TotalCurrentAssets</vt:lpstr>
      <vt:lpstr>z_A7FLSL0150_MO_BS_TotalCurrentLiabilities</vt:lpstr>
      <vt:lpstr>z_A7FLSL0150_MO_BS_TotalLiabilities</vt:lpstr>
      <vt:lpstr>z_A7FLSL0150_MO_BS_TotalLiabilitiesSE</vt:lpstr>
      <vt:lpstr>z_A7FLSL0150_MO_BS_TotalNonCurrentAssets</vt:lpstr>
      <vt:lpstr>z_A7FLSL0150_MO_BS_TotalNonCurrentliabilities</vt:lpstr>
      <vt:lpstr>z_A7FLSL0150_MO_BS_TotalSE</vt:lpstr>
      <vt:lpstr>z_A7FLSL0150_MO_BS_treasurystock</vt:lpstr>
      <vt:lpstr>z_A7FLSL0150_MO_BS_Workinprocess</vt:lpstr>
      <vt:lpstr>z_A7FLSL0150_MO_BSS_Cash</vt:lpstr>
      <vt:lpstr>z_A7FLSL0150_MO_BSS_Debt</vt:lpstr>
      <vt:lpstr>z_A7FLSL0150_MO_BSS_DebtCashFlow</vt:lpstr>
      <vt:lpstr>z_A7FLSL0150_MO_BSS_DebtEBITDA</vt:lpstr>
      <vt:lpstr>z_A7FLSL0150_MO_BSS_EBITDANetInterestExpense</vt:lpstr>
      <vt:lpstr>z_A7FLSL0150_MO_BSS_EffectiveInterestRateonCash</vt:lpstr>
      <vt:lpstr>z_A7FLSL0150_MO_BSS_EffectiveInterestRateonDebt</vt:lpstr>
      <vt:lpstr>z_A7FLSL0150_MO_BSS_EffectiveNetInterestRateonDebt</vt:lpstr>
      <vt:lpstr>z_A7FLSL0150_MO_BSS_InterestExpense</vt:lpstr>
      <vt:lpstr>z_A7FLSL0150_MO_BSS_InterestIncome</vt:lpstr>
      <vt:lpstr>z_A7FLSL0150_MO_BSS_LTDebt</vt:lpstr>
      <vt:lpstr>z_A7FLSL0150_MO_BSS_NetDebt</vt:lpstr>
      <vt:lpstr>z_A7FLSL0150_MO_BSS_NetInterestExpenseIncome</vt:lpstr>
      <vt:lpstr>z_A7FLSL0150_MO_BSS_OperatingLeaseLiabilities</vt:lpstr>
      <vt:lpstr>z_A7FLSL0150_MO_BSS_STDebt</vt:lpstr>
      <vt:lpstr>z_A7FLSL0150_MO_CCFS_accountspayable</vt:lpstr>
      <vt:lpstr>z_A7FLSL0150_MO_CCFS_accountsreceivable</vt:lpstr>
      <vt:lpstr>z_A7FLSL0150_MO_CCFS_Accruedandothercurrentliabilities</vt:lpstr>
      <vt:lpstr>z_A7FLSL0150_MO_CCFS_Acquisitionofbusinesses</vt:lpstr>
      <vt:lpstr>z_A7FLSL0150_MO_CCFS_Acquisitionterminationcost</vt:lpstr>
      <vt:lpstr>z_A7FLSL0150_MO_CCFS_Amortizationofdebtdiscount</vt:lpstr>
      <vt:lpstr>z_A7FLSL0150_MO_CCFS_BeginningCashBalance</vt:lpstr>
      <vt:lpstr>z_A7FLSL0150_MO_CCFS_Cashpaidforinterest</vt:lpstr>
      <vt:lpstr>z_A7FLSL0150_MO_CCFS_Cashreceivedpaidforincometaxes</vt:lpstr>
      <vt:lpstr>z_A7FLSL0150_MO_CCFS_CFF</vt:lpstr>
      <vt:lpstr>z_A7FLSL0150_MO_CCFS_CFI</vt:lpstr>
      <vt:lpstr>z_A7FLSL0150_MO_CCFS_CFO</vt:lpstr>
      <vt:lpstr>z_A7FLSL0150_MO_CCFS_CFObeforeWC</vt:lpstr>
      <vt:lpstr>z_A7FLSL0150_MO_CCFS_deferredincometaxes</vt:lpstr>
      <vt:lpstr>z_A7FLSL0150_MO_CCFS_Depositsandotherassets</vt:lpstr>
      <vt:lpstr>z_A7FLSL0150_MO_CCFS_depreciationandamortization</vt:lpstr>
      <vt:lpstr>z_A7FLSL0150_MO_CCFS_Dividendspaid</vt:lpstr>
      <vt:lpstr>z_A7FLSL0150_MO_CCFS_EndingCashBalance</vt:lpstr>
      <vt:lpstr>z_A7FLSL0150_MO_CCFS_FX</vt:lpstr>
      <vt:lpstr>z_A7FLSL0150_MO_CCFS_Gainslossesoninvestmentsinnonaffiliates</vt:lpstr>
      <vt:lpstr>z_A7FLSL0150_MO_CCFS_impairmentchargeoninvestments</vt:lpstr>
      <vt:lpstr>z_A7FLSL0150_MO_CCFS_inprocessresearchanddevelopmentexpenses</vt:lpstr>
      <vt:lpstr>z_A7FLSL0150_MO_CCFS_inventories</vt:lpstr>
      <vt:lpstr>z_A7FLSL0150_MO_CCFS_Investmentinnonaffiliates</vt:lpstr>
      <vt:lpstr>z_A7FLSL0150_MO_CCFS_Issuanceofdebtnetofissuancecosts</vt:lpstr>
      <vt:lpstr>z_A7FLSL0150_MO_CCFS_Lossonearlydebtconversion</vt:lpstr>
      <vt:lpstr>z_A7FLSL0150_MO_CCFS_NetCFF</vt:lpstr>
      <vt:lpstr>z_A7FLSL0150_MO_CCFS_NetCFI</vt:lpstr>
      <vt:lpstr>z_A7FLSL0150_MO_CCFS_NetCFO</vt:lpstr>
      <vt:lpstr>z_A7FLSL0150_MO_CCFS_NetChangeinCashBalance</vt:lpstr>
      <vt:lpstr>z_A7FLSL0150_MO_CCFS_netgainonsaleanddisposaloflonglivedassetsandinvestments</vt:lpstr>
      <vt:lpstr>z_A7FLSL0150_MO_CCFS_netincome</vt:lpstr>
      <vt:lpstr>z_A7FLSL0150_MO_CCFS_Other</vt:lpstr>
      <vt:lpstr>z_A7FLSL0150_MO_CCFS_Other_1</vt:lpstr>
      <vt:lpstr>z_A7FLSL0150_MO_CCFS_Other_2</vt:lpstr>
      <vt:lpstr>z_A7FLSL0150_MO_CCFS_Otherlongtermliabilities</vt:lpstr>
      <vt:lpstr>z_A7FLSL0150_MO_CCFS_Paymentofnotespayablefromacquisition</vt:lpstr>
      <vt:lpstr>z_A7FLSL0150_MO_CCFS_Paymentsfordebtissuancecosts</vt:lpstr>
      <vt:lpstr>z_A7FLSL0150_MO_CCFS_paymentsrelatedtorepurchasesofcommonstock</vt:lpstr>
      <vt:lpstr>z_A7FLSL0150_MO_CCFS_paymentsrelatedtostockoptionpurchase</vt:lpstr>
      <vt:lpstr>z_A7FLSL0150_MO_CCFS_paymentsrelatedtotaxonrestrictedstockunits</vt:lpstr>
      <vt:lpstr>z_A7FLSL0150_MO_CCFS_paymentsundercapitalleaseobligations</vt:lpstr>
      <vt:lpstr>z_A7FLSL0150_MO_CCFS_paymentsunderpatentlicensingarrangement</vt:lpstr>
      <vt:lpstr>z_A7FLSL0150_MO_CCFS_Prepaidexpensesandotherassets</vt:lpstr>
      <vt:lpstr>z_A7FLSL0150_MO_CCFS_Prepaidexpensesandothercurrentassets</vt:lpstr>
      <vt:lpstr>z_A7FLSL0150_MO_CCFS_Principalpaymentsonpropertyandequipment</vt:lpstr>
      <vt:lpstr>z_A7FLSL0150_MO_CCFS_proceedsfromissuanceofcommonstockunderemployeestockplans</vt:lpstr>
      <vt:lpstr>z_A7FLSL0150_MO_CCFS_proceedsfromissuanceofconvertiblenotes</vt:lpstr>
      <vt:lpstr>z_A7FLSL0150_MO_CCFS_proceedsfrommaturitiesofmarketablesecurities</vt:lpstr>
      <vt:lpstr>z_A7FLSL0150_MO_CCFS_proceedsfromsaleoflonglivedassetsandinvestments</vt:lpstr>
      <vt:lpstr>z_A7FLSL0150_MO_CCFS_proceedsfromsalesofmarketablesecurities</vt:lpstr>
      <vt:lpstr>z_A7FLSL0150_MO_CCFS_Proceedsfromsalesofnonmarketableequitysecurities</vt:lpstr>
      <vt:lpstr>z_A7FLSL0150_MO_CCFS_proceedsfromthesaleofcommonstockwarrants</vt:lpstr>
      <vt:lpstr>z_A7FLSL0150_MO_CCFS_purchaseofconvertiblenotehedges</vt:lpstr>
      <vt:lpstr>z_A7FLSL0150_MO_CCFS_purchasesofmarketablesecurities</vt:lpstr>
      <vt:lpstr>z_A7FLSL0150_MO_CCFS_purchasesofpropertyandequipmentandintangibleassets</vt:lpstr>
      <vt:lpstr>z_A7FLSL0150_MO_CCFS_reimbursementofheadquartersbuildingdevelopmentcostsfrombanks</vt:lpstr>
      <vt:lpstr>z_A7FLSL0150_MO_CCFS_repaymentofconvertiblenotes</vt:lpstr>
      <vt:lpstr>z_A7FLSL0150_MO_CCFS_Repaymentofdebt</vt:lpstr>
      <vt:lpstr>z_A7FLSL0150_MO_CCFS_Restructuringandothercharges</vt:lpstr>
      <vt:lpstr>z_A7FLSL0150_MO_CCFS_stockbasedcompensationexpense</vt:lpstr>
      <vt:lpstr>z_A7FLSL0150_MO_CCFS_stockbasedcompensationexpenserelatedtostockoptionpurchase</vt:lpstr>
      <vt:lpstr>z_A7FLSL0150_MO_CCFS_taxbenefitfromstockbasedcompensation</vt:lpstr>
      <vt:lpstr>z_A7FLSL0150_MO_CCFS_taxbenefitfromstockbasedcompensation_1</vt:lpstr>
      <vt:lpstr>z_A7FLSL0150_MO_CCFS_taxbenefitfromstockoptions</vt:lpstr>
      <vt:lpstr>z_A7FLSL0150_MO_CFS_accountspayable</vt:lpstr>
      <vt:lpstr>z_A7FLSL0150_MO_CFS_accountsreceivable</vt:lpstr>
      <vt:lpstr>z_A7FLSL0150_MO_CFS_Accruedandothercurrentliabilities</vt:lpstr>
      <vt:lpstr>z_A7FLSL0150_MO_CFS_Acquisitionofbusinesses</vt:lpstr>
      <vt:lpstr>z_A7FLSL0150_MO_CFS_Acquisitionterminationcost</vt:lpstr>
      <vt:lpstr>z_A7FLSL0150_MO_CFS_Amortizationofdebtdiscount</vt:lpstr>
      <vt:lpstr>z_A7FLSL0150_MO_CFS_BeginningCashBalance</vt:lpstr>
      <vt:lpstr>z_A7FLSL0150_MO_CFS_Cashpaidforinterest</vt:lpstr>
      <vt:lpstr>z_A7FLSL0150_MO_CFS_Cashreceivedpaidforincometaxes</vt:lpstr>
      <vt:lpstr>z_A7FLSL0150_MO_CFS_CFCheck</vt:lpstr>
      <vt:lpstr>z_A7FLSL0150_MO_CFS_CFF</vt:lpstr>
      <vt:lpstr>z_A7FLSL0150_MO_CFS_CFI</vt:lpstr>
      <vt:lpstr>z_A7FLSL0150_MO_CFS_CFO</vt:lpstr>
      <vt:lpstr>z_A7FLSL0150_MO_CFS_CFObeforeWC</vt:lpstr>
      <vt:lpstr>z_A7FLSL0150_MO_CFS_deferredincometaxes</vt:lpstr>
      <vt:lpstr>z_A7FLSL0150_MO_CFS_Depositsandotherassets</vt:lpstr>
      <vt:lpstr>z_A7FLSL0150_MO_CFS_depreciationandamortization</vt:lpstr>
      <vt:lpstr>z_A7FLSL0150_MO_CFS_Dividendspaid</vt:lpstr>
      <vt:lpstr>z_A7FLSL0150_MO_CFS_EndingCashBalance</vt:lpstr>
      <vt:lpstr>z_A7FLSL0150_MO_CFS_FX</vt:lpstr>
      <vt:lpstr>z_A7FLSL0150_MO_CFS_Gainslossesoninvestmentsinnonaffiliates</vt:lpstr>
      <vt:lpstr>z_A7FLSL0150_MO_CFS_impairmentchargeoninvestments</vt:lpstr>
      <vt:lpstr>z_A7FLSL0150_MO_CFS_inprocessresearchanddevelopmentexpenses</vt:lpstr>
      <vt:lpstr>z_A7FLSL0150_MO_CFS_inventories</vt:lpstr>
      <vt:lpstr>z_A7FLSL0150_MO_CFS_Investmentinnonaffiliates</vt:lpstr>
      <vt:lpstr>z_A7FLSL0150_MO_CFS_Issuanceofdebtnetofissuancecosts</vt:lpstr>
      <vt:lpstr>z_A7FLSL0150_MO_CFS_Lossonearlydebtconversion</vt:lpstr>
      <vt:lpstr>z_A7FLSL0150_MO_CFS_NetCFF</vt:lpstr>
      <vt:lpstr>z_A7FLSL0150_MO_CFS_NetCFI</vt:lpstr>
      <vt:lpstr>z_A7FLSL0150_MO_CFS_NetCFO</vt:lpstr>
      <vt:lpstr>z_A7FLSL0150_MO_CFS_NetChangeinCashBalance</vt:lpstr>
      <vt:lpstr>z_A7FLSL0150_MO_CFS_netgainonsaleanddisposaloflonglivedassetsandinvestments</vt:lpstr>
      <vt:lpstr>z_A7FLSL0150_MO_CFS_netincome</vt:lpstr>
      <vt:lpstr>z_A7FLSL0150_MO_CFS_Other</vt:lpstr>
      <vt:lpstr>z_A7FLSL0150_MO_CFS_Other_1</vt:lpstr>
      <vt:lpstr>z_A7FLSL0150_MO_CFS_Other_2</vt:lpstr>
      <vt:lpstr>z_A7FLSL0150_MO_CFS_Otherlongtermliabilities</vt:lpstr>
      <vt:lpstr>z_A7FLSL0150_MO_CFS_Paymentofnotespayablefromacquisition</vt:lpstr>
      <vt:lpstr>z_A7FLSL0150_MO_CFS_Paymentsfordebtissuancecosts</vt:lpstr>
      <vt:lpstr>z_A7FLSL0150_MO_CFS_Paymentsrelatedtorepurchasesofcommonstock</vt:lpstr>
      <vt:lpstr>z_A7FLSL0150_MO_CFS_paymentsrelatedtostockoptionpurchase</vt:lpstr>
      <vt:lpstr>z_A7FLSL0150_MO_CFS_paymentsrelatedtotaxonrestrictedstockunits</vt:lpstr>
      <vt:lpstr>z_A7FLSL0150_MO_CFS_paymentsundercapitalleaseobligations</vt:lpstr>
      <vt:lpstr>z_A7FLSL0150_MO_CFS_paymentsunderpatentlicensingarrangement</vt:lpstr>
      <vt:lpstr>z_A7FLSL0150_MO_CFS_Prepaidexpensesandotherassets</vt:lpstr>
      <vt:lpstr>z_A7FLSL0150_MO_CFS_Prepaidexpensesandothercurrentassets</vt:lpstr>
      <vt:lpstr>z_A7FLSL0150_MO_CFS_Principalpaymentsonpropertyandequipment</vt:lpstr>
      <vt:lpstr>z_A7FLSL0150_MO_CFS_proceedsfromissuanceofcommonstockunderemployeestockplans</vt:lpstr>
      <vt:lpstr>z_A7FLSL0150_MO_CFS_proceedsfromissuanceofconvertiblenotes</vt:lpstr>
      <vt:lpstr>z_A7FLSL0150_MO_CFS_proceedsfrommaturitiesofmarketablesecurities</vt:lpstr>
      <vt:lpstr>z_A7FLSL0150_MO_CFS_proceedsfromsaleoflonglivedassetsandinvestments</vt:lpstr>
      <vt:lpstr>z_A7FLSL0150_MO_CFS_proceedsfromsalesofmarketablesecurities</vt:lpstr>
      <vt:lpstr>z_A7FLSL0150_MO_CFS_Proceedsfromsalesofnonmarketableequitysecurities</vt:lpstr>
      <vt:lpstr>z_A7FLSL0150_MO_CFS_proceedsfromthesaleofcommonstockwarrants</vt:lpstr>
      <vt:lpstr>z_A7FLSL0150_MO_CFS_purchaseofconvertiblenotehedges</vt:lpstr>
      <vt:lpstr>z_A7FLSL0150_MO_CFS_purchasesofmarketablesecurities</vt:lpstr>
      <vt:lpstr>z_A7FLSL0150_MO_CFS_purchasesofpropertyandequipmentandintangibleassets</vt:lpstr>
      <vt:lpstr>z_A7FLSL0150_MO_CFS_reimbursementofheadquartersbuildingdevelopmentcostsfrombanks</vt:lpstr>
      <vt:lpstr>z_A7FLSL0150_MO_CFS_repaymentofconvertiblenotes</vt:lpstr>
      <vt:lpstr>z_A7FLSL0150_MO_CFS_Repaymentofdebt</vt:lpstr>
      <vt:lpstr>z_A7FLSL0150_MO_CFS_Restructuringandothercharges</vt:lpstr>
      <vt:lpstr>z_A7FLSL0150_MO_CFS_stockbasedcompensationexpense</vt:lpstr>
      <vt:lpstr>z_A7FLSL0150_MO_CFS_stockbasedcompensationexpenserelatedtostockoptionpurchase</vt:lpstr>
      <vt:lpstr>z_A7FLSL0150_MO_CFS_taxbenefitfromstockbasedcompensation</vt:lpstr>
      <vt:lpstr>z_A7FLSL0150_MO_CFS_taxbenefitfromstockbasedcompensation_1</vt:lpstr>
      <vt:lpstr>z_A7FLSL0150_MO_CFS_taxbenefitfromstockoptions</vt:lpstr>
      <vt:lpstr>z_A7FLSL0150_MO_CFSum_Acquisitions</vt:lpstr>
      <vt:lpstr>z_A7FLSL0150_MO_CFSum_Capex</vt:lpstr>
      <vt:lpstr>z_A7FLSL0150_MO_CFSum_CashFlowPerDilutedShare</vt:lpstr>
      <vt:lpstr>z_A7FLSL0150_MO_CFSum_CashFlowPerDilutedShare_1</vt:lpstr>
      <vt:lpstr>z_A7FLSL0150_MO_CFSum_ChangeinWorkingCapital</vt:lpstr>
      <vt:lpstr>z_A7FLSL0150_MO_CFSum_ConsensusEstimatesCapex</vt:lpstr>
      <vt:lpstr>z_A7FLSL0150_MO_CFSum_consensusestimatescashflowperdilutedshare</vt:lpstr>
      <vt:lpstr>z_A7FLSL0150_MO_CFSum_Divestiture</vt:lpstr>
      <vt:lpstr>z_A7FLSL0150_MO_CFSum_DividendPaid</vt:lpstr>
      <vt:lpstr>z_A7FLSL0150_MO_CFSum_DividendPerShare</vt:lpstr>
      <vt:lpstr>z_A7FLSL0150_MO_CFSum_EstimatedSharePriceforIssuanceBuybacks</vt:lpstr>
      <vt:lpstr>z_A7FLSL0150_MO_CFSum_FCF</vt:lpstr>
      <vt:lpstr>z_A7FLSL0150_MO_CFSum_FCF_1</vt:lpstr>
      <vt:lpstr>z_A7FLSL0150_MO_CFSum_FCF_2</vt:lpstr>
      <vt:lpstr>z_A7FLSL0150_MO_CFSum_FCF_4</vt:lpstr>
      <vt:lpstr>z_A7FLSL0150_MO_CFSum_FCFPostDiv_1</vt:lpstr>
      <vt:lpstr>z_A7FLSL0150_MO_CFSum_FCFPostDiv_2</vt:lpstr>
      <vt:lpstr>z_A7FLSL0150_MO_CFSum_FCFPostDivDebtBuyback</vt:lpstr>
      <vt:lpstr>z_A7FLSL0150_MO_CFSum_FCFPostDivDebtBuyback_1</vt:lpstr>
      <vt:lpstr>z_A7FLSL0150_MO_CFSum_GuidanceCapex</vt:lpstr>
      <vt:lpstr>z_A7FLSL0150_MO_CFSum_NetDebtIssuanceRepayment</vt:lpstr>
      <vt:lpstr>z_A7FLSL0150_MO_CFSum_NetShareIssuanceBuybacks</vt:lpstr>
      <vt:lpstr>z_A7FLSL0150_MO_CFSum_OperatingCashFlowafterWC</vt:lpstr>
      <vt:lpstr>z_A7FLSL0150_MO_CFSum_OperatingCashFlowbeforeWC</vt:lpstr>
      <vt:lpstr>z_A7FLSL0150_MO_CFSum_SBCexpense</vt:lpstr>
      <vt:lpstr>z_A7FLSL0150_MO_CFSum_SBCexpenseasofrevenue</vt:lpstr>
      <vt:lpstr>z_A7FLSL0150_MO_Checks_SNA_AdjustedNumbersFYSumofQs</vt:lpstr>
      <vt:lpstr>z_A7FLSL0150_MO_Checks_SNA_BalanceSheetisnotRepeated</vt:lpstr>
      <vt:lpstr>z_A7FLSL0150_MO_Checks_SNA_CapexisUpdated</vt:lpstr>
      <vt:lpstr>z_A7FLSL0150_MO_Checks_SNA_CashFlowisnotRepeated</vt:lpstr>
      <vt:lpstr>z_A7FLSL0150_MO_Checks_SNA_CashFlowSummarySignsareCorrect</vt:lpstr>
      <vt:lpstr>z_A7FLSL0150_MO_Checks_SNA_CashisPositive</vt:lpstr>
      <vt:lpstr>z_A7FLSL0150_MO_Checks_SNA_CFFsubtotalFYSumofQs</vt:lpstr>
      <vt:lpstr>z_A7FLSL0150_MO_Checks_SNA_CFIsubtotalFYSumofQs</vt:lpstr>
      <vt:lpstr>z_A7FLSL0150_MO_Checks_SNA_CFOBeforeWCsubtotalFYSumofQs</vt:lpstr>
      <vt:lpstr>z_A7FLSL0150_MO_Checks_SNA_CFOsubtotalFYSumofQs</vt:lpstr>
      <vt:lpstr>z_A7FLSL0150_MO_Checks_SNA_CFSummaryFYSumofQs</vt:lpstr>
      <vt:lpstr>z_A7FLSL0150_MO_Checks_SNA_DebtisPositive</vt:lpstr>
      <vt:lpstr>z_A7FLSL0150_MO_Checks_SNA_EndingCFEndingCumulativeCF</vt:lpstr>
      <vt:lpstr>z_A7FLSL0150_MO_Checks_SNA_IncomeStatementisnotRepeated</vt:lpstr>
      <vt:lpstr>z_A7FLSL0150_MO_Checks_SNA_Marginaddsupto100</vt:lpstr>
      <vt:lpstr>z_A7FLSL0150_MO_Checks_SNA_MarginisUpdated</vt:lpstr>
      <vt:lpstr>z_A7FLSL0150_MO_Checks_SNA_RISAdjustedEBITAdjustedEBIT</vt:lpstr>
      <vt:lpstr>z_A7FLSL0150_MO_Checks_SNA_RISAdjustedNIFYSumofQs</vt:lpstr>
      <vt:lpstr>z_A7FLSL0150_MO_Checks_SNA_RISNIFYSumofQs</vt:lpstr>
      <vt:lpstr>z_A7FLSL0150_MO_Checks_SNA_SegmentedRevenueRevenue</vt:lpstr>
      <vt:lpstr>z_A7FLSL0150_MO_DAF_Additionstoacquiredintangibles</vt:lpstr>
      <vt:lpstr>z_A7FLSL0150_MO_DAF_AmortizationaspercentageofIntangiblesBoP</vt:lpstr>
      <vt:lpstr>z_A7FLSL0150_MO_DAF_Amortizationofintangibles</vt:lpstr>
      <vt:lpstr>z_A7FLSL0150_MO_DAF_CapexofPPE</vt:lpstr>
      <vt:lpstr>z_A7FLSL0150_MO_DAF_CapexofPPEandIntangibles</vt:lpstr>
      <vt:lpstr>z_A7FLSL0150_MO_DAF_DAofPPEandIntangibles</vt:lpstr>
      <vt:lpstr>z_A7FLSL0150_MO_DAF_DepreciationaspercentageofPPEBoP</vt:lpstr>
      <vt:lpstr>z_A7FLSL0150_MO_DAF_Depreciationoffixedassets</vt:lpstr>
      <vt:lpstr>z_A7FLSL0150_MO_DAF_Impliedlifeoffixedassets</vt:lpstr>
      <vt:lpstr>z_A7FLSL0150_MO_DAF_Impliedlifeofintangibles</vt:lpstr>
      <vt:lpstr>z_A7FLSL0150_MO_DAF_IntangiblesBoP</vt:lpstr>
      <vt:lpstr>z_A7FLSL0150_MO_DAF_IntangiblesEoP</vt:lpstr>
      <vt:lpstr>z_A7FLSL0150_MO_DAF_Othernetadditionstointangibles</vt:lpstr>
      <vt:lpstr>z_A7FLSL0150_MO_DAF_OthernetadditionstoPPE</vt:lpstr>
      <vt:lpstr>z_A7FLSL0150_MO_DAF_Percentageofacquisitionexpenditureallocatedtointangibleassets</vt:lpstr>
      <vt:lpstr>z_A7FLSL0150_MO_DAF_Percentageofcapexallocatedtointangibleassets</vt:lpstr>
      <vt:lpstr>z_A7FLSL0150_MO_DAF_PPEBoP</vt:lpstr>
      <vt:lpstr>z_A7FLSL0150_MO_DAF_PPEEoP</vt:lpstr>
      <vt:lpstr>z_A7FLSL0150_MO_DAF_TotalAcquisitions</vt:lpstr>
      <vt:lpstr>z_A7FLSL0150_MO_Header_ColumnHeader</vt:lpstr>
      <vt:lpstr>z_A7FLSL0150_MO_Header_CompanySubTitle</vt:lpstr>
      <vt:lpstr>z_A7FLSL0150_MO_Header_CompanyTitle</vt:lpstr>
      <vt:lpstr>z_A7FLSL0150_MO_Header_FPDays</vt:lpstr>
      <vt:lpstr>z_A7FLSL0150_MO_Header_HeaderRow</vt:lpstr>
      <vt:lpstr>z_A7FLSL0150_MO_Header_HeaderRow_1</vt:lpstr>
      <vt:lpstr>z_A7FLSL0150_MO_Header_HeaderRow_2</vt:lpstr>
      <vt:lpstr>z_A7FLSL0150_MO_Header_HeaderRow_3</vt:lpstr>
      <vt:lpstr>z_A7FLSL0150_MO_Header_HeaderRow_4</vt:lpstr>
      <vt:lpstr>z_A7FLSL0150_MO_Header_QEndDate</vt:lpstr>
      <vt:lpstr>z_A7FLSL0150_MO_IS_costofrevenue</vt:lpstr>
      <vt:lpstr>z_A7FLSL0150_MO_IS_grossprofit</vt:lpstr>
      <vt:lpstr>z_A7FLSL0150_MO_IS_incomebeforeincometaxexpense</vt:lpstr>
      <vt:lpstr>z_A7FLSL0150_MO_IS_incomefromoperations</vt:lpstr>
      <vt:lpstr>z_A7FLSL0150_MO_IS_incometaxexpense</vt:lpstr>
      <vt:lpstr>z_A7FLSL0150_MO_IS_interestexpense</vt:lpstr>
      <vt:lpstr>z_A7FLSL0150_MO_IS_interestincome</vt:lpstr>
      <vt:lpstr>z_A7FLSL0150_MO_IS_ISCheck</vt:lpstr>
      <vt:lpstr>z_A7FLSL0150_MO_IS_legalsettlement</vt:lpstr>
      <vt:lpstr>z_A7FLSL0150_MO_IS_netincome</vt:lpstr>
      <vt:lpstr>z_A7FLSL0150_MO_IS_Otherincome</vt:lpstr>
      <vt:lpstr>z_A7FLSL0150_MO_IS_researchanddevelopment</vt:lpstr>
      <vt:lpstr>z_A7FLSL0150_MO_IS_Restructuringandothercharges</vt:lpstr>
      <vt:lpstr>z_A7FLSL0150_MO_IS_RestructuringChargesandOther</vt:lpstr>
      <vt:lpstr>z_A7FLSL0150_MO_IS_revenue</vt:lpstr>
      <vt:lpstr>z_A7FLSL0150_MO_IS_sales</vt:lpstr>
      <vt:lpstr>z_A7FLSL0150_MO_IS_totaloperatingexpenses</vt:lpstr>
      <vt:lpstr>z_A7FLSL0150_MO_MA_AverageFXRate</vt:lpstr>
      <vt:lpstr>z_A7FLSL0150_MO_MA_CompanyReportedNonGAAPOperatingIncomeMargin</vt:lpstr>
      <vt:lpstr>z_A7FLSL0150_MO_MA_ConsensusEstimatesCompanyReportedNonGAAPOperatingIncomeMargin</vt:lpstr>
      <vt:lpstr>z_A7FLSL0150_MO_MA_ConsensusEstimatesGrossMargin</vt:lpstr>
      <vt:lpstr>z_A7FLSL0150_MO_MA_EoPFXRate</vt:lpstr>
      <vt:lpstr>z_A7FLSL0150_MO_MA_EVSalesAvg</vt:lpstr>
      <vt:lpstr>z_A7FLSL0150_MO_MA_GAAPCOGSMargin</vt:lpstr>
      <vt:lpstr>z_A7FLSL0150_MO_MA_GAAPGrossMargin</vt:lpstr>
      <vt:lpstr>z_A7FLSL0150_MO_MA_GAAPOperatingIncomeMargin</vt:lpstr>
      <vt:lpstr>z_A7FLSL0150_MO_MA_GAAPOPEXMargin</vt:lpstr>
      <vt:lpstr>z_A7FLSL0150_MO_MA_GAAPRDMargin</vt:lpstr>
      <vt:lpstr>z_A7FLSL0150_MO_MA_GAAPSGAMargin</vt:lpstr>
      <vt:lpstr>z_A7FLSL0150_MO_MA_GuidanceNonGAAPGrossMargin</vt:lpstr>
      <vt:lpstr>z_A7FLSL0150_MO_MA_NonGAAPCOGSMargin</vt:lpstr>
      <vt:lpstr>z_A7FLSL0150_MO_MA_NonGAAPEBITDAMargin</vt:lpstr>
      <vt:lpstr>z_A7FLSL0150_MO_MA_NonGAAPGrossMargin</vt:lpstr>
      <vt:lpstr>z_A7FLSL0150_MO_MA_NonGAAPOperatingIncomeMargin</vt:lpstr>
      <vt:lpstr>z_A7FLSL0150_MO_MA_NonGAAPOPEXMargin</vt:lpstr>
      <vt:lpstr>z_A7FLSL0150_MO_MA_NonGAAPRDMargin</vt:lpstr>
      <vt:lpstr>z_A7FLSL0150_MO_MA_NonGAAPSGAMargin</vt:lpstr>
      <vt:lpstr>z_A7FLSL0150_MO_MA_StockEoP</vt:lpstr>
      <vt:lpstr>z_A7FLSL0150_MO_MA_StockPriceTradingCurAvg</vt:lpstr>
      <vt:lpstr>z_A7FLSL0150_MO_OS_Accountspayable_2</vt:lpstr>
      <vt:lpstr>z_A7FLSL0150_MO_OS_AccountspayableYYChange</vt:lpstr>
      <vt:lpstr>z_A7FLSL0150_MO_OS_Accountsreceivablenet</vt:lpstr>
      <vt:lpstr>z_A7FLSL0150_MO_OS_AccountsreceivablenetYYChange</vt:lpstr>
      <vt:lpstr>z_A7FLSL0150_MO_OS_Accruedandothercurrentliabilities</vt:lpstr>
      <vt:lpstr>z_A7FLSL0150_MO_OS_AccruedandothercurrentliabilitiesYYChange</vt:lpstr>
      <vt:lpstr>z_A7FLSL0150_MO_OS_Acquisitionrelatedandothercosts</vt:lpstr>
      <vt:lpstr>z_A7FLSL0150_MO_OS_Acquisitionrelatedandothercosts_1</vt:lpstr>
      <vt:lpstr>z_A7FLSL0150_MO_OS_AcquisitionrelatedcostsCOGS</vt:lpstr>
      <vt:lpstr>z_A7FLSL0150_MO_OS_AcquisitionrelatedcostsCOGSasofrevenue</vt:lpstr>
      <vt:lpstr>z_A7FLSL0150_MO_OS_AcquisitionrelatedcostsRD</vt:lpstr>
      <vt:lpstr>z_A7FLSL0150_MO_OS_AcquisitionrelatedcostsRDasofrevenue</vt:lpstr>
      <vt:lpstr>z_A7FLSL0150_MO_OS_AcquisitionrelatedcostsSGA</vt:lpstr>
      <vt:lpstr>z_A7FLSL0150_MO_OS_AcquisitionrelatedcostsSGAasofrevenue</vt:lpstr>
      <vt:lpstr>z_A7FLSL0150_MO_OS_Acquisitionterminationcost</vt:lpstr>
      <vt:lpstr>z_A7FLSL0150_MO_OS_Additionduetobusinesscombinations</vt:lpstr>
      <vt:lpstr>z_A7FLSL0150_MO_OS_Additionofrepurchaseauthorized_3</vt:lpstr>
      <vt:lpstr>z_A7FLSL0150_MO_OS_Additionofrepurchaseauthorizedmonth1</vt:lpstr>
      <vt:lpstr>z_A7FLSL0150_MO_OS_Additionofrepurchaseauthorizedmonth2</vt:lpstr>
      <vt:lpstr>z_A7FLSL0150_MO_OS_Additionofrepurchaseauthorizedmonth3</vt:lpstr>
      <vt:lpstr>z_A7FLSL0150_MO_OS_AICloudsIndustrialEnterpriserevenue</vt:lpstr>
      <vt:lpstr>z_A7FLSL0150_MO_OS_AllOtherDepreciationandamortization</vt:lpstr>
      <vt:lpstr>z_A7FLSL0150_MO_OS_AllOtherOperatingIncomeloss</vt:lpstr>
      <vt:lpstr>z_A7FLSL0150_MO_OS_AllOtherOperatingIncomeloss_1</vt:lpstr>
      <vt:lpstr>z_A7FLSL0150_MO_OS_AllOtherOperatingIncomeMargin</vt:lpstr>
      <vt:lpstr>z_A7FLSL0150_MO_OS_AllOtherRevenue</vt:lpstr>
      <vt:lpstr>z_A7FLSL0150_MO_OS_AllOtherRevenue_1</vt:lpstr>
      <vt:lpstr>z_A7FLSL0150_MO_OS_automotiverevenue</vt:lpstr>
      <vt:lpstr>z_A7FLSL0150_MO_OS_AutomotiveRevenueGrowth</vt:lpstr>
      <vt:lpstr>z_A7FLSL0150_MO_OS_AutonomousmachinesTAM</vt:lpstr>
      <vt:lpstr>z_A7FLSL0150_MO_OS_Averagepriceofsharerepurchasedcalculated</vt:lpstr>
      <vt:lpstr>z_A7FLSL0150_MO_OS_Averagepriceofsharerepurchasedmonth1</vt:lpstr>
      <vt:lpstr>z_A7FLSL0150_MO_OS_Averagepriceofsharerepurchasedmonth2</vt:lpstr>
      <vt:lpstr>z_A7FLSL0150_MO_OS_Averagepriceofsharerepurchasedmonth3</vt:lpstr>
      <vt:lpstr>z_A7FLSL0150_MO_OS_Product0076</vt:lpstr>
      <vt:lpstr>z_A7FLSL0150_MO_OS_BoPtotalstockoptionsoutstanding</vt:lpstr>
      <vt:lpstr>z_A7FLSL0150_MO_OS_BoPweightedaverageexerciseprice</vt:lpstr>
      <vt:lpstr>z_A7FLSL0150_MO_OS_Sourcefullydilutedsharesoutstanding</vt:lpstr>
      <vt:lpstr>z_A7FLSL0150_MO_OS_Sourcepotentiallydilutivecoverpagesharesoutstanding</vt:lpstr>
      <vt:lpstr>z_A7FLSL0150_MO_OS_Capexbeatmissvsmostrecentguidancemidpoint</vt:lpstr>
      <vt:lpstr>z_A7FLSL0150_MO_OS_Capexguidanceinitialmidpoint</vt:lpstr>
      <vt:lpstr>z_A7FLSL0150_MO_OS_Capexguidancemostrecentmidpoint</vt:lpstr>
      <vt:lpstr>z_A7FLSL0150_MO_OS_Capexguidanceupdate1midpoint</vt:lpstr>
      <vt:lpstr>z_A7FLSL0150_MO_OS_Capexguidanceupdate2midpoint</vt:lpstr>
      <vt:lpstr>z_A7FLSL0150_MO_OS_Capexguidanceupdate3midpoint</vt:lpstr>
      <vt:lpstr>z_A7FLSL0150_MO_OS_Capexreportedmodelestimate</vt:lpstr>
      <vt:lpstr>z_A7FLSL0150_MO_OS_CEOAllothercompensation</vt:lpstr>
      <vt:lpstr>z_A7FLSL0150_MO_OS_CEOBasePay</vt:lpstr>
      <vt:lpstr>z_A7FLSL0150_MO_OS_CEOcomptiedtoequity</vt:lpstr>
      <vt:lpstr>z_A7FLSL0150_MO_OS_CEOEoPsharesbeneficiallyowned</vt:lpstr>
      <vt:lpstr>z_A7FLSL0150_MO_OS_CEOEoPSharesIssuableWithin60days</vt:lpstr>
      <vt:lpstr>z_A7FLSL0150_MO_OS_CEOEoPsharesowned</vt:lpstr>
      <vt:lpstr>z_A7FLSL0150_MO_OS_CEONonequityincentiveplans</vt:lpstr>
      <vt:lpstr>z_A7FLSL0150_MO_OS_CEOOptions03172021exerciseprice</vt:lpstr>
      <vt:lpstr>z_A7FLSL0150_MO_OS_CEOOptions03172021ofunexercisedexercisableoptions</vt:lpstr>
      <vt:lpstr>z_A7FLSL0150_MO_OS_CEOOptions03192023exerciseprice</vt:lpstr>
      <vt:lpstr>z_A7FLSL0150_MO_OS_CEOOptions03192023ofunexercisedexercisableoptions</vt:lpstr>
      <vt:lpstr>z_A7FLSL0150_MO_OS_CEOOptions03202022exerciseprice</vt:lpstr>
      <vt:lpstr>z_A7FLSL0150_MO_OS_CEOOptions03202022ofunexercisedexercisableoptions</vt:lpstr>
      <vt:lpstr>z_A7FLSL0150_MO_OS_CEOOptions09142020exerciseprice</vt:lpstr>
      <vt:lpstr>z_A7FLSL0150_MO_OS_CEOOptions09142020ofunexercisedexercisableoptions</vt:lpstr>
      <vt:lpstr>z_A7FLSL0150_MO_OS_CEOOptions09172023exerciseprice</vt:lpstr>
      <vt:lpstr>z_A7FLSL0150_MO_OS_CEOOptions09172023ofunexercisedexcercisableoptions</vt:lpstr>
      <vt:lpstr>z_A7FLSL0150_MO_OS_CEOOptions09182022exerciseprice</vt:lpstr>
      <vt:lpstr>z_A7FLSL0150_MO_OS_CEOOptions09182022ofunexercisedexercisableoptions</vt:lpstr>
      <vt:lpstr>z_A7FLSL0150_MO_OS_CEOOptions09202021exerciseprice</vt:lpstr>
      <vt:lpstr>z_A7FLSL0150_MO_OS_CEOOptions09202021ofunexercisedexercisableoptions</vt:lpstr>
      <vt:lpstr>z_A7FLSL0150_MO_OS_CEOStockAwards</vt:lpstr>
      <vt:lpstr>z_A7FLSL0150_MO_OS_CEOStockOwnershipGuidelinestimesbasesalary</vt:lpstr>
      <vt:lpstr>z_A7FLSL0150_MO_OS_CEOTotalComp</vt:lpstr>
      <vt:lpstr>z_A7FLSL0150_MO_OS_CFOAllothercompensation</vt:lpstr>
      <vt:lpstr>z_A7FLSL0150_MO_OS_CFOBasePay</vt:lpstr>
      <vt:lpstr>z_A7FLSL0150_MO_OS_CFOcomptiedtoequity</vt:lpstr>
      <vt:lpstr>z_A7FLSL0150_MO_OS_CFOEoPsharesbeneficiallyowned</vt:lpstr>
      <vt:lpstr>z_A7FLSL0150_MO_OS_CFOEoPSharesIssuableWithin60days</vt:lpstr>
      <vt:lpstr>z_A7FLSL0150_MO_OS_CFOEoPsharesowned</vt:lpstr>
      <vt:lpstr>z_A7FLSL0150_MO_OS_CFONonequityincentiveplans</vt:lpstr>
      <vt:lpstr>z_A7FLSL0150_MO_OS_CFOStockAwards</vt:lpstr>
      <vt:lpstr>z_A7FLSL0150_MO_OS_CFOTotalComp</vt:lpstr>
      <vt:lpstr>z_A7FLSL0150_MO_OS_ChangeinDeferredRevenueBalance</vt:lpstr>
      <vt:lpstr>z_A7FLSL0150_MO_OS_ChangeinimpliedROYrevenue</vt:lpstr>
      <vt:lpstr>z_A7FLSL0150_MO_OS_chinarevenue</vt:lpstr>
      <vt:lpstr>z_A7FLSL0150_MO_OS_ChinaRevenue_1</vt:lpstr>
      <vt:lpstr>z_A7FLSL0150_MO_OS_CMPRevenue</vt:lpstr>
      <vt:lpstr>z_A7FLSL0150_MO_OS_CommonstockoutstandingEoP</vt:lpstr>
      <vt:lpstr>z_A7FLSL0150_MO_OS_ComputeNetworkingOperatingIncomeloss</vt:lpstr>
      <vt:lpstr>z_A7FLSL0150_MO_OS_ComputeNetworkingOperatingIncomeMargin</vt:lpstr>
      <vt:lpstr>z_A7FLSL0150_MO_OS_ComputeNetworkingrevenuemm</vt:lpstr>
      <vt:lpstr>z_A7FLSL0150_MO_OS_Computerevenue</vt:lpstr>
      <vt:lpstr>z_A7FLSL0150_MO_OS_ConsensusEstimatesNonGAAPGrossMargin</vt:lpstr>
      <vt:lpstr>z_A7FLSL0150_MO_OS_ConsensusEstimatesNonGAAPOperatingIncome</vt:lpstr>
      <vt:lpstr>z_A7FLSL0150_MO_OS_ConsensusEstimatesNonGAAPOperatingIncomeMargin</vt:lpstr>
      <vt:lpstr>z_A7FLSL0150_MO_OS_ConsensusEstimatesTotalRevenue</vt:lpstr>
      <vt:lpstr>z_A7FLSL0150_MO_OS_Contributions</vt:lpstr>
      <vt:lpstr>z_A7FLSL0150_MO_OS_Contributions_1</vt:lpstr>
      <vt:lpstr>z_A7FLSL0150_MO_OS_Costofrevenue</vt:lpstr>
      <vt:lpstr>z_A7FLSL0150_MO_OS_Coverpagecommonstockoutstanding</vt:lpstr>
      <vt:lpstr>z_A7FLSL0150_MO_OS_CumulativeBoPTotalStockOptionsOutstanding</vt:lpstr>
      <vt:lpstr>z_A7FLSL0150_MO_OS_CumulativeBoPWeightedAverageExercisePrice</vt:lpstr>
      <vt:lpstr>z_A7FLSL0150_MO_OS_CumulativeEoPTotalStockOptionsOutstanding</vt:lpstr>
      <vt:lpstr>z_A7FLSL0150_MO_OS_CumulativeEoPWeightedAverageExercisePrice</vt:lpstr>
      <vt:lpstr>z_A7FLSL0150_MO_OS_CumulativeExercisedAverageExercisePrice</vt:lpstr>
      <vt:lpstr>z_A7FLSL0150_MO_OS_CumulativeExercisedStockOptions</vt:lpstr>
      <vt:lpstr>z_A7FLSL0150_MO_OS_CumulativeForfeitedandCanceledAverageExercisePrice</vt:lpstr>
      <vt:lpstr>z_A7FLSL0150_MO_OS_CumulativeForfeitedandCanceledStockOptions</vt:lpstr>
      <vt:lpstr>z_A7FLSL0150_MO_OS_CumulativeGrantedAverageExercisePrice</vt:lpstr>
      <vt:lpstr>z_A7FLSL0150_MO_OS_CumulativeGrantedStockOptions</vt:lpstr>
      <vt:lpstr>z_A7FLSL0150_MO_OS_Currentinventorypurchaseandlongtermsupplyobligations</vt:lpstr>
      <vt:lpstr>z_A7FLSL0150_MO_OS_CurrentRPOs</vt:lpstr>
      <vt:lpstr>z_A7FLSL0150_MO_OS_CurrentRPOs_1</vt:lpstr>
      <vt:lpstr>z_A7FLSL0150_MO_OS_datacenterrevenue</vt:lpstr>
      <vt:lpstr>z_A7FLSL0150_MO_OS_DataCenterrevenue_2</vt:lpstr>
      <vt:lpstr>z_A7FLSL0150_MO_OS_DatacenterRevenueGrowth</vt:lpstr>
      <vt:lpstr>z_A7FLSL0150_MO_OS_DatacentersystemsTAM</vt:lpstr>
      <vt:lpstr>z_A7FLSL0150_MO_OS_Dateofcoverpagesharecount</vt:lpstr>
      <vt:lpstr>z_A7FLSL0150_MO_OS_DayssalesininventoryDSI</vt:lpstr>
      <vt:lpstr>z_A7FLSL0150_MO_OS_DayssalesoutstandingDSO</vt:lpstr>
      <vt:lpstr>z_A7FLSL0150_MO_OS_DeferredRevenueaddedduringtheperiod</vt:lpstr>
      <vt:lpstr>z_A7FLSL0150_MO_OS_DeferredRevenueBalanceatbeginningofperiod</vt:lpstr>
      <vt:lpstr>z_A7FLSL0150_MO_OS_DeferredRevenueBalanceatEndofperiod</vt:lpstr>
      <vt:lpstr>z_A7FLSL0150_MO_OS_Dilutedsharecounttobasicsharecountratio</vt:lpstr>
      <vt:lpstr>z_A7FLSL0150_MO_OS_Dilutiveshares</vt:lpstr>
      <vt:lpstr>z_A7FLSL0150_MO_OS_Dilutivesharesfromexercisedoptionstreasurymethod</vt:lpstr>
      <vt:lpstr>z_A7FLSL0150_MO_OS_Director10allothercomp</vt:lpstr>
      <vt:lpstr>z_A7FLSL0150_MO_OS_Director10cashcomp</vt:lpstr>
      <vt:lpstr>z_A7FLSL0150_MO_OS_Director10stockawardcomp</vt:lpstr>
      <vt:lpstr>z_A7FLSL0150_MO_OS_Director11allothercomp</vt:lpstr>
      <vt:lpstr>z_A7FLSL0150_MO_OS_Director11cashcomp</vt:lpstr>
      <vt:lpstr>z_A7FLSL0150_MO_OS_Director11stockawardcomp</vt:lpstr>
      <vt:lpstr>z_A7FLSL0150_MO_OS_Director12allothercomp</vt:lpstr>
      <vt:lpstr>z_A7FLSL0150_MO_OS_Director12cashcomp</vt:lpstr>
      <vt:lpstr>z_A7FLSL0150_MO_OS_Director12stockawardcomp</vt:lpstr>
      <vt:lpstr>z_A7FLSL0150_MO_OS_Director13allothercomp</vt:lpstr>
      <vt:lpstr>z_A7FLSL0150_MO_OS_Director13allothercomp_1</vt:lpstr>
      <vt:lpstr>z_A7FLSL0150_MO_OS_Director13cashcomp</vt:lpstr>
      <vt:lpstr>z_A7FLSL0150_MO_OS_Director13stockawardcomp</vt:lpstr>
      <vt:lpstr>z_A7FLSL0150_MO_OS_Director14cashcomp</vt:lpstr>
      <vt:lpstr>z_A7FLSL0150_MO_OS_Director14stockawardcomp</vt:lpstr>
      <vt:lpstr>z_A7FLSL0150_MO_OS_Director1allothercomp</vt:lpstr>
      <vt:lpstr>z_A7FLSL0150_MO_OS_Director1cashcomp</vt:lpstr>
      <vt:lpstr>z_A7FLSL0150_MO_OS_Director1stockawardcomp</vt:lpstr>
      <vt:lpstr>z_A7FLSL0150_MO_OS_Director2allothercomp</vt:lpstr>
      <vt:lpstr>z_A7FLSL0150_MO_OS_Director2cashcomp</vt:lpstr>
      <vt:lpstr>z_A7FLSL0150_MO_OS_Director2stockawardcomp</vt:lpstr>
      <vt:lpstr>z_A7FLSL0150_MO_OS_Director3allothercomp</vt:lpstr>
      <vt:lpstr>z_A7FLSL0150_MO_OS_Director3cashcomp</vt:lpstr>
      <vt:lpstr>z_A7FLSL0150_MO_OS_Director3stockawardcomp</vt:lpstr>
      <vt:lpstr>z_A7FLSL0150_MO_OS_Director4allothercomp</vt:lpstr>
      <vt:lpstr>z_A7FLSL0150_MO_OS_Director4cashcomp</vt:lpstr>
      <vt:lpstr>z_A7FLSL0150_MO_OS_Director4stockawardcomp</vt:lpstr>
      <vt:lpstr>z_A7FLSL0150_MO_OS_Director5allothercomp</vt:lpstr>
      <vt:lpstr>z_A7FLSL0150_MO_OS_Director5cashcomp</vt:lpstr>
      <vt:lpstr>z_A7FLSL0150_MO_OS_Director5stockawardcomp</vt:lpstr>
      <vt:lpstr>z_A7FLSL0150_MO_OS_Director6allothercomp</vt:lpstr>
      <vt:lpstr>z_A7FLSL0150_MO_OS_Director6cashcomp</vt:lpstr>
      <vt:lpstr>z_A7FLSL0150_MO_OS_Director6stockawardcomp</vt:lpstr>
      <vt:lpstr>z_A7FLSL0150_MO_OS_Director7allothercomp</vt:lpstr>
      <vt:lpstr>z_A7FLSL0150_MO_OS_Director7cashcomp</vt:lpstr>
      <vt:lpstr>z_A7FLSL0150_MO_OS_Director7stockawardcomp</vt:lpstr>
      <vt:lpstr>z_A7FLSL0150_MO_OS_Director8allothercomp</vt:lpstr>
      <vt:lpstr>z_A7FLSL0150_MO_OS_Director8cashcomp</vt:lpstr>
      <vt:lpstr>z_A7FLSL0150_MO_OS_Director8stockawardcomp</vt:lpstr>
      <vt:lpstr>z_A7FLSL0150_MO_OS_Director9allothercomp</vt:lpstr>
      <vt:lpstr>z_A7FLSL0150_MO_OS_Director9cashcomp</vt:lpstr>
      <vt:lpstr>z_A7FLSL0150_MO_OS_Director9stockawardcomp</vt:lpstr>
      <vt:lpstr>z_A7FLSL0150_MO_OS_DirectorsStockOwneshershipGuidelinesbasesalary</vt:lpstr>
      <vt:lpstr>z_A7FLSL0150_MO_OS_EdgeComputing</vt:lpstr>
      <vt:lpstr>z_A7FLSL0150_MO_OS_Employeecount</vt:lpstr>
      <vt:lpstr>z_A7FLSL0150_MO_OS_Endofperiodstockprice</vt:lpstr>
      <vt:lpstr>z_A7FLSL0150_MO_OS_EoPESPPObligations</vt:lpstr>
      <vt:lpstr>z_A7FLSL0150_MO_OS_EoPRSUs_1</vt:lpstr>
      <vt:lpstr>z_A7FLSL0150_MO_OS_EoPRSUsPSUsandmarketbasedPSUs</vt:lpstr>
      <vt:lpstr>z_A7FLSL0150_MO_OS_EoPtotalstockoptionsexercisable</vt:lpstr>
      <vt:lpstr>z_A7FLSL0150_MO_OS_EoPtotalstockoptionsoutstanding</vt:lpstr>
      <vt:lpstr>z_A7FLSL0150_MO_OS_EoPweightedaverageexercisableoptionexerciseprice</vt:lpstr>
      <vt:lpstr>z_A7FLSL0150_MO_OS_EoPweightedaverageexerciseprice</vt:lpstr>
      <vt:lpstr>z_A7FLSL0150_MO_OS_europerevenue</vt:lpstr>
      <vt:lpstr>z_A7FLSL0150_MO_OS_EuropeRevenue_1</vt:lpstr>
      <vt:lpstr>z_A7FLSL0150_MO_OS_ExcessinventorypurchaseobligationsrelatedtoCOGS</vt:lpstr>
      <vt:lpstr>z_A7FLSL0150_MO_OS_Exercisedaverageexerciseprice</vt:lpstr>
      <vt:lpstr>z_A7FLSL0150_MO_OS_Exercisedstockoptions</vt:lpstr>
      <vt:lpstr>z_A7FLSL0150_MO_OS_Forfeitedandcanceledaverageexerciseprice</vt:lpstr>
      <vt:lpstr>z_A7FLSL0150_MO_OS_Forfeitedandcanceledstockoptions</vt:lpstr>
      <vt:lpstr>z_A7FLSL0150_MO_OS_ForwardannualCapexguidancehigh</vt:lpstr>
      <vt:lpstr>z_A7FLSL0150_MO_OS_ForwardannualCapexguidancelow</vt:lpstr>
      <vt:lpstr>z_A7FLSL0150_MO_OS_ForwardannualCapexguidancemidpoint</vt:lpstr>
      <vt:lpstr>z_A7FLSL0150_MO_OS_ForwardannualCapexguidancevariance</vt:lpstr>
      <vt:lpstr>z_A7FLSL0150_MO_OS_ForwardannualCapexguidancevariance_1</vt:lpstr>
      <vt:lpstr>z_A7FLSL0150_MO_OS_Forwardannualguidanceapplicableperiod</vt:lpstr>
      <vt:lpstr>z_A7FLSL0150_MO_OS_Forwardannualguidanceapplicableperiod_1</vt:lpstr>
      <vt:lpstr>z_A7FLSL0150_MO_OS_Forwardannualguidanceapplicableperiod_2</vt:lpstr>
      <vt:lpstr>z_A7FLSL0150_MO_OS_Forwardannualguidanceapplicableperiod_3</vt:lpstr>
      <vt:lpstr>z_A7FLSL0150_MO_OS_ForwardannualguidedYYnonGAAPgrossprofitgrowthhigh</vt:lpstr>
      <vt:lpstr>z_A7FLSL0150_MO_OS_ForwardannualguidedYYnonGAAPgrossprofitgrowthlow</vt:lpstr>
      <vt:lpstr>z_A7FLSL0150_MO_OS_ForwardannualguidedYYnonGAAPgrossprofitgrowthmidpoint</vt:lpstr>
      <vt:lpstr>z_A7FLSL0150_MO_OS_ForwardannualguidedYYnonGAAPgrossprofitmarginimprovementhigh</vt:lpstr>
      <vt:lpstr>z_A7FLSL0150_MO_OS_ForwardannualguidedYYnonGAAPgrossprofitmarginimprovementlow</vt:lpstr>
      <vt:lpstr>z_A7FLSL0150_MO_OS_ForwardannualguidedYYnonGAAPgrossprofitmarginimprovementmidpoint</vt:lpstr>
      <vt:lpstr>z_A7FLSL0150_MO_OS_ForwardannualguidedYYrevenuegrowthhigh</vt:lpstr>
      <vt:lpstr>z_A7FLSL0150_MO_OS_ForwardannualguidedYYrevenuegrowthlow</vt:lpstr>
      <vt:lpstr>z_A7FLSL0150_MO_OS_ForwardannualguidedYYrevenuegrowthmidpoint</vt:lpstr>
      <vt:lpstr>z_A7FLSL0150_MO_OS_ForwardannualnonGAAPgrossprofitguidancehigh</vt:lpstr>
      <vt:lpstr>z_A7FLSL0150_MO_OS_ForwardannualnonGAAPgrossprofitguidancelow</vt:lpstr>
      <vt:lpstr>z_A7FLSL0150_MO_OS_ForwardannualnonGAAPgrossprofitguidancemidpoint</vt:lpstr>
      <vt:lpstr>z_A7FLSL0150_MO_OS_ForwardannualnonGAAPgrossprofitguidancevariance</vt:lpstr>
      <vt:lpstr>z_A7FLSL0150_MO_OS_ForwardannualnonGAAPgrossprofitguidancevariance_1</vt:lpstr>
      <vt:lpstr>z_A7FLSL0150_MO_OS_ForwardannualnonGAAPgrossprofitmarginguidancehigh</vt:lpstr>
      <vt:lpstr>z_A7FLSL0150_MO_OS_ForwardannualnonGAAPgrossprofitmarginguidancelow</vt:lpstr>
      <vt:lpstr>z_A7FLSL0150_MO_OS_ForwardannualnonGAAPgrossprofitmarginguidancemidpoint</vt:lpstr>
      <vt:lpstr>z_A7FLSL0150_MO_OS_ForwardannualnonGAAPgrossprofitmarginguidancevariance</vt:lpstr>
      <vt:lpstr>z_A7FLSL0150_MO_OS_ForwardannualNonGAAPOperatingExpensesguidancehigh</vt:lpstr>
      <vt:lpstr>z_A7FLSL0150_MO_OS_ForwardannualNonGAAPOperatingExpensesguidancelow</vt:lpstr>
      <vt:lpstr>z_A7FLSL0150_MO_OS_ForwardannualNonGAAPOperatingExpensesguidancemidpoint</vt:lpstr>
      <vt:lpstr>z_A7FLSL0150_MO_OS_ForwardannualNonGAAPOperatingExpensesguidancevariance</vt:lpstr>
      <vt:lpstr>z_A7FLSL0150_MO_OS_ForwardannualNonGAAPOperatingExpensesguidancevariance_1</vt:lpstr>
      <vt:lpstr>z_A7FLSL0150_MO_OS_Forwardannualrevenueguidancehigh</vt:lpstr>
      <vt:lpstr>z_A7FLSL0150_MO_OS_Forwardannualrevenueguidancelow</vt:lpstr>
      <vt:lpstr>z_A7FLSL0150_MO_OS_Forwardannualrevenueguidancemidpoint</vt:lpstr>
      <vt:lpstr>z_A7FLSL0150_MO_OS_Forwardannualrevenueguidancevariance</vt:lpstr>
      <vt:lpstr>z_A7FLSL0150_MO_OS_Forwardannualrevenueguidancevariance_1</vt:lpstr>
      <vt:lpstr>z_A7FLSL0150_MO_OS_Forwardguidancereportdate</vt:lpstr>
      <vt:lpstr>z_A7FLSL0150_MO_OS_Forwardguidancereportdate_1</vt:lpstr>
      <vt:lpstr>z_A7FLSL0150_MO_OS_Forwardguidancereportdate_2</vt:lpstr>
      <vt:lpstr>z_A7FLSL0150_MO_OS_Forwardguidancereportdate_3</vt:lpstr>
      <vt:lpstr>z_A7FLSL0150_MO_OS_ForwardquarterlyCapexguidancehigh</vt:lpstr>
      <vt:lpstr>z_A7FLSL0150_MO_OS_ForwardquarterlyCapexguidancelow</vt:lpstr>
      <vt:lpstr>z_A7FLSL0150_MO_OS_ForwardquarterlyCapexguidancemidpoint</vt:lpstr>
      <vt:lpstr>z_A7FLSL0150_MO_OS_ForwardquarterlyCapexguidancevariance</vt:lpstr>
      <vt:lpstr>z_A7FLSL0150_MO_OS_ForwardquarterlyCapexguidancevariance_1</vt:lpstr>
      <vt:lpstr>z_A7FLSL0150_MO_OS_Forwardquarterlyguidanceapplicableperiod</vt:lpstr>
      <vt:lpstr>z_A7FLSL0150_MO_OS_Forwardquarterlyguidanceapplicableperiod_1</vt:lpstr>
      <vt:lpstr>z_A7FLSL0150_MO_OS_Forwardquarterlyguidanceapplicableperiod_2</vt:lpstr>
      <vt:lpstr>z_A7FLSL0150_MO_OS_Forwardquarterlyguidanceapplicableperiod_3</vt:lpstr>
      <vt:lpstr>z_A7FLSL0150_MO_OS_ForwardquarterlyguidedQQnonGAAPgrossprofitgrowthhigh</vt:lpstr>
      <vt:lpstr>z_A7FLSL0150_MO_OS_ForwardquarterlyguidedQQnonGAAPgrossprofitgrowthlow</vt:lpstr>
      <vt:lpstr>z_A7FLSL0150_MO_OS_ForwardquarterlyguidedQQnonGAAPgrossprofitgrowthmidpoint</vt:lpstr>
      <vt:lpstr>z_A7FLSL0150_MO_OS_ForwardquarterlyguidedQQnonGAAPgrossprofitmarginimprovementhigh</vt:lpstr>
      <vt:lpstr>z_A7FLSL0150_MO_OS_ForwardquarterlyguidedQQnonGAAPgrossprofitmarginimprovementlow</vt:lpstr>
      <vt:lpstr>z_A7FLSL0150_MO_OS_ForwardquarterlyguidedQQnonGAAPgrossprofitmarginimprovementmidpoint</vt:lpstr>
      <vt:lpstr>z_A7FLSL0150_MO_OS_ForwardquarterlyguidedQQrevenuegrowthhigh</vt:lpstr>
      <vt:lpstr>z_A7FLSL0150_MO_OS_ForwardquarterlyguidedQQrevenuegrowthlow</vt:lpstr>
      <vt:lpstr>z_A7FLSL0150_MO_OS_ForwardquarterlyguidedQQrevenuegrowthmidpoint</vt:lpstr>
      <vt:lpstr>z_A7FLSL0150_MO_OS_ForwardquarterlyguidedYYnonGAAPgrossprofitgrowthhigh</vt:lpstr>
      <vt:lpstr>z_A7FLSL0150_MO_OS_ForwardquarterlyguidedYYnonGAAPgrossprofitgrowthlow</vt:lpstr>
      <vt:lpstr>z_A7FLSL0150_MO_OS_ForwardquarterlyguidedYYnonGAAPgrossprofitgrowthmidpoint</vt:lpstr>
      <vt:lpstr>z_A7FLSL0150_MO_OS_ForwardquarterlyguidedYYnonGAAPgrossprofitmarginimprovementhigh</vt:lpstr>
      <vt:lpstr>z_A7FLSL0150_MO_OS_ForwardquarterlyguidedYYnonGAAPgrossprofitmarginimprovementlow</vt:lpstr>
      <vt:lpstr>z_A7FLSL0150_MO_OS_ForwardquarterlyguidedYYnonGAAPgrossprofitmarginimprovementmidpoint</vt:lpstr>
      <vt:lpstr>z_A7FLSL0150_MO_OS_ForwardquarterlyguidedYYrevenuegrowthhigh</vt:lpstr>
      <vt:lpstr>z_A7FLSL0150_MO_OS_ForwardquarterlyguidedYYrevenuegrowthlow</vt:lpstr>
      <vt:lpstr>z_A7FLSL0150_MO_OS_ForwardquarterlyguidedYYrevenuegrowthmidpoint</vt:lpstr>
      <vt:lpstr>z_A7FLSL0150_MO_OS_ForwardquarterlynonGAAPgrossprofitguidancehigh</vt:lpstr>
      <vt:lpstr>z_A7FLSL0150_MO_OS_ForwardquarterlynonGAAPgrossprofitguidancelow</vt:lpstr>
      <vt:lpstr>z_A7FLSL0150_MO_OS_ForwardquarterlynonGAAPgrossprofitguidancemidpoint</vt:lpstr>
      <vt:lpstr>z_A7FLSL0150_MO_OS_ForwardquarterlynonGAAPgrossprofitguidancevariance</vt:lpstr>
      <vt:lpstr>z_A7FLSL0150_MO_OS_ForwardquarterlynonGAAPgrossprofitguidancevariance_1</vt:lpstr>
      <vt:lpstr>z_A7FLSL0150_MO_OS_ForwardquarterlynonGAAPgrossprofitmarginguidancehigh</vt:lpstr>
      <vt:lpstr>z_A7FLSL0150_MO_OS_ForwardquarterlynonGAAPgrossprofitmarginguidancelow</vt:lpstr>
      <vt:lpstr>z_A7FLSL0150_MO_OS_ForwardquarterlynonGAAPgrossprofitmarginguidancemidpoint</vt:lpstr>
      <vt:lpstr>z_A7FLSL0150_MO_OS_ForwardquarterlynonGAAPgrossprofitmarginguidancevariance</vt:lpstr>
      <vt:lpstr>z_A7FLSL0150_MO_OS_ForwardquarterlyNonGAAPOperatingExpensesguidancehigh</vt:lpstr>
      <vt:lpstr>z_A7FLSL0150_MO_OS_ForwardquarterlyNonGAAPOperatingExpensesguidancelow</vt:lpstr>
      <vt:lpstr>z_A7FLSL0150_MO_OS_ForwardquarterlyNonGAAPOperatingExpensesguidancemidpoint</vt:lpstr>
      <vt:lpstr>z_A7FLSL0150_MO_OS_ForwardquarterlyNonGAAPOperatingExpensesguidancevariance</vt:lpstr>
      <vt:lpstr>z_A7FLSL0150_MO_OS_ForwardquarterlyNonGAAPOperatingExpensesguidancevariance_1</vt:lpstr>
      <vt:lpstr>z_A7FLSL0150_MO_OS_Forwardquarterlyrevenueguidancehigh</vt:lpstr>
      <vt:lpstr>z_A7FLSL0150_MO_OS_Forwardquarterlyrevenueguidancelow</vt:lpstr>
      <vt:lpstr>z_A7FLSL0150_MO_OS_Forwardquarterlyrevenueguidancemidpoint</vt:lpstr>
      <vt:lpstr>z_A7FLSL0150_MO_OS_Forwardquarterlyrevenueguidancevariance</vt:lpstr>
      <vt:lpstr>z_A7FLSL0150_MO_OS_Forwardquarterlyrevenueguidancevariance_1</vt:lpstr>
      <vt:lpstr>z_A7FLSL0150_MO_OS_Futureunconditionalpurchasecommitmentsduein1year</vt:lpstr>
      <vt:lpstr>z_A7FLSL0150_MO_OS_Futureunconditionalpurchasecommitmentsduein2years</vt:lpstr>
      <vt:lpstr>z_A7FLSL0150_MO_OS_Futureunconditionalpurchasecommitmentsduein3years</vt:lpstr>
      <vt:lpstr>z_A7FLSL0150_MO_OS_Futureunconditionalpurchasecommitmentsduein4year</vt:lpstr>
      <vt:lpstr>z_A7FLSL0150_MO_OS_Futureunconditionalpurchasecommitmentsduein5years</vt:lpstr>
      <vt:lpstr>z_A7FLSL0150_MO_OS_Futureunconditionalpurchasecommitmentsduein6years</vt:lpstr>
      <vt:lpstr>z_A7FLSL0150_MO_OS_GAAPGrossMargin</vt:lpstr>
      <vt:lpstr>z_A7FLSL0150_MO_OS_GAAPGrossProfit</vt:lpstr>
      <vt:lpstr>z_A7FLSL0150_MO_OS_GAAPOPEXExpense</vt:lpstr>
      <vt:lpstr>z_A7FLSL0150_MO_OS_GAAPOPEXMargin</vt:lpstr>
      <vt:lpstr>z_A7FLSL0150_MO_OS_GAAPRDExpense</vt:lpstr>
      <vt:lpstr>z_A7FLSL0150_MO_OS_GAAPRDMargin</vt:lpstr>
      <vt:lpstr>z_A7FLSL0150_MO_OS_GAAPSGAExpense</vt:lpstr>
      <vt:lpstr>z_A7FLSL0150_MO_OS_GAAPSGAMargin</vt:lpstr>
      <vt:lpstr>z_A7FLSL0150_MO_OS_gamingrevenue</vt:lpstr>
      <vt:lpstr>z_A7FLSL0150_MO_OS_GamingTAM</vt:lpstr>
      <vt:lpstr>z_A7FLSL0150_MO_OS_GPUDepreciationandamortization</vt:lpstr>
      <vt:lpstr>z_A7FLSL0150_MO_OS_GPUOperatingIncomeloss</vt:lpstr>
      <vt:lpstr>z_A7FLSL0150_MO_OS_GPUOperatingIncomeMargin</vt:lpstr>
      <vt:lpstr>z_A7FLSL0150_MO_OS_gpurevenue</vt:lpstr>
      <vt:lpstr>z_A7FLSL0150_MO_OS_gpurevenuegrowth</vt:lpstr>
      <vt:lpstr>z_A7FLSL0150_MO_OS_Grantedaverageexerciseprice</vt:lpstr>
      <vt:lpstr>z_A7FLSL0150_MO_OS_Grantedstockoptions</vt:lpstr>
      <vt:lpstr>z_A7FLSL0150_MO_OS_GraphicsOperatingIncomeMargin</vt:lpstr>
      <vt:lpstr>z_A7FLSL0150_MO_OS_Graphicsrevenuemm</vt:lpstr>
      <vt:lpstr>z_A7FLSL0150_MO_OS_GuidanceNonGAAPGrossMargin</vt:lpstr>
      <vt:lpstr>z_A7FLSL0150_MO_OS_GuidanceTotalNonGAAPOperatingExpenses</vt:lpstr>
      <vt:lpstr>z_A7FLSL0150_MO_OS_GuidanceTotalRevenue</vt:lpstr>
      <vt:lpstr>z_A7FLSL0150_MO_OS_Hyperscalerevenue</vt:lpstr>
      <vt:lpstr>z_A7FLSL0150_MO_OS_ImpliedrestofyearrevenueatBoP</vt:lpstr>
      <vt:lpstr>z_A7FLSL0150_MO_OS_ImpliedrestofyearrevenueatEoP</vt:lpstr>
      <vt:lpstr>z_A7FLSL0150_MO_OS_IncreasedecreaseinrevenueoutlookforROY</vt:lpstr>
      <vt:lpstr>z_A7FLSL0150_MO_OS_Interestexpense</vt:lpstr>
      <vt:lpstr>z_A7FLSL0150_MO_OS_Interestincome</vt:lpstr>
      <vt:lpstr>z_A7FLSL0150_MO_OS_Inventories_2</vt:lpstr>
      <vt:lpstr>z_A7FLSL0150_MO_OS_InventoriesYYChange</vt:lpstr>
      <vt:lpstr>z_A7FLSL0150_MO_OS_Inventorypurchaseandlongtermsupplyobligations</vt:lpstr>
      <vt:lpstr>z_A7FLSL0150_MO_OS_IPrelatedandlegalsettlementcosts</vt:lpstr>
      <vt:lpstr>z_A7FLSL0150_MO_OS_Lastworkingday</vt:lpstr>
      <vt:lpstr>z_A7FLSL0150_MO_OS_Legalsettlementcosts</vt:lpstr>
      <vt:lpstr>z_A7FLSL0150_MO_OS_Longtermsupplyagreementsunpaidobligations</vt:lpstr>
      <vt:lpstr>z_A7FLSL0150_MO_OS_MarketCapEoP</vt:lpstr>
      <vt:lpstr>z_A7FLSL0150_MO_OS_MarketCapEoP_1</vt:lpstr>
      <vt:lpstr>z_A7FLSL0150_MO_OS_NEOreportingtoCEOStockOwnershipGuidelinesbasesalary</vt:lpstr>
      <vt:lpstr>z_A7FLSL0150_MO_OS_Networkingrevenue</vt:lpstr>
      <vt:lpstr>z_A7FLSL0150_MO_OS_Noncurrentinventorypurchaseandlongtermsupplyobligations</vt:lpstr>
      <vt:lpstr>z_A7FLSL0150_MO_OS_NonCurrentRPOs</vt:lpstr>
      <vt:lpstr>z_A7FLSL0150_MO_OS_NonGAAPCOGS</vt:lpstr>
      <vt:lpstr>z_A7FLSL0150_MO_OS_NonGAAPGrossMargin</vt:lpstr>
      <vt:lpstr>z_A7FLSL0150_MO_OS_NonGAAPGrossProfit</vt:lpstr>
      <vt:lpstr>z_A7FLSL0150_MO_OS_NonGAAPGrossProfitbeatmissvsmostrecentguidancemidpoint</vt:lpstr>
      <vt:lpstr>z_A7FLSL0150_MO_OS_NonGAAPGrossProfitguidanceinitialmidpoint</vt:lpstr>
      <vt:lpstr>z_A7FLSL0150_MO_OS_NonGAAPGrossProfitguidancemostrecentmidpoint</vt:lpstr>
      <vt:lpstr>z_A7FLSL0150_MO_OS_NonGAAPGrossProfitguidanceupdate1midpoint</vt:lpstr>
      <vt:lpstr>z_A7FLSL0150_MO_OS_NonGAAPGrossProfitguidanceupdate2midpoint</vt:lpstr>
      <vt:lpstr>z_A7FLSL0150_MO_OS_NonGAAPGrossProfitguidanceupdate3midpoint</vt:lpstr>
      <vt:lpstr>z_A7FLSL0150_MO_OS_NonGAAPGrossProfitMarginguidanceinitialmidpoint</vt:lpstr>
      <vt:lpstr>z_A7FLSL0150_MO_OS_NonGAAPGrossProfitMarginguidancemostrecentmidpoint</vt:lpstr>
      <vt:lpstr>z_A7FLSL0150_MO_OS_NonGAAPGrossProfitMarginguidanceupdate1midpoint</vt:lpstr>
      <vt:lpstr>z_A7FLSL0150_MO_OS_NonGAAPGrossProfitMarginguidanceupdate2midpoint</vt:lpstr>
      <vt:lpstr>z_A7FLSL0150_MO_OS_NonGAAPGrossProfitMarginguidanceupdate3midpoint</vt:lpstr>
      <vt:lpstr>z_A7FLSL0150_MO_OS_NonGAAPGrossProfitMarginreportedmodelestimate</vt:lpstr>
      <vt:lpstr>z_A7FLSL0150_MO_OS_NonGAAPGrossProfitreportedmodelestimate</vt:lpstr>
      <vt:lpstr>z_A7FLSL0150_MO_OS_NonGAAPOperatingExpensesbeatmissvsmostrecentguidancemidpoint</vt:lpstr>
      <vt:lpstr>z_A7FLSL0150_MO_OS_NonGAAPOperatingExpensesguidanceinitialmidpoint</vt:lpstr>
      <vt:lpstr>z_A7FLSL0150_MO_OS_NonGAAPOperatingExpensesguidancemostrecentmidpoint</vt:lpstr>
      <vt:lpstr>z_A7FLSL0150_MO_OS_NonGAAPOperatingExpensesguidanceupdate1midpoint</vt:lpstr>
      <vt:lpstr>z_A7FLSL0150_MO_OS_NonGAAPOperatingExpensesguidanceupdate2midpoint</vt:lpstr>
      <vt:lpstr>z_A7FLSL0150_MO_OS_NonGAAPOperatingExpensesguidanceupdate3midpoint</vt:lpstr>
      <vt:lpstr>z_A7FLSL0150_MO_OS_NonGAAPOperatingExpensesreportedmodelestimate</vt:lpstr>
      <vt:lpstr>z_A7FLSL0150_MO_OS_NonGAAPOperatingIncome</vt:lpstr>
      <vt:lpstr>z_A7FLSL0150_MO_OS_NongaapOperatingincomeactual</vt:lpstr>
      <vt:lpstr>z_A7FLSL0150_MO_OS_NongaapoperatingincomeBaseOperatingPlangoal</vt:lpstr>
      <vt:lpstr>z_A7FLSL0150_MO_OS_NongaapoperatingincomeBaseOperatingPlangoal_1</vt:lpstr>
      <vt:lpstr>z_A7FLSL0150_MO_OS_NonGAAPOperatingIncomemargin</vt:lpstr>
      <vt:lpstr>z_A7FLSL0150_MO_OS_NonGAAPOPEXExpense</vt:lpstr>
      <vt:lpstr>z_A7FLSL0150_MO_OS_NonGAAPOPEXMargin</vt:lpstr>
      <vt:lpstr>z_A7FLSL0150_MO_OS_NonGAAPRDExpense</vt:lpstr>
      <vt:lpstr>z_A7FLSL0150_MO_OS_NonGAAPRDMargin</vt:lpstr>
      <vt:lpstr>z_A7FLSL0150_MO_OS_NonGAAPSGAExpense</vt:lpstr>
      <vt:lpstr>z_A7FLSL0150_MO_OS_NonGAAPSGAMargin</vt:lpstr>
      <vt:lpstr>z_A7FLSL0150_MO_OS_Numberofsharerepurchased_3</vt:lpstr>
      <vt:lpstr>z_A7FLSL0150_MO_OS_Numberofsharerepurchasedmonth1</vt:lpstr>
      <vt:lpstr>z_A7FLSL0150_MO_OS_Numberofsharerepurchasedmonth2</vt:lpstr>
      <vt:lpstr>z_A7FLSL0150_MO_OS_Numberofsharerepurchasedmonth3</vt:lpstr>
      <vt:lpstr>z_A7FLSL0150_MO_OS_Product0268</vt:lpstr>
      <vt:lpstr>z_A7FLSL0150_MO_OS_oemiprevenue</vt:lpstr>
      <vt:lpstr>z_A7FLSL0150_MO_OS_Product0275</vt:lpstr>
      <vt:lpstr>z_A7FLSL0150_MO_OS_Operatingincomepayout_2</vt:lpstr>
      <vt:lpstr>z_A7FLSL0150_MO_OS_OperatingincomepayoutofCEO</vt:lpstr>
      <vt:lpstr>z_A7FLSL0150_MO_OS_OperatingincomepayoutotherNEOs</vt:lpstr>
      <vt:lpstr>z_A7FLSL0150_MO_OS_Other_14</vt:lpstr>
      <vt:lpstr>z_A7FLSL0150_MO_OS_OtherAmericasRevenue</vt:lpstr>
      <vt:lpstr>z_A7FLSL0150_MO_OS_OtherAmericasRevenue_1</vt:lpstr>
      <vt:lpstr>z_A7FLSL0150_MO_OS_OtherAsiaPacificRevenue</vt:lpstr>
      <vt:lpstr>z_A7FLSL0150_MO_OS_OtherAsiaPacificRevenue_1</vt:lpstr>
      <vt:lpstr>z_A7FLSL0150_MO_OS_OtherCOGSAdjustments</vt:lpstr>
      <vt:lpstr>z_A7FLSL0150_MO_OS_OthercountriesRevenue</vt:lpstr>
      <vt:lpstr>z_A7FLSL0150_MO_OS_OtherCountriesRevenue_1</vt:lpstr>
      <vt:lpstr>z_A7FLSL0150_MO_OS_OtherNonGAAPOperatingItems</vt:lpstr>
      <vt:lpstr>z_A7FLSL0150_MO_OS_Othernonrecurringexpensesandbenefits</vt:lpstr>
      <vt:lpstr>z_A7FLSL0150_MO_OS_OtherOPEXAdjustments</vt:lpstr>
      <vt:lpstr>z_A7FLSL0150_MO_OS_Otherpurchaseobligations</vt:lpstr>
      <vt:lpstr>z_A7FLSL0150_MO_OS_OtherRD</vt:lpstr>
      <vt:lpstr>z_A7FLSL0150_MO_OS_OtherRevenueGrowth</vt:lpstr>
      <vt:lpstr>z_A7FLSL0150_MO_OS_OtherSGA</vt:lpstr>
      <vt:lpstr>z_A7FLSL0150_MO_OS_Potentiallydilutivesecurities</vt:lpstr>
      <vt:lpstr>z_A7FLSL0150_MO_OS_Productwarrantycharges</vt:lpstr>
      <vt:lpstr>z_A7FLSL0150_MO_OS_professionalvisualizationrevenue</vt:lpstr>
      <vt:lpstr>z_A7FLSL0150_MO_OS_ProvisionsforinventoryandotherrelatedchargesCOGS</vt:lpstr>
      <vt:lpstr>z_A7FLSL0150_MO_OS_ProvisionsforinventoryrelatedtoCOGS</vt:lpstr>
      <vt:lpstr>z_A7FLSL0150_MO_OS_QQAutomotiveRevenuegrowth</vt:lpstr>
      <vt:lpstr>z_A7FLSL0150_MO_OS_QQbasicshareexpansionEoP</vt:lpstr>
      <vt:lpstr>z_A7FLSL0150_MO_OS_QQbasicshareexpansionfromdilutivesecurities</vt:lpstr>
      <vt:lpstr>z_A7FLSL0150_MO_OS_QQbasicshareexpansionfromshareissuancebuyback</vt:lpstr>
      <vt:lpstr>z_A7FLSL0150_MO_OS_QQbeatmissnonGAAPgrossprofitgrowth</vt:lpstr>
      <vt:lpstr>z_A7FLSL0150_MO_OS_QQbeatmissrevenuegrowth</vt:lpstr>
      <vt:lpstr>z_A7FLSL0150_MO_OS_QQComputeRevenuegrowth</vt:lpstr>
      <vt:lpstr>z_A7FLSL0150_MO_OS_QQDatacenterRevenuegrowth</vt:lpstr>
      <vt:lpstr>z_A7FLSL0150_MO_OS_QQGamingRevenuegrowth</vt:lpstr>
      <vt:lpstr>z_A7FLSL0150_MO_OS_QQguidednonGAAPgrossprofitgrowth</vt:lpstr>
      <vt:lpstr>z_A7FLSL0150_MO_OS_QQguidedrevenuegrowth</vt:lpstr>
      <vt:lpstr>z_A7FLSL0150_MO_OS_QQNetworkingRevenuegrowth</vt:lpstr>
      <vt:lpstr>z_A7FLSL0150_MO_OS_QQnonGAAPgrossprofitgrowth</vt:lpstr>
      <vt:lpstr>z_A7FLSL0150_MO_OS_QQOEMIPRevenuegrowth</vt:lpstr>
      <vt:lpstr>z_A7FLSL0150_MO_OS_QQProfessionalVisualizationRevenuegrowth</vt:lpstr>
      <vt:lpstr>z_A7FLSL0150_MO_OS_QQrevenuegrowth</vt:lpstr>
      <vt:lpstr>z_A7FLSL0150_MO_OS_QQTotalRevenuegrowth</vt:lpstr>
      <vt:lpstr>z_A7FLSL0150_MO_OS_Quarterlyrevenueguidancebeatmiss</vt:lpstr>
      <vt:lpstr>z_A7FLSL0150_MO_OS_RD</vt:lpstr>
      <vt:lpstr>z_A7FLSL0150_MO_OS_RelativeCapexbeatmissvsmostrecentguidancemidpoint</vt:lpstr>
      <vt:lpstr>z_A7FLSL0150_MO_OS_RelativenonGAAPgrossprofitbeatmissvsmostrecentguidancemidpoint</vt:lpstr>
      <vt:lpstr>z_A7FLSL0150_MO_OS_RelativenonGAAPgrossprofitmarginbeatmissvsmostrecentguidancemidpoint</vt:lpstr>
      <vt:lpstr>z_A7FLSL0150_MO_OS_RelativeNonGAAPOperatingExpensesbeatmissvsmostrecentguidancemidpoint</vt:lpstr>
      <vt:lpstr>z_A7FLSL0150_MO_OS_Relativerevenuebeatmissvsmostrecentguidancemidpoint</vt:lpstr>
      <vt:lpstr>z_A7FLSL0150_MO_OS_RelativeTSRPerformanceBaseOperatingPlangoal</vt:lpstr>
      <vt:lpstr>z_A7FLSL0150_MO_OS_RelativeTSRPerformancepayoutofCEO</vt:lpstr>
      <vt:lpstr>z_A7FLSL0150_MO_OS_RelativeTSRPerformancepayoutofNEO</vt:lpstr>
      <vt:lpstr>z_A7FLSL0150_MO_OS_RelativeTSRPerformancepercentileofSP500actual</vt:lpstr>
      <vt:lpstr>z_A7FLSL0150_MO_OS_Remainingdollarvalueunderrepurchaseprogram_3</vt:lpstr>
      <vt:lpstr>z_A7FLSL0150_MO_OS_Remainingdollarvalueunderrepurchaseprogrammonth1</vt:lpstr>
      <vt:lpstr>z_A7FLSL0150_MO_OS_Remainingdollarvalueunderrepurchaseprogrammonth2</vt:lpstr>
      <vt:lpstr>z_A7FLSL0150_MO_OS_Remainingdollarvalueunderrepurchaseprogrammonth3</vt:lpstr>
      <vt:lpstr>z_A7FLSL0150_MO_OS_RemainingFutureunconditionalpurchasecommitmentsdueincurrentyear</vt:lpstr>
      <vt:lpstr>z_A7FLSL0150_MO_OS_Repurchasedollarvalue_3</vt:lpstr>
      <vt:lpstr>z_A7FLSL0150_MO_OS_Repurchasedollarvaluemonth1</vt:lpstr>
      <vt:lpstr>z_A7FLSL0150_MO_OS_Repurchasedollarvaluemonth2</vt:lpstr>
      <vt:lpstr>z_A7FLSL0150_MO_OS_Repurchasedollarvaluemonth3</vt:lpstr>
      <vt:lpstr>z_A7FLSL0150_MO_OS_Restructuringandother</vt:lpstr>
      <vt:lpstr>z_A7FLSL0150_MO_OS_Restructuringcosts</vt:lpstr>
      <vt:lpstr>z_A7FLSL0150_MO_OS_Revenue_1</vt:lpstr>
      <vt:lpstr>z_A7FLSL0150_MO_OS_Revenueactual</vt:lpstr>
      <vt:lpstr>z_A7FLSL0150_MO_OS_RevenueBaseOperatingPlangoal</vt:lpstr>
      <vt:lpstr>z_A7FLSL0150_MO_OS_RevenueBaseOperatingPlangoal_1</vt:lpstr>
      <vt:lpstr>z_A7FLSL0150_MO_OS_Revenuebeatmissvsmostrecentguidancemidpoint</vt:lpstr>
      <vt:lpstr>z_A7FLSL0150_MO_OS_Revenueguidanceinitialmidpoint</vt:lpstr>
      <vt:lpstr>z_A7FLSL0150_MO_OS_Revenueguidancemostrecentmidpoint</vt:lpstr>
      <vt:lpstr>z_A7FLSL0150_MO_OS_Revenueguidanceupdate1midpoint</vt:lpstr>
      <vt:lpstr>z_A7FLSL0150_MO_OS_Revenueguidanceupdate2midpoint</vt:lpstr>
      <vt:lpstr>z_A7FLSL0150_MO_OS_Revenueguidanceupdate3midpoint</vt:lpstr>
      <vt:lpstr>z_A7FLSL0150_MO_OS_Revenuepayout</vt:lpstr>
      <vt:lpstr>z_A7FLSL0150_MO_OS_Revenuerecognizedduringtheperiod</vt:lpstr>
      <vt:lpstr>z_A7FLSL0150_MO_OS_Revenuereportedmodelestimate</vt:lpstr>
      <vt:lpstr>z_A7FLSL0150_MO_OS_RPOs</vt:lpstr>
      <vt:lpstr>z_A7FLSL0150_MO_OS_Salesmarketingoperationsadmin</vt:lpstr>
      <vt:lpstr>z_A7FLSL0150_MO_OS_Salesofinventorythatwaspreviouslywrittenoffordownandsettlementsofexcessinventorypurchaseobligations</vt:lpstr>
      <vt:lpstr>z_A7FLSL0150_MO_OS_Salestofourthlargestcustomerasaoftotalsales</vt:lpstr>
      <vt:lpstr>z_A7FLSL0150_MO_OS_Salestolargestcustomerasaoftotalsales</vt:lpstr>
      <vt:lpstr>z_A7FLSL0150_MO_OS_Salestosecondlargestcustomerasaoftotalsales</vt:lpstr>
      <vt:lpstr>z_A7FLSL0150_MO_OS_Salestothirdlargestcustomerasaoftotalsales</vt:lpstr>
      <vt:lpstr>z_A7FLSL0150_MO_OS_SBCCOGS</vt:lpstr>
      <vt:lpstr>z_A7FLSL0150_MO_OS_SBCCOGSasofrevenue</vt:lpstr>
      <vt:lpstr>z_A7FLSL0150_MO_OS_SBCRD</vt:lpstr>
      <vt:lpstr>z_A7FLSL0150_MO_OS_SBCRDasofrevenue</vt:lpstr>
      <vt:lpstr>z_A7FLSL0150_MO_OS_SBCSGA</vt:lpstr>
      <vt:lpstr>z_A7FLSL0150_MO_OS_SBCSGAasofrevenue</vt:lpstr>
      <vt:lpstr>z_A7FLSL0150_MO_OS_SequentialincreasedecreaseinforwardFYrevenueguidance</vt:lpstr>
      <vt:lpstr>z_A7FLSL0150_MO_OS_SingaporeRevenue</vt:lpstr>
      <vt:lpstr>z_A7FLSL0150_MO_OS_SingaporeRevenue_1</vt:lpstr>
      <vt:lpstr>z_A7FLSL0150_MO_OS_Stockbasedcompensationexpense</vt:lpstr>
      <vt:lpstr>z_A7FLSL0150_MO_OS_Stockbasedcompensationexpense_1</vt:lpstr>
      <vt:lpstr>z_A7FLSL0150_MO_OS_taiwanrevenue</vt:lpstr>
      <vt:lpstr>z_A7FLSL0150_MO_OS_TaiwanRevenue_1</vt:lpstr>
      <vt:lpstr>z_A7FLSL0150_MO_OS_Product0410</vt:lpstr>
      <vt:lpstr>z_A7FLSL0150_MO_OS_Product0411</vt:lpstr>
      <vt:lpstr>z_A7FLSL0150_MO_OS_Product0412</vt:lpstr>
      <vt:lpstr>z_A7FLSL0150_MO_OS_tegraprocessorrevenue</vt:lpstr>
      <vt:lpstr>z_A7FLSL0150_MO_OS_tegraprocessorrevenuegrowth</vt:lpstr>
      <vt:lpstr>z_A7FLSL0150_MO_OS_TotalDepreciationandamortization</vt:lpstr>
      <vt:lpstr>z_A7FLSL0150_MO_OS_TotaldilutedcommonstockoutstandingEoP</vt:lpstr>
      <vt:lpstr>z_A7FLSL0150_MO_OS_Totaldirectorallothercomp</vt:lpstr>
      <vt:lpstr>z_A7FLSL0150_MO_OS_Totaldirectorcashcomp</vt:lpstr>
      <vt:lpstr>z_A7FLSL0150_MO_OS_Totaldirectorcompensation</vt:lpstr>
      <vt:lpstr>z_A7FLSL0150_MO_OS_Totaldirectorstockawardcomp</vt:lpstr>
      <vt:lpstr>z_A7FLSL0150_MO_OS_Totalfutureunconditionalpurchasecommitments</vt:lpstr>
      <vt:lpstr>z_A7FLSL0150_MO_OS_TotalFYrevenueguidanceraiselower</vt:lpstr>
      <vt:lpstr>z_A7FLSL0150_MO_OS_TotallongtermTAM</vt:lpstr>
      <vt:lpstr>z_A7FLSL0150_MO_OS_TotalNonGAAPOperatingExpenses</vt:lpstr>
      <vt:lpstr>z_A7FLSL0150_MO_OS_Totalofcurrentdirectors</vt:lpstr>
      <vt:lpstr>z_A7FLSL0150_MO_OS_Totalofdirectornominees</vt:lpstr>
      <vt:lpstr>z_A7FLSL0150_MO_OS_Totaloffemalecurrentdirectors</vt:lpstr>
      <vt:lpstr>z_A7FLSL0150_MO_OS_Totalofindependentcurrentdirectors</vt:lpstr>
      <vt:lpstr>z_A7FLSL0150_MO_OS_Totalofindependentdirectornominees</vt:lpstr>
      <vt:lpstr>z_A7FLSL0150_MO_OS_Totalofraciallyethnicallydiversecurrentdirectors</vt:lpstr>
      <vt:lpstr>z_A7FLSL0150_MO_OS_TotalOperatingIncomeloss</vt:lpstr>
      <vt:lpstr>z_A7FLSL0150_MO_OS_TotalOperatingIncomeloss_1</vt:lpstr>
      <vt:lpstr>z_A7FLSL0150_MO_OS_TotalOperatingIncomeMargin</vt:lpstr>
      <vt:lpstr>z_A7FLSL0150_MO_OS_TotalOperatingIncomeMargin_1</vt:lpstr>
      <vt:lpstr>z_A7FLSL0150_MO_OS_totalrevenue</vt:lpstr>
      <vt:lpstr>z_A7FLSL0150_MO_OS_totalrevenue_1</vt:lpstr>
      <vt:lpstr>z_A7FLSL0150_MO_OS_totalrevenue_2</vt:lpstr>
      <vt:lpstr>z_A7FLSL0150_MO_OS_TotalRevenue_5</vt:lpstr>
      <vt:lpstr>z_A7FLSL0150_MO_OS_TotalRevenue_6</vt:lpstr>
      <vt:lpstr>z_A7FLSL0150_MO_OS_TotalRevenueGrowth</vt:lpstr>
      <vt:lpstr>z_A7FLSL0150_MO_OS_TotalRevenuemm</vt:lpstr>
      <vt:lpstr>z_A7FLSL0150_MO_OS_Unallocatedcostofrevenueandoperatingexpenses</vt:lpstr>
      <vt:lpstr>z_A7FLSL0150_MO_OS_Unallocatedcostofrevenueandoperatingexpenses_1</vt:lpstr>
      <vt:lpstr>z_A7FLSL0150_MO_OS_unitedstatesrevenue</vt:lpstr>
      <vt:lpstr>z_A7FLSL0150_MO_OS_UnitedStatesRevenue_1</vt:lpstr>
      <vt:lpstr>z_A7FLSL0150_MO_OS_YYannualguidancebeatmissnonGAAPgrossprofitgrowth</vt:lpstr>
      <vt:lpstr>z_A7FLSL0150_MO_OS_YYannualguidancebeatmissrevenuegrowth</vt:lpstr>
      <vt:lpstr>z_A7FLSL0150_MO_OS_YYannualnonGAAPgrossprofitgrowth</vt:lpstr>
      <vt:lpstr>z_A7FLSL0150_MO_OS_YYannualrevenuegrowth</vt:lpstr>
      <vt:lpstr>z_A7FLSL0150_MO_OS_YYbasicshareexpansionEoP</vt:lpstr>
      <vt:lpstr>z_A7FLSL0150_MO_OS_YYbasicshareexpansionfromdilutivesecurities</vt:lpstr>
      <vt:lpstr>z_A7FLSL0150_MO_OS_YYbasicshareexpansionfromshareissuancebuyback</vt:lpstr>
      <vt:lpstr>z_A7FLSL0150_MO_OS_YYbeatmissnonGAAPgrossprofitgrowth</vt:lpstr>
      <vt:lpstr>z_A7FLSL0150_MO_OS_YYbeatmissrevenuegrowth</vt:lpstr>
      <vt:lpstr>z_A7FLSL0150_MO_OS_YYComputeRevenueGrowth</vt:lpstr>
      <vt:lpstr>z_A7FLSL0150_MO_OS_YYgrowthinGAAPOPEX</vt:lpstr>
      <vt:lpstr>z_A7FLSL0150_MO_OS_YYgrowthinGAAPRD</vt:lpstr>
      <vt:lpstr>z_A7FLSL0150_MO_OS_YYgrowthinGAAPSGA</vt:lpstr>
      <vt:lpstr>z_A7FLSL0150_MO_OS_YYgrowthinGrossProfit</vt:lpstr>
      <vt:lpstr>z_A7FLSL0150_MO_OS_YYGrowthinNonGAAPOperatingIncome</vt:lpstr>
      <vt:lpstr>z_A7FLSL0150_MO_OS_YYGrowthinnonGAAPOPEXExpense</vt:lpstr>
      <vt:lpstr>z_A7FLSL0150_MO_OS_YYGrowthinnonGAAPRDExpense</vt:lpstr>
      <vt:lpstr>z_A7FLSL0150_MO_OS_YYGrowthinnonGAAPSGAExpense</vt:lpstr>
      <vt:lpstr>z_A7FLSL0150_MO_OS_YYguidednonGAAPgrossprofitgrowth</vt:lpstr>
      <vt:lpstr>z_A7FLSL0150_MO_OS_YYguidedrevenuegrowth</vt:lpstr>
      <vt:lpstr>z_A7FLSL0150_MO_OS_YYImpliedannualguidancenonGAAPgrossprofitgrowth</vt:lpstr>
      <vt:lpstr>z_A7FLSL0150_MO_OS_YYImpliedannualguidancerevenuegrowth</vt:lpstr>
      <vt:lpstr>z_A7FLSL0150_MO_OS_YYimprovementinGAAPGrossMargin</vt:lpstr>
      <vt:lpstr>z_A7FLSL0150_MO_OS_YYImprovementinGAAPOPEXMargin</vt:lpstr>
      <vt:lpstr>z_A7FLSL0150_MO_OS_YYImprovementinGAAPRDMargin</vt:lpstr>
      <vt:lpstr>z_A7FLSL0150_MO_OS_YYImprovementinGAAPSGAMargin</vt:lpstr>
      <vt:lpstr>z_A7FLSL0150_MO_OS_YYImprovementinnonGAAPgrossmargin</vt:lpstr>
      <vt:lpstr>z_A7FLSL0150_MO_OS_YYImprovementinNonGAAPOperatingIncomemargin</vt:lpstr>
      <vt:lpstr>z_A7FLSL0150_MO_OS_YYImprovementinNonGAAPOPEXMargin</vt:lpstr>
      <vt:lpstr>z_A7FLSL0150_MO_OS_YYImprovementinNonGAAPRDMargin</vt:lpstr>
      <vt:lpstr>z_A7FLSL0150_MO_OS_YYImprovementinNonGAAPSGAMargin</vt:lpstr>
      <vt:lpstr>z_A7FLSL0150_MO_OS_YYNetworkingRevenueGrowth</vt:lpstr>
      <vt:lpstr>z_A7FLSL0150_MO_OS_YYNonGAAPgrossprofitgrowth</vt:lpstr>
      <vt:lpstr>z_A7FLSL0150_MO_OS_YYnonGAAPgrossprofitgrowth_1</vt:lpstr>
      <vt:lpstr>z_A7FLSL0150_MO_OS_YYrevenuegrowth</vt:lpstr>
      <vt:lpstr>z_A7FLSL0150_MO_RIS_AcquisitionrelatedcostsCOGS</vt:lpstr>
      <vt:lpstr>z_A7FLSL0150_MO_RIS_AcquisitionrelatedcostsRD</vt:lpstr>
      <vt:lpstr>z_A7FLSL0150_MO_RIS_AcquisitionrelatedcostsSGA</vt:lpstr>
      <vt:lpstr>z_A7FLSL0150_MO_RIS_AdjustedSharesOutstandingWAD</vt:lpstr>
      <vt:lpstr>z_A7FLSL0150_MO_RIS_AdjustmentsforConvertibleSecurities</vt:lpstr>
      <vt:lpstr>z_A7FLSL0150_MO_RIS_CompanyReportedNonGAAPOperatingIncome</vt:lpstr>
      <vt:lpstr>z_A7FLSL0150_MO_RIS_consensusestimatescompanyreportednongaapoperatingincome</vt:lpstr>
      <vt:lpstr>z_A7FLSL0150_MO_RIS_consensusestimatesnetrevenue</vt:lpstr>
      <vt:lpstr>z_A7FLSL0150_MO_RIS_consensusestimatesnongaapadjustedearningspersharewad</vt:lpstr>
      <vt:lpstr>z_A7FLSL0150_MO_RIS_consensusestimatesnongaapebitda</vt:lpstr>
      <vt:lpstr>z_A7FLSL0150_MO_RIS_deferredincometaxasofnongaaptaxes</vt:lpstr>
      <vt:lpstr>z_A7FLSL0150_MO_RIS_GAAPCOGS</vt:lpstr>
      <vt:lpstr>z_A7FLSL0150_MO_RIS_GAAPEarningsPerShareWAB</vt:lpstr>
      <vt:lpstr>z_A7FLSL0150_MO_RIS_GAAPEarningsPerShareWAD</vt:lpstr>
      <vt:lpstr>z_A7FLSL0150_MO_RIS_GAAPNetIncome</vt:lpstr>
      <vt:lpstr>z_A7FLSL0150_MO_RIS_GAAPNetIncomeBasic</vt:lpstr>
      <vt:lpstr>z_A7FLSL0150_MO_RIS_GAAPNetInterestExpense</vt:lpstr>
      <vt:lpstr>z_A7FLSL0150_MO_RIS_GAAPOPEX</vt:lpstr>
      <vt:lpstr>z_A7FLSL0150_MO_RIS_GAAPOtherItems</vt:lpstr>
      <vt:lpstr>z_A7FLSL0150_MO_RIS_GAAPProvisionforTaxes</vt:lpstr>
      <vt:lpstr>z_A7FLSL0150_MO_RIS_GAAPRD</vt:lpstr>
      <vt:lpstr>z_A7FLSL0150_MO_RIS_GAAPSGA</vt:lpstr>
      <vt:lpstr>z_A7FLSL0150_MO_RIS_GAAPTaxRate</vt:lpstr>
      <vt:lpstr>z_A7FLSL0150_MO_RIS_GuidanceNetRevenue</vt:lpstr>
      <vt:lpstr>z_A7FLSL0150_MO_RIS_GuidanceNonGAAPGrossProfit</vt:lpstr>
      <vt:lpstr>z_A7FLSL0150_MO_RIS_IntangibleAmortizationAcquisitionAdj</vt:lpstr>
      <vt:lpstr>z_A7FLSL0150_MO_RIS_InterestExpenseAdjustments</vt:lpstr>
      <vt:lpstr>z_A7FLSL0150_MO_RIS_MarginalTaxRateonAdjustments</vt:lpstr>
      <vt:lpstr>z_A7FLSL0150_MO_RIS_NetRevenue</vt:lpstr>
      <vt:lpstr>z_A7FLSL0150_MO_RIS_NonGAAPAdjustedEarningsPerShareWAD</vt:lpstr>
      <vt:lpstr>z_A7FLSL0150_MO_RIS_NonGAAPAdjustmentstoIncomeTaxes</vt:lpstr>
      <vt:lpstr>z_A7FLSL0150_MO_RIS_NonGAAPAdjustmentstoNetInterestExpense</vt:lpstr>
      <vt:lpstr>z_A7FLSL0150_MO_RIS_NonGAAPAdjustmentstoOtherItems</vt:lpstr>
      <vt:lpstr>z_A7FLSL0150_MO_RIS_NonGAAPEarningsbeforeTaxes</vt:lpstr>
      <vt:lpstr>z_A7FLSL0150_MO_RIS_NonGAAPEBITDA</vt:lpstr>
      <vt:lpstr>z_A7FLSL0150_MO_RIS_NonGAAPGrossProfit</vt:lpstr>
      <vt:lpstr>z_A7FLSL0150_MO_RIS_NonGAAPInterestExpense</vt:lpstr>
      <vt:lpstr>z_A7FLSL0150_MO_RIS_NonGAAPInterestExpense_1</vt:lpstr>
      <vt:lpstr>z_A7FLSL0150_MO_RIS_NonGAAPInterestIncome</vt:lpstr>
      <vt:lpstr>z_A7FLSL0150_MO_RIS_NonGAAPNetIncome</vt:lpstr>
      <vt:lpstr>z_A7FLSL0150_MO_RIS_NonGAAPOperatingIncomeBeforeOther</vt:lpstr>
      <vt:lpstr>z_A7FLSL0150_MO_RIS_NonGAAPOPEX</vt:lpstr>
      <vt:lpstr>z_A7FLSL0150_MO_RIS_NonGAAPOtherItems</vt:lpstr>
      <vt:lpstr>z_A7FLSL0150_MO_RIS_NonGAAPProvisionfortaxes</vt:lpstr>
      <vt:lpstr>z_A7FLSL0150_MO_RIS_NonGAAPRD</vt:lpstr>
      <vt:lpstr>z_A7FLSL0150_MO_RIS_NonGAAPSGA</vt:lpstr>
      <vt:lpstr>z_A7FLSL0150_MO_RIS_nongaaptaxrate</vt:lpstr>
      <vt:lpstr>z_A7FLSL0150_MO_RIS_OtherAdjustments</vt:lpstr>
      <vt:lpstr>z_A7FLSL0150_MO_RIS_OtherAdjustmentsOPEX</vt:lpstr>
      <vt:lpstr>z_A7FLSL0150_MO_RIS_OtherAdjustmentsRD</vt:lpstr>
      <vt:lpstr>z_A7FLSL0150_MO_RIS_OtherAdjustmentsSGA</vt:lpstr>
      <vt:lpstr>z_A7FLSL0150_MO_RIS_OtherCOGSadjustments</vt:lpstr>
      <vt:lpstr>z_A7FLSL0150_MO_RIS_OtherNonGAAPOperatingItems</vt:lpstr>
      <vt:lpstr>z_A7FLSL0150_MO_RIS_OtherOperatingAdjustments</vt:lpstr>
      <vt:lpstr>z_A7FLSL0150_MO_RIS_ReportedDepreciation</vt:lpstr>
      <vt:lpstr>z_A7FLSL0150_MO_RIS_SBC</vt:lpstr>
      <vt:lpstr>z_A7FLSL0150_MO_RIS_sbc_1</vt:lpstr>
      <vt:lpstr>z_A7FLSL0150_MO_RIS_SBC_2</vt:lpstr>
      <vt:lpstr>z_A7FLSL0150_MO_RIS_SBCinCOGS</vt:lpstr>
      <vt:lpstr>z_A7FLSL0150_MO_RIS_SharesOutstandingWAB</vt:lpstr>
      <vt:lpstr>z_A7FLSL0150_MO_RIS_SharesOutstandingWAD</vt:lpstr>
      <vt:lpstr>z_A7FLSL0150_MO_RIS_TaxImpactonnonGAAPAdjustments</vt:lpstr>
      <vt:lpstr>z_A7FLSL0150_MO_Section_AN_AdjustedNumbers</vt:lpstr>
      <vt:lpstr>z_A7FLSL0150_MO_Section_BS_BalanceSheet</vt:lpstr>
      <vt:lpstr>z_A7FLSL0150_MO_Section_BS_ModelChecks</vt:lpstr>
      <vt:lpstr>z_A7FLSL0150_MO_Section_BSS_BalanceSheetSummary</vt:lpstr>
      <vt:lpstr>z_A7FLSL0150_MO_Section_CCFS_CumulativeCashFlowStatement</vt:lpstr>
      <vt:lpstr>z_A7FLSL0150_MO_Section_CFS_CashFlowStatement</vt:lpstr>
      <vt:lpstr>z_A7FLSL0150_MO_Section_CFSum_CashFlowSummary</vt:lpstr>
      <vt:lpstr>z_A7FLSL0150_MO_Section_DAF_DAForecasting</vt:lpstr>
      <vt:lpstr>z_A7FLSL0150_MO_Section_IS_IncomeStatement</vt:lpstr>
      <vt:lpstr>z_A7FLSL0150_MO_Section_MA_MarginAnalysis</vt:lpstr>
      <vt:lpstr>z_A7FLSL0150_MO_Section_OS_BoardDiversity</vt:lpstr>
      <vt:lpstr>z_A7FLSL0150_MO_Section_OS_Source</vt:lpstr>
      <vt:lpstr>z_A7FLSL0150_MO_Section_OS_CapexGuidanceAnalysis</vt:lpstr>
      <vt:lpstr>z_A7FLSL0150_MO_Section_OS_CompanyFinancialGoals</vt:lpstr>
      <vt:lpstr>z_A7FLSL0150_MO_Section_OS_DirectorCompensation</vt:lpstr>
      <vt:lpstr>z_A7FLSL0150_MO_Section_OS_ExecutiveCompensation</vt:lpstr>
      <vt:lpstr>z_A7FLSL0150_MO_Section_OS_GuidanceAnalysisSection</vt:lpstr>
      <vt:lpstr>z_A7FLSL0150_MO_Section_OS_KeyMetricsCustomerConcentrationFS</vt:lpstr>
      <vt:lpstr>z_A7FLSL0150_MO_Section_OS_KeyMetricsDaysSalesOutstandingCFOCommentary</vt:lpstr>
      <vt:lpstr>z_A7FLSL0150_MO_Section_OS_KeyMetricsDeferredRevenuesandRPOsFS</vt:lpstr>
      <vt:lpstr>z_A7FLSL0150_MO_Section_OS_KeyMetricsEmployeesFS</vt:lpstr>
      <vt:lpstr>z_A7FLSL0150_MO_Section_OS_KeyMetricsInventoryProvisionsFS</vt:lpstr>
      <vt:lpstr>z_A7FLSL0150_MO_Section_OS_KeyMetricsInventoryPurchaseandLongtermSupplyObligationsFS</vt:lpstr>
      <vt:lpstr>z_A7FLSL0150_MO_Section_OS_KeyMetricsTotalAddressableMarketIP</vt:lpstr>
      <vt:lpstr>z_A7FLSL0150_MO_Section_OS_NonGAAPGrossProfitGuidanceAnalysis</vt:lpstr>
      <vt:lpstr>z_A7FLSL0150_MO_Section_OS_NonGAAPOperatingExpensesGuidanceAnalysis</vt:lpstr>
      <vt:lpstr>z_A7FLSL0150_MO_Section_OS_OperatingExpenseForecasting</vt:lpstr>
      <vt:lpstr>z_A7FLSL0150_MO_Section_OS_OtherAlignmentDataPoints</vt:lpstr>
      <vt:lpstr>z_A7FLSL0150_MO_Section_OS_RevenueBuildFSPR</vt:lpstr>
      <vt:lpstr>z_A7FLSL0150_MO_Section_OS_RevenueGuidanceAnalysis</vt:lpstr>
      <vt:lpstr>z_A7FLSL0150_MO_Section_OS_SBCDAAcquisitionrelatedCostsBreakdownFS</vt:lpstr>
      <vt:lpstr>z_A7FLSL0150_MO_Section_OS_SegmentedResultsGeographicBreakdownFS</vt:lpstr>
      <vt:lpstr>z_A7FLSL0150_MO_Section_OS_SegmentedResultsOperatingIncomeBreakdownFS</vt:lpstr>
      <vt:lpstr>z_A7FLSL0150_MO_Section_OS_SegmentedResultsRevenueBreakdownFS</vt:lpstr>
      <vt:lpstr>z_A7FLSL0150_MO_Section_OS_ShareCountAnalysis</vt:lpstr>
      <vt:lpstr>z_A7FLSL0150_MO_Section_OS_SupplementalData</vt:lpstr>
      <vt:lpstr>z_A7FLSL0150_MO_Section_OS_WorkingCapitalForecasting</vt:lpstr>
      <vt:lpstr>z_A7FLSL0150_MO_Section_RIS_RevisedIncomeStatement</vt:lpstr>
      <vt:lpstr>z_A7FLSL0150_MO_Section_SNA_Source</vt:lpstr>
      <vt:lpstr>z_A7FLSL0150_MO_Section_TB_Tables</vt:lpstr>
      <vt:lpstr>z_A7FLSL0150_MO_Section_VA_Valuation</vt:lpstr>
      <vt:lpstr>z_A7FLSL0150_MO_Unstructured_SNA_AnnualGuidanceTable</vt:lpstr>
      <vt:lpstr>z_A7FLSL0150_MO_Unstructured_SNA_ApplicablePeriod</vt:lpstr>
      <vt:lpstr>z_A7FLSL0150_MO_Unstructured_SNA_ApplicablePeriod_1</vt:lpstr>
      <vt:lpstr>z_A7FLSL0150_MO_Unstructured_SNA_ApplyTradeCurrencyScaling</vt:lpstr>
      <vt:lpstr>z_A7FLSL0150_MO_Unstructured_SNA_Avg</vt:lpstr>
      <vt:lpstr>z_A7FLSL0150_MO_Unstructured_SNA_Bloomberg</vt:lpstr>
      <vt:lpstr>z_A7FLSL0150_MO_Unstructured_SNA_Bloomberg_1</vt:lpstr>
      <vt:lpstr>z_A7FLSL0150_MO_Unstructured_SNA_Bloomberg_2</vt:lpstr>
      <vt:lpstr>z_A7FLSL0150_MO_Unstructured_SNA_Bloomberg_3</vt:lpstr>
      <vt:lpstr>z_A7FLSL0150_MO_Unstructured_SNA_CapitalIQ</vt:lpstr>
      <vt:lpstr>z_A7FLSL0150_MO_Unstructured_SNA_CapitalIQ_1</vt:lpstr>
      <vt:lpstr>z_A7FLSL0150_MO_Unstructured_SNA_CapitalIQ_2</vt:lpstr>
      <vt:lpstr>z_A7FLSL0150_MO_Unstructured_SNA_CapitalIQ_3</vt:lpstr>
      <vt:lpstr>z_A7FLSL0150_MO_Unstructured_SNA_ConsensusEstimatesCapex</vt:lpstr>
      <vt:lpstr>z_A7FLSL0150_MO_Unstructured_SNA_ConsensusEstimatesCashFlowPerDilutedShare</vt:lpstr>
      <vt:lpstr>z_A7FLSL0150_MO_Unstructured_SNA_ConsensusEstimatesCompanyReportedNonGAAPOperatingIncome</vt:lpstr>
      <vt:lpstr>z_A7FLSL0150_MO_Unstructured_SNA_ConsensusEstimatesGrossMargin</vt:lpstr>
      <vt:lpstr>z_A7FLSL0150_MO_Unstructured_SNA_ConsensusEstimatesNetRevenue</vt:lpstr>
      <vt:lpstr>z_A7FLSL0150_MO_Unstructured_SNA_ConsensusEstimatesNonGAAPAdjustedEarningsPerShareWAD</vt:lpstr>
      <vt:lpstr>z_A7FLSL0150_MO_Unstructured_SNA_ConsensusEstimatesNonGAAPEBITDA</vt:lpstr>
      <vt:lpstr>z_A7FLSL0150_MO_Unstructured_SNA_ConsensusEstimateTable</vt:lpstr>
      <vt:lpstr>z_A7FLSL0150_MO_Unstructured_SNA_CurrentFiscalYear</vt:lpstr>
      <vt:lpstr>z_A7FLSL0150_MO_Unstructured_SNA_DataSourceIndex</vt:lpstr>
      <vt:lpstr>z_A7FLSL0150_MO_Unstructured_SNA_EoP</vt:lpstr>
      <vt:lpstr>z_A7FLSL0150_MO_Unstructured_SNA_EVEBITDAAvg</vt:lpstr>
      <vt:lpstr>z_A7FLSL0150_MO_Unstructured_SNA_FactSet</vt:lpstr>
      <vt:lpstr>z_A7FLSL0150_MO_Unstructured_SNA_FactSet_1</vt:lpstr>
      <vt:lpstr>z_A7FLSL0150_MO_Unstructured_SNA_FactSet_2</vt:lpstr>
      <vt:lpstr>z_A7FLSL0150_MO_Unstructured_SNA_FactSet_3</vt:lpstr>
      <vt:lpstr>z_A7FLSL0150_MO_Unstructured_SNA_FirstForecastFiscalYear</vt:lpstr>
      <vt:lpstr>z_A7FLSL0150_MO_Unstructured_SNA_FiscalPeriodStartDate</vt:lpstr>
      <vt:lpstr>z_A7FLSL0150_MO_Unstructured_SNA_FXAverageRealTimeOffSource</vt:lpstr>
      <vt:lpstr>z_A7FLSL0150_MO_Unstructured_SNA_FXEoP</vt:lpstr>
      <vt:lpstr>z_A7FLSL0150_MO_Unstructured_SNA_FYorFQ</vt:lpstr>
      <vt:lpstr>z_A7FLSL0150_MO_Unstructured_SNA_GeneralTable</vt:lpstr>
      <vt:lpstr>z_A7FLSL0150_MO_Unstructured_SNA_High</vt:lpstr>
      <vt:lpstr>z_A7FLSL0150_MO_Unstructured_SNA_HighCapex</vt:lpstr>
      <vt:lpstr>z_A7FLSL0150_MO_Unstructured_SNA_HighCapex_1</vt:lpstr>
      <vt:lpstr>z_A7FLSL0150_MO_Unstructured_SNA_HighNetRevenue</vt:lpstr>
      <vt:lpstr>z_A7FLSL0150_MO_Unstructured_SNA_HighNetRevenue_1</vt:lpstr>
      <vt:lpstr>z_A7FLSL0150_MO_Unstructured_SNA_HighNonGAAPGrossMargin</vt:lpstr>
      <vt:lpstr>z_A7FLSL0150_MO_Unstructured_SNA_HighNonGAAPGrossMargin_1</vt:lpstr>
      <vt:lpstr>z_A7FLSL0150_MO_Unstructured_SNA_HighTotalNonGAAPOperatingExpenses</vt:lpstr>
      <vt:lpstr>z_A7FLSL0150_MO_Unstructured_SNA_HighTotalNonGAAPOperatingExpenses_1</vt:lpstr>
      <vt:lpstr>z_A7FLSL0150_MO_Unstructured_SNA_IsHistoricalPeriod</vt:lpstr>
      <vt:lpstr>z_A7FLSL0150_MO_Unstructured_SNA_IsLatest</vt:lpstr>
      <vt:lpstr>z_A7FLSL0150_MO_Unstructured_SNA_KeyOutputs</vt:lpstr>
      <vt:lpstr>z_A7FLSL0150_MO_Unstructured_SNA_KPICount</vt:lpstr>
      <vt:lpstr>z_A7FLSL0150_MO_Unstructured_SNA_KPIData</vt:lpstr>
      <vt:lpstr>z_A7FLSL0150_MO_Unstructured_SNA_LastPrice</vt:lpstr>
      <vt:lpstr>z_A7FLSL0150_MO_Unstructured_SNA_LastPriceDate</vt:lpstr>
      <vt:lpstr>z_A7FLSL0150_MO_Unstructured_SNA_LastPriceFormula</vt:lpstr>
      <vt:lpstr>z_A7FLSL0150_MO_Unstructured_SNA_LastWorkingDayInPeriod</vt:lpstr>
      <vt:lpstr>z_A7FLSL0150_MO_Unstructured_SNA_Low</vt:lpstr>
      <vt:lpstr>z_A7FLSL0150_MO_Unstructured_SNA_LowCapex</vt:lpstr>
      <vt:lpstr>z_A7FLSL0150_MO_Unstructured_SNA_LowCapex_1</vt:lpstr>
      <vt:lpstr>z_A7FLSL0150_MO_Unstructured_SNA_LowNetRevenue</vt:lpstr>
      <vt:lpstr>z_A7FLSL0150_MO_Unstructured_SNA_LowNetRevenue_1</vt:lpstr>
      <vt:lpstr>z_A7FLSL0150_MO_Unstructured_SNA_LowNonGAAPGrossMargin</vt:lpstr>
      <vt:lpstr>z_A7FLSL0150_MO_Unstructured_SNA_LowNonGAAPGrossMargin_1</vt:lpstr>
      <vt:lpstr>z_A7FLSL0150_MO_Unstructured_SNA_LowTotalNonGAAPOperatingExpenses</vt:lpstr>
      <vt:lpstr>z_A7FLSL0150_MO_Unstructured_SNA_LowTotalNonGAAPOperatingExpenses_1</vt:lpstr>
      <vt:lpstr>z_A7FLSL0150_MO_Unstructured_SNA_MidCapex</vt:lpstr>
      <vt:lpstr>z_A7FLSL0150_MO_Unstructured_SNA_MidCapex_1</vt:lpstr>
      <vt:lpstr>z_A7FLSL0150_MO_Unstructured_SNA_MidNetRevenue</vt:lpstr>
      <vt:lpstr>z_A7FLSL0150_MO_Unstructured_SNA_MidNetRevenue_1</vt:lpstr>
      <vt:lpstr>z_A7FLSL0150_MO_Unstructured_SNA_MidNonGAAPGrossMargin</vt:lpstr>
      <vt:lpstr>z_A7FLSL0150_MO_Unstructured_SNA_MidNonGAAPGrossMargin_1</vt:lpstr>
      <vt:lpstr>z_A7FLSL0150_MO_Unstructured_SNA_MidTotalNonGAAPOperatingExpenses</vt:lpstr>
      <vt:lpstr>z_A7FLSL0150_MO_Unstructured_SNA_MidTotalNonGAAPOperatingExpenses_1</vt:lpstr>
      <vt:lpstr>z_A7FLSL0150_MO_Unstructured_SNA_MOCFSumCapex</vt:lpstr>
      <vt:lpstr>z_A7FLSL0150_MO_Unstructured_SNA_ModelSheetCurrencyHardcoded</vt:lpstr>
      <vt:lpstr>z_A7FLSL0150_MO_Unstructured_SNA_MOKPIREVGeoChina</vt:lpstr>
      <vt:lpstr>z_A7FLSL0150_MO_Unstructured_SNA_MOKPIREVGeoTaiwan</vt:lpstr>
      <vt:lpstr>z_A7FLSL0150_MO_Unstructured_SNA_MOKPIREVGeoUS</vt:lpstr>
      <vt:lpstr>z_A7FLSL0150_MO_Unstructured_SNA_MOKPIREVSEMI</vt:lpstr>
      <vt:lpstr>z_A7FLSL0150_MO_Unstructured_SNA_MOKPIREVSEMIAuto</vt:lpstr>
      <vt:lpstr>z_A7FLSL0150_MO_Unstructured_SNA_MOKPIREVSEMIAutoGrowth</vt:lpstr>
      <vt:lpstr>z_A7FLSL0150_MO_Unstructured_SNA_MOKPIREVSEMIComp</vt:lpstr>
      <vt:lpstr>z_A7FLSL0150_MO_Unstructured_SNA_MOKPIREVSEMICompGrowth</vt:lpstr>
      <vt:lpstr>z_A7FLSL0150_MO_Unstructured_SNA_MOKPIREVSEMICons</vt:lpstr>
      <vt:lpstr>z_A7FLSL0150_MO_Unstructured_SNA_MOKPIREVSEMIConsGrowth</vt:lpstr>
      <vt:lpstr>z_A7FLSL0150_MO_Unstructured_SNA_MOKPIREVSEMIData</vt:lpstr>
      <vt:lpstr>z_A7FLSL0150_MO_Unstructured_SNA_MOKPIREVSEMIDataGrowth</vt:lpstr>
      <vt:lpstr>z_A7FLSL0150_MO_Unstructured_SNA_MOKPIREVSEMIGrowth</vt:lpstr>
      <vt:lpstr>z_A7FLSL0150_MO_Unstructured_SNA_MOMAGM</vt:lpstr>
      <vt:lpstr>z_A7FLSL0150_MO_Unstructured_SNA_MOMARDNONGAAP</vt:lpstr>
      <vt:lpstr>z_A7FLSL0150_MO_Unstructured_SNA_MOOSEmployeeCount</vt:lpstr>
      <vt:lpstr>z_A7FLSL0150_MO_Unstructured_SNA_MORISEBITDAAdj</vt:lpstr>
      <vt:lpstr>z_A7FLSL0150_MO_Unstructured_SNA_MORISEPSWADAdj</vt:lpstr>
      <vt:lpstr>z_A7FLSL0150_MO_Unstructured_SNA_MORISNINONGAAPDiluted</vt:lpstr>
      <vt:lpstr>z_A7FLSL0150_MO_Unstructured_SNA_MORISREV</vt:lpstr>
      <vt:lpstr>z_A7FLSL0150_MO_Unstructured_SNA_MostRecentFiscalPeriodMRFP</vt:lpstr>
      <vt:lpstr>z_A7FLSL0150_MO_Unstructured_SNA_MostRecentFX</vt:lpstr>
      <vt:lpstr>z_A7FLSL0150_MO_Unstructured_SNA_MostRecentFXHardcoded</vt:lpstr>
      <vt:lpstr>z_A7FLSL0150_MO_Unstructured_SNA_MRFPColumnNumber</vt:lpstr>
      <vt:lpstr>z_A7FLSL0150_MO_Unstructured_SNA_Company1847</vt:lpstr>
      <vt:lpstr>z_A7FLSL0150_MO_Unstructured_SNA_NetRevenue</vt:lpstr>
      <vt:lpstr>z_A7FLSL0150_MO_Unstructured_SNA_NonGAAPAdjustedEarningsPerShareWAD</vt:lpstr>
      <vt:lpstr>z_A7FLSL0150_MO_Unstructured_SNA_NonGAAPEBITDA</vt:lpstr>
      <vt:lpstr>z_A7FLSL0150_MO_Unstructured_SNA_Company1913</vt:lpstr>
      <vt:lpstr>z_A7FLSL0150_MO_Unstructured_SNA_Company1914</vt:lpstr>
      <vt:lpstr>z_A7FLSL0150_MO_Unstructured_SNA_Company1914_1</vt:lpstr>
      <vt:lpstr>z_A7FLSL0150_MO_Unstructured_SNA_Company1914_2</vt:lpstr>
      <vt:lpstr>z_A7FLSL0150_MO_Unstructured_SNA_PEAvg</vt:lpstr>
      <vt:lpstr>z_A7FLSL0150_MO_Unstructured_SNA_Period</vt:lpstr>
      <vt:lpstr>z_A7FLSL0150_MO_Unstructured_SNA_QuarterlyGuidanceTable</vt:lpstr>
      <vt:lpstr>z_A7FLSL0150_MO_Unstructured_SNA_RealTimeOffSource</vt:lpstr>
      <vt:lpstr>z_A7FLSL0150_MO_Unstructured_SNA_RealTimeOffSource_1</vt:lpstr>
      <vt:lpstr>z_A7FLSL0150_MO_Unstructured_SNA_RealTimeOffSource_2</vt:lpstr>
      <vt:lpstr>z_A7FLSL0150_MO_Unstructured_SNA_RealTimeOffSource_3</vt:lpstr>
      <vt:lpstr>z_A7FLSL0150_MO_Unstructured_SNA_RealTimeStockPrice</vt:lpstr>
      <vt:lpstr>z_A7FLSL0150_MO_Unstructured_SNA_Refinitiv</vt:lpstr>
      <vt:lpstr>z_A7FLSL0150_MO_Unstructured_SNA_Refinitiv_1</vt:lpstr>
      <vt:lpstr>z_A7FLSL0150_MO_Unstructured_SNA_Refinitiv_2</vt:lpstr>
      <vt:lpstr>z_A7FLSL0150_MO_Unstructured_SNA_Refinitiv_3</vt:lpstr>
      <vt:lpstr>z_A7FLSL0150_MO_Unstructured_SNA_ReportingDate</vt:lpstr>
      <vt:lpstr>z_A7FLSL0150_MO_Unstructured_SNA_ReportingDate_1</vt:lpstr>
      <vt:lpstr>z_A7FLSL0150_MO_Unstructured_SNA_StockAverageRealTimeOffSource</vt:lpstr>
      <vt:lpstr>z_A7FLSL0150_MO_Unstructured_SNA_StockHighRealTimeOffSource</vt:lpstr>
      <vt:lpstr>z_A7FLSL0150_MO_Unstructured_SNA_StockLowRealTimeOffSource</vt:lpstr>
      <vt:lpstr>z_A7FLSL0150_MO_Unstructured_SNA_StockPriceEoP</vt:lpstr>
      <vt:lpstr>z_A7FLSL0150_MO_Unstructured_SNA_StockPriceTable</vt:lpstr>
      <vt:lpstr>z_A7FLSL0150_MO_Unstructured_SNA_TickerSymbol</vt:lpstr>
      <vt:lpstr>z_A7FLSL0150_MO_Unstructured_SNA_TradeCurrency</vt:lpstr>
      <vt:lpstr>z_A7FLSL0150_MO_Unstructured_SNA_TradeCurrencyHardcoded</vt:lpstr>
      <vt:lpstr>z_A7FLSL0150_MO_Unstructured_SNA_ValuationToggleTable</vt:lpstr>
      <vt:lpstr>z_A7FLSL0150_MO_VA_EnterpriseValueAverage</vt:lpstr>
      <vt:lpstr>z_A7FLSL0150_MO_VA_enterprisevaluecomponents</vt:lpstr>
      <vt:lpstr>z_A7FLSL0150_MO_VA_EVEBITDAAverage</vt:lpstr>
      <vt:lpstr>z_A7FLSL0150_MO_VA_FCFYieldtoAverageEnterpriseValue</vt:lpstr>
      <vt:lpstr>z_A7FLSL0150_MO_VA_FCFYieldtoAverageMarketCap</vt:lpstr>
      <vt:lpstr>z_A7FLSL0150_MO_VA_MarketCapAverage</vt:lpstr>
      <vt:lpstr>z_A7FLSL0150_MO_VA_NoncontrollingInterest</vt:lpstr>
      <vt:lpstr>z_A7FLSL0150_MO_VA_OtherEVComponents</vt:lpstr>
      <vt:lpstr>z_A7FLSL0150_MO_VA_PCFAverage</vt:lpstr>
      <vt:lpstr>z_A7FLSL0150_MO_VA_PEAverage</vt:lpstr>
      <vt:lpstr>z_A7FLSL0150_MO_VA_PreferredShares</vt:lpstr>
      <vt:lpstr>z_A7FLSL0150_MO_VA_StockAvg</vt:lpstr>
      <vt:lpstr>z_A7FLSL0150_MO_VA_StockHigh</vt:lpstr>
      <vt:lpstr>z_A7FLSL0150_MO_VA_StockLow</vt:lpstr>
      <vt:lpstr>z_A7FLSL0150_MO_VA_StockPriceAverage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2026-01-01T00:00:00Z</dcterms:created>
  <dcterms:modified xsi:type="dcterms:W3CDTF">2026-01-01T00:00:00Z</dcterms:modified>
</cp:coreProperties>
</file>